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s" sheetId="1" state="visible" r:id="rId1"/>
    <sheet name="VAT Comparison" sheetId="2" state="visible" r:id="rId2"/>
    <sheet name="Assumptions" sheetId="3" state="visible" r:id="rId3"/>
    <sheet name="Inputs" sheetId="4" state="visible" r:id="rId4"/>
    <sheet name="5 Year Summary" sheetId="5" state="visible" r:id="rId5"/>
    <sheet name="24 Month Forecast" sheetId="6" state="visible" r:id="rId6"/>
    <sheet name="Unit Economics" sheetId="7" state="visible" r:id="rId7"/>
    <sheet name="Sens - Scenarios" sheetId="8" state="visible" r:id="rId8"/>
    <sheet name="Sens - Churn" sheetId="9" state="visible" r:id="rId9"/>
    <sheet name="Sens - Annual Mix" sheetId="10" state="visible" r:id="rId10"/>
    <sheet name="Sens - CAC &amp; Marketing" sheetId="11" state="visible" r:id="rId11"/>
    <sheet name="Sens - Winter Pivot" sheetId="12" state="visible" r:id="rId12"/>
    <sheet name="Model" sheetId="13" state="visible" r:id="rId13"/>
    <sheet name="Scenario Engine" sheetId="14" state="hidden" r:id="rId14"/>
    <sheet name="VAT Dual Calc" sheetId="15" state="hidden" r:id="rId15"/>
  </sheets>
  <definedNames>
    <definedName name="InitialInvestment">Inputs!$B$5</definedName>
    <definedName name="PriceEssMonthly">Inputs!$B$8</definedName>
    <definedName name="PricePremMonthly">Inputs!$B$9</definedName>
    <definedName name="PriceEliteMonthly">Inputs!$B$10</definedName>
    <definedName name="PriceEssAnnual">Inputs!$B$11</definedName>
    <definedName name="PricePremAnnual">Inputs!$B$12</definedName>
    <definedName name="PriceEliteAnnual">Inputs!$B$13</definedName>
    <definedName name="AnnualMix">Inputs!$B$16</definedName>
    <definedName name="EssentialMix">Inputs!$B$17</definedName>
    <definedName name="PremiumMix">Inputs!$B$18</definedName>
    <definedName name="EliteMix">Inputs!$B$19</definedName>
    <definedName name="GardenSmallMix">Inputs!$B$21</definedName>
    <definedName name="GardenMediumMix">Inputs!$B$22</definedName>
    <definedName name="GardenLargeMix">Inputs!$B$23</definedName>
    <definedName name="MonthlyChurn">Inputs!$B$25</definedName>
    <definedName name="AnnualChurn">Inputs!$B$26</definedName>
    <definedName name="CAC">Inputs!$B$29</definedName>
    <definedName name="ProvPayEss">Inputs!$B$30</definedName>
    <definedName name="ProvPayPrem">Inputs!$B$31</definedName>
    <definedName name="ProvPayElite">Inputs!$B$32</definedName>
    <definedName name="PaymentFee">Inputs!$B$33</definedName>
    <definedName name="OpsAI">Inputs!$B$34</definedName>
    <definedName name="ProviderDelay">Inputs!$B$37</definedName>
    <definedName name="MonthlyFixed">Inputs!$B$38</definedName>
    <definedName name="BlendedPriceEssMonthly">Inputs!$B$40</definedName>
    <definedName name="BlendedPricePremMonthly">Inputs!$B$41</definedName>
    <definedName name="BlendedPriceEliteMonthly">Inputs!$B$42</definedName>
    <definedName name="BlendedPriceEssAnnual">Inputs!$B$43</definedName>
    <definedName name="BlendedPricePremAnnual">Inputs!$B$44</definedName>
    <definedName name="BlendedPriceEliteAnnual">Inputs!$B$45</definedName>
    <definedName name="BlendedProvPayEss">Inputs!$B$46</definedName>
    <definedName name="BlendedProvPayPrem">Inputs!$B$47</definedName>
    <definedName name="BlendedProvPayElite">Inputs!$B$48</definedName>
    <definedName name="MktFixed1_3">Inputs!$B$51</definedName>
    <definedName name="MktFixed4_6">Inputs!$B$52</definedName>
    <definedName name="MktPct7_12">Inputs!$B$53</definedName>
    <definedName name="MktPct13_18">Inputs!$B$54</definedName>
    <definedName name="MktPct19plus">Inputs!$B$55</definedName>
    <definedName name="MktMin7_12">Inputs!$B$56</definedName>
    <definedName name="MktMin13_18">Inputs!$B$57</definedName>
    <definedName name="MktMin19plus">Inputs!$B$58</definedName>
    <definedName name="CashBuffer">Inputs!$B$59</definedName>
    <definedName name="InflationRate">Inputs!$B$60</definedName>
    <definedName name="ReferralMix">Inputs!$B$61</definedName>
    <definedName name="ReferralReward">Inputs!$B$62</definedName>
    <definedName name="LaunchMonth">Inputs!$B$63</definedName>
    <definedName name="VATRate">Inputs!$B$64</definedName>
    <definedName name="VATThreshold">Inputs!$B$65</definedName>
    <definedName name="VATAgentMode">Inputs!$B$66</definedName>
    <definedName name="SeasonTable">Inputs!$A$74:$B$85</definedName>
    <definedName name="AcqSeasonTable">Inputs!$A$74:$C$85</definedName>
    <definedName name="ChurnSeasonTable">Inputs!$A$74:$D$85</definedName>
    <definedName name="WinterPivotSeasonTable">Inputs!$A$74:$E$85</definedName>
    <definedName name="WinterPivotChurnTable">Inputs!$A$74:$F$85</definedName>
    <definedName name="MRR_Month12">Model!$Z$16</definedName>
    <definedName name="ARR_Month12">Model!$AA$16</definedName>
    <definedName name="Cust_Month12">Model!$Y$16</definedName>
    <definedName name="Cash_Month12">Model!$AS$16</definedName>
    <definedName name="MRR_Month24">Model!$Z$28</definedName>
    <definedName name="ARR_Month24">Model!$AA$28</definedName>
    <definedName name="Cust_Month24">Model!$Y$28</definedName>
    <definedName name="Cash_Month24">Model!$AS$28</definedName>
    <definedName name="MRR_Month60">Model!$Z$64</definedName>
    <definedName name="ARR_Month60">Model!$AA$64</definedName>
    <definedName name="Cust_Month60">Model!$Y$64</definedName>
    <definedName name="Cash_Month60">Model!$AS$64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"/>
    <numFmt numFmtId="165" formatCode="£#,##0.00"/>
    <numFmt numFmtId="166" formatCode="0.0%"/>
    <numFmt numFmtId="167" formatCode="0.0"/>
    <numFmt numFmtId="168" formatCode="0.0&quot;x&quot;"/>
    <numFmt numFmtId="169" formatCode="0.0&quot; mo&quot;"/>
  </numFmts>
  <fonts count="20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2F5496"/>
      <sz val="11"/>
    </font>
    <font>
      <b val="1"/>
      <color rgb="00FFFFFF"/>
      <sz val="11"/>
    </font>
    <font>
      <b val="1"/>
    </font>
    <font>
      <b val="1"/>
      <color rgb="001F3864"/>
      <sz val="16"/>
    </font>
    <font>
      <i val="1"/>
      <color rgb="00888888"/>
      <sz val="9"/>
    </font>
    <font>
      <b val="1"/>
      <color rgb="002F5496"/>
      <sz val="12"/>
    </font>
    <font>
      <color rgb="00666666"/>
      <sz val="10"/>
    </font>
    <font>
      <b val="1"/>
      <color rgb="001F3864"/>
      <sz val="14"/>
    </font>
    <font>
      <b val="1"/>
      <color rgb="001F3864"/>
      <sz val="18"/>
    </font>
    <font>
      <b val="1"/>
      <color rgb="00FFFFFF"/>
      <sz val="10"/>
    </font>
    <font>
      <sz val="10"/>
    </font>
    <font>
      <color rgb="00555555"/>
      <sz val="9"/>
    </font>
    <font>
      <b val="1"/>
      <color rgb="000563C1"/>
      <sz val="10"/>
    </font>
    <font>
      <color rgb="00666666"/>
      <sz val="9"/>
    </font>
    <font>
      <color rgb="00333333"/>
      <sz val="9"/>
    </font>
    <font>
      <b val="1"/>
      <sz val="10"/>
    </font>
    <font>
      <b val="1"/>
      <color rgb="002F5496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0" fontId="0" fillId="2" borderId="1" pivotButton="0" quotePrefix="0" xfId="0"/>
    <xf numFmtId="0" fontId="4" fillId="3" borderId="1" applyAlignment="1" pivotButton="0" quotePrefix="0" xfId="0">
      <alignment horizontal="center" wrapText="1"/>
    </xf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164" fontId="5" fillId="0" borderId="1" pivotButton="0" quotePrefix="0" xfId="0"/>
    <xf numFmtId="10" fontId="0" fillId="0" borderId="0" pivotButton="0" quotePrefix="0" xfId="0"/>
    <xf numFmtId="167" fontId="0" fillId="0" borderId="1" pivotButton="0" quotePrefix="0" xfId="0"/>
    <xf numFmtId="168" fontId="0" fillId="0" borderId="1" pivotButton="0" quotePrefix="0" xfId="0"/>
    <xf numFmtId="3" fontId="0" fillId="0" borderId="1" pivotButton="0" quotePrefix="0" xfId="0"/>
    <xf numFmtId="166" fontId="0" fillId="0" borderId="0" pivotButton="0" quotePrefix="0" xfId="0"/>
    <xf numFmtId="164" fontId="0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/>
    </xf>
    <xf numFmtId="0" fontId="0" fillId="4" borderId="1" pivotButton="0" quotePrefix="0" xfId="0"/>
    <xf numFmtId="164" fontId="10" fillId="4" borderId="1" applyAlignment="1" pivotButton="0" quotePrefix="0" xfId="0">
      <alignment horizontal="center"/>
    </xf>
    <xf numFmtId="164" fontId="11" fillId="4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10" fillId="4" borderId="1" applyAlignment="1" pivotButton="0" quotePrefix="0" xfId="0">
      <alignment horizontal="center"/>
    </xf>
    <xf numFmtId="168" fontId="10" fillId="4" borderId="1" applyAlignment="1" pivotButton="0" quotePrefix="0" xfId="0">
      <alignment horizontal="center"/>
    </xf>
    <xf numFmtId="169" fontId="10" fillId="4" borderId="1" applyAlignment="1" pivotButton="0" quotePrefix="0" xfId="0">
      <alignment horizontal="center"/>
    </xf>
    <xf numFmtId="166" fontId="10" fillId="4" borderId="1" applyAlignment="1" pivotButton="0" quotePrefix="0" xfId="0">
      <alignment horizontal="center"/>
    </xf>
    <xf numFmtId="0" fontId="8" fillId="2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0">
      <alignment horizontal="right"/>
    </xf>
    <xf numFmtId="3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4" borderId="1" pivotButton="0" quotePrefix="0" xfId="0"/>
    <xf numFmtId="0" fontId="8" fillId="5" borderId="0" pivotButton="0" quotePrefix="0" xfId="0"/>
    <xf numFmtId="0" fontId="17" fillId="0" borderId="0" pivotButton="0" quotePrefix="0" xfId="0"/>
    <xf numFmtId="165" fontId="0" fillId="0" borderId="0" pivotButton="0" quotePrefix="0" xfId="0"/>
    <xf numFmtId="1" fontId="0" fillId="2" borderId="1" pivotButton="0" quotePrefix="0" xfId="0"/>
    <xf numFmtId="2" fontId="0" fillId="2" borderId="1" pivotButton="0" quotePrefix="0" xfId="0"/>
    <xf numFmtId="0" fontId="2" fillId="0" borderId="1" pivotButton="0" quotePrefix="0" xfId="0"/>
    <xf numFmtId="2" fontId="0" fillId="0" borderId="1" pivotButton="0" quotePrefix="0" xfId="0"/>
    <xf numFmtId="0" fontId="12" fillId="3" borderId="1" pivotButton="0" quotePrefix="0" xfId="0"/>
    <xf numFmtId="10" fontId="4" fillId="2" borderId="1" applyAlignment="1" pivotButton="0" quotePrefix="0" xfId="0">
      <alignment horizontal="center" wrapText="1"/>
    </xf>
    <xf numFmtId="164" fontId="4" fillId="3" borderId="1" applyAlignment="1" pivotButton="0" quotePrefix="0" xfId="0">
      <alignment horizontal="center" wrapText="1"/>
    </xf>
    <xf numFmtId="3" fontId="4" fillId="3" borderId="1" applyAlignment="1" pivotButton="0" quotePrefix="0" xfId="0">
      <alignment horizontal="center" wrapText="1"/>
    </xf>
    <xf numFmtId="0" fontId="18" fillId="0" borderId="0" pivotButton="0" quotePrefix="0" xfId="0"/>
    <xf numFmtId="0" fontId="19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0" fontId="4" fillId="3" borderId="0" pivotButton="0" quotePrefix="0" xfId="0"/>
    <xf numFmtId="3" fontId="0" fillId="0" borderId="0" pivotButton="0" quotePrefix="0" xfId="0"/>
    <xf numFmtId="1" fontId="0" fillId="0" borderId="0" pivotButton="0" quotePrefix="0" xfId="0"/>
    <xf numFmtId="9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3" t="inlineStr">
        <is>
          <t>GardensSorted — Financial Headlines (v4 visits + VAT modes)</t>
        </is>
      </c>
    </row>
    <row r="2">
      <c r="A2" s="2" t="inlineStr">
        <is>
          <t>Calendar VAT quarters | seasonal churn | provider delay | referrals | inflation</t>
        </is>
      </c>
    </row>
    <row r="4">
      <c r="A4" s="25" t="inlineStr">
        <is>
          <t>KEY METRICS</t>
        </is>
      </c>
    </row>
    <row r="5">
      <c r="A5" s="52" t="inlineStr">
        <is>
          <t>Y1 ARR</t>
        </is>
      </c>
      <c r="B5" s="38" t="n"/>
      <c r="C5" s="52" t="inlineStr">
        <is>
          <t>Y2 ARR</t>
        </is>
      </c>
      <c r="D5" s="38" t="n"/>
      <c r="E5" s="52" t="inlineStr">
        <is>
          <t>Y5 ARR</t>
        </is>
      </c>
      <c r="F5" s="38" t="n"/>
      <c r="G5" s="52" t="inlineStr">
        <is>
          <t>Cash Y5</t>
        </is>
      </c>
      <c r="H5" s="38" t="n"/>
    </row>
    <row r="6">
      <c r="A6" s="28">
        <f>Model!AA16</f>
        <v/>
      </c>
      <c r="B6" s="38" t="n"/>
      <c r="C6" s="29">
        <f>Model!AA28</f>
        <v/>
      </c>
      <c r="D6" s="38" t="n"/>
      <c r="E6" s="29">
        <f>Model!AA64</f>
        <v/>
      </c>
      <c r="F6" s="38" t="n"/>
      <c r="G6" s="29">
        <f>Model!AS64</f>
        <v/>
      </c>
      <c r="H6" s="38" t="n"/>
    </row>
    <row r="8">
      <c r="A8" s="25" t="inlineStr">
        <is>
          <t>SNAPSHOT</t>
        </is>
      </c>
    </row>
    <row r="9">
      <c r="A9" s="8" t="inlineStr">
        <is>
          <t>Metric</t>
        </is>
      </c>
      <c r="B9" s="8" t="inlineStr">
        <is>
          <t>Year 1</t>
        </is>
      </c>
      <c r="C9" s="8" t="inlineStr">
        <is>
          <t>Year 2</t>
        </is>
      </c>
      <c r="D9" s="8" t="inlineStr">
        <is>
          <t>Year 5</t>
        </is>
      </c>
    </row>
    <row r="10">
      <c r="A10" s="12" t="inlineStr">
        <is>
          <t>End customers</t>
        </is>
      </c>
      <c r="B10" s="19">
        <f>Model!Y16</f>
        <v/>
      </c>
      <c r="C10" s="19">
        <f>Model!Y28</f>
        <v/>
      </c>
      <c r="D10" s="19">
        <f>Model!Y64</f>
        <v/>
      </c>
    </row>
    <row r="11">
      <c r="A11" s="12" t="inlineStr">
        <is>
          <t>ARR</t>
        </is>
      </c>
      <c r="B11" s="9">
        <f>Model!AA16</f>
        <v/>
      </c>
      <c r="C11" s="9">
        <f>Model!AA28</f>
        <v/>
      </c>
      <c r="D11" s="9">
        <f>Model!AA64</f>
        <v/>
      </c>
    </row>
    <row r="12">
      <c r="A12" s="12" t="inlineStr">
        <is>
          <t>Gross revenue</t>
        </is>
      </c>
      <c r="B12" s="9">
        <f>SUM(Model!AE5:AE16)</f>
        <v/>
      </c>
      <c r="C12" s="9">
        <f>SUM(Model!AE17:AE28)</f>
        <v/>
      </c>
      <c r="D12" s="9">
        <f>SUM(Model!AE53:AE64)</f>
        <v/>
      </c>
    </row>
    <row r="13">
      <c r="A13" s="12" t="inlineStr">
        <is>
          <t>Net revenue</t>
        </is>
      </c>
      <c r="B13" s="9">
        <f>SUM(Model!AH5:AH16)</f>
        <v/>
      </c>
      <c r="C13" s="9">
        <f>SUM(Model!AH17:AH28)</f>
        <v/>
      </c>
      <c r="D13" s="9">
        <f>SUM(Model!AH53:AH64)</f>
        <v/>
      </c>
    </row>
    <row r="14">
      <c r="A14" s="12" t="inlineStr">
        <is>
          <t>VAT paid (calendar Q)</t>
        </is>
      </c>
      <c r="B14" s="9">
        <f>SUM(Model!AJ5:AJ16)</f>
        <v/>
      </c>
      <c r="C14" s="9">
        <f>SUM(Model!AJ17:AJ28)</f>
        <v/>
      </c>
      <c r="D14" s="9">
        <f>SUM(Model!AJ53:AJ64)</f>
        <v/>
      </c>
    </row>
    <row r="15">
      <c r="A15" s="12" t="inlineStr">
        <is>
          <t>Annual profit</t>
        </is>
      </c>
      <c r="B15" s="9">
        <f>SUM(Model!AR5:AR16)</f>
        <v/>
      </c>
      <c r="C15" s="9">
        <f>SUM(Model!AR17:AR28)</f>
        <v/>
      </c>
      <c r="D15" s="9">
        <f>SUM(Model!AR53:AR64)</f>
        <v/>
      </c>
    </row>
    <row r="16">
      <c r="A16" s="12" t="inlineStr">
        <is>
          <t>Cash balance</t>
        </is>
      </c>
      <c r="B16" s="9">
        <f>Model!AS16</f>
        <v/>
      </c>
      <c r="C16" s="9">
        <f>Model!AS28</f>
        <v/>
      </c>
      <c r="D16" s="9">
        <f>Model!AS64</f>
        <v/>
      </c>
    </row>
    <row r="17">
      <c r="A17" s="12" t="inlineStr">
        <is>
          <t>Avg logo churn</t>
        </is>
      </c>
      <c r="B17" s="11">
        <f>AVERAGE(Model!AU6:AU16)</f>
        <v/>
      </c>
      <c r="C17" s="11">
        <f>AVERAGE(Model!AU18:AU28)</f>
        <v/>
      </c>
      <c r="D17" s="11">
        <f>AVERAGE(Model!AU54:AU64)</f>
        <v/>
      </c>
    </row>
    <row r="18">
      <c r="A18" s="12" t="inlineStr">
        <is>
          <t>Platform margin</t>
        </is>
      </c>
      <c r="B18" s="13">
        <f>'5 Year Summary'!T4</f>
        <v/>
      </c>
      <c r="C18" s="13">
        <f>'5 Year Summary'!T5</f>
        <v/>
      </c>
      <c r="D18" s="13">
        <f>'5 Year Summary'!T8</f>
        <v/>
      </c>
    </row>
    <row r="20">
      <c r="A20" s="25" t="inlineStr">
        <is>
          <t>MILESTONES</t>
        </is>
      </c>
    </row>
    <row r="21">
      <c r="A21" s="12" t="inlineStr">
        <is>
          <t>VAT registration</t>
        </is>
      </c>
      <c r="B21" s="12">
        <f>IFERROR("Month "&amp;MATCH(TRUE,Model!AG5:Model!AG64,0),"Not in 60 mo")</f>
        <v/>
      </c>
      <c r="C21" s="37" t="n"/>
      <c r="D21" s="38" t="n"/>
    </row>
    <row r="22">
      <c r="A22" s="12" t="inlineStr">
        <is>
          <t>First profitable month</t>
        </is>
      </c>
      <c r="B22" s="12">
        <f>IFERROR("Month "&amp;MATCH(1,IF(Model!AR5:AR64&gt;0,1),0),"Not in 60 mo")</f>
        <v/>
      </c>
      <c r="C22" s="37" t="n"/>
      <c r="D22" s="38" t="n"/>
    </row>
    <row r="23">
      <c r="A23" s="12" t="inlineStr">
        <is>
          <t>Cash payback £17k</t>
        </is>
      </c>
      <c r="B23" s="12">
        <f>IFERROR("Month "&amp;MATCH(1,IF(Model!AS5:AS64&gt;=InitialInvestment,1),0),"Not in 60 mo")</f>
        <v/>
      </c>
      <c r="C23" s="37" t="n"/>
      <c r="D23" s="38" t="n"/>
    </row>
    <row r="24">
      <c r="A24" s="12" t="inlineStr">
        <is>
          <t>Provider payment delay</t>
        </is>
      </c>
      <c r="B24" s="12">
        <f>ProviderDelay&amp;" month(s)"</f>
        <v/>
      </c>
      <c r="C24" s="37" t="n"/>
      <c r="D24" s="38" t="n"/>
    </row>
    <row r="25">
      <c r="A25" s="12" t="inlineStr">
        <is>
          <t>Fixed platform cost</t>
        </is>
      </c>
      <c r="B25" s="9">
        <f>MonthlyFixed</f>
        <v/>
      </c>
      <c r="C25" s="37" t="n"/>
      <c r="D25" s="38" t="n"/>
    </row>
    <row r="27">
      <c r="A27" s="53" t="inlineStr">
        <is>
          <t>MODEL COMPLETENESS</t>
        </is>
      </c>
    </row>
    <row r="28">
      <c r="A28" s="54" t="inlineStr">
        <is>
          <t>✓ SaaS cohorts — Essential / Premium / Elite tiers, monthly &amp; annual subs, MRR/ARR</t>
        </is>
      </c>
    </row>
    <row r="29">
      <c r="A29" s="54" t="inlineStr">
        <is>
          <t>✓ Visit cadence — 10/20/30 visits per year (provider pay = visits/12 × per-visit rate)</t>
        </is>
      </c>
    </row>
    <row r="30">
      <c r="A30" s="54" t="inlineStr">
        <is>
          <t>✓ Garden size mix — customer price &amp; provider pay uplifts for medium (+£10/+£3) and large (+£20/+£6)</t>
        </is>
      </c>
    </row>
    <row r="31">
      <c r="A31" s="54" t="inlineStr">
        <is>
          <t>✓ VAT — toggle Principal vs Agent on Inputs B66; see VAT Comparison sheet</t>
        </is>
      </c>
    </row>
    <row r="32">
      <c r="A32" s="54" t="n"/>
    </row>
    <row r="33">
      <c r="A33" s="54" t="inlineStr">
        <is>
          <t>✓ Per-customer ops/AI £5/mo | Marketing phased with cash cap | No salaries (AI ops)</t>
        </is>
      </c>
    </row>
    <row r="34">
      <c r="A34" t="inlineStr">
        <is>
          <t>✓ Sensitivity tabs — churn, mix, CAC, scenarios, winter pivot</t>
        </is>
      </c>
    </row>
    <row r="36">
      <c r="A36" s="43" t="inlineStr">
        <is>
          <t>NOT MODELLED (by design or later)</t>
        </is>
      </c>
    </row>
    <row r="37">
      <c r="A37" s="44" t="inlineStr">
        <is>
          <t>• Corporation tax (~19–25%) — add when consistently profitable</t>
        </is>
      </c>
    </row>
    <row r="38">
      <c r="A38" s="44" t="inlineStr">
        <is>
          <t>• Route density / travel efficiency in clustered postcodes</t>
        </is>
      </c>
    </row>
    <row r="39">
      <c r="A39" s="44" t="inlineStr">
        <is>
          <t>• Cross-sell to other Sorted brands | Geographic rollout phasing</t>
        </is>
      </c>
    </row>
    <row r="40">
      <c r="A40" s="44" t="inlineStr">
        <is>
          <t>• HMRC exact deadline (+1 mo 7 days) — model pays in Jan/Apr/Jul/Oct cal months</t>
        </is>
      </c>
    </row>
    <row r="41">
      <c r="A41" s="44" t="inlineStr">
        <is>
          <t>• Sensitivity tabs now use full model engine (Scenario Engine sheet)</t>
        </is>
      </c>
    </row>
    <row r="43">
      <c r="A43" s="25" t="inlineStr">
        <is>
          <t>WHERE TO GO NEXT</t>
        </is>
      </c>
    </row>
    <row r="44">
      <c r="A44" s="45" t="inlineStr">
        <is>
          <t>Inputs</t>
        </is>
      </c>
      <c r="B44" s="46" t="inlineStr">
        <is>
          <t>All assumptions</t>
        </is>
      </c>
    </row>
    <row r="45">
      <c r="A45" s="45" t="inlineStr">
        <is>
          <t>5 Year Summary</t>
        </is>
      </c>
      <c r="B45" s="46" t="inlineStr">
        <is>
          <t>Annual P&amp;L</t>
        </is>
      </c>
    </row>
    <row r="46">
      <c r="A46" s="45" t="inlineStr">
        <is>
          <t>24 Month Forecast</t>
        </is>
      </c>
      <c r="B46" s="46" t="inlineStr">
        <is>
          <t>Monthly detail</t>
        </is>
      </c>
    </row>
    <row r="47">
      <c r="A47" s="45" t="inlineStr">
        <is>
          <t>Unit Economics</t>
        </is>
      </c>
      <c r="B47" s="46" t="inlineStr">
        <is>
          <t>LTV &amp; CAC</t>
        </is>
      </c>
    </row>
  </sheetData>
  <mergeCells count="31">
    <mergeCell ref="A30:H30"/>
    <mergeCell ref="C6:D6"/>
    <mergeCell ref="A39:H39"/>
    <mergeCell ref="B23:D23"/>
    <mergeCell ref="C5:D5"/>
    <mergeCell ref="E5:F5"/>
    <mergeCell ref="A1:H1"/>
    <mergeCell ref="A6:B6"/>
    <mergeCell ref="B45:E45"/>
    <mergeCell ref="A41:H41"/>
    <mergeCell ref="B47:E47"/>
    <mergeCell ref="G6:H6"/>
    <mergeCell ref="A37:H37"/>
    <mergeCell ref="B46:E46"/>
    <mergeCell ref="B24:D24"/>
    <mergeCell ref="E6:F6"/>
    <mergeCell ref="A2:H2"/>
    <mergeCell ref="A5:B5"/>
    <mergeCell ref="G5:H5"/>
    <mergeCell ref="A33:H33"/>
    <mergeCell ref="A32:H32"/>
    <mergeCell ref="B25:D25"/>
    <mergeCell ref="A29:H29"/>
    <mergeCell ref="A34:H34"/>
    <mergeCell ref="B22:D22"/>
    <mergeCell ref="A38:H38"/>
    <mergeCell ref="B44:E44"/>
    <mergeCell ref="A28:H28"/>
    <mergeCell ref="B21:D21"/>
    <mergeCell ref="A31:H3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VAT — Principal vs Agent</t>
        </is>
      </c>
    </row>
    <row r="3">
      <c r="A3" s="2" t="inlineStr">
        <is>
          <t>Parallel comparison using Model gross revenue and provider pay. Toggle live model on Inputs B66: 0 = Principal (VAT on gross), 1 = Agent (VAT on margin only).</t>
        </is>
      </c>
    </row>
    <row r="4">
      <c r="A4" s="2" t="inlineStr">
        <is>
          <t>See docs/vat-principal-vs-agent.md — accountant review required before filing.</t>
        </is>
      </c>
    </row>
    <row r="6">
      <c r="A6" s="22" t="inlineStr">
        <is>
          <t>Year</t>
        </is>
      </c>
      <c r="B6" s="22" t="inlineStr">
        <is>
          <t>Gross revenue</t>
        </is>
      </c>
      <c r="C6" s="22" t="inlineStr">
        <is>
          <t>Provider pay</t>
        </is>
      </c>
      <c r="D6" s="22" t="inlineStr">
        <is>
          <t>Platform margin</t>
        </is>
      </c>
      <c r="E6" s="22" t="inlineStr">
        <is>
          <t>VAT registered (P)</t>
        </is>
      </c>
      <c r="F6" s="22" t="inlineStr">
        <is>
          <t>VAT registered (A)</t>
        </is>
      </c>
      <c r="G6" s="22" t="inlineStr">
        <is>
          <t>VAT accrued (P)</t>
        </is>
      </c>
      <c r="H6" s="22" t="inlineStr">
        <is>
          <t>VAT accrued (A)</t>
        </is>
      </c>
      <c r="I6" s="22" t="inlineStr">
        <is>
          <t>Net revenue (P)</t>
        </is>
      </c>
      <c r="J6" s="22" t="inlineStr">
        <is>
          <t>Net revenue (A)</t>
        </is>
      </c>
      <c r="K6" s="22" t="inlineStr">
        <is>
          <t>Gross profit (P)</t>
        </is>
      </c>
      <c r="L6" s="22" t="inlineStr">
        <is>
          <t>Gross profit (A)</t>
        </is>
      </c>
      <c r="M6" s="22" t="inlineStr">
        <is>
          <t>GP uplift (A vs P)</t>
        </is>
      </c>
    </row>
    <row r="7">
      <c r="A7" t="inlineStr">
        <is>
          <t>Year 1</t>
        </is>
      </c>
      <c r="B7" s="21">
        <f>SUM('VAT Dual Calc'!B5:B16)</f>
        <v/>
      </c>
      <c r="C7" s="21">
        <f>SUM('VAT Dual Calc'!C5:C16)</f>
        <v/>
      </c>
      <c r="D7" s="21">
        <f>B7-C7</f>
        <v/>
      </c>
      <c r="E7" s="71">
        <f>'VAT Dual Calc'!G16</f>
        <v/>
      </c>
      <c r="F7" s="71">
        <f>'VAT Dual Calc'!H16</f>
        <v/>
      </c>
      <c r="G7" s="21">
        <f>SUM('VAT Dual Calc'!I5:I16)</f>
        <v/>
      </c>
      <c r="H7" s="21">
        <f>SUM('VAT Dual Calc'!J5:J16)</f>
        <v/>
      </c>
      <c r="I7" s="21">
        <f>SUM('VAT Dual Calc'!K5:K16)</f>
        <v/>
      </c>
      <c r="J7" s="21">
        <f>SUM('VAT Dual Calc'!L5:L16)</f>
        <v/>
      </c>
      <c r="K7" s="21">
        <f>SUM('VAT Dual Calc'!M5:M16)</f>
        <v/>
      </c>
      <c r="L7" s="21">
        <f>SUM('VAT Dual Calc'!N5:N16)</f>
        <v/>
      </c>
      <c r="M7" s="21">
        <f>L7-K7</f>
        <v/>
      </c>
    </row>
    <row r="8">
      <c r="A8" t="inlineStr">
        <is>
          <t>Year 2</t>
        </is>
      </c>
      <c r="B8" s="21">
        <f>SUM('VAT Dual Calc'!B17:B28)</f>
        <v/>
      </c>
      <c r="C8" s="21">
        <f>SUM('VAT Dual Calc'!C17:C28)</f>
        <v/>
      </c>
      <c r="D8" s="21">
        <f>B8-C8</f>
        <v/>
      </c>
      <c r="E8" s="71">
        <f>'VAT Dual Calc'!G28</f>
        <v/>
      </c>
      <c r="F8" s="71">
        <f>'VAT Dual Calc'!H28</f>
        <v/>
      </c>
      <c r="G8" s="21">
        <f>SUM('VAT Dual Calc'!I17:I28)</f>
        <v/>
      </c>
      <c r="H8" s="21">
        <f>SUM('VAT Dual Calc'!J17:J28)</f>
        <v/>
      </c>
      <c r="I8" s="21">
        <f>SUM('VAT Dual Calc'!K17:K28)</f>
        <v/>
      </c>
      <c r="J8" s="21">
        <f>SUM('VAT Dual Calc'!L17:L28)</f>
        <v/>
      </c>
      <c r="K8" s="21">
        <f>SUM('VAT Dual Calc'!M17:M28)</f>
        <v/>
      </c>
      <c r="L8" s="21">
        <f>SUM('VAT Dual Calc'!N17:N28)</f>
        <v/>
      </c>
      <c r="M8" s="21">
        <f>L8-K8</f>
        <v/>
      </c>
    </row>
    <row r="9">
      <c r="A9" t="inlineStr">
        <is>
          <t>Year 3</t>
        </is>
      </c>
      <c r="B9" s="21">
        <f>SUM('VAT Dual Calc'!B29:B40)</f>
        <v/>
      </c>
      <c r="C9" s="21">
        <f>SUM('VAT Dual Calc'!C29:C40)</f>
        <v/>
      </c>
      <c r="D9" s="21">
        <f>B9-C9</f>
        <v/>
      </c>
      <c r="E9" s="71">
        <f>'VAT Dual Calc'!G40</f>
        <v/>
      </c>
      <c r="F9" s="71">
        <f>'VAT Dual Calc'!H40</f>
        <v/>
      </c>
      <c r="G9" s="21">
        <f>SUM('VAT Dual Calc'!I29:I40)</f>
        <v/>
      </c>
      <c r="H9" s="21">
        <f>SUM('VAT Dual Calc'!J29:J40)</f>
        <v/>
      </c>
      <c r="I9" s="21">
        <f>SUM('VAT Dual Calc'!K29:K40)</f>
        <v/>
      </c>
      <c r="J9" s="21">
        <f>SUM('VAT Dual Calc'!L29:L40)</f>
        <v/>
      </c>
      <c r="K9" s="21">
        <f>SUM('VAT Dual Calc'!M29:M40)</f>
        <v/>
      </c>
      <c r="L9" s="21">
        <f>SUM('VAT Dual Calc'!N29:N40)</f>
        <v/>
      </c>
      <c r="M9" s="21">
        <f>L9-K9</f>
        <v/>
      </c>
    </row>
    <row r="10">
      <c r="A10" t="inlineStr">
        <is>
          <t>Year 4</t>
        </is>
      </c>
      <c r="B10" s="21">
        <f>SUM('VAT Dual Calc'!B41:B52)</f>
        <v/>
      </c>
      <c r="C10" s="21">
        <f>SUM('VAT Dual Calc'!C41:C52)</f>
        <v/>
      </c>
      <c r="D10" s="21">
        <f>B10-C10</f>
        <v/>
      </c>
      <c r="E10" s="71">
        <f>'VAT Dual Calc'!G52</f>
        <v/>
      </c>
      <c r="F10" s="71">
        <f>'VAT Dual Calc'!H52</f>
        <v/>
      </c>
      <c r="G10" s="21">
        <f>SUM('VAT Dual Calc'!I41:I52)</f>
        <v/>
      </c>
      <c r="H10" s="21">
        <f>SUM('VAT Dual Calc'!J41:J52)</f>
        <v/>
      </c>
      <c r="I10" s="21">
        <f>SUM('VAT Dual Calc'!K41:K52)</f>
        <v/>
      </c>
      <c r="J10" s="21">
        <f>SUM('VAT Dual Calc'!L41:L52)</f>
        <v/>
      </c>
      <c r="K10" s="21">
        <f>SUM('VAT Dual Calc'!M41:M52)</f>
        <v/>
      </c>
      <c r="L10" s="21">
        <f>SUM('VAT Dual Calc'!N41:N52)</f>
        <v/>
      </c>
      <c r="M10" s="21">
        <f>L10-K10</f>
        <v/>
      </c>
    </row>
    <row r="11">
      <c r="A11" t="inlineStr">
        <is>
          <t>Year 5</t>
        </is>
      </c>
      <c r="B11" s="21">
        <f>SUM('VAT Dual Calc'!B53:B64)</f>
        <v/>
      </c>
      <c r="C11" s="21">
        <f>SUM('VAT Dual Calc'!C53:C64)</f>
        <v/>
      </c>
      <c r="D11" s="21">
        <f>B11-C11</f>
        <v/>
      </c>
      <c r="E11" s="71">
        <f>'VAT Dual Calc'!G64</f>
        <v/>
      </c>
      <c r="F11" s="71">
        <f>'VAT Dual Calc'!H64</f>
        <v/>
      </c>
      <c r="G11" s="21">
        <f>SUM('VAT Dual Calc'!I53:I64)</f>
        <v/>
      </c>
      <c r="H11" s="21">
        <f>SUM('VAT Dual Calc'!J53:J64)</f>
        <v/>
      </c>
      <c r="I11" s="21">
        <f>SUM('VAT Dual Calc'!K53:K64)</f>
        <v/>
      </c>
      <c r="J11" s="21">
        <f>SUM('VAT Dual Calc'!L53:L64)</f>
        <v/>
      </c>
      <c r="K11" s="21">
        <f>SUM('VAT Dual Calc'!M53:M64)</f>
        <v/>
      </c>
      <c r="L11" s="21">
        <f>SUM('VAT Dual Calc'!N53:N64)</f>
        <v/>
      </c>
      <c r="M11" s="21">
        <f>L11-K11</f>
        <v/>
      </c>
    </row>
    <row r="14">
      <c r="A14" t="inlineStr">
        <is>
          <t>First VAT registration month (Principal)</t>
        </is>
      </c>
      <c r="B14">
        <f>IFERROR(MATCH(TRUE,'VAT Dual Calc'!G5:G64,0)+4,"Not in 60 mo")</f>
        <v/>
      </c>
    </row>
    <row r="15">
      <c r="A15" t="inlineStr">
        <is>
          <t>First VAT registration month (Agent)</t>
        </is>
      </c>
      <c r="B15">
        <f>IFERROR(MATCH(TRUE,'VAT Dual Calc'!H5:H64,0)+4,"Not in 60 mo")</f>
        <v/>
      </c>
    </row>
    <row r="17">
      <c r="A17" t="inlineStr">
        <is>
          <t>Current model mode</t>
        </is>
      </c>
      <c r="B17">
        <f>IF(VATAgentMode=1,"Agent (margin VAT)","Principal (gross VAT)")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</cols>
  <sheetData>
    <row r="1">
      <c r="A1" s="1" t="inlineStr">
        <is>
          <t>Assumptions &amp; Methodology v4 (10/20/30 visits per year + VAT modes)</t>
        </is>
      </c>
    </row>
    <row r="2">
      <c r="A2" s="2" t="inlineStr">
        <is>
          <t>Edit yellow cells on the Inputs sheet — all tabs update automatically.</t>
        </is>
      </c>
    </row>
    <row r="4">
      <c r="A4" s="3" t="inlineStr">
        <is>
          <t>Parameter</t>
        </is>
      </c>
      <c r="B4" s="3" t="inlineStr">
        <is>
          <t>Live Value</t>
        </is>
      </c>
      <c r="C4" s="3" t="inlineStr">
        <is>
          <t>Notes</t>
        </is>
      </c>
    </row>
    <row r="5">
      <c r="A5" t="inlineStr">
        <is>
          <t>Initial investment</t>
        </is>
      </c>
      <c r="B5" s="12">
        <f>InitialInvestment</f>
        <v/>
      </c>
      <c r="C5" s="2" t="inlineStr">
        <is>
          <t>Total startup capital</t>
        </is>
      </c>
    </row>
    <row r="6">
      <c r="A6" t="inlineStr">
        <is>
          <t>Essential Monthly</t>
        </is>
      </c>
      <c r="B6" s="10">
        <f>PriceEssMonthly</f>
        <v/>
      </c>
      <c r="C6" s="2" t="inlineStr">
        <is>
          <t>10 visits/yr — 3-month minimum</t>
        </is>
      </c>
    </row>
    <row r="7">
      <c r="A7" t="inlineStr">
        <is>
          <t>Premium Monthly</t>
        </is>
      </c>
      <c r="B7" s="10">
        <f>PricePremMonthly</f>
        <v/>
      </c>
      <c r="C7" s="2" t="inlineStr">
        <is>
          <t>20 visits/yr — 3-month minimum</t>
        </is>
      </c>
    </row>
    <row r="8">
      <c r="A8" t="inlineStr">
        <is>
          <t>Elite Monthly</t>
        </is>
      </c>
      <c r="B8" s="10">
        <f>PriceEliteMonthly</f>
        <v/>
      </c>
      <c r="C8" s="2" t="inlineStr">
        <is>
          <t>30 visits/yr + patio refresh — 3-month minimum</t>
        </is>
      </c>
    </row>
    <row r="9">
      <c r="A9" t="inlineStr">
        <is>
          <t>Essential Annual</t>
        </is>
      </c>
      <c r="B9" s="10">
        <f>PriceEssAnnual</f>
        <v/>
      </c>
      <c r="C9" s="2" t="inlineStr">
        <is>
          <t>12-month commitment</t>
        </is>
      </c>
    </row>
    <row r="10">
      <c r="A10" t="inlineStr">
        <is>
          <t>Premium Annual</t>
        </is>
      </c>
      <c r="B10" s="12">
        <f>PricePremAnnual</f>
        <v/>
      </c>
      <c r="C10" s="2" t="inlineStr">
        <is>
          <t>12-month commitment</t>
        </is>
      </c>
    </row>
    <row r="11">
      <c r="A11" t="inlineStr">
        <is>
          <t>Elite Annual</t>
        </is>
      </c>
      <c r="B11" s="12">
        <f>PriceEliteAnnual</f>
        <v/>
      </c>
      <c r="C11" s="2" t="inlineStr">
        <is>
          <t>12-month commitment</t>
        </is>
      </c>
    </row>
    <row r="12">
      <c r="A12" t="inlineStr">
        <is>
          <t>Annual plan mix</t>
        </is>
      </c>
      <c r="B12" s="11">
        <f>AnnualMix</f>
        <v/>
      </c>
      <c r="C12" s="2" t="inlineStr">
        <is>
          <t>Industry B2C: 15–25%</t>
        </is>
      </c>
    </row>
    <row r="13">
      <c r="A13" t="inlineStr">
        <is>
          <t>Essential tier mix</t>
        </is>
      </c>
      <c r="B13" s="13">
        <f>EssentialMix</f>
        <v/>
      </c>
      <c r="C13" s="2" t="inlineStr">
        <is>
          <t>Share of new customers</t>
        </is>
      </c>
    </row>
    <row r="14">
      <c r="A14" t="inlineStr">
        <is>
          <t>Premium tier mix</t>
        </is>
      </c>
      <c r="B14" s="10">
        <f>PremiumMix</f>
        <v/>
      </c>
      <c r="C14" s="2" t="inlineStr">
        <is>
          <t>Share of new customers</t>
        </is>
      </c>
    </row>
    <row r="15">
      <c r="A15" t="inlineStr">
        <is>
          <t>Elite tier mix</t>
        </is>
      </c>
      <c r="B15" s="13">
        <f>EliteMix</f>
        <v/>
      </c>
      <c r="C15" s="2" t="inlineStr">
        <is>
          <t>Share of new customers</t>
        </is>
      </c>
    </row>
    <row r="16">
      <c r="A16" t="inlineStr">
        <is>
          <t>Small garden mix</t>
        </is>
      </c>
      <c r="B16" s="13">
        <f>GardenSmallMix</f>
        <v/>
      </c>
      <c r="C16" s="2" t="inlineStr">
        <is>
          <t>Customer &amp; provider blend</t>
        </is>
      </c>
    </row>
    <row r="17">
      <c r="A17" t="inlineStr">
        <is>
          <t>Medium garden mix</t>
        </is>
      </c>
      <c r="B17" s="10">
        <f>GardenMediumMix</f>
        <v/>
      </c>
      <c r="C17" s="2" t="inlineStr">
        <is>
          <t>+£10/mo customer, +£3/visit provider</t>
        </is>
      </c>
    </row>
    <row r="18">
      <c r="A18" t="inlineStr">
        <is>
          <t>Large garden mix</t>
        </is>
      </c>
      <c r="B18">
        <f>GardenLargeMix</f>
        <v/>
      </c>
      <c r="C18" t="inlineStr">
        <is>
          <t>+£20/mo customer, +£6/visit provider</t>
        </is>
      </c>
    </row>
    <row r="19">
      <c r="A19" t="inlineStr">
        <is>
          <t>Monthly churn (post min term)</t>
        </is>
      </c>
      <c r="B19">
        <f>MonthlyChurn</f>
        <v/>
      </c>
      <c r="C19" t="inlineStr">
        <is>
          <t>Home services B2C: 4–7%/mo</t>
        </is>
      </c>
    </row>
    <row r="20">
      <c r="A20" t="inlineStr">
        <is>
          <t>Annual churn (at renewal)</t>
        </is>
      </c>
      <c r="B20">
        <f>AnnualChurn</f>
        <v/>
      </c>
      <c r="C20" t="inlineStr">
        <is>
          <t>B2C annual: 15–25%</t>
        </is>
      </c>
    </row>
    <row r="21">
      <c r="A21" t="inlineStr">
        <is>
          <t>CAC</t>
        </is>
      </c>
      <c r="B21" s="12">
        <f>CAC</f>
        <v/>
      </c>
      <c r="C21" s="2" t="inlineStr">
        <is>
          <t>Paid acquisition</t>
        </is>
      </c>
    </row>
    <row r="22">
      <c r="A22" s="3" t="inlineStr">
        <is>
          <t>Provider pay — Essential (small)</t>
        </is>
      </c>
      <c r="B22" s="12">
        <f>ProvPayEss</f>
        <v/>
      </c>
      <c r="C22" s="2" t="inlineStr">
        <is>
          <t>10 visits/yr × £15/visit ÷ 12</t>
        </is>
      </c>
    </row>
    <row r="23">
      <c r="A23" t="inlineStr">
        <is>
          <t>Provider pay — Premium (small)</t>
        </is>
      </c>
      <c r="B23" s="12">
        <f>ProvPayPrem</f>
        <v/>
      </c>
      <c r="C23" s="2" t="inlineStr">
        <is>
          <t>20 visits/yr × £15/visit ÷ 12</t>
        </is>
      </c>
    </row>
    <row r="24">
      <c r="A24" t="inlineStr">
        <is>
          <t>Provider pay — Elite (small)</t>
        </is>
      </c>
      <c r="B24" s="12">
        <f>ProvPayElite</f>
        <v/>
      </c>
      <c r="C24" s="2" t="inlineStr">
        <is>
          <t>30 visits/yr × £15/visit ÷ 12</t>
        </is>
      </c>
    </row>
    <row r="25">
      <c r="A25" t="inlineStr">
        <is>
          <t>Blended provider pay — Essential</t>
        </is>
      </c>
      <c r="B25" s="12">
        <f>BlendedProvPayEss</f>
        <v/>
      </c>
      <c r="C25" s="2" t="inlineStr">
        <is>
          <t>Garden-size weighted</t>
        </is>
      </c>
    </row>
    <row r="26">
      <c r="A26" t="inlineStr">
        <is>
          <t>Blended provider pay — Premium</t>
        </is>
      </c>
      <c r="B26" s="12">
        <f>BlendedProvPayPrem</f>
        <v/>
      </c>
      <c r="C26" s="2" t="inlineStr">
        <is>
          <t>Garden-size weighted</t>
        </is>
      </c>
    </row>
    <row r="27">
      <c r="A27" t="inlineStr">
        <is>
          <t>Blended provider pay — Elite</t>
        </is>
      </c>
      <c r="B27" s="58">
        <f>BlendedProvPayElite</f>
        <v/>
      </c>
      <c r="C27" s="2" t="inlineStr">
        <is>
          <t>Garden-size weighted</t>
        </is>
      </c>
    </row>
    <row r="28">
      <c r="A28" t="inlineStr">
        <is>
          <t>Payment fees</t>
        </is>
      </c>
      <c r="B28" s="58">
        <f>PaymentFee</f>
        <v/>
      </c>
      <c r="C28" s="2" t="inlineStr">
        <is>
          <t>Stripe processing</t>
        </is>
      </c>
    </row>
    <row r="29">
      <c r="A29" t="inlineStr">
        <is>
          <t>Ops + AI per customer</t>
        </is>
      </c>
      <c r="B29" s="12">
        <f>OpsAI</f>
        <v/>
      </c>
      <c r="C29" s="2" t="inlineStr">
        <is>
          <t>Per active subscriber/month</t>
        </is>
      </c>
    </row>
    <row r="30">
      <c r="A30" t="inlineStr">
        <is>
          <t>VAT agent mode</t>
        </is>
      </c>
      <c r="B30">
        <f>VATAgentMode</f>
        <v/>
      </c>
      <c r="C30" t="inlineStr">
        <is>
          <t>0=Principal (VAT on gross), 1=Agent (VAT on margin)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1" t="inlineStr">
        <is>
          <t>Sorted — SaaS Forecast v4 (10/20/30 visits per year + VAT principal/agent)</t>
        </is>
      </c>
    </row>
    <row r="2">
      <c r="A2" s="2" t="inlineStr">
        <is>
          <t>All forecast sheets recalculate automatically when you change inputs below.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Notes</t>
        </is>
      </c>
    </row>
    <row r="4">
      <c r="A4" s="3" t="inlineStr">
        <is>
          <t>INITIAL INVESTMENT</t>
        </is>
      </c>
    </row>
    <row r="5">
      <c r="A5" t="inlineStr">
        <is>
          <t>Initial investment (£)</t>
        </is>
      </c>
      <c r="B5" s="4" t="n">
        <v>17000</v>
      </c>
      <c r="C5" s="2" t="inlineStr">
        <is>
          <t>Total startup capital available</t>
        </is>
      </c>
    </row>
    <row r="7">
      <c r="A7" s="3" t="inlineStr">
        <is>
          <t>SUBSCRIPTION PRICING</t>
        </is>
      </c>
    </row>
    <row r="8">
      <c r="A8" t="inlineStr">
        <is>
          <t>Essential Monthly (£/mo, small)</t>
        </is>
      </c>
      <c r="B8" s="5" t="n">
        <v>29.95</v>
      </c>
      <c r="C8" s="2" t="inlineStr">
        <is>
          <t>10 visits/yr — medium +£10, large +£20</t>
        </is>
      </c>
    </row>
    <row r="9">
      <c r="A9" t="inlineStr">
        <is>
          <t>Premium Monthly (£/mo, small)</t>
        </is>
      </c>
      <c r="B9" s="5" t="n">
        <v>54.95</v>
      </c>
      <c r="C9" s="2" t="inlineStr">
        <is>
          <t>20 visits/yr — medium +£10, large +£20</t>
        </is>
      </c>
    </row>
    <row r="10">
      <c r="A10" t="inlineStr">
        <is>
          <t>Elite Monthly (£/mo, small)</t>
        </is>
      </c>
      <c r="B10" s="5" t="n">
        <v>89.95</v>
      </c>
      <c r="C10" s="2" t="inlineStr">
        <is>
          <t>30 visits/yr + patio refresh — medium +£10, large +£20</t>
        </is>
      </c>
    </row>
    <row r="11">
      <c r="A11" t="inlineStr">
        <is>
          <t>Essential Annual (£/yr, small)</t>
        </is>
      </c>
      <c r="B11" s="5" t="n">
        <v>299.95</v>
      </c>
      <c r="C11" s="2" t="inlineStr">
        <is>
          <t>medium +£100, large +£200</t>
        </is>
      </c>
    </row>
    <row r="12">
      <c r="A12" t="inlineStr">
        <is>
          <t>Premium Annual (£/yr, small)</t>
        </is>
      </c>
      <c r="B12" s="66" t="n">
        <v>549.95</v>
      </c>
      <c r="C12" t="inlineStr">
        <is>
          <t>medium +£100, large +£200</t>
        </is>
      </c>
    </row>
    <row r="13">
      <c r="A13" t="inlineStr">
        <is>
          <t>Elite Annual (£/yr, small)</t>
        </is>
      </c>
      <c r="B13" s="66" t="n">
        <v>899.95</v>
      </c>
      <c r="C13" t="inlineStr">
        <is>
          <t>medium +£100, large +£200</t>
        </is>
      </c>
    </row>
    <row r="14"/>
    <row r="15">
      <c r="A15" s="3" t="inlineStr">
        <is>
          <t>PLAN MIX</t>
        </is>
      </c>
    </row>
    <row r="16">
      <c r="A16" t="inlineStr">
        <is>
          <t>Annual plan mix (%)</t>
        </is>
      </c>
      <c r="B16" s="72" t="n">
        <v>0.2</v>
      </c>
      <c r="C16" s="2" t="inlineStr">
        <is>
          <t>Industry B2C benchmark: 15–25%</t>
        </is>
      </c>
    </row>
    <row r="17">
      <c r="A17" t="inlineStr">
        <is>
          <t>Essential tier mix (%)</t>
        </is>
      </c>
      <c r="B17" s="67" t="n">
        <v>0.55</v>
      </c>
      <c r="C17" t="inlineStr">
        <is>
          <t>Share of new customers within billing type</t>
        </is>
      </c>
    </row>
    <row r="18">
      <c r="A18" t="inlineStr">
        <is>
          <t>Premium tier mix (%)</t>
        </is>
      </c>
      <c r="B18" s="67" t="n">
        <v>0.32</v>
      </c>
      <c r="C18" t="inlineStr">
        <is>
          <t>Share of new customers within billing type</t>
        </is>
      </c>
    </row>
    <row r="19">
      <c r="A19" t="inlineStr">
        <is>
          <t>Elite tier mix (%)</t>
        </is>
      </c>
      <c r="B19" s="67" t="n">
        <v>0.13</v>
      </c>
      <c r="C19" t="inlineStr">
        <is>
          <t>Share of new customers within billing type</t>
        </is>
      </c>
    </row>
    <row r="20">
      <c r="A20" s="3" t="inlineStr">
        <is>
          <t>GARDEN SIZE MIX</t>
        </is>
      </c>
    </row>
    <row r="21">
      <c r="A21" t="inlineStr">
        <is>
          <t>Small garden mix (%)</t>
        </is>
      </c>
      <c r="B21" s="67" t="n">
        <v>0.5</v>
      </c>
      <c r="C21" t="inlineStr">
        <is>
          <t>Up to 75 m²</t>
        </is>
      </c>
    </row>
    <row r="22">
      <c r="A22" t="inlineStr">
        <is>
          <t>Medium garden mix (%)</t>
        </is>
      </c>
      <c r="B22" s="67" t="n">
        <v>0.35</v>
      </c>
      <c r="C22" t="inlineStr">
        <is>
          <t>75–150 m² (+£10/mo customer, +£3/visit provider)</t>
        </is>
      </c>
    </row>
    <row r="23">
      <c r="A23" t="inlineStr">
        <is>
          <t>Large garden mix (%)</t>
        </is>
      </c>
      <c r="B23" s="67" t="n">
        <v>0.15</v>
      </c>
      <c r="C23" t="inlineStr">
        <is>
          <t>150+ m² (+£20/mo customer, +£6/visit provider)</t>
        </is>
      </c>
    </row>
    <row r="24">
      <c r="A24" s="3" t="inlineStr">
        <is>
          <t>CHURN (edit for sensitivity)</t>
        </is>
      </c>
    </row>
    <row r="25">
      <c r="A25" t="inlineStr">
        <is>
          <t>Monthly plan churn — post min term (%/mo)</t>
        </is>
      </c>
      <c r="B25" s="7" t="n">
        <v>0.055</v>
      </c>
      <c r="C25" s="2" t="inlineStr">
        <is>
          <t>Home services B2C: 4–7%. Applied after month 3.</t>
        </is>
      </c>
    </row>
    <row r="26">
      <c r="A26" t="inlineStr">
        <is>
          <t>Annual plan churn — at renewal (%/yr)</t>
        </is>
      </c>
      <c r="B26" s="6" t="n">
        <v>0.2</v>
      </c>
      <c r="C26" s="2" t="inlineStr">
        <is>
          <t>B2C annual renewal: 15–25%</t>
        </is>
      </c>
    </row>
    <row r="27"/>
    <row r="28">
      <c r="A28" s="3" t="inlineStr">
        <is>
          <t>UNIT ECONOMICS</t>
        </is>
      </c>
    </row>
    <row r="29">
      <c r="A29" t="inlineStr">
        <is>
          <t>Customer Acquisition Cost — CAC (£)</t>
        </is>
      </c>
      <c r="B29" s="4" t="n">
        <v>70</v>
      </c>
      <c r="C29" s="2" t="inlineStr">
        <is>
          <t>Paid acquisition per customer</t>
        </is>
      </c>
    </row>
    <row r="30">
      <c r="A30" t="inlineStr">
        <is>
          <t>Provider pay — Essential (£/mo, small garden)</t>
        </is>
      </c>
      <c r="B30" s="6" t="n">
        <v>12.5</v>
      </c>
      <c r="C30" s="2" t="inlineStr">
        <is>
          <t>10 visits/yr × £15/visit ÷ 12</t>
        </is>
      </c>
    </row>
    <row r="31">
      <c r="A31" t="inlineStr">
        <is>
          <t>Provider pay — Premium (£/mo, small garden)</t>
        </is>
      </c>
      <c r="B31" s="7" t="n">
        <v>25</v>
      </c>
      <c r="C31" s="2" t="inlineStr">
        <is>
          <t>20 visits/yr × £15/visit ÷ 12</t>
        </is>
      </c>
    </row>
    <row r="32">
      <c r="A32" t="inlineStr">
        <is>
          <t>Provider pay — Elite (£/mo, small garden)</t>
        </is>
      </c>
      <c r="B32" s="66" t="n">
        <v>37.5</v>
      </c>
      <c r="C32" t="inlineStr">
        <is>
          <t>30 visits/yr × £15/visit ÷ 12</t>
        </is>
      </c>
    </row>
    <row r="33">
      <c r="A33" t="inlineStr">
        <is>
          <t>Payment processing fee (%)</t>
        </is>
      </c>
      <c r="B33" s="67" t="n">
        <v>0.03</v>
      </c>
      <c r="C33" t="inlineStr">
        <is>
          <t>Stripe/card fees</t>
        </is>
      </c>
    </row>
    <row r="34">
      <c r="A34" t="inlineStr">
        <is>
          <t>Ops + AI cost per customer (£/mo)</t>
        </is>
      </c>
      <c r="B34" s="5" t="n">
        <v>5</v>
      </c>
      <c r="C34" s="2" t="inlineStr">
        <is>
          <t>Support, hosting, AI per active sub</t>
        </is>
      </c>
    </row>
    <row r="35">
      <c r="A35" s="3" t="inlineStr">
        <is>
          <t>CASH TIMING</t>
        </is>
      </c>
    </row>
    <row r="36">
      <c r="A36" s="3" t="inlineStr">
        <is>
          <t>CASH TIMING</t>
        </is>
      </c>
      <c r="B36" s="56" t="n">
        <v>1</v>
      </c>
      <c r="C36" s="2" t="inlineStr">
        <is>
          <t>Providers invoiced ~30 days after service — cash float benefit</t>
        </is>
      </c>
    </row>
    <row r="37">
      <c r="A37" t="inlineStr">
        <is>
          <t>Provider payment delay (months)</t>
        </is>
      </c>
      <c r="B37" s="4" t="n">
        <v>1</v>
      </c>
      <c r="C37" s="2" t="inlineStr">
        <is>
          <t>Hosting, AI base, tools — excludes per-customer ops</t>
        </is>
      </c>
    </row>
    <row r="38">
      <c r="A38" t="inlineStr">
        <is>
          <t>Monthly fixed platform cost (£)</t>
        </is>
      </c>
      <c r="B38" s="4" t="n">
        <v>250</v>
      </c>
      <c r="C38" s="2" t="inlineStr">
        <is>
          <t>Jan/Apr/Jul/Oct for preceding calendar quarter (UK)</t>
        </is>
      </c>
    </row>
    <row r="39">
      <c r="A39" s="3" t="inlineStr">
        <is>
          <t>BLENDED PRICING &amp; PROVIDER PAY (calculated)</t>
        </is>
      </c>
    </row>
    <row r="40">
      <c r="A40" t="inlineStr">
        <is>
          <t>Blended Essential monthly (£/mo)</t>
        </is>
      </c>
      <c r="B40" s="21">
        <f>$B$8*$B$21+($B$8+10)*$B$22+($B$8+20)*$B$23</f>
        <v/>
      </c>
    </row>
    <row r="41">
      <c r="A41" t="inlineStr">
        <is>
          <t>Blended Premium monthly (£/mo)</t>
        </is>
      </c>
      <c r="B41" s="21">
        <f>$B$9*$B$21+($B$9+10)*$B$22+($B$9+20)*$B$23</f>
        <v/>
      </c>
    </row>
    <row r="42">
      <c r="A42" t="inlineStr">
        <is>
          <t>Blended Elite monthly (£/mo)</t>
        </is>
      </c>
      <c r="B42" s="21">
        <f>$B$10*$B$21+($B$10+10)*$B$22+($B$10+20)*$B$23</f>
        <v/>
      </c>
    </row>
    <row r="43">
      <c r="A43" t="inlineStr">
        <is>
          <t>Blended Essential annual (£/yr)</t>
        </is>
      </c>
      <c r="B43" s="21">
        <f>$B$11*$B$21+($B$11+100)*$B$22+($B$11+200)*$B$23</f>
        <v/>
      </c>
    </row>
    <row r="44">
      <c r="A44" t="inlineStr">
        <is>
          <t>Blended Premium annual (£/yr)</t>
        </is>
      </c>
      <c r="B44" s="21">
        <f>$B$12*$B$21+($B$12+100)*$B$22+($B$12+200)*$B$23</f>
        <v/>
      </c>
    </row>
    <row r="45">
      <c r="A45" t="inlineStr">
        <is>
          <t>Blended Elite annual (£/yr)</t>
        </is>
      </c>
      <c r="B45" s="21">
        <f>$B$13*$B$21+($B$13+100)*$B$22+($B$13+200)*$B$23</f>
        <v/>
      </c>
    </row>
    <row r="46">
      <c r="A46" t="inlineStr">
        <is>
          <t>Blended provider pay — Essential (£/mo)</t>
        </is>
      </c>
      <c r="B46" s="21">
        <f>(10/12)*($B$21*15+$B$22*18+$B$23*21)</f>
        <v/>
      </c>
    </row>
    <row r="47">
      <c r="A47" t="inlineStr">
        <is>
          <t>Blended provider pay — Premium (£/mo)</t>
        </is>
      </c>
      <c r="B47" s="21">
        <f>(20/12)*($B$21*15+$B$22*18+$B$23*21)</f>
        <v/>
      </c>
    </row>
    <row r="48">
      <c r="A48" t="inlineStr">
        <is>
          <t>Blended provider pay — Elite (£/mo)</t>
        </is>
      </c>
      <c r="B48" s="21">
        <f>(30/12)*($B$21*15+$B$22*18+$B$23*21)</f>
        <v/>
      </c>
    </row>
    <row r="49">
      <c r="A49" s="3" t="inlineStr">
        <is>
          <t>MARKETING SPEND</t>
        </is>
      </c>
    </row>
    <row r="50">
      <c r="A50" t="inlineStr">
        <is>
          <t>Months 1–3 fixed spend (£/mo)</t>
        </is>
      </c>
      <c r="B50" s="4" t="n">
        <v>1500</v>
      </c>
      <c r="C50" s="2" t="inlineStr">
        <is>
          <t>Soft launch phase</t>
        </is>
      </c>
    </row>
    <row r="51">
      <c r="A51" t="inlineStr">
        <is>
          <t>Months 1–3 fixed spend (£/mo)</t>
        </is>
      </c>
      <c r="B51" s="4" t="n">
        <v>1500</v>
      </c>
      <c r="C51" s="2" t="inlineStr">
        <is>
          <t>Soft launch phase</t>
        </is>
      </c>
    </row>
    <row r="52">
      <c r="A52" t="inlineStr">
        <is>
          <t>Months 4–6 fixed spend (£/mo)</t>
        </is>
      </c>
      <c r="B52" s="6" t="n">
        <v>2500</v>
      </c>
      <c r="C52" s="2" t="inlineStr">
        <is>
          <t>Ramp phase — capped by cash buffer from month 4</t>
        </is>
      </c>
    </row>
    <row r="53">
      <c r="A53" t="inlineStr">
        <is>
          <t>Months 7–12 — % of prior month revenue</t>
        </is>
      </c>
      <c r="B53" s="6" t="n">
        <v>0.12</v>
      </c>
      <c r="C53" s="2" t="inlineStr">
        <is>
          <t>Scales with revenue</t>
        </is>
      </c>
    </row>
    <row r="54">
      <c r="A54" t="inlineStr">
        <is>
          <t>Months 13–18 — % of prior month revenue</t>
        </is>
      </c>
      <c r="B54" s="6" t="n">
        <v>0.1</v>
      </c>
      <c r="C54" s="2" t="inlineStr"/>
    </row>
    <row r="55">
      <c r="A55" t="inlineStr">
        <is>
          <t>Months 19+ — % of prior month revenue</t>
        </is>
      </c>
      <c r="B55" s="4" t="n">
        <v>0.08</v>
      </c>
      <c r="C55" s="2" t="inlineStr">
        <is>
          <t>Floor spend</t>
        </is>
      </c>
    </row>
    <row r="56">
      <c r="A56" t="inlineStr">
        <is>
          <t>Min marketing months 7–12 (£/mo)</t>
        </is>
      </c>
      <c r="B56" s="4" t="n">
        <v>3000</v>
      </c>
      <c r="C56" s="2" t="inlineStr">
        <is>
          <t>Floor spend</t>
        </is>
      </c>
    </row>
    <row r="57">
      <c r="A57" t="inlineStr">
        <is>
          <t>Min marketing months 13–18 (£/mo)</t>
        </is>
      </c>
      <c r="B57" s="4" t="n">
        <v>4000</v>
      </c>
      <c r="C57" s="2" t="inlineStr">
        <is>
          <t>Floor spend</t>
        </is>
      </c>
    </row>
    <row r="58">
      <c r="A58" t="inlineStr">
        <is>
          <t>Min marketing months 19+ (£/mo)</t>
        </is>
      </c>
      <c r="B58" s="4" t="n">
        <v>5000</v>
      </c>
      <c r="C58" s="2" t="inlineStr">
        <is>
          <t>Floor spend</t>
        </is>
      </c>
    </row>
    <row r="59">
      <c r="A59" t="inlineStr">
        <is>
          <t>Cash buffer retained (£)</t>
        </is>
      </c>
      <c r="B59" s="66" t="n">
        <v>2000</v>
      </c>
      <c r="C59" t="inlineStr">
        <is>
          <t>Min cash kept before marketing cap</t>
        </is>
      </c>
    </row>
    <row r="60">
      <c r="A60" s="3" t="inlineStr">
        <is>
          <t>Annual price increase / inflation (%)</t>
        </is>
      </c>
      <c r="B60" s="66" t="n">
        <v>0.025</v>
      </c>
      <c r="C60" t="inlineStr">
        <is>
          <t>Applied each model year to all subs</t>
        </is>
      </c>
    </row>
    <row r="61">
      <c r="A61" s="2" t="inlineStr">
        <is>
          <t>Referral mix (% of new customers)</t>
        </is>
      </c>
      <c r="B61" s="6" t="n">
        <v>0.15</v>
      </c>
      <c r="C61" s="2" t="inlineStr">
        <is>
          <t>10–20% industry benchmark</t>
        </is>
      </c>
    </row>
    <row r="62">
      <c r="A62" s="2" t="inlineStr">
        <is>
          <t>Referral reward (£ per referral)</t>
        </is>
      </c>
      <c r="B62" s="4" t="n">
        <v>15</v>
      </c>
      <c r="C62" s="2" t="inlineStr">
        <is>
          <t>One-off — no marketing cost</t>
        </is>
      </c>
    </row>
    <row r="63">
      <c r="A63" s="2" t="inlineStr">
        <is>
          <t>Launch calendar month (1=Jan … 12=Dec)</t>
        </is>
      </c>
      <c r="B63" s="66" t="n">
        <v>3</v>
      </c>
      <c r="C63" s="2" t="inlineStr">
        <is>
          <t>March = pre-season launch</t>
        </is>
      </c>
    </row>
    <row r="64">
      <c r="A64" s="2" t="inlineStr">
        <is>
          <t>VAT rate (%)</t>
        </is>
      </c>
      <c r="B64" s="66" t="n">
        <v>0.2</v>
      </c>
      <c r="C64" t="inlineStr">
        <is>
          <t>Standard rate once registered</t>
        </is>
      </c>
    </row>
    <row r="65">
      <c r="A65" s="2" t="inlineStr">
        <is>
          <t>VAT registration threshold (£)</t>
        </is>
      </c>
      <c r="B65" s="66" t="n">
        <v>90000</v>
      </c>
      <c r="C65" t="inlineStr">
        <is>
          <t>Rolling 12-month gross turnover</t>
        </is>
      </c>
    </row>
    <row r="66">
      <c r="A66" s="3" t="inlineStr">
        <is>
          <t>VAT basis — Agent mode (1=Agent, 0=Principal)</t>
        </is>
      </c>
      <c r="B66" s="66" t="n">
        <v>0</v>
      </c>
      <c r="C66" t="inlineStr">
        <is>
          <t>0 = VAT on full customer revenue (principal). 1 = VAT on platform margin only (agent).</t>
        </is>
      </c>
    </row>
    <row r="67">
      <c r="A67" t="inlineStr">
        <is>
          <t>Annual price increase / inflation (%)</t>
        </is>
      </c>
      <c r="B67" s="6" t="n">
        <v>0.025</v>
      </c>
      <c r="C67" s="2" t="inlineStr">
        <is>
          <t>Applied each model year to all subs</t>
        </is>
      </c>
    </row>
    <row r="68">
      <c r="A68" t="inlineStr">
        <is>
          <t>Referral mix (% of new customers)</t>
        </is>
      </c>
      <c r="B68" s="6" t="n">
        <v>0.15</v>
      </c>
      <c r="C68" s="2" t="inlineStr">
        <is>
          <t>10–20% industry benchmark</t>
        </is>
      </c>
    </row>
    <row r="69">
      <c r="A69" t="inlineStr">
        <is>
          <t>Referral reward (£ per referral)</t>
        </is>
      </c>
      <c r="B69" s="4" t="n">
        <v>15</v>
      </c>
      <c r="C69" s="2" t="inlineStr">
        <is>
          <t>One-off — no marketing cost</t>
        </is>
      </c>
    </row>
    <row r="70">
      <c r="A70" t="inlineStr">
        <is>
          <t>Launch calendar month (1=Jan … 12=Dec)</t>
        </is>
      </c>
      <c r="B70" s="56" t="n">
        <v>3</v>
      </c>
      <c r="C70" s="2" t="inlineStr">
        <is>
          <t>March = pre-season launch</t>
        </is>
      </c>
    </row>
    <row r="71"/>
    <row r="72">
      <c r="A72" s="3" t="inlineStr">
        <is>
          <t>SEASONALITY (calendar month)</t>
        </is>
      </c>
    </row>
    <row r="73">
      <c r="A73" s="14" t="inlineStr">
        <is>
          <t>Month</t>
        </is>
      </c>
      <c r="B73" s="14" t="inlineStr">
        <is>
          <t>Acq mult</t>
        </is>
      </c>
      <c r="C73" s="14" t="inlineStr">
        <is>
          <t>Notes</t>
        </is>
      </c>
      <c r="D73" s="14" t="inlineStr">
        <is>
          <t>Churn mult</t>
        </is>
      </c>
      <c r="E73" s="14" t="inlineStr">
        <is>
          <t>Pivot acq</t>
        </is>
      </c>
      <c r="F73" s="14" t="inlineStr">
        <is>
          <t>Pivot churn</t>
        </is>
      </c>
    </row>
    <row r="74">
      <c r="A74" t="n">
        <v>1</v>
      </c>
      <c r="B74" s="57" t="n">
        <v>0.5600000000000001</v>
      </c>
      <c r="C74" s="2" t="inlineStr">
        <is>
          <t>Low | pivot acq ×1.29, churn ×0.79</t>
        </is>
      </c>
      <c r="D74" s="57" t="n">
        <v>1.37</v>
      </c>
      <c r="E74" s="66" t="n">
        <v>0.72</v>
      </c>
      <c r="F74" s="66" t="n">
        <v>1.08</v>
      </c>
    </row>
    <row r="75">
      <c r="A75" t="n">
        <v>2</v>
      </c>
      <c r="B75" s="57" t="n">
        <v>0.66</v>
      </c>
      <c r="C75" s="2" t="inlineStr">
        <is>
          <t>Pre-season | pivot acq ×1.24, churn ×0.82</t>
        </is>
      </c>
      <c r="D75" s="57" t="n">
        <v>1.28</v>
      </c>
      <c r="E75" s="66" t="n">
        <v>0.82</v>
      </c>
      <c r="F75" s="66" t="n">
        <v>1.05</v>
      </c>
    </row>
    <row r="76">
      <c r="A76" t="n">
        <v>3</v>
      </c>
      <c r="B76" s="57" t="n">
        <v>0.87</v>
      </c>
      <c r="C76" s="2" t="inlineStr">
        <is>
          <t>Spring | churn ×1.04</t>
        </is>
      </c>
      <c r="D76" s="57" t="n">
        <v>1.04</v>
      </c>
      <c r="E76" s="66" t="n">
        <v>0.87</v>
      </c>
      <c r="F76" s="66" t="n">
        <v>1.04</v>
      </c>
    </row>
    <row r="77">
      <c r="A77" t="n">
        <v>4</v>
      </c>
      <c r="B77" s="57" t="n">
        <v>1.07</v>
      </c>
      <c r="C77" s="2" t="inlineStr">
        <is>
          <t>Ramp | churn ×0.85</t>
        </is>
      </c>
      <c r="D77" s="57" t="n">
        <v>0.85</v>
      </c>
      <c r="E77" s="66" t="n">
        <v>1.07</v>
      </c>
      <c r="F77" s="66" t="n">
        <v>0.85</v>
      </c>
    </row>
    <row r="78">
      <c r="A78" t="n">
        <v>5</v>
      </c>
      <c r="B78" s="57" t="n">
        <v>1.17</v>
      </c>
      <c r="C78" s="2" t="inlineStr">
        <is>
          <t>Peak | churn ×0.76</t>
        </is>
      </c>
      <c r="D78" s="57" t="n">
        <v>0.76</v>
      </c>
      <c r="E78" s="66" t="n">
        <v>1.17</v>
      </c>
      <c r="F78" s="66" t="n">
        <v>0.76</v>
      </c>
    </row>
    <row r="79">
      <c r="A79" t="n">
        <v>6</v>
      </c>
      <c r="B79" s="57" t="n">
        <v>1.22</v>
      </c>
      <c r="C79" s="2" t="inlineStr">
        <is>
          <t>Peak | churn ×0.71</t>
        </is>
      </c>
      <c r="D79" s="57" t="n">
        <v>0.71</v>
      </c>
      <c r="E79" s="66" t="n">
        <v>1.22</v>
      </c>
      <c r="F79" s="66" t="n">
        <v>0.71</v>
      </c>
    </row>
    <row r="80">
      <c r="A80" t="n">
        <v>7</v>
      </c>
      <c r="B80" s="57" t="n">
        <v>1.22</v>
      </c>
      <c r="C80" s="2" t="inlineStr">
        <is>
          <t>Peak | churn ×0.71</t>
        </is>
      </c>
      <c r="D80" s="57" t="n">
        <v>0.71</v>
      </c>
      <c r="E80" s="66" t="n">
        <v>1.22</v>
      </c>
      <c r="F80" s="66" t="n">
        <v>0.71</v>
      </c>
    </row>
    <row r="81">
      <c r="A81" t="n">
        <v>8</v>
      </c>
      <c r="B81" s="57" t="n">
        <v>1.17</v>
      </c>
      <c r="C81" s="2" t="inlineStr">
        <is>
          <t>Peak | churn ×0.76</t>
        </is>
      </c>
      <c r="D81" s="57" t="n">
        <v>0.76</v>
      </c>
      <c r="E81" s="66" t="n">
        <v>1.17</v>
      </c>
      <c r="F81" s="66" t="n">
        <v>0.76</v>
      </c>
    </row>
    <row r="82">
      <c r="A82" t="n">
        <v>9</v>
      </c>
      <c r="B82" s="57" t="n">
        <v>1.02</v>
      </c>
      <c r="C82" s="2" t="inlineStr">
        <is>
          <t>Shoulder | churn ×0.90</t>
        </is>
      </c>
      <c r="D82" s="57" t="n">
        <v>0.9</v>
      </c>
      <c r="E82" s="66" t="n">
        <v>1.02</v>
      </c>
      <c r="F82" s="66" t="n">
        <v>0.9</v>
      </c>
    </row>
    <row r="83">
      <c r="A83" t="n">
        <v>10</v>
      </c>
      <c r="B83" s="57" t="n">
        <v>0.82</v>
      </c>
      <c r="C83" s="2" t="inlineStr">
        <is>
          <t>Wind-down | pivot acq ×1.22, churn ×0.94</t>
        </is>
      </c>
      <c r="D83" s="57" t="n">
        <v>1.04</v>
      </c>
      <c r="E83" s="66" t="n">
        <v>1</v>
      </c>
      <c r="F83" s="66" t="n">
        <v>0.98</v>
      </c>
    </row>
    <row r="84">
      <c r="A84" t="n">
        <v>11</v>
      </c>
      <c r="B84" s="57" t="n">
        <v>0.61</v>
      </c>
      <c r="C84" s="2" t="inlineStr">
        <is>
          <t>Low | pivot acq ×1.72, churn ×0.77</t>
        </is>
      </c>
      <c r="D84" s="57" t="n">
        <v>1.23</v>
      </c>
      <c r="E84" s="66" t="n">
        <v>1.05</v>
      </c>
      <c r="F84" s="66" t="n">
        <v>0.95</v>
      </c>
    </row>
    <row r="85">
      <c r="A85" t="n">
        <v>12</v>
      </c>
      <c r="B85" s="57" t="n">
        <v>0.5600000000000001</v>
      </c>
      <c r="C85" s="2" t="inlineStr">
        <is>
          <t>Low | pivot acq ×1.39, churn ×0.79</t>
        </is>
      </c>
      <c r="D85" s="57" t="n">
        <v>1.37</v>
      </c>
      <c r="E85" s="66" t="n">
        <v>0.78</v>
      </c>
      <c r="F85" s="66" t="n">
        <v>1.08</v>
      </c>
    </row>
    <row r="86">
      <c r="A86" s="3" t="inlineStr">
        <is>
          <t>WINTER PIVOT SEASONALITY (property care — gutter, leaf, patio)</t>
        </is>
      </c>
    </row>
    <row r="87">
      <c r="A87" s="2" t="inlineStr">
        <is>
          <t>Used by Sens - Winter Pivot scenario. Oct–Nov boosted for leaf/gutter; winter churn reduced (customers stay on year-round plan).</t>
        </is>
      </c>
    </row>
    <row r="88">
      <c r="A88" s="2" t="inlineStr">
        <is>
          <t>Start on Headlines tab.</t>
        </is>
      </c>
    </row>
    <row r="89">
      <c r="A89" s="2" t="inlineStr">
        <is>
          <t>Edit yellow cells — all tabs recalculate.</t>
        </is>
      </c>
    </row>
    <row r="90">
      <c r="A90" s="2" t="inlineStr">
        <is>
          <t>Seasonality affects paid acquisition by calendar month.</t>
        </is>
      </c>
    </row>
    <row r="91">
      <c r="A91" s="2" t="inlineStr">
        <is>
          <t>VAT applies once rolling 12-mo gross exceeds threshold.</t>
        </is>
      </c>
    </row>
  </sheetData>
  <mergeCells count="3">
    <mergeCell ref="A1:D1"/>
    <mergeCell ref="A7:C7"/>
    <mergeCell ref="A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Summary</t>
        </is>
      </c>
    </row>
    <row r="3">
      <c r="A3" s="8" t="inlineStr">
        <is>
          <t>Year</t>
        </is>
      </c>
      <c r="B3" s="8" t="inlineStr">
        <is>
          <t>Cust</t>
        </is>
      </c>
      <c r="C3" s="8" t="inlineStr">
        <is>
          <t>MRR</t>
        </is>
      </c>
      <c r="D3" s="8" t="inlineStr">
        <is>
          <t>ARR</t>
        </is>
      </c>
      <c r="E3" s="8" t="inlineStr">
        <is>
          <t>Paid</t>
        </is>
      </c>
      <c r="F3" s="8" t="inlineStr">
        <is>
          <t>Referrals</t>
        </is>
      </c>
      <c r="G3" s="8" t="inlineStr">
        <is>
          <t>Gross</t>
        </is>
      </c>
      <c r="H3" s="8" t="inlineStr">
        <is>
          <t>Net</t>
        </is>
      </c>
      <c r="I3" s="8" t="inlineStr">
        <is>
          <t>VAcc</t>
        </is>
      </c>
      <c r="J3" s="8" t="inlineStr">
        <is>
          <t>VPay</t>
        </is>
      </c>
      <c r="K3" s="8" t="inlineStr">
        <is>
          <t>VBal</t>
        </is>
      </c>
      <c r="L3" s="8" t="inlineStr">
        <is>
          <t>Prov</t>
        </is>
      </c>
      <c r="M3" s="8" t="inlineStr">
        <is>
          <t>Fees</t>
        </is>
      </c>
      <c r="N3" s="8" t="inlineStr">
        <is>
          <t>Ops</t>
        </is>
      </c>
      <c r="O3" s="8" t="inlineStr">
        <is>
          <t>Fixed</t>
        </is>
      </c>
      <c r="P3" s="8" t="inlineStr">
        <is>
          <t>Ref£</t>
        </is>
      </c>
      <c r="Q3" s="8" t="inlineStr">
        <is>
          <t>Mkt</t>
        </is>
      </c>
      <c r="R3" s="8" t="inlineStr">
        <is>
          <t>Profit</t>
        </is>
      </c>
      <c r="S3" s="8" t="inlineStr">
        <is>
          <t>Cash</t>
        </is>
      </c>
      <c r="T3" s="8" t="inlineStr">
        <is>
          <t>Margin</t>
        </is>
      </c>
      <c r="U3" s="8" t="inlineStr">
        <is>
          <t>Prov#</t>
        </is>
      </c>
      <c r="V3" s="8" t="inlineStr">
        <is>
          <t>MRRGr</t>
        </is>
      </c>
      <c r="W3" s="8" t="inlineStr">
        <is>
          <t>Churn</t>
        </is>
      </c>
      <c r="X3" s="8" t="inlineStr">
        <is>
          <t>CumPft</t>
        </is>
      </c>
    </row>
    <row r="4">
      <c r="A4" t="inlineStr">
        <is>
          <t>Year 1</t>
        </is>
      </c>
      <c r="B4" s="19">
        <f>Model!Y16</f>
        <v/>
      </c>
      <c r="C4" s="9">
        <f>Model!Z16</f>
        <v/>
      </c>
      <c r="D4" s="9">
        <f>Model!AA16</f>
        <v/>
      </c>
      <c r="E4" s="19">
        <f>SUM(Model!H5:H16)</f>
        <v/>
      </c>
      <c r="F4" s="19">
        <f>SUM(Model!I5:I16)</f>
        <v/>
      </c>
      <c r="G4" s="9">
        <f>SUM(Model!AE5:AE16)</f>
        <v/>
      </c>
      <c r="H4" s="9">
        <f>SUM(Model!AH5:AH16)</f>
        <v/>
      </c>
      <c r="I4" s="9">
        <f>SUM(Model!AI5:AI16)</f>
        <v/>
      </c>
      <c r="J4" s="9">
        <f>SUM(Model!AJ5:AJ16)</f>
        <v/>
      </c>
      <c r="K4" s="9">
        <f>Model!AK16</f>
        <v/>
      </c>
      <c r="L4" s="9">
        <f>SUM(Model!AL5:AL16)</f>
        <v/>
      </c>
      <c r="M4" s="9">
        <f>SUM(Model!AM5:AM16)</f>
        <v/>
      </c>
      <c r="N4" s="9">
        <f>SUM(Model!AN5:AN16)</f>
        <v/>
      </c>
      <c r="O4" s="9">
        <f>SUM(Model!AO5:AO16)</f>
        <v/>
      </c>
      <c r="P4" s="9">
        <f>SUM(Model!AP5:AP16)</f>
        <v/>
      </c>
      <c r="Q4" s="9">
        <f>SUM(Model!AQ5:AQ16)</f>
        <v/>
      </c>
      <c r="R4" s="9">
        <f>SUM(Model!AR5:AR16)</f>
        <v/>
      </c>
      <c r="S4" s="9">
        <f>Model!AS16</f>
        <v/>
      </c>
      <c r="T4" s="13">
        <f>IF(G4&gt;0,(H4-L4-M4-N4-O4)/G4,0)</f>
        <v/>
      </c>
      <c r="U4" s="19">
        <f>ROUNDUP(B4/140,0)</f>
        <v/>
      </c>
      <c r="V4" s="12" t="inlineStr">
        <is>
          <t>—</t>
        </is>
      </c>
      <c r="W4" s="11">
        <f>AVERAGE(Model!AU6:AU16)</f>
        <v/>
      </c>
      <c r="X4" s="9">
        <f>SUM($R$4:R4)</f>
        <v/>
      </c>
    </row>
    <row r="5">
      <c r="A5" t="inlineStr">
        <is>
          <t>Year 2</t>
        </is>
      </c>
      <c r="B5" s="19">
        <f>Model!Y28</f>
        <v/>
      </c>
      <c r="C5" s="9">
        <f>Model!Z28</f>
        <v/>
      </c>
      <c r="D5" s="9">
        <f>Model!AA28</f>
        <v/>
      </c>
      <c r="E5" s="19">
        <f>SUM(Model!H17:H28)</f>
        <v/>
      </c>
      <c r="F5" s="19">
        <f>SUM(Model!I17:I28)</f>
        <v/>
      </c>
      <c r="G5" s="9">
        <f>SUM(Model!AE17:AE28)</f>
        <v/>
      </c>
      <c r="H5" s="9">
        <f>SUM(Model!AH17:AH28)</f>
        <v/>
      </c>
      <c r="I5" s="9">
        <f>SUM(Model!AI17:AI28)</f>
        <v/>
      </c>
      <c r="J5" s="9">
        <f>SUM(Model!AJ17:AJ28)</f>
        <v/>
      </c>
      <c r="K5" s="9">
        <f>Model!AK28</f>
        <v/>
      </c>
      <c r="L5" s="9">
        <f>SUM(Model!AL17:AL28)</f>
        <v/>
      </c>
      <c r="M5" s="9">
        <f>SUM(Model!AM17:AM28)</f>
        <v/>
      </c>
      <c r="N5" s="9">
        <f>SUM(Model!AN17:AN28)</f>
        <v/>
      </c>
      <c r="O5" s="9">
        <f>SUM(Model!AO17:AO28)</f>
        <v/>
      </c>
      <c r="P5" s="9">
        <f>SUM(Model!AP17:AP28)</f>
        <v/>
      </c>
      <c r="Q5" s="9">
        <f>SUM(Model!AQ17:AQ28)</f>
        <v/>
      </c>
      <c r="R5" s="9">
        <f>SUM(Model!AR17:AR28)</f>
        <v/>
      </c>
      <c r="S5" s="9">
        <f>Model!AS28</f>
        <v/>
      </c>
      <c r="T5" s="13">
        <f>IF(G5&gt;0,(H5-L5-M5-N5-O5)/G5,0)</f>
        <v/>
      </c>
      <c r="U5" s="19">
        <f>ROUNDUP(B5/140,0)</f>
        <v/>
      </c>
      <c r="V5" s="13">
        <f>(C5-C4)/C4</f>
        <v/>
      </c>
      <c r="W5" s="11">
        <f>AVERAGE(Model!AU18:AU28)</f>
        <v/>
      </c>
      <c r="X5" s="9">
        <f>SUM($R$4:R5)</f>
        <v/>
      </c>
    </row>
    <row r="6">
      <c r="A6" t="inlineStr">
        <is>
          <t>Year 3</t>
        </is>
      </c>
      <c r="B6" s="19">
        <f>Model!Y40</f>
        <v/>
      </c>
      <c r="C6" s="9">
        <f>Model!Z40</f>
        <v/>
      </c>
      <c r="D6" s="9">
        <f>Model!AA40</f>
        <v/>
      </c>
      <c r="E6" s="19">
        <f>SUM(Model!H29:H40)</f>
        <v/>
      </c>
      <c r="F6" s="19">
        <f>SUM(Model!I29:I40)</f>
        <v/>
      </c>
      <c r="G6" s="9">
        <f>SUM(Model!AE29:AE40)</f>
        <v/>
      </c>
      <c r="H6" s="9">
        <f>SUM(Model!AH29:AH40)</f>
        <v/>
      </c>
      <c r="I6" s="9">
        <f>SUM(Model!AI29:AI40)</f>
        <v/>
      </c>
      <c r="J6" s="9">
        <f>SUM(Model!AJ29:AJ40)</f>
        <v/>
      </c>
      <c r="K6" s="9">
        <f>Model!AK40</f>
        <v/>
      </c>
      <c r="L6" s="9">
        <f>SUM(Model!AL29:AL40)</f>
        <v/>
      </c>
      <c r="M6" s="9">
        <f>SUM(Model!AM29:AM40)</f>
        <v/>
      </c>
      <c r="N6" s="9">
        <f>SUM(Model!AN29:AN40)</f>
        <v/>
      </c>
      <c r="O6" s="9">
        <f>SUM(Model!AO29:AO40)</f>
        <v/>
      </c>
      <c r="P6" s="9">
        <f>SUM(Model!AP29:AP40)</f>
        <v/>
      </c>
      <c r="Q6" s="9">
        <f>SUM(Model!AQ29:AQ40)</f>
        <v/>
      </c>
      <c r="R6" s="9">
        <f>SUM(Model!AR29:AR40)</f>
        <v/>
      </c>
      <c r="S6" s="9">
        <f>Model!AS40</f>
        <v/>
      </c>
      <c r="T6" s="13">
        <f>IF(G6&gt;0,(H6-L6-M6-N6-O6)/G6,0)</f>
        <v/>
      </c>
      <c r="U6" s="19">
        <f>ROUNDUP(B6/140,0)</f>
        <v/>
      </c>
      <c r="V6" s="13">
        <f>(C6-C5)/C5</f>
        <v/>
      </c>
      <c r="W6" s="11">
        <f>AVERAGE(Model!AU30:AU40)</f>
        <v/>
      </c>
      <c r="X6" s="9">
        <f>SUM($R$4:R6)</f>
        <v/>
      </c>
    </row>
    <row r="7">
      <c r="A7" t="inlineStr">
        <is>
          <t>Year 4</t>
        </is>
      </c>
      <c r="B7" s="19">
        <f>Model!Y52</f>
        <v/>
      </c>
      <c r="C7" s="9">
        <f>Model!Z52</f>
        <v/>
      </c>
      <c r="D7" s="9">
        <f>Model!AA52</f>
        <v/>
      </c>
      <c r="E7" s="19">
        <f>SUM(Model!H41:H52)</f>
        <v/>
      </c>
      <c r="F7" s="19">
        <f>SUM(Model!I41:I52)</f>
        <v/>
      </c>
      <c r="G7" s="9">
        <f>SUM(Model!AE41:AE52)</f>
        <v/>
      </c>
      <c r="H7" s="9">
        <f>SUM(Model!AH41:AH52)</f>
        <v/>
      </c>
      <c r="I7" s="9">
        <f>SUM(Model!AI41:AI52)</f>
        <v/>
      </c>
      <c r="J7" s="9">
        <f>SUM(Model!AJ41:AJ52)</f>
        <v/>
      </c>
      <c r="K7" s="9">
        <f>Model!AK52</f>
        <v/>
      </c>
      <c r="L7" s="9">
        <f>SUM(Model!AL41:AL52)</f>
        <v/>
      </c>
      <c r="M7" s="9">
        <f>SUM(Model!AM41:AM52)</f>
        <v/>
      </c>
      <c r="N7" s="9">
        <f>SUM(Model!AN41:AN52)</f>
        <v/>
      </c>
      <c r="O7" s="9">
        <f>SUM(Model!AO41:AO52)</f>
        <v/>
      </c>
      <c r="P7" s="9">
        <f>SUM(Model!AP41:AP52)</f>
        <v/>
      </c>
      <c r="Q7" s="9">
        <f>SUM(Model!AQ41:AQ52)</f>
        <v/>
      </c>
      <c r="R7" s="9">
        <f>SUM(Model!AR41:AR52)</f>
        <v/>
      </c>
      <c r="S7" s="9">
        <f>Model!AS52</f>
        <v/>
      </c>
      <c r="T7" s="13">
        <f>IF(G7&gt;0,(H7-L7-M7-N7-O7)/G7,0)</f>
        <v/>
      </c>
      <c r="U7" s="19">
        <f>ROUNDUP(B7/140,0)</f>
        <v/>
      </c>
      <c r="V7" s="13">
        <f>(C7-C6)/C6</f>
        <v/>
      </c>
      <c r="W7" s="11">
        <f>AVERAGE(Model!AU42:AU52)</f>
        <v/>
      </c>
      <c r="X7" s="9">
        <f>SUM($R$4:R7)</f>
        <v/>
      </c>
    </row>
    <row r="8">
      <c r="A8" t="inlineStr">
        <is>
          <t>Year 5</t>
        </is>
      </c>
      <c r="B8" s="19">
        <f>Model!Y64</f>
        <v/>
      </c>
      <c r="C8" s="9">
        <f>Model!Z64</f>
        <v/>
      </c>
      <c r="D8" s="9">
        <f>Model!AA64</f>
        <v/>
      </c>
      <c r="E8" s="19">
        <f>SUM(Model!H53:H64)</f>
        <v/>
      </c>
      <c r="F8" s="19">
        <f>SUM(Model!I53:I64)</f>
        <v/>
      </c>
      <c r="G8" s="9">
        <f>SUM(Model!AE53:AE64)</f>
        <v/>
      </c>
      <c r="H8" s="9">
        <f>SUM(Model!AH53:AH64)</f>
        <v/>
      </c>
      <c r="I8" s="9">
        <f>SUM(Model!AI53:AI64)</f>
        <v/>
      </c>
      <c r="J8" s="9">
        <f>SUM(Model!AJ53:AJ64)</f>
        <v/>
      </c>
      <c r="K8" s="9">
        <f>Model!AK64</f>
        <v/>
      </c>
      <c r="L8" s="9">
        <f>SUM(Model!AL53:AL64)</f>
        <v/>
      </c>
      <c r="M8" s="9">
        <f>SUM(Model!AM53:AM64)</f>
        <v/>
      </c>
      <c r="N8" s="9">
        <f>SUM(Model!AN53:AN64)</f>
        <v/>
      </c>
      <c r="O8" s="9">
        <f>SUM(Model!AO53:AO64)</f>
        <v/>
      </c>
      <c r="P8" s="9">
        <f>SUM(Model!AP53:AP64)</f>
        <v/>
      </c>
      <c r="Q8" s="9">
        <f>SUM(Model!AQ53:AQ64)</f>
        <v/>
      </c>
      <c r="R8" s="9">
        <f>SUM(Model!AR53:AR64)</f>
        <v/>
      </c>
      <c r="S8" s="9">
        <f>Model!AS64</f>
        <v/>
      </c>
      <c r="T8" s="13">
        <f>IF(G8&gt;0,(H8-L8-M8-N8-O8)/G8,0)</f>
        <v/>
      </c>
      <c r="U8" s="19">
        <f>ROUNDUP(B8/140,0)</f>
        <v/>
      </c>
      <c r="V8" s="13">
        <f>(C8-C7)/C7</f>
        <v/>
      </c>
      <c r="W8" s="11">
        <f>AVERAGE(Model!AU54:AU64)</f>
        <v/>
      </c>
      <c r="X8" s="9">
        <f>SUM($R$4:R8)</f>
        <v/>
      </c>
    </row>
    <row r="10">
      <c r="A10" s="14" t="inlineStr">
        <is>
          <t>VAT registration</t>
        </is>
      </c>
      <c r="B10">
        <f>IFERROR("Month "&amp;MATCH(TRUE,Model!AG5:Model!AG64,0),"Not in 60 mo")</f>
        <v/>
      </c>
    </row>
    <row r="11">
      <c r="A11" s="14" t="inlineStr">
        <is>
          <t>VAT payments</t>
        </is>
      </c>
      <c r="B11" t="inlineStr">
        <is>
          <t>Calendar: Jan=Q4 prior yr, Apr=Q1, Jul=Q2, Oct=Q3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24-Month Forecast</t>
        </is>
      </c>
    </row>
    <row r="3">
      <c r="A3" s="8" t="inlineStr">
        <is>
          <t>Month</t>
        </is>
      </c>
      <c r="B3" s="8" t="inlineStr">
        <is>
          <t>CalMo</t>
        </is>
      </c>
      <c r="C3" s="8" t="inlineStr">
        <is>
          <t>Paid</t>
        </is>
      </c>
      <c r="D3" s="8" t="inlineStr">
        <is>
          <t>Referral</t>
        </is>
      </c>
      <c r="E3" s="8" t="inlineStr">
        <is>
          <t>Total</t>
        </is>
      </c>
      <c r="F3" s="8" t="inlineStr">
        <is>
          <t>Cust</t>
        </is>
      </c>
      <c r="G3" s="8" t="inlineStr">
        <is>
          <t>EffChurn</t>
        </is>
      </c>
      <c r="H3" s="8" t="inlineStr">
        <is>
          <t>MRR</t>
        </is>
      </c>
      <c r="I3" s="8" t="inlineStr">
        <is>
          <t>ARR</t>
        </is>
      </c>
      <c r="J3" s="8" t="inlineStr">
        <is>
          <t>Gross</t>
        </is>
      </c>
      <c r="K3" s="8" t="inlineStr">
        <is>
          <t>Net</t>
        </is>
      </c>
      <c r="L3" s="8" t="inlineStr">
        <is>
          <t>VAcc</t>
        </is>
      </c>
      <c r="M3" s="8" t="inlineStr">
        <is>
          <t>VPay</t>
        </is>
      </c>
      <c r="N3" s="8" t="inlineStr">
        <is>
          <t>VBal</t>
        </is>
      </c>
      <c r="O3" s="8" t="inlineStr">
        <is>
          <t>Prov</t>
        </is>
      </c>
      <c r="P3" s="8" t="inlineStr">
        <is>
          <t>Fees</t>
        </is>
      </c>
      <c r="Q3" s="8" t="inlineStr">
        <is>
          <t>Ops</t>
        </is>
      </c>
      <c r="R3" s="8" t="inlineStr">
        <is>
          <t>Fixed</t>
        </is>
      </c>
      <c r="S3" s="8" t="inlineStr">
        <is>
          <t>Ref£</t>
        </is>
      </c>
      <c r="T3" s="8" t="inlineStr">
        <is>
          <t>Mkt</t>
        </is>
      </c>
      <c r="U3" s="8" t="inlineStr">
        <is>
          <t>Pft</t>
        </is>
      </c>
      <c r="V3" s="8" t="inlineStr">
        <is>
          <t>Cash</t>
        </is>
      </c>
      <c r="W3" s="8" t="inlineStr">
        <is>
          <t>Churn</t>
        </is>
      </c>
    </row>
    <row r="4">
      <c r="A4" t="inlineStr">
        <is>
          <t>Month 1</t>
        </is>
      </c>
      <c r="B4" s="19">
        <f>Model!B5</f>
        <v/>
      </c>
      <c r="C4" s="19">
        <f>Model!H5</f>
        <v/>
      </c>
      <c r="D4" s="19">
        <f>Model!I5</f>
        <v/>
      </c>
      <c r="E4" s="19">
        <f>Model!J5</f>
        <v/>
      </c>
      <c r="F4" s="19">
        <f>Model!Y5</f>
        <v/>
      </c>
      <c r="G4" s="11">
        <f>Model!F5</f>
        <v/>
      </c>
      <c r="H4" s="9">
        <f>Model!Z5</f>
        <v/>
      </c>
      <c r="I4" s="9">
        <f>Model!AA5</f>
        <v/>
      </c>
      <c r="J4" s="9">
        <f>Model!AE5</f>
        <v/>
      </c>
      <c r="K4" s="9">
        <f>Model!AH5</f>
        <v/>
      </c>
      <c r="L4" s="9">
        <f>Model!AI5</f>
        <v/>
      </c>
      <c r="M4" s="9">
        <f>Model!AJ5</f>
        <v/>
      </c>
      <c r="N4" s="9">
        <f>Model!AK5</f>
        <v/>
      </c>
      <c r="O4" s="9">
        <f>Model!AL5</f>
        <v/>
      </c>
      <c r="P4" s="9">
        <f>Model!AM5</f>
        <v/>
      </c>
      <c r="Q4" s="9">
        <f>Model!AN5</f>
        <v/>
      </c>
      <c r="R4" s="9">
        <f>Model!AO5</f>
        <v/>
      </c>
      <c r="S4" s="9">
        <f>Model!AP5</f>
        <v/>
      </c>
      <c r="T4" s="9">
        <f>Model!AQ5</f>
        <v/>
      </c>
      <c r="U4" s="9">
        <f>Model!AR5</f>
        <v/>
      </c>
      <c r="V4" s="9">
        <f>Model!AS5</f>
        <v/>
      </c>
      <c r="W4" s="11">
        <f>Model!AU5</f>
        <v/>
      </c>
    </row>
    <row r="5">
      <c r="A5" t="inlineStr">
        <is>
          <t>Month 2</t>
        </is>
      </c>
      <c r="B5" s="19">
        <f>Model!B6</f>
        <v/>
      </c>
      <c r="C5" s="19">
        <f>Model!H6</f>
        <v/>
      </c>
      <c r="D5" s="19">
        <f>Model!I6</f>
        <v/>
      </c>
      <c r="E5" s="19">
        <f>Model!J6</f>
        <v/>
      </c>
      <c r="F5" s="19">
        <f>Model!Y6</f>
        <v/>
      </c>
      <c r="G5" s="11">
        <f>Model!F6</f>
        <v/>
      </c>
      <c r="H5" s="9">
        <f>Model!Z6</f>
        <v/>
      </c>
      <c r="I5" s="9">
        <f>Model!AA6</f>
        <v/>
      </c>
      <c r="J5" s="9">
        <f>Model!AE6</f>
        <v/>
      </c>
      <c r="K5" s="9">
        <f>Model!AH6</f>
        <v/>
      </c>
      <c r="L5" s="9">
        <f>Model!AI6</f>
        <v/>
      </c>
      <c r="M5" s="9">
        <f>Model!AJ6</f>
        <v/>
      </c>
      <c r="N5" s="9">
        <f>Model!AK6</f>
        <v/>
      </c>
      <c r="O5" s="9">
        <f>Model!AL6</f>
        <v/>
      </c>
      <c r="P5" s="9">
        <f>Model!AM6</f>
        <v/>
      </c>
      <c r="Q5" s="9">
        <f>Model!AN6</f>
        <v/>
      </c>
      <c r="R5" s="9">
        <f>Model!AO6</f>
        <v/>
      </c>
      <c r="S5" s="9">
        <f>Model!AP6</f>
        <v/>
      </c>
      <c r="T5" s="9">
        <f>Model!AQ6</f>
        <v/>
      </c>
      <c r="U5" s="9">
        <f>Model!AR6</f>
        <v/>
      </c>
      <c r="V5" s="9">
        <f>Model!AS6</f>
        <v/>
      </c>
      <c r="W5" s="11">
        <f>Model!AU6</f>
        <v/>
      </c>
    </row>
    <row r="6">
      <c r="A6" t="inlineStr">
        <is>
          <t>Month 3</t>
        </is>
      </c>
      <c r="B6" s="19">
        <f>Model!B7</f>
        <v/>
      </c>
      <c r="C6" s="19">
        <f>Model!H7</f>
        <v/>
      </c>
      <c r="D6" s="19">
        <f>Model!I7</f>
        <v/>
      </c>
      <c r="E6" s="19">
        <f>Model!J7</f>
        <v/>
      </c>
      <c r="F6" s="19">
        <f>Model!Y7</f>
        <v/>
      </c>
      <c r="G6" s="11">
        <f>Model!F7</f>
        <v/>
      </c>
      <c r="H6" s="9">
        <f>Model!Z7</f>
        <v/>
      </c>
      <c r="I6" s="9">
        <f>Model!AA7</f>
        <v/>
      </c>
      <c r="J6" s="9">
        <f>Model!AE7</f>
        <v/>
      </c>
      <c r="K6" s="9">
        <f>Model!AH7</f>
        <v/>
      </c>
      <c r="L6" s="9">
        <f>Model!AI7</f>
        <v/>
      </c>
      <c r="M6" s="9">
        <f>Model!AJ7</f>
        <v/>
      </c>
      <c r="N6" s="9">
        <f>Model!AK7</f>
        <v/>
      </c>
      <c r="O6" s="9">
        <f>Model!AL7</f>
        <v/>
      </c>
      <c r="P6" s="9">
        <f>Model!AM7</f>
        <v/>
      </c>
      <c r="Q6" s="9">
        <f>Model!AN7</f>
        <v/>
      </c>
      <c r="R6" s="9">
        <f>Model!AO7</f>
        <v/>
      </c>
      <c r="S6" s="9">
        <f>Model!AP7</f>
        <v/>
      </c>
      <c r="T6" s="9">
        <f>Model!AQ7</f>
        <v/>
      </c>
      <c r="U6" s="9">
        <f>Model!AR7</f>
        <v/>
      </c>
      <c r="V6" s="9">
        <f>Model!AS7</f>
        <v/>
      </c>
      <c r="W6" s="11">
        <f>Model!AU7</f>
        <v/>
      </c>
    </row>
    <row r="7">
      <c r="A7" t="inlineStr">
        <is>
          <t>Month 4</t>
        </is>
      </c>
      <c r="B7" s="19">
        <f>Model!B8</f>
        <v/>
      </c>
      <c r="C7" s="19">
        <f>Model!H8</f>
        <v/>
      </c>
      <c r="D7" s="19">
        <f>Model!I8</f>
        <v/>
      </c>
      <c r="E7" s="19">
        <f>Model!J8</f>
        <v/>
      </c>
      <c r="F7" s="19">
        <f>Model!Y8</f>
        <v/>
      </c>
      <c r="G7" s="11">
        <f>Model!F8</f>
        <v/>
      </c>
      <c r="H7" s="9">
        <f>Model!Z8</f>
        <v/>
      </c>
      <c r="I7" s="9">
        <f>Model!AA8</f>
        <v/>
      </c>
      <c r="J7" s="9">
        <f>Model!AE8</f>
        <v/>
      </c>
      <c r="K7" s="9">
        <f>Model!AH8</f>
        <v/>
      </c>
      <c r="L7" s="9">
        <f>Model!AI8</f>
        <v/>
      </c>
      <c r="M7" s="9">
        <f>Model!AJ8</f>
        <v/>
      </c>
      <c r="N7" s="9">
        <f>Model!AK8</f>
        <v/>
      </c>
      <c r="O7" s="9">
        <f>Model!AL8</f>
        <v/>
      </c>
      <c r="P7" s="9">
        <f>Model!AM8</f>
        <v/>
      </c>
      <c r="Q7" s="9">
        <f>Model!AN8</f>
        <v/>
      </c>
      <c r="R7" s="9">
        <f>Model!AO8</f>
        <v/>
      </c>
      <c r="S7" s="9">
        <f>Model!AP8</f>
        <v/>
      </c>
      <c r="T7" s="9">
        <f>Model!AQ8</f>
        <v/>
      </c>
      <c r="U7" s="9">
        <f>Model!AR8</f>
        <v/>
      </c>
      <c r="V7" s="9">
        <f>Model!AS8</f>
        <v/>
      </c>
      <c r="W7" s="11">
        <f>Model!AU8</f>
        <v/>
      </c>
    </row>
    <row r="8">
      <c r="A8" t="inlineStr">
        <is>
          <t>Month 5</t>
        </is>
      </c>
      <c r="B8" s="19">
        <f>Model!B9</f>
        <v/>
      </c>
      <c r="C8" s="19">
        <f>Model!H9</f>
        <v/>
      </c>
      <c r="D8" s="19">
        <f>Model!I9</f>
        <v/>
      </c>
      <c r="E8" s="19">
        <f>Model!J9</f>
        <v/>
      </c>
      <c r="F8" s="19">
        <f>Model!Y9</f>
        <v/>
      </c>
      <c r="G8" s="11">
        <f>Model!F9</f>
        <v/>
      </c>
      <c r="H8" s="9">
        <f>Model!Z9</f>
        <v/>
      </c>
      <c r="I8" s="9">
        <f>Model!AA9</f>
        <v/>
      </c>
      <c r="J8" s="9">
        <f>Model!AE9</f>
        <v/>
      </c>
      <c r="K8" s="9">
        <f>Model!AH9</f>
        <v/>
      </c>
      <c r="L8" s="9">
        <f>Model!AI9</f>
        <v/>
      </c>
      <c r="M8" s="9">
        <f>Model!AJ9</f>
        <v/>
      </c>
      <c r="N8" s="9">
        <f>Model!AK9</f>
        <v/>
      </c>
      <c r="O8" s="9">
        <f>Model!AL9</f>
        <v/>
      </c>
      <c r="P8" s="9">
        <f>Model!AM9</f>
        <v/>
      </c>
      <c r="Q8" s="9">
        <f>Model!AN9</f>
        <v/>
      </c>
      <c r="R8" s="9">
        <f>Model!AO9</f>
        <v/>
      </c>
      <c r="S8" s="9">
        <f>Model!AP9</f>
        <v/>
      </c>
      <c r="T8" s="9">
        <f>Model!AQ9</f>
        <v/>
      </c>
      <c r="U8" s="9">
        <f>Model!AR9</f>
        <v/>
      </c>
      <c r="V8" s="9">
        <f>Model!AS9</f>
        <v/>
      </c>
      <c r="W8" s="11">
        <f>Model!AU9</f>
        <v/>
      </c>
    </row>
    <row r="9">
      <c r="A9" t="inlineStr">
        <is>
          <t>Month 6</t>
        </is>
      </c>
      <c r="B9" s="19">
        <f>Model!B10</f>
        <v/>
      </c>
      <c r="C9" s="19">
        <f>Model!H10</f>
        <v/>
      </c>
      <c r="D9" s="19">
        <f>Model!I10</f>
        <v/>
      </c>
      <c r="E9" s="19">
        <f>Model!J10</f>
        <v/>
      </c>
      <c r="F9" s="19">
        <f>Model!Y10</f>
        <v/>
      </c>
      <c r="G9" s="11">
        <f>Model!F10</f>
        <v/>
      </c>
      <c r="H9" s="9">
        <f>Model!Z10</f>
        <v/>
      </c>
      <c r="I9" s="9">
        <f>Model!AA10</f>
        <v/>
      </c>
      <c r="J9" s="9">
        <f>Model!AE10</f>
        <v/>
      </c>
      <c r="K9" s="9">
        <f>Model!AH10</f>
        <v/>
      </c>
      <c r="L9" s="9">
        <f>Model!AI10</f>
        <v/>
      </c>
      <c r="M9" s="9">
        <f>Model!AJ10</f>
        <v/>
      </c>
      <c r="N9" s="9">
        <f>Model!AK10</f>
        <v/>
      </c>
      <c r="O9" s="9">
        <f>Model!AL10</f>
        <v/>
      </c>
      <c r="P9" s="9">
        <f>Model!AM10</f>
        <v/>
      </c>
      <c r="Q9" s="9">
        <f>Model!AN10</f>
        <v/>
      </c>
      <c r="R9" s="9">
        <f>Model!AO10</f>
        <v/>
      </c>
      <c r="S9" s="9">
        <f>Model!AP10</f>
        <v/>
      </c>
      <c r="T9" s="9">
        <f>Model!AQ10</f>
        <v/>
      </c>
      <c r="U9" s="9">
        <f>Model!AR10</f>
        <v/>
      </c>
      <c r="V9" s="9">
        <f>Model!AS10</f>
        <v/>
      </c>
      <c r="W9" s="11">
        <f>Model!AU10</f>
        <v/>
      </c>
    </row>
    <row r="10">
      <c r="A10" t="inlineStr">
        <is>
          <t>Month 7</t>
        </is>
      </c>
      <c r="B10" s="19">
        <f>Model!B11</f>
        <v/>
      </c>
      <c r="C10" s="19">
        <f>Model!H11</f>
        <v/>
      </c>
      <c r="D10" s="19">
        <f>Model!I11</f>
        <v/>
      </c>
      <c r="E10" s="19">
        <f>Model!J11</f>
        <v/>
      </c>
      <c r="F10" s="19">
        <f>Model!Y11</f>
        <v/>
      </c>
      <c r="G10" s="11">
        <f>Model!F11</f>
        <v/>
      </c>
      <c r="H10" s="9">
        <f>Model!Z11</f>
        <v/>
      </c>
      <c r="I10" s="9">
        <f>Model!AA11</f>
        <v/>
      </c>
      <c r="J10" s="9">
        <f>Model!AE11</f>
        <v/>
      </c>
      <c r="K10" s="9">
        <f>Model!AH11</f>
        <v/>
      </c>
      <c r="L10" s="9">
        <f>Model!AI11</f>
        <v/>
      </c>
      <c r="M10" s="9">
        <f>Model!AJ11</f>
        <v/>
      </c>
      <c r="N10" s="9">
        <f>Model!AK11</f>
        <v/>
      </c>
      <c r="O10" s="9">
        <f>Model!AL11</f>
        <v/>
      </c>
      <c r="P10" s="9">
        <f>Model!AM11</f>
        <v/>
      </c>
      <c r="Q10" s="9">
        <f>Model!AN11</f>
        <v/>
      </c>
      <c r="R10" s="9">
        <f>Model!AO11</f>
        <v/>
      </c>
      <c r="S10" s="9">
        <f>Model!AP11</f>
        <v/>
      </c>
      <c r="T10" s="9">
        <f>Model!AQ11</f>
        <v/>
      </c>
      <c r="U10" s="9">
        <f>Model!AR11</f>
        <v/>
      </c>
      <c r="V10" s="9">
        <f>Model!AS11</f>
        <v/>
      </c>
      <c r="W10" s="11">
        <f>Model!AU11</f>
        <v/>
      </c>
    </row>
    <row r="11">
      <c r="A11" t="inlineStr">
        <is>
          <t>Month 8</t>
        </is>
      </c>
      <c r="B11" s="19">
        <f>Model!B12</f>
        <v/>
      </c>
      <c r="C11" s="19">
        <f>Model!H12</f>
        <v/>
      </c>
      <c r="D11" s="19">
        <f>Model!I12</f>
        <v/>
      </c>
      <c r="E11" s="19">
        <f>Model!J12</f>
        <v/>
      </c>
      <c r="F11" s="19">
        <f>Model!Y12</f>
        <v/>
      </c>
      <c r="G11" s="11">
        <f>Model!F12</f>
        <v/>
      </c>
      <c r="H11" s="9">
        <f>Model!Z12</f>
        <v/>
      </c>
      <c r="I11" s="9">
        <f>Model!AA12</f>
        <v/>
      </c>
      <c r="J11" s="9">
        <f>Model!AE12</f>
        <v/>
      </c>
      <c r="K11" s="9">
        <f>Model!AH12</f>
        <v/>
      </c>
      <c r="L11" s="9">
        <f>Model!AI12</f>
        <v/>
      </c>
      <c r="M11" s="9">
        <f>Model!AJ12</f>
        <v/>
      </c>
      <c r="N11" s="9">
        <f>Model!AK12</f>
        <v/>
      </c>
      <c r="O11" s="9">
        <f>Model!AL12</f>
        <v/>
      </c>
      <c r="P11" s="9">
        <f>Model!AM12</f>
        <v/>
      </c>
      <c r="Q11" s="9">
        <f>Model!AN12</f>
        <v/>
      </c>
      <c r="R11" s="9">
        <f>Model!AO12</f>
        <v/>
      </c>
      <c r="S11" s="9">
        <f>Model!AP12</f>
        <v/>
      </c>
      <c r="T11" s="9">
        <f>Model!AQ12</f>
        <v/>
      </c>
      <c r="U11" s="9">
        <f>Model!AR12</f>
        <v/>
      </c>
      <c r="V11" s="9">
        <f>Model!AS12</f>
        <v/>
      </c>
      <c r="W11" s="11">
        <f>Model!AU12</f>
        <v/>
      </c>
    </row>
    <row r="12">
      <c r="A12" t="inlineStr">
        <is>
          <t>Month 9</t>
        </is>
      </c>
      <c r="B12" s="19">
        <f>Model!B13</f>
        <v/>
      </c>
      <c r="C12" s="19">
        <f>Model!H13</f>
        <v/>
      </c>
      <c r="D12" s="19">
        <f>Model!I13</f>
        <v/>
      </c>
      <c r="E12" s="19">
        <f>Model!J13</f>
        <v/>
      </c>
      <c r="F12" s="19">
        <f>Model!Y13</f>
        <v/>
      </c>
      <c r="G12" s="11">
        <f>Model!F13</f>
        <v/>
      </c>
      <c r="H12" s="9">
        <f>Model!Z13</f>
        <v/>
      </c>
      <c r="I12" s="9">
        <f>Model!AA13</f>
        <v/>
      </c>
      <c r="J12" s="9">
        <f>Model!AE13</f>
        <v/>
      </c>
      <c r="K12" s="9">
        <f>Model!AH13</f>
        <v/>
      </c>
      <c r="L12" s="9">
        <f>Model!AI13</f>
        <v/>
      </c>
      <c r="M12" s="9">
        <f>Model!AJ13</f>
        <v/>
      </c>
      <c r="N12" s="9">
        <f>Model!AK13</f>
        <v/>
      </c>
      <c r="O12" s="9">
        <f>Model!AL13</f>
        <v/>
      </c>
      <c r="P12" s="9">
        <f>Model!AM13</f>
        <v/>
      </c>
      <c r="Q12" s="9">
        <f>Model!AN13</f>
        <v/>
      </c>
      <c r="R12" s="9">
        <f>Model!AO13</f>
        <v/>
      </c>
      <c r="S12" s="9">
        <f>Model!AP13</f>
        <v/>
      </c>
      <c r="T12" s="9">
        <f>Model!AQ13</f>
        <v/>
      </c>
      <c r="U12" s="9">
        <f>Model!AR13</f>
        <v/>
      </c>
      <c r="V12" s="9">
        <f>Model!AS13</f>
        <v/>
      </c>
      <c r="W12" s="11">
        <f>Model!AU13</f>
        <v/>
      </c>
    </row>
    <row r="13">
      <c r="A13" t="inlineStr">
        <is>
          <t>Month 10</t>
        </is>
      </c>
      <c r="B13" s="19">
        <f>Model!B14</f>
        <v/>
      </c>
      <c r="C13" s="19">
        <f>Model!H14</f>
        <v/>
      </c>
      <c r="D13" s="19">
        <f>Model!I14</f>
        <v/>
      </c>
      <c r="E13" s="19">
        <f>Model!J14</f>
        <v/>
      </c>
      <c r="F13" s="19">
        <f>Model!Y14</f>
        <v/>
      </c>
      <c r="G13" s="11">
        <f>Model!F14</f>
        <v/>
      </c>
      <c r="H13" s="9">
        <f>Model!Z14</f>
        <v/>
      </c>
      <c r="I13" s="9">
        <f>Model!AA14</f>
        <v/>
      </c>
      <c r="J13" s="9">
        <f>Model!AE14</f>
        <v/>
      </c>
      <c r="K13" s="9">
        <f>Model!AH14</f>
        <v/>
      </c>
      <c r="L13" s="9">
        <f>Model!AI14</f>
        <v/>
      </c>
      <c r="M13" s="9">
        <f>Model!AJ14</f>
        <v/>
      </c>
      <c r="N13" s="9">
        <f>Model!AK14</f>
        <v/>
      </c>
      <c r="O13" s="9">
        <f>Model!AL14</f>
        <v/>
      </c>
      <c r="P13" s="9">
        <f>Model!AM14</f>
        <v/>
      </c>
      <c r="Q13" s="9">
        <f>Model!AN14</f>
        <v/>
      </c>
      <c r="R13" s="9">
        <f>Model!AO14</f>
        <v/>
      </c>
      <c r="S13" s="9">
        <f>Model!AP14</f>
        <v/>
      </c>
      <c r="T13" s="9">
        <f>Model!AQ14</f>
        <v/>
      </c>
      <c r="U13" s="9">
        <f>Model!AR14</f>
        <v/>
      </c>
      <c r="V13" s="9">
        <f>Model!AS14</f>
        <v/>
      </c>
      <c r="W13" s="11">
        <f>Model!AU14</f>
        <v/>
      </c>
    </row>
    <row r="14">
      <c r="A14" t="inlineStr">
        <is>
          <t>Month 11</t>
        </is>
      </c>
      <c r="B14" s="19">
        <f>Model!B15</f>
        <v/>
      </c>
      <c r="C14" s="19">
        <f>Model!H15</f>
        <v/>
      </c>
      <c r="D14" s="19">
        <f>Model!I15</f>
        <v/>
      </c>
      <c r="E14" s="19">
        <f>Model!J15</f>
        <v/>
      </c>
      <c r="F14" s="19">
        <f>Model!Y15</f>
        <v/>
      </c>
      <c r="G14" s="11">
        <f>Model!F15</f>
        <v/>
      </c>
      <c r="H14" s="9">
        <f>Model!Z15</f>
        <v/>
      </c>
      <c r="I14" s="9">
        <f>Model!AA15</f>
        <v/>
      </c>
      <c r="J14" s="9">
        <f>Model!AE15</f>
        <v/>
      </c>
      <c r="K14" s="9">
        <f>Model!AH15</f>
        <v/>
      </c>
      <c r="L14" s="9">
        <f>Model!AI15</f>
        <v/>
      </c>
      <c r="M14" s="9">
        <f>Model!AJ15</f>
        <v/>
      </c>
      <c r="N14" s="9">
        <f>Model!AK15</f>
        <v/>
      </c>
      <c r="O14" s="9">
        <f>Model!AL15</f>
        <v/>
      </c>
      <c r="P14" s="9">
        <f>Model!AM15</f>
        <v/>
      </c>
      <c r="Q14" s="9">
        <f>Model!AN15</f>
        <v/>
      </c>
      <c r="R14" s="9">
        <f>Model!AO15</f>
        <v/>
      </c>
      <c r="S14" s="9">
        <f>Model!AP15</f>
        <v/>
      </c>
      <c r="T14" s="9">
        <f>Model!AQ15</f>
        <v/>
      </c>
      <c r="U14" s="9">
        <f>Model!AR15</f>
        <v/>
      </c>
      <c r="V14" s="9">
        <f>Model!AS15</f>
        <v/>
      </c>
      <c r="W14" s="11">
        <f>Model!AU15</f>
        <v/>
      </c>
    </row>
    <row r="15">
      <c r="A15" t="inlineStr">
        <is>
          <t>Month 12</t>
        </is>
      </c>
      <c r="B15" s="19">
        <f>Model!B16</f>
        <v/>
      </c>
      <c r="C15" s="19">
        <f>Model!H16</f>
        <v/>
      </c>
      <c r="D15" s="19">
        <f>Model!I16</f>
        <v/>
      </c>
      <c r="E15" s="19">
        <f>Model!J16</f>
        <v/>
      </c>
      <c r="F15" s="19">
        <f>Model!Y16</f>
        <v/>
      </c>
      <c r="G15" s="11">
        <f>Model!F16</f>
        <v/>
      </c>
      <c r="H15" s="9">
        <f>Model!Z16</f>
        <v/>
      </c>
      <c r="I15" s="9">
        <f>Model!AA16</f>
        <v/>
      </c>
      <c r="J15" s="9">
        <f>Model!AE16</f>
        <v/>
      </c>
      <c r="K15" s="9">
        <f>Model!AH16</f>
        <v/>
      </c>
      <c r="L15" s="9">
        <f>Model!AI16</f>
        <v/>
      </c>
      <c r="M15" s="9">
        <f>Model!AJ16</f>
        <v/>
      </c>
      <c r="N15" s="9">
        <f>Model!AK16</f>
        <v/>
      </c>
      <c r="O15" s="9">
        <f>Model!AL16</f>
        <v/>
      </c>
      <c r="P15" s="9">
        <f>Model!AM16</f>
        <v/>
      </c>
      <c r="Q15" s="9">
        <f>Model!AN16</f>
        <v/>
      </c>
      <c r="R15" s="9">
        <f>Model!AO16</f>
        <v/>
      </c>
      <c r="S15" s="9">
        <f>Model!AP16</f>
        <v/>
      </c>
      <c r="T15" s="9">
        <f>Model!AQ16</f>
        <v/>
      </c>
      <c r="U15" s="9">
        <f>Model!AR16</f>
        <v/>
      </c>
      <c r="V15" s="9">
        <f>Model!AS16</f>
        <v/>
      </c>
      <c r="W15" s="11">
        <f>Model!AU16</f>
        <v/>
      </c>
    </row>
    <row r="16">
      <c r="A16" t="inlineStr">
        <is>
          <t>Month 13</t>
        </is>
      </c>
      <c r="B16" s="19">
        <f>Model!B17</f>
        <v/>
      </c>
      <c r="C16" s="19">
        <f>Model!H17</f>
        <v/>
      </c>
      <c r="D16" s="19">
        <f>Model!I17</f>
        <v/>
      </c>
      <c r="E16" s="19">
        <f>Model!J17</f>
        <v/>
      </c>
      <c r="F16" s="19">
        <f>Model!Y17</f>
        <v/>
      </c>
      <c r="G16" s="11">
        <f>Model!F17</f>
        <v/>
      </c>
      <c r="H16" s="9">
        <f>Model!Z17</f>
        <v/>
      </c>
      <c r="I16" s="9">
        <f>Model!AA17</f>
        <v/>
      </c>
      <c r="J16" s="9">
        <f>Model!AE17</f>
        <v/>
      </c>
      <c r="K16" s="9">
        <f>Model!AH17</f>
        <v/>
      </c>
      <c r="L16" s="9">
        <f>Model!AI17</f>
        <v/>
      </c>
      <c r="M16" s="9">
        <f>Model!AJ17</f>
        <v/>
      </c>
      <c r="N16" s="9">
        <f>Model!AK17</f>
        <v/>
      </c>
      <c r="O16" s="9">
        <f>Model!AL17</f>
        <v/>
      </c>
      <c r="P16" s="9">
        <f>Model!AM17</f>
        <v/>
      </c>
      <c r="Q16" s="9">
        <f>Model!AN17</f>
        <v/>
      </c>
      <c r="R16" s="9">
        <f>Model!AO17</f>
        <v/>
      </c>
      <c r="S16" s="9">
        <f>Model!AP17</f>
        <v/>
      </c>
      <c r="T16" s="9">
        <f>Model!AQ17</f>
        <v/>
      </c>
      <c r="U16" s="9">
        <f>Model!AR17</f>
        <v/>
      </c>
      <c r="V16" s="9">
        <f>Model!AS17</f>
        <v/>
      </c>
      <c r="W16" s="11">
        <f>Model!AU17</f>
        <v/>
      </c>
    </row>
    <row r="17">
      <c r="A17" t="inlineStr">
        <is>
          <t>Month 14</t>
        </is>
      </c>
      <c r="B17" s="19">
        <f>Model!B18</f>
        <v/>
      </c>
      <c r="C17" s="19">
        <f>Model!H18</f>
        <v/>
      </c>
      <c r="D17" s="19">
        <f>Model!I18</f>
        <v/>
      </c>
      <c r="E17" s="19">
        <f>Model!J18</f>
        <v/>
      </c>
      <c r="F17" s="19">
        <f>Model!Y18</f>
        <v/>
      </c>
      <c r="G17" s="11">
        <f>Model!F18</f>
        <v/>
      </c>
      <c r="H17" s="9">
        <f>Model!Z18</f>
        <v/>
      </c>
      <c r="I17" s="9">
        <f>Model!AA18</f>
        <v/>
      </c>
      <c r="J17" s="9">
        <f>Model!AE18</f>
        <v/>
      </c>
      <c r="K17" s="9">
        <f>Model!AH18</f>
        <v/>
      </c>
      <c r="L17" s="9">
        <f>Model!AI18</f>
        <v/>
      </c>
      <c r="M17" s="9">
        <f>Model!AJ18</f>
        <v/>
      </c>
      <c r="N17" s="9">
        <f>Model!AK18</f>
        <v/>
      </c>
      <c r="O17" s="9">
        <f>Model!AL18</f>
        <v/>
      </c>
      <c r="P17" s="9">
        <f>Model!AM18</f>
        <v/>
      </c>
      <c r="Q17" s="9">
        <f>Model!AN18</f>
        <v/>
      </c>
      <c r="R17" s="9">
        <f>Model!AO18</f>
        <v/>
      </c>
      <c r="S17" s="9">
        <f>Model!AP18</f>
        <v/>
      </c>
      <c r="T17" s="9">
        <f>Model!AQ18</f>
        <v/>
      </c>
      <c r="U17" s="9">
        <f>Model!AR18</f>
        <v/>
      </c>
      <c r="V17" s="9">
        <f>Model!AS18</f>
        <v/>
      </c>
      <c r="W17" s="11">
        <f>Model!AU18</f>
        <v/>
      </c>
    </row>
    <row r="18">
      <c r="A18" t="inlineStr">
        <is>
          <t>Month 15</t>
        </is>
      </c>
      <c r="B18" s="19">
        <f>Model!B19</f>
        <v/>
      </c>
      <c r="C18" s="19">
        <f>Model!H19</f>
        <v/>
      </c>
      <c r="D18" s="19">
        <f>Model!I19</f>
        <v/>
      </c>
      <c r="E18" s="19">
        <f>Model!J19</f>
        <v/>
      </c>
      <c r="F18" s="19">
        <f>Model!Y19</f>
        <v/>
      </c>
      <c r="G18" s="11">
        <f>Model!F19</f>
        <v/>
      </c>
      <c r="H18" s="9">
        <f>Model!Z19</f>
        <v/>
      </c>
      <c r="I18" s="9">
        <f>Model!AA19</f>
        <v/>
      </c>
      <c r="J18" s="9">
        <f>Model!AE19</f>
        <v/>
      </c>
      <c r="K18" s="9">
        <f>Model!AH19</f>
        <v/>
      </c>
      <c r="L18" s="9">
        <f>Model!AI19</f>
        <v/>
      </c>
      <c r="M18" s="9">
        <f>Model!AJ19</f>
        <v/>
      </c>
      <c r="N18" s="9">
        <f>Model!AK19</f>
        <v/>
      </c>
      <c r="O18" s="9">
        <f>Model!AL19</f>
        <v/>
      </c>
      <c r="P18" s="9">
        <f>Model!AM19</f>
        <v/>
      </c>
      <c r="Q18" s="9">
        <f>Model!AN19</f>
        <v/>
      </c>
      <c r="R18" s="9">
        <f>Model!AO19</f>
        <v/>
      </c>
      <c r="S18" s="9">
        <f>Model!AP19</f>
        <v/>
      </c>
      <c r="T18" s="9">
        <f>Model!AQ19</f>
        <v/>
      </c>
      <c r="U18" s="9">
        <f>Model!AR19</f>
        <v/>
      </c>
      <c r="V18" s="9">
        <f>Model!AS19</f>
        <v/>
      </c>
      <c r="W18" s="11">
        <f>Model!AU19</f>
        <v/>
      </c>
    </row>
    <row r="19">
      <c r="A19" t="inlineStr">
        <is>
          <t>Month 16</t>
        </is>
      </c>
      <c r="B19" s="19">
        <f>Model!B20</f>
        <v/>
      </c>
      <c r="C19" s="19">
        <f>Model!H20</f>
        <v/>
      </c>
      <c r="D19" s="19">
        <f>Model!I20</f>
        <v/>
      </c>
      <c r="E19" s="19">
        <f>Model!J20</f>
        <v/>
      </c>
      <c r="F19" s="19">
        <f>Model!Y20</f>
        <v/>
      </c>
      <c r="G19" s="11">
        <f>Model!F20</f>
        <v/>
      </c>
      <c r="H19" s="9">
        <f>Model!Z20</f>
        <v/>
      </c>
      <c r="I19" s="9">
        <f>Model!AA20</f>
        <v/>
      </c>
      <c r="J19" s="9">
        <f>Model!AE20</f>
        <v/>
      </c>
      <c r="K19" s="9">
        <f>Model!AH20</f>
        <v/>
      </c>
      <c r="L19" s="9">
        <f>Model!AI20</f>
        <v/>
      </c>
      <c r="M19" s="9">
        <f>Model!AJ20</f>
        <v/>
      </c>
      <c r="N19" s="9">
        <f>Model!AK20</f>
        <v/>
      </c>
      <c r="O19" s="9">
        <f>Model!AL20</f>
        <v/>
      </c>
      <c r="P19" s="9">
        <f>Model!AM20</f>
        <v/>
      </c>
      <c r="Q19" s="9">
        <f>Model!AN20</f>
        <v/>
      </c>
      <c r="R19" s="9">
        <f>Model!AO20</f>
        <v/>
      </c>
      <c r="S19" s="9">
        <f>Model!AP20</f>
        <v/>
      </c>
      <c r="T19" s="9">
        <f>Model!AQ20</f>
        <v/>
      </c>
      <c r="U19" s="9">
        <f>Model!AR20</f>
        <v/>
      </c>
      <c r="V19" s="9">
        <f>Model!AS20</f>
        <v/>
      </c>
      <c r="W19" s="11">
        <f>Model!AU20</f>
        <v/>
      </c>
    </row>
    <row r="20">
      <c r="A20" t="inlineStr">
        <is>
          <t>Month 17</t>
        </is>
      </c>
      <c r="B20" s="19">
        <f>Model!B21</f>
        <v/>
      </c>
      <c r="C20" s="19">
        <f>Model!H21</f>
        <v/>
      </c>
      <c r="D20" s="19">
        <f>Model!I21</f>
        <v/>
      </c>
      <c r="E20" s="19">
        <f>Model!J21</f>
        <v/>
      </c>
      <c r="F20" s="19">
        <f>Model!Y21</f>
        <v/>
      </c>
      <c r="G20" s="11">
        <f>Model!F21</f>
        <v/>
      </c>
      <c r="H20" s="9">
        <f>Model!Z21</f>
        <v/>
      </c>
      <c r="I20" s="9">
        <f>Model!AA21</f>
        <v/>
      </c>
      <c r="J20" s="9">
        <f>Model!AE21</f>
        <v/>
      </c>
      <c r="K20" s="9">
        <f>Model!AH21</f>
        <v/>
      </c>
      <c r="L20" s="9">
        <f>Model!AI21</f>
        <v/>
      </c>
      <c r="M20" s="9">
        <f>Model!AJ21</f>
        <v/>
      </c>
      <c r="N20" s="9">
        <f>Model!AK21</f>
        <v/>
      </c>
      <c r="O20" s="9">
        <f>Model!AL21</f>
        <v/>
      </c>
      <c r="P20" s="9">
        <f>Model!AM21</f>
        <v/>
      </c>
      <c r="Q20" s="9">
        <f>Model!AN21</f>
        <v/>
      </c>
      <c r="R20" s="9">
        <f>Model!AO21</f>
        <v/>
      </c>
      <c r="S20" s="9">
        <f>Model!AP21</f>
        <v/>
      </c>
      <c r="T20" s="9">
        <f>Model!AQ21</f>
        <v/>
      </c>
      <c r="U20" s="9">
        <f>Model!AR21</f>
        <v/>
      </c>
      <c r="V20" s="9">
        <f>Model!AS21</f>
        <v/>
      </c>
      <c r="W20" s="11">
        <f>Model!AU21</f>
        <v/>
      </c>
    </row>
    <row r="21">
      <c r="A21" t="inlineStr">
        <is>
          <t>Month 18</t>
        </is>
      </c>
      <c r="B21" s="19">
        <f>Model!B22</f>
        <v/>
      </c>
      <c r="C21" s="19">
        <f>Model!H22</f>
        <v/>
      </c>
      <c r="D21" s="19">
        <f>Model!I22</f>
        <v/>
      </c>
      <c r="E21" s="19">
        <f>Model!J22</f>
        <v/>
      </c>
      <c r="F21" s="19">
        <f>Model!Y22</f>
        <v/>
      </c>
      <c r="G21" s="11">
        <f>Model!F22</f>
        <v/>
      </c>
      <c r="H21" s="9">
        <f>Model!Z22</f>
        <v/>
      </c>
      <c r="I21" s="9">
        <f>Model!AA22</f>
        <v/>
      </c>
      <c r="J21" s="9">
        <f>Model!AE22</f>
        <v/>
      </c>
      <c r="K21" s="9">
        <f>Model!AH22</f>
        <v/>
      </c>
      <c r="L21" s="9">
        <f>Model!AI22</f>
        <v/>
      </c>
      <c r="M21" s="9">
        <f>Model!AJ22</f>
        <v/>
      </c>
      <c r="N21" s="9">
        <f>Model!AK22</f>
        <v/>
      </c>
      <c r="O21" s="9">
        <f>Model!AL22</f>
        <v/>
      </c>
      <c r="P21" s="9">
        <f>Model!AM22</f>
        <v/>
      </c>
      <c r="Q21" s="9">
        <f>Model!AN22</f>
        <v/>
      </c>
      <c r="R21" s="9">
        <f>Model!AO22</f>
        <v/>
      </c>
      <c r="S21" s="9">
        <f>Model!AP22</f>
        <v/>
      </c>
      <c r="T21" s="9">
        <f>Model!AQ22</f>
        <v/>
      </c>
      <c r="U21" s="9">
        <f>Model!AR22</f>
        <v/>
      </c>
      <c r="V21" s="9">
        <f>Model!AS22</f>
        <v/>
      </c>
      <c r="W21" s="11">
        <f>Model!AU22</f>
        <v/>
      </c>
    </row>
    <row r="22">
      <c r="A22" t="inlineStr">
        <is>
          <t>Month 19</t>
        </is>
      </c>
      <c r="B22" s="19">
        <f>Model!B23</f>
        <v/>
      </c>
      <c r="C22" s="19">
        <f>Model!H23</f>
        <v/>
      </c>
      <c r="D22" s="19">
        <f>Model!I23</f>
        <v/>
      </c>
      <c r="E22" s="19">
        <f>Model!J23</f>
        <v/>
      </c>
      <c r="F22" s="19">
        <f>Model!Y23</f>
        <v/>
      </c>
      <c r="G22" s="11">
        <f>Model!F23</f>
        <v/>
      </c>
      <c r="H22" s="9">
        <f>Model!Z23</f>
        <v/>
      </c>
      <c r="I22" s="9">
        <f>Model!AA23</f>
        <v/>
      </c>
      <c r="J22" s="9">
        <f>Model!AE23</f>
        <v/>
      </c>
      <c r="K22" s="9">
        <f>Model!AH23</f>
        <v/>
      </c>
      <c r="L22" s="9">
        <f>Model!AI23</f>
        <v/>
      </c>
      <c r="M22" s="9">
        <f>Model!AJ23</f>
        <v/>
      </c>
      <c r="N22" s="9">
        <f>Model!AK23</f>
        <v/>
      </c>
      <c r="O22" s="9">
        <f>Model!AL23</f>
        <v/>
      </c>
      <c r="P22" s="9">
        <f>Model!AM23</f>
        <v/>
      </c>
      <c r="Q22" s="9">
        <f>Model!AN23</f>
        <v/>
      </c>
      <c r="R22" s="9">
        <f>Model!AO23</f>
        <v/>
      </c>
      <c r="S22" s="9">
        <f>Model!AP23</f>
        <v/>
      </c>
      <c r="T22" s="9">
        <f>Model!AQ23</f>
        <v/>
      </c>
      <c r="U22" s="9">
        <f>Model!AR23</f>
        <v/>
      </c>
      <c r="V22" s="9">
        <f>Model!AS23</f>
        <v/>
      </c>
      <c r="W22" s="11">
        <f>Model!AU23</f>
        <v/>
      </c>
    </row>
    <row r="23">
      <c r="A23" t="inlineStr">
        <is>
          <t>Month 20</t>
        </is>
      </c>
      <c r="B23" s="19">
        <f>Model!B24</f>
        <v/>
      </c>
      <c r="C23" s="19">
        <f>Model!H24</f>
        <v/>
      </c>
      <c r="D23" s="19">
        <f>Model!I24</f>
        <v/>
      </c>
      <c r="E23" s="19">
        <f>Model!J24</f>
        <v/>
      </c>
      <c r="F23" s="19">
        <f>Model!Y24</f>
        <v/>
      </c>
      <c r="G23" s="11">
        <f>Model!F24</f>
        <v/>
      </c>
      <c r="H23" s="9">
        <f>Model!Z24</f>
        <v/>
      </c>
      <c r="I23" s="9">
        <f>Model!AA24</f>
        <v/>
      </c>
      <c r="J23" s="9">
        <f>Model!AE24</f>
        <v/>
      </c>
      <c r="K23" s="9">
        <f>Model!AH24</f>
        <v/>
      </c>
      <c r="L23" s="9">
        <f>Model!AI24</f>
        <v/>
      </c>
      <c r="M23" s="9">
        <f>Model!AJ24</f>
        <v/>
      </c>
      <c r="N23" s="9">
        <f>Model!AK24</f>
        <v/>
      </c>
      <c r="O23" s="9">
        <f>Model!AL24</f>
        <v/>
      </c>
      <c r="P23" s="9">
        <f>Model!AM24</f>
        <v/>
      </c>
      <c r="Q23" s="9">
        <f>Model!AN24</f>
        <v/>
      </c>
      <c r="R23" s="9">
        <f>Model!AO24</f>
        <v/>
      </c>
      <c r="S23" s="9">
        <f>Model!AP24</f>
        <v/>
      </c>
      <c r="T23" s="9">
        <f>Model!AQ24</f>
        <v/>
      </c>
      <c r="U23" s="9">
        <f>Model!AR24</f>
        <v/>
      </c>
      <c r="V23" s="9">
        <f>Model!AS24</f>
        <v/>
      </c>
      <c r="W23" s="11">
        <f>Model!AU24</f>
        <v/>
      </c>
    </row>
    <row r="24">
      <c r="A24" t="inlineStr">
        <is>
          <t>Month 21</t>
        </is>
      </c>
      <c r="B24" s="19">
        <f>Model!B25</f>
        <v/>
      </c>
      <c r="C24" s="19">
        <f>Model!H25</f>
        <v/>
      </c>
      <c r="D24" s="19">
        <f>Model!I25</f>
        <v/>
      </c>
      <c r="E24" s="19">
        <f>Model!J25</f>
        <v/>
      </c>
      <c r="F24" s="19">
        <f>Model!Y25</f>
        <v/>
      </c>
      <c r="G24" s="11">
        <f>Model!F25</f>
        <v/>
      </c>
      <c r="H24" s="9">
        <f>Model!Z25</f>
        <v/>
      </c>
      <c r="I24" s="9">
        <f>Model!AA25</f>
        <v/>
      </c>
      <c r="J24" s="9">
        <f>Model!AE25</f>
        <v/>
      </c>
      <c r="K24" s="9">
        <f>Model!AH25</f>
        <v/>
      </c>
      <c r="L24" s="9">
        <f>Model!AI25</f>
        <v/>
      </c>
      <c r="M24" s="9">
        <f>Model!AJ25</f>
        <v/>
      </c>
      <c r="N24" s="9">
        <f>Model!AK25</f>
        <v/>
      </c>
      <c r="O24" s="9">
        <f>Model!AL25</f>
        <v/>
      </c>
      <c r="P24" s="9">
        <f>Model!AM25</f>
        <v/>
      </c>
      <c r="Q24" s="9">
        <f>Model!AN25</f>
        <v/>
      </c>
      <c r="R24" s="9">
        <f>Model!AO25</f>
        <v/>
      </c>
      <c r="S24" s="9">
        <f>Model!AP25</f>
        <v/>
      </c>
      <c r="T24" s="9">
        <f>Model!AQ25</f>
        <v/>
      </c>
      <c r="U24" s="9">
        <f>Model!AR25</f>
        <v/>
      </c>
      <c r="V24" s="9">
        <f>Model!AS25</f>
        <v/>
      </c>
      <c r="W24" s="11">
        <f>Model!AU25</f>
        <v/>
      </c>
    </row>
    <row r="25">
      <c r="A25" t="inlineStr">
        <is>
          <t>Month 22</t>
        </is>
      </c>
      <c r="B25" s="19">
        <f>Model!B26</f>
        <v/>
      </c>
      <c r="C25" s="19">
        <f>Model!H26</f>
        <v/>
      </c>
      <c r="D25" s="19">
        <f>Model!I26</f>
        <v/>
      </c>
      <c r="E25" s="19">
        <f>Model!J26</f>
        <v/>
      </c>
      <c r="F25" s="19">
        <f>Model!Y26</f>
        <v/>
      </c>
      <c r="G25" s="11">
        <f>Model!F26</f>
        <v/>
      </c>
      <c r="H25" s="9">
        <f>Model!Z26</f>
        <v/>
      </c>
      <c r="I25" s="9">
        <f>Model!AA26</f>
        <v/>
      </c>
      <c r="J25" s="9">
        <f>Model!AE26</f>
        <v/>
      </c>
      <c r="K25" s="9">
        <f>Model!AH26</f>
        <v/>
      </c>
      <c r="L25" s="9">
        <f>Model!AI26</f>
        <v/>
      </c>
      <c r="M25" s="9">
        <f>Model!AJ26</f>
        <v/>
      </c>
      <c r="N25" s="9">
        <f>Model!AK26</f>
        <v/>
      </c>
      <c r="O25" s="9">
        <f>Model!AL26</f>
        <v/>
      </c>
      <c r="P25" s="9">
        <f>Model!AM26</f>
        <v/>
      </c>
      <c r="Q25" s="9">
        <f>Model!AN26</f>
        <v/>
      </c>
      <c r="R25" s="9">
        <f>Model!AO26</f>
        <v/>
      </c>
      <c r="S25" s="9">
        <f>Model!AP26</f>
        <v/>
      </c>
      <c r="T25" s="9">
        <f>Model!AQ26</f>
        <v/>
      </c>
      <c r="U25" s="9">
        <f>Model!AR26</f>
        <v/>
      </c>
      <c r="V25" s="9">
        <f>Model!AS26</f>
        <v/>
      </c>
      <c r="W25" s="11">
        <f>Model!AU26</f>
        <v/>
      </c>
    </row>
    <row r="26">
      <c r="A26" t="inlineStr">
        <is>
          <t>Month 23</t>
        </is>
      </c>
      <c r="B26" s="19">
        <f>Model!B27</f>
        <v/>
      </c>
      <c r="C26" s="19">
        <f>Model!H27</f>
        <v/>
      </c>
      <c r="D26" s="19">
        <f>Model!I27</f>
        <v/>
      </c>
      <c r="E26" s="19">
        <f>Model!J27</f>
        <v/>
      </c>
      <c r="F26" s="19">
        <f>Model!Y27</f>
        <v/>
      </c>
      <c r="G26" s="11">
        <f>Model!F27</f>
        <v/>
      </c>
      <c r="H26" s="9">
        <f>Model!Z27</f>
        <v/>
      </c>
      <c r="I26" s="9">
        <f>Model!AA27</f>
        <v/>
      </c>
      <c r="J26" s="9">
        <f>Model!AE27</f>
        <v/>
      </c>
      <c r="K26" s="9">
        <f>Model!AH27</f>
        <v/>
      </c>
      <c r="L26" s="9">
        <f>Model!AI27</f>
        <v/>
      </c>
      <c r="M26" s="9">
        <f>Model!AJ27</f>
        <v/>
      </c>
      <c r="N26" s="9">
        <f>Model!AK27</f>
        <v/>
      </c>
      <c r="O26" s="9">
        <f>Model!AL27</f>
        <v/>
      </c>
      <c r="P26" s="9">
        <f>Model!AM27</f>
        <v/>
      </c>
      <c r="Q26" s="9">
        <f>Model!AN27</f>
        <v/>
      </c>
      <c r="R26" s="9">
        <f>Model!AO27</f>
        <v/>
      </c>
      <c r="S26" s="9">
        <f>Model!AP27</f>
        <v/>
      </c>
      <c r="T26" s="9">
        <f>Model!AQ27</f>
        <v/>
      </c>
      <c r="U26" s="9">
        <f>Model!AR27</f>
        <v/>
      </c>
      <c r="V26" s="9">
        <f>Model!AS27</f>
        <v/>
      </c>
      <c r="W26" s="11">
        <f>Model!AU27</f>
        <v/>
      </c>
    </row>
    <row r="27">
      <c r="A27" t="inlineStr">
        <is>
          <t>Month 24</t>
        </is>
      </c>
      <c r="B27" s="19">
        <f>Model!B28</f>
        <v/>
      </c>
      <c r="C27" s="19">
        <f>Model!H28</f>
        <v/>
      </c>
      <c r="D27" s="19">
        <f>Model!I28</f>
        <v/>
      </c>
      <c r="E27" s="19">
        <f>Model!J28</f>
        <v/>
      </c>
      <c r="F27" s="19">
        <f>Model!Y28</f>
        <v/>
      </c>
      <c r="G27" s="11">
        <f>Model!F28</f>
        <v/>
      </c>
      <c r="H27" s="9">
        <f>Model!Z28</f>
        <v/>
      </c>
      <c r="I27" s="9">
        <f>Model!AA28</f>
        <v/>
      </c>
      <c r="J27" s="9">
        <f>Model!AE28</f>
        <v/>
      </c>
      <c r="K27" s="9">
        <f>Model!AH28</f>
        <v/>
      </c>
      <c r="L27" s="9">
        <f>Model!AI28</f>
        <v/>
      </c>
      <c r="M27" s="9">
        <f>Model!AJ28</f>
        <v/>
      </c>
      <c r="N27" s="9">
        <f>Model!AK28</f>
        <v/>
      </c>
      <c r="O27" s="9">
        <f>Model!AL28</f>
        <v/>
      </c>
      <c r="P27" s="9">
        <f>Model!AM28</f>
        <v/>
      </c>
      <c r="Q27" s="9">
        <f>Model!AN28</f>
        <v/>
      </c>
      <c r="R27" s="9">
        <f>Model!AO28</f>
        <v/>
      </c>
      <c r="S27" s="9">
        <f>Model!AP28</f>
        <v/>
      </c>
      <c r="T27" s="9">
        <f>Model!AQ28</f>
        <v/>
      </c>
      <c r="U27" s="9">
        <f>Model!AR28</f>
        <v/>
      </c>
      <c r="V27" s="9">
        <f>Model!AS28</f>
        <v/>
      </c>
      <c r="W27" s="11">
        <f>Model!AU28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</cols>
  <sheetData>
    <row r="1">
      <c r="A1" s="1" t="inlineStr">
        <is>
          <t>Unit Economics v4 (10/20/30 visits + garden-size blended)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</row>
    <row r="4">
      <c r="A4" t="inlineStr">
        <is>
          <t>Blended ARPU (MRR per customer)</t>
        </is>
      </c>
      <c r="B4" s="10">
        <f>EssentialMix*(1-AnnualMix)*BlendedPriceEssMonthly+PremiumMix*(1-AnnualMix)*BlendedPricePremMonthly+EliteMix*(1-AnnualMix)*BlendedPriceEliteMonthly+EssentialMix*AnnualMix*BlendedPriceEssAnnual/12+PremiumMix*AnnualMix*BlendedPricePremAnnual/12+EliteMix*AnnualMix*BlendedPriceEliteAnnual/12</f>
        <v/>
      </c>
      <c r="C4" t="inlineStr">
        <is>
          <t>£/mo</t>
        </is>
      </c>
    </row>
    <row r="5">
      <c r="A5" t="inlineStr">
        <is>
          <t xml:space="preserve">  Monthly plan ARPU</t>
        </is>
      </c>
      <c r="B5" s="10">
        <f>EssentialMix*BlendedPriceEssMonthly+PremiumMix*BlendedPricePremMonthly+EliteMix*BlendedPriceEliteMonthly</f>
        <v/>
      </c>
      <c r="C5" t="inlineStr">
        <is>
          <t>£/mo</t>
        </is>
      </c>
    </row>
    <row r="6">
      <c r="A6" t="inlineStr">
        <is>
          <t xml:space="preserve">  Annual plan ARPU (normalised)</t>
        </is>
      </c>
      <c r="B6" s="10">
        <f>EssentialMix*BlendedPriceEssAnnual/12+PremiumMix*BlendedPricePremAnnual/12+EliteMix*BlendedPriceEliteAnnual/12</f>
        <v/>
      </c>
      <c r="C6" t="inlineStr">
        <is>
          <t>£/mo</t>
        </is>
      </c>
    </row>
    <row r="8">
      <c r="A8" t="inlineStr">
        <is>
          <t>Provider cost per customer (blended tier + garden size)</t>
        </is>
      </c>
      <c r="B8" s="10">
        <f>EssentialMix*BlendedProvPayEss+PremiumMix*BlendedProvPayPrem+EliteMix*BlendedProvPayElite</f>
        <v/>
      </c>
      <c r="C8" t="inlineStr">
        <is>
          <t>£/mo</t>
        </is>
      </c>
    </row>
    <row r="9">
      <c r="A9" t="inlineStr">
        <is>
          <t>Payment fees per customer</t>
        </is>
      </c>
      <c r="B9" s="10">
        <f>B4*PaymentFee</f>
        <v/>
      </c>
      <c r="C9" t="inlineStr">
        <is>
          <t>£/mo</t>
        </is>
      </c>
    </row>
    <row r="10">
      <c r="A10" t="inlineStr">
        <is>
          <t>Ops + AI per customer</t>
        </is>
      </c>
      <c r="B10" s="10">
        <f>OpsAI</f>
        <v/>
      </c>
      <c r="C10" t="inlineStr">
        <is>
          <t>£/mo</t>
        </is>
      </c>
    </row>
    <row r="12">
      <c r="A12" t="inlineStr">
        <is>
          <t>Gross margin per customer (pre-marketing)</t>
        </is>
      </c>
      <c r="B12" s="10">
        <f>B4-B8-B4*PaymentFee-OpsAI</f>
        <v/>
      </c>
      <c r="C12" t="inlineStr">
        <is>
          <t>£/mo</t>
        </is>
      </c>
    </row>
    <row r="13">
      <c r="A13" t="inlineStr">
        <is>
          <t>CAC</t>
        </is>
      </c>
      <c r="B13" s="10">
        <f>CAC</f>
        <v/>
      </c>
      <c r="C13" t="inlineStr">
        <is>
          <t>£</t>
        </is>
      </c>
    </row>
    <row r="14">
      <c r="A14" t="inlineStr">
        <is>
          <t>Months to recover CAC</t>
        </is>
      </c>
      <c r="B14" s="17">
        <f>B13/B12</f>
        <v/>
      </c>
      <c r="C14" t="inlineStr">
        <is>
          <t>months</t>
        </is>
      </c>
    </row>
    <row r="16">
      <c r="A16" t="inlineStr">
        <is>
          <t>Customer lifetime — monthly plan (post min term)</t>
        </is>
      </c>
      <c r="B16" s="17">
        <f>1/MonthlyChurn</f>
        <v/>
      </c>
      <c r="C16" t="inlineStr">
        <is>
          <t>months</t>
        </is>
      </c>
    </row>
    <row r="17">
      <c r="A17" t="inlineStr">
        <is>
          <t>Expected annual renewals — annual plan</t>
        </is>
      </c>
      <c r="B17" s="17">
        <f>1/AnnualChurn</f>
        <v/>
      </c>
      <c r="C17" t="inlineStr">
        <is>
          <t>renewals</t>
        </is>
      </c>
    </row>
    <row r="18">
      <c r="A18" t="inlineStr">
        <is>
          <t>LTV — monthly plan (simplified)</t>
        </is>
      </c>
      <c r="B18" s="10">
        <f>B5*(1-PaymentFee)*ProvPayEss/PriceEssMonthly*(1/MonthlyChurn)*EssentialMix/(EssentialMix+PremiumMix+EliteMix)</f>
        <v/>
      </c>
      <c r="C18" t="inlineStr">
        <is>
          <t>£</t>
        </is>
      </c>
    </row>
    <row r="19">
      <c r="A19" t="inlineStr">
        <is>
          <t>LTV — annual plan (simplified)</t>
        </is>
      </c>
      <c r="B19" s="10">
        <f>B6*12*(1-PaymentFee)*(1/AnnualChurn)</f>
        <v/>
      </c>
      <c r="C19" t="inlineStr">
        <is>
          <t>£</t>
        </is>
      </c>
    </row>
    <row r="20">
      <c r="A20" t="inlineStr">
        <is>
          <t>LTV:CAC — monthly plan</t>
        </is>
      </c>
      <c r="B20" s="17">
        <f>B18/CAC</f>
        <v/>
      </c>
      <c r="C20" t="inlineStr">
        <is>
          <t>x</t>
        </is>
      </c>
    </row>
    <row r="21">
      <c r="A21" t="inlineStr">
        <is>
          <t>LTV:CAC — blended</t>
        </is>
      </c>
      <c r="B21" s="17">
        <f>B4*(1-PaymentFee)*((1-AnnualMix)/MonthlyChurn+AnnualMix*12/AnnualChurn)/CAC</f>
        <v/>
      </c>
      <c r="C21" t="inlineStr">
        <is>
          <t>x</t>
        </is>
      </c>
    </row>
    <row r="22">
      <c r="A22" t="inlineStr">
        <is>
          <t>Inflated ARPU (Year 2 prices)</t>
        </is>
      </c>
      <c r="B22" s="55">
        <f>B4*(1+InflationRate)</f>
        <v/>
      </c>
      <c r="C22" t="inlineStr">
        <is>
          <t>£/mo</t>
        </is>
      </c>
    </row>
    <row r="23">
      <c r="A23" t="inlineStr">
        <is>
          <t>Effective CAC (paid customers only)</t>
        </is>
      </c>
      <c r="B23" s="55">
        <f>CAC</f>
        <v/>
      </c>
      <c r="C23" t="inlineStr">
        <is>
          <t>£</t>
        </is>
      </c>
    </row>
    <row r="24">
      <c r="A24" t="inlineStr">
        <is>
          <t>Blended CAC (incl. referrals)</t>
        </is>
      </c>
      <c r="B24" s="55">
        <f>CAC*(1-ReferralMix)</f>
        <v/>
      </c>
      <c r="C24" t="inlineStr">
        <is>
          <t>£/customer</t>
        </is>
      </c>
    </row>
    <row r="25">
      <c r="A25" t="inlineStr">
        <is>
          <t>Monthly fixed platform cost</t>
        </is>
      </c>
      <c r="B25" s="55">
        <f>MonthlyFixed</f>
        <v/>
      </c>
      <c r="C25" t="inlineStr">
        <is>
          <t>£/mo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Scenario Comparison — Conservative / Base / Aggressive (v4)</t>
        </is>
      </c>
    </row>
    <row r="2">
      <c r="A2" s="2" t="inlineStr">
        <is>
          <t>Edit yellow cells in Conservative &amp; Aggressive columns. Base uses live Inputs (£70 CAC). Marketing spend: Inputs rows 31–39.</t>
        </is>
      </c>
    </row>
    <row r="4">
      <c r="A4" s="3" t="inlineStr">
        <is>
          <t>Parameter</t>
        </is>
      </c>
      <c r="B4" s="3" t="inlineStr">
        <is>
          <t>Conservative</t>
        </is>
      </c>
      <c r="C4" s="3" t="inlineStr">
        <is>
          <t>Base (live Inputs)</t>
        </is>
      </c>
      <c r="D4" s="3" t="inlineStr">
        <is>
          <t>Aggressive</t>
        </is>
      </c>
    </row>
    <row r="5">
      <c r="A5" t="inlineStr">
        <is>
          <t>Monthly churn (post min term)</t>
        </is>
      </c>
      <c r="B5" s="7" t="n">
        <v>0.07000000000000001</v>
      </c>
      <c r="C5" s="7">
        <f>MonthlyChurn</f>
        <v/>
      </c>
      <c r="D5" s="7" t="n">
        <v>0.04</v>
      </c>
    </row>
    <row r="6">
      <c r="A6" t="inlineStr">
        <is>
          <t>Annual churn (at renewal)</t>
        </is>
      </c>
      <c r="B6" s="6" t="n">
        <v>0.25</v>
      </c>
      <c r="C6" s="6">
        <f>AnnualChurn</f>
        <v/>
      </c>
      <c r="D6" s="6" t="n">
        <v>0.15</v>
      </c>
    </row>
    <row r="7">
      <c r="A7" t="inlineStr">
        <is>
          <t>Annual plan mix</t>
        </is>
      </c>
      <c r="B7" s="6" t="n">
        <v>0.15</v>
      </c>
      <c r="C7" s="6">
        <f>AnnualMix</f>
        <v/>
      </c>
      <c r="D7" s="6" t="n">
        <v>0.3</v>
      </c>
    </row>
    <row r="8">
      <c r="A8" t="inlineStr">
        <is>
          <t>CAC (£)</t>
        </is>
      </c>
      <c r="B8" s="4" t="n">
        <v>110</v>
      </c>
      <c r="C8" s="4">
        <f>CAC</f>
        <v/>
      </c>
      <c r="D8" s="4" t="n">
        <v>40</v>
      </c>
    </row>
    <row r="11">
      <c r="A11" s="3" t="inlineStr">
        <is>
          <t>OUTPUT METRICS</t>
        </is>
      </c>
    </row>
    <row r="12">
      <c r="A12" s="14" t="inlineStr">
        <is>
          <t>Metric</t>
        </is>
      </c>
      <c r="B12" s="14" t="inlineStr">
        <is>
          <t>Conservative</t>
        </is>
      </c>
      <c r="C12" s="14" t="inlineStr">
        <is>
          <t>Base</t>
        </is>
      </c>
      <c r="D12" s="14" t="inlineStr">
        <is>
          <t>Aggressive</t>
        </is>
      </c>
    </row>
    <row r="13">
      <c r="A13" t="inlineStr">
        <is>
          <t>End Year 1 — Customers</t>
        </is>
      </c>
      <c r="B13" s="19">
        <f>'Scenario Engine'!Y$16</f>
        <v/>
      </c>
      <c r="C13" s="19">
        <f>'Scenario Engine'!BU$16</f>
        <v/>
      </c>
      <c r="D13" s="19">
        <f>'Scenario Engine'!DQ$16</f>
        <v/>
      </c>
    </row>
    <row r="14">
      <c r="A14" t="inlineStr">
        <is>
          <t>End Year 1 — MRR (£)</t>
        </is>
      </c>
      <c r="B14" s="9">
        <f>'Scenario Engine'!Z$16</f>
        <v/>
      </c>
      <c r="C14" s="9">
        <f>'Scenario Engine'!BV$16</f>
        <v/>
      </c>
      <c r="D14" s="9">
        <f>'Scenario Engine'!DR$16</f>
        <v/>
      </c>
    </row>
    <row r="15">
      <c r="A15" t="inlineStr">
        <is>
          <t>End Year 1 — ARR (£)</t>
        </is>
      </c>
      <c r="B15" s="9">
        <f>'Scenario Engine'!AA$16</f>
        <v/>
      </c>
      <c r="C15" s="9">
        <f>'Scenario Engine'!BW$16</f>
        <v/>
      </c>
      <c r="D15" s="9">
        <f>'Scenario Engine'!DS$16</f>
        <v/>
      </c>
    </row>
    <row r="16">
      <c r="A16" t="inlineStr">
        <is>
          <t>End Year 1 — Cash Balance (£)</t>
        </is>
      </c>
      <c r="B16" s="9">
        <f>'Scenario Engine'!AS$16</f>
        <v/>
      </c>
      <c r="C16" s="9">
        <f>'Scenario Engine'!CO$16</f>
        <v/>
      </c>
      <c r="D16" s="9">
        <f>'Scenario Engine'!EK$16</f>
        <v/>
      </c>
    </row>
    <row r="17">
      <c r="A17" t="inlineStr">
        <is>
          <t>Year 1 — Gross Revenue (£)</t>
        </is>
      </c>
      <c r="B17" s="9">
        <f>SUM('Scenario Engine'!AE$5:'Scenario Engine'!AE$16)</f>
        <v/>
      </c>
      <c r="C17" s="9">
        <f>SUM('Scenario Engine'!CA$5:'Scenario Engine'!CA$16)</f>
        <v/>
      </c>
      <c r="D17" s="9">
        <f>SUM('Scenario Engine'!DW$5:'Scenario Engine'!DW$16)</f>
        <v/>
      </c>
    </row>
    <row r="18">
      <c r="A18" t="inlineStr">
        <is>
          <t>Year 1 — Net Revenue (£)</t>
        </is>
      </c>
      <c r="B18" s="9">
        <f>SUM('Scenario Engine'!AH$5:'Scenario Engine'!AH$16)</f>
        <v/>
      </c>
      <c r="C18" s="9">
        <f>SUM('Scenario Engine'!CD$5:'Scenario Engine'!CD$16)</f>
        <v/>
      </c>
      <c r="D18" s="9">
        <f>SUM('Scenario Engine'!DZ$5:'Scenario Engine'!DZ$16)</f>
        <v/>
      </c>
    </row>
    <row r="19">
      <c r="A19" t="inlineStr">
        <is>
          <t>Year 1 — Profit (£)</t>
        </is>
      </c>
      <c r="B19" s="9">
        <f>SUM('Scenario Engine'!AR$5:'Scenario Engine'!AR$16)</f>
        <v/>
      </c>
      <c r="C19" s="9">
        <f>SUM('Scenario Engine'!CN$5:'Scenario Engine'!CN$16)</f>
        <v/>
      </c>
      <c r="D19" s="9">
        <f>SUM('Scenario Engine'!EJ$5:'Scenario Engine'!EJ$16)</f>
        <v/>
      </c>
    </row>
    <row r="20">
      <c r="A20" t="inlineStr">
        <is>
          <t>End Year 2 — Customers</t>
        </is>
      </c>
      <c r="B20" s="19">
        <f>'Scenario Engine'!Y$28</f>
        <v/>
      </c>
      <c r="C20" s="19">
        <f>'Scenario Engine'!BU$28</f>
        <v/>
      </c>
      <c r="D20" s="19">
        <f>'Scenario Engine'!DQ$28</f>
        <v/>
      </c>
    </row>
    <row r="21">
      <c r="A21" t="inlineStr">
        <is>
          <t>End Year 2 — MRR (£)</t>
        </is>
      </c>
      <c r="B21" s="9">
        <f>'Scenario Engine'!Z$28</f>
        <v/>
      </c>
      <c r="C21" s="9">
        <f>'Scenario Engine'!BV$28</f>
        <v/>
      </c>
      <c r="D21" s="9">
        <f>'Scenario Engine'!DR$28</f>
        <v/>
      </c>
    </row>
    <row r="22">
      <c r="A22" t="inlineStr">
        <is>
          <t>End Year 2 — ARR (£)</t>
        </is>
      </c>
      <c r="B22" s="9">
        <f>'Scenario Engine'!AA$28</f>
        <v/>
      </c>
      <c r="C22" s="9">
        <f>'Scenario Engine'!BW$28</f>
        <v/>
      </c>
      <c r="D22" s="9">
        <f>'Scenario Engine'!DS$28</f>
        <v/>
      </c>
    </row>
    <row r="23">
      <c r="A23" t="inlineStr">
        <is>
          <t>End Year 2 — Cash Balance (£)</t>
        </is>
      </c>
      <c r="B23" s="9">
        <f>'Scenario Engine'!AS$28</f>
        <v/>
      </c>
      <c r="C23" s="9">
        <f>'Scenario Engine'!CO$28</f>
        <v/>
      </c>
      <c r="D23" s="9">
        <f>'Scenario Engine'!EK$28</f>
        <v/>
      </c>
    </row>
    <row r="24">
      <c r="A24" t="inlineStr">
        <is>
          <t>Year 2 — Gross Revenue (£)</t>
        </is>
      </c>
      <c r="B24" s="9">
        <f>SUM('Scenario Engine'!AE$17:'Scenario Engine'!AE$28)</f>
        <v/>
      </c>
      <c r="C24" s="9">
        <f>SUM('Scenario Engine'!CA$17:'Scenario Engine'!CA$28)</f>
        <v/>
      </c>
      <c r="D24" s="9">
        <f>SUM('Scenario Engine'!DW$17:'Scenario Engine'!DW$28)</f>
        <v/>
      </c>
    </row>
    <row r="25">
      <c r="A25" t="inlineStr">
        <is>
          <t>End Year 5 — Customers</t>
        </is>
      </c>
      <c r="B25" s="19">
        <f>'Scenario Engine'!Y$64</f>
        <v/>
      </c>
      <c r="C25" s="19">
        <f>'Scenario Engine'!BU$64</f>
        <v/>
      </c>
      <c r="D25" s="19">
        <f>'Scenario Engine'!DQ$64</f>
        <v/>
      </c>
    </row>
    <row r="26">
      <c r="A26" t="inlineStr">
        <is>
          <t>End Year 5 — MRR (£)</t>
        </is>
      </c>
      <c r="B26" s="9">
        <f>'Scenario Engine'!Z$64</f>
        <v/>
      </c>
      <c r="C26" s="9">
        <f>'Scenario Engine'!BV$64</f>
        <v/>
      </c>
      <c r="D26" s="9">
        <f>'Scenario Engine'!DR$64</f>
        <v/>
      </c>
    </row>
    <row r="27">
      <c r="A27" t="inlineStr">
        <is>
          <t>End Year 5 — ARR (£)</t>
        </is>
      </c>
      <c r="B27" s="9">
        <f>'Scenario Engine'!AA$64</f>
        <v/>
      </c>
      <c r="C27" s="9">
        <f>'Scenario Engine'!BW$64</f>
        <v/>
      </c>
      <c r="D27" s="9">
        <f>'Scenario Engine'!DS$64</f>
        <v/>
      </c>
    </row>
    <row r="28">
      <c r="A28" t="inlineStr">
        <is>
          <t>End Year 5 — Cash Balance (£)</t>
        </is>
      </c>
      <c r="B28" s="9">
        <f>'Scenario Engine'!AS$64</f>
        <v/>
      </c>
      <c r="C28" s="9">
        <f>'Scenario Engine'!CO$64</f>
        <v/>
      </c>
      <c r="D28" s="9">
        <f>'Scenario Engine'!EK$64</f>
        <v/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 Sensitivity — v3 Elite full model</t>
        </is>
      </c>
    </row>
    <row r="2">
      <c r="A2" s="2" t="inlineStr">
        <is>
          <t>Edit churn in column A (yellow). Live model outputs in section below for comparison.</t>
        </is>
      </c>
    </row>
    <row r="4">
      <c r="A4" s="3" t="inlineStr">
        <is>
          <t>Current Monthly Churn (Inputs)</t>
        </is>
      </c>
      <c r="B4" s="16">
        <f>MonthlyChurn</f>
        <v/>
      </c>
    </row>
    <row r="5">
      <c r="A5" s="3" t="inlineStr">
        <is>
          <t>Live Y1 MRR</t>
        </is>
      </c>
      <c r="B5" s="21">
        <f>Model!Z16</f>
        <v/>
      </c>
    </row>
    <row r="6">
      <c r="A6" t="inlineStr">
        <is>
          <t>Live Y2 MRR</t>
        </is>
      </c>
      <c r="B6" s="9">
        <f>Model!Z28</f>
        <v/>
      </c>
    </row>
    <row r="7">
      <c r="A7" t="inlineStr">
        <is>
          <t>Live Y2 ARR</t>
        </is>
      </c>
      <c r="B7" s="9">
        <f>Model!AA28</f>
        <v/>
      </c>
    </row>
    <row r="8">
      <c r="A8" t="inlineStr">
        <is>
          <t>Live Y5 ARR</t>
        </is>
      </c>
      <c r="B8" s="9">
        <f>Model!AA64</f>
        <v/>
      </c>
    </row>
    <row r="9">
      <c r="A9" t="inlineStr">
        <is>
          <t>Live Y5 Cash</t>
        </is>
      </c>
      <c r="B9" s="9">
        <f>Model!AS64</f>
        <v/>
      </c>
    </row>
    <row r="12">
      <c r="A12" s="60" t="inlineStr">
        <is>
          <t>Monthly Churn</t>
        </is>
      </c>
      <c r="B12" s="60" t="inlineStr">
        <is>
          <t>Y1 MRR</t>
        </is>
      </c>
      <c r="C12" s="60" t="inlineStr">
        <is>
          <t>Y1 Cust</t>
        </is>
      </c>
      <c r="D12" s="60" t="inlineStr">
        <is>
          <t>Y2 MRR</t>
        </is>
      </c>
      <c r="E12" s="60" t="inlineStr">
        <is>
          <t>Y2 ARR</t>
        </is>
      </c>
      <c r="F12" s="60" t="inlineStr">
        <is>
          <t>Y2 Cash</t>
        </is>
      </c>
      <c r="G12" s="60" t="inlineStr">
        <is>
          <t>Y5 ARR</t>
        </is>
      </c>
    </row>
    <row r="13">
      <c r="A13" s="61" t="n">
        <v>0.03</v>
      </c>
      <c r="B13" s="62">
        <f>'Scenario Engine'!FN$16</f>
        <v/>
      </c>
      <c r="C13" s="63">
        <f>'Scenario Engine'!FM$16</f>
        <v/>
      </c>
      <c r="D13" s="62">
        <f>'Scenario Engine'!FN$28</f>
        <v/>
      </c>
      <c r="E13" s="62">
        <f>'Scenario Engine'!FO$28</f>
        <v/>
      </c>
      <c r="F13" s="62">
        <f>'Scenario Engine'!FQ$28</f>
        <v/>
      </c>
      <c r="G13" s="62">
        <f>'Scenario Engine'!EY$64</f>
        <v/>
      </c>
    </row>
    <row r="14">
      <c r="A14" s="7" t="n">
        <v>0.035</v>
      </c>
      <c r="B14" s="9">
        <f>'Scenario Engine'!HJ$16</f>
        <v/>
      </c>
      <c r="C14" s="19">
        <f>'Scenario Engine'!HI$16</f>
        <v/>
      </c>
      <c r="D14" s="9">
        <f>'Scenario Engine'!HJ$28</f>
        <v/>
      </c>
      <c r="E14" s="9">
        <f>'Scenario Engine'!HK$28</f>
        <v/>
      </c>
      <c r="F14" s="9">
        <f>'Scenario Engine'!HI$28</f>
        <v/>
      </c>
      <c r="G14" s="9">
        <f>'Scenario Engine'!GQ$64</f>
        <v/>
      </c>
    </row>
    <row r="15">
      <c r="A15" s="7" t="n">
        <v>0.04</v>
      </c>
      <c r="B15" s="9">
        <f>'Scenario Engine'!JF$16</f>
        <v/>
      </c>
      <c r="C15" s="19">
        <f>'Scenario Engine'!JE$16</f>
        <v/>
      </c>
      <c r="D15" s="9">
        <f>'Scenario Engine'!JF$28</f>
        <v/>
      </c>
      <c r="E15" s="9">
        <f>'Scenario Engine'!JG$28</f>
        <v/>
      </c>
      <c r="F15" s="9">
        <f>'Scenario Engine'!JA$28</f>
        <v/>
      </c>
      <c r="G15" s="9">
        <f>'Scenario Engine'!II$64</f>
        <v/>
      </c>
    </row>
    <row r="16">
      <c r="A16" s="7" t="n">
        <v>0.045</v>
      </c>
      <c r="B16" s="9">
        <f>'Scenario Engine'!LB$16</f>
        <v/>
      </c>
      <c r="C16" s="19">
        <f>'Scenario Engine'!LA$16</f>
        <v/>
      </c>
      <c r="D16" s="9">
        <f>'Scenario Engine'!LB$28</f>
        <v/>
      </c>
      <c r="E16" s="9">
        <f>'Scenario Engine'!LC$28</f>
        <v/>
      </c>
      <c r="F16" s="9">
        <f>'Scenario Engine'!KS$28</f>
        <v/>
      </c>
      <c r="G16" s="9">
        <f>'Scenario Engine'!KA$64</f>
        <v/>
      </c>
    </row>
    <row r="17">
      <c r="A17" s="7" t="n">
        <v>0.05</v>
      </c>
      <c r="B17" s="9">
        <f>'Scenario Engine'!MX$16</f>
        <v/>
      </c>
      <c r="C17" s="19">
        <f>'Scenario Engine'!MW$16</f>
        <v/>
      </c>
      <c r="D17" s="9">
        <f>'Scenario Engine'!MX$28</f>
        <v/>
      </c>
      <c r="E17" s="9">
        <f>'Scenario Engine'!MY$28</f>
        <v/>
      </c>
      <c r="F17" s="9">
        <f>'Scenario Engine'!MK$28</f>
        <v/>
      </c>
      <c r="G17" s="9">
        <f>'Scenario Engine'!LS$64</f>
        <v/>
      </c>
    </row>
    <row r="18">
      <c r="A18" s="7" t="n">
        <v>0.055</v>
      </c>
      <c r="B18" s="9">
        <f>'Scenario Engine'!OT$16</f>
        <v/>
      </c>
      <c r="C18" s="19">
        <f>'Scenario Engine'!OS$16</f>
        <v/>
      </c>
      <c r="D18" s="9">
        <f>'Scenario Engine'!OT$28</f>
        <v/>
      </c>
      <c r="E18" s="9">
        <f>'Scenario Engine'!OU$28</f>
        <v/>
      </c>
      <c r="F18" s="9">
        <f>'Scenario Engine'!OC$28</f>
        <v/>
      </c>
      <c r="G18" s="9">
        <f>'Scenario Engine'!NK$64</f>
        <v/>
      </c>
    </row>
    <row r="19">
      <c r="A19" s="7" t="n">
        <v>0.06</v>
      </c>
      <c r="B19" s="9">
        <f>'Scenario Engine'!QP$16</f>
        <v/>
      </c>
      <c r="C19" s="19">
        <f>'Scenario Engine'!QO$16</f>
        <v/>
      </c>
      <c r="D19" s="9">
        <f>'Scenario Engine'!QP$28</f>
        <v/>
      </c>
      <c r="E19" s="9">
        <f>'Scenario Engine'!QQ$28</f>
        <v/>
      </c>
      <c r="F19" s="9">
        <f>'Scenario Engine'!PU$28</f>
        <v/>
      </c>
      <c r="G19" s="9">
        <f>'Scenario Engine'!PC$64</f>
        <v/>
      </c>
    </row>
    <row r="20">
      <c r="A20" s="7" t="n">
        <v>0.065</v>
      </c>
      <c r="B20" s="9">
        <f>'Scenario Engine'!SL$16</f>
        <v/>
      </c>
      <c r="C20" s="19">
        <f>'Scenario Engine'!SK$16</f>
        <v/>
      </c>
      <c r="D20" s="9">
        <f>'Scenario Engine'!SL$28</f>
        <v/>
      </c>
      <c r="E20" s="9">
        <f>'Scenario Engine'!SM$28</f>
        <v/>
      </c>
      <c r="F20" s="9">
        <f>'Scenario Engine'!RM$28</f>
        <v/>
      </c>
      <c r="G20" s="9">
        <f>'Scenario Engine'!QU$64</f>
        <v/>
      </c>
    </row>
    <row r="21">
      <c r="A21" s="7" t="n">
        <v>0.07000000000000001</v>
      </c>
      <c r="B21" s="9">
        <f>'Scenario Engine'!UH$16</f>
        <v/>
      </c>
      <c r="C21" s="19">
        <f>'Scenario Engine'!UG$16</f>
        <v/>
      </c>
      <c r="D21" s="9">
        <f>'Scenario Engine'!UH$28</f>
        <v/>
      </c>
      <c r="E21" s="9">
        <f>'Scenario Engine'!UI$28</f>
        <v/>
      </c>
      <c r="F21" s="9">
        <f>'Scenario Engine'!TE$28</f>
        <v/>
      </c>
      <c r="G21" s="9">
        <f>'Scenario Engine'!SM$64</f>
        <v/>
      </c>
    </row>
    <row r="22">
      <c r="A22" s="7" t="n">
        <v>0.07000000000000001</v>
      </c>
      <c r="B22" s="9">
        <f>'Scenario Engine'!KZ$16</f>
        <v/>
      </c>
      <c r="C22" s="19">
        <f>'Scenario Engine'!KY$16</f>
        <v/>
      </c>
      <c r="D22" s="9">
        <f>'Scenario Engine'!KZ$28</f>
        <v/>
      </c>
      <c r="E22" s="9">
        <f>'Scenario Engine'!LA$28</f>
        <v/>
      </c>
      <c r="F22" s="9">
        <f>'Scenario Engine'!LK$28</f>
        <v/>
      </c>
      <c r="G22" s="9">
        <f>'Scenario Engine'!LA$64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Plan Mix Sensitivity — v3 Elite engine</t>
        </is>
      </c>
    </row>
    <row r="2">
      <c r="A2" s="2" t="inlineStr">
        <is>
          <t>Edit mix % in column A (yellow).</t>
        </is>
      </c>
    </row>
    <row r="4">
      <c r="A4" s="3" t="inlineStr">
        <is>
          <t>Current (Inputs)</t>
        </is>
      </c>
      <c r="B4" s="20">
        <f>AnnualMix</f>
        <v/>
      </c>
    </row>
    <row r="7">
      <c r="A7" s="30" t="inlineStr">
        <is>
          <t>Annual Mix</t>
        </is>
      </c>
      <c r="B7" s="30" t="inlineStr">
        <is>
          <t>Y1 MRR</t>
        </is>
      </c>
      <c r="C7" s="30" t="inlineStr">
        <is>
          <t>Blended ARPU</t>
        </is>
      </c>
      <c r="D7" s="30" t="inlineStr">
        <is>
          <t>Y2 MRR</t>
        </is>
      </c>
      <c r="E7" s="30" t="inlineStr">
        <is>
          <t>Y2 ARR</t>
        </is>
      </c>
      <c r="F7" s="30" t="inlineStr">
        <is>
          <t>Y5 ARR</t>
        </is>
      </c>
      <c r="G7" s="30" t="inlineStr">
        <is>
          <t>Y5 Cash</t>
        </is>
      </c>
    </row>
    <row r="9">
      <c r="A9" s="6" t="n">
        <v>0.1</v>
      </c>
      <c r="B9" s="9">
        <f>'Scenario Engine'!WD$16</f>
        <v/>
      </c>
      <c r="C9" s="10">
        <f>IF('Scenario Engine'!WC$16&gt;0,'Scenario Engine'!WD$16/'Scenario Engine'!WC$16,0)</f>
        <v/>
      </c>
      <c r="D9" s="9">
        <f>'Scenario Engine'!WD$28</f>
        <v/>
      </c>
      <c r="E9" s="9">
        <f>'Scenario Engine'!WE$28</f>
        <v/>
      </c>
      <c r="F9" s="9">
        <f>'Scenario Engine'!UE$64</f>
        <v/>
      </c>
      <c r="G9" s="9">
        <f>'Scenario Engine'!UW$64</f>
        <v/>
      </c>
    </row>
    <row r="10">
      <c r="A10" s="6" t="n">
        <v>0.15</v>
      </c>
      <c r="B10" s="9">
        <f>'Scenario Engine'!XZ$16</f>
        <v/>
      </c>
      <c r="C10" s="10">
        <f>IF('Scenario Engine'!XY$16&gt;0,'Scenario Engine'!XZ$16/'Scenario Engine'!XY$16,0)</f>
        <v/>
      </c>
      <c r="D10" s="9">
        <f>'Scenario Engine'!XZ$28</f>
        <v/>
      </c>
      <c r="E10" s="9">
        <f>'Scenario Engine'!YA$28</f>
        <v/>
      </c>
      <c r="F10" s="9">
        <f>'Scenario Engine'!VW$64</f>
        <v/>
      </c>
      <c r="G10" s="9">
        <f>'Scenario Engine'!WO$64</f>
        <v/>
      </c>
    </row>
    <row r="11">
      <c r="A11" s="6" t="n">
        <v>0.2</v>
      </c>
      <c r="B11" s="9">
        <f>'Scenario Engine'!ZV$16</f>
        <v/>
      </c>
      <c r="C11" s="10">
        <f>IF('Scenario Engine'!ZU$16&gt;0,'Scenario Engine'!ZV$16/'Scenario Engine'!ZU$16,0)</f>
        <v/>
      </c>
      <c r="D11" s="9">
        <f>'Scenario Engine'!ZV$28</f>
        <v/>
      </c>
      <c r="E11" s="9">
        <f>'Scenario Engine'!ZW$28</f>
        <v/>
      </c>
      <c r="F11" s="9">
        <f>'Scenario Engine'!XO$64</f>
        <v/>
      </c>
      <c r="G11" s="9">
        <f>'Scenario Engine'!YG$64</f>
        <v/>
      </c>
    </row>
    <row r="12">
      <c r="A12" s="6" t="n">
        <v>0.25</v>
      </c>
      <c r="B12" s="9">
        <f>'Scenario Engine'!ABR$16</f>
        <v/>
      </c>
      <c r="C12" s="10">
        <f>IF('Scenario Engine'!ABQ$16&gt;0,'Scenario Engine'!ABR$16/'Scenario Engine'!ABQ$16,0)</f>
        <v/>
      </c>
      <c r="D12" s="9">
        <f>'Scenario Engine'!ABR$28</f>
        <v/>
      </c>
      <c r="E12" s="9">
        <f>'Scenario Engine'!ABS$28</f>
        <v/>
      </c>
      <c r="F12" s="9">
        <f>'Scenario Engine'!ZG$64</f>
        <v/>
      </c>
      <c r="G12" s="9">
        <f>'Scenario Engine'!ZY$64</f>
        <v/>
      </c>
    </row>
    <row r="13">
      <c r="A13" s="6" t="n">
        <v>0.3</v>
      </c>
      <c r="B13" s="9">
        <f>'Scenario Engine'!ADN$16</f>
        <v/>
      </c>
      <c r="C13" s="10">
        <f>IF('Scenario Engine'!ADM$16&gt;0,'Scenario Engine'!ADN$16/'Scenario Engine'!ADM$16,0)</f>
        <v/>
      </c>
      <c r="D13" s="9">
        <f>'Scenario Engine'!ADN$28</f>
        <v/>
      </c>
      <c r="E13" s="9">
        <f>'Scenario Engine'!ADO$28</f>
        <v/>
      </c>
      <c r="F13" s="9">
        <f>'Scenario Engine'!AAY$64</f>
        <v/>
      </c>
      <c r="G13" s="9">
        <f>'Scenario Engine'!ABQ$64</f>
        <v/>
      </c>
    </row>
    <row r="14">
      <c r="A14" s="6" t="n">
        <v>0.35</v>
      </c>
      <c r="B14" s="9">
        <f>'Scenario Engine'!AFJ$16</f>
        <v/>
      </c>
      <c r="C14" s="10">
        <f>IF('Scenario Engine'!AFI$16&gt;0,'Scenario Engine'!AFJ$16/'Scenario Engine'!AFI$16,0)</f>
        <v/>
      </c>
      <c r="D14" s="9">
        <f>'Scenario Engine'!AFJ$28</f>
        <v/>
      </c>
      <c r="E14" s="9">
        <f>'Scenario Engine'!AFK$28</f>
        <v/>
      </c>
      <c r="F14" s="9">
        <f>'Scenario Engine'!ACQ$64</f>
        <v/>
      </c>
      <c r="G14" s="9">
        <f>'Scenario Engine'!ADI$64</f>
        <v/>
      </c>
    </row>
    <row r="15">
      <c r="A15" s="6" t="n">
        <v>0.4</v>
      </c>
      <c r="B15" s="9">
        <f>'Scenario Engine'!AHF$16</f>
        <v/>
      </c>
      <c r="C15" s="10">
        <f>IF('Scenario Engine'!AHE$16&gt;0,'Scenario Engine'!AHF$16/'Scenario Engine'!AHE$16,0)</f>
        <v/>
      </c>
      <c r="D15" s="9">
        <f>'Scenario Engine'!AHF$28</f>
        <v/>
      </c>
      <c r="E15" s="9">
        <f>'Scenario Engine'!AHG$28</f>
        <v/>
      </c>
      <c r="F15" s="9">
        <f>'Scenario Engine'!AEI$64</f>
        <v/>
      </c>
      <c r="G15" s="9">
        <f>'Scenario Engine'!AFA$64</f>
        <v/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 Sensitivity — v3 Elite full model engine</t>
        </is>
      </c>
    </row>
    <row r="2">
      <c r="A2" s="2" t="inlineStr">
        <is>
          <t>Edit CAC in column A (yellow). Sweep spans optimistic (£40) to conservative (£120).</t>
        </is>
      </c>
    </row>
    <row r="4">
      <c r="A4" s="3" t="inlineStr">
        <is>
          <t>Current (Inputs)</t>
        </is>
      </c>
      <c r="B4" s="21">
        <f>CAC</f>
        <v/>
      </c>
    </row>
    <row r="7">
      <c r="A7" s="30" t="inlineStr">
        <is>
          <t>CAC (£)</t>
        </is>
      </c>
      <c r="B7" s="30" t="inlineStr">
        <is>
          <t>Y1 New Cust</t>
        </is>
      </c>
      <c r="C7" s="30" t="inlineStr">
        <is>
          <t>Y1 End Cust</t>
        </is>
      </c>
      <c r="D7" s="30" t="inlineStr">
        <is>
          <t>Y1 MRR</t>
        </is>
      </c>
      <c r="E7" s="30" t="inlineStr">
        <is>
          <t>Y2 MRR</t>
        </is>
      </c>
      <c r="F7" s="30" t="inlineStr">
        <is>
          <t>Y2 Cash</t>
        </is>
      </c>
      <c r="G7" s="30" t="inlineStr">
        <is>
          <t>Y5 Cash</t>
        </is>
      </c>
    </row>
    <row r="9">
      <c r="A9" s="4" t="n">
        <v>40</v>
      </c>
      <c r="B9" s="19">
        <f>SUM('Scenario Engine'!AIJ$5:'Scenario Engine'!AIJ$16)</f>
        <v/>
      </c>
      <c r="C9" s="19">
        <f>'Scenario Engine'!AJA$16</f>
        <v/>
      </c>
      <c r="D9" s="9">
        <f>'Scenario Engine'!AJB$16</f>
        <v/>
      </c>
      <c r="E9" s="9">
        <f>'Scenario Engine'!AJB$28</f>
        <v/>
      </c>
      <c r="F9" s="9">
        <f>'Scenario Engine'!AJU$28</f>
        <v/>
      </c>
      <c r="G9" s="9">
        <f>'Scenario Engine'!AJU$64</f>
        <v/>
      </c>
    </row>
    <row r="10">
      <c r="A10" s="4" t="n">
        <v>50</v>
      </c>
      <c r="B10" s="19">
        <f>SUM('Scenario Engine'!AKF$5:'Scenario Engine'!AKF$16)</f>
        <v/>
      </c>
      <c r="C10" s="19">
        <f>'Scenario Engine'!AKW$16</f>
        <v/>
      </c>
      <c r="D10" s="9">
        <f>'Scenario Engine'!AKX$16</f>
        <v/>
      </c>
      <c r="E10" s="9">
        <f>'Scenario Engine'!AKX$28</f>
        <v/>
      </c>
      <c r="F10" s="9">
        <f>'Scenario Engine'!ALQ$28</f>
        <v/>
      </c>
      <c r="G10" s="9">
        <f>'Scenario Engine'!ALQ$64</f>
        <v/>
      </c>
    </row>
    <row r="11">
      <c r="A11" s="4" t="n">
        <v>60</v>
      </c>
      <c r="B11" s="19">
        <f>SUM('Scenario Engine'!AMB$5:'Scenario Engine'!AMB$16)</f>
        <v/>
      </c>
      <c r="C11" s="19">
        <f>'Scenario Engine'!AMS$16</f>
        <v/>
      </c>
      <c r="D11" s="9">
        <f>'Scenario Engine'!AMT$16</f>
        <v/>
      </c>
      <c r="E11" s="9">
        <f>'Scenario Engine'!AMT$28</f>
        <v/>
      </c>
      <c r="F11" s="9">
        <f>'Scenario Engine'!ANM$28</f>
        <v/>
      </c>
      <c r="G11" s="9">
        <f>'Scenario Engine'!ANM$64</f>
        <v/>
      </c>
    </row>
    <row r="12">
      <c r="A12" s="4" t="n">
        <v>70</v>
      </c>
      <c r="B12" s="19">
        <f>SUM('Scenario Engine'!ANX$5:'Scenario Engine'!ANX$16)</f>
        <v/>
      </c>
      <c r="C12" s="19">
        <f>'Scenario Engine'!AOO$16</f>
        <v/>
      </c>
      <c r="D12" s="9">
        <f>'Scenario Engine'!AOP$16</f>
        <v/>
      </c>
      <c r="E12" s="9">
        <f>'Scenario Engine'!AOP$28</f>
        <v/>
      </c>
      <c r="F12" s="9">
        <f>'Scenario Engine'!API$28</f>
        <v/>
      </c>
      <c r="G12" s="9">
        <f>'Scenario Engine'!API$64</f>
        <v/>
      </c>
    </row>
    <row r="13">
      <c r="A13" s="4" t="n">
        <v>80</v>
      </c>
      <c r="B13" s="19">
        <f>SUM('Scenario Engine'!APT$5:'Scenario Engine'!APT$16)</f>
        <v/>
      </c>
      <c r="C13" s="19">
        <f>'Scenario Engine'!AQK$16</f>
        <v/>
      </c>
      <c r="D13" s="9">
        <f>'Scenario Engine'!AQL$16</f>
        <v/>
      </c>
      <c r="E13" s="9">
        <f>'Scenario Engine'!AQL$28</f>
        <v/>
      </c>
      <c r="F13" s="9">
        <f>'Scenario Engine'!ARE$28</f>
        <v/>
      </c>
      <c r="G13" s="9">
        <f>'Scenario Engine'!ARE$64</f>
        <v/>
      </c>
    </row>
    <row r="14">
      <c r="A14" s="4" t="n">
        <v>100</v>
      </c>
      <c r="B14" s="19">
        <f>SUM('Scenario Engine'!ARP$5:'Scenario Engine'!ARP$16)</f>
        <v/>
      </c>
      <c r="C14" s="19">
        <f>'Scenario Engine'!ASG$16</f>
        <v/>
      </c>
      <c r="D14" s="9">
        <f>'Scenario Engine'!ASH$16</f>
        <v/>
      </c>
      <c r="E14" s="9">
        <f>'Scenario Engine'!ASH$28</f>
        <v/>
      </c>
      <c r="F14" s="9">
        <f>'Scenario Engine'!ATA$28</f>
        <v/>
      </c>
      <c r="G14" s="9">
        <f>'Scenario Engine'!ATA$64</f>
        <v/>
      </c>
    </row>
    <row r="15">
      <c r="A15" s="4" t="n">
        <v>120</v>
      </c>
      <c r="B15" s="19">
        <f>SUM('Scenario Engine'!ATL$5:'Scenario Engine'!ATL$16)</f>
        <v/>
      </c>
      <c r="C15" s="19">
        <f>'Scenario Engine'!AUC$16</f>
        <v/>
      </c>
      <c r="D15" s="9">
        <f>'Scenario Engine'!AUD$16</f>
        <v/>
      </c>
      <c r="E15" s="9">
        <f>'Scenario Engine'!AUD$28</f>
        <v/>
      </c>
      <c r="F15" s="9">
        <f>'Scenario Engine'!AUW$28</f>
        <v/>
      </c>
      <c r="G15" s="9">
        <f>'Scenario Engine'!AUW$64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Winter Pivot — Property Care Scenario (v3 Elite)</t>
        </is>
      </c>
    </row>
    <row r="2">
      <c r="A2" s="2" t="inlineStr">
        <is>
          <t>Compares base garden seasonality vs year-round property care. Edit yellow cells. Pivot seasonality: Inputs cols E &amp; F.</t>
        </is>
      </c>
    </row>
    <row r="4">
      <c r="A4" s="3" t="inlineStr">
        <is>
          <t>SCENARIO ASSUMPTIONS</t>
        </is>
      </c>
    </row>
    <row r="5">
      <c r="A5" t="inlineStr">
        <is>
          <t>Positioning</t>
        </is>
      </c>
      <c r="B5" t="inlineStr">
        <is>
          <t>Year-round property care subscription (mowing pauses Dec–Feb; gutter, leaf &amp; patio included on Premium)</t>
        </is>
      </c>
    </row>
    <row r="6">
      <c r="A6" t="inlineStr">
        <is>
          <t>Essential tier mix</t>
        </is>
      </c>
      <c r="B6" s="67" t="n">
        <v>0.65</v>
      </c>
    </row>
    <row r="7">
      <c r="A7" t="inlineStr">
        <is>
          <t>Premium price uplift (£/mo)</t>
        </is>
      </c>
      <c r="B7" s="68" t="n">
        <v>10</v>
      </c>
    </row>
    <row r="8">
      <c r="A8" t="inlineStr">
        <is>
          <t>Same as base</t>
        </is>
      </c>
      <c r="B8" t="inlineStr">
        <is>
          <t>CAC, churn rates, marketing &amp; pricing otherwise from Inputs</t>
        </is>
      </c>
    </row>
    <row r="11">
      <c r="A11" s="3" t="inlineStr">
        <is>
          <t>SEASONALITY COMPARISON (calendar month)</t>
        </is>
      </c>
    </row>
    <row r="12">
      <c r="A12" s="22" t="inlineStr">
        <is>
          <t>Month</t>
        </is>
      </c>
      <c r="B12" s="22" t="inlineStr">
        <is>
          <t>Base acq</t>
        </is>
      </c>
      <c r="C12" s="22" t="inlineStr">
        <is>
          <t>Pivot acq</t>
        </is>
      </c>
      <c r="D12" s="22" t="inlineStr">
        <is>
          <t>Δ acq</t>
        </is>
      </c>
      <c r="E12" s="22" t="inlineStr">
        <is>
          <t>Base churn×</t>
        </is>
      </c>
      <c r="F12" s="22" t="inlineStr">
        <is>
          <t>Pivot churn×</t>
        </is>
      </c>
      <c r="G12" s="22" t="inlineStr">
        <is>
          <t>Δ churn</t>
        </is>
      </c>
    </row>
    <row r="13">
      <c r="A13" s="12" t="inlineStr">
        <is>
          <t>Jan</t>
        </is>
      </c>
      <c r="B13" s="59">
        <f>Inputs!B74</f>
        <v/>
      </c>
      <c r="C13" s="59">
        <f>Inputs!E74</f>
        <v/>
      </c>
      <c r="D13" s="12">
        <f>C13-B13</f>
        <v/>
      </c>
      <c r="E13" s="59">
        <f>Inputs!D74</f>
        <v/>
      </c>
      <c r="F13" s="59">
        <f>Inputs!F74</f>
        <v/>
      </c>
      <c r="G13" s="12">
        <f>F13-E13</f>
        <v/>
      </c>
    </row>
    <row r="14">
      <c r="A14" s="12" t="inlineStr">
        <is>
          <t>Feb</t>
        </is>
      </c>
      <c r="B14" s="59">
        <f>Inputs!B75</f>
        <v/>
      </c>
      <c r="C14" s="59">
        <f>Inputs!E75</f>
        <v/>
      </c>
      <c r="D14" s="12">
        <f>C14-B14</f>
        <v/>
      </c>
      <c r="E14" s="59">
        <f>Inputs!D75</f>
        <v/>
      </c>
      <c r="F14" s="59">
        <f>Inputs!F75</f>
        <v/>
      </c>
      <c r="G14" s="12">
        <f>F14-E14</f>
        <v/>
      </c>
    </row>
    <row r="15">
      <c r="A15" s="12" t="inlineStr">
        <is>
          <t>Mar</t>
        </is>
      </c>
      <c r="B15" s="59">
        <f>Inputs!B76</f>
        <v/>
      </c>
      <c r="C15" s="59">
        <f>Inputs!E76</f>
        <v/>
      </c>
      <c r="D15" s="12">
        <f>C15-B15</f>
        <v/>
      </c>
      <c r="E15" s="59">
        <f>Inputs!D76</f>
        <v/>
      </c>
      <c r="F15" s="59">
        <f>Inputs!F76</f>
        <v/>
      </c>
      <c r="G15" s="12">
        <f>F15-E15</f>
        <v/>
      </c>
    </row>
    <row r="16">
      <c r="A16" s="12" t="inlineStr">
        <is>
          <t>Apr</t>
        </is>
      </c>
      <c r="B16" s="59">
        <f>Inputs!B77</f>
        <v/>
      </c>
      <c r="C16" s="59">
        <f>Inputs!E77</f>
        <v/>
      </c>
      <c r="D16" s="12">
        <f>C16-B16</f>
        <v/>
      </c>
      <c r="E16" s="59">
        <f>Inputs!D77</f>
        <v/>
      </c>
      <c r="F16" s="59">
        <f>Inputs!F77</f>
        <v/>
      </c>
      <c r="G16" s="12">
        <f>F16-E16</f>
        <v/>
      </c>
    </row>
    <row r="17">
      <c r="A17" s="12" t="inlineStr">
        <is>
          <t>May</t>
        </is>
      </c>
      <c r="B17" s="59">
        <f>Inputs!B78</f>
        <v/>
      </c>
      <c r="C17" s="59">
        <f>Inputs!E78</f>
        <v/>
      </c>
      <c r="D17" s="12">
        <f>C17-B17</f>
        <v/>
      </c>
      <c r="E17" s="59">
        <f>Inputs!D78</f>
        <v/>
      </c>
      <c r="F17" s="59">
        <f>Inputs!F78</f>
        <v/>
      </c>
      <c r="G17" s="12">
        <f>F17-E17</f>
        <v/>
      </c>
    </row>
    <row r="18">
      <c r="A18" s="12" t="inlineStr">
        <is>
          <t>Jun</t>
        </is>
      </c>
      <c r="B18" s="59">
        <f>Inputs!B79</f>
        <v/>
      </c>
      <c r="C18" s="59">
        <f>Inputs!E79</f>
        <v/>
      </c>
      <c r="D18" s="12">
        <f>C18-B18</f>
        <v/>
      </c>
      <c r="E18" s="59">
        <f>Inputs!D79</f>
        <v/>
      </c>
      <c r="F18" s="59">
        <f>Inputs!F79</f>
        <v/>
      </c>
      <c r="G18" s="12">
        <f>F18-E18</f>
        <v/>
      </c>
    </row>
    <row r="19">
      <c r="A19" s="12" t="inlineStr">
        <is>
          <t>Jul</t>
        </is>
      </c>
      <c r="B19" s="59">
        <f>Inputs!B80</f>
        <v/>
      </c>
      <c r="C19" s="59">
        <f>Inputs!E80</f>
        <v/>
      </c>
      <c r="D19" s="12">
        <f>C19-B19</f>
        <v/>
      </c>
      <c r="E19" s="59">
        <f>Inputs!D80</f>
        <v/>
      </c>
      <c r="F19" s="59">
        <f>Inputs!F80</f>
        <v/>
      </c>
      <c r="G19" s="12">
        <f>F19-E19</f>
        <v/>
      </c>
    </row>
    <row r="20">
      <c r="A20" s="12" t="inlineStr">
        <is>
          <t>Aug</t>
        </is>
      </c>
      <c r="B20" s="59">
        <f>Inputs!B81</f>
        <v/>
      </c>
      <c r="C20" s="59">
        <f>Inputs!E81</f>
        <v/>
      </c>
      <c r="D20" s="12">
        <f>C20-B20</f>
        <v/>
      </c>
      <c r="E20" s="59">
        <f>Inputs!D81</f>
        <v/>
      </c>
      <c r="F20" s="59">
        <f>Inputs!F81</f>
        <v/>
      </c>
      <c r="G20" s="12">
        <f>F20-E20</f>
        <v/>
      </c>
    </row>
    <row r="21">
      <c r="A21" s="12" t="inlineStr">
        <is>
          <t>Sep</t>
        </is>
      </c>
      <c r="B21" s="59">
        <f>Inputs!B82</f>
        <v/>
      </c>
      <c r="C21" s="59">
        <f>Inputs!E82</f>
        <v/>
      </c>
      <c r="D21" s="12">
        <f>C21-B21</f>
        <v/>
      </c>
      <c r="E21" s="59">
        <f>Inputs!D82</f>
        <v/>
      </c>
      <c r="F21" s="59">
        <f>Inputs!F82</f>
        <v/>
      </c>
      <c r="G21" s="12">
        <f>F21-E21</f>
        <v/>
      </c>
    </row>
    <row r="22">
      <c r="A22" s="12" t="inlineStr">
        <is>
          <t>Oct</t>
        </is>
      </c>
      <c r="B22" s="59">
        <f>Inputs!B83</f>
        <v/>
      </c>
      <c r="C22" s="59">
        <f>Inputs!E83</f>
        <v/>
      </c>
      <c r="D22" s="12">
        <f>C22-B22</f>
        <v/>
      </c>
      <c r="E22" s="59">
        <f>Inputs!D83</f>
        <v/>
      </c>
      <c r="F22" s="59">
        <f>Inputs!F83</f>
        <v/>
      </c>
      <c r="G22" s="12">
        <f>F22-E22</f>
        <v/>
      </c>
    </row>
    <row r="23">
      <c r="A23" s="12" t="inlineStr">
        <is>
          <t>Nov</t>
        </is>
      </c>
      <c r="B23" s="59">
        <f>Inputs!B84</f>
        <v/>
      </c>
      <c r="C23" s="59">
        <f>Inputs!E84</f>
        <v/>
      </c>
      <c r="D23" s="12">
        <f>C23-B23</f>
        <v/>
      </c>
      <c r="E23" s="59">
        <f>Inputs!D84</f>
        <v/>
      </c>
      <c r="F23" s="59">
        <f>Inputs!F84</f>
        <v/>
      </c>
      <c r="G23" s="12">
        <f>F23-E23</f>
        <v/>
      </c>
    </row>
    <row r="24">
      <c r="A24" s="12" t="inlineStr">
        <is>
          <t>Dec</t>
        </is>
      </c>
      <c r="B24" s="59">
        <f>Inputs!B85</f>
        <v/>
      </c>
      <c r="C24" s="59">
        <f>Inputs!E85</f>
        <v/>
      </c>
      <c r="D24" s="12">
        <f>C24-B24</f>
        <v/>
      </c>
      <c r="E24" s="59">
        <f>Inputs!D85</f>
        <v/>
      </c>
      <c r="F24" s="59">
        <f>Inputs!F85</f>
        <v/>
      </c>
      <c r="G24" s="12">
        <f>F24-E24</f>
        <v/>
      </c>
    </row>
    <row r="27">
      <c r="A27" s="3" t="inlineStr">
        <is>
          <t>OUTPUT COMPARISON — Base vs Winter Pivot (full model engine)</t>
        </is>
      </c>
    </row>
    <row r="28">
      <c r="A28" s="2" t="inlineStr">
        <is>
          <t>Base = standard seasonality (Inputs cols B &amp; D). Winter Pivot = cols E &amp; F + Premium property care bundle.</t>
        </is>
      </c>
    </row>
    <row r="30">
      <c r="A30" s="69" t="inlineStr">
        <is>
          <t>Metric</t>
        </is>
      </c>
      <c r="B30" s="69" t="inlineStr">
        <is>
          <t>Base</t>
        </is>
      </c>
      <c r="C30" s="69" t="inlineStr">
        <is>
          <t>Winter Pivot</t>
        </is>
      </c>
      <c r="D30" s="69" t="inlineStr">
        <is>
          <t>Delta</t>
        </is>
      </c>
    </row>
    <row r="31">
      <c r="A31" t="inlineStr">
        <is>
          <t>End Year 1 — Customers</t>
        </is>
      </c>
      <c r="B31" s="70">
        <f>'Scenario Engine'!BU$16</f>
        <v/>
      </c>
      <c r="C31" s="70">
        <f>'Scenario Engine'!AVY$16</f>
        <v/>
      </c>
      <c r="D31" s="70">
        <f>C31-B31</f>
        <v/>
      </c>
    </row>
    <row r="32">
      <c r="A32" t="inlineStr">
        <is>
          <t>End Year 1 — MRR (£)</t>
        </is>
      </c>
      <c r="B32" s="21">
        <f>'Scenario Engine'!BV$16</f>
        <v/>
      </c>
      <c r="C32" s="21">
        <f>'Scenario Engine'!AVZ$16</f>
        <v/>
      </c>
      <c r="D32" s="21">
        <f>C32-B32</f>
        <v/>
      </c>
    </row>
    <row r="33">
      <c r="A33" t="inlineStr">
        <is>
          <t>End Year 1 — ARR (£)</t>
        </is>
      </c>
      <c r="B33" s="21">
        <f>'Scenario Engine'!BW$16</f>
        <v/>
      </c>
      <c r="C33" s="21">
        <f>'Scenario Engine'!AWA$16</f>
        <v/>
      </c>
      <c r="D33" s="21">
        <f>C33-B33</f>
        <v/>
      </c>
    </row>
    <row r="34">
      <c r="A34" t="inlineStr">
        <is>
          <t>End Year 1 — Cash (£)</t>
        </is>
      </c>
      <c r="B34" s="21">
        <f>'Scenario Engine'!CO$16</f>
        <v/>
      </c>
      <c r="C34" s="21">
        <f>'Scenario Engine'!AWS$16</f>
        <v/>
      </c>
      <c r="D34" s="21">
        <f>C34-B34</f>
        <v/>
      </c>
    </row>
    <row r="35">
      <c r="A35" t="inlineStr">
        <is>
          <t>Year 1 — Gross Revenue (£)</t>
        </is>
      </c>
      <c r="B35" s="21">
        <f>SUM('Scenario Engine'!CA$5:'Scenario Engine'!CA$16)</f>
        <v/>
      </c>
      <c r="C35" s="21">
        <f>SUM('Scenario Engine'!AWE$5:'Scenario Engine'!AWE$16)</f>
        <v/>
      </c>
      <c r="D35" s="21">
        <f>C35-B35</f>
        <v/>
      </c>
    </row>
    <row r="36">
      <c r="A36" t="inlineStr">
        <is>
          <t>Year 1 — Profit (£)</t>
        </is>
      </c>
      <c r="B36" s="21">
        <f>SUM('Scenario Engine'!CN$5:'Scenario Engine'!CN$16)</f>
        <v/>
      </c>
      <c r="C36" s="21">
        <f>SUM('Scenario Engine'!AWR$5:'Scenario Engine'!AWR$16)</f>
        <v/>
      </c>
      <c r="D36" s="21">
        <f>C36-B36</f>
        <v/>
      </c>
    </row>
    <row r="37">
      <c r="A37" t="inlineStr">
        <is>
          <t>End Year 2 — Customers</t>
        </is>
      </c>
      <c r="B37" s="70">
        <f>'Scenario Engine'!BU$28</f>
        <v/>
      </c>
      <c r="C37" s="70">
        <f>'Scenario Engine'!AVY$28</f>
        <v/>
      </c>
      <c r="D37" s="70">
        <f>C37-B37</f>
        <v/>
      </c>
    </row>
    <row r="38">
      <c r="A38" t="inlineStr">
        <is>
          <t>End Year 2 — MRR (£)</t>
        </is>
      </c>
      <c r="B38" s="21">
        <f>'Scenario Engine'!BV$28</f>
        <v/>
      </c>
      <c r="C38" s="21">
        <f>'Scenario Engine'!AVZ$28</f>
        <v/>
      </c>
      <c r="D38" s="21">
        <f>C38-B38</f>
        <v/>
      </c>
    </row>
    <row r="39">
      <c r="A39" t="inlineStr">
        <is>
          <t>End Year 2 — Cash (£)</t>
        </is>
      </c>
      <c r="B39" s="21">
        <f>'Scenario Engine'!CO$28</f>
        <v/>
      </c>
      <c r="C39" s="21">
        <f>'Scenario Engine'!AWS$28</f>
        <v/>
      </c>
      <c r="D39" s="21">
        <f>C39-B39</f>
        <v/>
      </c>
    </row>
    <row r="40">
      <c r="A40" t="inlineStr">
        <is>
          <t>End Year 5 — Customers</t>
        </is>
      </c>
      <c r="B40" s="70">
        <f>'Scenario Engine'!BU$64</f>
        <v/>
      </c>
      <c r="C40" s="70">
        <f>'Scenario Engine'!AVY$64</f>
        <v/>
      </c>
      <c r="D40" s="70">
        <f>C40-B40</f>
        <v/>
      </c>
    </row>
    <row r="41">
      <c r="A41" t="inlineStr">
        <is>
          <t>End Year 5 — MRR (£)</t>
        </is>
      </c>
      <c r="B41" s="21">
        <f>'Scenario Engine'!BV$64</f>
        <v/>
      </c>
      <c r="C41" s="21">
        <f>'Scenario Engine'!AVZ$64</f>
        <v/>
      </c>
      <c r="D41" s="21">
        <f>C41-B41</f>
        <v/>
      </c>
    </row>
    <row r="42">
      <c r="A42" t="inlineStr">
        <is>
          <t>End Year 5 — Cash (£)</t>
        </is>
      </c>
      <c r="B42" s="21">
        <f>'Scenario Engine'!CO$64</f>
        <v/>
      </c>
      <c r="C42" s="21">
        <f>'Scenario Engine'!AWS$64</f>
        <v/>
      </c>
      <c r="D42" s="21">
        <f>C42-B42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60-Month Model v4 — 10/20/30 visits per year + VAT principal/agent toggle</t>
        </is>
      </c>
    </row>
    <row r="4">
      <c r="A4" s="22" t="inlineStr">
        <is>
          <t>Mo</t>
        </is>
      </c>
      <c r="B4" s="22" t="inlineStr">
        <is>
          <t>Cal</t>
        </is>
      </c>
      <c r="C4" s="22" t="inlineStr">
        <is>
          <t>CY</t>
        </is>
      </c>
      <c r="D4" s="22" t="inlineStr">
        <is>
          <t>Acq</t>
        </is>
      </c>
      <c r="E4" s="22" t="inlineStr">
        <is>
          <t>Infl</t>
        </is>
      </c>
      <c r="F4" s="22" t="inlineStr">
        <is>
          <t>ECh</t>
        </is>
      </c>
      <c r="G4" s="22" t="inlineStr">
        <is>
          <t>Mkt</t>
        </is>
      </c>
      <c r="H4" s="22" t="inlineStr">
        <is>
          <t>Paid</t>
        </is>
      </c>
      <c r="I4" s="22" t="inlineStr">
        <is>
          <t>Ref</t>
        </is>
      </c>
      <c r="J4" s="22" t="inlineStr">
        <is>
          <t>Tot</t>
        </is>
      </c>
      <c r="K4" s="22" t="inlineStr">
        <is>
          <t>NMo</t>
        </is>
      </c>
      <c r="L4" s="22" t="inlineStr">
        <is>
          <t>NAn</t>
        </is>
      </c>
      <c r="M4" s="22" t="inlineStr">
        <is>
          <t>NEsM</t>
        </is>
      </c>
      <c r="N4" s="22" t="inlineStr">
        <is>
          <t>NPrM</t>
        </is>
      </c>
      <c r="O4" s="22" t="inlineStr">
        <is>
          <t>NElM</t>
        </is>
      </c>
      <c r="P4" s="22" t="inlineStr">
        <is>
          <t>NEsA</t>
        </is>
      </c>
      <c r="Q4" s="22" t="inlineStr">
        <is>
          <t>NPrA</t>
        </is>
      </c>
      <c r="R4" s="22" t="inlineStr">
        <is>
          <t>NElA</t>
        </is>
      </c>
      <c r="S4" s="22" t="inlineStr">
        <is>
          <t>AEsM</t>
        </is>
      </c>
      <c r="T4" s="22" t="inlineStr">
        <is>
          <t>APrM</t>
        </is>
      </c>
      <c r="U4" s="22" t="inlineStr">
        <is>
          <t>AElM</t>
        </is>
      </c>
      <c r="V4" s="22" t="inlineStr">
        <is>
          <t>AEsA</t>
        </is>
      </c>
      <c r="W4" s="22" t="inlineStr">
        <is>
          <t>APrA</t>
        </is>
      </c>
      <c r="X4" s="22" t="inlineStr">
        <is>
          <t>AElA</t>
        </is>
      </c>
      <c r="Y4" s="22" t="inlineStr">
        <is>
          <t>Cust</t>
        </is>
      </c>
      <c r="Z4" s="22" t="inlineStr">
        <is>
          <t>MRR</t>
        </is>
      </c>
      <c r="AA4" s="22" t="inlineStr">
        <is>
          <t>ARR</t>
        </is>
      </c>
      <c r="AB4" s="22" t="inlineStr">
        <is>
          <t>Mo$</t>
        </is>
      </c>
      <c r="AC4" s="22" t="inlineStr">
        <is>
          <t>NwAn</t>
        </is>
      </c>
      <c r="AD4" s="22" t="inlineStr">
        <is>
          <t>Ren</t>
        </is>
      </c>
      <c r="AE4" s="22" t="inlineStr">
        <is>
          <t>Gross</t>
        </is>
      </c>
      <c r="AF4" s="22" t="inlineStr">
        <is>
          <t>R12</t>
        </is>
      </c>
      <c r="AG4" s="22" t="inlineStr">
        <is>
          <t>VAT</t>
        </is>
      </c>
      <c r="AH4" s="22" t="inlineStr">
        <is>
          <t>Net</t>
        </is>
      </c>
      <c r="AI4" s="22" t="inlineStr">
        <is>
          <t>VAcc</t>
        </is>
      </c>
      <c r="AJ4" s="22" t="inlineStr">
        <is>
          <t>VPay</t>
        </is>
      </c>
      <c r="AK4" s="22" t="inlineStr">
        <is>
          <t>VBal</t>
        </is>
      </c>
      <c r="AL4" s="22" t="inlineStr">
        <is>
          <t>Prov</t>
        </is>
      </c>
      <c r="AM4" s="22" t="inlineStr">
        <is>
          <t>Fee</t>
        </is>
      </c>
      <c r="AN4" s="22" t="inlineStr">
        <is>
          <t>Ops</t>
        </is>
      </c>
      <c r="AO4" s="22" t="inlineStr">
        <is>
          <t>Fix</t>
        </is>
      </c>
      <c r="AP4" s="22" t="inlineStr">
        <is>
          <t>Ref$</t>
        </is>
      </c>
      <c r="AQ4" s="22" t="inlineStr">
        <is>
          <t>Mkt</t>
        </is>
      </c>
      <c r="AR4" s="22" t="inlineStr">
        <is>
          <t>Pft</t>
        </is>
      </c>
      <c r="AS4" s="22" t="inlineStr">
        <is>
          <t>Cash</t>
        </is>
      </c>
      <c r="AT4" s="22" t="inlineStr">
        <is>
          <t>ARPU</t>
        </is>
      </c>
      <c r="AU4" s="22" t="inlineStr">
        <is>
          <t>Chrn</t>
        </is>
      </c>
    </row>
    <row r="5">
      <c r="A5" s="12" t="n">
        <v>1</v>
      </c>
      <c r="B5" s="12">
        <f>MOD(A5-1+LaunchMonth-1,12)+1</f>
        <v/>
      </c>
      <c r="C5" s="12">
        <f>INT((A5-1+LaunchMonth-1)/12)+1</f>
        <v/>
      </c>
      <c r="D5" s="12">
        <f>VLOOKUP(B5,SeasonTable,2,FALSE)</f>
        <v/>
      </c>
      <c r="E5" s="12">
        <f>(1+InflationRate)^INT((A5-1)/12)</f>
        <v/>
      </c>
      <c r="F5" s="11">
        <f>MonthlyChurn*VLOOKUP(B5,ChurnSeasonTable,4,FALSE)</f>
        <v/>
      </c>
      <c r="G5" s="12">
        <f>MktFixed1_3</f>
        <v/>
      </c>
      <c r="H5" s="12">
        <f>IF(G5&gt;0,MAX(1,ROUND(G5/CAC*D5,0)),0)</f>
        <v/>
      </c>
      <c r="I5" s="12">
        <f>IF(H5&gt;0,ROUND(H5*ReferralMix/(1-ReferralMix),0),0)</f>
        <v/>
      </c>
      <c r="J5" s="12">
        <f>H5+I5</f>
        <v/>
      </c>
      <c r="K5" s="12">
        <f>ROUND(J5*(1-AnnualMix),0)</f>
        <v/>
      </c>
      <c r="L5" s="12">
        <f>J5-K5</f>
        <v/>
      </c>
      <c r="M5" s="12">
        <f>ROUND(K5*EssentialMix,0)</f>
        <v/>
      </c>
      <c r="N5" s="12">
        <f>ROUND(K5*PremiumMix,0)</f>
        <v/>
      </c>
      <c r="O5" s="12">
        <f>K5-M5-N5</f>
        <v/>
      </c>
      <c r="P5" s="12">
        <f>ROUND(L5*EssentialMix,0)</f>
        <v/>
      </c>
      <c r="Q5" s="12">
        <f>ROUND(L5*PremiumMix,0)</f>
        <v/>
      </c>
      <c r="R5" s="12">
        <f>L5-P5-Q5</f>
        <v/>
      </c>
      <c r="S5" s="12">
        <f>M5</f>
        <v/>
      </c>
      <c r="T5" s="12">
        <f>N5</f>
        <v/>
      </c>
      <c r="U5" s="12">
        <f>O5</f>
        <v/>
      </c>
      <c r="V5" s="12">
        <f>P5</f>
        <v/>
      </c>
      <c r="W5" s="12">
        <f>Q5</f>
        <v/>
      </c>
      <c r="X5" s="12">
        <f>R5</f>
        <v/>
      </c>
      <c r="Y5" s="12">
        <f>S5+T5+U5+V5+W5+X5</f>
        <v/>
      </c>
      <c r="Z5" s="9">
        <f>S5*BlendedPriceEssMonthly*E5+T5*BlendedPricePremMonthly*E5+U5*BlendedPriceEliteMonthly*E5+V5*BlendedPriceEssAnnual*E5/12+W5*BlendedPricePremAnnual*E5/12+X5*BlendedPriceEliteAnnual*E5/12</f>
        <v/>
      </c>
      <c r="AA5" s="9">
        <f>Z5*12</f>
        <v/>
      </c>
      <c r="AB5" s="12">
        <f>S5*BlendedPriceEssMonthly*E5+T5*BlendedPricePremMonthly*E5+U5*BlendedPriceEliteMonthly*E5</f>
        <v/>
      </c>
      <c r="AC5" s="12">
        <f>P5*BlendedPriceEssAnnual*E5+Q5*BlendedPricePremAnnual*E5+R5*BlendedPriceEliteAnnual*E5</f>
        <v/>
      </c>
      <c r="AD5" s="12">
        <f>0+0+0</f>
        <v/>
      </c>
      <c r="AE5" s="9">
        <f>AB5+AC5+AD5</f>
        <v/>
      </c>
      <c r="AF5" s="12">
        <f>SUM(AE$5:AE5)</f>
        <v/>
      </c>
      <c r="AG5" s="12">
        <f>IF(VATAgentMode,SUM($AE$5:$AE5)-SUM($AL$5:$AL5)&gt;=VATThreshold,SUM($AE$5:$AE5)&gt;=VATThreshold)</f>
        <v/>
      </c>
      <c r="AH5" s="9">
        <f>IF(AG5,IF(VATAgentMode,AE5-((AE5-AL5)-(AE5-AL5)/(1+VATRate)),AE5/(1+VATRate)),AE5)</f>
        <v/>
      </c>
      <c r="AI5" s="12">
        <f>AE5-AH5</f>
        <v/>
      </c>
      <c r="AJ5" s="12">
        <f>IF(AG5=0,0,IF(B5=1,SUMPRODUCT(--(($C$5:$C5=$C5-1)*($B$5:$B5&gt;=10)*($B$5:$B5&lt;=12)),$AI$5:$AI5),IF(B5=4,SUMPRODUCT(--(($C$5:$C5=$C5)*($B$5:$B5&gt;=1)*($B$5:$B5&lt;=3)),$AI$5:$AI5),IF(B5=7,SUMPRODUCT(--(($C$5:$C5=$C5)*($B$5:$B5&gt;=4)*($B$5:$B5&lt;=6)),$AI$5:$AI5),IF(B5=10,SUMPRODUCT(--(($C$5:$C5=$C5)*($B$5:$B5&gt;=7)*($B$5:$B5&lt;=9)),$AI$5:$AI5),0)))))</f>
        <v/>
      </c>
      <c r="AK5" s="12">
        <f>AI5-AJ5</f>
        <v/>
      </c>
      <c r="AL5" s="12">
        <f>IF(ProviderDelay&gt;=1,0,S5*BlendedProvPayEss+T5*BlendedProvPayPrem+U5*BlendedProvPayElite+V5*BlendedProvPayEss+W5*BlendedProvPayPrem+X5*BlendedProvPayElite)</f>
        <v/>
      </c>
      <c r="AM5" s="12">
        <f>AE5*PaymentFee</f>
        <v/>
      </c>
      <c r="AN5" s="12">
        <f>Y5*OpsAI</f>
        <v/>
      </c>
      <c r="AO5" s="12">
        <f>MonthlyFixed</f>
        <v/>
      </c>
      <c r="AP5" s="12">
        <f>I5*ReferralReward</f>
        <v/>
      </c>
      <c r="AQ5" s="12">
        <f>G5</f>
        <v/>
      </c>
      <c r="AR5" s="9">
        <f>AH5-AL5-AM5-AN5-AO5-AP5-AQ5</f>
        <v/>
      </c>
      <c r="AS5" s="9">
        <f>InitialInvestment+AE5-(AL5+AM5+AN5+AO5+AP5+AQ5+AJ5)</f>
        <v/>
      </c>
      <c r="AT5" s="12">
        <f>IF(Y5&gt;0,Z5/Y5,0)</f>
        <v/>
      </c>
      <c r="AU5" s="11" t="n">
        <v>0</v>
      </c>
    </row>
    <row r="6">
      <c r="A6" s="12" t="n">
        <v>2</v>
      </c>
      <c r="B6" s="12">
        <f>MOD(A6-1+LaunchMonth-1,12)+1</f>
        <v/>
      </c>
      <c r="C6" s="12">
        <f>INT((A6-1+LaunchMonth-1)/12)+1</f>
        <v/>
      </c>
      <c r="D6" s="12">
        <f>VLOOKUP(B6,SeasonTable,2,FALSE)</f>
        <v/>
      </c>
      <c r="E6" s="12">
        <f>(1+InflationRate)^INT((A6-1)/12)</f>
        <v/>
      </c>
      <c r="F6" s="11">
        <f>MonthlyChurn*VLOOKUP(B6,ChurnSeasonTable,4,FALSE)</f>
        <v/>
      </c>
      <c r="G6" s="12">
        <f>MktFixed1_3</f>
        <v/>
      </c>
      <c r="H6" s="12">
        <f>IF(G6&gt;0,MAX(1,ROUND(G6/CAC*D6,0)),0)</f>
        <v/>
      </c>
      <c r="I6" s="12">
        <f>IF(H6&gt;0,ROUND(H6*ReferralMix/(1-ReferralMix),0),0)</f>
        <v/>
      </c>
      <c r="J6" s="12">
        <f>H6+I6</f>
        <v/>
      </c>
      <c r="K6" s="12">
        <f>ROUND(J6*(1-AnnualMix),0)</f>
        <v/>
      </c>
      <c r="L6" s="12">
        <f>J6-K6</f>
        <v/>
      </c>
      <c r="M6" s="12">
        <f>ROUND(K6*EssentialMix,0)</f>
        <v/>
      </c>
      <c r="N6" s="12">
        <f>ROUND(K6*PremiumMix,0)</f>
        <v/>
      </c>
      <c r="O6" s="12">
        <f>K6-M6-N6</f>
        <v/>
      </c>
      <c r="P6" s="12">
        <f>ROUND(L6*EssentialMix,0)</f>
        <v/>
      </c>
      <c r="Q6" s="12">
        <f>ROUND(L6*PremiumMix,0)</f>
        <v/>
      </c>
      <c r="R6" s="12">
        <f>L6-P6-Q6</f>
        <v/>
      </c>
      <c r="S6" s="12">
        <f>M6+M5</f>
        <v/>
      </c>
      <c r="T6" s="12">
        <f>N6+N5</f>
        <v/>
      </c>
      <c r="U6" s="12">
        <f>O6+O5</f>
        <v/>
      </c>
      <c r="V6" s="12">
        <f>SUM(P$5:P6)</f>
        <v/>
      </c>
      <c r="W6" s="12">
        <f>SUM(Q$5:Q6)</f>
        <v/>
      </c>
      <c r="X6" s="12">
        <f>SUM(R$5:R6)</f>
        <v/>
      </c>
      <c r="Y6" s="12">
        <f>S6+T6+U6+V6+W6+X6</f>
        <v/>
      </c>
      <c r="Z6" s="9">
        <f>S6*BlendedPriceEssMonthly*E6+T6*BlendedPricePremMonthly*E6+U6*BlendedPriceEliteMonthly*E6+V6*BlendedPriceEssAnnual*E6/12+W6*BlendedPricePremAnnual*E6/12+X6*BlendedPriceEliteAnnual*E6/12</f>
        <v/>
      </c>
      <c r="AA6" s="9">
        <f>Z6*12</f>
        <v/>
      </c>
      <c r="AB6" s="12">
        <f>S6*BlendedPriceEssMonthly*E6+T6*BlendedPricePremMonthly*E6+U6*BlendedPriceEliteMonthly*E6</f>
        <v/>
      </c>
      <c r="AC6" s="12">
        <f>P6*BlendedPriceEssAnnual*E6+Q6*BlendedPricePremAnnual*E6+R6*BlendedPriceEliteAnnual*E6</f>
        <v/>
      </c>
      <c r="AD6" s="12">
        <f>0+0+0</f>
        <v/>
      </c>
      <c r="AE6" s="9">
        <f>AB6+AC6+AD6</f>
        <v/>
      </c>
      <c r="AF6" s="12">
        <f>SUM(AE$5:AE6)</f>
        <v/>
      </c>
      <c r="AG6" s="12">
        <f>OR(AG5,IF(VATAgentMode,SUM($AE$5:$AE6)-SUM($AL$5:$AL6)&gt;=VATThreshold,SUM($AE$5:$AE6)&gt;=VATThreshold))</f>
        <v/>
      </c>
      <c r="AH6" s="9">
        <f>IF(AG6,IF(VATAgentMode,AE6-((AE6-AL6)-(AE6-AL6)/(1+VATRate)),AE6/(1+VATRate)),AE6)</f>
        <v/>
      </c>
      <c r="AI6" s="12">
        <f>AE6-AH6</f>
        <v/>
      </c>
      <c r="AJ6" s="12">
        <f>IF(AG6=0,0,IF(B6=1,SUMPRODUCT(--(($C$5:$C6=$C6-1)*($B$5:$B6&gt;=10)*($B$5:$B6&lt;=12)),$AI$5:$AI6),IF(B6=4,SUMPRODUCT(--(($C$5:$C6=$C6)*($B$5:$B6&gt;=1)*($B$5:$B6&lt;=3)),$AI$5:$AI6),IF(B6=7,SUMPRODUCT(--(($C$5:$C6=$C6)*($B$5:$B6&gt;=4)*($B$5:$B6&lt;=6)),$AI$5:$AI6),IF(B6=10,SUMPRODUCT(--(($C$5:$C6=$C6)*($B$5:$B6&gt;=7)*($B$5:$B6&lt;=9)),$AI$5:$AI6),0)))))</f>
        <v/>
      </c>
      <c r="AK6" s="12">
        <f>AK5+AI6-AJ6</f>
        <v/>
      </c>
      <c r="AL6" s="12">
        <f>IF(ProviderDelay&gt;=1,S5*BlendedProvPayEss+T5*BlendedProvPayPrem+U5*BlendedProvPayElite+V5*BlendedProvPayEss+W5*BlendedProvPayPrem+X5*BlendedProvPayElite,S6*BlendedProvPayEss+T6*BlendedProvPayPrem+U6*BlendedProvPayElite+V6*BlendedProvPayEss+W6*BlendedProvPayPrem+X6*BlendedProvPayElite)</f>
        <v/>
      </c>
      <c r="AM6" s="12">
        <f>AE6*PaymentFee</f>
        <v/>
      </c>
      <c r="AN6" s="12">
        <f>Y6*OpsAI</f>
        <v/>
      </c>
      <c r="AO6" s="12">
        <f>MonthlyFixed</f>
        <v/>
      </c>
      <c r="AP6" s="12">
        <f>I6*ReferralReward</f>
        <v/>
      </c>
      <c r="AQ6" s="12">
        <f>G6</f>
        <v/>
      </c>
      <c r="AR6" s="9">
        <f>AH6-AL6-AM6-AN6-AO6-AP6-AQ6</f>
        <v/>
      </c>
      <c r="AS6" s="9">
        <f>AS5+AE6-(AL6+AM6+AN6+AO6+AP6+AQ6+AJ6)</f>
        <v/>
      </c>
      <c r="AT6" s="12">
        <f>IF(Y6&gt;0,Z6/Y6,0)</f>
        <v/>
      </c>
      <c r="AU6" s="11">
        <f>IF(Y5&gt;0,MAX(0,(Y5+J6-Y6)/Y5),0)</f>
        <v/>
      </c>
    </row>
    <row r="7">
      <c r="A7" s="12" t="n">
        <v>3</v>
      </c>
      <c r="B7" s="12">
        <f>MOD(A7-1+LaunchMonth-1,12)+1</f>
        <v/>
      </c>
      <c r="C7" s="12">
        <f>INT((A7-1+LaunchMonth-1)/12)+1</f>
        <v/>
      </c>
      <c r="D7" s="12">
        <f>VLOOKUP(B7,SeasonTable,2,FALSE)</f>
        <v/>
      </c>
      <c r="E7" s="12">
        <f>(1+InflationRate)^INT((A7-1)/12)</f>
        <v/>
      </c>
      <c r="F7" s="11">
        <f>MonthlyChurn*VLOOKUP(B7,ChurnSeasonTable,4,FALSE)</f>
        <v/>
      </c>
      <c r="G7" s="12">
        <f>MktFixed1_3</f>
        <v/>
      </c>
      <c r="H7" s="12">
        <f>IF(G7&gt;0,MAX(1,ROUND(G7/CAC*D7,0)),0)</f>
        <v/>
      </c>
      <c r="I7" s="12">
        <f>IF(H7&gt;0,ROUND(H7*ReferralMix/(1-ReferralMix),0),0)</f>
        <v/>
      </c>
      <c r="J7" s="12">
        <f>H7+I7</f>
        <v/>
      </c>
      <c r="K7" s="12">
        <f>ROUND(J7*(1-AnnualMix),0)</f>
        <v/>
      </c>
      <c r="L7" s="12">
        <f>J7-K7</f>
        <v/>
      </c>
      <c r="M7" s="12">
        <f>ROUND(K7*EssentialMix,0)</f>
        <v/>
      </c>
      <c r="N7" s="12">
        <f>ROUND(K7*PremiumMix,0)</f>
        <v/>
      </c>
      <c r="O7" s="12">
        <f>K7-M7-N7</f>
        <v/>
      </c>
      <c r="P7" s="12">
        <f>ROUND(L7*EssentialMix,0)</f>
        <v/>
      </c>
      <c r="Q7" s="12">
        <f>ROUND(L7*PremiumMix,0)</f>
        <v/>
      </c>
      <c r="R7" s="12">
        <f>L7-P7-Q7</f>
        <v/>
      </c>
      <c r="S7" s="12">
        <f>M7+M6+M5</f>
        <v/>
      </c>
      <c r="T7" s="12">
        <f>N7+N6+N5</f>
        <v/>
      </c>
      <c r="U7" s="12">
        <f>O7+O6+O5</f>
        <v/>
      </c>
      <c r="V7" s="12">
        <f>SUM(P$5:P7)</f>
        <v/>
      </c>
      <c r="W7" s="12">
        <f>SUM(Q$5:Q7)</f>
        <v/>
      </c>
      <c r="X7" s="12">
        <f>SUM(R$5:R7)</f>
        <v/>
      </c>
      <c r="Y7" s="12">
        <f>S7+T7+U7+V7+W7+X7</f>
        <v/>
      </c>
      <c r="Z7" s="9">
        <f>S7*BlendedPriceEssMonthly*E7+T7*BlendedPricePremMonthly*E7+U7*BlendedPriceEliteMonthly*E7+V7*BlendedPriceEssAnnual*E7/12+W7*BlendedPricePremAnnual*E7/12+X7*BlendedPriceEliteAnnual*E7/12</f>
        <v/>
      </c>
      <c r="AA7" s="9">
        <f>Z7*12</f>
        <v/>
      </c>
      <c r="AB7" s="12">
        <f>S7*BlendedPriceEssMonthly*E7+T7*BlendedPricePremMonthly*E7+U7*BlendedPriceEliteMonthly*E7</f>
        <v/>
      </c>
      <c r="AC7" s="12">
        <f>P7*BlendedPriceEssAnnual*E7+Q7*BlendedPricePremAnnual*E7+R7*BlendedPriceEliteAnnual*E7</f>
        <v/>
      </c>
      <c r="AD7" s="12">
        <f>0+0+0</f>
        <v/>
      </c>
      <c r="AE7" s="9">
        <f>AB7+AC7+AD7</f>
        <v/>
      </c>
      <c r="AF7" s="12">
        <f>SUM(AE$5:AE7)</f>
        <v/>
      </c>
      <c r="AG7" s="12">
        <f>OR(AG6,IF(VATAgentMode,SUM($AE$5:$AE7)-SUM($AL$5:$AL7)&gt;=VATThreshold,SUM($AE$5:$AE7)&gt;=VATThreshold))</f>
        <v/>
      </c>
      <c r="AH7" s="9">
        <f>IF(AG7,IF(VATAgentMode,AE7-((AE7-AL7)-(AE7-AL7)/(1+VATRate)),AE7/(1+VATRate)),AE7)</f>
        <v/>
      </c>
      <c r="AI7" s="12">
        <f>AE7-AH7</f>
        <v/>
      </c>
      <c r="AJ7" s="12">
        <f>IF(AG7=0,0,IF(B7=1,SUMPRODUCT(--(($C$5:$C7=$C7-1)*($B$5:$B7&gt;=10)*($B$5:$B7&lt;=12)),$AI$5:$AI7),IF(B7=4,SUMPRODUCT(--(($C$5:$C7=$C7)*($B$5:$B7&gt;=1)*($B$5:$B7&lt;=3)),$AI$5:$AI7),IF(B7=7,SUMPRODUCT(--(($C$5:$C7=$C7)*($B$5:$B7&gt;=4)*($B$5:$B7&lt;=6)),$AI$5:$AI7),IF(B7=10,SUMPRODUCT(--(($C$5:$C7=$C7)*($B$5:$B7&gt;=7)*($B$5:$B7&lt;=9)),$AI$5:$AI7),0)))))</f>
        <v/>
      </c>
      <c r="AK7" s="12">
        <f>AK6+AI7-AJ7</f>
        <v/>
      </c>
      <c r="AL7" s="12">
        <f>IF(ProviderDelay&gt;=1,S6*BlendedProvPayEss+T6*BlendedProvPayPrem+U6*BlendedProvPayElite+V6*BlendedProvPayEss+W6*BlendedProvPayPrem+X6*BlendedProvPayElite,S7*BlendedProvPayEss+T7*BlendedProvPayPrem+U7*BlendedProvPayElite+V7*BlendedProvPayEss+W7*BlendedProvPayPrem+X7*BlendedProvPayElite)</f>
        <v/>
      </c>
      <c r="AM7" s="12">
        <f>AE7*PaymentFee</f>
        <v/>
      </c>
      <c r="AN7" s="12">
        <f>Y7*OpsAI</f>
        <v/>
      </c>
      <c r="AO7" s="12">
        <f>MonthlyFixed</f>
        <v/>
      </c>
      <c r="AP7" s="12">
        <f>I7*ReferralReward</f>
        <v/>
      </c>
      <c r="AQ7" s="12">
        <f>G7</f>
        <v/>
      </c>
      <c r="AR7" s="9">
        <f>AH7-AL7-AM7-AN7-AO7-AP7-AQ7</f>
        <v/>
      </c>
      <c r="AS7" s="9">
        <f>AS6+AE7-(AL7+AM7+AN7+AO7+AP7+AQ7+AJ7)</f>
        <v/>
      </c>
      <c r="AT7" s="12">
        <f>IF(Y7&gt;0,Z7/Y7,0)</f>
        <v/>
      </c>
      <c r="AU7" s="11">
        <f>IF(Y6&gt;0,MAX(0,(Y6+J7-Y7)/Y6),0)</f>
        <v/>
      </c>
    </row>
    <row r="8">
      <c r="A8" s="12" t="n">
        <v>4</v>
      </c>
      <c r="B8" s="12">
        <f>MOD(A8-1+LaunchMonth-1,12)+1</f>
        <v/>
      </c>
      <c r="C8" s="12">
        <f>INT((A8-1+LaunchMonth-1)/12)+1</f>
        <v/>
      </c>
      <c r="D8" s="12">
        <f>VLOOKUP(B8,SeasonTable,2,FALSE)</f>
        <v/>
      </c>
      <c r="E8" s="12">
        <f>(1+InflationRate)^INT((A8-1)/12)</f>
        <v/>
      </c>
      <c r="F8" s="11">
        <f>MonthlyChurn*VLOOKUP(B8,ChurnSeasonTable,4,FALSE)</f>
        <v/>
      </c>
      <c r="G8" s="12">
        <f>MIN(MktFixed4_6,MAX(0,AS7-CashBuffer))</f>
        <v/>
      </c>
      <c r="H8" s="12">
        <f>IF(G8&gt;0,MAX(1,ROUND(G8/CAC*D8,0)),0)</f>
        <v/>
      </c>
      <c r="I8" s="12">
        <f>IF(H8&gt;0,ROUND(H8*ReferralMix/(1-ReferralMix),0),0)</f>
        <v/>
      </c>
      <c r="J8" s="12">
        <f>H8+I8</f>
        <v/>
      </c>
      <c r="K8" s="12">
        <f>ROUND(J8*(1-AnnualMix),0)</f>
        <v/>
      </c>
      <c r="L8" s="12">
        <f>J8-K8</f>
        <v/>
      </c>
      <c r="M8" s="12">
        <f>ROUND(K8*EssentialMix,0)</f>
        <v/>
      </c>
      <c r="N8" s="12">
        <f>ROUND(K8*PremiumMix,0)</f>
        <v/>
      </c>
      <c r="O8" s="12">
        <f>K8-M8-N8</f>
        <v/>
      </c>
      <c r="P8" s="12">
        <f>ROUND(L8*EssentialMix,0)</f>
        <v/>
      </c>
      <c r="Q8" s="12">
        <f>ROUND(L8*PremiumMix,0)</f>
        <v/>
      </c>
      <c r="R8" s="12">
        <f>L8-P8-Q8</f>
        <v/>
      </c>
      <c r="S8" s="12">
        <f>M8+M7+M6+MAX(0,S7-M7-M6)*(1-F8)</f>
        <v/>
      </c>
      <c r="T8" s="12">
        <f>N8+N7+N6+MAX(0,T7-N7-N6)*(1-F8)</f>
        <v/>
      </c>
      <c r="U8" s="12">
        <f>O8+O7+O6+MAX(0,U7-O7-O6)*(1-F8)</f>
        <v/>
      </c>
      <c r="V8" s="12">
        <f>SUM(P$5:P8)</f>
        <v/>
      </c>
      <c r="W8" s="12">
        <f>SUM(Q$5:Q8)</f>
        <v/>
      </c>
      <c r="X8" s="12">
        <f>SUM(R$5:R8)</f>
        <v/>
      </c>
      <c r="Y8" s="12">
        <f>S8+T8+U8+V8+W8+X8</f>
        <v/>
      </c>
      <c r="Z8" s="9">
        <f>S8*BlendedPriceEssMonthly*E8+T8*BlendedPricePremMonthly*E8+U8*BlendedPriceEliteMonthly*E8+V8*BlendedPriceEssAnnual*E8/12+W8*BlendedPricePremAnnual*E8/12+X8*BlendedPriceEliteAnnual*E8/12</f>
        <v/>
      </c>
      <c r="AA8" s="9">
        <f>Z8*12</f>
        <v/>
      </c>
      <c r="AB8" s="12">
        <f>S8*BlendedPriceEssMonthly*E8+T8*BlendedPricePremMonthly*E8+U8*BlendedPriceEliteMonthly*E8</f>
        <v/>
      </c>
      <c r="AC8" s="12">
        <f>P8*BlendedPriceEssAnnual*E8+Q8*BlendedPricePremAnnual*E8+R8*BlendedPriceEliteAnnual*E8</f>
        <v/>
      </c>
      <c r="AD8" s="12">
        <f>0+0+0</f>
        <v/>
      </c>
      <c r="AE8" s="9">
        <f>AB8+AC8+AD8</f>
        <v/>
      </c>
      <c r="AF8" s="12">
        <f>SUM(AE$5:AE8)</f>
        <v/>
      </c>
      <c r="AG8" s="12">
        <f>OR(AG7,IF(VATAgentMode,SUM($AE$5:$AE8)-SUM($AL$5:$AL8)&gt;=VATThreshold,SUM($AE$5:$AE8)&gt;=VATThreshold))</f>
        <v/>
      </c>
      <c r="AH8" s="9">
        <f>IF(AG8,IF(VATAgentMode,AE8-((AE8-AL8)-(AE8-AL8)/(1+VATRate)),AE8/(1+VATRate)),AE8)</f>
        <v/>
      </c>
      <c r="AI8" s="12">
        <f>AE8-AH8</f>
        <v/>
      </c>
      <c r="AJ8" s="12">
        <f>IF(AG8=0,0,IF(B8=1,SUMPRODUCT(--(($C$5:$C8=$C8-1)*($B$5:$B8&gt;=10)*($B$5:$B8&lt;=12)),$AI$5:$AI8),IF(B8=4,SUMPRODUCT(--(($C$5:$C8=$C8)*($B$5:$B8&gt;=1)*($B$5:$B8&lt;=3)),$AI$5:$AI8),IF(B8=7,SUMPRODUCT(--(($C$5:$C8=$C8)*($B$5:$B8&gt;=4)*($B$5:$B8&lt;=6)),$AI$5:$AI8),IF(B8=10,SUMPRODUCT(--(($C$5:$C8=$C8)*($B$5:$B8&gt;=7)*($B$5:$B8&lt;=9)),$AI$5:$AI8),0)))))</f>
        <v/>
      </c>
      <c r="AK8" s="12">
        <f>AK7+AI8-AJ8</f>
        <v/>
      </c>
      <c r="AL8" s="12">
        <f>IF(ProviderDelay&gt;=1,S7*BlendedProvPayEss+T7*BlendedProvPayPrem+U7*BlendedProvPayElite+V7*BlendedProvPayEss+W7*BlendedProvPayPrem+X7*BlendedProvPayElite,S8*BlendedProvPayEss+T8*BlendedProvPayPrem+U8*BlendedProvPayElite+V8*BlendedProvPayEss+W8*BlendedProvPayPrem+X8*BlendedProvPayElite)</f>
        <v/>
      </c>
      <c r="AM8" s="12">
        <f>AE8*PaymentFee</f>
        <v/>
      </c>
      <c r="AN8" s="12">
        <f>Y8*OpsAI</f>
        <v/>
      </c>
      <c r="AO8" s="12">
        <f>MonthlyFixed</f>
        <v/>
      </c>
      <c r="AP8" s="12">
        <f>I8*ReferralReward</f>
        <v/>
      </c>
      <c r="AQ8" s="12">
        <f>G8</f>
        <v/>
      </c>
      <c r="AR8" s="9">
        <f>AH8-AL8-AM8-AN8-AO8-AP8-AQ8</f>
        <v/>
      </c>
      <c r="AS8" s="9">
        <f>AS7+AE8-(AL8+AM8+AN8+AO8+AP8+AQ8+AJ8)</f>
        <v/>
      </c>
      <c r="AT8" s="12">
        <f>IF(Y8&gt;0,Z8/Y8,0)</f>
        <v/>
      </c>
      <c r="AU8" s="11">
        <f>IF(Y7&gt;0,MAX(0,(Y7+J8-Y8)/Y7),0)</f>
        <v/>
      </c>
    </row>
    <row r="9">
      <c r="A9" s="12" t="n">
        <v>5</v>
      </c>
      <c r="B9" s="12">
        <f>MOD(A9-1+LaunchMonth-1,12)+1</f>
        <v/>
      </c>
      <c r="C9" s="12">
        <f>INT((A9-1+LaunchMonth-1)/12)+1</f>
        <v/>
      </c>
      <c r="D9" s="12">
        <f>VLOOKUP(B9,SeasonTable,2,FALSE)</f>
        <v/>
      </c>
      <c r="E9" s="12">
        <f>(1+InflationRate)^INT((A9-1)/12)</f>
        <v/>
      </c>
      <c r="F9" s="11">
        <f>MonthlyChurn*VLOOKUP(B9,ChurnSeasonTable,4,FALSE)</f>
        <v/>
      </c>
      <c r="G9" s="12">
        <f>MIN(MktFixed4_6,MAX(0,AS8-CashBuffer))</f>
        <v/>
      </c>
      <c r="H9" s="12">
        <f>IF(G9&gt;0,MAX(1,ROUND(G9/CAC*D9,0)),0)</f>
        <v/>
      </c>
      <c r="I9" s="12">
        <f>IF(H9&gt;0,ROUND(H9*ReferralMix/(1-ReferralMix),0),0)</f>
        <v/>
      </c>
      <c r="J9" s="12">
        <f>H9+I9</f>
        <v/>
      </c>
      <c r="K9" s="12">
        <f>ROUND(J9*(1-AnnualMix),0)</f>
        <v/>
      </c>
      <c r="L9" s="12">
        <f>J9-K9</f>
        <v/>
      </c>
      <c r="M9" s="12">
        <f>ROUND(K9*EssentialMix,0)</f>
        <v/>
      </c>
      <c r="N9" s="12">
        <f>ROUND(K9*PremiumMix,0)</f>
        <v/>
      </c>
      <c r="O9" s="12">
        <f>K9-M9-N9</f>
        <v/>
      </c>
      <c r="P9" s="12">
        <f>ROUND(L9*EssentialMix,0)</f>
        <v/>
      </c>
      <c r="Q9" s="12">
        <f>ROUND(L9*PremiumMix,0)</f>
        <v/>
      </c>
      <c r="R9" s="12">
        <f>L9-P9-Q9</f>
        <v/>
      </c>
      <c r="S9" s="12">
        <f>M9+M8+M7+MAX(0,S8-M8-M7)*(1-F9)</f>
        <v/>
      </c>
      <c r="T9" s="12">
        <f>N9+N8+N7+MAX(0,T8-N8-N7)*(1-F9)</f>
        <v/>
      </c>
      <c r="U9" s="12">
        <f>O9+O8+O7+MAX(0,U8-O8-O7)*(1-F9)</f>
        <v/>
      </c>
      <c r="V9" s="12">
        <f>SUM(P$5:P9)</f>
        <v/>
      </c>
      <c r="W9" s="12">
        <f>SUM(Q$5:Q9)</f>
        <v/>
      </c>
      <c r="X9" s="12">
        <f>SUM(R$5:R9)</f>
        <v/>
      </c>
      <c r="Y9" s="12">
        <f>S9+T9+U9+V9+W9+X9</f>
        <v/>
      </c>
      <c r="Z9" s="9">
        <f>S9*BlendedPriceEssMonthly*E9+T9*BlendedPricePremMonthly*E9+U9*BlendedPriceEliteMonthly*E9+V9*BlendedPriceEssAnnual*E9/12+W9*BlendedPricePremAnnual*E9/12+X9*BlendedPriceEliteAnnual*E9/12</f>
        <v/>
      </c>
      <c r="AA9" s="9">
        <f>Z9*12</f>
        <v/>
      </c>
      <c r="AB9" s="12">
        <f>S9*BlendedPriceEssMonthly*E9+T9*BlendedPricePremMonthly*E9+U9*BlendedPriceEliteMonthly*E9</f>
        <v/>
      </c>
      <c r="AC9" s="12">
        <f>P9*BlendedPriceEssAnnual*E9+Q9*BlendedPricePremAnnual*E9+R9*BlendedPriceEliteAnnual*E9</f>
        <v/>
      </c>
      <c r="AD9" s="12">
        <f>0+0+0</f>
        <v/>
      </c>
      <c r="AE9" s="9">
        <f>AB9+AC9+AD9</f>
        <v/>
      </c>
      <c r="AF9" s="12">
        <f>SUM(AE$5:AE9)</f>
        <v/>
      </c>
      <c r="AG9" s="12">
        <f>OR(AG8,IF(VATAgentMode,SUM($AE$5:$AE9)-SUM($AL$5:$AL9)&gt;=VATThreshold,SUM($AE$5:$AE9)&gt;=VATThreshold))</f>
        <v/>
      </c>
      <c r="AH9" s="9">
        <f>IF(AG9,IF(VATAgentMode,AE9-((AE9-AL9)-(AE9-AL9)/(1+VATRate)),AE9/(1+VATRate)),AE9)</f>
        <v/>
      </c>
      <c r="AI9" s="12">
        <f>AE9-AH9</f>
        <v/>
      </c>
      <c r="AJ9" s="12">
        <f>IF(AG9=0,0,IF(B9=1,SUMPRODUCT(--(($C$5:$C9=$C9-1)*($B$5:$B9&gt;=10)*($B$5:$B9&lt;=12)),$AI$5:$AI9),IF(B9=4,SUMPRODUCT(--(($C$5:$C9=$C9)*($B$5:$B9&gt;=1)*($B$5:$B9&lt;=3)),$AI$5:$AI9),IF(B9=7,SUMPRODUCT(--(($C$5:$C9=$C9)*($B$5:$B9&gt;=4)*($B$5:$B9&lt;=6)),$AI$5:$AI9),IF(B9=10,SUMPRODUCT(--(($C$5:$C9=$C9)*($B$5:$B9&gt;=7)*($B$5:$B9&lt;=9)),$AI$5:$AI9),0)))))</f>
        <v/>
      </c>
      <c r="AK9" s="12">
        <f>AK8+AI9-AJ9</f>
        <v/>
      </c>
      <c r="AL9" s="12">
        <f>IF(ProviderDelay&gt;=1,S8*BlendedProvPayEss+T8*BlendedProvPayPrem+U8*BlendedProvPayElite+V8*BlendedProvPayEss+W8*BlendedProvPayPrem+X8*BlendedProvPayElite,S9*BlendedProvPayEss+T9*BlendedProvPayPrem+U9*BlendedProvPayElite+V9*BlendedProvPayEss+W9*BlendedProvPayPrem+X9*BlendedProvPayElite)</f>
        <v/>
      </c>
      <c r="AM9" s="12">
        <f>AE9*PaymentFee</f>
        <v/>
      </c>
      <c r="AN9" s="12">
        <f>Y9*OpsAI</f>
        <v/>
      </c>
      <c r="AO9" s="12">
        <f>MonthlyFixed</f>
        <v/>
      </c>
      <c r="AP9" s="12">
        <f>I9*ReferralReward</f>
        <v/>
      </c>
      <c r="AQ9" s="12">
        <f>G9</f>
        <v/>
      </c>
      <c r="AR9" s="9">
        <f>AH9-AL9-AM9-AN9-AO9-AP9-AQ9</f>
        <v/>
      </c>
      <c r="AS9" s="9">
        <f>AS8+AE9-(AL9+AM9+AN9+AO9+AP9+AQ9+AJ9)</f>
        <v/>
      </c>
      <c r="AT9" s="12">
        <f>IF(Y9&gt;0,Z9/Y9,0)</f>
        <v/>
      </c>
      <c r="AU9" s="11">
        <f>IF(Y8&gt;0,MAX(0,(Y8+J9-Y9)/Y8),0)</f>
        <v/>
      </c>
    </row>
    <row r="10">
      <c r="A10" s="12" t="n">
        <v>6</v>
      </c>
      <c r="B10" s="12">
        <f>MOD(A10-1+LaunchMonth-1,12)+1</f>
        <v/>
      </c>
      <c r="C10" s="12">
        <f>INT((A10-1+LaunchMonth-1)/12)+1</f>
        <v/>
      </c>
      <c r="D10" s="12">
        <f>VLOOKUP(B10,SeasonTable,2,FALSE)</f>
        <v/>
      </c>
      <c r="E10" s="12">
        <f>(1+InflationRate)^INT((A10-1)/12)</f>
        <v/>
      </c>
      <c r="F10" s="11">
        <f>MonthlyChurn*VLOOKUP(B10,ChurnSeasonTable,4,FALSE)</f>
        <v/>
      </c>
      <c r="G10" s="12">
        <f>MIN(MktFixed4_6,MAX(0,AS9-CashBuffer))</f>
        <v/>
      </c>
      <c r="H10" s="12">
        <f>IF(G10&gt;0,MAX(1,ROUND(G10/CAC*D10,0)),0)</f>
        <v/>
      </c>
      <c r="I10" s="12">
        <f>IF(H10&gt;0,ROUND(H10*ReferralMix/(1-ReferralMix),0),0)</f>
        <v/>
      </c>
      <c r="J10" s="12">
        <f>H10+I10</f>
        <v/>
      </c>
      <c r="K10" s="12">
        <f>ROUND(J10*(1-AnnualMix),0)</f>
        <v/>
      </c>
      <c r="L10" s="12">
        <f>J10-K10</f>
        <v/>
      </c>
      <c r="M10" s="12">
        <f>ROUND(K10*EssentialMix,0)</f>
        <v/>
      </c>
      <c r="N10" s="12">
        <f>ROUND(K10*PremiumMix,0)</f>
        <v/>
      </c>
      <c r="O10" s="12">
        <f>K10-M10-N10</f>
        <v/>
      </c>
      <c r="P10" s="12">
        <f>ROUND(L10*EssentialMix,0)</f>
        <v/>
      </c>
      <c r="Q10" s="12">
        <f>ROUND(L10*PremiumMix,0)</f>
        <v/>
      </c>
      <c r="R10" s="12">
        <f>L10-P10-Q10</f>
        <v/>
      </c>
      <c r="S10" s="12">
        <f>M10+M9+M8+MAX(0,S9-M9-M8)*(1-F10)</f>
        <v/>
      </c>
      <c r="T10" s="12">
        <f>N10+N9+N8+MAX(0,T9-N9-N8)*(1-F10)</f>
        <v/>
      </c>
      <c r="U10" s="12">
        <f>O10+O9+O8+MAX(0,U9-O9-O8)*(1-F10)</f>
        <v/>
      </c>
      <c r="V10" s="12">
        <f>SUM(P$5:P10)</f>
        <v/>
      </c>
      <c r="W10" s="12">
        <f>SUM(Q$5:Q10)</f>
        <v/>
      </c>
      <c r="X10" s="12">
        <f>SUM(R$5:R10)</f>
        <v/>
      </c>
      <c r="Y10" s="12">
        <f>S10+T10+U10+V10+W10+X10</f>
        <v/>
      </c>
      <c r="Z10" s="9">
        <f>S10*BlendedPriceEssMonthly*E10+T10*BlendedPricePremMonthly*E10+U10*BlendedPriceEliteMonthly*E10+V10*BlendedPriceEssAnnual*E10/12+W10*BlendedPricePremAnnual*E10/12+X10*BlendedPriceEliteAnnual*E10/12</f>
        <v/>
      </c>
      <c r="AA10" s="9">
        <f>Z10*12</f>
        <v/>
      </c>
      <c r="AB10" s="12">
        <f>S10*BlendedPriceEssMonthly*E10+T10*BlendedPricePremMonthly*E10+U10*BlendedPriceEliteMonthly*E10</f>
        <v/>
      </c>
      <c r="AC10" s="12">
        <f>P10*BlendedPriceEssAnnual*E10+Q10*BlendedPricePremAnnual*E10+R10*BlendedPriceEliteAnnual*E10</f>
        <v/>
      </c>
      <c r="AD10" s="12">
        <f>0+0+0</f>
        <v/>
      </c>
      <c r="AE10" s="9">
        <f>AB10+AC10+AD10</f>
        <v/>
      </c>
      <c r="AF10" s="12">
        <f>SUM(AE$5:AE10)</f>
        <v/>
      </c>
      <c r="AG10" s="12">
        <f>OR(AG9,IF(VATAgentMode,SUM($AE$5:$AE10)-SUM($AL$5:$AL10)&gt;=VATThreshold,SUM($AE$5:$AE10)&gt;=VATThreshold))</f>
        <v/>
      </c>
      <c r="AH10" s="9">
        <f>IF(AG10,IF(VATAgentMode,AE10-((AE10-AL10)-(AE10-AL10)/(1+VATRate)),AE10/(1+VATRate)),AE10)</f>
        <v/>
      </c>
      <c r="AI10" s="12">
        <f>AE10-AH10</f>
        <v/>
      </c>
      <c r="AJ10" s="12">
        <f>IF(AG10=0,0,IF(B10=1,SUMPRODUCT(--(($C$5:$C10=$C10-1)*($B$5:$B10&gt;=10)*($B$5:$B10&lt;=12)),$AI$5:$AI10),IF(B10=4,SUMPRODUCT(--(($C$5:$C10=$C10)*($B$5:$B10&gt;=1)*($B$5:$B10&lt;=3)),$AI$5:$AI10),IF(B10=7,SUMPRODUCT(--(($C$5:$C10=$C10)*($B$5:$B10&gt;=4)*($B$5:$B10&lt;=6)),$AI$5:$AI10),IF(B10=10,SUMPRODUCT(--(($C$5:$C10=$C10)*($B$5:$B10&gt;=7)*($B$5:$B10&lt;=9)),$AI$5:$AI10),0)))))</f>
        <v/>
      </c>
      <c r="AK10" s="12">
        <f>AK9+AI10-AJ10</f>
        <v/>
      </c>
      <c r="AL10" s="12">
        <f>IF(ProviderDelay&gt;=1,S9*BlendedProvPayEss+T9*BlendedProvPayPrem+U9*BlendedProvPayElite+V9*BlendedProvPayEss+W9*BlendedProvPayPrem+X9*BlendedProvPayElite,S10*BlendedProvPayEss+T10*BlendedProvPayPrem+U10*BlendedProvPayElite+V10*BlendedProvPayEss+W10*BlendedProvPayPrem+X10*BlendedProvPayElite)</f>
        <v/>
      </c>
      <c r="AM10" s="12">
        <f>AE10*PaymentFee</f>
        <v/>
      </c>
      <c r="AN10" s="12">
        <f>Y10*OpsAI</f>
        <v/>
      </c>
      <c r="AO10" s="12">
        <f>MonthlyFixed</f>
        <v/>
      </c>
      <c r="AP10" s="12">
        <f>I10*ReferralReward</f>
        <v/>
      </c>
      <c r="AQ10" s="12">
        <f>G10</f>
        <v/>
      </c>
      <c r="AR10" s="9">
        <f>AH10-AL10-AM10-AN10-AO10-AP10-AQ10</f>
        <v/>
      </c>
      <c r="AS10" s="9">
        <f>AS9+AE10-(AL10+AM10+AN10+AO10+AP10+AQ10+AJ10)</f>
        <v/>
      </c>
      <c r="AT10" s="12">
        <f>IF(Y10&gt;0,Z10/Y10,0)</f>
        <v/>
      </c>
      <c r="AU10" s="11">
        <f>IF(Y9&gt;0,MAX(0,(Y9+J10-Y10)/Y9),0)</f>
        <v/>
      </c>
    </row>
    <row r="11">
      <c r="A11" s="12" t="n">
        <v>7</v>
      </c>
      <c r="B11" s="12">
        <f>MOD(A11-1+LaunchMonth-1,12)+1</f>
        <v/>
      </c>
      <c r="C11" s="12">
        <f>INT((A11-1+LaunchMonth-1)/12)+1</f>
        <v/>
      </c>
      <c r="D11" s="12">
        <f>VLOOKUP(B11,SeasonTable,2,FALSE)</f>
        <v/>
      </c>
      <c r="E11" s="12">
        <f>(1+InflationRate)^INT((A11-1)/12)</f>
        <v/>
      </c>
      <c r="F11" s="11">
        <f>MonthlyChurn*VLOOKUP(B11,ChurnSeasonTable,4,FALSE)</f>
        <v/>
      </c>
      <c r="G11" s="12">
        <f>MIN(MAX(MktMin7_12,AE10*MktPct7_12),MAX(0,AS10-CashBuffer))</f>
        <v/>
      </c>
      <c r="H11" s="12">
        <f>IF(G11&gt;0,MAX(1,ROUND(G11/CAC*D11,0)),0)</f>
        <v/>
      </c>
      <c r="I11" s="12">
        <f>IF(H11&gt;0,ROUND(H11*ReferralMix/(1-ReferralMix),0),0)</f>
        <v/>
      </c>
      <c r="J11" s="12">
        <f>H11+I11</f>
        <v/>
      </c>
      <c r="K11" s="12">
        <f>ROUND(J11*(1-AnnualMix),0)</f>
        <v/>
      </c>
      <c r="L11" s="12">
        <f>J11-K11</f>
        <v/>
      </c>
      <c r="M11" s="12">
        <f>ROUND(K11*EssentialMix,0)</f>
        <v/>
      </c>
      <c r="N11" s="12">
        <f>ROUND(K11*PremiumMix,0)</f>
        <v/>
      </c>
      <c r="O11" s="12">
        <f>K11-M11-N11</f>
        <v/>
      </c>
      <c r="P11" s="12">
        <f>ROUND(L11*EssentialMix,0)</f>
        <v/>
      </c>
      <c r="Q11" s="12">
        <f>ROUND(L11*PremiumMix,0)</f>
        <v/>
      </c>
      <c r="R11" s="12">
        <f>L11-P11-Q11</f>
        <v/>
      </c>
      <c r="S11" s="12">
        <f>M11+M10+M9+MAX(0,S10-M10-M9)*(1-F11)</f>
        <v/>
      </c>
      <c r="T11" s="12">
        <f>N11+N10+N9+MAX(0,T10-N10-N9)*(1-F11)</f>
        <v/>
      </c>
      <c r="U11" s="12">
        <f>O11+O10+O9+MAX(0,U10-O10-O9)*(1-F11)</f>
        <v/>
      </c>
      <c r="V11" s="12">
        <f>SUM(P$5:P11)</f>
        <v/>
      </c>
      <c r="W11" s="12">
        <f>SUM(Q$5:Q11)</f>
        <v/>
      </c>
      <c r="X11" s="12">
        <f>SUM(R$5:R11)</f>
        <v/>
      </c>
      <c r="Y11" s="12">
        <f>S11+T11+U11+V11+W11+X11</f>
        <v/>
      </c>
      <c r="Z11" s="9">
        <f>S11*BlendedPriceEssMonthly*E11+T11*BlendedPricePremMonthly*E11+U11*BlendedPriceEliteMonthly*E11+V11*BlendedPriceEssAnnual*E11/12+W11*BlendedPricePremAnnual*E11/12+X11*BlendedPriceEliteAnnual*E11/12</f>
        <v/>
      </c>
      <c r="AA11" s="9">
        <f>Z11*12</f>
        <v/>
      </c>
      <c r="AB11" s="12">
        <f>S11*BlendedPriceEssMonthly*E11+T11*BlendedPricePremMonthly*E11+U11*BlendedPriceEliteMonthly*E11</f>
        <v/>
      </c>
      <c r="AC11" s="12">
        <f>P11*BlendedPriceEssAnnual*E11+Q11*BlendedPricePremAnnual*E11+R11*BlendedPriceEliteAnnual*E11</f>
        <v/>
      </c>
      <c r="AD11" s="12">
        <f>0+0+0</f>
        <v/>
      </c>
      <c r="AE11" s="9">
        <f>AB11+AC11+AD11</f>
        <v/>
      </c>
      <c r="AF11" s="12">
        <f>SUM(AE$5:AE11)</f>
        <v/>
      </c>
      <c r="AG11" s="12">
        <f>OR(AG10,IF(VATAgentMode,SUM($AE$5:$AE11)-SUM($AL$5:$AL11)&gt;=VATThreshold,SUM($AE$5:$AE11)&gt;=VATThreshold))</f>
        <v/>
      </c>
      <c r="AH11" s="9">
        <f>IF(AG11,IF(VATAgentMode,AE11-((AE11-AL11)-(AE11-AL11)/(1+VATRate)),AE11/(1+VATRate)),AE11)</f>
        <v/>
      </c>
      <c r="AI11" s="12">
        <f>AE11-AH11</f>
        <v/>
      </c>
      <c r="AJ11" s="12">
        <f>IF(AG11=0,0,IF(B11=1,SUMPRODUCT(--(($C$5:$C11=$C11-1)*($B$5:$B11&gt;=10)*($B$5:$B11&lt;=12)),$AI$5:$AI11),IF(B11=4,SUMPRODUCT(--(($C$5:$C11=$C11)*($B$5:$B11&gt;=1)*($B$5:$B11&lt;=3)),$AI$5:$AI11),IF(B11=7,SUMPRODUCT(--(($C$5:$C11=$C11)*($B$5:$B11&gt;=4)*($B$5:$B11&lt;=6)),$AI$5:$AI11),IF(B11=10,SUMPRODUCT(--(($C$5:$C11=$C11)*($B$5:$B11&gt;=7)*($B$5:$B11&lt;=9)),$AI$5:$AI11),0)))))</f>
        <v/>
      </c>
      <c r="AK11" s="12">
        <f>AK10+AI11-AJ11</f>
        <v/>
      </c>
      <c r="AL11" s="12">
        <f>IF(ProviderDelay&gt;=1,S10*BlendedProvPayEss+T10*BlendedProvPayPrem+U10*BlendedProvPayElite+V10*BlendedProvPayEss+W10*BlendedProvPayPrem+X10*BlendedProvPayElite,S11*BlendedProvPayEss+T11*BlendedProvPayPrem+U11*BlendedProvPayElite+V11*BlendedProvPayEss+W11*BlendedProvPayPrem+X11*BlendedProvPayElite)</f>
        <v/>
      </c>
      <c r="AM11" s="12">
        <f>AE11*PaymentFee</f>
        <v/>
      </c>
      <c r="AN11" s="12">
        <f>Y11*OpsAI</f>
        <v/>
      </c>
      <c r="AO11" s="12">
        <f>MonthlyFixed</f>
        <v/>
      </c>
      <c r="AP11" s="12">
        <f>I11*ReferralReward</f>
        <v/>
      </c>
      <c r="AQ11" s="12">
        <f>G11</f>
        <v/>
      </c>
      <c r="AR11" s="9">
        <f>AH11-AL11-AM11-AN11-AO11-AP11-AQ11</f>
        <v/>
      </c>
      <c r="AS11" s="9">
        <f>AS10+AE11-(AL11+AM11+AN11+AO11+AP11+AQ11+AJ11)</f>
        <v/>
      </c>
      <c r="AT11" s="12">
        <f>IF(Y11&gt;0,Z11/Y11,0)</f>
        <v/>
      </c>
      <c r="AU11" s="11">
        <f>IF(Y10&gt;0,MAX(0,(Y10+J11-Y11)/Y10),0)</f>
        <v/>
      </c>
    </row>
    <row r="12">
      <c r="A12" s="12" t="n">
        <v>8</v>
      </c>
      <c r="B12" s="12">
        <f>MOD(A12-1+LaunchMonth-1,12)+1</f>
        <v/>
      </c>
      <c r="C12" s="12">
        <f>INT((A12-1+LaunchMonth-1)/12)+1</f>
        <v/>
      </c>
      <c r="D12" s="12">
        <f>VLOOKUP(B12,SeasonTable,2,FALSE)</f>
        <v/>
      </c>
      <c r="E12" s="12">
        <f>(1+InflationRate)^INT((A12-1)/12)</f>
        <v/>
      </c>
      <c r="F12" s="11">
        <f>MonthlyChurn*VLOOKUP(B12,ChurnSeasonTable,4,FALSE)</f>
        <v/>
      </c>
      <c r="G12" s="12">
        <f>MIN(MAX(MktMin7_12,AE11*MktPct7_12),MAX(0,AS11-CashBuffer))</f>
        <v/>
      </c>
      <c r="H12" s="12">
        <f>IF(G12&gt;0,MAX(1,ROUND(G12/CAC*D12,0)),0)</f>
        <v/>
      </c>
      <c r="I12" s="12">
        <f>IF(H12&gt;0,ROUND(H12*ReferralMix/(1-ReferralMix),0),0)</f>
        <v/>
      </c>
      <c r="J12" s="12">
        <f>H12+I12</f>
        <v/>
      </c>
      <c r="K12" s="12">
        <f>ROUND(J12*(1-AnnualMix),0)</f>
        <v/>
      </c>
      <c r="L12" s="12">
        <f>J12-K12</f>
        <v/>
      </c>
      <c r="M12" s="12">
        <f>ROUND(K12*EssentialMix,0)</f>
        <v/>
      </c>
      <c r="N12" s="12">
        <f>ROUND(K12*PremiumMix,0)</f>
        <v/>
      </c>
      <c r="O12" s="12">
        <f>K12-M12-N12</f>
        <v/>
      </c>
      <c r="P12" s="12">
        <f>ROUND(L12*EssentialMix,0)</f>
        <v/>
      </c>
      <c r="Q12" s="12">
        <f>ROUND(L12*PremiumMix,0)</f>
        <v/>
      </c>
      <c r="R12" s="12">
        <f>L12-P12-Q12</f>
        <v/>
      </c>
      <c r="S12" s="12">
        <f>M12+M11+M10+MAX(0,S11-M11-M10)*(1-F12)</f>
        <v/>
      </c>
      <c r="T12" s="12">
        <f>N12+N11+N10+MAX(0,T11-N11-N10)*(1-F12)</f>
        <v/>
      </c>
      <c r="U12" s="12">
        <f>O12+O11+O10+MAX(0,U11-O11-O10)*(1-F12)</f>
        <v/>
      </c>
      <c r="V12" s="12">
        <f>SUM(P$5:P12)</f>
        <v/>
      </c>
      <c r="W12" s="12">
        <f>SUM(Q$5:Q12)</f>
        <v/>
      </c>
      <c r="X12" s="12">
        <f>SUM(R$5:R12)</f>
        <v/>
      </c>
      <c r="Y12" s="12">
        <f>S12+T12+U12+V12+W12+X12</f>
        <v/>
      </c>
      <c r="Z12" s="9">
        <f>S12*BlendedPriceEssMonthly*E12+T12*BlendedPricePremMonthly*E12+U12*BlendedPriceEliteMonthly*E12+V12*BlendedPriceEssAnnual*E12/12+W12*BlendedPricePremAnnual*E12/12+X12*BlendedPriceEliteAnnual*E12/12</f>
        <v/>
      </c>
      <c r="AA12" s="9">
        <f>Z12*12</f>
        <v/>
      </c>
      <c r="AB12" s="12">
        <f>S12*BlendedPriceEssMonthly*E12+T12*BlendedPricePremMonthly*E12+U12*BlendedPriceEliteMonthly*E12</f>
        <v/>
      </c>
      <c r="AC12" s="12">
        <f>P12*BlendedPriceEssAnnual*E12+Q12*BlendedPricePremAnnual*E12+R12*BlendedPriceEliteAnnual*E12</f>
        <v/>
      </c>
      <c r="AD12" s="12">
        <f>0+0+0</f>
        <v/>
      </c>
      <c r="AE12" s="9">
        <f>AB12+AC12+AD12</f>
        <v/>
      </c>
      <c r="AF12" s="12">
        <f>SUM(AE$5:AE12)</f>
        <v/>
      </c>
      <c r="AG12" s="12">
        <f>OR(AG11,IF(VATAgentMode,SUM($AE$5:$AE12)-SUM($AL$5:$AL12)&gt;=VATThreshold,SUM($AE$5:$AE12)&gt;=VATThreshold))</f>
        <v/>
      </c>
      <c r="AH12" s="9">
        <f>IF(AG12,IF(VATAgentMode,AE12-((AE12-AL12)-(AE12-AL12)/(1+VATRate)),AE12/(1+VATRate)),AE12)</f>
        <v/>
      </c>
      <c r="AI12" s="12">
        <f>AE12-AH12</f>
        <v/>
      </c>
      <c r="AJ12" s="12">
        <f>IF(AG12=0,0,IF(B12=1,SUMPRODUCT(--(($C$5:$C12=$C12-1)*($B$5:$B12&gt;=10)*($B$5:$B12&lt;=12)),$AI$5:$AI12),IF(B12=4,SUMPRODUCT(--(($C$5:$C12=$C12)*($B$5:$B12&gt;=1)*($B$5:$B12&lt;=3)),$AI$5:$AI12),IF(B12=7,SUMPRODUCT(--(($C$5:$C12=$C12)*($B$5:$B12&gt;=4)*($B$5:$B12&lt;=6)),$AI$5:$AI12),IF(B12=10,SUMPRODUCT(--(($C$5:$C12=$C12)*($B$5:$B12&gt;=7)*($B$5:$B12&lt;=9)),$AI$5:$AI12),0)))))</f>
        <v/>
      </c>
      <c r="AK12" s="12">
        <f>AK11+AI12-AJ12</f>
        <v/>
      </c>
      <c r="AL12" s="12">
        <f>IF(ProviderDelay&gt;=1,S11*BlendedProvPayEss+T11*BlendedProvPayPrem+U11*BlendedProvPayElite+V11*BlendedProvPayEss+W11*BlendedProvPayPrem+X11*BlendedProvPayElite,S12*BlendedProvPayEss+T12*BlendedProvPayPrem+U12*BlendedProvPayElite+V12*BlendedProvPayEss+W12*BlendedProvPayPrem+X12*BlendedProvPayElite)</f>
        <v/>
      </c>
      <c r="AM12" s="12">
        <f>AE12*PaymentFee</f>
        <v/>
      </c>
      <c r="AN12" s="12">
        <f>Y12*OpsAI</f>
        <v/>
      </c>
      <c r="AO12" s="12">
        <f>MonthlyFixed</f>
        <v/>
      </c>
      <c r="AP12" s="12">
        <f>I12*ReferralReward</f>
        <v/>
      </c>
      <c r="AQ12" s="12">
        <f>G12</f>
        <v/>
      </c>
      <c r="AR12" s="9">
        <f>AH12-AL12-AM12-AN12-AO12-AP12-AQ12</f>
        <v/>
      </c>
      <c r="AS12" s="9">
        <f>AS11+AE12-(AL12+AM12+AN12+AO12+AP12+AQ12+AJ12)</f>
        <v/>
      </c>
      <c r="AT12" s="12">
        <f>IF(Y12&gt;0,Z12/Y12,0)</f>
        <v/>
      </c>
      <c r="AU12" s="11">
        <f>IF(Y11&gt;0,MAX(0,(Y11+J12-Y12)/Y11),0)</f>
        <v/>
      </c>
    </row>
    <row r="13">
      <c r="A13" s="12" t="n">
        <v>9</v>
      </c>
      <c r="B13" s="12">
        <f>MOD(A13-1+LaunchMonth-1,12)+1</f>
        <v/>
      </c>
      <c r="C13" s="12">
        <f>INT((A13-1+LaunchMonth-1)/12)+1</f>
        <v/>
      </c>
      <c r="D13" s="12">
        <f>VLOOKUP(B13,SeasonTable,2,FALSE)</f>
        <v/>
      </c>
      <c r="E13" s="12">
        <f>(1+InflationRate)^INT((A13-1)/12)</f>
        <v/>
      </c>
      <c r="F13" s="11">
        <f>MonthlyChurn*VLOOKUP(B13,ChurnSeasonTable,4,FALSE)</f>
        <v/>
      </c>
      <c r="G13" s="12">
        <f>MIN(MAX(MktMin7_12,AE12*MktPct7_12),MAX(0,AS12-CashBuffer))</f>
        <v/>
      </c>
      <c r="H13" s="12">
        <f>IF(G13&gt;0,MAX(1,ROUND(G13/CAC*D13,0)),0)</f>
        <v/>
      </c>
      <c r="I13" s="12">
        <f>IF(H13&gt;0,ROUND(H13*ReferralMix/(1-ReferralMix),0),0)</f>
        <v/>
      </c>
      <c r="J13" s="12">
        <f>H13+I13</f>
        <v/>
      </c>
      <c r="K13" s="12">
        <f>ROUND(J13*(1-AnnualMix),0)</f>
        <v/>
      </c>
      <c r="L13" s="12">
        <f>J13-K13</f>
        <v/>
      </c>
      <c r="M13" s="12">
        <f>ROUND(K13*EssentialMix,0)</f>
        <v/>
      </c>
      <c r="N13" s="12">
        <f>ROUND(K13*PremiumMix,0)</f>
        <v/>
      </c>
      <c r="O13" s="12">
        <f>K13-M13-N13</f>
        <v/>
      </c>
      <c r="P13" s="12">
        <f>ROUND(L13*EssentialMix,0)</f>
        <v/>
      </c>
      <c r="Q13" s="12">
        <f>ROUND(L13*PremiumMix,0)</f>
        <v/>
      </c>
      <c r="R13" s="12">
        <f>L13-P13-Q13</f>
        <v/>
      </c>
      <c r="S13" s="12">
        <f>M13+M12+M11+MAX(0,S12-M12-M11)*(1-F13)</f>
        <v/>
      </c>
      <c r="T13" s="12">
        <f>N13+N12+N11+MAX(0,T12-N12-N11)*(1-F13)</f>
        <v/>
      </c>
      <c r="U13" s="12">
        <f>O13+O12+O11+MAX(0,U12-O12-O11)*(1-F13)</f>
        <v/>
      </c>
      <c r="V13" s="12">
        <f>SUM(P$5:P13)</f>
        <v/>
      </c>
      <c r="W13" s="12">
        <f>SUM(Q$5:Q13)</f>
        <v/>
      </c>
      <c r="X13" s="12">
        <f>SUM(R$5:R13)</f>
        <v/>
      </c>
      <c r="Y13" s="12">
        <f>S13+T13+U13+V13+W13+X13</f>
        <v/>
      </c>
      <c r="Z13" s="9">
        <f>S13*BlendedPriceEssMonthly*E13+T13*BlendedPricePremMonthly*E13+U13*BlendedPriceEliteMonthly*E13+V13*BlendedPriceEssAnnual*E13/12+W13*BlendedPricePremAnnual*E13/12+X13*BlendedPriceEliteAnnual*E13/12</f>
        <v/>
      </c>
      <c r="AA13" s="9">
        <f>Z13*12</f>
        <v/>
      </c>
      <c r="AB13" s="12">
        <f>S13*BlendedPriceEssMonthly*E13+T13*BlendedPricePremMonthly*E13+U13*BlendedPriceEliteMonthly*E13</f>
        <v/>
      </c>
      <c r="AC13" s="12">
        <f>P13*BlendedPriceEssAnnual*E13+Q13*BlendedPricePremAnnual*E13+R13*BlendedPriceEliteAnnual*E13</f>
        <v/>
      </c>
      <c r="AD13" s="12">
        <f>0+0+0</f>
        <v/>
      </c>
      <c r="AE13" s="9">
        <f>AB13+AC13+AD13</f>
        <v/>
      </c>
      <c r="AF13" s="12">
        <f>SUM(AE$5:AE13)</f>
        <v/>
      </c>
      <c r="AG13" s="12">
        <f>OR(AG12,IF(VATAgentMode,SUM($AE$5:$AE13)-SUM($AL$5:$AL13)&gt;=VATThreshold,SUM($AE$5:$AE13)&gt;=VATThreshold))</f>
        <v/>
      </c>
      <c r="AH13" s="9">
        <f>IF(AG13,IF(VATAgentMode,AE13-((AE13-AL13)-(AE13-AL13)/(1+VATRate)),AE13/(1+VATRate)),AE13)</f>
        <v/>
      </c>
      <c r="AI13" s="12">
        <f>AE13-AH13</f>
        <v/>
      </c>
      <c r="AJ13" s="12">
        <f>IF(AG13=0,0,IF(B13=1,SUMPRODUCT(--(($C$5:$C13=$C13-1)*($B$5:$B13&gt;=10)*($B$5:$B13&lt;=12)),$AI$5:$AI13),IF(B13=4,SUMPRODUCT(--(($C$5:$C13=$C13)*($B$5:$B13&gt;=1)*($B$5:$B13&lt;=3)),$AI$5:$AI13),IF(B13=7,SUMPRODUCT(--(($C$5:$C13=$C13)*($B$5:$B13&gt;=4)*($B$5:$B13&lt;=6)),$AI$5:$AI13),IF(B13=10,SUMPRODUCT(--(($C$5:$C13=$C13)*($B$5:$B13&gt;=7)*($B$5:$B13&lt;=9)),$AI$5:$AI13),0)))))</f>
        <v/>
      </c>
      <c r="AK13" s="12">
        <f>AK12+AI13-AJ13</f>
        <v/>
      </c>
      <c r="AL13" s="12">
        <f>IF(ProviderDelay&gt;=1,S12*BlendedProvPayEss+T12*BlendedProvPayPrem+U12*BlendedProvPayElite+V12*BlendedProvPayEss+W12*BlendedProvPayPrem+X12*BlendedProvPayElite,S13*BlendedProvPayEss+T13*BlendedProvPayPrem+U13*BlendedProvPayElite+V13*BlendedProvPayEss+W13*BlendedProvPayPrem+X13*BlendedProvPayElite)</f>
        <v/>
      </c>
      <c r="AM13" s="12">
        <f>AE13*PaymentFee</f>
        <v/>
      </c>
      <c r="AN13" s="12">
        <f>Y13*OpsAI</f>
        <v/>
      </c>
      <c r="AO13" s="12">
        <f>MonthlyFixed</f>
        <v/>
      </c>
      <c r="AP13" s="12">
        <f>I13*ReferralReward</f>
        <v/>
      </c>
      <c r="AQ13" s="12">
        <f>G13</f>
        <v/>
      </c>
      <c r="AR13" s="9">
        <f>AH13-AL13-AM13-AN13-AO13-AP13-AQ13</f>
        <v/>
      </c>
      <c r="AS13" s="9">
        <f>AS12+AE13-(AL13+AM13+AN13+AO13+AP13+AQ13+AJ13)</f>
        <v/>
      </c>
      <c r="AT13" s="12">
        <f>IF(Y13&gt;0,Z13/Y13,0)</f>
        <v/>
      </c>
      <c r="AU13" s="11">
        <f>IF(Y12&gt;0,MAX(0,(Y12+J13-Y13)/Y12),0)</f>
        <v/>
      </c>
    </row>
    <row r="14">
      <c r="A14" s="12" t="n">
        <v>10</v>
      </c>
      <c r="B14" s="12">
        <f>MOD(A14-1+LaunchMonth-1,12)+1</f>
        <v/>
      </c>
      <c r="C14" s="12">
        <f>INT((A14-1+LaunchMonth-1)/12)+1</f>
        <v/>
      </c>
      <c r="D14" s="12">
        <f>VLOOKUP(B14,SeasonTable,2,FALSE)</f>
        <v/>
      </c>
      <c r="E14" s="12">
        <f>(1+InflationRate)^INT((A14-1)/12)</f>
        <v/>
      </c>
      <c r="F14" s="11">
        <f>MonthlyChurn*VLOOKUP(B14,ChurnSeasonTable,4,FALSE)</f>
        <v/>
      </c>
      <c r="G14" s="12">
        <f>MIN(MAX(MktMin7_12,AE13*MktPct7_12),MAX(0,AS13-CashBuffer))</f>
        <v/>
      </c>
      <c r="H14" s="12">
        <f>IF(G14&gt;0,MAX(1,ROUND(G14/CAC*D14,0)),0)</f>
        <v/>
      </c>
      <c r="I14" s="12">
        <f>IF(H14&gt;0,ROUND(H14*ReferralMix/(1-ReferralMix),0),0)</f>
        <v/>
      </c>
      <c r="J14" s="12">
        <f>H14+I14</f>
        <v/>
      </c>
      <c r="K14" s="12">
        <f>ROUND(J14*(1-AnnualMix),0)</f>
        <v/>
      </c>
      <c r="L14" s="12">
        <f>J14-K14</f>
        <v/>
      </c>
      <c r="M14" s="12">
        <f>ROUND(K14*EssentialMix,0)</f>
        <v/>
      </c>
      <c r="N14" s="12">
        <f>ROUND(K14*PremiumMix,0)</f>
        <v/>
      </c>
      <c r="O14" s="12">
        <f>K14-M14-N14</f>
        <v/>
      </c>
      <c r="P14" s="12">
        <f>ROUND(L14*EssentialMix,0)</f>
        <v/>
      </c>
      <c r="Q14" s="12">
        <f>ROUND(L14*PremiumMix,0)</f>
        <v/>
      </c>
      <c r="R14" s="12">
        <f>L14-P14-Q14</f>
        <v/>
      </c>
      <c r="S14" s="12">
        <f>M14+M13+M12+MAX(0,S13-M13-M12)*(1-F14)</f>
        <v/>
      </c>
      <c r="T14" s="12">
        <f>N14+N13+N12+MAX(0,T13-N13-N12)*(1-F14)</f>
        <v/>
      </c>
      <c r="U14" s="12">
        <f>O14+O13+O12+MAX(0,U13-O13-O12)*(1-F14)</f>
        <v/>
      </c>
      <c r="V14" s="12">
        <f>SUM(P$5:P14)</f>
        <v/>
      </c>
      <c r="W14" s="12">
        <f>SUM(Q$5:Q14)</f>
        <v/>
      </c>
      <c r="X14" s="12">
        <f>SUM(R$5:R14)</f>
        <v/>
      </c>
      <c r="Y14" s="12">
        <f>S14+T14+U14+V14+W14+X14</f>
        <v/>
      </c>
      <c r="Z14" s="9">
        <f>S14*BlendedPriceEssMonthly*E14+T14*BlendedPricePremMonthly*E14+U14*BlendedPriceEliteMonthly*E14+V14*BlendedPriceEssAnnual*E14/12+W14*BlendedPricePremAnnual*E14/12+X14*BlendedPriceEliteAnnual*E14/12</f>
        <v/>
      </c>
      <c r="AA14" s="9">
        <f>Z14*12</f>
        <v/>
      </c>
      <c r="AB14" s="12">
        <f>S14*BlendedPriceEssMonthly*E14+T14*BlendedPricePremMonthly*E14+U14*BlendedPriceEliteMonthly*E14</f>
        <v/>
      </c>
      <c r="AC14" s="12">
        <f>P14*BlendedPriceEssAnnual*E14+Q14*BlendedPricePremAnnual*E14+R14*BlendedPriceEliteAnnual*E14</f>
        <v/>
      </c>
      <c r="AD14" s="12">
        <f>0+0+0</f>
        <v/>
      </c>
      <c r="AE14" s="9">
        <f>AB14+AC14+AD14</f>
        <v/>
      </c>
      <c r="AF14" s="12">
        <f>SUM(AE$5:AE14)</f>
        <v/>
      </c>
      <c r="AG14" s="12">
        <f>OR(AG13,IF(VATAgentMode,SUM($AE$5:$AE14)-SUM($AL$5:$AL14)&gt;=VATThreshold,SUM($AE$5:$AE14)&gt;=VATThreshold))</f>
        <v/>
      </c>
      <c r="AH14" s="9">
        <f>IF(AG14,IF(VATAgentMode,AE14-((AE14-AL14)-(AE14-AL14)/(1+VATRate)),AE14/(1+VATRate)),AE14)</f>
        <v/>
      </c>
      <c r="AI14" s="12">
        <f>AE14-AH14</f>
        <v/>
      </c>
      <c r="AJ14" s="12">
        <f>IF(AG14=0,0,IF(B14=1,SUMPRODUCT(--(($C$5:$C14=$C14-1)*($B$5:$B14&gt;=10)*($B$5:$B14&lt;=12)),$AI$5:$AI14),IF(B14=4,SUMPRODUCT(--(($C$5:$C14=$C14)*($B$5:$B14&gt;=1)*($B$5:$B14&lt;=3)),$AI$5:$AI14),IF(B14=7,SUMPRODUCT(--(($C$5:$C14=$C14)*($B$5:$B14&gt;=4)*($B$5:$B14&lt;=6)),$AI$5:$AI14),IF(B14=10,SUMPRODUCT(--(($C$5:$C14=$C14)*($B$5:$B14&gt;=7)*($B$5:$B14&lt;=9)),$AI$5:$AI14),0)))))</f>
        <v/>
      </c>
      <c r="AK14" s="12">
        <f>AK13+AI14-AJ14</f>
        <v/>
      </c>
      <c r="AL14" s="12">
        <f>IF(ProviderDelay&gt;=1,S13*BlendedProvPayEss+T13*BlendedProvPayPrem+U13*BlendedProvPayElite+V13*BlendedProvPayEss+W13*BlendedProvPayPrem+X13*BlendedProvPayElite,S14*BlendedProvPayEss+T14*BlendedProvPayPrem+U14*BlendedProvPayElite+V14*BlendedProvPayEss+W14*BlendedProvPayPrem+X14*BlendedProvPayElite)</f>
        <v/>
      </c>
      <c r="AM14" s="12">
        <f>AE14*PaymentFee</f>
        <v/>
      </c>
      <c r="AN14" s="12">
        <f>Y14*OpsAI</f>
        <v/>
      </c>
      <c r="AO14" s="12">
        <f>MonthlyFixed</f>
        <v/>
      </c>
      <c r="AP14" s="12">
        <f>I14*ReferralReward</f>
        <v/>
      </c>
      <c r="AQ14" s="12">
        <f>G14</f>
        <v/>
      </c>
      <c r="AR14" s="9">
        <f>AH14-AL14-AM14-AN14-AO14-AP14-AQ14</f>
        <v/>
      </c>
      <c r="AS14" s="9">
        <f>AS13+AE14-(AL14+AM14+AN14+AO14+AP14+AQ14+AJ14)</f>
        <v/>
      </c>
      <c r="AT14" s="12">
        <f>IF(Y14&gt;0,Z14/Y14,0)</f>
        <v/>
      </c>
      <c r="AU14" s="11">
        <f>IF(Y13&gt;0,MAX(0,(Y13+J14-Y14)/Y13),0)</f>
        <v/>
      </c>
    </row>
    <row r="15">
      <c r="A15" s="12" t="n">
        <v>11</v>
      </c>
      <c r="B15" s="12">
        <f>MOD(A15-1+LaunchMonth-1,12)+1</f>
        <v/>
      </c>
      <c r="C15" s="12">
        <f>INT((A15-1+LaunchMonth-1)/12)+1</f>
        <v/>
      </c>
      <c r="D15" s="12">
        <f>VLOOKUP(B15,SeasonTable,2,FALSE)</f>
        <v/>
      </c>
      <c r="E15" s="12">
        <f>(1+InflationRate)^INT((A15-1)/12)</f>
        <v/>
      </c>
      <c r="F15" s="11">
        <f>MonthlyChurn*VLOOKUP(B15,ChurnSeasonTable,4,FALSE)</f>
        <v/>
      </c>
      <c r="G15" s="12">
        <f>MIN(MAX(MktMin7_12,AE14*MktPct7_12),MAX(0,AS14-CashBuffer))</f>
        <v/>
      </c>
      <c r="H15" s="12">
        <f>IF(G15&gt;0,MAX(1,ROUND(G15/CAC*D15,0)),0)</f>
        <v/>
      </c>
      <c r="I15" s="12">
        <f>IF(H15&gt;0,ROUND(H15*ReferralMix/(1-ReferralMix),0),0)</f>
        <v/>
      </c>
      <c r="J15" s="12">
        <f>H15+I15</f>
        <v/>
      </c>
      <c r="K15" s="12">
        <f>ROUND(J15*(1-AnnualMix),0)</f>
        <v/>
      </c>
      <c r="L15" s="12">
        <f>J15-K15</f>
        <v/>
      </c>
      <c r="M15" s="12">
        <f>ROUND(K15*EssentialMix,0)</f>
        <v/>
      </c>
      <c r="N15" s="12">
        <f>ROUND(K15*PremiumMix,0)</f>
        <v/>
      </c>
      <c r="O15" s="12">
        <f>K15-M15-N15</f>
        <v/>
      </c>
      <c r="P15" s="12">
        <f>ROUND(L15*EssentialMix,0)</f>
        <v/>
      </c>
      <c r="Q15" s="12">
        <f>ROUND(L15*PremiumMix,0)</f>
        <v/>
      </c>
      <c r="R15" s="12">
        <f>L15-P15-Q15</f>
        <v/>
      </c>
      <c r="S15" s="12">
        <f>M15+M14+M13+MAX(0,S14-M14-M13)*(1-F15)</f>
        <v/>
      </c>
      <c r="T15" s="12">
        <f>N15+N14+N13+MAX(0,T14-N14-N13)*(1-F15)</f>
        <v/>
      </c>
      <c r="U15" s="12">
        <f>O15+O14+O13+MAX(0,U14-O14-O13)*(1-F15)</f>
        <v/>
      </c>
      <c r="V15" s="12">
        <f>SUM(P$5:P15)</f>
        <v/>
      </c>
      <c r="W15" s="12">
        <f>SUM(Q$5:Q15)</f>
        <v/>
      </c>
      <c r="X15" s="12">
        <f>SUM(R$5:R15)</f>
        <v/>
      </c>
      <c r="Y15" s="12">
        <f>S15+T15+U15+V15+W15+X15</f>
        <v/>
      </c>
      <c r="Z15" s="9">
        <f>S15*BlendedPriceEssMonthly*E15+T15*BlendedPricePremMonthly*E15+U15*BlendedPriceEliteMonthly*E15+V15*BlendedPriceEssAnnual*E15/12+W15*BlendedPricePremAnnual*E15/12+X15*BlendedPriceEliteAnnual*E15/12</f>
        <v/>
      </c>
      <c r="AA15" s="9">
        <f>Z15*12</f>
        <v/>
      </c>
      <c r="AB15" s="12">
        <f>S15*BlendedPriceEssMonthly*E15+T15*BlendedPricePremMonthly*E15+U15*BlendedPriceEliteMonthly*E15</f>
        <v/>
      </c>
      <c r="AC15" s="12">
        <f>P15*BlendedPriceEssAnnual*E15+Q15*BlendedPricePremAnnual*E15+R15*BlendedPriceEliteAnnual*E15</f>
        <v/>
      </c>
      <c r="AD15" s="12">
        <f>0+0+0</f>
        <v/>
      </c>
      <c r="AE15" s="9">
        <f>AB15+AC15+AD15</f>
        <v/>
      </c>
      <c r="AF15" s="12">
        <f>SUM(AE$5:AE15)</f>
        <v/>
      </c>
      <c r="AG15" s="12">
        <f>OR(AG14,IF(VATAgentMode,SUM($AE$5:$AE15)-SUM($AL$5:$AL15)&gt;=VATThreshold,SUM($AE$5:$AE15)&gt;=VATThreshold))</f>
        <v/>
      </c>
      <c r="AH15" s="9">
        <f>IF(AG15,IF(VATAgentMode,AE15-((AE15-AL15)-(AE15-AL15)/(1+VATRate)),AE15/(1+VATRate)),AE15)</f>
        <v/>
      </c>
      <c r="AI15" s="12">
        <f>AE15-AH15</f>
        <v/>
      </c>
      <c r="AJ15" s="12">
        <f>IF(AG15=0,0,IF(B15=1,SUMPRODUCT(--(($C$5:$C15=$C15-1)*($B$5:$B15&gt;=10)*($B$5:$B15&lt;=12)),$AI$5:$AI15),IF(B15=4,SUMPRODUCT(--(($C$5:$C15=$C15)*($B$5:$B15&gt;=1)*($B$5:$B15&lt;=3)),$AI$5:$AI15),IF(B15=7,SUMPRODUCT(--(($C$5:$C15=$C15)*($B$5:$B15&gt;=4)*($B$5:$B15&lt;=6)),$AI$5:$AI15),IF(B15=10,SUMPRODUCT(--(($C$5:$C15=$C15)*($B$5:$B15&gt;=7)*($B$5:$B15&lt;=9)),$AI$5:$AI15),0)))))</f>
        <v/>
      </c>
      <c r="AK15" s="12">
        <f>AK14+AI15-AJ15</f>
        <v/>
      </c>
      <c r="AL15" s="12">
        <f>IF(ProviderDelay&gt;=1,S14*BlendedProvPayEss+T14*BlendedProvPayPrem+U14*BlendedProvPayElite+V14*BlendedProvPayEss+W14*BlendedProvPayPrem+X14*BlendedProvPayElite,S15*BlendedProvPayEss+T15*BlendedProvPayPrem+U15*BlendedProvPayElite+V15*BlendedProvPayEss+W15*BlendedProvPayPrem+X15*BlendedProvPayElite)</f>
        <v/>
      </c>
      <c r="AM15" s="12">
        <f>AE15*PaymentFee</f>
        <v/>
      </c>
      <c r="AN15" s="12">
        <f>Y15*OpsAI</f>
        <v/>
      </c>
      <c r="AO15" s="12">
        <f>MonthlyFixed</f>
        <v/>
      </c>
      <c r="AP15" s="12">
        <f>I15*ReferralReward</f>
        <v/>
      </c>
      <c r="AQ15" s="12">
        <f>G15</f>
        <v/>
      </c>
      <c r="AR15" s="9">
        <f>AH15-AL15-AM15-AN15-AO15-AP15-AQ15</f>
        <v/>
      </c>
      <c r="AS15" s="9">
        <f>AS14+AE15-(AL15+AM15+AN15+AO15+AP15+AQ15+AJ15)</f>
        <v/>
      </c>
      <c r="AT15" s="12">
        <f>IF(Y15&gt;0,Z15/Y15,0)</f>
        <v/>
      </c>
      <c r="AU15" s="11">
        <f>IF(Y14&gt;0,MAX(0,(Y14+J15-Y15)/Y14),0)</f>
        <v/>
      </c>
    </row>
    <row r="16">
      <c r="A16" s="12" t="n">
        <v>12</v>
      </c>
      <c r="B16" s="12">
        <f>MOD(A16-1+LaunchMonth-1,12)+1</f>
        <v/>
      </c>
      <c r="C16" s="12">
        <f>INT((A16-1+LaunchMonth-1)/12)+1</f>
        <v/>
      </c>
      <c r="D16" s="12">
        <f>VLOOKUP(B16,SeasonTable,2,FALSE)</f>
        <v/>
      </c>
      <c r="E16" s="12">
        <f>(1+InflationRate)^INT((A16-1)/12)</f>
        <v/>
      </c>
      <c r="F16" s="11">
        <f>MonthlyChurn*VLOOKUP(B16,ChurnSeasonTable,4,FALSE)</f>
        <v/>
      </c>
      <c r="G16" s="12">
        <f>MIN(MAX(MktMin7_12,AE15*MktPct7_12),MAX(0,AS15-CashBuffer))</f>
        <v/>
      </c>
      <c r="H16" s="12">
        <f>IF(G16&gt;0,MAX(1,ROUND(G16/CAC*D16,0)),0)</f>
        <v/>
      </c>
      <c r="I16" s="12">
        <f>IF(H16&gt;0,ROUND(H16*ReferralMix/(1-ReferralMix),0),0)</f>
        <v/>
      </c>
      <c r="J16" s="12">
        <f>H16+I16</f>
        <v/>
      </c>
      <c r="K16" s="12">
        <f>ROUND(J16*(1-AnnualMix),0)</f>
        <v/>
      </c>
      <c r="L16" s="12">
        <f>J16-K16</f>
        <v/>
      </c>
      <c r="M16" s="12">
        <f>ROUND(K16*EssentialMix,0)</f>
        <v/>
      </c>
      <c r="N16" s="12">
        <f>ROUND(K16*PremiumMix,0)</f>
        <v/>
      </c>
      <c r="O16" s="12">
        <f>K16-M16-N16</f>
        <v/>
      </c>
      <c r="P16" s="12">
        <f>ROUND(L16*EssentialMix,0)</f>
        <v/>
      </c>
      <c r="Q16" s="12">
        <f>ROUND(L16*PremiumMix,0)</f>
        <v/>
      </c>
      <c r="R16" s="12">
        <f>L16-P16-Q16</f>
        <v/>
      </c>
      <c r="S16" s="12">
        <f>M16+M15+M14+MAX(0,S15-M15-M14)*(1-F16)</f>
        <v/>
      </c>
      <c r="T16" s="12">
        <f>N16+N15+N14+MAX(0,T15-N15-N14)*(1-F16)</f>
        <v/>
      </c>
      <c r="U16" s="12">
        <f>O16+O15+O14+MAX(0,U15-O15-O14)*(1-F16)</f>
        <v/>
      </c>
      <c r="V16" s="12">
        <f>SUM(P$5:P16)</f>
        <v/>
      </c>
      <c r="W16" s="12">
        <f>SUM(Q$5:Q16)</f>
        <v/>
      </c>
      <c r="X16" s="12">
        <f>SUM(R$5:R16)</f>
        <v/>
      </c>
      <c r="Y16" s="12">
        <f>S16+T16+U16+V16+W16+X16</f>
        <v/>
      </c>
      <c r="Z16" s="9">
        <f>S16*BlendedPriceEssMonthly*E16+T16*BlendedPricePremMonthly*E16+U16*BlendedPriceEliteMonthly*E16+V16*BlendedPriceEssAnnual*E16/12+W16*BlendedPricePremAnnual*E16/12+X16*BlendedPriceEliteAnnual*E16/12</f>
        <v/>
      </c>
      <c r="AA16" s="9">
        <f>Z16*12</f>
        <v/>
      </c>
      <c r="AB16" s="12">
        <f>S16*BlendedPriceEssMonthly*E16+T16*BlendedPricePremMonthly*E16+U16*BlendedPriceEliteMonthly*E16</f>
        <v/>
      </c>
      <c r="AC16" s="12">
        <f>P16*BlendedPriceEssAnnual*E16+Q16*BlendedPricePremAnnual*E16+R16*BlendedPriceEliteAnnual*E16</f>
        <v/>
      </c>
      <c r="AD16" s="12">
        <f>0+0+0</f>
        <v/>
      </c>
      <c r="AE16" s="9">
        <f>AB16+AC16+AD16</f>
        <v/>
      </c>
      <c r="AF16" s="12">
        <f>SUM(AE5:AE16)</f>
        <v/>
      </c>
      <c r="AG16" s="12">
        <f>OR(AG15,IF(VATAgentMode,SUM($AE5:$AE16)-SUM($AL5:$AL16)&gt;=VATThreshold,SUM($AE5:$AE16)&gt;=VATThreshold))</f>
        <v/>
      </c>
      <c r="AH16" s="9">
        <f>IF(AG16,IF(VATAgentMode,AE16-((AE16-AL16)-(AE16-AL16)/(1+VATRate)),AE16/(1+VATRate)),AE16)</f>
        <v/>
      </c>
      <c r="AI16" s="12">
        <f>AE16-AH16</f>
        <v/>
      </c>
      <c r="AJ16" s="12">
        <f>IF(AG16=0,0,IF(B16=1,SUMPRODUCT(--(($C$5:$C16=$C16-1)*($B$5:$B16&gt;=10)*($B$5:$B16&lt;=12)),$AI$5:$AI16),IF(B16=4,SUMPRODUCT(--(($C$5:$C16=$C16)*($B$5:$B16&gt;=1)*($B$5:$B16&lt;=3)),$AI$5:$AI16),IF(B16=7,SUMPRODUCT(--(($C$5:$C16=$C16)*($B$5:$B16&gt;=4)*($B$5:$B16&lt;=6)),$AI$5:$AI16),IF(B16=10,SUMPRODUCT(--(($C$5:$C16=$C16)*($B$5:$B16&gt;=7)*($B$5:$B16&lt;=9)),$AI$5:$AI16),0)))))</f>
        <v/>
      </c>
      <c r="AK16" s="12">
        <f>AK15+AI16-AJ16</f>
        <v/>
      </c>
      <c r="AL16" s="12">
        <f>IF(ProviderDelay&gt;=1,S15*BlendedProvPayEss+T15*BlendedProvPayPrem+U15*BlendedProvPayElite+V15*BlendedProvPayEss+W15*BlendedProvPayPrem+X15*BlendedProvPayElite,S16*BlendedProvPayEss+T16*BlendedProvPayPrem+U16*BlendedProvPayElite+V16*BlendedProvPayEss+W16*BlendedProvPayPrem+X16*BlendedProvPayElite)</f>
        <v/>
      </c>
      <c r="AM16" s="12">
        <f>AE16*PaymentFee</f>
        <v/>
      </c>
      <c r="AN16" s="12">
        <f>Y16*OpsAI</f>
        <v/>
      </c>
      <c r="AO16" s="12">
        <f>MonthlyFixed</f>
        <v/>
      </c>
      <c r="AP16" s="12">
        <f>I16*ReferralReward</f>
        <v/>
      </c>
      <c r="AQ16" s="12">
        <f>G16</f>
        <v/>
      </c>
      <c r="AR16" s="9">
        <f>AH16-AL16-AM16-AN16-AO16-AP16-AQ16</f>
        <v/>
      </c>
      <c r="AS16" s="9">
        <f>AS15+AE16-(AL16+AM16+AN16+AO16+AP16+AQ16+AJ16)</f>
        <v/>
      </c>
      <c r="AT16" s="12">
        <f>IF(Y16&gt;0,Z16/Y16,0)</f>
        <v/>
      </c>
      <c r="AU16" s="11">
        <f>IF(Y15&gt;0,MAX(0,(Y15+J16-Y16)/Y15),0)</f>
        <v/>
      </c>
    </row>
    <row r="17">
      <c r="A17" s="12" t="n">
        <v>13</v>
      </c>
      <c r="B17" s="12">
        <f>MOD(A17-1+LaunchMonth-1,12)+1</f>
        <v/>
      </c>
      <c r="C17" s="12">
        <f>INT((A17-1+LaunchMonth-1)/12)+1</f>
        <v/>
      </c>
      <c r="D17" s="12">
        <f>VLOOKUP(B17,SeasonTable,2,FALSE)</f>
        <v/>
      </c>
      <c r="E17" s="12">
        <f>(1+InflationRate)^INT((A17-1)/12)</f>
        <v/>
      </c>
      <c r="F17" s="11">
        <f>MonthlyChurn*VLOOKUP(B17,ChurnSeasonTable,4,FALSE)</f>
        <v/>
      </c>
      <c r="G17" s="12">
        <f>MIN(MAX(MktMin13_18,AE16*MktPct13_18),MAX(0,AS16-CashBuffer))</f>
        <v/>
      </c>
      <c r="H17" s="12">
        <f>IF(G17&gt;0,MAX(1,ROUND(G17/CAC*D17,0)),0)</f>
        <v/>
      </c>
      <c r="I17" s="12">
        <f>IF(H17&gt;0,ROUND(H17*ReferralMix/(1-ReferralMix),0),0)</f>
        <v/>
      </c>
      <c r="J17" s="12">
        <f>H17+I17</f>
        <v/>
      </c>
      <c r="K17" s="12">
        <f>ROUND(J17*(1-AnnualMix),0)</f>
        <v/>
      </c>
      <c r="L17" s="12">
        <f>J17-K17</f>
        <v/>
      </c>
      <c r="M17" s="12">
        <f>ROUND(K17*EssentialMix,0)</f>
        <v/>
      </c>
      <c r="N17" s="12">
        <f>ROUND(K17*PremiumMix,0)</f>
        <v/>
      </c>
      <c r="O17" s="12">
        <f>K17-M17-N17</f>
        <v/>
      </c>
      <c r="P17" s="12">
        <f>ROUND(L17*EssentialMix,0)</f>
        <v/>
      </c>
      <c r="Q17" s="12">
        <f>ROUND(L17*PremiumMix,0)</f>
        <v/>
      </c>
      <c r="R17" s="12">
        <f>L17-P17-Q17</f>
        <v/>
      </c>
      <c r="S17" s="12">
        <f>M17+M16+M15+MAX(0,S16-M16-M15)*(1-F17)</f>
        <v/>
      </c>
      <c r="T17" s="12">
        <f>N17+N16+N15+MAX(0,T16-N16-N15)*(1-F17)</f>
        <v/>
      </c>
      <c r="U17" s="12">
        <f>O17+O16+O15+MAX(0,U16-O16-O15)*(1-F17)</f>
        <v/>
      </c>
      <c r="V17" s="12">
        <f>V16+P17-P5*(AnnualChurn*VLOOKUP(B17,ChurnSeasonTable,4,FALSE))*POWER(1-(AnnualChurn*VLOOKUP(B17,ChurnSeasonTable,4,FALSE)),0)</f>
        <v/>
      </c>
      <c r="W17" s="12">
        <f>W16+Q17-Q5*(AnnualChurn*VLOOKUP(B17,ChurnSeasonTable,4,FALSE))*POWER(1-(AnnualChurn*VLOOKUP(B17,ChurnSeasonTable,4,FALSE)),0)</f>
        <v/>
      </c>
      <c r="X17" s="12">
        <f>X16+R17-R5*(AnnualChurn*VLOOKUP(B17,ChurnSeasonTable,4,FALSE))*POWER(1-(AnnualChurn*VLOOKUP(B17,ChurnSeasonTable,4,FALSE)),0)</f>
        <v/>
      </c>
      <c r="Y17" s="12">
        <f>S17+T17+U17+V17+W17+X17</f>
        <v/>
      </c>
      <c r="Z17" s="9">
        <f>S17*BlendedPriceEssMonthly*E17+T17*BlendedPricePremMonthly*E17+U17*BlendedPriceEliteMonthly*E17+V17*BlendedPriceEssAnnual*E17/12+W17*BlendedPricePremAnnual*E17/12+X17*BlendedPriceEliteAnnual*E17/12</f>
        <v/>
      </c>
      <c r="AA17" s="9">
        <f>Z17*12</f>
        <v/>
      </c>
      <c r="AB17" s="12">
        <f>S17*BlendedPriceEssMonthly*E17+T17*BlendedPricePremMonthly*E17+U17*BlendedPriceEliteMonthly*E17</f>
        <v/>
      </c>
      <c r="AC17" s="12">
        <f>P17*BlendedPriceEssAnnual*E17+Q17*BlendedPricePremAnnual*E17+R17*BlendedPriceEliteAnnual*E17</f>
        <v/>
      </c>
      <c r="AD17" s="12">
        <f>P5*POWER(1-(AnnualChurn*VLOOKUP(B17,ChurnSeasonTable,4,FALSE)),1)*BlendedPriceEssAnnual*E17+Q5*POWER(1-(AnnualChurn*VLOOKUP(B17,ChurnSeasonTable,4,FALSE)),1)*BlendedPricePremAnnual*E17+R5*POWER(1-(AnnualChurn*VLOOKUP(B17,ChurnSeasonTable,4,FALSE)),1)*BlendedPriceEliteAnnual*E17</f>
        <v/>
      </c>
      <c r="AE17" s="9">
        <f>AB17+AC17+AD17</f>
        <v/>
      </c>
      <c r="AF17" s="12">
        <f>SUM(AE6:AE17)</f>
        <v/>
      </c>
      <c r="AG17" s="12">
        <f>OR(AG16,IF(VATAgentMode,SUM($AE6:$AE17)-SUM($AL6:$AL17)&gt;=VATThreshold,SUM($AE6:$AE17)&gt;=VATThreshold))</f>
        <v/>
      </c>
      <c r="AH17" s="9">
        <f>IF(AG17,IF(VATAgentMode,AE17-((AE17-AL17)-(AE17-AL17)/(1+VATRate)),AE17/(1+VATRate)),AE17)</f>
        <v/>
      </c>
      <c r="AI17" s="12">
        <f>AE17-AH17</f>
        <v/>
      </c>
      <c r="AJ17" s="12">
        <f>IF(AG17=0,0,IF(B17=1,SUMPRODUCT(--(($C$5:$C17=$C17-1)*($B$5:$B17&gt;=10)*($B$5:$B17&lt;=12)),$AI$5:$AI17),IF(B17=4,SUMPRODUCT(--(($C$5:$C17=$C17)*($B$5:$B17&gt;=1)*($B$5:$B17&lt;=3)),$AI$5:$AI17),IF(B17=7,SUMPRODUCT(--(($C$5:$C17=$C17)*($B$5:$B17&gt;=4)*($B$5:$B17&lt;=6)),$AI$5:$AI17),IF(B17=10,SUMPRODUCT(--(($C$5:$C17=$C17)*($B$5:$B17&gt;=7)*($B$5:$B17&lt;=9)),$AI$5:$AI17),0)))))</f>
        <v/>
      </c>
      <c r="AK17" s="12">
        <f>AK16+AI17-AJ17</f>
        <v/>
      </c>
      <c r="AL17" s="12">
        <f>IF(ProviderDelay&gt;=1,S16*BlendedProvPayEss+T16*BlendedProvPayPrem+U16*BlendedProvPayElite+V16*BlendedProvPayEss+W16*BlendedProvPayPrem+X16*BlendedProvPayElite,S17*BlendedProvPayEss+T17*BlendedProvPayPrem+U17*BlendedProvPayElite+V17*BlendedProvPayEss+W17*BlendedProvPayPrem+X17*BlendedProvPayElite)</f>
        <v/>
      </c>
      <c r="AM17" s="12">
        <f>AE17*PaymentFee</f>
        <v/>
      </c>
      <c r="AN17" s="12">
        <f>Y17*OpsAI</f>
        <v/>
      </c>
      <c r="AO17" s="12">
        <f>MonthlyFixed</f>
        <v/>
      </c>
      <c r="AP17" s="12">
        <f>I17*ReferralReward</f>
        <v/>
      </c>
      <c r="AQ17" s="12">
        <f>G17</f>
        <v/>
      </c>
      <c r="AR17" s="9">
        <f>AH17-AL17-AM17-AN17-AO17-AP17-AQ17</f>
        <v/>
      </c>
      <c r="AS17" s="9">
        <f>AS16+AE17-(AL17+AM17+AN17+AO17+AP17+AQ17+AJ17)</f>
        <v/>
      </c>
      <c r="AT17" s="12">
        <f>IF(Y17&gt;0,Z17/Y17,0)</f>
        <v/>
      </c>
      <c r="AU17" s="11">
        <f>IF(Y16&gt;0,MAX(0,(Y16+J17-Y17)/Y16),0)</f>
        <v/>
      </c>
    </row>
    <row r="18">
      <c r="A18" s="12" t="n">
        <v>14</v>
      </c>
      <c r="B18" s="12">
        <f>MOD(A18-1+LaunchMonth-1,12)+1</f>
        <v/>
      </c>
      <c r="C18" s="12">
        <f>INT((A18-1+LaunchMonth-1)/12)+1</f>
        <v/>
      </c>
      <c r="D18" s="12">
        <f>VLOOKUP(B18,SeasonTable,2,FALSE)</f>
        <v/>
      </c>
      <c r="E18" s="12">
        <f>(1+InflationRate)^INT((A18-1)/12)</f>
        <v/>
      </c>
      <c r="F18" s="11">
        <f>MonthlyChurn*VLOOKUP(B18,ChurnSeasonTable,4,FALSE)</f>
        <v/>
      </c>
      <c r="G18" s="12">
        <f>MIN(MAX(MktMin13_18,AE17*MktPct13_18),MAX(0,AS17-CashBuffer))</f>
        <v/>
      </c>
      <c r="H18" s="12">
        <f>IF(G18&gt;0,MAX(1,ROUND(G18/CAC*D18,0)),0)</f>
        <v/>
      </c>
      <c r="I18" s="12">
        <f>IF(H18&gt;0,ROUND(H18*ReferralMix/(1-ReferralMix),0),0)</f>
        <v/>
      </c>
      <c r="J18" s="12">
        <f>H18+I18</f>
        <v/>
      </c>
      <c r="K18" s="12">
        <f>ROUND(J18*(1-AnnualMix),0)</f>
        <v/>
      </c>
      <c r="L18" s="12">
        <f>J18-K18</f>
        <v/>
      </c>
      <c r="M18" s="12">
        <f>ROUND(K18*EssentialMix,0)</f>
        <v/>
      </c>
      <c r="N18" s="12">
        <f>ROUND(K18*PremiumMix,0)</f>
        <v/>
      </c>
      <c r="O18" s="12">
        <f>K18-M18-N18</f>
        <v/>
      </c>
      <c r="P18" s="12">
        <f>ROUND(L18*EssentialMix,0)</f>
        <v/>
      </c>
      <c r="Q18" s="12">
        <f>ROUND(L18*PremiumMix,0)</f>
        <v/>
      </c>
      <c r="R18" s="12">
        <f>L18-P18-Q18</f>
        <v/>
      </c>
      <c r="S18" s="12">
        <f>M18+M17+M16+MAX(0,S17-M17-M16)*(1-F18)</f>
        <v/>
      </c>
      <c r="T18" s="12">
        <f>N18+N17+N16+MAX(0,T17-N17-N16)*(1-F18)</f>
        <v/>
      </c>
      <c r="U18" s="12">
        <f>O18+O17+O16+MAX(0,U17-O17-O16)*(1-F18)</f>
        <v/>
      </c>
      <c r="V18" s="12">
        <f>V17+P18-P6*(AnnualChurn*VLOOKUP(B18,ChurnSeasonTable,4,FALSE))*POWER(1-(AnnualChurn*VLOOKUP(B18,ChurnSeasonTable,4,FALSE)),0)</f>
        <v/>
      </c>
      <c r="W18" s="12">
        <f>W17+Q18-Q6*(AnnualChurn*VLOOKUP(B18,ChurnSeasonTable,4,FALSE))*POWER(1-(AnnualChurn*VLOOKUP(B18,ChurnSeasonTable,4,FALSE)),0)</f>
        <v/>
      </c>
      <c r="X18" s="12">
        <f>X17+R18-R6*(AnnualChurn*VLOOKUP(B18,ChurnSeasonTable,4,FALSE))*POWER(1-(AnnualChurn*VLOOKUP(B18,ChurnSeasonTable,4,FALSE)),0)</f>
        <v/>
      </c>
      <c r="Y18" s="12">
        <f>S18+T18+U18+V18+W18+X18</f>
        <v/>
      </c>
      <c r="Z18" s="9">
        <f>S18*BlendedPriceEssMonthly*E18+T18*BlendedPricePremMonthly*E18+U18*BlendedPriceEliteMonthly*E18+V18*BlendedPriceEssAnnual*E18/12+W18*BlendedPricePremAnnual*E18/12+X18*BlendedPriceEliteAnnual*E18/12</f>
        <v/>
      </c>
      <c r="AA18" s="9">
        <f>Z18*12</f>
        <v/>
      </c>
      <c r="AB18" s="12">
        <f>S18*BlendedPriceEssMonthly*E18+T18*BlendedPricePremMonthly*E18+U18*BlendedPriceEliteMonthly*E18</f>
        <v/>
      </c>
      <c r="AC18" s="12">
        <f>P18*BlendedPriceEssAnnual*E18+Q18*BlendedPricePremAnnual*E18+R18*BlendedPriceEliteAnnual*E18</f>
        <v/>
      </c>
      <c r="AD18" s="12">
        <f>P6*POWER(1-(AnnualChurn*VLOOKUP(B18,ChurnSeasonTable,4,FALSE)),1)*BlendedPriceEssAnnual*E18+Q6*POWER(1-(AnnualChurn*VLOOKUP(B18,ChurnSeasonTable,4,FALSE)),1)*BlendedPricePremAnnual*E18+R6*POWER(1-(AnnualChurn*VLOOKUP(B18,ChurnSeasonTable,4,FALSE)),1)*BlendedPriceEliteAnnual*E18</f>
        <v/>
      </c>
      <c r="AE18" s="9">
        <f>AB18+AC18+AD18</f>
        <v/>
      </c>
      <c r="AF18" s="12">
        <f>SUM(AE7:AE18)</f>
        <v/>
      </c>
      <c r="AG18" s="12">
        <f>OR(AG17,IF(VATAgentMode,SUM($AE7:$AE18)-SUM($AL7:$AL18)&gt;=VATThreshold,SUM($AE7:$AE18)&gt;=VATThreshold))</f>
        <v/>
      </c>
      <c r="AH18" s="9">
        <f>IF(AG18,IF(VATAgentMode,AE18-((AE18-AL18)-(AE18-AL18)/(1+VATRate)),AE18/(1+VATRate)),AE18)</f>
        <v/>
      </c>
      <c r="AI18" s="12">
        <f>AE18-AH18</f>
        <v/>
      </c>
      <c r="AJ18" s="12">
        <f>IF(AG18=0,0,IF(B18=1,SUMPRODUCT(--(($C$5:$C18=$C18-1)*($B$5:$B18&gt;=10)*($B$5:$B18&lt;=12)),$AI$5:$AI18),IF(B18=4,SUMPRODUCT(--(($C$5:$C18=$C18)*($B$5:$B18&gt;=1)*($B$5:$B18&lt;=3)),$AI$5:$AI18),IF(B18=7,SUMPRODUCT(--(($C$5:$C18=$C18)*($B$5:$B18&gt;=4)*($B$5:$B18&lt;=6)),$AI$5:$AI18),IF(B18=10,SUMPRODUCT(--(($C$5:$C18=$C18)*($B$5:$B18&gt;=7)*($B$5:$B18&lt;=9)),$AI$5:$AI18),0)))))</f>
        <v/>
      </c>
      <c r="AK18" s="12">
        <f>AK17+AI18-AJ18</f>
        <v/>
      </c>
      <c r="AL18" s="12">
        <f>IF(ProviderDelay&gt;=1,S17*BlendedProvPayEss+T17*BlendedProvPayPrem+U17*BlendedProvPayElite+V17*BlendedProvPayEss+W17*BlendedProvPayPrem+X17*BlendedProvPayElite,S18*BlendedProvPayEss+T18*BlendedProvPayPrem+U18*BlendedProvPayElite+V18*BlendedProvPayEss+W18*BlendedProvPayPrem+X18*BlendedProvPayElite)</f>
        <v/>
      </c>
      <c r="AM18" s="12">
        <f>AE18*PaymentFee</f>
        <v/>
      </c>
      <c r="AN18" s="12">
        <f>Y18*OpsAI</f>
        <v/>
      </c>
      <c r="AO18" s="12">
        <f>MonthlyFixed</f>
        <v/>
      </c>
      <c r="AP18" s="12">
        <f>I18*ReferralReward</f>
        <v/>
      </c>
      <c r="AQ18" s="12">
        <f>G18</f>
        <v/>
      </c>
      <c r="AR18" s="9">
        <f>AH18-AL18-AM18-AN18-AO18-AP18-AQ18</f>
        <v/>
      </c>
      <c r="AS18" s="9">
        <f>AS17+AE18-(AL18+AM18+AN18+AO18+AP18+AQ18+AJ18)</f>
        <v/>
      </c>
      <c r="AT18" s="12">
        <f>IF(Y18&gt;0,Z18/Y18,0)</f>
        <v/>
      </c>
      <c r="AU18" s="11">
        <f>IF(Y17&gt;0,MAX(0,(Y17+J18-Y18)/Y17),0)</f>
        <v/>
      </c>
    </row>
    <row r="19">
      <c r="A19" s="12" t="n">
        <v>15</v>
      </c>
      <c r="B19" s="12">
        <f>MOD(A19-1+LaunchMonth-1,12)+1</f>
        <v/>
      </c>
      <c r="C19" s="12">
        <f>INT((A19-1+LaunchMonth-1)/12)+1</f>
        <v/>
      </c>
      <c r="D19" s="12">
        <f>VLOOKUP(B19,SeasonTable,2,FALSE)</f>
        <v/>
      </c>
      <c r="E19" s="12">
        <f>(1+InflationRate)^INT((A19-1)/12)</f>
        <v/>
      </c>
      <c r="F19" s="11">
        <f>MonthlyChurn*VLOOKUP(B19,ChurnSeasonTable,4,FALSE)</f>
        <v/>
      </c>
      <c r="G19" s="12">
        <f>MIN(MAX(MktMin13_18,AE18*MktPct13_18),MAX(0,AS18-CashBuffer))</f>
        <v/>
      </c>
      <c r="H19" s="12">
        <f>IF(G19&gt;0,MAX(1,ROUND(G19/CAC*D19,0)),0)</f>
        <v/>
      </c>
      <c r="I19" s="12">
        <f>IF(H19&gt;0,ROUND(H19*ReferralMix/(1-ReferralMix),0),0)</f>
        <v/>
      </c>
      <c r="J19" s="12">
        <f>H19+I19</f>
        <v/>
      </c>
      <c r="K19" s="12">
        <f>ROUND(J19*(1-AnnualMix),0)</f>
        <v/>
      </c>
      <c r="L19" s="12">
        <f>J19-K19</f>
        <v/>
      </c>
      <c r="M19" s="12">
        <f>ROUND(K19*EssentialMix,0)</f>
        <v/>
      </c>
      <c r="N19" s="12">
        <f>ROUND(K19*PremiumMix,0)</f>
        <v/>
      </c>
      <c r="O19" s="12">
        <f>K19-M19-N19</f>
        <v/>
      </c>
      <c r="P19" s="12">
        <f>ROUND(L19*EssentialMix,0)</f>
        <v/>
      </c>
      <c r="Q19" s="12">
        <f>ROUND(L19*PremiumMix,0)</f>
        <v/>
      </c>
      <c r="R19" s="12">
        <f>L19-P19-Q19</f>
        <v/>
      </c>
      <c r="S19" s="12">
        <f>M19+M18+M17+MAX(0,S18-M18-M17)*(1-F19)</f>
        <v/>
      </c>
      <c r="T19" s="12">
        <f>N19+N18+N17+MAX(0,T18-N18-N17)*(1-F19)</f>
        <v/>
      </c>
      <c r="U19" s="12">
        <f>O19+O18+O17+MAX(0,U18-O18-O17)*(1-F19)</f>
        <v/>
      </c>
      <c r="V19" s="12">
        <f>V18+P19-P7*(AnnualChurn*VLOOKUP(B19,ChurnSeasonTable,4,FALSE))*POWER(1-(AnnualChurn*VLOOKUP(B19,ChurnSeasonTable,4,FALSE)),0)</f>
        <v/>
      </c>
      <c r="W19" s="12">
        <f>W18+Q19-Q7*(AnnualChurn*VLOOKUP(B19,ChurnSeasonTable,4,FALSE))*POWER(1-(AnnualChurn*VLOOKUP(B19,ChurnSeasonTable,4,FALSE)),0)</f>
        <v/>
      </c>
      <c r="X19" s="12">
        <f>X18+R19-R7*(AnnualChurn*VLOOKUP(B19,ChurnSeasonTable,4,FALSE))*POWER(1-(AnnualChurn*VLOOKUP(B19,ChurnSeasonTable,4,FALSE)),0)</f>
        <v/>
      </c>
      <c r="Y19" s="12">
        <f>S19+T19+U19+V19+W19+X19</f>
        <v/>
      </c>
      <c r="Z19" s="9">
        <f>S19*BlendedPriceEssMonthly*E19+T19*BlendedPricePremMonthly*E19+U19*BlendedPriceEliteMonthly*E19+V19*BlendedPriceEssAnnual*E19/12+W19*BlendedPricePremAnnual*E19/12+X19*BlendedPriceEliteAnnual*E19/12</f>
        <v/>
      </c>
      <c r="AA19" s="9">
        <f>Z19*12</f>
        <v/>
      </c>
      <c r="AB19" s="12">
        <f>S19*BlendedPriceEssMonthly*E19+T19*BlendedPricePremMonthly*E19+U19*BlendedPriceEliteMonthly*E19</f>
        <v/>
      </c>
      <c r="AC19" s="12">
        <f>P19*BlendedPriceEssAnnual*E19+Q19*BlendedPricePremAnnual*E19+R19*BlendedPriceEliteAnnual*E19</f>
        <v/>
      </c>
      <c r="AD19" s="12">
        <f>P7*POWER(1-(AnnualChurn*VLOOKUP(B19,ChurnSeasonTable,4,FALSE)),1)*BlendedPriceEssAnnual*E19+Q7*POWER(1-(AnnualChurn*VLOOKUP(B19,ChurnSeasonTable,4,FALSE)),1)*BlendedPricePremAnnual*E19+R7*POWER(1-(AnnualChurn*VLOOKUP(B19,ChurnSeasonTable,4,FALSE)),1)*BlendedPriceEliteAnnual*E19</f>
        <v/>
      </c>
      <c r="AE19" s="9">
        <f>AB19+AC19+AD19</f>
        <v/>
      </c>
      <c r="AF19" s="12">
        <f>SUM(AE8:AE19)</f>
        <v/>
      </c>
      <c r="AG19" s="12">
        <f>OR(AG18,IF(VATAgentMode,SUM($AE8:$AE19)-SUM($AL8:$AL19)&gt;=VATThreshold,SUM($AE8:$AE19)&gt;=VATThreshold))</f>
        <v/>
      </c>
      <c r="AH19" s="9">
        <f>IF(AG19,IF(VATAgentMode,AE19-((AE19-AL19)-(AE19-AL19)/(1+VATRate)),AE19/(1+VATRate)),AE19)</f>
        <v/>
      </c>
      <c r="AI19" s="12">
        <f>AE19-AH19</f>
        <v/>
      </c>
      <c r="AJ19" s="12">
        <f>IF(AG19=0,0,IF(B19=1,SUMPRODUCT(--(($C$5:$C19=$C19-1)*($B$5:$B19&gt;=10)*($B$5:$B19&lt;=12)),$AI$5:$AI19),IF(B19=4,SUMPRODUCT(--(($C$5:$C19=$C19)*($B$5:$B19&gt;=1)*($B$5:$B19&lt;=3)),$AI$5:$AI19),IF(B19=7,SUMPRODUCT(--(($C$5:$C19=$C19)*($B$5:$B19&gt;=4)*($B$5:$B19&lt;=6)),$AI$5:$AI19),IF(B19=10,SUMPRODUCT(--(($C$5:$C19=$C19)*($B$5:$B19&gt;=7)*($B$5:$B19&lt;=9)),$AI$5:$AI19),0)))))</f>
        <v/>
      </c>
      <c r="AK19" s="12">
        <f>AK18+AI19-AJ19</f>
        <v/>
      </c>
      <c r="AL19" s="12">
        <f>IF(ProviderDelay&gt;=1,S18*BlendedProvPayEss+T18*BlendedProvPayPrem+U18*BlendedProvPayElite+V18*BlendedProvPayEss+W18*BlendedProvPayPrem+X18*BlendedProvPayElite,S19*BlendedProvPayEss+T19*BlendedProvPayPrem+U19*BlendedProvPayElite+V19*BlendedProvPayEss+W19*BlendedProvPayPrem+X19*BlendedProvPayElite)</f>
        <v/>
      </c>
      <c r="AM19" s="12">
        <f>AE19*PaymentFee</f>
        <v/>
      </c>
      <c r="AN19" s="12">
        <f>Y19*OpsAI</f>
        <v/>
      </c>
      <c r="AO19" s="12">
        <f>MonthlyFixed</f>
        <v/>
      </c>
      <c r="AP19" s="12">
        <f>I19*ReferralReward</f>
        <v/>
      </c>
      <c r="AQ19" s="12">
        <f>G19</f>
        <v/>
      </c>
      <c r="AR19" s="9">
        <f>AH19-AL19-AM19-AN19-AO19-AP19-AQ19</f>
        <v/>
      </c>
      <c r="AS19" s="9">
        <f>AS18+AE19-(AL19+AM19+AN19+AO19+AP19+AQ19+AJ19)</f>
        <v/>
      </c>
      <c r="AT19" s="12">
        <f>IF(Y19&gt;0,Z19/Y19,0)</f>
        <v/>
      </c>
      <c r="AU19" s="11">
        <f>IF(Y18&gt;0,MAX(0,(Y18+J19-Y19)/Y18),0)</f>
        <v/>
      </c>
    </row>
    <row r="20">
      <c r="A20" s="12" t="n">
        <v>16</v>
      </c>
      <c r="B20" s="12">
        <f>MOD(A20-1+LaunchMonth-1,12)+1</f>
        <v/>
      </c>
      <c r="C20" s="12">
        <f>INT((A20-1+LaunchMonth-1)/12)+1</f>
        <v/>
      </c>
      <c r="D20" s="12">
        <f>VLOOKUP(B20,SeasonTable,2,FALSE)</f>
        <v/>
      </c>
      <c r="E20" s="12">
        <f>(1+InflationRate)^INT((A20-1)/12)</f>
        <v/>
      </c>
      <c r="F20" s="11">
        <f>MonthlyChurn*VLOOKUP(B20,ChurnSeasonTable,4,FALSE)</f>
        <v/>
      </c>
      <c r="G20" s="12">
        <f>MIN(MAX(MktMin13_18,AE19*MktPct13_18),MAX(0,AS19-CashBuffer))</f>
        <v/>
      </c>
      <c r="H20" s="12">
        <f>IF(G20&gt;0,MAX(1,ROUND(G20/CAC*D20,0)),0)</f>
        <v/>
      </c>
      <c r="I20" s="12">
        <f>IF(H20&gt;0,ROUND(H20*ReferralMix/(1-ReferralMix),0),0)</f>
        <v/>
      </c>
      <c r="J20" s="12">
        <f>H20+I20</f>
        <v/>
      </c>
      <c r="K20" s="12">
        <f>ROUND(J20*(1-AnnualMix),0)</f>
        <v/>
      </c>
      <c r="L20" s="12">
        <f>J20-K20</f>
        <v/>
      </c>
      <c r="M20" s="12">
        <f>ROUND(K20*EssentialMix,0)</f>
        <v/>
      </c>
      <c r="N20" s="12">
        <f>ROUND(K20*PremiumMix,0)</f>
        <v/>
      </c>
      <c r="O20" s="12">
        <f>K20-M20-N20</f>
        <v/>
      </c>
      <c r="P20" s="12">
        <f>ROUND(L20*EssentialMix,0)</f>
        <v/>
      </c>
      <c r="Q20" s="12">
        <f>ROUND(L20*PremiumMix,0)</f>
        <v/>
      </c>
      <c r="R20" s="12">
        <f>L20-P20-Q20</f>
        <v/>
      </c>
      <c r="S20" s="12">
        <f>M20+M19+M18+MAX(0,S19-M19-M18)*(1-F20)</f>
        <v/>
      </c>
      <c r="T20" s="12">
        <f>N20+N19+N18+MAX(0,T19-N19-N18)*(1-F20)</f>
        <v/>
      </c>
      <c r="U20" s="12">
        <f>O20+O19+O18+MAX(0,U19-O19-O18)*(1-F20)</f>
        <v/>
      </c>
      <c r="V20" s="12">
        <f>V19+P20-P8*(AnnualChurn*VLOOKUP(B20,ChurnSeasonTable,4,FALSE))*POWER(1-(AnnualChurn*VLOOKUP(B20,ChurnSeasonTable,4,FALSE)),0)</f>
        <v/>
      </c>
      <c r="W20" s="12">
        <f>W19+Q20-Q8*(AnnualChurn*VLOOKUP(B20,ChurnSeasonTable,4,FALSE))*POWER(1-(AnnualChurn*VLOOKUP(B20,ChurnSeasonTable,4,FALSE)),0)</f>
        <v/>
      </c>
      <c r="X20" s="12">
        <f>X19+R20-R8*(AnnualChurn*VLOOKUP(B20,ChurnSeasonTable,4,FALSE))*POWER(1-(AnnualChurn*VLOOKUP(B20,ChurnSeasonTable,4,FALSE)),0)</f>
        <v/>
      </c>
      <c r="Y20" s="12">
        <f>S20+T20+U20+V20+W20+X20</f>
        <v/>
      </c>
      <c r="Z20" s="9">
        <f>S20*BlendedPriceEssMonthly*E20+T20*BlendedPricePremMonthly*E20+U20*BlendedPriceEliteMonthly*E20+V20*BlendedPriceEssAnnual*E20/12+W20*BlendedPricePremAnnual*E20/12+X20*BlendedPriceEliteAnnual*E20/12</f>
        <v/>
      </c>
      <c r="AA20" s="9">
        <f>Z20*12</f>
        <v/>
      </c>
      <c r="AB20" s="12">
        <f>S20*BlendedPriceEssMonthly*E20+T20*BlendedPricePremMonthly*E20+U20*BlendedPriceEliteMonthly*E20</f>
        <v/>
      </c>
      <c r="AC20" s="12">
        <f>P20*BlendedPriceEssAnnual*E20+Q20*BlendedPricePremAnnual*E20+R20*BlendedPriceEliteAnnual*E20</f>
        <v/>
      </c>
      <c r="AD20" s="12">
        <f>P8*POWER(1-(AnnualChurn*VLOOKUP(B20,ChurnSeasonTable,4,FALSE)),1)*BlendedPriceEssAnnual*E20+Q8*POWER(1-(AnnualChurn*VLOOKUP(B20,ChurnSeasonTable,4,FALSE)),1)*BlendedPricePremAnnual*E20+R8*POWER(1-(AnnualChurn*VLOOKUP(B20,ChurnSeasonTable,4,FALSE)),1)*BlendedPriceEliteAnnual*E20</f>
        <v/>
      </c>
      <c r="AE20" s="9">
        <f>AB20+AC20+AD20</f>
        <v/>
      </c>
      <c r="AF20" s="12">
        <f>SUM(AE9:AE20)</f>
        <v/>
      </c>
      <c r="AG20" s="12">
        <f>OR(AG19,IF(VATAgentMode,SUM($AE9:$AE20)-SUM($AL9:$AL20)&gt;=VATThreshold,SUM($AE9:$AE20)&gt;=VATThreshold))</f>
        <v/>
      </c>
      <c r="AH20" s="9">
        <f>IF(AG20,IF(VATAgentMode,AE20-((AE20-AL20)-(AE20-AL20)/(1+VATRate)),AE20/(1+VATRate)),AE20)</f>
        <v/>
      </c>
      <c r="AI20" s="12">
        <f>AE20-AH20</f>
        <v/>
      </c>
      <c r="AJ20" s="12">
        <f>IF(AG20=0,0,IF(B20=1,SUMPRODUCT(--(($C$5:$C20=$C20-1)*($B$5:$B20&gt;=10)*($B$5:$B20&lt;=12)),$AI$5:$AI20),IF(B20=4,SUMPRODUCT(--(($C$5:$C20=$C20)*($B$5:$B20&gt;=1)*($B$5:$B20&lt;=3)),$AI$5:$AI20),IF(B20=7,SUMPRODUCT(--(($C$5:$C20=$C20)*($B$5:$B20&gt;=4)*($B$5:$B20&lt;=6)),$AI$5:$AI20),IF(B20=10,SUMPRODUCT(--(($C$5:$C20=$C20)*($B$5:$B20&gt;=7)*($B$5:$B20&lt;=9)),$AI$5:$AI20),0)))))</f>
        <v/>
      </c>
      <c r="AK20" s="12">
        <f>AK19+AI20-AJ20</f>
        <v/>
      </c>
      <c r="AL20" s="12">
        <f>IF(ProviderDelay&gt;=1,S19*BlendedProvPayEss+T19*BlendedProvPayPrem+U19*BlendedProvPayElite+V19*BlendedProvPayEss+W19*BlendedProvPayPrem+X19*BlendedProvPayElite,S20*BlendedProvPayEss+T20*BlendedProvPayPrem+U20*BlendedProvPayElite+V20*BlendedProvPayEss+W20*BlendedProvPayPrem+X20*BlendedProvPayElite)</f>
        <v/>
      </c>
      <c r="AM20" s="12">
        <f>AE20*PaymentFee</f>
        <v/>
      </c>
      <c r="AN20" s="12">
        <f>Y20*OpsAI</f>
        <v/>
      </c>
      <c r="AO20" s="12">
        <f>MonthlyFixed</f>
        <v/>
      </c>
      <c r="AP20" s="12">
        <f>I20*ReferralReward</f>
        <v/>
      </c>
      <c r="AQ20" s="12">
        <f>G20</f>
        <v/>
      </c>
      <c r="AR20" s="9">
        <f>AH20-AL20-AM20-AN20-AO20-AP20-AQ20</f>
        <v/>
      </c>
      <c r="AS20" s="9">
        <f>AS19+AE20-(AL20+AM20+AN20+AO20+AP20+AQ20+AJ20)</f>
        <v/>
      </c>
      <c r="AT20" s="12">
        <f>IF(Y20&gt;0,Z20/Y20,0)</f>
        <v/>
      </c>
      <c r="AU20" s="11">
        <f>IF(Y19&gt;0,MAX(0,(Y19+J20-Y20)/Y19),0)</f>
        <v/>
      </c>
    </row>
    <row r="21">
      <c r="A21" s="12" t="n">
        <v>17</v>
      </c>
      <c r="B21" s="12">
        <f>MOD(A21-1+LaunchMonth-1,12)+1</f>
        <v/>
      </c>
      <c r="C21" s="12">
        <f>INT((A21-1+LaunchMonth-1)/12)+1</f>
        <v/>
      </c>
      <c r="D21" s="12">
        <f>VLOOKUP(B21,SeasonTable,2,FALSE)</f>
        <v/>
      </c>
      <c r="E21" s="12">
        <f>(1+InflationRate)^INT((A21-1)/12)</f>
        <v/>
      </c>
      <c r="F21" s="11">
        <f>MonthlyChurn*VLOOKUP(B21,ChurnSeasonTable,4,FALSE)</f>
        <v/>
      </c>
      <c r="G21" s="12">
        <f>MIN(MAX(MktMin13_18,AE20*MktPct13_18),MAX(0,AS20-CashBuffer))</f>
        <v/>
      </c>
      <c r="H21" s="12">
        <f>IF(G21&gt;0,MAX(1,ROUND(G21/CAC*D21,0)),0)</f>
        <v/>
      </c>
      <c r="I21" s="12">
        <f>IF(H21&gt;0,ROUND(H21*ReferralMix/(1-ReferralMix),0),0)</f>
        <v/>
      </c>
      <c r="J21" s="12">
        <f>H21+I21</f>
        <v/>
      </c>
      <c r="K21" s="12">
        <f>ROUND(J21*(1-AnnualMix),0)</f>
        <v/>
      </c>
      <c r="L21" s="12">
        <f>J21-K21</f>
        <v/>
      </c>
      <c r="M21" s="12">
        <f>ROUND(K21*EssentialMix,0)</f>
        <v/>
      </c>
      <c r="N21" s="12">
        <f>ROUND(K21*PremiumMix,0)</f>
        <v/>
      </c>
      <c r="O21" s="12">
        <f>K21-M21-N21</f>
        <v/>
      </c>
      <c r="P21" s="12">
        <f>ROUND(L21*EssentialMix,0)</f>
        <v/>
      </c>
      <c r="Q21" s="12">
        <f>ROUND(L21*PremiumMix,0)</f>
        <v/>
      </c>
      <c r="R21" s="12">
        <f>L21-P21-Q21</f>
        <v/>
      </c>
      <c r="S21" s="12">
        <f>M21+M20+M19+MAX(0,S20-M20-M19)*(1-F21)</f>
        <v/>
      </c>
      <c r="T21" s="12">
        <f>N21+N20+N19+MAX(0,T20-N20-N19)*(1-F21)</f>
        <v/>
      </c>
      <c r="U21" s="12">
        <f>O21+O20+O19+MAX(0,U20-O20-O19)*(1-F21)</f>
        <v/>
      </c>
      <c r="V21" s="12">
        <f>V20+P21-P9*(AnnualChurn*VLOOKUP(B21,ChurnSeasonTable,4,FALSE))*POWER(1-(AnnualChurn*VLOOKUP(B21,ChurnSeasonTable,4,FALSE)),0)</f>
        <v/>
      </c>
      <c r="W21" s="12">
        <f>W20+Q21-Q9*(AnnualChurn*VLOOKUP(B21,ChurnSeasonTable,4,FALSE))*POWER(1-(AnnualChurn*VLOOKUP(B21,ChurnSeasonTable,4,FALSE)),0)</f>
        <v/>
      </c>
      <c r="X21" s="12">
        <f>X20+R21-R9*(AnnualChurn*VLOOKUP(B21,ChurnSeasonTable,4,FALSE))*POWER(1-(AnnualChurn*VLOOKUP(B21,ChurnSeasonTable,4,FALSE)),0)</f>
        <v/>
      </c>
      <c r="Y21" s="12">
        <f>S21+T21+U21+V21+W21+X21</f>
        <v/>
      </c>
      <c r="Z21" s="9">
        <f>S21*BlendedPriceEssMonthly*E21+T21*BlendedPricePremMonthly*E21+U21*BlendedPriceEliteMonthly*E21+V21*BlendedPriceEssAnnual*E21/12+W21*BlendedPricePremAnnual*E21/12+X21*BlendedPriceEliteAnnual*E21/12</f>
        <v/>
      </c>
      <c r="AA21" s="9">
        <f>Z21*12</f>
        <v/>
      </c>
      <c r="AB21" s="12">
        <f>S21*BlendedPriceEssMonthly*E21+T21*BlendedPricePremMonthly*E21+U21*BlendedPriceEliteMonthly*E21</f>
        <v/>
      </c>
      <c r="AC21" s="12">
        <f>P21*BlendedPriceEssAnnual*E21+Q21*BlendedPricePremAnnual*E21+R21*BlendedPriceEliteAnnual*E21</f>
        <v/>
      </c>
      <c r="AD21" s="12">
        <f>P9*POWER(1-(AnnualChurn*VLOOKUP(B21,ChurnSeasonTable,4,FALSE)),1)*BlendedPriceEssAnnual*E21+Q9*POWER(1-(AnnualChurn*VLOOKUP(B21,ChurnSeasonTable,4,FALSE)),1)*BlendedPricePremAnnual*E21+R9*POWER(1-(AnnualChurn*VLOOKUP(B21,ChurnSeasonTable,4,FALSE)),1)*BlendedPriceEliteAnnual*E21</f>
        <v/>
      </c>
      <c r="AE21" s="9">
        <f>AB21+AC21+AD21</f>
        <v/>
      </c>
      <c r="AF21" s="12">
        <f>SUM(AE10:AE21)</f>
        <v/>
      </c>
      <c r="AG21" s="12">
        <f>OR(AG20,IF(VATAgentMode,SUM($AE10:$AE21)-SUM($AL10:$AL21)&gt;=VATThreshold,SUM($AE10:$AE21)&gt;=VATThreshold))</f>
        <v/>
      </c>
      <c r="AH21" s="9">
        <f>IF(AG21,IF(VATAgentMode,AE21-((AE21-AL21)-(AE21-AL21)/(1+VATRate)),AE21/(1+VATRate)),AE21)</f>
        <v/>
      </c>
      <c r="AI21" s="12">
        <f>AE21-AH21</f>
        <v/>
      </c>
      <c r="AJ21" s="12">
        <f>IF(AG21=0,0,IF(B21=1,SUMPRODUCT(--(($C$5:$C21=$C21-1)*($B$5:$B21&gt;=10)*($B$5:$B21&lt;=12)),$AI$5:$AI21),IF(B21=4,SUMPRODUCT(--(($C$5:$C21=$C21)*($B$5:$B21&gt;=1)*($B$5:$B21&lt;=3)),$AI$5:$AI21),IF(B21=7,SUMPRODUCT(--(($C$5:$C21=$C21)*($B$5:$B21&gt;=4)*($B$5:$B21&lt;=6)),$AI$5:$AI21),IF(B21=10,SUMPRODUCT(--(($C$5:$C21=$C21)*($B$5:$B21&gt;=7)*($B$5:$B21&lt;=9)),$AI$5:$AI21),0)))))</f>
        <v/>
      </c>
      <c r="AK21" s="12">
        <f>AK20+AI21-AJ21</f>
        <v/>
      </c>
      <c r="AL21" s="12">
        <f>IF(ProviderDelay&gt;=1,S20*BlendedProvPayEss+T20*BlendedProvPayPrem+U20*BlendedProvPayElite+V20*BlendedProvPayEss+W20*BlendedProvPayPrem+X20*BlendedProvPayElite,S21*BlendedProvPayEss+T21*BlendedProvPayPrem+U21*BlendedProvPayElite+V21*BlendedProvPayEss+W21*BlendedProvPayPrem+X21*BlendedProvPayElite)</f>
        <v/>
      </c>
      <c r="AM21" s="12">
        <f>AE21*PaymentFee</f>
        <v/>
      </c>
      <c r="AN21" s="12">
        <f>Y21*OpsAI</f>
        <v/>
      </c>
      <c r="AO21" s="12">
        <f>MonthlyFixed</f>
        <v/>
      </c>
      <c r="AP21" s="12">
        <f>I21*ReferralReward</f>
        <v/>
      </c>
      <c r="AQ21" s="12">
        <f>G21</f>
        <v/>
      </c>
      <c r="AR21" s="9">
        <f>AH21-AL21-AM21-AN21-AO21-AP21-AQ21</f>
        <v/>
      </c>
      <c r="AS21" s="9">
        <f>AS20+AE21-(AL21+AM21+AN21+AO21+AP21+AQ21+AJ21)</f>
        <v/>
      </c>
      <c r="AT21" s="12">
        <f>IF(Y21&gt;0,Z21/Y21,0)</f>
        <v/>
      </c>
      <c r="AU21" s="11">
        <f>IF(Y20&gt;0,MAX(0,(Y20+J21-Y21)/Y20),0)</f>
        <v/>
      </c>
    </row>
    <row r="22">
      <c r="A22" s="12" t="n">
        <v>18</v>
      </c>
      <c r="B22" s="12">
        <f>MOD(A22-1+LaunchMonth-1,12)+1</f>
        <v/>
      </c>
      <c r="C22" s="12">
        <f>INT((A22-1+LaunchMonth-1)/12)+1</f>
        <v/>
      </c>
      <c r="D22" s="12">
        <f>VLOOKUP(B22,SeasonTable,2,FALSE)</f>
        <v/>
      </c>
      <c r="E22" s="12">
        <f>(1+InflationRate)^INT((A22-1)/12)</f>
        <v/>
      </c>
      <c r="F22" s="11">
        <f>MonthlyChurn*VLOOKUP(B22,ChurnSeasonTable,4,FALSE)</f>
        <v/>
      </c>
      <c r="G22" s="12">
        <f>MIN(MAX(MktMin13_18,AE21*MktPct13_18),MAX(0,AS21-CashBuffer))</f>
        <v/>
      </c>
      <c r="H22" s="12">
        <f>IF(G22&gt;0,MAX(1,ROUND(G22/CAC*D22,0)),0)</f>
        <v/>
      </c>
      <c r="I22" s="12">
        <f>IF(H22&gt;0,ROUND(H22*ReferralMix/(1-ReferralMix),0),0)</f>
        <v/>
      </c>
      <c r="J22" s="12">
        <f>H22+I22</f>
        <v/>
      </c>
      <c r="K22" s="12">
        <f>ROUND(J22*(1-AnnualMix),0)</f>
        <v/>
      </c>
      <c r="L22" s="12">
        <f>J22-K22</f>
        <v/>
      </c>
      <c r="M22" s="12">
        <f>ROUND(K22*EssentialMix,0)</f>
        <v/>
      </c>
      <c r="N22" s="12">
        <f>ROUND(K22*PremiumMix,0)</f>
        <v/>
      </c>
      <c r="O22" s="12">
        <f>K22-M22-N22</f>
        <v/>
      </c>
      <c r="P22" s="12">
        <f>ROUND(L22*EssentialMix,0)</f>
        <v/>
      </c>
      <c r="Q22" s="12">
        <f>ROUND(L22*PremiumMix,0)</f>
        <v/>
      </c>
      <c r="R22" s="12">
        <f>L22-P22-Q22</f>
        <v/>
      </c>
      <c r="S22" s="12">
        <f>M22+M21+M20+MAX(0,S21-M21-M20)*(1-F22)</f>
        <v/>
      </c>
      <c r="T22" s="12">
        <f>N22+N21+N20+MAX(0,T21-N21-N20)*(1-F22)</f>
        <v/>
      </c>
      <c r="U22" s="12">
        <f>O22+O21+O20+MAX(0,U21-O21-O20)*(1-F22)</f>
        <v/>
      </c>
      <c r="V22" s="12">
        <f>V21+P22-P10*(AnnualChurn*VLOOKUP(B22,ChurnSeasonTable,4,FALSE))*POWER(1-(AnnualChurn*VLOOKUP(B22,ChurnSeasonTable,4,FALSE)),0)</f>
        <v/>
      </c>
      <c r="W22" s="12">
        <f>W21+Q22-Q10*(AnnualChurn*VLOOKUP(B22,ChurnSeasonTable,4,FALSE))*POWER(1-(AnnualChurn*VLOOKUP(B22,ChurnSeasonTable,4,FALSE)),0)</f>
        <v/>
      </c>
      <c r="X22" s="12">
        <f>X21+R22-R10*(AnnualChurn*VLOOKUP(B22,ChurnSeasonTable,4,FALSE))*POWER(1-(AnnualChurn*VLOOKUP(B22,ChurnSeasonTable,4,FALSE)),0)</f>
        <v/>
      </c>
      <c r="Y22" s="12">
        <f>S22+T22+U22+V22+W22+X22</f>
        <v/>
      </c>
      <c r="Z22" s="9">
        <f>S22*BlendedPriceEssMonthly*E22+T22*BlendedPricePremMonthly*E22+U22*BlendedPriceEliteMonthly*E22+V22*BlendedPriceEssAnnual*E22/12+W22*BlendedPricePremAnnual*E22/12+X22*BlendedPriceEliteAnnual*E22/12</f>
        <v/>
      </c>
      <c r="AA22" s="9">
        <f>Z22*12</f>
        <v/>
      </c>
      <c r="AB22" s="12">
        <f>S22*BlendedPriceEssMonthly*E22+T22*BlendedPricePremMonthly*E22+U22*BlendedPriceEliteMonthly*E22</f>
        <v/>
      </c>
      <c r="AC22" s="12">
        <f>P22*BlendedPriceEssAnnual*E22+Q22*BlendedPricePremAnnual*E22+R22*BlendedPriceEliteAnnual*E22</f>
        <v/>
      </c>
      <c r="AD22" s="12">
        <f>P10*POWER(1-(AnnualChurn*VLOOKUP(B22,ChurnSeasonTable,4,FALSE)),1)*BlendedPriceEssAnnual*E22+Q10*POWER(1-(AnnualChurn*VLOOKUP(B22,ChurnSeasonTable,4,FALSE)),1)*BlendedPricePremAnnual*E22+R10*POWER(1-(AnnualChurn*VLOOKUP(B22,ChurnSeasonTable,4,FALSE)),1)*BlendedPriceEliteAnnual*E22</f>
        <v/>
      </c>
      <c r="AE22" s="9">
        <f>AB22+AC22+AD22</f>
        <v/>
      </c>
      <c r="AF22" s="12">
        <f>SUM(AE11:AE22)</f>
        <v/>
      </c>
      <c r="AG22" s="12">
        <f>OR(AG21,IF(VATAgentMode,SUM($AE11:$AE22)-SUM($AL11:$AL22)&gt;=VATThreshold,SUM($AE11:$AE22)&gt;=VATThreshold))</f>
        <v/>
      </c>
      <c r="AH22" s="9">
        <f>IF(AG22,IF(VATAgentMode,AE22-((AE22-AL22)-(AE22-AL22)/(1+VATRate)),AE22/(1+VATRate)),AE22)</f>
        <v/>
      </c>
      <c r="AI22" s="12">
        <f>AE22-AH22</f>
        <v/>
      </c>
      <c r="AJ22" s="12">
        <f>IF(AG22=0,0,IF(B22=1,SUMPRODUCT(--(($C$5:$C22=$C22-1)*($B$5:$B22&gt;=10)*($B$5:$B22&lt;=12)),$AI$5:$AI22),IF(B22=4,SUMPRODUCT(--(($C$5:$C22=$C22)*($B$5:$B22&gt;=1)*($B$5:$B22&lt;=3)),$AI$5:$AI22),IF(B22=7,SUMPRODUCT(--(($C$5:$C22=$C22)*($B$5:$B22&gt;=4)*($B$5:$B22&lt;=6)),$AI$5:$AI22),IF(B22=10,SUMPRODUCT(--(($C$5:$C22=$C22)*($B$5:$B22&gt;=7)*($B$5:$B22&lt;=9)),$AI$5:$AI22),0)))))</f>
        <v/>
      </c>
      <c r="AK22" s="12">
        <f>AK21+AI22-AJ22</f>
        <v/>
      </c>
      <c r="AL22" s="12">
        <f>IF(ProviderDelay&gt;=1,S21*BlendedProvPayEss+T21*BlendedProvPayPrem+U21*BlendedProvPayElite+V21*BlendedProvPayEss+W21*BlendedProvPayPrem+X21*BlendedProvPayElite,S22*BlendedProvPayEss+T22*BlendedProvPayPrem+U22*BlendedProvPayElite+V22*BlendedProvPayEss+W22*BlendedProvPayPrem+X22*BlendedProvPayElite)</f>
        <v/>
      </c>
      <c r="AM22" s="12">
        <f>AE22*PaymentFee</f>
        <v/>
      </c>
      <c r="AN22" s="12">
        <f>Y22*OpsAI</f>
        <v/>
      </c>
      <c r="AO22" s="12">
        <f>MonthlyFixed</f>
        <v/>
      </c>
      <c r="AP22" s="12">
        <f>I22*ReferralReward</f>
        <v/>
      </c>
      <c r="AQ22" s="12">
        <f>G22</f>
        <v/>
      </c>
      <c r="AR22" s="9">
        <f>AH22-AL22-AM22-AN22-AO22-AP22-AQ22</f>
        <v/>
      </c>
      <c r="AS22" s="9">
        <f>AS21+AE22-(AL22+AM22+AN22+AO22+AP22+AQ22+AJ22)</f>
        <v/>
      </c>
      <c r="AT22" s="12">
        <f>IF(Y22&gt;0,Z22/Y22,0)</f>
        <v/>
      </c>
      <c r="AU22" s="11">
        <f>IF(Y21&gt;0,MAX(0,(Y21+J22-Y22)/Y21),0)</f>
        <v/>
      </c>
    </row>
    <row r="23">
      <c r="A23" s="12" t="n">
        <v>19</v>
      </c>
      <c r="B23" s="12">
        <f>MOD(A23-1+LaunchMonth-1,12)+1</f>
        <v/>
      </c>
      <c r="C23" s="12">
        <f>INT((A23-1+LaunchMonth-1)/12)+1</f>
        <v/>
      </c>
      <c r="D23" s="12">
        <f>VLOOKUP(B23,SeasonTable,2,FALSE)</f>
        <v/>
      </c>
      <c r="E23" s="12">
        <f>(1+InflationRate)^INT((A23-1)/12)</f>
        <v/>
      </c>
      <c r="F23" s="11">
        <f>MonthlyChurn*VLOOKUP(B23,ChurnSeasonTable,4,FALSE)</f>
        <v/>
      </c>
      <c r="G23" s="12">
        <f>MIN(MAX(MktMin19plus,AE22*MktPct19plus),MAX(0,AS22-CashBuffer))</f>
        <v/>
      </c>
      <c r="H23" s="12">
        <f>IF(G23&gt;0,MAX(1,ROUND(G23/CAC*D23,0)),0)</f>
        <v/>
      </c>
      <c r="I23" s="12">
        <f>IF(H23&gt;0,ROUND(H23*ReferralMix/(1-ReferralMix),0),0)</f>
        <v/>
      </c>
      <c r="J23" s="12">
        <f>H23+I23</f>
        <v/>
      </c>
      <c r="K23" s="12">
        <f>ROUND(J23*(1-AnnualMix),0)</f>
        <v/>
      </c>
      <c r="L23" s="12">
        <f>J23-K23</f>
        <v/>
      </c>
      <c r="M23" s="12">
        <f>ROUND(K23*EssentialMix,0)</f>
        <v/>
      </c>
      <c r="N23" s="12">
        <f>ROUND(K23*PremiumMix,0)</f>
        <v/>
      </c>
      <c r="O23" s="12">
        <f>K23-M23-N23</f>
        <v/>
      </c>
      <c r="P23" s="12">
        <f>ROUND(L23*EssentialMix,0)</f>
        <v/>
      </c>
      <c r="Q23" s="12">
        <f>ROUND(L23*PremiumMix,0)</f>
        <v/>
      </c>
      <c r="R23" s="12">
        <f>L23-P23-Q23</f>
        <v/>
      </c>
      <c r="S23" s="12">
        <f>M23+M22+M21+MAX(0,S22-M22-M21)*(1-F23)</f>
        <v/>
      </c>
      <c r="T23" s="12">
        <f>N23+N22+N21+MAX(0,T22-N22-N21)*(1-F23)</f>
        <v/>
      </c>
      <c r="U23" s="12">
        <f>O23+O22+O21+MAX(0,U22-O22-O21)*(1-F23)</f>
        <v/>
      </c>
      <c r="V23" s="12">
        <f>V22+P23-P11*(AnnualChurn*VLOOKUP(B23,ChurnSeasonTable,4,FALSE))*POWER(1-(AnnualChurn*VLOOKUP(B23,ChurnSeasonTable,4,FALSE)),0)</f>
        <v/>
      </c>
      <c r="W23" s="12">
        <f>W22+Q23-Q11*(AnnualChurn*VLOOKUP(B23,ChurnSeasonTable,4,FALSE))*POWER(1-(AnnualChurn*VLOOKUP(B23,ChurnSeasonTable,4,FALSE)),0)</f>
        <v/>
      </c>
      <c r="X23" s="12">
        <f>X22+R23-R11*(AnnualChurn*VLOOKUP(B23,ChurnSeasonTable,4,FALSE))*POWER(1-(AnnualChurn*VLOOKUP(B23,ChurnSeasonTable,4,FALSE)),0)</f>
        <v/>
      </c>
      <c r="Y23" s="12">
        <f>S23+T23+U23+V23+W23+X23</f>
        <v/>
      </c>
      <c r="Z23" s="9">
        <f>S23*BlendedPriceEssMonthly*E23+T23*BlendedPricePremMonthly*E23+U23*BlendedPriceEliteMonthly*E23+V23*BlendedPriceEssAnnual*E23/12+W23*BlendedPricePremAnnual*E23/12+X23*BlendedPriceEliteAnnual*E23/12</f>
        <v/>
      </c>
      <c r="AA23" s="9">
        <f>Z23*12</f>
        <v/>
      </c>
      <c r="AB23" s="12">
        <f>S23*BlendedPriceEssMonthly*E23+T23*BlendedPricePremMonthly*E23+U23*BlendedPriceEliteMonthly*E23</f>
        <v/>
      </c>
      <c r="AC23" s="12">
        <f>P23*BlendedPriceEssAnnual*E23+Q23*BlendedPricePremAnnual*E23+R23*BlendedPriceEliteAnnual*E23</f>
        <v/>
      </c>
      <c r="AD23" s="12">
        <f>P11*POWER(1-(AnnualChurn*VLOOKUP(B23,ChurnSeasonTable,4,FALSE)),1)*BlendedPriceEssAnnual*E23+Q11*POWER(1-(AnnualChurn*VLOOKUP(B23,ChurnSeasonTable,4,FALSE)),1)*BlendedPricePremAnnual*E23+R11*POWER(1-(AnnualChurn*VLOOKUP(B23,ChurnSeasonTable,4,FALSE)),1)*BlendedPriceEliteAnnual*E23</f>
        <v/>
      </c>
      <c r="AE23" s="9">
        <f>AB23+AC23+AD23</f>
        <v/>
      </c>
      <c r="AF23" s="12">
        <f>SUM(AE12:AE23)</f>
        <v/>
      </c>
      <c r="AG23" s="12">
        <f>OR(AG22,IF(VATAgentMode,SUM($AE12:$AE23)-SUM($AL12:$AL23)&gt;=VATThreshold,SUM($AE12:$AE23)&gt;=VATThreshold))</f>
        <v/>
      </c>
      <c r="AH23" s="9">
        <f>IF(AG23,IF(VATAgentMode,AE23-((AE23-AL23)-(AE23-AL23)/(1+VATRate)),AE23/(1+VATRate)),AE23)</f>
        <v/>
      </c>
      <c r="AI23" s="12">
        <f>AE23-AH23</f>
        <v/>
      </c>
      <c r="AJ23" s="12">
        <f>IF(AG23=0,0,IF(B23=1,SUMPRODUCT(--(($C$5:$C23=$C23-1)*($B$5:$B23&gt;=10)*($B$5:$B23&lt;=12)),$AI$5:$AI23),IF(B23=4,SUMPRODUCT(--(($C$5:$C23=$C23)*($B$5:$B23&gt;=1)*($B$5:$B23&lt;=3)),$AI$5:$AI23),IF(B23=7,SUMPRODUCT(--(($C$5:$C23=$C23)*($B$5:$B23&gt;=4)*($B$5:$B23&lt;=6)),$AI$5:$AI23),IF(B23=10,SUMPRODUCT(--(($C$5:$C23=$C23)*($B$5:$B23&gt;=7)*($B$5:$B23&lt;=9)),$AI$5:$AI23),0)))))</f>
        <v/>
      </c>
      <c r="AK23" s="12">
        <f>AK22+AI23-AJ23</f>
        <v/>
      </c>
      <c r="AL23" s="12">
        <f>IF(ProviderDelay&gt;=1,S22*BlendedProvPayEss+T22*BlendedProvPayPrem+U22*BlendedProvPayElite+V22*BlendedProvPayEss+W22*BlendedProvPayPrem+X22*BlendedProvPayElite,S23*BlendedProvPayEss+T23*BlendedProvPayPrem+U23*BlendedProvPayElite+V23*BlendedProvPayEss+W23*BlendedProvPayPrem+X23*BlendedProvPayElite)</f>
        <v/>
      </c>
      <c r="AM23" s="12">
        <f>AE23*PaymentFee</f>
        <v/>
      </c>
      <c r="AN23" s="12">
        <f>Y23*OpsAI</f>
        <v/>
      </c>
      <c r="AO23" s="12">
        <f>MonthlyFixed</f>
        <v/>
      </c>
      <c r="AP23" s="12">
        <f>I23*ReferralReward</f>
        <v/>
      </c>
      <c r="AQ23" s="12">
        <f>G23</f>
        <v/>
      </c>
      <c r="AR23" s="9">
        <f>AH23-AL23-AM23-AN23-AO23-AP23-AQ23</f>
        <v/>
      </c>
      <c r="AS23" s="9">
        <f>AS22+AE23-(AL23+AM23+AN23+AO23+AP23+AQ23+AJ23)</f>
        <v/>
      </c>
      <c r="AT23" s="12">
        <f>IF(Y23&gt;0,Z23/Y23,0)</f>
        <v/>
      </c>
      <c r="AU23" s="11">
        <f>IF(Y22&gt;0,MAX(0,(Y22+J23-Y23)/Y22),0)</f>
        <v/>
      </c>
    </row>
    <row r="24">
      <c r="A24" s="12" t="n">
        <v>20</v>
      </c>
      <c r="B24" s="12">
        <f>MOD(A24-1+LaunchMonth-1,12)+1</f>
        <v/>
      </c>
      <c r="C24" s="12">
        <f>INT((A24-1+LaunchMonth-1)/12)+1</f>
        <v/>
      </c>
      <c r="D24" s="12">
        <f>VLOOKUP(B24,SeasonTable,2,FALSE)</f>
        <v/>
      </c>
      <c r="E24" s="12">
        <f>(1+InflationRate)^INT((A24-1)/12)</f>
        <v/>
      </c>
      <c r="F24" s="11">
        <f>MonthlyChurn*VLOOKUP(B24,ChurnSeasonTable,4,FALSE)</f>
        <v/>
      </c>
      <c r="G24" s="12">
        <f>MIN(MAX(MktMin19plus,AE23*MktPct19plus),MAX(0,AS23-CashBuffer))</f>
        <v/>
      </c>
      <c r="H24" s="12">
        <f>IF(G24&gt;0,MAX(1,ROUND(G24/CAC*D24,0)),0)</f>
        <v/>
      </c>
      <c r="I24" s="12">
        <f>IF(H24&gt;0,ROUND(H24*ReferralMix/(1-ReferralMix),0),0)</f>
        <v/>
      </c>
      <c r="J24" s="12">
        <f>H24+I24</f>
        <v/>
      </c>
      <c r="K24" s="12">
        <f>ROUND(J24*(1-AnnualMix),0)</f>
        <v/>
      </c>
      <c r="L24" s="12">
        <f>J24-K24</f>
        <v/>
      </c>
      <c r="M24" s="12">
        <f>ROUND(K24*EssentialMix,0)</f>
        <v/>
      </c>
      <c r="N24" s="12">
        <f>ROUND(K24*PremiumMix,0)</f>
        <v/>
      </c>
      <c r="O24" s="12">
        <f>K24-M24-N24</f>
        <v/>
      </c>
      <c r="P24" s="12">
        <f>ROUND(L24*EssentialMix,0)</f>
        <v/>
      </c>
      <c r="Q24" s="12">
        <f>ROUND(L24*PremiumMix,0)</f>
        <v/>
      </c>
      <c r="R24" s="12">
        <f>L24-P24-Q24</f>
        <v/>
      </c>
      <c r="S24" s="12">
        <f>M24+M23+M22+MAX(0,S23-M23-M22)*(1-F24)</f>
        <v/>
      </c>
      <c r="T24" s="12">
        <f>N24+N23+N22+MAX(0,T23-N23-N22)*(1-F24)</f>
        <v/>
      </c>
      <c r="U24" s="12">
        <f>O24+O23+O22+MAX(0,U23-O23-O22)*(1-F24)</f>
        <v/>
      </c>
      <c r="V24" s="12">
        <f>V23+P24-P12*(AnnualChurn*VLOOKUP(B24,ChurnSeasonTable,4,FALSE))*POWER(1-(AnnualChurn*VLOOKUP(B24,ChurnSeasonTable,4,FALSE)),0)</f>
        <v/>
      </c>
      <c r="W24" s="12">
        <f>W23+Q24-Q12*(AnnualChurn*VLOOKUP(B24,ChurnSeasonTable,4,FALSE))*POWER(1-(AnnualChurn*VLOOKUP(B24,ChurnSeasonTable,4,FALSE)),0)</f>
        <v/>
      </c>
      <c r="X24" s="12">
        <f>X23+R24-R12*(AnnualChurn*VLOOKUP(B24,ChurnSeasonTable,4,FALSE))*POWER(1-(AnnualChurn*VLOOKUP(B24,ChurnSeasonTable,4,FALSE)),0)</f>
        <v/>
      </c>
      <c r="Y24" s="12">
        <f>S24+T24+U24+V24+W24+X24</f>
        <v/>
      </c>
      <c r="Z24" s="9">
        <f>S24*BlendedPriceEssMonthly*E24+T24*BlendedPricePremMonthly*E24+U24*BlendedPriceEliteMonthly*E24+V24*BlendedPriceEssAnnual*E24/12+W24*BlendedPricePremAnnual*E24/12+X24*BlendedPriceEliteAnnual*E24/12</f>
        <v/>
      </c>
      <c r="AA24" s="9">
        <f>Z24*12</f>
        <v/>
      </c>
      <c r="AB24" s="12">
        <f>S24*BlendedPriceEssMonthly*E24+T24*BlendedPricePremMonthly*E24+U24*BlendedPriceEliteMonthly*E24</f>
        <v/>
      </c>
      <c r="AC24" s="12">
        <f>P24*BlendedPriceEssAnnual*E24+Q24*BlendedPricePremAnnual*E24+R24*BlendedPriceEliteAnnual*E24</f>
        <v/>
      </c>
      <c r="AD24" s="12">
        <f>P12*POWER(1-(AnnualChurn*VLOOKUP(B24,ChurnSeasonTable,4,FALSE)),1)*BlendedPriceEssAnnual*E24+Q12*POWER(1-(AnnualChurn*VLOOKUP(B24,ChurnSeasonTable,4,FALSE)),1)*BlendedPricePremAnnual*E24+R12*POWER(1-(AnnualChurn*VLOOKUP(B24,ChurnSeasonTable,4,FALSE)),1)*BlendedPriceEliteAnnual*E24</f>
        <v/>
      </c>
      <c r="AE24" s="9">
        <f>AB24+AC24+AD24</f>
        <v/>
      </c>
      <c r="AF24" s="12">
        <f>SUM(AE13:AE24)</f>
        <v/>
      </c>
      <c r="AG24" s="12">
        <f>OR(AG23,IF(VATAgentMode,SUM($AE13:$AE24)-SUM($AL13:$AL24)&gt;=VATThreshold,SUM($AE13:$AE24)&gt;=VATThreshold))</f>
        <v/>
      </c>
      <c r="AH24" s="9">
        <f>IF(AG24,IF(VATAgentMode,AE24-((AE24-AL24)-(AE24-AL24)/(1+VATRate)),AE24/(1+VATRate)),AE24)</f>
        <v/>
      </c>
      <c r="AI24" s="12">
        <f>AE24-AH24</f>
        <v/>
      </c>
      <c r="AJ24" s="12">
        <f>IF(AG24=0,0,IF(B24=1,SUMPRODUCT(--(($C$5:$C24=$C24-1)*($B$5:$B24&gt;=10)*($B$5:$B24&lt;=12)),$AI$5:$AI24),IF(B24=4,SUMPRODUCT(--(($C$5:$C24=$C24)*($B$5:$B24&gt;=1)*($B$5:$B24&lt;=3)),$AI$5:$AI24),IF(B24=7,SUMPRODUCT(--(($C$5:$C24=$C24)*($B$5:$B24&gt;=4)*($B$5:$B24&lt;=6)),$AI$5:$AI24),IF(B24=10,SUMPRODUCT(--(($C$5:$C24=$C24)*($B$5:$B24&gt;=7)*($B$5:$B24&lt;=9)),$AI$5:$AI24),0)))))</f>
        <v/>
      </c>
      <c r="AK24" s="12">
        <f>AK23+AI24-AJ24</f>
        <v/>
      </c>
      <c r="AL24" s="12">
        <f>IF(ProviderDelay&gt;=1,S23*BlendedProvPayEss+T23*BlendedProvPayPrem+U23*BlendedProvPayElite+V23*BlendedProvPayEss+W23*BlendedProvPayPrem+X23*BlendedProvPayElite,S24*BlendedProvPayEss+T24*BlendedProvPayPrem+U24*BlendedProvPayElite+V24*BlendedProvPayEss+W24*BlendedProvPayPrem+X24*BlendedProvPayElite)</f>
        <v/>
      </c>
      <c r="AM24" s="12">
        <f>AE24*PaymentFee</f>
        <v/>
      </c>
      <c r="AN24" s="12">
        <f>Y24*OpsAI</f>
        <v/>
      </c>
      <c r="AO24" s="12">
        <f>MonthlyFixed</f>
        <v/>
      </c>
      <c r="AP24" s="12">
        <f>I24*ReferralReward</f>
        <v/>
      </c>
      <c r="AQ24" s="12">
        <f>G24</f>
        <v/>
      </c>
      <c r="AR24" s="9">
        <f>AH24-AL24-AM24-AN24-AO24-AP24-AQ24</f>
        <v/>
      </c>
      <c r="AS24" s="9">
        <f>AS23+AE24-(AL24+AM24+AN24+AO24+AP24+AQ24+AJ24)</f>
        <v/>
      </c>
      <c r="AT24" s="12">
        <f>IF(Y24&gt;0,Z24/Y24,0)</f>
        <v/>
      </c>
      <c r="AU24" s="11">
        <f>IF(Y23&gt;0,MAX(0,(Y23+J24-Y24)/Y23),0)</f>
        <v/>
      </c>
    </row>
    <row r="25">
      <c r="A25" s="12" t="n">
        <v>21</v>
      </c>
      <c r="B25" s="12">
        <f>MOD(A25-1+LaunchMonth-1,12)+1</f>
        <v/>
      </c>
      <c r="C25" s="12">
        <f>INT((A25-1+LaunchMonth-1)/12)+1</f>
        <v/>
      </c>
      <c r="D25" s="12">
        <f>VLOOKUP(B25,SeasonTable,2,FALSE)</f>
        <v/>
      </c>
      <c r="E25" s="12">
        <f>(1+InflationRate)^INT((A25-1)/12)</f>
        <v/>
      </c>
      <c r="F25" s="11">
        <f>MonthlyChurn*VLOOKUP(B25,ChurnSeasonTable,4,FALSE)</f>
        <v/>
      </c>
      <c r="G25" s="12">
        <f>MIN(MAX(MktMin19plus,AE24*MktPct19plus),MAX(0,AS24-CashBuffer))</f>
        <v/>
      </c>
      <c r="H25" s="12">
        <f>IF(G25&gt;0,MAX(1,ROUND(G25/CAC*D25,0)),0)</f>
        <v/>
      </c>
      <c r="I25" s="12">
        <f>IF(H25&gt;0,ROUND(H25*ReferralMix/(1-ReferralMix),0),0)</f>
        <v/>
      </c>
      <c r="J25" s="12">
        <f>H25+I25</f>
        <v/>
      </c>
      <c r="K25" s="12">
        <f>ROUND(J25*(1-AnnualMix),0)</f>
        <v/>
      </c>
      <c r="L25" s="12">
        <f>J25-K25</f>
        <v/>
      </c>
      <c r="M25" s="12">
        <f>ROUND(K25*EssentialMix,0)</f>
        <v/>
      </c>
      <c r="N25" s="12">
        <f>ROUND(K25*PremiumMix,0)</f>
        <v/>
      </c>
      <c r="O25" s="12">
        <f>K25-M25-N25</f>
        <v/>
      </c>
      <c r="P25" s="12">
        <f>ROUND(L25*EssentialMix,0)</f>
        <v/>
      </c>
      <c r="Q25" s="12">
        <f>ROUND(L25*PremiumMix,0)</f>
        <v/>
      </c>
      <c r="R25" s="12">
        <f>L25-P25-Q25</f>
        <v/>
      </c>
      <c r="S25" s="12">
        <f>M25+M24+M23+MAX(0,S24-M24-M23)*(1-F25)</f>
        <v/>
      </c>
      <c r="T25" s="12">
        <f>N25+N24+N23+MAX(0,T24-N24-N23)*(1-F25)</f>
        <v/>
      </c>
      <c r="U25" s="12">
        <f>O25+O24+O23+MAX(0,U24-O24-O23)*(1-F25)</f>
        <v/>
      </c>
      <c r="V25" s="12">
        <f>V24+P25-P13*(AnnualChurn*VLOOKUP(B25,ChurnSeasonTable,4,FALSE))*POWER(1-(AnnualChurn*VLOOKUP(B25,ChurnSeasonTable,4,FALSE)),0)</f>
        <v/>
      </c>
      <c r="W25" s="12">
        <f>W24+Q25-Q13*(AnnualChurn*VLOOKUP(B25,ChurnSeasonTable,4,FALSE))*POWER(1-(AnnualChurn*VLOOKUP(B25,ChurnSeasonTable,4,FALSE)),0)</f>
        <v/>
      </c>
      <c r="X25" s="12">
        <f>X24+R25-R13*(AnnualChurn*VLOOKUP(B25,ChurnSeasonTable,4,FALSE))*POWER(1-(AnnualChurn*VLOOKUP(B25,ChurnSeasonTable,4,FALSE)),0)</f>
        <v/>
      </c>
      <c r="Y25" s="12">
        <f>S25+T25+U25+V25+W25+X25</f>
        <v/>
      </c>
      <c r="Z25" s="9">
        <f>S25*BlendedPriceEssMonthly*E25+T25*BlendedPricePremMonthly*E25+U25*BlendedPriceEliteMonthly*E25+V25*BlendedPriceEssAnnual*E25/12+W25*BlendedPricePremAnnual*E25/12+X25*BlendedPriceEliteAnnual*E25/12</f>
        <v/>
      </c>
      <c r="AA25" s="9">
        <f>Z25*12</f>
        <v/>
      </c>
      <c r="AB25" s="12">
        <f>S25*BlendedPriceEssMonthly*E25+T25*BlendedPricePremMonthly*E25+U25*BlendedPriceEliteMonthly*E25</f>
        <v/>
      </c>
      <c r="AC25" s="12">
        <f>P25*BlendedPriceEssAnnual*E25+Q25*BlendedPricePremAnnual*E25+R25*BlendedPriceEliteAnnual*E25</f>
        <v/>
      </c>
      <c r="AD25" s="12">
        <f>P13*POWER(1-(AnnualChurn*VLOOKUP(B25,ChurnSeasonTable,4,FALSE)),1)*BlendedPriceEssAnnual*E25+Q13*POWER(1-(AnnualChurn*VLOOKUP(B25,ChurnSeasonTable,4,FALSE)),1)*BlendedPricePremAnnual*E25+R13*POWER(1-(AnnualChurn*VLOOKUP(B25,ChurnSeasonTable,4,FALSE)),1)*BlendedPriceEliteAnnual*E25</f>
        <v/>
      </c>
      <c r="AE25" s="9">
        <f>AB25+AC25+AD25</f>
        <v/>
      </c>
      <c r="AF25" s="12">
        <f>SUM(AE14:AE25)</f>
        <v/>
      </c>
      <c r="AG25" s="12">
        <f>OR(AG24,IF(VATAgentMode,SUM($AE14:$AE25)-SUM($AL14:$AL25)&gt;=VATThreshold,SUM($AE14:$AE25)&gt;=VATThreshold))</f>
        <v/>
      </c>
      <c r="AH25" s="9">
        <f>IF(AG25,IF(VATAgentMode,AE25-((AE25-AL25)-(AE25-AL25)/(1+VATRate)),AE25/(1+VATRate)),AE25)</f>
        <v/>
      </c>
      <c r="AI25" s="12">
        <f>AE25-AH25</f>
        <v/>
      </c>
      <c r="AJ25" s="12">
        <f>IF(AG25=0,0,IF(B25=1,SUMPRODUCT(--(($C$5:$C25=$C25-1)*($B$5:$B25&gt;=10)*($B$5:$B25&lt;=12)),$AI$5:$AI25),IF(B25=4,SUMPRODUCT(--(($C$5:$C25=$C25)*($B$5:$B25&gt;=1)*($B$5:$B25&lt;=3)),$AI$5:$AI25),IF(B25=7,SUMPRODUCT(--(($C$5:$C25=$C25)*($B$5:$B25&gt;=4)*($B$5:$B25&lt;=6)),$AI$5:$AI25),IF(B25=10,SUMPRODUCT(--(($C$5:$C25=$C25)*($B$5:$B25&gt;=7)*($B$5:$B25&lt;=9)),$AI$5:$AI25),0)))))</f>
        <v/>
      </c>
      <c r="AK25" s="12">
        <f>AK24+AI25-AJ25</f>
        <v/>
      </c>
      <c r="AL25" s="12">
        <f>IF(ProviderDelay&gt;=1,S24*BlendedProvPayEss+T24*BlendedProvPayPrem+U24*BlendedProvPayElite+V24*BlendedProvPayEss+W24*BlendedProvPayPrem+X24*BlendedProvPayElite,S25*BlendedProvPayEss+T25*BlendedProvPayPrem+U25*BlendedProvPayElite+V25*BlendedProvPayEss+W25*BlendedProvPayPrem+X25*BlendedProvPayElite)</f>
        <v/>
      </c>
      <c r="AM25" s="12">
        <f>AE25*PaymentFee</f>
        <v/>
      </c>
      <c r="AN25" s="12">
        <f>Y25*OpsAI</f>
        <v/>
      </c>
      <c r="AO25" s="12">
        <f>MonthlyFixed</f>
        <v/>
      </c>
      <c r="AP25" s="12">
        <f>I25*ReferralReward</f>
        <v/>
      </c>
      <c r="AQ25" s="12">
        <f>G25</f>
        <v/>
      </c>
      <c r="AR25" s="9">
        <f>AH25-AL25-AM25-AN25-AO25-AP25-AQ25</f>
        <v/>
      </c>
      <c r="AS25" s="9">
        <f>AS24+AE25-(AL25+AM25+AN25+AO25+AP25+AQ25+AJ25)</f>
        <v/>
      </c>
      <c r="AT25" s="12">
        <f>IF(Y25&gt;0,Z25/Y25,0)</f>
        <v/>
      </c>
      <c r="AU25" s="11">
        <f>IF(Y24&gt;0,MAX(0,(Y24+J25-Y25)/Y24),0)</f>
        <v/>
      </c>
    </row>
    <row r="26">
      <c r="A26" s="12" t="n">
        <v>22</v>
      </c>
      <c r="B26" s="12">
        <f>MOD(A26-1+LaunchMonth-1,12)+1</f>
        <v/>
      </c>
      <c r="C26" s="12">
        <f>INT((A26-1+LaunchMonth-1)/12)+1</f>
        <v/>
      </c>
      <c r="D26" s="12">
        <f>VLOOKUP(B26,SeasonTable,2,FALSE)</f>
        <v/>
      </c>
      <c r="E26" s="12">
        <f>(1+InflationRate)^INT((A26-1)/12)</f>
        <v/>
      </c>
      <c r="F26" s="11">
        <f>MonthlyChurn*VLOOKUP(B26,ChurnSeasonTable,4,FALSE)</f>
        <v/>
      </c>
      <c r="G26" s="12">
        <f>MIN(MAX(MktMin19plus,AE25*MktPct19plus),MAX(0,AS25-CashBuffer))</f>
        <v/>
      </c>
      <c r="H26" s="12">
        <f>IF(G26&gt;0,MAX(1,ROUND(G26/CAC*D26,0)),0)</f>
        <v/>
      </c>
      <c r="I26" s="12">
        <f>IF(H26&gt;0,ROUND(H26*ReferralMix/(1-ReferralMix),0),0)</f>
        <v/>
      </c>
      <c r="J26" s="12">
        <f>H26+I26</f>
        <v/>
      </c>
      <c r="K26" s="12">
        <f>ROUND(J26*(1-AnnualMix),0)</f>
        <v/>
      </c>
      <c r="L26" s="12">
        <f>J26-K26</f>
        <v/>
      </c>
      <c r="M26" s="12">
        <f>ROUND(K26*EssentialMix,0)</f>
        <v/>
      </c>
      <c r="N26" s="12">
        <f>ROUND(K26*PremiumMix,0)</f>
        <v/>
      </c>
      <c r="O26" s="12">
        <f>K26-M26-N26</f>
        <v/>
      </c>
      <c r="P26" s="12">
        <f>ROUND(L26*EssentialMix,0)</f>
        <v/>
      </c>
      <c r="Q26" s="12">
        <f>ROUND(L26*PremiumMix,0)</f>
        <v/>
      </c>
      <c r="R26" s="12">
        <f>L26-P26-Q26</f>
        <v/>
      </c>
      <c r="S26" s="12">
        <f>M26+M25+M24+MAX(0,S25-M25-M24)*(1-F26)</f>
        <v/>
      </c>
      <c r="T26" s="12">
        <f>N26+N25+N24+MAX(0,T25-N25-N24)*(1-F26)</f>
        <v/>
      </c>
      <c r="U26" s="12">
        <f>O26+O25+O24+MAX(0,U25-O25-O24)*(1-F26)</f>
        <v/>
      </c>
      <c r="V26" s="12">
        <f>V25+P26-P14*(AnnualChurn*VLOOKUP(B26,ChurnSeasonTable,4,FALSE))*POWER(1-(AnnualChurn*VLOOKUP(B26,ChurnSeasonTable,4,FALSE)),0)</f>
        <v/>
      </c>
      <c r="W26" s="12">
        <f>W25+Q26-Q14*(AnnualChurn*VLOOKUP(B26,ChurnSeasonTable,4,FALSE))*POWER(1-(AnnualChurn*VLOOKUP(B26,ChurnSeasonTable,4,FALSE)),0)</f>
        <v/>
      </c>
      <c r="X26" s="12">
        <f>X25+R26-R14*(AnnualChurn*VLOOKUP(B26,ChurnSeasonTable,4,FALSE))*POWER(1-(AnnualChurn*VLOOKUP(B26,ChurnSeasonTable,4,FALSE)),0)</f>
        <v/>
      </c>
      <c r="Y26" s="12">
        <f>S26+T26+U26+V26+W26+X26</f>
        <v/>
      </c>
      <c r="Z26" s="9">
        <f>S26*BlendedPriceEssMonthly*E26+T26*BlendedPricePremMonthly*E26+U26*BlendedPriceEliteMonthly*E26+V26*BlendedPriceEssAnnual*E26/12+W26*BlendedPricePremAnnual*E26/12+X26*BlendedPriceEliteAnnual*E26/12</f>
        <v/>
      </c>
      <c r="AA26" s="9">
        <f>Z26*12</f>
        <v/>
      </c>
      <c r="AB26" s="12">
        <f>S26*BlendedPriceEssMonthly*E26+T26*BlendedPricePremMonthly*E26+U26*BlendedPriceEliteMonthly*E26</f>
        <v/>
      </c>
      <c r="AC26" s="12">
        <f>P26*BlendedPriceEssAnnual*E26+Q26*BlendedPricePremAnnual*E26+R26*BlendedPriceEliteAnnual*E26</f>
        <v/>
      </c>
      <c r="AD26" s="12">
        <f>P14*POWER(1-(AnnualChurn*VLOOKUP(B26,ChurnSeasonTable,4,FALSE)),1)*BlendedPriceEssAnnual*E26+Q14*POWER(1-(AnnualChurn*VLOOKUP(B26,ChurnSeasonTable,4,FALSE)),1)*BlendedPricePremAnnual*E26+R14*POWER(1-(AnnualChurn*VLOOKUP(B26,ChurnSeasonTable,4,FALSE)),1)*BlendedPriceEliteAnnual*E26</f>
        <v/>
      </c>
      <c r="AE26" s="9">
        <f>AB26+AC26+AD26</f>
        <v/>
      </c>
      <c r="AF26" s="12">
        <f>SUM(AE15:AE26)</f>
        <v/>
      </c>
      <c r="AG26" s="12">
        <f>OR(AG25,IF(VATAgentMode,SUM($AE15:$AE26)-SUM($AL15:$AL26)&gt;=VATThreshold,SUM($AE15:$AE26)&gt;=VATThreshold))</f>
        <v/>
      </c>
      <c r="AH26" s="9">
        <f>IF(AG26,IF(VATAgentMode,AE26-((AE26-AL26)-(AE26-AL26)/(1+VATRate)),AE26/(1+VATRate)),AE26)</f>
        <v/>
      </c>
      <c r="AI26" s="12">
        <f>AE26-AH26</f>
        <v/>
      </c>
      <c r="AJ26" s="12">
        <f>IF(AG26=0,0,IF(B26=1,SUMPRODUCT(--(($C$5:$C26=$C26-1)*($B$5:$B26&gt;=10)*($B$5:$B26&lt;=12)),$AI$5:$AI26),IF(B26=4,SUMPRODUCT(--(($C$5:$C26=$C26)*($B$5:$B26&gt;=1)*($B$5:$B26&lt;=3)),$AI$5:$AI26),IF(B26=7,SUMPRODUCT(--(($C$5:$C26=$C26)*($B$5:$B26&gt;=4)*($B$5:$B26&lt;=6)),$AI$5:$AI26),IF(B26=10,SUMPRODUCT(--(($C$5:$C26=$C26)*($B$5:$B26&gt;=7)*($B$5:$B26&lt;=9)),$AI$5:$AI26),0)))))</f>
        <v/>
      </c>
      <c r="AK26" s="12">
        <f>AK25+AI26-AJ26</f>
        <v/>
      </c>
      <c r="AL26" s="12">
        <f>IF(ProviderDelay&gt;=1,S25*BlendedProvPayEss+T25*BlendedProvPayPrem+U25*BlendedProvPayElite+V25*BlendedProvPayEss+W25*BlendedProvPayPrem+X25*BlendedProvPayElite,S26*BlendedProvPayEss+T26*BlendedProvPayPrem+U26*BlendedProvPayElite+V26*BlendedProvPayEss+W26*BlendedProvPayPrem+X26*BlendedProvPayElite)</f>
        <v/>
      </c>
      <c r="AM26" s="12">
        <f>AE26*PaymentFee</f>
        <v/>
      </c>
      <c r="AN26" s="12">
        <f>Y26*OpsAI</f>
        <v/>
      </c>
      <c r="AO26" s="12">
        <f>MonthlyFixed</f>
        <v/>
      </c>
      <c r="AP26" s="12">
        <f>I26*ReferralReward</f>
        <v/>
      </c>
      <c r="AQ26" s="12">
        <f>G26</f>
        <v/>
      </c>
      <c r="AR26" s="9">
        <f>AH26-AL26-AM26-AN26-AO26-AP26-AQ26</f>
        <v/>
      </c>
      <c r="AS26" s="9">
        <f>AS25+AE26-(AL26+AM26+AN26+AO26+AP26+AQ26+AJ26)</f>
        <v/>
      </c>
      <c r="AT26" s="12">
        <f>IF(Y26&gt;0,Z26/Y26,0)</f>
        <v/>
      </c>
      <c r="AU26" s="11">
        <f>IF(Y25&gt;0,MAX(0,(Y25+J26-Y26)/Y25),0)</f>
        <v/>
      </c>
    </row>
    <row r="27">
      <c r="A27" s="12" t="n">
        <v>23</v>
      </c>
      <c r="B27" s="12">
        <f>MOD(A27-1+LaunchMonth-1,12)+1</f>
        <v/>
      </c>
      <c r="C27" s="12">
        <f>INT((A27-1+LaunchMonth-1)/12)+1</f>
        <v/>
      </c>
      <c r="D27" s="12">
        <f>VLOOKUP(B27,SeasonTable,2,FALSE)</f>
        <v/>
      </c>
      <c r="E27" s="12">
        <f>(1+InflationRate)^INT((A27-1)/12)</f>
        <v/>
      </c>
      <c r="F27" s="11">
        <f>MonthlyChurn*VLOOKUP(B27,ChurnSeasonTable,4,FALSE)</f>
        <v/>
      </c>
      <c r="G27" s="12">
        <f>MIN(MAX(MktMin19plus,AE26*MktPct19plus),MAX(0,AS26-CashBuffer))</f>
        <v/>
      </c>
      <c r="H27" s="12">
        <f>IF(G27&gt;0,MAX(1,ROUND(G27/CAC*D27,0)),0)</f>
        <v/>
      </c>
      <c r="I27" s="12">
        <f>IF(H27&gt;0,ROUND(H27*ReferralMix/(1-ReferralMix),0),0)</f>
        <v/>
      </c>
      <c r="J27" s="12">
        <f>H27+I27</f>
        <v/>
      </c>
      <c r="K27" s="12">
        <f>ROUND(J27*(1-AnnualMix),0)</f>
        <v/>
      </c>
      <c r="L27" s="12">
        <f>J27-K27</f>
        <v/>
      </c>
      <c r="M27" s="12">
        <f>ROUND(K27*EssentialMix,0)</f>
        <v/>
      </c>
      <c r="N27" s="12">
        <f>ROUND(K27*PremiumMix,0)</f>
        <v/>
      </c>
      <c r="O27" s="12">
        <f>K27-M27-N27</f>
        <v/>
      </c>
      <c r="P27" s="12">
        <f>ROUND(L27*EssentialMix,0)</f>
        <v/>
      </c>
      <c r="Q27" s="12">
        <f>ROUND(L27*PremiumMix,0)</f>
        <v/>
      </c>
      <c r="R27" s="12">
        <f>L27-P27-Q27</f>
        <v/>
      </c>
      <c r="S27" s="12">
        <f>M27+M26+M25+MAX(0,S26-M26-M25)*(1-F27)</f>
        <v/>
      </c>
      <c r="T27" s="12">
        <f>N27+N26+N25+MAX(0,T26-N26-N25)*(1-F27)</f>
        <v/>
      </c>
      <c r="U27" s="12">
        <f>O27+O26+O25+MAX(0,U26-O26-O25)*(1-F27)</f>
        <v/>
      </c>
      <c r="V27" s="12">
        <f>V26+P27-P15*(AnnualChurn*VLOOKUP(B27,ChurnSeasonTable,4,FALSE))*POWER(1-(AnnualChurn*VLOOKUP(B27,ChurnSeasonTable,4,FALSE)),0)</f>
        <v/>
      </c>
      <c r="W27" s="12">
        <f>W26+Q27-Q15*(AnnualChurn*VLOOKUP(B27,ChurnSeasonTable,4,FALSE))*POWER(1-(AnnualChurn*VLOOKUP(B27,ChurnSeasonTable,4,FALSE)),0)</f>
        <v/>
      </c>
      <c r="X27" s="12">
        <f>X26+R27-R15*(AnnualChurn*VLOOKUP(B27,ChurnSeasonTable,4,FALSE))*POWER(1-(AnnualChurn*VLOOKUP(B27,ChurnSeasonTable,4,FALSE)),0)</f>
        <v/>
      </c>
      <c r="Y27" s="12">
        <f>S27+T27+U27+V27+W27+X27</f>
        <v/>
      </c>
      <c r="Z27" s="9">
        <f>S27*BlendedPriceEssMonthly*E27+T27*BlendedPricePremMonthly*E27+U27*BlendedPriceEliteMonthly*E27+V27*BlendedPriceEssAnnual*E27/12+W27*BlendedPricePremAnnual*E27/12+X27*BlendedPriceEliteAnnual*E27/12</f>
        <v/>
      </c>
      <c r="AA27" s="9">
        <f>Z27*12</f>
        <v/>
      </c>
      <c r="AB27" s="12">
        <f>S27*BlendedPriceEssMonthly*E27+T27*BlendedPricePremMonthly*E27+U27*BlendedPriceEliteMonthly*E27</f>
        <v/>
      </c>
      <c r="AC27" s="12">
        <f>P27*BlendedPriceEssAnnual*E27+Q27*BlendedPricePremAnnual*E27+R27*BlendedPriceEliteAnnual*E27</f>
        <v/>
      </c>
      <c r="AD27" s="12">
        <f>P15*POWER(1-(AnnualChurn*VLOOKUP(B27,ChurnSeasonTable,4,FALSE)),1)*BlendedPriceEssAnnual*E27+Q15*POWER(1-(AnnualChurn*VLOOKUP(B27,ChurnSeasonTable,4,FALSE)),1)*BlendedPricePremAnnual*E27+R15*POWER(1-(AnnualChurn*VLOOKUP(B27,ChurnSeasonTable,4,FALSE)),1)*BlendedPriceEliteAnnual*E27</f>
        <v/>
      </c>
      <c r="AE27" s="9">
        <f>AB27+AC27+AD27</f>
        <v/>
      </c>
      <c r="AF27" s="12">
        <f>SUM(AE16:AE27)</f>
        <v/>
      </c>
      <c r="AG27" s="12">
        <f>OR(AG26,IF(VATAgentMode,SUM($AE16:$AE27)-SUM($AL16:$AL27)&gt;=VATThreshold,SUM($AE16:$AE27)&gt;=VATThreshold))</f>
        <v/>
      </c>
      <c r="AH27" s="9">
        <f>IF(AG27,IF(VATAgentMode,AE27-((AE27-AL27)-(AE27-AL27)/(1+VATRate)),AE27/(1+VATRate)),AE27)</f>
        <v/>
      </c>
      <c r="AI27" s="12">
        <f>AE27-AH27</f>
        <v/>
      </c>
      <c r="AJ27" s="12">
        <f>IF(AG27=0,0,IF(B27=1,SUMPRODUCT(--(($C$5:$C27=$C27-1)*($B$5:$B27&gt;=10)*($B$5:$B27&lt;=12)),$AI$5:$AI27),IF(B27=4,SUMPRODUCT(--(($C$5:$C27=$C27)*($B$5:$B27&gt;=1)*($B$5:$B27&lt;=3)),$AI$5:$AI27),IF(B27=7,SUMPRODUCT(--(($C$5:$C27=$C27)*($B$5:$B27&gt;=4)*($B$5:$B27&lt;=6)),$AI$5:$AI27),IF(B27=10,SUMPRODUCT(--(($C$5:$C27=$C27)*($B$5:$B27&gt;=7)*($B$5:$B27&lt;=9)),$AI$5:$AI27),0)))))</f>
        <v/>
      </c>
      <c r="AK27" s="12">
        <f>AK26+AI27-AJ27</f>
        <v/>
      </c>
      <c r="AL27" s="12">
        <f>IF(ProviderDelay&gt;=1,S26*BlendedProvPayEss+T26*BlendedProvPayPrem+U26*BlendedProvPayElite+V26*BlendedProvPayEss+W26*BlendedProvPayPrem+X26*BlendedProvPayElite,S27*BlendedProvPayEss+T27*BlendedProvPayPrem+U27*BlendedProvPayElite+V27*BlendedProvPayEss+W27*BlendedProvPayPrem+X27*BlendedProvPayElite)</f>
        <v/>
      </c>
      <c r="AM27" s="12">
        <f>AE27*PaymentFee</f>
        <v/>
      </c>
      <c r="AN27" s="12">
        <f>Y27*OpsAI</f>
        <v/>
      </c>
      <c r="AO27" s="12">
        <f>MonthlyFixed</f>
        <v/>
      </c>
      <c r="AP27" s="12">
        <f>I27*ReferralReward</f>
        <v/>
      </c>
      <c r="AQ27" s="12">
        <f>G27</f>
        <v/>
      </c>
      <c r="AR27" s="9">
        <f>AH27-AL27-AM27-AN27-AO27-AP27-AQ27</f>
        <v/>
      </c>
      <c r="AS27" s="9">
        <f>AS26+AE27-(AL27+AM27+AN27+AO27+AP27+AQ27+AJ27)</f>
        <v/>
      </c>
      <c r="AT27" s="12">
        <f>IF(Y27&gt;0,Z27/Y27,0)</f>
        <v/>
      </c>
      <c r="AU27" s="11">
        <f>IF(Y26&gt;0,MAX(0,(Y26+J27-Y27)/Y26),0)</f>
        <v/>
      </c>
    </row>
    <row r="28">
      <c r="A28" s="12" t="n">
        <v>24</v>
      </c>
      <c r="B28" s="12">
        <f>MOD(A28-1+LaunchMonth-1,12)+1</f>
        <v/>
      </c>
      <c r="C28" s="12">
        <f>INT((A28-1+LaunchMonth-1)/12)+1</f>
        <v/>
      </c>
      <c r="D28" s="12">
        <f>VLOOKUP(B28,SeasonTable,2,FALSE)</f>
        <v/>
      </c>
      <c r="E28" s="12">
        <f>(1+InflationRate)^INT((A28-1)/12)</f>
        <v/>
      </c>
      <c r="F28" s="11">
        <f>MonthlyChurn*VLOOKUP(B28,ChurnSeasonTable,4,FALSE)</f>
        <v/>
      </c>
      <c r="G28" s="12">
        <f>MIN(MAX(MktMin19plus,AE27*MktPct19plus),MAX(0,AS27-CashBuffer))</f>
        <v/>
      </c>
      <c r="H28" s="12">
        <f>IF(G28&gt;0,MAX(1,ROUND(G28/CAC*D28,0)),0)</f>
        <v/>
      </c>
      <c r="I28" s="12">
        <f>IF(H28&gt;0,ROUND(H28*ReferralMix/(1-ReferralMix),0),0)</f>
        <v/>
      </c>
      <c r="J28" s="12">
        <f>H28+I28</f>
        <v/>
      </c>
      <c r="K28" s="12">
        <f>ROUND(J28*(1-AnnualMix),0)</f>
        <v/>
      </c>
      <c r="L28" s="12">
        <f>J28-K28</f>
        <v/>
      </c>
      <c r="M28" s="12">
        <f>ROUND(K28*EssentialMix,0)</f>
        <v/>
      </c>
      <c r="N28" s="12">
        <f>ROUND(K28*PremiumMix,0)</f>
        <v/>
      </c>
      <c r="O28" s="12">
        <f>K28-M28-N28</f>
        <v/>
      </c>
      <c r="P28" s="12">
        <f>ROUND(L28*EssentialMix,0)</f>
        <v/>
      </c>
      <c r="Q28" s="12">
        <f>ROUND(L28*PremiumMix,0)</f>
        <v/>
      </c>
      <c r="R28" s="12">
        <f>L28-P28-Q28</f>
        <v/>
      </c>
      <c r="S28" s="12">
        <f>M28+M27+M26+MAX(0,S27-M27-M26)*(1-F28)</f>
        <v/>
      </c>
      <c r="T28" s="12">
        <f>N28+N27+N26+MAX(0,T27-N27-N26)*(1-F28)</f>
        <v/>
      </c>
      <c r="U28" s="12">
        <f>O28+O27+O26+MAX(0,U27-O27-O26)*(1-F28)</f>
        <v/>
      </c>
      <c r="V28" s="12">
        <f>V27+P28-P16*(AnnualChurn*VLOOKUP(B28,ChurnSeasonTable,4,FALSE))*POWER(1-(AnnualChurn*VLOOKUP(B28,ChurnSeasonTable,4,FALSE)),0)</f>
        <v/>
      </c>
      <c r="W28" s="12">
        <f>W27+Q28-Q16*(AnnualChurn*VLOOKUP(B28,ChurnSeasonTable,4,FALSE))*POWER(1-(AnnualChurn*VLOOKUP(B28,ChurnSeasonTable,4,FALSE)),0)</f>
        <v/>
      </c>
      <c r="X28" s="12">
        <f>X27+R28-R16*(AnnualChurn*VLOOKUP(B28,ChurnSeasonTable,4,FALSE))*POWER(1-(AnnualChurn*VLOOKUP(B28,ChurnSeasonTable,4,FALSE)),0)</f>
        <v/>
      </c>
      <c r="Y28" s="12">
        <f>S28+T28+U28+V28+W28+X28</f>
        <v/>
      </c>
      <c r="Z28" s="9">
        <f>S28*BlendedPriceEssMonthly*E28+T28*BlendedPricePremMonthly*E28+U28*BlendedPriceEliteMonthly*E28+V28*BlendedPriceEssAnnual*E28/12+W28*BlendedPricePremAnnual*E28/12+X28*BlendedPriceEliteAnnual*E28/12</f>
        <v/>
      </c>
      <c r="AA28" s="9">
        <f>Z28*12</f>
        <v/>
      </c>
      <c r="AB28" s="12">
        <f>S28*BlendedPriceEssMonthly*E28+T28*BlendedPricePremMonthly*E28+U28*BlendedPriceEliteMonthly*E28</f>
        <v/>
      </c>
      <c r="AC28" s="12">
        <f>P28*BlendedPriceEssAnnual*E28+Q28*BlendedPricePremAnnual*E28+R28*BlendedPriceEliteAnnual*E28</f>
        <v/>
      </c>
      <c r="AD28" s="12">
        <f>P16*POWER(1-(AnnualChurn*VLOOKUP(B28,ChurnSeasonTable,4,FALSE)),1)*BlendedPriceEssAnnual*E28+Q16*POWER(1-(AnnualChurn*VLOOKUP(B28,ChurnSeasonTable,4,FALSE)),1)*BlendedPricePremAnnual*E28+R16*POWER(1-(AnnualChurn*VLOOKUP(B28,ChurnSeasonTable,4,FALSE)),1)*BlendedPriceEliteAnnual*E28</f>
        <v/>
      </c>
      <c r="AE28" s="9">
        <f>AB28+AC28+AD28</f>
        <v/>
      </c>
      <c r="AF28" s="12">
        <f>SUM(AE17:AE28)</f>
        <v/>
      </c>
      <c r="AG28" s="12">
        <f>OR(AG27,IF(VATAgentMode,SUM($AE17:$AE28)-SUM($AL17:$AL28)&gt;=VATThreshold,SUM($AE17:$AE28)&gt;=VATThreshold))</f>
        <v/>
      </c>
      <c r="AH28" s="9">
        <f>IF(AG28,IF(VATAgentMode,AE28-((AE28-AL28)-(AE28-AL28)/(1+VATRate)),AE28/(1+VATRate)),AE28)</f>
        <v/>
      </c>
      <c r="AI28" s="12">
        <f>AE28-AH28</f>
        <v/>
      </c>
      <c r="AJ28" s="12">
        <f>IF(AG28=0,0,IF(B28=1,SUMPRODUCT(--(($C$5:$C28=$C28-1)*($B$5:$B28&gt;=10)*($B$5:$B28&lt;=12)),$AI$5:$AI28),IF(B28=4,SUMPRODUCT(--(($C$5:$C28=$C28)*($B$5:$B28&gt;=1)*($B$5:$B28&lt;=3)),$AI$5:$AI28),IF(B28=7,SUMPRODUCT(--(($C$5:$C28=$C28)*($B$5:$B28&gt;=4)*($B$5:$B28&lt;=6)),$AI$5:$AI28),IF(B28=10,SUMPRODUCT(--(($C$5:$C28=$C28)*($B$5:$B28&gt;=7)*($B$5:$B28&lt;=9)),$AI$5:$AI28),0)))))</f>
        <v/>
      </c>
      <c r="AK28" s="12">
        <f>AK27+AI28-AJ28</f>
        <v/>
      </c>
      <c r="AL28" s="12">
        <f>IF(ProviderDelay&gt;=1,S27*BlendedProvPayEss+T27*BlendedProvPayPrem+U27*BlendedProvPayElite+V27*BlendedProvPayEss+W27*BlendedProvPayPrem+X27*BlendedProvPayElite,S28*BlendedProvPayEss+T28*BlendedProvPayPrem+U28*BlendedProvPayElite+V28*BlendedProvPayEss+W28*BlendedProvPayPrem+X28*BlendedProvPayElite)</f>
        <v/>
      </c>
      <c r="AM28" s="12">
        <f>AE28*PaymentFee</f>
        <v/>
      </c>
      <c r="AN28" s="12">
        <f>Y28*OpsAI</f>
        <v/>
      </c>
      <c r="AO28" s="12">
        <f>MonthlyFixed</f>
        <v/>
      </c>
      <c r="AP28" s="12">
        <f>I28*ReferralReward</f>
        <v/>
      </c>
      <c r="AQ28" s="12">
        <f>G28</f>
        <v/>
      </c>
      <c r="AR28" s="9">
        <f>AH28-AL28-AM28-AN28-AO28-AP28-AQ28</f>
        <v/>
      </c>
      <c r="AS28" s="9">
        <f>AS27+AE28-(AL28+AM28+AN28+AO28+AP28+AQ28+AJ28)</f>
        <v/>
      </c>
      <c r="AT28" s="12">
        <f>IF(Y28&gt;0,Z28/Y28,0)</f>
        <v/>
      </c>
      <c r="AU28" s="11">
        <f>IF(Y27&gt;0,MAX(0,(Y27+J28-Y28)/Y27),0)</f>
        <v/>
      </c>
    </row>
    <row r="29">
      <c r="A29" s="12" t="n">
        <v>25</v>
      </c>
      <c r="B29" s="12">
        <f>MOD(A29-1+LaunchMonth-1,12)+1</f>
        <v/>
      </c>
      <c r="C29" s="12">
        <f>INT((A29-1+LaunchMonth-1)/12)+1</f>
        <v/>
      </c>
      <c r="D29" s="12">
        <f>VLOOKUP(B29,SeasonTable,2,FALSE)</f>
        <v/>
      </c>
      <c r="E29" s="12">
        <f>(1+InflationRate)^INT((A29-1)/12)</f>
        <v/>
      </c>
      <c r="F29" s="11">
        <f>MonthlyChurn*VLOOKUP(B29,ChurnSeasonTable,4,FALSE)</f>
        <v/>
      </c>
      <c r="G29" s="12">
        <f>MIN(MAX(MktMin19plus,AE28*MktPct19plus),MAX(0,AS28-CashBuffer))</f>
        <v/>
      </c>
      <c r="H29" s="12">
        <f>IF(G29&gt;0,MAX(1,ROUND(G29/CAC*D29,0)),0)</f>
        <v/>
      </c>
      <c r="I29" s="12">
        <f>IF(H29&gt;0,ROUND(H29*ReferralMix/(1-ReferralMix),0),0)</f>
        <v/>
      </c>
      <c r="J29" s="12">
        <f>H29+I29</f>
        <v/>
      </c>
      <c r="K29" s="12">
        <f>ROUND(J29*(1-AnnualMix),0)</f>
        <v/>
      </c>
      <c r="L29" s="12">
        <f>J29-K29</f>
        <v/>
      </c>
      <c r="M29" s="12">
        <f>ROUND(K29*EssentialMix,0)</f>
        <v/>
      </c>
      <c r="N29" s="12">
        <f>ROUND(K29*PremiumMix,0)</f>
        <v/>
      </c>
      <c r="O29" s="12">
        <f>K29-M29-N29</f>
        <v/>
      </c>
      <c r="P29" s="12">
        <f>ROUND(L29*EssentialMix,0)</f>
        <v/>
      </c>
      <c r="Q29" s="12">
        <f>ROUND(L29*PremiumMix,0)</f>
        <v/>
      </c>
      <c r="R29" s="12">
        <f>L29-P29-Q29</f>
        <v/>
      </c>
      <c r="S29" s="12">
        <f>M29+M28+M27+MAX(0,S28-M28-M27)*(1-F29)</f>
        <v/>
      </c>
      <c r="T29" s="12">
        <f>N29+N28+N27+MAX(0,T28-N28-N27)*(1-F29)</f>
        <v/>
      </c>
      <c r="U29" s="12">
        <f>O29+O28+O27+MAX(0,U28-O28-O27)*(1-F29)</f>
        <v/>
      </c>
      <c r="V29" s="12">
        <f>V28+P29-P17*(AnnualChurn*VLOOKUP(B29,ChurnSeasonTable,4,FALSE))*POWER(1-(AnnualChurn*VLOOKUP(B29,ChurnSeasonTable,4,FALSE)),0)+P5*(AnnualChurn*VLOOKUP(B29,ChurnSeasonTable,4,FALSE))*POWER(1-(AnnualChurn*VLOOKUP(B29,ChurnSeasonTable,4,FALSE)),1)</f>
        <v/>
      </c>
      <c r="W29" s="12">
        <f>W28+Q29-Q17*(AnnualChurn*VLOOKUP(B29,ChurnSeasonTable,4,FALSE))*POWER(1-(AnnualChurn*VLOOKUP(B29,ChurnSeasonTable,4,FALSE)),0)+Q5*(AnnualChurn*VLOOKUP(B29,ChurnSeasonTable,4,FALSE))*POWER(1-(AnnualChurn*VLOOKUP(B29,ChurnSeasonTable,4,FALSE)),1)</f>
        <v/>
      </c>
      <c r="X29" s="12">
        <f>X28+R29-R17*(AnnualChurn*VLOOKUP(B29,ChurnSeasonTable,4,FALSE))*POWER(1-(AnnualChurn*VLOOKUP(B29,ChurnSeasonTable,4,FALSE)),0)+R5*(AnnualChurn*VLOOKUP(B29,ChurnSeasonTable,4,FALSE))*POWER(1-(AnnualChurn*VLOOKUP(B29,ChurnSeasonTable,4,FALSE)),1)</f>
        <v/>
      </c>
      <c r="Y29" s="12">
        <f>S29+T29+U29+V29+W29+X29</f>
        <v/>
      </c>
      <c r="Z29" s="9">
        <f>S29*BlendedPriceEssMonthly*E29+T29*BlendedPricePremMonthly*E29+U29*BlendedPriceEliteMonthly*E29+V29*BlendedPriceEssAnnual*E29/12+W29*BlendedPricePremAnnual*E29/12+X29*BlendedPriceEliteAnnual*E29/12</f>
        <v/>
      </c>
      <c r="AA29" s="9">
        <f>Z29*12</f>
        <v/>
      </c>
      <c r="AB29" s="12">
        <f>S29*BlendedPriceEssMonthly*E29+T29*BlendedPricePremMonthly*E29+U29*BlendedPriceEliteMonthly*E29</f>
        <v/>
      </c>
      <c r="AC29" s="12">
        <f>P29*BlendedPriceEssAnnual*E29+Q29*BlendedPricePremAnnual*E29+R29*BlendedPriceEliteAnnual*E29</f>
        <v/>
      </c>
      <c r="AD29" s="12">
        <f>P17*POWER(1-(AnnualChurn*VLOOKUP(B29,ChurnSeasonTable,4,FALSE)),1)*BlendedPriceEssAnnual*E29+P5*POWER(1-(AnnualChurn*VLOOKUP(B29,ChurnSeasonTable,4,FALSE)),2)*BlendedPriceEssAnnual*E29+Q17*POWER(1-(AnnualChurn*VLOOKUP(B29,ChurnSeasonTable,4,FALSE)),1)*BlendedPricePremAnnual*E29+Q5*POWER(1-(AnnualChurn*VLOOKUP(B29,ChurnSeasonTable,4,FALSE)),2)*BlendedPricePremAnnual*E29+R17*POWER(1-(AnnualChurn*VLOOKUP(B29,ChurnSeasonTable,4,FALSE)),1)*BlendedPriceEliteAnnual*E29+R5*POWER(1-(AnnualChurn*VLOOKUP(B29,ChurnSeasonTable,4,FALSE)),2)*BlendedPriceEliteAnnual*E29</f>
        <v/>
      </c>
      <c r="AE29" s="9">
        <f>AB29+AC29+AD29</f>
        <v/>
      </c>
      <c r="AF29" s="12">
        <f>SUM(AE18:AE29)</f>
        <v/>
      </c>
      <c r="AG29" s="12">
        <f>OR(AG28,IF(VATAgentMode,SUM($AE18:$AE29)-SUM($AL18:$AL29)&gt;=VATThreshold,SUM($AE18:$AE29)&gt;=VATThreshold))</f>
        <v/>
      </c>
      <c r="AH29" s="9">
        <f>IF(AG29,IF(VATAgentMode,AE29-((AE29-AL29)-(AE29-AL29)/(1+VATRate)),AE29/(1+VATRate)),AE29)</f>
        <v/>
      </c>
      <c r="AI29" s="12">
        <f>AE29-AH29</f>
        <v/>
      </c>
      <c r="AJ29" s="12">
        <f>IF(AG29=0,0,IF(B29=1,SUMPRODUCT(--(($C$5:$C29=$C29-1)*($B$5:$B29&gt;=10)*($B$5:$B29&lt;=12)),$AI$5:$AI29),IF(B29=4,SUMPRODUCT(--(($C$5:$C29=$C29)*($B$5:$B29&gt;=1)*($B$5:$B29&lt;=3)),$AI$5:$AI29),IF(B29=7,SUMPRODUCT(--(($C$5:$C29=$C29)*($B$5:$B29&gt;=4)*($B$5:$B29&lt;=6)),$AI$5:$AI29),IF(B29=10,SUMPRODUCT(--(($C$5:$C29=$C29)*($B$5:$B29&gt;=7)*($B$5:$B29&lt;=9)),$AI$5:$AI29),0)))))</f>
        <v/>
      </c>
      <c r="AK29" s="12">
        <f>AK28+AI29-AJ29</f>
        <v/>
      </c>
      <c r="AL29" s="12">
        <f>IF(ProviderDelay&gt;=1,S28*BlendedProvPayEss+T28*BlendedProvPayPrem+U28*BlendedProvPayElite+V28*BlendedProvPayEss+W28*BlendedProvPayPrem+X28*BlendedProvPayElite,S29*BlendedProvPayEss+T29*BlendedProvPayPrem+U29*BlendedProvPayElite+V29*BlendedProvPayEss+W29*BlendedProvPayPrem+X29*BlendedProvPayElite)</f>
        <v/>
      </c>
      <c r="AM29" s="12">
        <f>AE29*PaymentFee</f>
        <v/>
      </c>
      <c r="AN29" s="12">
        <f>Y29*OpsAI</f>
        <v/>
      </c>
      <c r="AO29" s="12">
        <f>MonthlyFixed</f>
        <v/>
      </c>
      <c r="AP29" s="12">
        <f>I29*ReferralReward</f>
        <v/>
      </c>
      <c r="AQ29" s="12">
        <f>G29</f>
        <v/>
      </c>
      <c r="AR29" s="9">
        <f>AH29-AL29-AM29-AN29-AO29-AP29-AQ29</f>
        <v/>
      </c>
      <c r="AS29" s="9">
        <f>AS28+AE29-(AL29+AM29+AN29+AO29+AP29+AQ29+AJ29)</f>
        <v/>
      </c>
      <c r="AT29" s="12">
        <f>IF(Y29&gt;0,Z29/Y29,0)</f>
        <v/>
      </c>
      <c r="AU29" s="11">
        <f>IF(Y28&gt;0,MAX(0,(Y28+J29-Y29)/Y28),0)</f>
        <v/>
      </c>
    </row>
    <row r="30">
      <c r="A30" s="12" t="n">
        <v>26</v>
      </c>
      <c r="B30" s="12">
        <f>MOD(A30-1+LaunchMonth-1,12)+1</f>
        <v/>
      </c>
      <c r="C30" s="12">
        <f>INT((A30-1+LaunchMonth-1)/12)+1</f>
        <v/>
      </c>
      <c r="D30" s="12">
        <f>VLOOKUP(B30,SeasonTable,2,FALSE)</f>
        <v/>
      </c>
      <c r="E30" s="12">
        <f>(1+InflationRate)^INT((A30-1)/12)</f>
        <v/>
      </c>
      <c r="F30" s="11">
        <f>MonthlyChurn*VLOOKUP(B30,ChurnSeasonTable,4,FALSE)</f>
        <v/>
      </c>
      <c r="G30" s="12">
        <f>MIN(MAX(MktMin19plus,AE29*MktPct19plus),MAX(0,AS29-CashBuffer))</f>
        <v/>
      </c>
      <c r="H30" s="12">
        <f>IF(G30&gt;0,MAX(1,ROUND(G30/CAC*D30,0)),0)</f>
        <v/>
      </c>
      <c r="I30" s="12">
        <f>IF(H30&gt;0,ROUND(H30*ReferralMix/(1-ReferralMix),0),0)</f>
        <v/>
      </c>
      <c r="J30" s="12">
        <f>H30+I30</f>
        <v/>
      </c>
      <c r="K30" s="12">
        <f>ROUND(J30*(1-AnnualMix),0)</f>
        <v/>
      </c>
      <c r="L30" s="12">
        <f>J30-K30</f>
        <v/>
      </c>
      <c r="M30" s="12">
        <f>ROUND(K30*EssentialMix,0)</f>
        <v/>
      </c>
      <c r="N30" s="12">
        <f>ROUND(K30*PremiumMix,0)</f>
        <v/>
      </c>
      <c r="O30" s="12">
        <f>K30-M30-N30</f>
        <v/>
      </c>
      <c r="P30" s="12">
        <f>ROUND(L30*EssentialMix,0)</f>
        <v/>
      </c>
      <c r="Q30" s="12">
        <f>ROUND(L30*PremiumMix,0)</f>
        <v/>
      </c>
      <c r="R30" s="12">
        <f>L30-P30-Q30</f>
        <v/>
      </c>
      <c r="S30" s="12">
        <f>M30+M29+M28+MAX(0,S29-M29-M28)*(1-F30)</f>
        <v/>
      </c>
      <c r="T30" s="12">
        <f>N30+N29+N28+MAX(0,T29-N29-N28)*(1-F30)</f>
        <v/>
      </c>
      <c r="U30" s="12">
        <f>O30+O29+O28+MAX(0,U29-O29-O28)*(1-F30)</f>
        <v/>
      </c>
      <c r="V30" s="12">
        <f>V29+P30-P18*(AnnualChurn*VLOOKUP(B30,ChurnSeasonTable,4,FALSE))*POWER(1-(AnnualChurn*VLOOKUP(B30,ChurnSeasonTable,4,FALSE)),0)+P6*(AnnualChurn*VLOOKUP(B30,ChurnSeasonTable,4,FALSE))*POWER(1-(AnnualChurn*VLOOKUP(B30,ChurnSeasonTable,4,FALSE)),1)</f>
        <v/>
      </c>
      <c r="W30" s="12">
        <f>W29+Q30-Q18*(AnnualChurn*VLOOKUP(B30,ChurnSeasonTable,4,FALSE))*POWER(1-(AnnualChurn*VLOOKUP(B30,ChurnSeasonTable,4,FALSE)),0)+Q6*(AnnualChurn*VLOOKUP(B30,ChurnSeasonTable,4,FALSE))*POWER(1-(AnnualChurn*VLOOKUP(B30,ChurnSeasonTable,4,FALSE)),1)</f>
        <v/>
      </c>
      <c r="X30" s="12">
        <f>X29+R30-R18*(AnnualChurn*VLOOKUP(B30,ChurnSeasonTable,4,FALSE))*POWER(1-(AnnualChurn*VLOOKUP(B30,ChurnSeasonTable,4,FALSE)),0)+R6*(AnnualChurn*VLOOKUP(B30,ChurnSeasonTable,4,FALSE))*POWER(1-(AnnualChurn*VLOOKUP(B30,ChurnSeasonTable,4,FALSE)),1)</f>
        <v/>
      </c>
      <c r="Y30" s="12">
        <f>S30+T30+U30+V30+W30+X30</f>
        <v/>
      </c>
      <c r="Z30" s="9">
        <f>S30*BlendedPriceEssMonthly*E30+T30*BlendedPricePremMonthly*E30+U30*BlendedPriceEliteMonthly*E30+V30*BlendedPriceEssAnnual*E30/12+W30*BlendedPricePremAnnual*E30/12+X30*BlendedPriceEliteAnnual*E30/12</f>
        <v/>
      </c>
      <c r="AA30" s="9">
        <f>Z30*12</f>
        <v/>
      </c>
      <c r="AB30" s="12">
        <f>S30*BlendedPriceEssMonthly*E30+T30*BlendedPricePremMonthly*E30+U30*BlendedPriceEliteMonthly*E30</f>
        <v/>
      </c>
      <c r="AC30" s="12">
        <f>P30*BlendedPriceEssAnnual*E30+Q30*BlendedPricePremAnnual*E30+R30*BlendedPriceEliteAnnual*E30</f>
        <v/>
      </c>
      <c r="AD30" s="12">
        <f>P18*POWER(1-(AnnualChurn*VLOOKUP(B30,ChurnSeasonTable,4,FALSE)),1)*BlendedPriceEssAnnual*E30+P6*POWER(1-(AnnualChurn*VLOOKUP(B30,ChurnSeasonTable,4,FALSE)),2)*BlendedPriceEssAnnual*E30+Q18*POWER(1-(AnnualChurn*VLOOKUP(B30,ChurnSeasonTable,4,FALSE)),1)*BlendedPricePremAnnual*E30+Q6*POWER(1-(AnnualChurn*VLOOKUP(B30,ChurnSeasonTable,4,FALSE)),2)*BlendedPricePremAnnual*E30+R18*POWER(1-(AnnualChurn*VLOOKUP(B30,ChurnSeasonTable,4,FALSE)),1)*BlendedPriceEliteAnnual*E30+R6*POWER(1-(AnnualChurn*VLOOKUP(B30,ChurnSeasonTable,4,FALSE)),2)*BlendedPriceEliteAnnual*E30</f>
        <v/>
      </c>
      <c r="AE30" s="9">
        <f>AB30+AC30+AD30</f>
        <v/>
      </c>
      <c r="AF30" s="12">
        <f>SUM(AE19:AE30)</f>
        <v/>
      </c>
      <c r="AG30" s="12">
        <f>OR(AG29,IF(VATAgentMode,SUM($AE19:$AE30)-SUM($AL19:$AL30)&gt;=VATThreshold,SUM($AE19:$AE30)&gt;=VATThreshold))</f>
        <v/>
      </c>
      <c r="AH30" s="9">
        <f>IF(AG30,IF(VATAgentMode,AE30-((AE30-AL30)-(AE30-AL30)/(1+VATRate)),AE30/(1+VATRate)),AE30)</f>
        <v/>
      </c>
      <c r="AI30" s="12">
        <f>AE30-AH30</f>
        <v/>
      </c>
      <c r="AJ30" s="12">
        <f>IF(AG30=0,0,IF(B30=1,SUMPRODUCT(--(($C$5:$C30=$C30-1)*($B$5:$B30&gt;=10)*($B$5:$B30&lt;=12)),$AI$5:$AI30),IF(B30=4,SUMPRODUCT(--(($C$5:$C30=$C30)*($B$5:$B30&gt;=1)*($B$5:$B30&lt;=3)),$AI$5:$AI30),IF(B30=7,SUMPRODUCT(--(($C$5:$C30=$C30)*($B$5:$B30&gt;=4)*($B$5:$B30&lt;=6)),$AI$5:$AI30),IF(B30=10,SUMPRODUCT(--(($C$5:$C30=$C30)*($B$5:$B30&gt;=7)*($B$5:$B30&lt;=9)),$AI$5:$AI30),0)))))</f>
        <v/>
      </c>
      <c r="AK30" s="12">
        <f>AK29+AI30-AJ30</f>
        <v/>
      </c>
      <c r="AL30" s="12">
        <f>IF(ProviderDelay&gt;=1,S29*BlendedProvPayEss+T29*BlendedProvPayPrem+U29*BlendedProvPayElite+V29*BlendedProvPayEss+W29*BlendedProvPayPrem+X29*BlendedProvPayElite,S30*BlendedProvPayEss+T30*BlendedProvPayPrem+U30*BlendedProvPayElite+V30*BlendedProvPayEss+W30*BlendedProvPayPrem+X30*BlendedProvPayElite)</f>
        <v/>
      </c>
      <c r="AM30" s="12">
        <f>AE30*PaymentFee</f>
        <v/>
      </c>
      <c r="AN30" s="12">
        <f>Y30*OpsAI</f>
        <v/>
      </c>
      <c r="AO30" s="12">
        <f>MonthlyFixed</f>
        <v/>
      </c>
      <c r="AP30" s="12">
        <f>I30*ReferralReward</f>
        <v/>
      </c>
      <c r="AQ30" s="12">
        <f>G30</f>
        <v/>
      </c>
      <c r="AR30" s="9">
        <f>AH30-AL30-AM30-AN30-AO30-AP30-AQ30</f>
        <v/>
      </c>
      <c r="AS30" s="9">
        <f>AS29+AE30-(AL30+AM30+AN30+AO30+AP30+AQ30+AJ30)</f>
        <v/>
      </c>
      <c r="AT30" s="12">
        <f>IF(Y30&gt;0,Z30/Y30,0)</f>
        <v/>
      </c>
      <c r="AU30" s="11">
        <f>IF(Y29&gt;0,MAX(0,(Y29+J30-Y30)/Y29),0)</f>
        <v/>
      </c>
    </row>
    <row r="31">
      <c r="A31" s="12" t="n">
        <v>27</v>
      </c>
      <c r="B31" s="12">
        <f>MOD(A31-1+LaunchMonth-1,12)+1</f>
        <v/>
      </c>
      <c r="C31" s="12">
        <f>INT((A31-1+LaunchMonth-1)/12)+1</f>
        <v/>
      </c>
      <c r="D31" s="12">
        <f>VLOOKUP(B31,SeasonTable,2,FALSE)</f>
        <v/>
      </c>
      <c r="E31" s="12">
        <f>(1+InflationRate)^INT((A31-1)/12)</f>
        <v/>
      </c>
      <c r="F31" s="11">
        <f>MonthlyChurn*VLOOKUP(B31,ChurnSeasonTable,4,FALSE)</f>
        <v/>
      </c>
      <c r="G31" s="12">
        <f>MIN(MAX(MktMin19plus,AE30*MktPct19plus),MAX(0,AS30-CashBuffer))</f>
        <v/>
      </c>
      <c r="H31" s="12">
        <f>IF(G31&gt;0,MAX(1,ROUND(G31/CAC*D31,0)),0)</f>
        <v/>
      </c>
      <c r="I31" s="12">
        <f>IF(H31&gt;0,ROUND(H31*ReferralMix/(1-ReferralMix),0),0)</f>
        <v/>
      </c>
      <c r="J31" s="12">
        <f>H31+I31</f>
        <v/>
      </c>
      <c r="K31" s="12">
        <f>ROUND(J31*(1-AnnualMix),0)</f>
        <v/>
      </c>
      <c r="L31" s="12">
        <f>J31-K31</f>
        <v/>
      </c>
      <c r="M31" s="12">
        <f>ROUND(K31*EssentialMix,0)</f>
        <v/>
      </c>
      <c r="N31" s="12">
        <f>ROUND(K31*PremiumMix,0)</f>
        <v/>
      </c>
      <c r="O31" s="12">
        <f>K31-M31-N31</f>
        <v/>
      </c>
      <c r="P31" s="12">
        <f>ROUND(L31*EssentialMix,0)</f>
        <v/>
      </c>
      <c r="Q31" s="12">
        <f>ROUND(L31*PremiumMix,0)</f>
        <v/>
      </c>
      <c r="R31" s="12">
        <f>L31-P31-Q31</f>
        <v/>
      </c>
      <c r="S31" s="12">
        <f>M31+M30+M29+MAX(0,S30-M30-M29)*(1-F31)</f>
        <v/>
      </c>
      <c r="T31" s="12">
        <f>N31+N30+N29+MAX(0,T30-N30-N29)*(1-F31)</f>
        <v/>
      </c>
      <c r="U31" s="12">
        <f>O31+O30+O29+MAX(0,U30-O30-O29)*(1-F31)</f>
        <v/>
      </c>
      <c r="V31" s="12">
        <f>V30+P31-P19*(AnnualChurn*VLOOKUP(B31,ChurnSeasonTable,4,FALSE))*POWER(1-(AnnualChurn*VLOOKUP(B31,ChurnSeasonTable,4,FALSE)),0)+P7*(AnnualChurn*VLOOKUP(B31,ChurnSeasonTable,4,FALSE))*POWER(1-(AnnualChurn*VLOOKUP(B31,ChurnSeasonTable,4,FALSE)),1)</f>
        <v/>
      </c>
      <c r="W31" s="12">
        <f>W30+Q31-Q19*(AnnualChurn*VLOOKUP(B31,ChurnSeasonTable,4,FALSE))*POWER(1-(AnnualChurn*VLOOKUP(B31,ChurnSeasonTable,4,FALSE)),0)+Q7*(AnnualChurn*VLOOKUP(B31,ChurnSeasonTable,4,FALSE))*POWER(1-(AnnualChurn*VLOOKUP(B31,ChurnSeasonTable,4,FALSE)),1)</f>
        <v/>
      </c>
      <c r="X31" s="12">
        <f>X30+R31-R19*(AnnualChurn*VLOOKUP(B31,ChurnSeasonTable,4,FALSE))*POWER(1-(AnnualChurn*VLOOKUP(B31,ChurnSeasonTable,4,FALSE)),0)+R7*(AnnualChurn*VLOOKUP(B31,ChurnSeasonTable,4,FALSE))*POWER(1-(AnnualChurn*VLOOKUP(B31,ChurnSeasonTable,4,FALSE)),1)</f>
        <v/>
      </c>
      <c r="Y31" s="12">
        <f>S31+T31+U31+V31+W31+X31</f>
        <v/>
      </c>
      <c r="Z31" s="9">
        <f>S31*BlendedPriceEssMonthly*E31+T31*BlendedPricePremMonthly*E31+U31*BlendedPriceEliteMonthly*E31+V31*BlendedPriceEssAnnual*E31/12+W31*BlendedPricePremAnnual*E31/12+X31*BlendedPriceEliteAnnual*E31/12</f>
        <v/>
      </c>
      <c r="AA31" s="9">
        <f>Z31*12</f>
        <v/>
      </c>
      <c r="AB31" s="12">
        <f>S31*BlendedPriceEssMonthly*E31+T31*BlendedPricePremMonthly*E31+U31*BlendedPriceEliteMonthly*E31</f>
        <v/>
      </c>
      <c r="AC31" s="12">
        <f>P31*BlendedPriceEssAnnual*E31+Q31*BlendedPricePremAnnual*E31+R31*BlendedPriceEliteAnnual*E31</f>
        <v/>
      </c>
      <c r="AD31" s="12">
        <f>P19*POWER(1-(AnnualChurn*VLOOKUP(B31,ChurnSeasonTable,4,FALSE)),1)*BlendedPriceEssAnnual*E31+P7*POWER(1-(AnnualChurn*VLOOKUP(B31,ChurnSeasonTable,4,FALSE)),2)*BlendedPriceEssAnnual*E31+Q19*POWER(1-(AnnualChurn*VLOOKUP(B31,ChurnSeasonTable,4,FALSE)),1)*BlendedPricePremAnnual*E31+Q7*POWER(1-(AnnualChurn*VLOOKUP(B31,ChurnSeasonTable,4,FALSE)),2)*BlendedPricePremAnnual*E31+R19*POWER(1-(AnnualChurn*VLOOKUP(B31,ChurnSeasonTable,4,FALSE)),1)*BlendedPriceEliteAnnual*E31+R7*POWER(1-(AnnualChurn*VLOOKUP(B31,ChurnSeasonTable,4,FALSE)),2)*BlendedPriceEliteAnnual*E31</f>
        <v/>
      </c>
      <c r="AE31" s="9">
        <f>AB31+AC31+AD31</f>
        <v/>
      </c>
      <c r="AF31" s="12">
        <f>SUM(AE20:AE31)</f>
        <v/>
      </c>
      <c r="AG31" s="12">
        <f>OR(AG30,IF(VATAgentMode,SUM($AE20:$AE31)-SUM($AL20:$AL31)&gt;=VATThreshold,SUM($AE20:$AE31)&gt;=VATThreshold))</f>
        <v/>
      </c>
      <c r="AH31" s="9">
        <f>IF(AG31,IF(VATAgentMode,AE31-((AE31-AL31)-(AE31-AL31)/(1+VATRate)),AE31/(1+VATRate)),AE31)</f>
        <v/>
      </c>
      <c r="AI31" s="12">
        <f>AE31-AH31</f>
        <v/>
      </c>
      <c r="AJ31" s="12">
        <f>IF(AG31=0,0,IF(B31=1,SUMPRODUCT(--(($C$5:$C31=$C31-1)*($B$5:$B31&gt;=10)*($B$5:$B31&lt;=12)),$AI$5:$AI31),IF(B31=4,SUMPRODUCT(--(($C$5:$C31=$C31)*($B$5:$B31&gt;=1)*($B$5:$B31&lt;=3)),$AI$5:$AI31),IF(B31=7,SUMPRODUCT(--(($C$5:$C31=$C31)*($B$5:$B31&gt;=4)*($B$5:$B31&lt;=6)),$AI$5:$AI31),IF(B31=10,SUMPRODUCT(--(($C$5:$C31=$C31)*($B$5:$B31&gt;=7)*($B$5:$B31&lt;=9)),$AI$5:$AI31),0)))))</f>
        <v/>
      </c>
      <c r="AK31" s="12">
        <f>AK30+AI31-AJ31</f>
        <v/>
      </c>
      <c r="AL31" s="12">
        <f>IF(ProviderDelay&gt;=1,S30*BlendedProvPayEss+T30*BlendedProvPayPrem+U30*BlendedProvPayElite+V30*BlendedProvPayEss+W30*BlendedProvPayPrem+X30*BlendedProvPayElite,S31*BlendedProvPayEss+T31*BlendedProvPayPrem+U31*BlendedProvPayElite+V31*BlendedProvPayEss+W31*BlendedProvPayPrem+X31*BlendedProvPayElite)</f>
        <v/>
      </c>
      <c r="AM31" s="12">
        <f>AE31*PaymentFee</f>
        <v/>
      </c>
      <c r="AN31" s="12">
        <f>Y31*OpsAI</f>
        <v/>
      </c>
      <c r="AO31" s="12">
        <f>MonthlyFixed</f>
        <v/>
      </c>
      <c r="AP31" s="12">
        <f>I31*ReferralReward</f>
        <v/>
      </c>
      <c r="AQ31" s="12">
        <f>G31</f>
        <v/>
      </c>
      <c r="AR31" s="9">
        <f>AH31-AL31-AM31-AN31-AO31-AP31-AQ31</f>
        <v/>
      </c>
      <c r="AS31" s="9">
        <f>AS30+AE31-(AL31+AM31+AN31+AO31+AP31+AQ31+AJ31)</f>
        <v/>
      </c>
      <c r="AT31" s="12">
        <f>IF(Y31&gt;0,Z31/Y31,0)</f>
        <v/>
      </c>
      <c r="AU31" s="11">
        <f>IF(Y30&gt;0,MAX(0,(Y30+J31-Y31)/Y30),0)</f>
        <v/>
      </c>
    </row>
    <row r="32">
      <c r="A32" s="12" t="n">
        <v>28</v>
      </c>
      <c r="B32" s="12">
        <f>MOD(A32-1+LaunchMonth-1,12)+1</f>
        <v/>
      </c>
      <c r="C32" s="12">
        <f>INT((A32-1+LaunchMonth-1)/12)+1</f>
        <v/>
      </c>
      <c r="D32" s="12">
        <f>VLOOKUP(B32,SeasonTable,2,FALSE)</f>
        <v/>
      </c>
      <c r="E32" s="12">
        <f>(1+InflationRate)^INT((A32-1)/12)</f>
        <v/>
      </c>
      <c r="F32" s="11">
        <f>MonthlyChurn*VLOOKUP(B32,ChurnSeasonTable,4,FALSE)</f>
        <v/>
      </c>
      <c r="G32" s="12">
        <f>MIN(MAX(MktMin19plus,AE31*MktPct19plus),MAX(0,AS31-CashBuffer))</f>
        <v/>
      </c>
      <c r="H32" s="12">
        <f>IF(G32&gt;0,MAX(1,ROUND(G32/CAC*D32,0)),0)</f>
        <v/>
      </c>
      <c r="I32" s="12">
        <f>IF(H32&gt;0,ROUND(H32*ReferralMix/(1-ReferralMix),0),0)</f>
        <v/>
      </c>
      <c r="J32" s="12">
        <f>H32+I32</f>
        <v/>
      </c>
      <c r="K32" s="12">
        <f>ROUND(J32*(1-AnnualMix),0)</f>
        <v/>
      </c>
      <c r="L32" s="12">
        <f>J32-K32</f>
        <v/>
      </c>
      <c r="M32" s="12">
        <f>ROUND(K32*EssentialMix,0)</f>
        <v/>
      </c>
      <c r="N32" s="12">
        <f>ROUND(K32*PremiumMix,0)</f>
        <v/>
      </c>
      <c r="O32" s="12">
        <f>K32-M32-N32</f>
        <v/>
      </c>
      <c r="P32" s="12">
        <f>ROUND(L32*EssentialMix,0)</f>
        <v/>
      </c>
      <c r="Q32" s="12">
        <f>ROUND(L32*PremiumMix,0)</f>
        <v/>
      </c>
      <c r="R32" s="12">
        <f>L32-P32-Q32</f>
        <v/>
      </c>
      <c r="S32" s="12">
        <f>M32+M31+M30+MAX(0,S31-M31-M30)*(1-F32)</f>
        <v/>
      </c>
      <c r="T32" s="12">
        <f>N32+N31+N30+MAX(0,T31-N31-N30)*(1-F32)</f>
        <v/>
      </c>
      <c r="U32" s="12">
        <f>O32+O31+O30+MAX(0,U31-O31-O30)*(1-F32)</f>
        <v/>
      </c>
      <c r="V32" s="12">
        <f>V31+P32-P20*(AnnualChurn*VLOOKUP(B32,ChurnSeasonTable,4,FALSE))*POWER(1-(AnnualChurn*VLOOKUP(B32,ChurnSeasonTable,4,FALSE)),0)+P8*(AnnualChurn*VLOOKUP(B32,ChurnSeasonTable,4,FALSE))*POWER(1-(AnnualChurn*VLOOKUP(B32,ChurnSeasonTable,4,FALSE)),1)</f>
        <v/>
      </c>
      <c r="W32" s="12">
        <f>W31+Q32-Q20*(AnnualChurn*VLOOKUP(B32,ChurnSeasonTable,4,FALSE))*POWER(1-(AnnualChurn*VLOOKUP(B32,ChurnSeasonTable,4,FALSE)),0)+Q8*(AnnualChurn*VLOOKUP(B32,ChurnSeasonTable,4,FALSE))*POWER(1-(AnnualChurn*VLOOKUP(B32,ChurnSeasonTable,4,FALSE)),1)</f>
        <v/>
      </c>
      <c r="X32" s="12">
        <f>X31+R32-R20*(AnnualChurn*VLOOKUP(B32,ChurnSeasonTable,4,FALSE))*POWER(1-(AnnualChurn*VLOOKUP(B32,ChurnSeasonTable,4,FALSE)),0)+R8*(AnnualChurn*VLOOKUP(B32,ChurnSeasonTable,4,FALSE))*POWER(1-(AnnualChurn*VLOOKUP(B32,ChurnSeasonTable,4,FALSE)),1)</f>
        <v/>
      </c>
      <c r="Y32" s="12">
        <f>S32+T32+U32+V32+W32+X32</f>
        <v/>
      </c>
      <c r="Z32" s="9">
        <f>S32*BlendedPriceEssMonthly*E32+T32*BlendedPricePremMonthly*E32+U32*BlendedPriceEliteMonthly*E32+V32*BlendedPriceEssAnnual*E32/12+W32*BlendedPricePremAnnual*E32/12+X32*BlendedPriceEliteAnnual*E32/12</f>
        <v/>
      </c>
      <c r="AA32" s="9">
        <f>Z32*12</f>
        <v/>
      </c>
      <c r="AB32" s="12">
        <f>S32*BlendedPriceEssMonthly*E32+T32*BlendedPricePremMonthly*E32+U32*BlendedPriceEliteMonthly*E32</f>
        <v/>
      </c>
      <c r="AC32" s="12">
        <f>P32*BlendedPriceEssAnnual*E32+Q32*BlendedPricePremAnnual*E32+R32*BlendedPriceEliteAnnual*E32</f>
        <v/>
      </c>
      <c r="AD32" s="12">
        <f>P20*POWER(1-(AnnualChurn*VLOOKUP(B32,ChurnSeasonTable,4,FALSE)),1)*BlendedPriceEssAnnual*E32+P8*POWER(1-(AnnualChurn*VLOOKUP(B32,ChurnSeasonTable,4,FALSE)),2)*BlendedPriceEssAnnual*E32+Q20*POWER(1-(AnnualChurn*VLOOKUP(B32,ChurnSeasonTable,4,FALSE)),1)*BlendedPricePremAnnual*E32+Q8*POWER(1-(AnnualChurn*VLOOKUP(B32,ChurnSeasonTable,4,FALSE)),2)*BlendedPricePremAnnual*E32+R20*POWER(1-(AnnualChurn*VLOOKUP(B32,ChurnSeasonTable,4,FALSE)),1)*BlendedPriceEliteAnnual*E32+R8*POWER(1-(AnnualChurn*VLOOKUP(B32,ChurnSeasonTable,4,FALSE)),2)*BlendedPriceEliteAnnual*E32</f>
        <v/>
      </c>
      <c r="AE32" s="9">
        <f>AB32+AC32+AD32</f>
        <v/>
      </c>
      <c r="AF32" s="12">
        <f>SUM(AE21:AE32)</f>
        <v/>
      </c>
      <c r="AG32" s="12">
        <f>OR(AG31,IF(VATAgentMode,SUM($AE21:$AE32)-SUM($AL21:$AL32)&gt;=VATThreshold,SUM($AE21:$AE32)&gt;=VATThreshold))</f>
        <v/>
      </c>
      <c r="AH32" s="9">
        <f>IF(AG32,IF(VATAgentMode,AE32-((AE32-AL32)-(AE32-AL32)/(1+VATRate)),AE32/(1+VATRate)),AE32)</f>
        <v/>
      </c>
      <c r="AI32" s="12">
        <f>AE32-AH32</f>
        <v/>
      </c>
      <c r="AJ32" s="12">
        <f>IF(AG32=0,0,IF(B32=1,SUMPRODUCT(--(($C$5:$C32=$C32-1)*($B$5:$B32&gt;=10)*($B$5:$B32&lt;=12)),$AI$5:$AI32),IF(B32=4,SUMPRODUCT(--(($C$5:$C32=$C32)*($B$5:$B32&gt;=1)*($B$5:$B32&lt;=3)),$AI$5:$AI32),IF(B32=7,SUMPRODUCT(--(($C$5:$C32=$C32)*($B$5:$B32&gt;=4)*($B$5:$B32&lt;=6)),$AI$5:$AI32),IF(B32=10,SUMPRODUCT(--(($C$5:$C32=$C32)*($B$5:$B32&gt;=7)*($B$5:$B32&lt;=9)),$AI$5:$AI32),0)))))</f>
        <v/>
      </c>
      <c r="AK32" s="12">
        <f>AK31+AI32-AJ32</f>
        <v/>
      </c>
      <c r="AL32" s="12">
        <f>IF(ProviderDelay&gt;=1,S31*BlendedProvPayEss+T31*BlendedProvPayPrem+U31*BlendedProvPayElite+V31*BlendedProvPayEss+W31*BlendedProvPayPrem+X31*BlendedProvPayElite,S32*BlendedProvPayEss+T32*BlendedProvPayPrem+U32*BlendedProvPayElite+V32*BlendedProvPayEss+W32*BlendedProvPayPrem+X32*BlendedProvPayElite)</f>
        <v/>
      </c>
      <c r="AM32" s="12">
        <f>AE32*PaymentFee</f>
        <v/>
      </c>
      <c r="AN32" s="12">
        <f>Y32*OpsAI</f>
        <v/>
      </c>
      <c r="AO32" s="12">
        <f>MonthlyFixed</f>
        <v/>
      </c>
      <c r="AP32" s="12">
        <f>I32*ReferralReward</f>
        <v/>
      </c>
      <c r="AQ32" s="12">
        <f>G32</f>
        <v/>
      </c>
      <c r="AR32" s="9">
        <f>AH32-AL32-AM32-AN32-AO32-AP32-AQ32</f>
        <v/>
      </c>
      <c r="AS32" s="9">
        <f>AS31+AE32-(AL32+AM32+AN32+AO32+AP32+AQ32+AJ32)</f>
        <v/>
      </c>
      <c r="AT32" s="12">
        <f>IF(Y32&gt;0,Z32/Y32,0)</f>
        <v/>
      </c>
      <c r="AU32" s="11">
        <f>IF(Y31&gt;0,MAX(0,(Y31+J32-Y32)/Y31),0)</f>
        <v/>
      </c>
    </row>
    <row r="33">
      <c r="A33" s="12" t="n">
        <v>29</v>
      </c>
      <c r="B33" s="12">
        <f>MOD(A33-1+LaunchMonth-1,12)+1</f>
        <v/>
      </c>
      <c r="C33" s="12">
        <f>INT((A33-1+LaunchMonth-1)/12)+1</f>
        <v/>
      </c>
      <c r="D33" s="12">
        <f>VLOOKUP(B33,SeasonTable,2,FALSE)</f>
        <v/>
      </c>
      <c r="E33" s="12">
        <f>(1+InflationRate)^INT((A33-1)/12)</f>
        <v/>
      </c>
      <c r="F33" s="11">
        <f>MonthlyChurn*VLOOKUP(B33,ChurnSeasonTable,4,FALSE)</f>
        <v/>
      </c>
      <c r="G33" s="12">
        <f>MIN(MAX(MktMin19plus,AE32*MktPct19plus),MAX(0,AS32-CashBuffer))</f>
        <v/>
      </c>
      <c r="H33" s="12">
        <f>IF(G33&gt;0,MAX(1,ROUND(G33/CAC*D33,0)),0)</f>
        <v/>
      </c>
      <c r="I33" s="12">
        <f>IF(H33&gt;0,ROUND(H33*ReferralMix/(1-ReferralMix),0),0)</f>
        <v/>
      </c>
      <c r="J33" s="12">
        <f>H33+I33</f>
        <v/>
      </c>
      <c r="K33" s="12">
        <f>ROUND(J33*(1-AnnualMix),0)</f>
        <v/>
      </c>
      <c r="L33" s="12">
        <f>J33-K33</f>
        <v/>
      </c>
      <c r="M33" s="12">
        <f>ROUND(K33*EssentialMix,0)</f>
        <v/>
      </c>
      <c r="N33" s="12">
        <f>ROUND(K33*PremiumMix,0)</f>
        <v/>
      </c>
      <c r="O33" s="12">
        <f>K33-M33-N33</f>
        <v/>
      </c>
      <c r="P33" s="12">
        <f>ROUND(L33*EssentialMix,0)</f>
        <v/>
      </c>
      <c r="Q33" s="12">
        <f>ROUND(L33*PremiumMix,0)</f>
        <v/>
      </c>
      <c r="R33" s="12">
        <f>L33-P33-Q33</f>
        <v/>
      </c>
      <c r="S33" s="12">
        <f>M33+M32+M31+MAX(0,S32-M32-M31)*(1-F33)</f>
        <v/>
      </c>
      <c r="T33" s="12">
        <f>N33+N32+N31+MAX(0,T32-N32-N31)*(1-F33)</f>
        <v/>
      </c>
      <c r="U33" s="12">
        <f>O33+O32+O31+MAX(0,U32-O32-O31)*(1-F33)</f>
        <v/>
      </c>
      <c r="V33" s="12">
        <f>V32+P33-P21*(AnnualChurn*VLOOKUP(B33,ChurnSeasonTable,4,FALSE))*POWER(1-(AnnualChurn*VLOOKUP(B33,ChurnSeasonTable,4,FALSE)),0)+P9*(AnnualChurn*VLOOKUP(B33,ChurnSeasonTable,4,FALSE))*POWER(1-(AnnualChurn*VLOOKUP(B33,ChurnSeasonTable,4,FALSE)),1)</f>
        <v/>
      </c>
      <c r="W33" s="12">
        <f>W32+Q33-Q21*(AnnualChurn*VLOOKUP(B33,ChurnSeasonTable,4,FALSE))*POWER(1-(AnnualChurn*VLOOKUP(B33,ChurnSeasonTable,4,FALSE)),0)+Q9*(AnnualChurn*VLOOKUP(B33,ChurnSeasonTable,4,FALSE))*POWER(1-(AnnualChurn*VLOOKUP(B33,ChurnSeasonTable,4,FALSE)),1)</f>
        <v/>
      </c>
      <c r="X33" s="12">
        <f>X32+R33-R21*(AnnualChurn*VLOOKUP(B33,ChurnSeasonTable,4,FALSE))*POWER(1-(AnnualChurn*VLOOKUP(B33,ChurnSeasonTable,4,FALSE)),0)+R9*(AnnualChurn*VLOOKUP(B33,ChurnSeasonTable,4,FALSE))*POWER(1-(AnnualChurn*VLOOKUP(B33,ChurnSeasonTable,4,FALSE)),1)</f>
        <v/>
      </c>
      <c r="Y33" s="12">
        <f>S33+T33+U33+V33+W33+X33</f>
        <v/>
      </c>
      <c r="Z33" s="9">
        <f>S33*BlendedPriceEssMonthly*E33+T33*BlendedPricePremMonthly*E33+U33*BlendedPriceEliteMonthly*E33+V33*BlendedPriceEssAnnual*E33/12+W33*BlendedPricePremAnnual*E33/12+X33*BlendedPriceEliteAnnual*E33/12</f>
        <v/>
      </c>
      <c r="AA33" s="9">
        <f>Z33*12</f>
        <v/>
      </c>
      <c r="AB33" s="12">
        <f>S33*BlendedPriceEssMonthly*E33+T33*BlendedPricePremMonthly*E33+U33*BlendedPriceEliteMonthly*E33</f>
        <v/>
      </c>
      <c r="AC33" s="12">
        <f>P33*BlendedPriceEssAnnual*E33+Q33*BlendedPricePremAnnual*E33+R33*BlendedPriceEliteAnnual*E33</f>
        <v/>
      </c>
      <c r="AD33" s="12">
        <f>P21*POWER(1-(AnnualChurn*VLOOKUP(B33,ChurnSeasonTable,4,FALSE)),1)*BlendedPriceEssAnnual*E33+P9*POWER(1-(AnnualChurn*VLOOKUP(B33,ChurnSeasonTable,4,FALSE)),2)*BlendedPriceEssAnnual*E33+Q21*POWER(1-(AnnualChurn*VLOOKUP(B33,ChurnSeasonTable,4,FALSE)),1)*BlendedPricePremAnnual*E33+Q9*POWER(1-(AnnualChurn*VLOOKUP(B33,ChurnSeasonTable,4,FALSE)),2)*BlendedPricePremAnnual*E33+R21*POWER(1-(AnnualChurn*VLOOKUP(B33,ChurnSeasonTable,4,FALSE)),1)*BlendedPriceEliteAnnual*E33+R9*POWER(1-(AnnualChurn*VLOOKUP(B33,ChurnSeasonTable,4,FALSE)),2)*BlendedPriceEliteAnnual*E33</f>
        <v/>
      </c>
      <c r="AE33" s="9">
        <f>AB33+AC33+AD33</f>
        <v/>
      </c>
      <c r="AF33" s="12">
        <f>SUM(AE22:AE33)</f>
        <v/>
      </c>
      <c r="AG33" s="12">
        <f>OR(AG32,IF(VATAgentMode,SUM($AE22:$AE33)-SUM($AL22:$AL33)&gt;=VATThreshold,SUM($AE22:$AE33)&gt;=VATThreshold))</f>
        <v/>
      </c>
      <c r="AH33" s="9">
        <f>IF(AG33,IF(VATAgentMode,AE33-((AE33-AL33)-(AE33-AL33)/(1+VATRate)),AE33/(1+VATRate)),AE33)</f>
        <v/>
      </c>
      <c r="AI33" s="12">
        <f>AE33-AH33</f>
        <v/>
      </c>
      <c r="AJ33" s="12">
        <f>IF(AG33=0,0,IF(B33=1,SUMPRODUCT(--(($C$5:$C33=$C33-1)*($B$5:$B33&gt;=10)*($B$5:$B33&lt;=12)),$AI$5:$AI33),IF(B33=4,SUMPRODUCT(--(($C$5:$C33=$C33)*($B$5:$B33&gt;=1)*($B$5:$B33&lt;=3)),$AI$5:$AI33),IF(B33=7,SUMPRODUCT(--(($C$5:$C33=$C33)*($B$5:$B33&gt;=4)*($B$5:$B33&lt;=6)),$AI$5:$AI33),IF(B33=10,SUMPRODUCT(--(($C$5:$C33=$C33)*($B$5:$B33&gt;=7)*($B$5:$B33&lt;=9)),$AI$5:$AI33),0)))))</f>
        <v/>
      </c>
      <c r="AK33" s="12">
        <f>AK32+AI33-AJ33</f>
        <v/>
      </c>
      <c r="AL33" s="12">
        <f>IF(ProviderDelay&gt;=1,S32*BlendedProvPayEss+T32*BlendedProvPayPrem+U32*BlendedProvPayElite+V32*BlendedProvPayEss+W32*BlendedProvPayPrem+X32*BlendedProvPayElite,S33*BlendedProvPayEss+T33*BlendedProvPayPrem+U33*BlendedProvPayElite+V33*BlendedProvPayEss+W33*BlendedProvPayPrem+X33*BlendedProvPayElite)</f>
        <v/>
      </c>
      <c r="AM33" s="12">
        <f>AE33*PaymentFee</f>
        <v/>
      </c>
      <c r="AN33" s="12">
        <f>Y33*OpsAI</f>
        <v/>
      </c>
      <c r="AO33" s="12">
        <f>MonthlyFixed</f>
        <v/>
      </c>
      <c r="AP33" s="12">
        <f>I33*ReferralReward</f>
        <v/>
      </c>
      <c r="AQ33" s="12">
        <f>G33</f>
        <v/>
      </c>
      <c r="AR33" s="9">
        <f>AH33-AL33-AM33-AN33-AO33-AP33-AQ33</f>
        <v/>
      </c>
      <c r="AS33" s="9">
        <f>AS32+AE33-(AL33+AM33+AN33+AO33+AP33+AQ33+AJ33)</f>
        <v/>
      </c>
      <c r="AT33" s="12">
        <f>IF(Y33&gt;0,Z33/Y33,0)</f>
        <v/>
      </c>
      <c r="AU33" s="11">
        <f>IF(Y32&gt;0,MAX(0,(Y32+J33-Y33)/Y32),0)</f>
        <v/>
      </c>
    </row>
    <row r="34">
      <c r="A34" s="12" t="n">
        <v>30</v>
      </c>
      <c r="B34" s="12">
        <f>MOD(A34-1+LaunchMonth-1,12)+1</f>
        <v/>
      </c>
      <c r="C34" s="12">
        <f>INT((A34-1+LaunchMonth-1)/12)+1</f>
        <v/>
      </c>
      <c r="D34" s="12">
        <f>VLOOKUP(B34,SeasonTable,2,FALSE)</f>
        <v/>
      </c>
      <c r="E34" s="12">
        <f>(1+InflationRate)^INT((A34-1)/12)</f>
        <v/>
      </c>
      <c r="F34" s="11">
        <f>MonthlyChurn*VLOOKUP(B34,ChurnSeasonTable,4,FALSE)</f>
        <v/>
      </c>
      <c r="G34" s="12">
        <f>MIN(MAX(MktMin19plus,AE33*MktPct19plus),MAX(0,AS33-CashBuffer))</f>
        <v/>
      </c>
      <c r="H34" s="12">
        <f>IF(G34&gt;0,MAX(1,ROUND(G34/CAC*D34,0)),0)</f>
        <v/>
      </c>
      <c r="I34" s="12">
        <f>IF(H34&gt;0,ROUND(H34*ReferralMix/(1-ReferralMix),0),0)</f>
        <v/>
      </c>
      <c r="J34" s="12">
        <f>H34+I34</f>
        <v/>
      </c>
      <c r="K34" s="12">
        <f>ROUND(J34*(1-AnnualMix),0)</f>
        <v/>
      </c>
      <c r="L34" s="12">
        <f>J34-K34</f>
        <v/>
      </c>
      <c r="M34" s="12">
        <f>ROUND(K34*EssentialMix,0)</f>
        <v/>
      </c>
      <c r="N34" s="12">
        <f>ROUND(K34*PremiumMix,0)</f>
        <v/>
      </c>
      <c r="O34" s="12">
        <f>K34-M34-N34</f>
        <v/>
      </c>
      <c r="P34" s="12">
        <f>ROUND(L34*EssentialMix,0)</f>
        <v/>
      </c>
      <c r="Q34" s="12">
        <f>ROUND(L34*PremiumMix,0)</f>
        <v/>
      </c>
      <c r="R34" s="12">
        <f>L34-P34-Q34</f>
        <v/>
      </c>
      <c r="S34" s="12">
        <f>M34+M33+M32+MAX(0,S33-M33-M32)*(1-F34)</f>
        <v/>
      </c>
      <c r="T34" s="12">
        <f>N34+N33+N32+MAX(0,T33-N33-N32)*(1-F34)</f>
        <v/>
      </c>
      <c r="U34" s="12">
        <f>O34+O33+O32+MAX(0,U33-O33-O32)*(1-F34)</f>
        <v/>
      </c>
      <c r="V34" s="12">
        <f>V33+P34-P22*(AnnualChurn*VLOOKUP(B34,ChurnSeasonTable,4,FALSE))*POWER(1-(AnnualChurn*VLOOKUP(B34,ChurnSeasonTable,4,FALSE)),0)+P10*(AnnualChurn*VLOOKUP(B34,ChurnSeasonTable,4,FALSE))*POWER(1-(AnnualChurn*VLOOKUP(B34,ChurnSeasonTable,4,FALSE)),1)</f>
        <v/>
      </c>
      <c r="W34" s="12">
        <f>W33+Q34-Q22*(AnnualChurn*VLOOKUP(B34,ChurnSeasonTable,4,FALSE))*POWER(1-(AnnualChurn*VLOOKUP(B34,ChurnSeasonTable,4,FALSE)),0)+Q10*(AnnualChurn*VLOOKUP(B34,ChurnSeasonTable,4,FALSE))*POWER(1-(AnnualChurn*VLOOKUP(B34,ChurnSeasonTable,4,FALSE)),1)</f>
        <v/>
      </c>
      <c r="X34" s="12">
        <f>X33+R34-R22*(AnnualChurn*VLOOKUP(B34,ChurnSeasonTable,4,FALSE))*POWER(1-(AnnualChurn*VLOOKUP(B34,ChurnSeasonTable,4,FALSE)),0)+R10*(AnnualChurn*VLOOKUP(B34,ChurnSeasonTable,4,FALSE))*POWER(1-(AnnualChurn*VLOOKUP(B34,ChurnSeasonTable,4,FALSE)),1)</f>
        <v/>
      </c>
      <c r="Y34" s="12">
        <f>S34+T34+U34+V34+W34+X34</f>
        <v/>
      </c>
      <c r="Z34" s="9">
        <f>S34*BlendedPriceEssMonthly*E34+T34*BlendedPricePremMonthly*E34+U34*BlendedPriceEliteMonthly*E34+V34*BlendedPriceEssAnnual*E34/12+W34*BlendedPricePremAnnual*E34/12+X34*BlendedPriceEliteAnnual*E34/12</f>
        <v/>
      </c>
      <c r="AA34" s="9">
        <f>Z34*12</f>
        <v/>
      </c>
      <c r="AB34" s="12">
        <f>S34*BlendedPriceEssMonthly*E34+T34*BlendedPricePremMonthly*E34+U34*BlendedPriceEliteMonthly*E34</f>
        <v/>
      </c>
      <c r="AC34" s="12">
        <f>P34*BlendedPriceEssAnnual*E34+Q34*BlendedPricePremAnnual*E34+R34*BlendedPriceEliteAnnual*E34</f>
        <v/>
      </c>
      <c r="AD34" s="12">
        <f>P22*POWER(1-(AnnualChurn*VLOOKUP(B34,ChurnSeasonTable,4,FALSE)),1)*BlendedPriceEssAnnual*E34+P10*POWER(1-(AnnualChurn*VLOOKUP(B34,ChurnSeasonTable,4,FALSE)),2)*BlendedPriceEssAnnual*E34+Q22*POWER(1-(AnnualChurn*VLOOKUP(B34,ChurnSeasonTable,4,FALSE)),1)*BlendedPricePremAnnual*E34+Q10*POWER(1-(AnnualChurn*VLOOKUP(B34,ChurnSeasonTable,4,FALSE)),2)*BlendedPricePremAnnual*E34+R22*POWER(1-(AnnualChurn*VLOOKUP(B34,ChurnSeasonTable,4,FALSE)),1)*BlendedPriceEliteAnnual*E34+R10*POWER(1-(AnnualChurn*VLOOKUP(B34,ChurnSeasonTable,4,FALSE)),2)*BlendedPriceEliteAnnual*E34</f>
        <v/>
      </c>
      <c r="AE34" s="9">
        <f>AB34+AC34+AD34</f>
        <v/>
      </c>
      <c r="AF34" s="12">
        <f>SUM(AE23:AE34)</f>
        <v/>
      </c>
      <c r="AG34" s="12">
        <f>OR(AG33,IF(VATAgentMode,SUM($AE23:$AE34)-SUM($AL23:$AL34)&gt;=VATThreshold,SUM($AE23:$AE34)&gt;=VATThreshold))</f>
        <v/>
      </c>
      <c r="AH34" s="9">
        <f>IF(AG34,IF(VATAgentMode,AE34-((AE34-AL34)-(AE34-AL34)/(1+VATRate)),AE34/(1+VATRate)),AE34)</f>
        <v/>
      </c>
      <c r="AI34" s="12">
        <f>AE34-AH34</f>
        <v/>
      </c>
      <c r="AJ34" s="12">
        <f>IF(AG34=0,0,IF(B34=1,SUMPRODUCT(--(($C$5:$C34=$C34-1)*($B$5:$B34&gt;=10)*($B$5:$B34&lt;=12)),$AI$5:$AI34),IF(B34=4,SUMPRODUCT(--(($C$5:$C34=$C34)*($B$5:$B34&gt;=1)*($B$5:$B34&lt;=3)),$AI$5:$AI34),IF(B34=7,SUMPRODUCT(--(($C$5:$C34=$C34)*($B$5:$B34&gt;=4)*($B$5:$B34&lt;=6)),$AI$5:$AI34),IF(B34=10,SUMPRODUCT(--(($C$5:$C34=$C34)*($B$5:$B34&gt;=7)*($B$5:$B34&lt;=9)),$AI$5:$AI34),0)))))</f>
        <v/>
      </c>
      <c r="AK34" s="12">
        <f>AK33+AI34-AJ34</f>
        <v/>
      </c>
      <c r="AL34" s="12">
        <f>IF(ProviderDelay&gt;=1,S33*BlendedProvPayEss+T33*BlendedProvPayPrem+U33*BlendedProvPayElite+V33*BlendedProvPayEss+W33*BlendedProvPayPrem+X33*BlendedProvPayElite,S34*BlendedProvPayEss+T34*BlendedProvPayPrem+U34*BlendedProvPayElite+V34*BlendedProvPayEss+W34*BlendedProvPayPrem+X34*BlendedProvPayElite)</f>
        <v/>
      </c>
      <c r="AM34" s="12">
        <f>AE34*PaymentFee</f>
        <v/>
      </c>
      <c r="AN34" s="12">
        <f>Y34*OpsAI</f>
        <v/>
      </c>
      <c r="AO34" s="12">
        <f>MonthlyFixed</f>
        <v/>
      </c>
      <c r="AP34" s="12">
        <f>I34*ReferralReward</f>
        <v/>
      </c>
      <c r="AQ34" s="12">
        <f>G34</f>
        <v/>
      </c>
      <c r="AR34" s="9">
        <f>AH34-AL34-AM34-AN34-AO34-AP34-AQ34</f>
        <v/>
      </c>
      <c r="AS34" s="9">
        <f>AS33+AE34-(AL34+AM34+AN34+AO34+AP34+AQ34+AJ34)</f>
        <v/>
      </c>
      <c r="AT34" s="12">
        <f>IF(Y34&gt;0,Z34/Y34,0)</f>
        <v/>
      </c>
      <c r="AU34" s="11">
        <f>IF(Y33&gt;0,MAX(0,(Y33+J34-Y34)/Y33),0)</f>
        <v/>
      </c>
    </row>
    <row r="35">
      <c r="A35" s="12" t="n">
        <v>31</v>
      </c>
      <c r="B35" s="12">
        <f>MOD(A35-1+LaunchMonth-1,12)+1</f>
        <v/>
      </c>
      <c r="C35" s="12">
        <f>INT((A35-1+LaunchMonth-1)/12)+1</f>
        <v/>
      </c>
      <c r="D35" s="12">
        <f>VLOOKUP(B35,SeasonTable,2,FALSE)</f>
        <v/>
      </c>
      <c r="E35" s="12">
        <f>(1+InflationRate)^INT((A35-1)/12)</f>
        <v/>
      </c>
      <c r="F35" s="11">
        <f>MonthlyChurn*VLOOKUP(B35,ChurnSeasonTable,4,FALSE)</f>
        <v/>
      </c>
      <c r="G35" s="12">
        <f>MIN(MAX(MktMin19plus,AE34*MktPct19plus),MAX(0,AS34-CashBuffer))</f>
        <v/>
      </c>
      <c r="H35" s="12">
        <f>IF(G35&gt;0,MAX(1,ROUND(G35/CAC*D35,0)),0)</f>
        <v/>
      </c>
      <c r="I35" s="12">
        <f>IF(H35&gt;0,ROUND(H35*ReferralMix/(1-ReferralMix),0),0)</f>
        <v/>
      </c>
      <c r="J35" s="12">
        <f>H35+I35</f>
        <v/>
      </c>
      <c r="K35" s="12">
        <f>ROUND(J35*(1-AnnualMix),0)</f>
        <v/>
      </c>
      <c r="L35" s="12">
        <f>J35-K35</f>
        <v/>
      </c>
      <c r="M35" s="12">
        <f>ROUND(K35*EssentialMix,0)</f>
        <v/>
      </c>
      <c r="N35" s="12">
        <f>ROUND(K35*PremiumMix,0)</f>
        <v/>
      </c>
      <c r="O35" s="12">
        <f>K35-M35-N35</f>
        <v/>
      </c>
      <c r="P35" s="12">
        <f>ROUND(L35*EssentialMix,0)</f>
        <v/>
      </c>
      <c r="Q35" s="12">
        <f>ROUND(L35*PremiumMix,0)</f>
        <v/>
      </c>
      <c r="R35" s="12">
        <f>L35-P35-Q35</f>
        <v/>
      </c>
      <c r="S35" s="12">
        <f>M35+M34+M33+MAX(0,S34-M34-M33)*(1-F35)</f>
        <v/>
      </c>
      <c r="T35" s="12">
        <f>N35+N34+N33+MAX(0,T34-N34-N33)*(1-F35)</f>
        <v/>
      </c>
      <c r="U35" s="12">
        <f>O35+O34+O33+MAX(0,U34-O34-O33)*(1-F35)</f>
        <v/>
      </c>
      <c r="V35" s="12">
        <f>V34+P35-P23*(AnnualChurn*VLOOKUP(B35,ChurnSeasonTable,4,FALSE))*POWER(1-(AnnualChurn*VLOOKUP(B35,ChurnSeasonTable,4,FALSE)),0)+P11*(AnnualChurn*VLOOKUP(B35,ChurnSeasonTable,4,FALSE))*POWER(1-(AnnualChurn*VLOOKUP(B35,ChurnSeasonTable,4,FALSE)),1)</f>
        <v/>
      </c>
      <c r="W35" s="12">
        <f>W34+Q35-Q23*(AnnualChurn*VLOOKUP(B35,ChurnSeasonTable,4,FALSE))*POWER(1-(AnnualChurn*VLOOKUP(B35,ChurnSeasonTable,4,FALSE)),0)+Q11*(AnnualChurn*VLOOKUP(B35,ChurnSeasonTable,4,FALSE))*POWER(1-(AnnualChurn*VLOOKUP(B35,ChurnSeasonTable,4,FALSE)),1)</f>
        <v/>
      </c>
      <c r="X35" s="12">
        <f>X34+R35-R23*(AnnualChurn*VLOOKUP(B35,ChurnSeasonTable,4,FALSE))*POWER(1-(AnnualChurn*VLOOKUP(B35,ChurnSeasonTable,4,FALSE)),0)+R11*(AnnualChurn*VLOOKUP(B35,ChurnSeasonTable,4,FALSE))*POWER(1-(AnnualChurn*VLOOKUP(B35,ChurnSeasonTable,4,FALSE)),1)</f>
        <v/>
      </c>
      <c r="Y35" s="12">
        <f>S35+T35+U35+V35+W35+X35</f>
        <v/>
      </c>
      <c r="Z35" s="9">
        <f>S35*BlendedPriceEssMonthly*E35+T35*BlendedPricePremMonthly*E35+U35*BlendedPriceEliteMonthly*E35+V35*BlendedPriceEssAnnual*E35/12+W35*BlendedPricePremAnnual*E35/12+X35*BlendedPriceEliteAnnual*E35/12</f>
        <v/>
      </c>
      <c r="AA35" s="9">
        <f>Z35*12</f>
        <v/>
      </c>
      <c r="AB35" s="12">
        <f>S35*BlendedPriceEssMonthly*E35+T35*BlendedPricePremMonthly*E35+U35*BlendedPriceEliteMonthly*E35</f>
        <v/>
      </c>
      <c r="AC35" s="12">
        <f>P35*BlendedPriceEssAnnual*E35+Q35*BlendedPricePremAnnual*E35+R35*BlendedPriceEliteAnnual*E35</f>
        <v/>
      </c>
      <c r="AD35" s="12">
        <f>P23*POWER(1-(AnnualChurn*VLOOKUP(B35,ChurnSeasonTable,4,FALSE)),1)*BlendedPriceEssAnnual*E35+P11*POWER(1-(AnnualChurn*VLOOKUP(B35,ChurnSeasonTable,4,FALSE)),2)*BlendedPriceEssAnnual*E35+Q23*POWER(1-(AnnualChurn*VLOOKUP(B35,ChurnSeasonTable,4,FALSE)),1)*BlendedPricePremAnnual*E35+Q11*POWER(1-(AnnualChurn*VLOOKUP(B35,ChurnSeasonTable,4,FALSE)),2)*BlendedPricePremAnnual*E35+R23*POWER(1-(AnnualChurn*VLOOKUP(B35,ChurnSeasonTable,4,FALSE)),1)*BlendedPriceEliteAnnual*E35+R11*POWER(1-(AnnualChurn*VLOOKUP(B35,ChurnSeasonTable,4,FALSE)),2)*BlendedPriceEliteAnnual*E35</f>
        <v/>
      </c>
      <c r="AE35" s="9">
        <f>AB35+AC35+AD35</f>
        <v/>
      </c>
      <c r="AF35" s="12">
        <f>SUM(AE24:AE35)</f>
        <v/>
      </c>
      <c r="AG35" s="12">
        <f>OR(AG34,IF(VATAgentMode,SUM($AE24:$AE35)-SUM($AL24:$AL35)&gt;=VATThreshold,SUM($AE24:$AE35)&gt;=VATThreshold))</f>
        <v/>
      </c>
      <c r="AH35" s="9">
        <f>IF(AG35,IF(VATAgentMode,AE35-((AE35-AL35)-(AE35-AL35)/(1+VATRate)),AE35/(1+VATRate)),AE35)</f>
        <v/>
      </c>
      <c r="AI35" s="12">
        <f>AE35-AH35</f>
        <v/>
      </c>
      <c r="AJ35" s="12">
        <f>IF(AG35=0,0,IF(B35=1,SUMPRODUCT(--(($C$5:$C35=$C35-1)*($B$5:$B35&gt;=10)*($B$5:$B35&lt;=12)),$AI$5:$AI35),IF(B35=4,SUMPRODUCT(--(($C$5:$C35=$C35)*($B$5:$B35&gt;=1)*($B$5:$B35&lt;=3)),$AI$5:$AI35),IF(B35=7,SUMPRODUCT(--(($C$5:$C35=$C35)*($B$5:$B35&gt;=4)*($B$5:$B35&lt;=6)),$AI$5:$AI35),IF(B35=10,SUMPRODUCT(--(($C$5:$C35=$C35)*($B$5:$B35&gt;=7)*($B$5:$B35&lt;=9)),$AI$5:$AI35),0)))))</f>
        <v/>
      </c>
      <c r="AK35" s="12">
        <f>AK34+AI35-AJ35</f>
        <v/>
      </c>
      <c r="AL35" s="12">
        <f>IF(ProviderDelay&gt;=1,S34*BlendedProvPayEss+T34*BlendedProvPayPrem+U34*BlendedProvPayElite+V34*BlendedProvPayEss+W34*BlendedProvPayPrem+X34*BlendedProvPayElite,S35*BlendedProvPayEss+T35*BlendedProvPayPrem+U35*BlendedProvPayElite+V35*BlendedProvPayEss+W35*BlendedProvPayPrem+X35*BlendedProvPayElite)</f>
        <v/>
      </c>
      <c r="AM35" s="12">
        <f>AE35*PaymentFee</f>
        <v/>
      </c>
      <c r="AN35" s="12">
        <f>Y35*OpsAI</f>
        <v/>
      </c>
      <c r="AO35" s="12">
        <f>MonthlyFixed</f>
        <v/>
      </c>
      <c r="AP35" s="12">
        <f>I35*ReferralReward</f>
        <v/>
      </c>
      <c r="AQ35" s="12">
        <f>G35</f>
        <v/>
      </c>
      <c r="AR35" s="9">
        <f>AH35-AL35-AM35-AN35-AO35-AP35-AQ35</f>
        <v/>
      </c>
      <c r="AS35" s="9">
        <f>AS34+AE35-(AL35+AM35+AN35+AO35+AP35+AQ35+AJ35)</f>
        <v/>
      </c>
      <c r="AT35" s="12">
        <f>IF(Y35&gt;0,Z35/Y35,0)</f>
        <v/>
      </c>
      <c r="AU35" s="11">
        <f>IF(Y34&gt;0,MAX(0,(Y34+J35-Y35)/Y34),0)</f>
        <v/>
      </c>
    </row>
    <row r="36">
      <c r="A36" s="12" t="n">
        <v>32</v>
      </c>
      <c r="B36" s="12">
        <f>MOD(A36-1+LaunchMonth-1,12)+1</f>
        <v/>
      </c>
      <c r="C36" s="12">
        <f>INT((A36-1+LaunchMonth-1)/12)+1</f>
        <v/>
      </c>
      <c r="D36" s="12">
        <f>VLOOKUP(B36,SeasonTable,2,FALSE)</f>
        <v/>
      </c>
      <c r="E36" s="12">
        <f>(1+InflationRate)^INT((A36-1)/12)</f>
        <v/>
      </c>
      <c r="F36" s="11">
        <f>MonthlyChurn*VLOOKUP(B36,ChurnSeasonTable,4,FALSE)</f>
        <v/>
      </c>
      <c r="G36" s="12">
        <f>MIN(MAX(MktMin19plus,AE35*MktPct19plus),MAX(0,AS35-CashBuffer))</f>
        <v/>
      </c>
      <c r="H36" s="12">
        <f>IF(G36&gt;0,MAX(1,ROUND(G36/CAC*D36,0)),0)</f>
        <v/>
      </c>
      <c r="I36" s="12">
        <f>IF(H36&gt;0,ROUND(H36*ReferralMix/(1-ReferralMix),0),0)</f>
        <v/>
      </c>
      <c r="J36" s="12">
        <f>H36+I36</f>
        <v/>
      </c>
      <c r="K36" s="12">
        <f>ROUND(J36*(1-AnnualMix),0)</f>
        <v/>
      </c>
      <c r="L36" s="12">
        <f>J36-K36</f>
        <v/>
      </c>
      <c r="M36" s="12">
        <f>ROUND(K36*EssentialMix,0)</f>
        <v/>
      </c>
      <c r="N36" s="12">
        <f>ROUND(K36*PremiumMix,0)</f>
        <v/>
      </c>
      <c r="O36" s="12">
        <f>K36-M36-N36</f>
        <v/>
      </c>
      <c r="P36" s="12">
        <f>ROUND(L36*EssentialMix,0)</f>
        <v/>
      </c>
      <c r="Q36" s="12">
        <f>ROUND(L36*PremiumMix,0)</f>
        <v/>
      </c>
      <c r="R36" s="12">
        <f>L36-P36-Q36</f>
        <v/>
      </c>
      <c r="S36" s="12">
        <f>M36+M35+M34+MAX(0,S35-M35-M34)*(1-F36)</f>
        <v/>
      </c>
      <c r="T36" s="12">
        <f>N36+N35+N34+MAX(0,T35-N35-N34)*(1-F36)</f>
        <v/>
      </c>
      <c r="U36" s="12">
        <f>O36+O35+O34+MAX(0,U35-O35-O34)*(1-F36)</f>
        <v/>
      </c>
      <c r="V36" s="12">
        <f>V35+P36-P24*(AnnualChurn*VLOOKUP(B36,ChurnSeasonTable,4,FALSE))*POWER(1-(AnnualChurn*VLOOKUP(B36,ChurnSeasonTable,4,FALSE)),0)+P12*(AnnualChurn*VLOOKUP(B36,ChurnSeasonTable,4,FALSE))*POWER(1-(AnnualChurn*VLOOKUP(B36,ChurnSeasonTable,4,FALSE)),1)</f>
        <v/>
      </c>
      <c r="W36" s="12">
        <f>W35+Q36-Q24*(AnnualChurn*VLOOKUP(B36,ChurnSeasonTable,4,FALSE))*POWER(1-(AnnualChurn*VLOOKUP(B36,ChurnSeasonTable,4,FALSE)),0)+Q12*(AnnualChurn*VLOOKUP(B36,ChurnSeasonTable,4,FALSE))*POWER(1-(AnnualChurn*VLOOKUP(B36,ChurnSeasonTable,4,FALSE)),1)</f>
        <v/>
      </c>
      <c r="X36" s="12">
        <f>X35+R36-R24*(AnnualChurn*VLOOKUP(B36,ChurnSeasonTable,4,FALSE))*POWER(1-(AnnualChurn*VLOOKUP(B36,ChurnSeasonTable,4,FALSE)),0)+R12*(AnnualChurn*VLOOKUP(B36,ChurnSeasonTable,4,FALSE))*POWER(1-(AnnualChurn*VLOOKUP(B36,ChurnSeasonTable,4,FALSE)),1)</f>
        <v/>
      </c>
      <c r="Y36" s="12">
        <f>S36+T36+U36+V36+W36+X36</f>
        <v/>
      </c>
      <c r="Z36" s="9">
        <f>S36*BlendedPriceEssMonthly*E36+T36*BlendedPricePremMonthly*E36+U36*BlendedPriceEliteMonthly*E36+V36*BlendedPriceEssAnnual*E36/12+W36*BlendedPricePremAnnual*E36/12+X36*BlendedPriceEliteAnnual*E36/12</f>
        <v/>
      </c>
      <c r="AA36" s="9">
        <f>Z36*12</f>
        <v/>
      </c>
      <c r="AB36" s="12">
        <f>S36*BlendedPriceEssMonthly*E36+T36*BlendedPricePremMonthly*E36+U36*BlendedPriceEliteMonthly*E36</f>
        <v/>
      </c>
      <c r="AC36" s="12">
        <f>P36*BlendedPriceEssAnnual*E36+Q36*BlendedPricePremAnnual*E36+R36*BlendedPriceEliteAnnual*E36</f>
        <v/>
      </c>
      <c r="AD36" s="12">
        <f>P24*POWER(1-(AnnualChurn*VLOOKUP(B36,ChurnSeasonTable,4,FALSE)),1)*BlendedPriceEssAnnual*E36+P12*POWER(1-(AnnualChurn*VLOOKUP(B36,ChurnSeasonTable,4,FALSE)),2)*BlendedPriceEssAnnual*E36+Q24*POWER(1-(AnnualChurn*VLOOKUP(B36,ChurnSeasonTable,4,FALSE)),1)*BlendedPricePremAnnual*E36+Q12*POWER(1-(AnnualChurn*VLOOKUP(B36,ChurnSeasonTable,4,FALSE)),2)*BlendedPricePremAnnual*E36+R24*POWER(1-(AnnualChurn*VLOOKUP(B36,ChurnSeasonTable,4,FALSE)),1)*BlendedPriceEliteAnnual*E36+R12*POWER(1-(AnnualChurn*VLOOKUP(B36,ChurnSeasonTable,4,FALSE)),2)*BlendedPriceEliteAnnual*E36</f>
        <v/>
      </c>
      <c r="AE36" s="9">
        <f>AB36+AC36+AD36</f>
        <v/>
      </c>
      <c r="AF36" s="12">
        <f>SUM(AE25:AE36)</f>
        <v/>
      </c>
      <c r="AG36" s="12">
        <f>OR(AG35,IF(VATAgentMode,SUM($AE25:$AE36)-SUM($AL25:$AL36)&gt;=VATThreshold,SUM($AE25:$AE36)&gt;=VATThreshold))</f>
        <v/>
      </c>
      <c r="AH36" s="9">
        <f>IF(AG36,IF(VATAgentMode,AE36-((AE36-AL36)-(AE36-AL36)/(1+VATRate)),AE36/(1+VATRate)),AE36)</f>
        <v/>
      </c>
      <c r="AI36" s="12">
        <f>AE36-AH36</f>
        <v/>
      </c>
      <c r="AJ36" s="12">
        <f>IF(AG36=0,0,IF(B36=1,SUMPRODUCT(--(($C$5:$C36=$C36-1)*($B$5:$B36&gt;=10)*($B$5:$B36&lt;=12)),$AI$5:$AI36),IF(B36=4,SUMPRODUCT(--(($C$5:$C36=$C36)*($B$5:$B36&gt;=1)*($B$5:$B36&lt;=3)),$AI$5:$AI36),IF(B36=7,SUMPRODUCT(--(($C$5:$C36=$C36)*($B$5:$B36&gt;=4)*($B$5:$B36&lt;=6)),$AI$5:$AI36),IF(B36=10,SUMPRODUCT(--(($C$5:$C36=$C36)*($B$5:$B36&gt;=7)*($B$5:$B36&lt;=9)),$AI$5:$AI36),0)))))</f>
        <v/>
      </c>
      <c r="AK36" s="12">
        <f>AK35+AI36-AJ36</f>
        <v/>
      </c>
      <c r="AL36" s="12">
        <f>IF(ProviderDelay&gt;=1,S35*BlendedProvPayEss+T35*BlendedProvPayPrem+U35*BlendedProvPayElite+V35*BlendedProvPayEss+W35*BlendedProvPayPrem+X35*BlendedProvPayElite,S36*BlendedProvPayEss+T36*BlendedProvPayPrem+U36*BlendedProvPayElite+V36*BlendedProvPayEss+W36*BlendedProvPayPrem+X36*BlendedProvPayElite)</f>
        <v/>
      </c>
      <c r="AM36" s="12">
        <f>AE36*PaymentFee</f>
        <v/>
      </c>
      <c r="AN36" s="12">
        <f>Y36*OpsAI</f>
        <v/>
      </c>
      <c r="AO36" s="12">
        <f>MonthlyFixed</f>
        <v/>
      </c>
      <c r="AP36" s="12">
        <f>I36*ReferralReward</f>
        <v/>
      </c>
      <c r="AQ36" s="12">
        <f>G36</f>
        <v/>
      </c>
      <c r="AR36" s="9">
        <f>AH36-AL36-AM36-AN36-AO36-AP36-AQ36</f>
        <v/>
      </c>
      <c r="AS36" s="9">
        <f>AS35+AE36-(AL36+AM36+AN36+AO36+AP36+AQ36+AJ36)</f>
        <v/>
      </c>
      <c r="AT36" s="12">
        <f>IF(Y36&gt;0,Z36/Y36,0)</f>
        <v/>
      </c>
      <c r="AU36" s="11">
        <f>IF(Y35&gt;0,MAX(0,(Y35+J36-Y36)/Y35),0)</f>
        <v/>
      </c>
    </row>
    <row r="37">
      <c r="A37" s="12" t="n">
        <v>33</v>
      </c>
      <c r="B37" s="12">
        <f>MOD(A37-1+LaunchMonth-1,12)+1</f>
        <v/>
      </c>
      <c r="C37" s="12">
        <f>INT((A37-1+LaunchMonth-1)/12)+1</f>
        <v/>
      </c>
      <c r="D37" s="12">
        <f>VLOOKUP(B37,SeasonTable,2,FALSE)</f>
        <v/>
      </c>
      <c r="E37" s="12">
        <f>(1+InflationRate)^INT((A37-1)/12)</f>
        <v/>
      </c>
      <c r="F37" s="11">
        <f>MonthlyChurn*VLOOKUP(B37,ChurnSeasonTable,4,FALSE)</f>
        <v/>
      </c>
      <c r="G37" s="12">
        <f>MIN(MAX(MktMin19plus,AE36*MktPct19plus),MAX(0,AS36-CashBuffer))</f>
        <v/>
      </c>
      <c r="H37" s="12">
        <f>IF(G37&gt;0,MAX(1,ROUND(G37/CAC*D37,0)),0)</f>
        <v/>
      </c>
      <c r="I37" s="12">
        <f>IF(H37&gt;0,ROUND(H37*ReferralMix/(1-ReferralMix),0),0)</f>
        <v/>
      </c>
      <c r="J37" s="12">
        <f>H37+I37</f>
        <v/>
      </c>
      <c r="K37" s="12">
        <f>ROUND(J37*(1-AnnualMix),0)</f>
        <v/>
      </c>
      <c r="L37" s="12">
        <f>J37-K37</f>
        <v/>
      </c>
      <c r="M37" s="12">
        <f>ROUND(K37*EssentialMix,0)</f>
        <v/>
      </c>
      <c r="N37" s="12">
        <f>ROUND(K37*PremiumMix,0)</f>
        <v/>
      </c>
      <c r="O37" s="12">
        <f>K37-M37-N37</f>
        <v/>
      </c>
      <c r="P37" s="12">
        <f>ROUND(L37*EssentialMix,0)</f>
        <v/>
      </c>
      <c r="Q37" s="12">
        <f>ROUND(L37*PremiumMix,0)</f>
        <v/>
      </c>
      <c r="R37" s="12">
        <f>L37-P37-Q37</f>
        <v/>
      </c>
      <c r="S37" s="12">
        <f>M37+M36+M35+MAX(0,S36-M36-M35)*(1-F37)</f>
        <v/>
      </c>
      <c r="T37" s="12">
        <f>N37+N36+N35+MAX(0,T36-N36-N35)*(1-F37)</f>
        <v/>
      </c>
      <c r="U37" s="12">
        <f>O37+O36+O35+MAX(0,U36-O36-O35)*(1-F37)</f>
        <v/>
      </c>
      <c r="V37" s="12">
        <f>V36+P37-P25*(AnnualChurn*VLOOKUP(B37,ChurnSeasonTable,4,FALSE))*POWER(1-(AnnualChurn*VLOOKUP(B37,ChurnSeasonTable,4,FALSE)),0)+P13*(AnnualChurn*VLOOKUP(B37,ChurnSeasonTable,4,FALSE))*POWER(1-(AnnualChurn*VLOOKUP(B37,ChurnSeasonTable,4,FALSE)),1)</f>
        <v/>
      </c>
      <c r="W37" s="12">
        <f>W36+Q37-Q25*(AnnualChurn*VLOOKUP(B37,ChurnSeasonTable,4,FALSE))*POWER(1-(AnnualChurn*VLOOKUP(B37,ChurnSeasonTable,4,FALSE)),0)+Q13*(AnnualChurn*VLOOKUP(B37,ChurnSeasonTable,4,FALSE))*POWER(1-(AnnualChurn*VLOOKUP(B37,ChurnSeasonTable,4,FALSE)),1)</f>
        <v/>
      </c>
      <c r="X37" s="12">
        <f>X36+R37-R25*(AnnualChurn*VLOOKUP(B37,ChurnSeasonTable,4,FALSE))*POWER(1-(AnnualChurn*VLOOKUP(B37,ChurnSeasonTable,4,FALSE)),0)+R13*(AnnualChurn*VLOOKUP(B37,ChurnSeasonTable,4,FALSE))*POWER(1-(AnnualChurn*VLOOKUP(B37,ChurnSeasonTable,4,FALSE)),1)</f>
        <v/>
      </c>
      <c r="Y37" s="12">
        <f>S37+T37+U37+V37+W37+X37</f>
        <v/>
      </c>
      <c r="Z37" s="9">
        <f>S37*BlendedPriceEssMonthly*E37+T37*BlendedPricePremMonthly*E37+U37*BlendedPriceEliteMonthly*E37+V37*BlendedPriceEssAnnual*E37/12+W37*BlendedPricePremAnnual*E37/12+X37*BlendedPriceEliteAnnual*E37/12</f>
        <v/>
      </c>
      <c r="AA37" s="9">
        <f>Z37*12</f>
        <v/>
      </c>
      <c r="AB37" s="12">
        <f>S37*BlendedPriceEssMonthly*E37+T37*BlendedPricePremMonthly*E37+U37*BlendedPriceEliteMonthly*E37</f>
        <v/>
      </c>
      <c r="AC37" s="12">
        <f>P37*BlendedPriceEssAnnual*E37+Q37*BlendedPricePremAnnual*E37+R37*BlendedPriceEliteAnnual*E37</f>
        <v/>
      </c>
      <c r="AD37" s="12">
        <f>P25*POWER(1-(AnnualChurn*VLOOKUP(B37,ChurnSeasonTable,4,FALSE)),1)*BlendedPriceEssAnnual*E37+P13*POWER(1-(AnnualChurn*VLOOKUP(B37,ChurnSeasonTable,4,FALSE)),2)*BlendedPriceEssAnnual*E37+Q25*POWER(1-(AnnualChurn*VLOOKUP(B37,ChurnSeasonTable,4,FALSE)),1)*BlendedPricePremAnnual*E37+Q13*POWER(1-(AnnualChurn*VLOOKUP(B37,ChurnSeasonTable,4,FALSE)),2)*BlendedPricePremAnnual*E37+R25*POWER(1-(AnnualChurn*VLOOKUP(B37,ChurnSeasonTable,4,FALSE)),1)*BlendedPriceEliteAnnual*E37+R13*POWER(1-(AnnualChurn*VLOOKUP(B37,ChurnSeasonTable,4,FALSE)),2)*BlendedPriceEliteAnnual*E37</f>
        <v/>
      </c>
      <c r="AE37" s="9">
        <f>AB37+AC37+AD37</f>
        <v/>
      </c>
      <c r="AF37" s="12">
        <f>SUM(AE26:AE37)</f>
        <v/>
      </c>
      <c r="AG37" s="12">
        <f>OR(AG36,IF(VATAgentMode,SUM($AE26:$AE37)-SUM($AL26:$AL37)&gt;=VATThreshold,SUM($AE26:$AE37)&gt;=VATThreshold))</f>
        <v/>
      </c>
      <c r="AH37" s="9">
        <f>IF(AG37,IF(VATAgentMode,AE37-((AE37-AL37)-(AE37-AL37)/(1+VATRate)),AE37/(1+VATRate)),AE37)</f>
        <v/>
      </c>
      <c r="AI37" s="12">
        <f>AE37-AH37</f>
        <v/>
      </c>
      <c r="AJ37" s="12">
        <f>IF(AG37=0,0,IF(B37=1,SUMPRODUCT(--(($C$5:$C37=$C37-1)*($B$5:$B37&gt;=10)*($B$5:$B37&lt;=12)),$AI$5:$AI37),IF(B37=4,SUMPRODUCT(--(($C$5:$C37=$C37)*($B$5:$B37&gt;=1)*($B$5:$B37&lt;=3)),$AI$5:$AI37),IF(B37=7,SUMPRODUCT(--(($C$5:$C37=$C37)*($B$5:$B37&gt;=4)*($B$5:$B37&lt;=6)),$AI$5:$AI37),IF(B37=10,SUMPRODUCT(--(($C$5:$C37=$C37)*($B$5:$B37&gt;=7)*($B$5:$B37&lt;=9)),$AI$5:$AI37),0)))))</f>
        <v/>
      </c>
      <c r="AK37" s="12">
        <f>AK36+AI37-AJ37</f>
        <v/>
      </c>
      <c r="AL37" s="12">
        <f>IF(ProviderDelay&gt;=1,S36*BlendedProvPayEss+T36*BlendedProvPayPrem+U36*BlendedProvPayElite+V36*BlendedProvPayEss+W36*BlendedProvPayPrem+X36*BlendedProvPayElite,S37*BlendedProvPayEss+T37*BlendedProvPayPrem+U37*BlendedProvPayElite+V37*BlendedProvPayEss+W37*BlendedProvPayPrem+X37*BlendedProvPayElite)</f>
        <v/>
      </c>
      <c r="AM37" s="12">
        <f>AE37*PaymentFee</f>
        <v/>
      </c>
      <c r="AN37" s="12">
        <f>Y37*OpsAI</f>
        <v/>
      </c>
      <c r="AO37" s="12">
        <f>MonthlyFixed</f>
        <v/>
      </c>
      <c r="AP37" s="12">
        <f>I37*ReferralReward</f>
        <v/>
      </c>
      <c r="AQ37" s="12">
        <f>G37</f>
        <v/>
      </c>
      <c r="AR37" s="9">
        <f>AH37-AL37-AM37-AN37-AO37-AP37-AQ37</f>
        <v/>
      </c>
      <c r="AS37" s="9">
        <f>AS36+AE37-(AL37+AM37+AN37+AO37+AP37+AQ37+AJ37)</f>
        <v/>
      </c>
      <c r="AT37" s="12">
        <f>IF(Y37&gt;0,Z37/Y37,0)</f>
        <v/>
      </c>
      <c r="AU37" s="11">
        <f>IF(Y36&gt;0,MAX(0,(Y36+J37-Y37)/Y36),0)</f>
        <v/>
      </c>
    </row>
    <row r="38">
      <c r="A38" s="12" t="n">
        <v>34</v>
      </c>
      <c r="B38" s="12">
        <f>MOD(A38-1+LaunchMonth-1,12)+1</f>
        <v/>
      </c>
      <c r="C38" s="12">
        <f>INT((A38-1+LaunchMonth-1)/12)+1</f>
        <v/>
      </c>
      <c r="D38" s="12">
        <f>VLOOKUP(B38,SeasonTable,2,FALSE)</f>
        <v/>
      </c>
      <c r="E38" s="12">
        <f>(1+InflationRate)^INT((A38-1)/12)</f>
        <v/>
      </c>
      <c r="F38" s="11">
        <f>MonthlyChurn*VLOOKUP(B38,ChurnSeasonTable,4,FALSE)</f>
        <v/>
      </c>
      <c r="G38" s="12">
        <f>MIN(MAX(MktMin19plus,AE37*MktPct19plus),MAX(0,AS37-CashBuffer))</f>
        <v/>
      </c>
      <c r="H38" s="12">
        <f>IF(G38&gt;0,MAX(1,ROUND(G38/CAC*D38,0)),0)</f>
        <v/>
      </c>
      <c r="I38" s="12">
        <f>IF(H38&gt;0,ROUND(H38*ReferralMix/(1-ReferralMix),0),0)</f>
        <v/>
      </c>
      <c r="J38" s="12">
        <f>H38+I38</f>
        <v/>
      </c>
      <c r="K38" s="12">
        <f>ROUND(J38*(1-AnnualMix),0)</f>
        <v/>
      </c>
      <c r="L38" s="12">
        <f>J38-K38</f>
        <v/>
      </c>
      <c r="M38" s="12">
        <f>ROUND(K38*EssentialMix,0)</f>
        <v/>
      </c>
      <c r="N38" s="12">
        <f>ROUND(K38*PremiumMix,0)</f>
        <v/>
      </c>
      <c r="O38" s="12">
        <f>K38-M38-N38</f>
        <v/>
      </c>
      <c r="P38" s="12">
        <f>ROUND(L38*EssentialMix,0)</f>
        <v/>
      </c>
      <c r="Q38" s="12">
        <f>ROUND(L38*PremiumMix,0)</f>
        <v/>
      </c>
      <c r="R38" s="12">
        <f>L38-P38-Q38</f>
        <v/>
      </c>
      <c r="S38" s="12">
        <f>M38+M37+M36+MAX(0,S37-M37-M36)*(1-F38)</f>
        <v/>
      </c>
      <c r="T38" s="12">
        <f>N38+N37+N36+MAX(0,T37-N37-N36)*(1-F38)</f>
        <v/>
      </c>
      <c r="U38" s="12">
        <f>O38+O37+O36+MAX(0,U37-O37-O36)*(1-F38)</f>
        <v/>
      </c>
      <c r="V38" s="12">
        <f>V37+P38-P26*(AnnualChurn*VLOOKUP(B38,ChurnSeasonTable,4,FALSE))*POWER(1-(AnnualChurn*VLOOKUP(B38,ChurnSeasonTable,4,FALSE)),0)+P14*(AnnualChurn*VLOOKUP(B38,ChurnSeasonTable,4,FALSE))*POWER(1-(AnnualChurn*VLOOKUP(B38,ChurnSeasonTable,4,FALSE)),1)</f>
        <v/>
      </c>
      <c r="W38" s="12">
        <f>W37+Q38-Q26*(AnnualChurn*VLOOKUP(B38,ChurnSeasonTable,4,FALSE))*POWER(1-(AnnualChurn*VLOOKUP(B38,ChurnSeasonTable,4,FALSE)),0)+Q14*(AnnualChurn*VLOOKUP(B38,ChurnSeasonTable,4,FALSE))*POWER(1-(AnnualChurn*VLOOKUP(B38,ChurnSeasonTable,4,FALSE)),1)</f>
        <v/>
      </c>
      <c r="X38" s="12">
        <f>X37+R38-R26*(AnnualChurn*VLOOKUP(B38,ChurnSeasonTable,4,FALSE))*POWER(1-(AnnualChurn*VLOOKUP(B38,ChurnSeasonTable,4,FALSE)),0)+R14*(AnnualChurn*VLOOKUP(B38,ChurnSeasonTable,4,FALSE))*POWER(1-(AnnualChurn*VLOOKUP(B38,ChurnSeasonTable,4,FALSE)),1)</f>
        <v/>
      </c>
      <c r="Y38" s="12">
        <f>S38+T38+U38+V38+W38+X38</f>
        <v/>
      </c>
      <c r="Z38" s="9">
        <f>S38*BlendedPriceEssMonthly*E38+T38*BlendedPricePremMonthly*E38+U38*BlendedPriceEliteMonthly*E38+V38*BlendedPriceEssAnnual*E38/12+W38*BlendedPricePremAnnual*E38/12+X38*BlendedPriceEliteAnnual*E38/12</f>
        <v/>
      </c>
      <c r="AA38" s="9">
        <f>Z38*12</f>
        <v/>
      </c>
      <c r="AB38" s="12">
        <f>S38*BlendedPriceEssMonthly*E38+T38*BlendedPricePremMonthly*E38+U38*BlendedPriceEliteMonthly*E38</f>
        <v/>
      </c>
      <c r="AC38" s="12">
        <f>P38*BlendedPriceEssAnnual*E38+Q38*BlendedPricePremAnnual*E38+R38*BlendedPriceEliteAnnual*E38</f>
        <v/>
      </c>
      <c r="AD38" s="12">
        <f>P26*POWER(1-(AnnualChurn*VLOOKUP(B38,ChurnSeasonTable,4,FALSE)),1)*BlendedPriceEssAnnual*E38+P14*POWER(1-(AnnualChurn*VLOOKUP(B38,ChurnSeasonTable,4,FALSE)),2)*BlendedPriceEssAnnual*E38+Q26*POWER(1-(AnnualChurn*VLOOKUP(B38,ChurnSeasonTable,4,FALSE)),1)*BlendedPricePremAnnual*E38+Q14*POWER(1-(AnnualChurn*VLOOKUP(B38,ChurnSeasonTable,4,FALSE)),2)*BlendedPricePremAnnual*E38+R26*POWER(1-(AnnualChurn*VLOOKUP(B38,ChurnSeasonTable,4,FALSE)),1)*BlendedPriceEliteAnnual*E38+R14*POWER(1-(AnnualChurn*VLOOKUP(B38,ChurnSeasonTable,4,FALSE)),2)*BlendedPriceEliteAnnual*E38</f>
        <v/>
      </c>
      <c r="AE38" s="9">
        <f>AB38+AC38+AD38</f>
        <v/>
      </c>
      <c r="AF38" s="12">
        <f>SUM(AE27:AE38)</f>
        <v/>
      </c>
      <c r="AG38" s="12">
        <f>OR(AG37,IF(VATAgentMode,SUM($AE27:$AE38)-SUM($AL27:$AL38)&gt;=VATThreshold,SUM($AE27:$AE38)&gt;=VATThreshold))</f>
        <v/>
      </c>
      <c r="AH38" s="9">
        <f>IF(AG38,IF(VATAgentMode,AE38-((AE38-AL38)-(AE38-AL38)/(1+VATRate)),AE38/(1+VATRate)),AE38)</f>
        <v/>
      </c>
      <c r="AI38" s="12">
        <f>AE38-AH38</f>
        <v/>
      </c>
      <c r="AJ38" s="12">
        <f>IF(AG38=0,0,IF(B38=1,SUMPRODUCT(--(($C$5:$C38=$C38-1)*($B$5:$B38&gt;=10)*($B$5:$B38&lt;=12)),$AI$5:$AI38),IF(B38=4,SUMPRODUCT(--(($C$5:$C38=$C38)*($B$5:$B38&gt;=1)*($B$5:$B38&lt;=3)),$AI$5:$AI38),IF(B38=7,SUMPRODUCT(--(($C$5:$C38=$C38)*($B$5:$B38&gt;=4)*($B$5:$B38&lt;=6)),$AI$5:$AI38),IF(B38=10,SUMPRODUCT(--(($C$5:$C38=$C38)*($B$5:$B38&gt;=7)*($B$5:$B38&lt;=9)),$AI$5:$AI38),0)))))</f>
        <v/>
      </c>
      <c r="AK38" s="12">
        <f>AK37+AI38-AJ38</f>
        <v/>
      </c>
      <c r="AL38" s="12">
        <f>IF(ProviderDelay&gt;=1,S37*BlendedProvPayEss+T37*BlendedProvPayPrem+U37*BlendedProvPayElite+V37*BlendedProvPayEss+W37*BlendedProvPayPrem+X37*BlendedProvPayElite,S38*BlendedProvPayEss+T38*BlendedProvPayPrem+U38*BlendedProvPayElite+V38*BlendedProvPayEss+W38*BlendedProvPayPrem+X38*BlendedProvPayElite)</f>
        <v/>
      </c>
      <c r="AM38" s="12">
        <f>AE38*PaymentFee</f>
        <v/>
      </c>
      <c r="AN38" s="12">
        <f>Y38*OpsAI</f>
        <v/>
      </c>
      <c r="AO38" s="12">
        <f>MonthlyFixed</f>
        <v/>
      </c>
      <c r="AP38" s="12">
        <f>I38*ReferralReward</f>
        <v/>
      </c>
      <c r="AQ38" s="12">
        <f>G38</f>
        <v/>
      </c>
      <c r="AR38" s="9">
        <f>AH38-AL38-AM38-AN38-AO38-AP38-AQ38</f>
        <v/>
      </c>
      <c r="AS38" s="9">
        <f>AS37+AE38-(AL38+AM38+AN38+AO38+AP38+AQ38+AJ38)</f>
        <v/>
      </c>
      <c r="AT38" s="12">
        <f>IF(Y38&gt;0,Z38/Y38,0)</f>
        <v/>
      </c>
      <c r="AU38" s="11">
        <f>IF(Y37&gt;0,MAX(0,(Y37+J38-Y38)/Y37),0)</f>
        <v/>
      </c>
    </row>
    <row r="39">
      <c r="A39" s="12" t="n">
        <v>35</v>
      </c>
      <c r="B39" s="12">
        <f>MOD(A39-1+LaunchMonth-1,12)+1</f>
        <v/>
      </c>
      <c r="C39" s="12">
        <f>INT((A39-1+LaunchMonth-1)/12)+1</f>
        <v/>
      </c>
      <c r="D39" s="12">
        <f>VLOOKUP(B39,SeasonTable,2,FALSE)</f>
        <v/>
      </c>
      <c r="E39" s="12">
        <f>(1+InflationRate)^INT((A39-1)/12)</f>
        <v/>
      </c>
      <c r="F39" s="11">
        <f>MonthlyChurn*VLOOKUP(B39,ChurnSeasonTable,4,FALSE)</f>
        <v/>
      </c>
      <c r="G39" s="12">
        <f>MIN(MAX(MktMin19plus,AE38*MktPct19plus),MAX(0,AS38-CashBuffer))</f>
        <v/>
      </c>
      <c r="H39" s="12">
        <f>IF(G39&gt;0,MAX(1,ROUND(G39/CAC*D39,0)),0)</f>
        <v/>
      </c>
      <c r="I39" s="12">
        <f>IF(H39&gt;0,ROUND(H39*ReferralMix/(1-ReferralMix),0),0)</f>
        <v/>
      </c>
      <c r="J39" s="12">
        <f>H39+I39</f>
        <v/>
      </c>
      <c r="K39" s="12">
        <f>ROUND(J39*(1-AnnualMix),0)</f>
        <v/>
      </c>
      <c r="L39" s="12">
        <f>J39-K39</f>
        <v/>
      </c>
      <c r="M39" s="12">
        <f>ROUND(K39*EssentialMix,0)</f>
        <v/>
      </c>
      <c r="N39" s="12">
        <f>ROUND(K39*PremiumMix,0)</f>
        <v/>
      </c>
      <c r="O39" s="12">
        <f>K39-M39-N39</f>
        <v/>
      </c>
      <c r="P39" s="12">
        <f>ROUND(L39*EssentialMix,0)</f>
        <v/>
      </c>
      <c r="Q39" s="12">
        <f>ROUND(L39*PremiumMix,0)</f>
        <v/>
      </c>
      <c r="R39" s="12">
        <f>L39-P39-Q39</f>
        <v/>
      </c>
      <c r="S39" s="12">
        <f>M39+M38+M37+MAX(0,S38-M38-M37)*(1-F39)</f>
        <v/>
      </c>
      <c r="T39" s="12">
        <f>N39+N38+N37+MAX(0,T38-N38-N37)*(1-F39)</f>
        <v/>
      </c>
      <c r="U39" s="12">
        <f>O39+O38+O37+MAX(0,U38-O38-O37)*(1-F39)</f>
        <v/>
      </c>
      <c r="V39" s="12">
        <f>V38+P39-P27*(AnnualChurn*VLOOKUP(B39,ChurnSeasonTable,4,FALSE))*POWER(1-(AnnualChurn*VLOOKUP(B39,ChurnSeasonTable,4,FALSE)),0)+P15*(AnnualChurn*VLOOKUP(B39,ChurnSeasonTable,4,FALSE))*POWER(1-(AnnualChurn*VLOOKUP(B39,ChurnSeasonTable,4,FALSE)),1)</f>
        <v/>
      </c>
      <c r="W39" s="12">
        <f>W38+Q39-Q27*(AnnualChurn*VLOOKUP(B39,ChurnSeasonTable,4,FALSE))*POWER(1-(AnnualChurn*VLOOKUP(B39,ChurnSeasonTable,4,FALSE)),0)+Q15*(AnnualChurn*VLOOKUP(B39,ChurnSeasonTable,4,FALSE))*POWER(1-(AnnualChurn*VLOOKUP(B39,ChurnSeasonTable,4,FALSE)),1)</f>
        <v/>
      </c>
      <c r="X39" s="12">
        <f>X38+R39-R27*(AnnualChurn*VLOOKUP(B39,ChurnSeasonTable,4,FALSE))*POWER(1-(AnnualChurn*VLOOKUP(B39,ChurnSeasonTable,4,FALSE)),0)+R15*(AnnualChurn*VLOOKUP(B39,ChurnSeasonTable,4,FALSE))*POWER(1-(AnnualChurn*VLOOKUP(B39,ChurnSeasonTable,4,FALSE)),1)</f>
        <v/>
      </c>
      <c r="Y39" s="12">
        <f>S39+T39+U39+V39+W39+X39</f>
        <v/>
      </c>
      <c r="Z39" s="9">
        <f>S39*BlendedPriceEssMonthly*E39+T39*BlendedPricePremMonthly*E39+U39*BlendedPriceEliteMonthly*E39+V39*BlendedPriceEssAnnual*E39/12+W39*BlendedPricePremAnnual*E39/12+X39*BlendedPriceEliteAnnual*E39/12</f>
        <v/>
      </c>
      <c r="AA39" s="9">
        <f>Z39*12</f>
        <v/>
      </c>
      <c r="AB39" s="12">
        <f>S39*BlendedPriceEssMonthly*E39+T39*BlendedPricePremMonthly*E39+U39*BlendedPriceEliteMonthly*E39</f>
        <v/>
      </c>
      <c r="AC39" s="12">
        <f>P39*BlendedPriceEssAnnual*E39+Q39*BlendedPricePremAnnual*E39+R39*BlendedPriceEliteAnnual*E39</f>
        <v/>
      </c>
      <c r="AD39" s="12">
        <f>P27*POWER(1-(AnnualChurn*VLOOKUP(B39,ChurnSeasonTable,4,FALSE)),1)*BlendedPriceEssAnnual*E39+P15*POWER(1-(AnnualChurn*VLOOKUP(B39,ChurnSeasonTable,4,FALSE)),2)*BlendedPriceEssAnnual*E39+Q27*POWER(1-(AnnualChurn*VLOOKUP(B39,ChurnSeasonTable,4,FALSE)),1)*BlendedPricePremAnnual*E39+Q15*POWER(1-(AnnualChurn*VLOOKUP(B39,ChurnSeasonTable,4,FALSE)),2)*BlendedPricePremAnnual*E39+R27*POWER(1-(AnnualChurn*VLOOKUP(B39,ChurnSeasonTable,4,FALSE)),1)*BlendedPriceEliteAnnual*E39+R15*POWER(1-(AnnualChurn*VLOOKUP(B39,ChurnSeasonTable,4,FALSE)),2)*BlendedPriceEliteAnnual*E39</f>
        <v/>
      </c>
      <c r="AE39" s="9">
        <f>AB39+AC39+AD39</f>
        <v/>
      </c>
      <c r="AF39" s="12">
        <f>SUM(AE28:AE39)</f>
        <v/>
      </c>
      <c r="AG39" s="12">
        <f>OR(AG38,IF(VATAgentMode,SUM($AE28:$AE39)-SUM($AL28:$AL39)&gt;=VATThreshold,SUM($AE28:$AE39)&gt;=VATThreshold))</f>
        <v/>
      </c>
      <c r="AH39" s="9">
        <f>IF(AG39,IF(VATAgentMode,AE39-((AE39-AL39)-(AE39-AL39)/(1+VATRate)),AE39/(1+VATRate)),AE39)</f>
        <v/>
      </c>
      <c r="AI39" s="12">
        <f>AE39-AH39</f>
        <v/>
      </c>
      <c r="AJ39" s="12">
        <f>IF(AG39=0,0,IF(B39=1,SUMPRODUCT(--(($C$5:$C39=$C39-1)*($B$5:$B39&gt;=10)*($B$5:$B39&lt;=12)),$AI$5:$AI39),IF(B39=4,SUMPRODUCT(--(($C$5:$C39=$C39)*($B$5:$B39&gt;=1)*($B$5:$B39&lt;=3)),$AI$5:$AI39),IF(B39=7,SUMPRODUCT(--(($C$5:$C39=$C39)*($B$5:$B39&gt;=4)*($B$5:$B39&lt;=6)),$AI$5:$AI39),IF(B39=10,SUMPRODUCT(--(($C$5:$C39=$C39)*($B$5:$B39&gt;=7)*($B$5:$B39&lt;=9)),$AI$5:$AI39),0)))))</f>
        <v/>
      </c>
      <c r="AK39" s="12">
        <f>AK38+AI39-AJ39</f>
        <v/>
      </c>
      <c r="AL39" s="12">
        <f>IF(ProviderDelay&gt;=1,S38*BlendedProvPayEss+T38*BlendedProvPayPrem+U38*BlendedProvPayElite+V38*BlendedProvPayEss+W38*BlendedProvPayPrem+X38*BlendedProvPayElite,S39*BlendedProvPayEss+T39*BlendedProvPayPrem+U39*BlendedProvPayElite+V39*BlendedProvPayEss+W39*BlendedProvPayPrem+X39*BlendedProvPayElite)</f>
        <v/>
      </c>
      <c r="AM39" s="12">
        <f>AE39*PaymentFee</f>
        <v/>
      </c>
      <c r="AN39" s="12">
        <f>Y39*OpsAI</f>
        <v/>
      </c>
      <c r="AO39" s="12">
        <f>MonthlyFixed</f>
        <v/>
      </c>
      <c r="AP39" s="12">
        <f>I39*ReferralReward</f>
        <v/>
      </c>
      <c r="AQ39" s="12">
        <f>G39</f>
        <v/>
      </c>
      <c r="AR39" s="9">
        <f>AH39-AL39-AM39-AN39-AO39-AP39-AQ39</f>
        <v/>
      </c>
      <c r="AS39" s="9">
        <f>AS38+AE39-(AL39+AM39+AN39+AO39+AP39+AQ39+AJ39)</f>
        <v/>
      </c>
      <c r="AT39" s="12">
        <f>IF(Y39&gt;0,Z39/Y39,0)</f>
        <v/>
      </c>
      <c r="AU39" s="11">
        <f>IF(Y38&gt;0,MAX(0,(Y38+J39-Y39)/Y38),0)</f>
        <v/>
      </c>
    </row>
    <row r="40">
      <c r="A40" s="12" t="n">
        <v>36</v>
      </c>
      <c r="B40" s="12">
        <f>MOD(A40-1+LaunchMonth-1,12)+1</f>
        <v/>
      </c>
      <c r="C40" s="12">
        <f>INT((A40-1+LaunchMonth-1)/12)+1</f>
        <v/>
      </c>
      <c r="D40" s="12">
        <f>VLOOKUP(B40,SeasonTable,2,FALSE)</f>
        <v/>
      </c>
      <c r="E40" s="12">
        <f>(1+InflationRate)^INT((A40-1)/12)</f>
        <v/>
      </c>
      <c r="F40" s="11">
        <f>MonthlyChurn*VLOOKUP(B40,ChurnSeasonTable,4,FALSE)</f>
        <v/>
      </c>
      <c r="G40" s="12">
        <f>MIN(MAX(MktMin19plus,AE39*MktPct19plus),MAX(0,AS39-CashBuffer))</f>
        <v/>
      </c>
      <c r="H40" s="12">
        <f>IF(G40&gt;0,MAX(1,ROUND(G40/CAC*D40,0)),0)</f>
        <v/>
      </c>
      <c r="I40" s="12">
        <f>IF(H40&gt;0,ROUND(H40*ReferralMix/(1-ReferralMix),0),0)</f>
        <v/>
      </c>
      <c r="J40" s="12">
        <f>H40+I40</f>
        <v/>
      </c>
      <c r="K40" s="12">
        <f>ROUND(J40*(1-AnnualMix),0)</f>
        <v/>
      </c>
      <c r="L40" s="12">
        <f>J40-K40</f>
        <v/>
      </c>
      <c r="M40" s="12">
        <f>ROUND(K40*EssentialMix,0)</f>
        <v/>
      </c>
      <c r="N40" s="12">
        <f>ROUND(K40*PremiumMix,0)</f>
        <v/>
      </c>
      <c r="O40" s="12">
        <f>K40-M40-N40</f>
        <v/>
      </c>
      <c r="P40" s="12">
        <f>ROUND(L40*EssentialMix,0)</f>
        <v/>
      </c>
      <c r="Q40" s="12">
        <f>ROUND(L40*PremiumMix,0)</f>
        <v/>
      </c>
      <c r="R40" s="12">
        <f>L40-P40-Q40</f>
        <v/>
      </c>
      <c r="S40" s="12">
        <f>M40+M39+M38+MAX(0,S39-M39-M38)*(1-F40)</f>
        <v/>
      </c>
      <c r="T40" s="12">
        <f>N40+N39+N38+MAX(0,T39-N39-N38)*(1-F40)</f>
        <v/>
      </c>
      <c r="U40" s="12">
        <f>O40+O39+O38+MAX(0,U39-O39-O38)*(1-F40)</f>
        <v/>
      </c>
      <c r="V40" s="12">
        <f>V39+P40-P28*(AnnualChurn*VLOOKUP(B40,ChurnSeasonTable,4,FALSE))*POWER(1-(AnnualChurn*VLOOKUP(B40,ChurnSeasonTable,4,FALSE)),0)+P16*(AnnualChurn*VLOOKUP(B40,ChurnSeasonTable,4,FALSE))*POWER(1-(AnnualChurn*VLOOKUP(B40,ChurnSeasonTable,4,FALSE)),1)</f>
        <v/>
      </c>
      <c r="W40" s="12">
        <f>W39+Q40-Q28*(AnnualChurn*VLOOKUP(B40,ChurnSeasonTable,4,FALSE))*POWER(1-(AnnualChurn*VLOOKUP(B40,ChurnSeasonTable,4,FALSE)),0)+Q16*(AnnualChurn*VLOOKUP(B40,ChurnSeasonTable,4,FALSE))*POWER(1-(AnnualChurn*VLOOKUP(B40,ChurnSeasonTable,4,FALSE)),1)</f>
        <v/>
      </c>
      <c r="X40" s="12">
        <f>X39+R40-R28*(AnnualChurn*VLOOKUP(B40,ChurnSeasonTable,4,FALSE))*POWER(1-(AnnualChurn*VLOOKUP(B40,ChurnSeasonTable,4,FALSE)),0)+R16*(AnnualChurn*VLOOKUP(B40,ChurnSeasonTable,4,FALSE))*POWER(1-(AnnualChurn*VLOOKUP(B40,ChurnSeasonTable,4,FALSE)),1)</f>
        <v/>
      </c>
      <c r="Y40" s="12">
        <f>S40+T40+U40+V40+W40+X40</f>
        <v/>
      </c>
      <c r="Z40" s="9">
        <f>S40*BlendedPriceEssMonthly*E40+T40*BlendedPricePremMonthly*E40+U40*BlendedPriceEliteMonthly*E40+V40*BlendedPriceEssAnnual*E40/12+W40*BlendedPricePremAnnual*E40/12+X40*BlendedPriceEliteAnnual*E40/12</f>
        <v/>
      </c>
      <c r="AA40" s="9">
        <f>Z40*12</f>
        <v/>
      </c>
      <c r="AB40" s="12">
        <f>S40*BlendedPriceEssMonthly*E40+T40*BlendedPricePremMonthly*E40+U40*BlendedPriceEliteMonthly*E40</f>
        <v/>
      </c>
      <c r="AC40" s="12">
        <f>P40*BlendedPriceEssAnnual*E40+Q40*BlendedPricePremAnnual*E40+R40*BlendedPriceEliteAnnual*E40</f>
        <v/>
      </c>
      <c r="AD40" s="12">
        <f>P28*POWER(1-(AnnualChurn*VLOOKUP(B40,ChurnSeasonTable,4,FALSE)),1)*BlendedPriceEssAnnual*E40+P16*POWER(1-(AnnualChurn*VLOOKUP(B40,ChurnSeasonTable,4,FALSE)),2)*BlendedPriceEssAnnual*E40+Q28*POWER(1-(AnnualChurn*VLOOKUP(B40,ChurnSeasonTable,4,FALSE)),1)*BlendedPricePremAnnual*E40+Q16*POWER(1-(AnnualChurn*VLOOKUP(B40,ChurnSeasonTable,4,FALSE)),2)*BlendedPricePremAnnual*E40+R28*POWER(1-(AnnualChurn*VLOOKUP(B40,ChurnSeasonTable,4,FALSE)),1)*BlendedPriceEliteAnnual*E40+R16*POWER(1-(AnnualChurn*VLOOKUP(B40,ChurnSeasonTable,4,FALSE)),2)*BlendedPriceEliteAnnual*E40</f>
        <v/>
      </c>
      <c r="AE40" s="9">
        <f>AB40+AC40+AD40</f>
        <v/>
      </c>
      <c r="AF40" s="12">
        <f>SUM(AE29:AE40)</f>
        <v/>
      </c>
      <c r="AG40" s="12">
        <f>OR(AG39,IF(VATAgentMode,SUM($AE29:$AE40)-SUM($AL29:$AL40)&gt;=VATThreshold,SUM($AE29:$AE40)&gt;=VATThreshold))</f>
        <v/>
      </c>
      <c r="AH40" s="9">
        <f>IF(AG40,IF(VATAgentMode,AE40-((AE40-AL40)-(AE40-AL40)/(1+VATRate)),AE40/(1+VATRate)),AE40)</f>
        <v/>
      </c>
      <c r="AI40" s="12">
        <f>AE40-AH40</f>
        <v/>
      </c>
      <c r="AJ40" s="12">
        <f>IF(AG40=0,0,IF(B40=1,SUMPRODUCT(--(($C$5:$C40=$C40-1)*($B$5:$B40&gt;=10)*($B$5:$B40&lt;=12)),$AI$5:$AI40),IF(B40=4,SUMPRODUCT(--(($C$5:$C40=$C40)*($B$5:$B40&gt;=1)*($B$5:$B40&lt;=3)),$AI$5:$AI40),IF(B40=7,SUMPRODUCT(--(($C$5:$C40=$C40)*($B$5:$B40&gt;=4)*($B$5:$B40&lt;=6)),$AI$5:$AI40),IF(B40=10,SUMPRODUCT(--(($C$5:$C40=$C40)*($B$5:$B40&gt;=7)*($B$5:$B40&lt;=9)),$AI$5:$AI40),0)))))</f>
        <v/>
      </c>
      <c r="AK40" s="12">
        <f>AK39+AI40-AJ40</f>
        <v/>
      </c>
      <c r="AL40" s="12">
        <f>IF(ProviderDelay&gt;=1,S39*BlendedProvPayEss+T39*BlendedProvPayPrem+U39*BlendedProvPayElite+V39*BlendedProvPayEss+W39*BlendedProvPayPrem+X39*BlendedProvPayElite,S40*BlendedProvPayEss+T40*BlendedProvPayPrem+U40*BlendedProvPayElite+V40*BlendedProvPayEss+W40*BlendedProvPayPrem+X40*BlendedProvPayElite)</f>
        <v/>
      </c>
      <c r="AM40" s="12">
        <f>AE40*PaymentFee</f>
        <v/>
      </c>
      <c r="AN40" s="12">
        <f>Y40*OpsAI</f>
        <v/>
      </c>
      <c r="AO40" s="12">
        <f>MonthlyFixed</f>
        <v/>
      </c>
      <c r="AP40" s="12">
        <f>I40*ReferralReward</f>
        <v/>
      </c>
      <c r="AQ40" s="12">
        <f>G40</f>
        <v/>
      </c>
      <c r="AR40" s="9">
        <f>AH40-AL40-AM40-AN40-AO40-AP40-AQ40</f>
        <v/>
      </c>
      <c r="AS40" s="9">
        <f>AS39+AE40-(AL40+AM40+AN40+AO40+AP40+AQ40+AJ40)</f>
        <v/>
      </c>
      <c r="AT40" s="12">
        <f>IF(Y40&gt;0,Z40/Y40,0)</f>
        <v/>
      </c>
      <c r="AU40" s="11">
        <f>IF(Y39&gt;0,MAX(0,(Y39+J40-Y40)/Y39),0)</f>
        <v/>
      </c>
    </row>
    <row r="41">
      <c r="A41" s="12" t="n">
        <v>37</v>
      </c>
      <c r="B41" s="12">
        <f>MOD(A41-1+LaunchMonth-1,12)+1</f>
        <v/>
      </c>
      <c r="C41" s="12">
        <f>INT((A41-1+LaunchMonth-1)/12)+1</f>
        <v/>
      </c>
      <c r="D41" s="12">
        <f>VLOOKUP(B41,SeasonTable,2,FALSE)</f>
        <v/>
      </c>
      <c r="E41" s="12">
        <f>(1+InflationRate)^INT((A41-1)/12)</f>
        <v/>
      </c>
      <c r="F41" s="11">
        <f>MonthlyChurn*VLOOKUP(B41,ChurnSeasonTable,4,FALSE)</f>
        <v/>
      </c>
      <c r="G41" s="12">
        <f>MIN(MAX(MktMin19plus,AE40*MktPct19plus),MAX(0,AS40-CashBuffer))</f>
        <v/>
      </c>
      <c r="H41" s="12">
        <f>IF(G41&gt;0,MAX(1,ROUND(G41/CAC*D41,0)),0)</f>
        <v/>
      </c>
      <c r="I41" s="12">
        <f>IF(H41&gt;0,ROUND(H41*ReferralMix/(1-ReferralMix),0),0)</f>
        <v/>
      </c>
      <c r="J41" s="12">
        <f>H41+I41</f>
        <v/>
      </c>
      <c r="K41" s="12">
        <f>ROUND(J41*(1-AnnualMix),0)</f>
        <v/>
      </c>
      <c r="L41" s="12">
        <f>J41-K41</f>
        <v/>
      </c>
      <c r="M41" s="12">
        <f>ROUND(K41*EssentialMix,0)</f>
        <v/>
      </c>
      <c r="N41" s="12">
        <f>ROUND(K41*PremiumMix,0)</f>
        <v/>
      </c>
      <c r="O41" s="12">
        <f>K41-M41-N41</f>
        <v/>
      </c>
      <c r="P41" s="12">
        <f>ROUND(L41*EssentialMix,0)</f>
        <v/>
      </c>
      <c r="Q41" s="12">
        <f>ROUND(L41*PremiumMix,0)</f>
        <v/>
      </c>
      <c r="R41" s="12">
        <f>L41-P41-Q41</f>
        <v/>
      </c>
      <c r="S41" s="12">
        <f>M41+M40+M39+MAX(0,S40-M40-M39)*(1-F41)</f>
        <v/>
      </c>
      <c r="T41" s="12">
        <f>N41+N40+N39+MAX(0,T40-N40-N39)*(1-F41)</f>
        <v/>
      </c>
      <c r="U41" s="12">
        <f>O41+O40+O39+MAX(0,U40-O40-O39)*(1-F41)</f>
        <v/>
      </c>
      <c r="V41" s="12">
        <f>V40+P41-P29*(AnnualChurn*VLOOKUP(B41,ChurnSeasonTable,4,FALSE))*POWER(1-(AnnualChurn*VLOOKUP(B41,ChurnSeasonTable,4,FALSE)),0)+P17*(AnnualChurn*VLOOKUP(B41,ChurnSeasonTable,4,FALSE))*POWER(1-(AnnualChurn*VLOOKUP(B41,ChurnSeasonTable,4,FALSE)),1)+P5*(AnnualChurn*VLOOKUP(B41,ChurnSeasonTable,4,FALSE))*POWER(1-(AnnualChurn*VLOOKUP(B41,ChurnSeasonTable,4,FALSE)),2)</f>
        <v/>
      </c>
      <c r="W41" s="12">
        <f>W40+Q41-Q29*(AnnualChurn*VLOOKUP(B41,ChurnSeasonTable,4,FALSE))*POWER(1-(AnnualChurn*VLOOKUP(B41,ChurnSeasonTable,4,FALSE)),0)+Q17*(AnnualChurn*VLOOKUP(B41,ChurnSeasonTable,4,FALSE))*POWER(1-(AnnualChurn*VLOOKUP(B41,ChurnSeasonTable,4,FALSE)),1)+Q5*(AnnualChurn*VLOOKUP(B41,ChurnSeasonTable,4,FALSE))*POWER(1-(AnnualChurn*VLOOKUP(B41,ChurnSeasonTable,4,FALSE)),2)</f>
        <v/>
      </c>
      <c r="X41" s="12">
        <f>X40+R41-R29*(AnnualChurn*VLOOKUP(B41,ChurnSeasonTable,4,FALSE))*POWER(1-(AnnualChurn*VLOOKUP(B41,ChurnSeasonTable,4,FALSE)),0)+R17*(AnnualChurn*VLOOKUP(B41,ChurnSeasonTable,4,FALSE))*POWER(1-(AnnualChurn*VLOOKUP(B41,ChurnSeasonTable,4,FALSE)),1)+R5*(AnnualChurn*VLOOKUP(B41,ChurnSeasonTable,4,FALSE))*POWER(1-(AnnualChurn*VLOOKUP(B41,ChurnSeasonTable,4,FALSE)),2)</f>
        <v/>
      </c>
      <c r="Y41" s="12">
        <f>S41+T41+U41+V41+W41+X41</f>
        <v/>
      </c>
      <c r="Z41" s="9">
        <f>S41*BlendedPriceEssMonthly*E41+T41*BlendedPricePremMonthly*E41+U41*BlendedPriceEliteMonthly*E41+V41*BlendedPriceEssAnnual*E41/12+W41*BlendedPricePremAnnual*E41/12+X41*BlendedPriceEliteAnnual*E41/12</f>
        <v/>
      </c>
      <c r="AA41" s="9">
        <f>Z41*12</f>
        <v/>
      </c>
      <c r="AB41" s="12">
        <f>S41*BlendedPriceEssMonthly*E41+T41*BlendedPricePremMonthly*E41+U41*BlendedPriceEliteMonthly*E41</f>
        <v/>
      </c>
      <c r="AC41" s="12">
        <f>P41*BlendedPriceEssAnnual*E41+Q41*BlendedPricePremAnnual*E41+R41*BlendedPriceEliteAnnual*E41</f>
        <v/>
      </c>
      <c r="AD41" s="12">
        <f>P29*POWER(1-(AnnualChurn*VLOOKUP(B41,ChurnSeasonTable,4,FALSE)),1)*BlendedPriceEssAnnual*E41+P17*POWER(1-(AnnualChurn*VLOOKUP(B41,ChurnSeasonTable,4,FALSE)),2)*BlendedPriceEssAnnual*E41+P5*POWER(1-(AnnualChurn*VLOOKUP(B41,ChurnSeasonTable,4,FALSE)),3)*BlendedPriceEssAnnual*E41+Q29*POWER(1-(AnnualChurn*VLOOKUP(B41,ChurnSeasonTable,4,FALSE)),1)*BlendedPricePremAnnual*E41+Q17*POWER(1-(AnnualChurn*VLOOKUP(B41,ChurnSeasonTable,4,FALSE)),2)*BlendedPricePremAnnual*E41+Q5*POWER(1-(AnnualChurn*VLOOKUP(B41,ChurnSeasonTable,4,FALSE)),3)*BlendedPricePremAnnual*E41+R29*POWER(1-(AnnualChurn*VLOOKUP(B41,ChurnSeasonTable,4,FALSE)),1)*BlendedPriceEliteAnnual*E41+R17*POWER(1-(AnnualChurn*VLOOKUP(B41,ChurnSeasonTable,4,FALSE)),2)*BlendedPriceEliteAnnual*E41+R5*POWER(1-(AnnualChurn*VLOOKUP(B41,ChurnSeasonTable,4,FALSE)),3)*BlendedPriceEliteAnnual*E41</f>
        <v/>
      </c>
      <c r="AE41" s="9">
        <f>AB41+AC41+AD41</f>
        <v/>
      </c>
      <c r="AF41" s="12">
        <f>SUM(AE30:AE41)</f>
        <v/>
      </c>
      <c r="AG41" s="12">
        <f>OR(AG40,IF(VATAgentMode,SUM($AE30:$AE41)-SUM($AL30:$AL41)&gt;=VATThreshold,SUM($AE30:$AE41)&gt;=VATThreshold))</f>
        <v/>
      </c>
      <c r="AH41" s="9">
        <f>IF(AG41,IF(VATAgentMode,AE41-((AE41-AL41)-(AE41-AL41)/(1+VATRate)),AE41/(1+VATRate)),AE41)</f>
        <v/>
      </c>
      <c r="AI41" s="12">
        <f>AE41-AH41</f>
        <v/>
      </c>
      <c r="AJ41" s="12">
        <f>IF(AG41=0,0,IF(B41=1,SUMPRODUCT(--(($C$5:$C41=$C41-1)*($B$5:$B41&gt;=10)*($B$5:$B41&lt;=12)),$AI$5:$AI41),IF(B41=4,SUMPRODUCT(--(($C$5:$C41=$C41)*($B$5:$B41&gt;=1)*($B$5:$B41&lt;=3)),$AI$5:$AI41),IF(B41=7,SUMPRODUCT(--(($C$5:$C41=$C41)*($B$5:$B41&gt;=4)*($B$5:$B41&lt;=6)),$AI$5:$AI41),IF(B41=10,SUMPRODUCT(--(($C$5:$C41=$C41)*($B$5:$B41&gt;=7)*($B$5:$B41&lt;=9)),$AI$5:$AI41),0)))))</f>
        <v/>
      </c>
      <c r="AK41" s="12">
        <f>AK40+AI41-AJ41</f>
        <v/>
      </c>
      <c r="AL41" s="12">
        <f>IF(ProviderDelay&gt;=1,S40*BlendedProvPayEss+T40*BlendedProvPayPrem+U40*BlendedProvPayElite+V40*BlendedProvPayEss+W40*BlendedProvPayPrem+X40*BlendedProvPayElite,S41*BlendedProvPayEss+T41*BlendedProvPayPrem+U41*BlendedProvPayElite+V41*BlendedProvPayEss+W41*BlendedProvPayPrem+X41*BlendedProvPayElite)</f>
        <v/>
      </c>
      <c r="AM41" s="12">
        <f>AE41*PaymentFee</f>
        <v/>
      </c>
      <c r="AN41" s="12">
        <f>Y41*OpsAI</f>
        <v/>
      </c>
      <c r="AO41" s="12">
        <f>MonthlyFixed</f>
        <v/>
      </c>
      <c r="AP41" s="12">
        <f>I41*ReferralReward</f>
        <v/>
      </c>
      <c r="AQ41" s="12">
        <f>G41</f>
        <v/>
      </c>
      <c r="AR41" s="9">
        <f>AH41-AL41-AM41-AN41-AO41-AP41-AQ41</f>
        <v/>
      </c>
      <c r="AS41" s="9">
        <f>AS40+AE41-(AL41+AM41+AN41+AO41+AP41+AQ41+AJ41)</f>
        <v/>
      </c>
      <c r="AT41" s="12">
        <f>IF(Y41&gt;0,Z41/Y41,0)</f>
        <v/>
      </c>
      <c r="AU41" s="11">
        <f>IF(Y40&gt;0,MAX(0,(Y40+J41-Y41)/Y40),0)</f>
        <v/>
      </c>
    </row>
    <row r="42">
      <c r="A42" s="12" t="n">
        <v>38</v>
      </c>
      <c r="B42" s="12">
        <f>MOD(A42-1+LaunchMonth-1,12)+1</f>
        <v/>
      </c>
      <c r="C42" s="12">
        <f>INT((A42-1+LaunchMonth-1)/12)+1</f>
        <v/>
      </c>
      <c r="D42" s="12">
        <f>VLOOKUP(B42,SeasonTable,2,FALSE)</f>
        <v/>
      </c>
      <c r="E42" s="12">
        <f>(1+InflationRate)^INT((A42-1)/12)</f>
        <v/>
      </c>
      <c r="F42" s="11">
        <f>MonthlyChurn*VLOOKUP(B42,ChurnSeasonTable,4,FALSE)</f>
        <v/>
      </c>
      <c r="G42" s="12">
        <f>MIN(MAX(MktMin19plus,AE41*MktPct19plus),MAX(0,AS41-CashBuffer))</f>
        <v/>
      </c>
      <c r="H42" s="12">
        <f>IF(G42&gt;0,MAX(1,ROUND(G42/CAC*D42,0)),0)</f>
        <v/>
      </c>
      <c r="I42" s="12">
        <f>IF(H42&gt;0,ROUND(H42*ReferralMix/(1-ReferralMix),0),0)</f>
        <v/>
      </c>
      <c r="J42" s="12">
        <f>H42+I42</f>
        <v/>
      </c>
      <c r="K42" s="12">
        <f>ROUND(J42*(1-AnnualMix),0)</f>
        <v/>
      </c>
      <c r="L42" s="12">
        <f>J42-K42</f>
        <v/>
      </c>
      <c r="M42" s="12">
        <f>ROUND(K42*EssentialMix,0)</f>
        <v/>
      </c>
      <c r="N42" s="12">
        <f>ROUND(K42*PremiumMix,0)</f>
        <v/>
      </c>
      <c r="O42" s="12">
        <f>K42-M42-N42</f>
        <v/>
      </c>
      <c r="P42" s="12">
        <f>ROUND(L42*EssentialMix,0)</f>
        <v/>
      </c>
      <c r="Q42" s="12">
        <f>ROUND(L42*PremiumMix,0)</f>
        <v/>
      </c>
      <c r="R42" s="12">
        <f>L42-P42-Q42</f>
        <v/>
      </c>
      <c r="S42" s="12">
        <f>M42+M41+M40+MAX(0,S41-M41-M40)*(1-F42)</f>
        <v/>
      </c>
      <c r="T42" s="12">
        <f>N42+N41+N40+MAX(0,T41-N41-N40)*(1-F42)</f>
        <v/>
      </c>
      <c r="U42" s="12">
        <f>O42+O41+O40+MAX(0,U41-O41-O40)*(1-F42)</f>
        <v/>
      </c>
      <c r="V42" s="12">
        <f>V41+P42-P30*(AnnualChurn*VLOOKUP(B42,ChurnSeasonTable,4,FALSE))*POWER(1-(AnnualChurn*VLOOKUP(B42,ChurnSeasonTable,4,FALSE)),0)+P18*(AnnualChurn*VLOOKUP(B42,ChurnSeasonTable,4,FALSE))*POWER(1-(AnnualChurn*VLOOKUP(B42,ChurnSeasonTable,4,FALSE)),1)+P6*(AnnualChurn*VLOOKUP(B42,ChurnSeasonTable,4,FALSE))*POWER(1-(AnnualChurn*VLOOKUP(B42,ChurnSeasonTable,4,FALSE)),2)</f>
        <v/>
      </c>
      <c r="W42" s="12">
        <f>W41+Q42-Q30*(AnnualChurn*VLOOKUP(B42,ChurnSeasonTable,4,FALSE))*POWER(1-(AnnualChurn*VLOOKUP(B42,ChurnSeasonTable,4,FALSE)),0)+Q18*(AnnualChurn*VLOOKUP(B42,ChurnSeasonTable,4,FALSE))*POWER(1-(AnnualChurn*VLOOKUP(B42,ChurnSeasonTable,4,FALSE)),1)+Q6*(AnnualChurn*VLOOKUP(B42,ChurnSeasonTable,4,FALSE))*POWER(1-(AnnualChurn*VLOOKUP(B42,ChurnSeasonTable,4,FALSE)),2)</f>
        <v/>
      </c>
      <c r="X42" s="12">
        <f>X41+R42-R30*(AnnualChurn*VLOOKUP(B42,ChurnSeasonTable,4,FALSE))*POWER(1-(AnnualChurn*VLOOKUP(B42,ChurnSeasonTable,4,FALSE)),0)+R18*(AnnualChurn*VLOOKUP(B42,ChurnSeasonTable,4,FALSE))*POWER(1-(AnnualChurn*VLOOKUP(B42,ChurnSeasonTable,4,FALSE)),1)+R6*(AnnualChurn*VLOOKUP(B42,ChurnSeasonTable,4,FALSE))*POWER(1-(AnnualChurn*VLOOKUP(B42,ChurnSeasonTable,4,FALSE)),2)</f>
        <v/>
      </c>
      <c r="Y42" s="12">
        <f>S42+T42+U42+V42+W42+X42</f>
        <v/>
      </c>
      <c r="Z42" s="9">
        <f>S42*BlendedPriceEssMonthly*E42+T42*BlendedPricePremMonthly*E42+U42*BlendedPriceEliteMonthly*E42+V42*BlendedPriceEssAnnual*E42/12+W42*BlendedPricePremAnnual*E42/12+X42*BlendedPriceEliteAnnual*E42/12</f>
        <v/>
      </c>
      <c r="AA42" s="9">
        <f>Z42*12</f>
        <v/>
      </c>
      <c r="AB42" s="12">
        <f>S42*BlendedPriceEssMonthly*E42+T42*BlendedPricePremMonthly*E42+U42*BlendedPriceEliteMonthly*E42</f>
        <v/>
      </c>
      <c r="AC42" s="12">
        <f>P42*BlendedPriceEssAnnual*E42+Q42*BlendedPricePremAnnual*E42+R42*BlendedPriceEliteAnnual*E42</f>
        <v/>
      </c>
      <c r="AD42" s="12">
        <f>P30*POWER(1-(AnnualChurn*VLOOKUP(B42,ChurnSeasonTable,4,FALSE)),1)*BlendedPriceEssAnnual*E42+P18*POWER(1-(AnnualChurn*VLOOKUP(B42,ChurnSeasonTable,4,FALSE)),2)*BlendedPriceEssAnnual*E42+P6*POWER(1-(AnnualChurn*VLOOKUP(B42,ChurnSeasonTable,4,FALSE)),3)*BlendedPriceEssAnnual*E42+Q30*POWER(1-(AnnualChurn*VLOOKUP(B42,ChurnSeasonTable,4,FALSE)),1)*BlendedPricePremAnnual*E42+Q18*POWER(1-(AnnualChurn*VLOOKUP(B42,ChurnSeasonTable,4,FALSE)),2)*BlendedPricePremAnnual*E42+Q6*POWER(1-(AnnualChurn*VLOOKUP(B42,ChurnSeasonTable,4,FALSE)),3)*BlendedPricePremAnnual*E42+R30*POWER(1-(AnnualChurn*VLOOKUP(B42,ChurnSeasonTable,4,FALSE)),1)*BlendedPriceEliteAnnual*E42+R18*POWER(1-(AnnualChurn*VLOOKUP(B42,ChurnSeasonTable,4,FALSE)),2)*BlendedPriceEliteAnnual*E42+R6*POWER(1-(AnnualChurn*VLOOKUP(B42,ChurnSeasonTable,4,FALSE)),3)*BlendedPriceEliteAnnual*E42</f>
        <v/>
      </c>
      <c r="AE42" s="9">
        <f>AB42+AC42+AD42</f>
        <v/>
      </c>
      <c r="AF42" s="12">
        <f>SUM(AE31:AE42)</f>
        <v/>
      </c>
      <c r="AG42" s="12">
        <f>OR(AG41,IF(VATAgentMode,SUM($AE31:$AE42)-SUM($AL31:$AL42)&gt;=VATThreshold,SUM($AE31:$AE42)&gt;=VATThreshold))</f>
        <v/>
      </c>
      <c r="AH42" s="9">
        <f>IF(AG42,IF(VATAgentMode,AE42-((AE42-AL42)-(AE42-AL42)/(1+VATRate)),AE42/(1+VATRate)),AE42)</f>
        <v/>
      </c>
      <c r="AI42" s="12">
        <f>AE42-AH42</f>
        <v/>
      </c>
      <c r="AJ42" s="12">
        <f>IF(AG42=0,0,IF(B42=1,SUMPRODUCT(--(($C$5:$C42=$C42-1)*($B$5:$B42&gt;=10)*($B$5:$B42&lt;=12)),$AI$5:$AI42),IF(B42=4,SUMPRODUCT(--(($C$5:$C42=$C42)*($B$5:$B42&gt;=1)*($B$5:$B42&lt;=3)),$AI$5:$AI42),IF(B42=7,SUMPRODUCT(--(($C$5:$C42=$C42)*($B$5:$B42&gt;=4)*($B$5:$B42&lt;=6)),$AI$5:$AI42),IF(B42=10,SUMPRODUCT(--(($C$5:$C42=$C42)*($B$5:$B42&gt;=7)*($B$5:$B42&lt;=9)),$AI$5:$AI42),0)))))</f>
        <v/>
      </c>
      <c r="AK42" s="12">
        <f>AK41+AI42-AJ42</f>
        <v/>
      </c>
      <c r="AL42" s="12">
        <f>IF(ProviderDelay&gt;=1,S41*BlendedProvPayEss+T41*BlendedProvPayPrem+U41*BlendedProvPayElite+V41*BlendedProvPayEss+W41*BlendedProvPayPrem+X41*BlendedProvPayElite,S42*BlendedProvPayEss+T42*BlendedProvPayPrem+U42*BlendedProvPayElite+V42*BlendedProvPayEss+W42*BlendedProvPayPrem+X42*BlendedProvPayElite)</f>
        <v/>
      </c>
      <c r="AM42" s="12">
        <f>AE42*PaymentFee</f>
        <v/>
      </c>
      <c r="AN42" s="12">
        <f>Y42*OpsAI</f>
        <v/>
      </c>
      <c r="AO42" s="12">
        <f>MonthlyFixed</f>
        <v/>
      </c>
      <c r="AP42" s="12">
        <f>I42*ReferralReward</f>
        <v/>
      </c>
      <c r="AQ42" s="12">
        <f>G42</f>
        <v/>
      </c>
      <c r="AR42" s="9">
        <f>AH42-AL42-AM42-AN42-AO42-AP42-AQ42</f>
        <v/>
      </c>
      <c r="AS42" s="9">
        <f>AS41+AE42-(AL42+AM42+AN42+AO42+AP42+AQ42+AJ42)</f>
        <v/>
      </c>
      <c r="AT42" s="12">
        <f>IF(Y42&gt;0,Z42/Y42,0)</f>
        <v/>
      </c>
      <c r="AU42" s="11">
        <f>IF(Y41&gt;0,MAX(0,(Y41+J42-Y42)/Y41),0)</f>
        <v/>
      </c>
    </row>
    <row r="43">
      <c r="A43" s="12" t="n">
        <v>39</v>
      </c>
      <c r="B43" s="12">
        <f>MOD(A43-1+LaunchMonth-1,12)+1</f>
        <v/>
      </c>
      <c r="C43" s="12">
        <f>INT((A43-1+LaunchMonth-1)/12)+1</f>
        <v/>
      </c>
      <c r="D43" s="12">
        <f>VLOOKUP(B43,SeasonTable,2,FALSE)</f>
        <v/>
      </c>
      <c r="E43" s="12">
        <f>(1+InflationRate)^INT((A43-1)/12)</f>
        <v/>
      </c>
      <c r="F43" s="11">
        <f>MonthlyChurn*VLOOKUP(B43,ChurnSeasonTable,4,FALSE)</f>
        <v/>
      </c>
      <c r="G43" s="12">
        <f>MIN(MAX(MktMin19plus,AE42*MktPct19plus),MAX(0,AS42-CashBuffer))</f>
        <v/>
      </c>
      <c r="H43" s="12">
        <f>IF(G43&gt;0,MAX(1,ROUND(G43/CAC*D43,0)),0)</f>
        <v/>
      </c>
      <c r="I43" s="12">
        <f>IF(H43&gt;0,ROUND(H43*ReferralMix/(1-ReferralMix),0),0)</f>
        <v/>
      </c>
      <c r="J43" s="12">
        <f>H43+I43</f>
        <v/>
      </c>
      <c r="K43" s="12">
        <f>ROUND(J43*(1-AnnualMix),0)</f>
        <v/>
      </c>
      <c r="L43" s="12">
        <f>J43-K43</f>
        <v/>
      </c>
      <c r="M43" s="12">
        <f>ROUND(K43*EssentialMix,0)</f>
        <v/>
      </c>
      <c r="N43" s="12">
        <f>ROUND(K43*PremiumMix,0)</f>
        <v/>
      </c>
      <c r="O43" s="12">
        <f>K43-M43-N43</f>
        <v/>
      </c>
      <c r="P43" s="12">
        <f>ROUND(L43*EssentialMix,0)</f>
        <v/>
      </c>
      <c r="Q43" s="12">
        <f>ROUND(L43*PremiumMix,0)</f>
        <v/>
      </c>
      <c r="R43" s="12">
        <f>L43-P43-Q43</f>
        <v/>
      </c>
      <c r="S43" s="12">
        <f>M43+M42+M41+MAX(0,S42-M42-M41)*(1-F43)</f>
        <v/>
      </c>
      <c r="T43" s="12">
        <f>N43+N42+N41+MAX(0,T42-N42-N41)*(1-F43)</f>
        <v/>
      </c>
      <c r="U43" s="12">
        <f>O43+O42+O41+MAX(0,U42-O42-O41)*(1-F43)</f>
        <v/>
      </c>
      <c r="V43" s="12">
        <f>V42+P43-P31*(AnnualChurn*VLOOKUP(B43,ChurnSeasonTable,4,FALSE))*POWER(1-(AnnualChurn*VLOOKUP(B43,ChurnSeasonTable,4,FALSE)),0)+P19*(AnnualChurn*VLOOKUP(B43,ChurnSeasonTable,4,FALSE))*POWER(1-(AnnualChurn*VLOOKUP(B43,ChurnSeasonTable,4,FALSE)),1)+P7*(AnnualChurn*VLOOKUP(B43,ChurnSeasonTable,4,FALSE))*POWER(1-(AnnualChurn*VLOOKUP(B43,ChurnSeasonTable,4,FALSE)),2)</f>
        <v/>
      </c>
      <c r="W43" s="12">
        <f>W42+Q43-Q31*(AnnualChurn*VLOOKUP(B43,ChurnSeasonTable,4,FALSE))*POWER(1-(AnnualChurn*VLOOKUP(B43,ChurnSeasonTable,4,FALSE)),0)+Q19*(AnnualChurn*VLOOKUP(B43,ChurnSeasonTable,4,FALSE))*POWER(1-(AnnualChurn*VLOOKUP(B43,ChurnSeasonTable,4,FALSE)),1)+Q7*(AnnualChurn*VLOOKUP(B43,ChurnSeasonTable,4,FALSE))*POWER(1-(AnnualChurn*VLOOKUP(B43,ChurnSeasonTable,4,FALSE)),2)</f>
        <v/>
      </c>
      <c r="X43" s="12">
        <f>X42+R43-R31*(AnnualChurn*VLOOKUP(B43,ChurnSeasonTable,4,FALSE))*POWER(1-(AnnualChurn*VLOOKUP(B43,ChurnSeasonTable,4,FALSE)),0)+R19*(AnnualChurn*VLOOKUP(B43,ChurnSeasonTable,4,FALSE))*POWER(1-(AnnualChurn*VLOOKUP(B43,ChurnSeasonTable,4,FALSE)),1)+R7*(AnnualChurn*VLOOKUP(B43,ChurnSeasonTable,4,FALSE))*POWER(1-(AnnualChurn*VLOOKUP(B43,ChurnSeasonTable,4,FALSE)),2)</f>
        <v/>
      </c>
      <c r="Y43" s="12">
        <f>S43+T43+U43+V43+W43+X43</f>
        <v/>
      </c>
      <c r="Z43" s="9">
        <f>S43*BlendedPriceEssMonthly*E43+T43*BlendedPricePremMonthly*E43+U43*BlendedPriceEliteMonthly*E43+V43*BlendedPriceEssAnnual*E43/12+W43*BlendedPricePremAnnual*E43/12+X43*BlendedPriceEliteAnnual*E43/12</f>
        <v/>
      </c>
      <c r="AA43" s="9">
        <f>Z43*12</f>
        <v/>
      </c>
      <c r="AB43" s="12">
        <f>S43*BlendedPriceEssMonthly*E43+T43*BlendedPricePremMonthly*E43+U43*BlendedPriceEliteMonthly*E43</f>
        <v/>
      </c>
      <c r="AC43" s="12">
        <f>P43*BlendedPriceEssAnnual*E43+Q43*BlendedPricePremAnnual*E43+R43*BlendedPriceEliteAnnual*E43</f>
        <v/>
      </c>
      <c r="AD43" s="12">
        <f>P31*POWER(1-(AnnualChurn*VLOOKUP(B43,ChurnSeasonTable,4,FALSE)),1)*BlendedPriceEssAnnual*E43+P19*POWER(1-(AnnualChurn*VLOOKUP(B43,ChurnSeasonTable,4,FALSE)),2)*BlendedPriceEssAnnual*E43+P7*POWER(1-(AnnualChurn*VLOOKUP(B43,ChurnSeasonTable,4,FALSE)),3)*BlendedPriceEssAnnual*E43+Q31*POWER(1-(AnnualChurn*VLOOKUP(B43,ChurnSeasonTable,4,FALSE)),1)*BlendedPricePremAnnual*E43+Q19*POWER(1-(AnnualChurn*VLOOKUP(B43,ChurnSeasonTable,4,FALSE)),2)*BlendedPricePremAnnual*E43+Q7*POWER(1-(AnnualChurn*VLOOKUP(B43,ChurnSeasonTable,4,FALSE)),3)*BlendedPricePremAnnual*E43+R31*POWER(1-(AnnualChurn*VLOOKUP(B43,ChurnSeasonTable,4,FALSE)),1)*BlendedPriceEliteAnnual*E43+R19*POWER(1-(AnnualChurn*VLOOKUP(B43,ChurnSeasonTable,4,FALSE)),2)*BlendedPriceEliteAnnual*E43+R7*POWER(1-(AnnualChurn*VLOOKUP(B43,ChurnSeasonTable,4,FALSE)),3)*BlendedPriceEliteAnnual*E43</f>
        <v/>
      </c>
      <c r="AE43" s="9">
        <f>AB43+AC43+AD43</f>
        <v/>
      </c>
      <c r="AF43" s="12">
        <f>SUM(AE32:AE43)</f>
        <v/>
      </c>
      <c r="AG43" s="12">
        <f>OR(AG42,IF(VATAgentMode,SUM($AE32:$AE43)-SUM($AL32:$AL43)&gt;=VATThreshold,SUM($AE32:$AE43)&gt;=VATThreshold))</f>
        <v/>
      </c>
      <c r="AH43" s="9">
        <f>IF(AG43,IF(VATAgentMode,AE43-((AE43-AL43)-(AE43-AL43)/(1+VATRate)),AE43/(1+VATRate)),AE43)</f>
        <v/>
      </c>
      <c r="AI43" s="12">
        <f>AE43-AH43</f>
        <v/>
      </c>
      <c r="AJ43" s="12">
        <f>IF(AG43=0,0,IF(B43=1,SUMPRODUCT(--(($C$5:$C43=$C43-1)*($B$5:$B43&gt;=10)*($B$5:$B43&lt;=12)),$AI$5:$AI43),IF(B43=4,SUMPRODUCT(--(($C$5:$C43=$C43)*($B$5:$B43&gt;=1)*($B$5:$B43&lt;=3)),$AI$5:$AI43),IF(B43=7,SUMPRODUCT(--(($C$5:$C43=$C43)*($B$5:$B43&gt;=4)*($B$5:$B43&lt;=6)),$AI$5:$AI43),IF(B43=10,SUMPRODUCT(--(($C$5:$C43=$C43)*($B$5:$B43&gt;=7)*($B$5:$B43&lt;=9)),$AI$5:$AI43),0)))))</f>
        <v/>
      </c>
      <c r="AK43" s="12">
        <f>AK42+AI43-AJ43</f>
        <v/>
      </c>
      <c r="AL43" s="12">
        <f>IF(ProviderDelay&gt;=1,S42*BlendedProvPayEss+T42*BlendedProvPayPrem+U42*BlendedProvPayElite+V42*BlendedProvPayEss+W42*BlendedProvPayPrem+X42*BlendedProvPayElite,S43*BlendedProvPayEss+T43*BlendedProvPayPrem+U43*BlendedProvPayElite+V43*BlendedProvPayEss+W43*BlendedProvPayPrem+X43*BlendedProvPayElite)</f>
        <v/>
      </c>
      <c r="AM43" s="12">
        <f>AE43*PaymentFee</f>
        <v/>
      </c>
      <c r="AN43" s="12">
        <f>Y43*OpsAI</f>
        <v/>
      </c>
      <c r="AO43" s="12">
        <f>MonthlyFixed</f>
        <v/>
      </c>
      <c r="AP43" s="12">
        <f>I43*ReferralReward</f>
        <v/>
      </c>
      <c r="AQ43" s="12">
        <f>G43</f>
        <v/>
      </c>
      <c r="AR43" s="9">
        <f>AH43-AL43-AM43-AN43-AO43-AP43-AQ43</f>
        <v/>
      </c>
      <c r="AS43" s="9">
        <f>AS42+AE43-(AL43+AM43+AN43+AO43+AP43+AQ43+AJ43)</f>
        <v/>
      </c>
      <c r="AT43" s="12">
        <f>IF(Y43&gt;0,Z43/Y43,0)</f>
        <v/>
      </c>
      <c r="AU43" s="11">
        <f>IF(Y42&gt;0,MAX(0,(Y42+J43-Y43)/Y42),0)</f>
        <v/>
      </c>
    </row>
    <row r="44">
      <c r="A44" s="12" t="n">
        <v>40</v>
      </c>
      <c r="B44" s="12">
        <f>MOD(A44-1+LaunchMonth-1,12)+1</f>
        <v/>
      </c>
      <c r="C44" s="12">
        <f>INT((A44-1+LaunchMonth-1)/12)+1</f>
        <v/>
      </c>
      <c r="D44" s="12">
        <f>VLOOKUP(B44,SeasonTable,2,FALSE)</f>
        <v/>
      </c>
      <c r="E44" s="12">
        <f>(1+InflationRate)^INT((A44-1)/12)</f>
        <v/>
      </c>
      <c r="F44" s="11">
        <f>MonthlyChurn*VLOOKUP(B44,ChurnSeasonTable,4,FALSE)</f>
        <v/>
      </c>
      <c r="G44" s="12">
        <f>MIN(MAX(MktMin19plus,AE43*MktPct19plus),MAX(0,AS43-CashBuffer))</f>
        <v/>
      </c>
      <c r="H44" s="12">
        <f>IF(G44&gt;0,MAX(1,ROUND(G44/CAC*D44,0)),0)</f>
        <v/>
      </c>
      <c r="I44" s="12">
        <f>IF(H44&gt;0,ROUND(H44*ReferralMix/(1-ReferralMix),0),0)</f>
        <v/>
      </c>
      <c r="J44" s="12">
        <f>H44+I44</f>
        <v/>
      </c>
      <c r="K44" s="12">
        <f>ROUND(J44*(1-AnnualMix),0)</f>
        <v/>
      </c>
      <c r="L44" s="12">
        <f>J44-K44</f>
        <v/>
      </c>
      <c r="M44" s="12">
        <f>ROUND(K44*EssentialMix,0)</f>
        <v/>
      </c>
      <c r="N44" s="12">
        <f>ROUND(K44*PremiumMix,0)</f>
        <v/>
      </c>
      <c r="O44" s="12">
        <f>K44-M44-N44</f>
        <v/>
      </c>
      <c r="P44" s="12">
        <f>ROUND(L44*EssentialMix,0)</f>
        <v/>
      </c>
      <c r="Q44" s="12">
        <f>ROUND(L44*PremiumMix,0)</f>
        <v/>
      </c>
      <c r="R44" s="12">
        <f>L44-P44-Q44</f>
        <v/>
      </c>
      <c r="S44" s="12">
        <f>M44+M43+M42+MAX(0,S43-M43-M42)*(1-F44)</f>
        <v/>
      </c>
      <c r="T44" s="12">
        <f>N44+N43+N42+MAX(0,T43-N43-N42)*(1-F44)</f>
        <v/>
      </c>
      <c r="U44" s="12">
        <f>O44+O43+O42+MAX(0,U43-O43-O42)*(1-F44)</f>
        <v/>
      </c>
      <c r="V44" s="12">
        <f>V43+P44-P32*(AnnualChurn*VLOOKUP(B44,ChurnSeasonTable,4,FALSE))*POWER(1-(AnnualChurn*VLOOKUP(B44,ChurnSeasonTable,4,FALSE)),0)+P20*(AnnualChurn*VLOOKUP(B44,ChurnSeasonTable,4,FALSE))*POWER(1-(AnnualChurn*VLOOKUP(B44,ChurnSeasonTable,4,FALSE)),1)+P8*(AnnualChurn*VLOOKUP(B44,ChurnSeasonTable,4,FALSE))*POWER(1-(AnnualChurn*VLOOKUP(B44,ChurnSeasonTable,4,FALSE)),2)</f>
        <v/>
      </c>
      <c r="W44" s="12">
        <f>W43+Q44-Q32*(AnnualChurn*VLOOKUP(B44,ChurnSeasonTable,4,FALSE))*POWER(1-(AnnualChurn*VLOOKUP(B44,ChurnSeasonTable,4,FALSE)),0)+Q20*(AnnualChurn*VLOOKUP(B44,ChurnSeasonTable,4,FALSE))*POWER(1-(AnnualChurn*VLOOKUP(B44,ChurnSeasonTable,4,FALSE)),1)+Q8*(AnnualChurn*VLOOKUP(B44,ChurnSeasonTable,4,FALSE))*POWER(1-(AnnualChurn*VLOOKUP(B44,ChurnSeasonTable,4,FALSE)),2)</f>
        <v/>
      </c>
      <c r="X44" s="12">
        <f>X43+R44-R32*(AnnualChurn*VLOOKUP(B44,ChurnSeasonTable,4,FALSE))*POWER(1-(AnnualChurn*VLOOKUP(B44,ChurnSeasonTable,4,FALSE)),0)+R20*(AnnualChurn*VLOOKUP(B44,ChurnSeasonTable,4,FALSE))*POWER(1-(AnnualChurn*VLOOKUP(B44,ChurnSeasonTable,4,FALSE)),1)+R8*(AnnualChurn*VLOOKUP(B44,ChurnSeasonTable,4,FALSE))*POWER(1-(AnnualChurn*VLOOKUP(B44,ChurnSeasonTable,4,FALSE)),2)</f>
        <v/>
      </c>
      <c r="Y44" s="12">
        <f>S44+T44+U44+V44+W44+X44</f>
        <v/>
      </c>
      <c r="Z44" s="9">
        <f>S44*BlendedPriceEssMonthly*E44+T44*BlendedPricePremMonthly*E44+U44*BlendedPriceEliteMonthly*E44+V44*BlendedPriceEssAnnual*E44/12+W44*BlendedPricePremAnnual*E44/12+X44*BlendedPriceEliteAnnual*E44/12</f>
        <v/>
      </c>
      <c r="AA44" s="9">
        <f>Z44*12</f>
        <v/>
      </c>
      <c r="AB44" s="12">
        <f>S44*BlendedPriceEssMonthly*E44+T44*BlendedPricePremMonthly*E44+U44*BlendedPriceEliteMonthly*E44</f>
        <v/>
      </c>
      <c r="AC44" s="12">
        <f>P44*BlendedPriceEssAnnual*E44+Q44*BlendedPricePremAnnual*E44+R44*BlendedPriceEliteAnnual*E44</f>
        <v/>
      </c>
      <c r="AD44" s="12">
        <f>P32*POWER(1-(AnnualChurn*VLOOKUP(B44,ChurnSeasonTable,4,FALSE)),1)*BlendedPriceEssAnnual*E44+P20*POWER(1-(AnnualChurn*VLOOKUP(B44,ChurnSeasonTable,4,FALSE)),2)*BlendedPriceEssAnnual*E44+P8*POWER(1-(AnnualChurn*VLOOKUP(B44,ChurnSeasonTable,4,FALSE)),3)*BlendedPriceEssAnnual*E44+Q32*POWER(1-(AnnualChurn*VLOOKUP(B44,ChurnSeasonTable,4,FALSE)),1)*BlendedPricePremAnnual*E44+Q20*POWER(1-(AnnualChurn*VLOOKUP(B44,ChurnSeasonTable,4,FALSE)),2)*BlendedPricePremAnnual*E44+Q8*POWER(1-(AnnualChurn*VLOOKUP(B44,ChurnSeasonTable,4,FALSE)),3)*BlendedPricePremAnnual*E44+R32*POWER(1-(AnnualChurn*VLOOKUP(B44,ChurnSeasonTable,4,FALSE)),1)*BlendedPriceEliteAnnual*E44+R20*POWER(1-(AnnualChurn*VLOOKUP(B44,ChurnSeasonTable,4,FALSE)),2)*BlendedPriceEliteAnnual*E44+R8*POWER(1-(AnnualChurn*VLOOKUP(B44,ChurnSeasonTable,4,FALSE)),3)*BlendedPriceEliteAnnual*E44</f>
        <v/>
      </c>
      <c r="AE44" s="9">
        <f>AB44+AC44+AD44</f>
        <v/>
      </c>
      <c r="AF44" s="12">
        <f>SUM(AE33:AE44)</f>
        <v/>
      </c>
      <c r="AG44" s="12">
        <f>OR(AG43,IF(VATAgentMode,SUM($AE33:$AE44)-SUM($AL33:$AL44)&gt;=VATThreshold,SUM($AE33:$AE44)&gt;=VATThreshold))</f>
        <v/>
      </c>
      <c r="AH44" s="9">
        <f>IF(AG44,IF(VATAgentMode,AE44-((AE44-AL44)-(AE44-AL44)/(1+VATRate)),AE44/(1+VATRate)),AE44)</f>
        <v/>
      </c>
      <c r="AI44" s="12">
        <f>AE44-AH44</f>
        <v/>
      </c>
      <c r="AJ44" s="12">
        <f>IF(AG44=0,0,IF(B44=1,SUMPRODUCT(--(($C$5:$C44=$C44-1)*($B$5:$B44&gt;=10)*($B$5:$B44&lt;=12)),$AI$5:$AI44),IF(B44=4,SUMPRODUCT(--(($C$5:$C44=$C44)*($B$5:$B44&gt;=1)*($B$5:$B44&lt;=3)),$AI$5:$AI44),IF(B44=7,SUMPRODUCT(--(($C$5:$C44=$C44)*($B$5:$B44&gt;=4)*($B$5:$B44&lt;=6)),$AI$5:$AI44),IF(B44=10,SUMPRODUCT(--(($C$5:$C44=$C44)*($B$5:$B44&gt;=7)*($B$5:$B44&lt;=9)),$AI$5:$AI44),0)))))</f>
        <v/>
      </c>
      <c r="AK44" s="12">
        <f>AK43+AI44-AJ44</f>
        <v/>
      </c>
      <c r="AL44" s="12">
        <f>IF(ProviderDelay&gt;=1,S43*BlendedProvPayEss+T43*BlendedProvPayPrem+U43*BlendedProvPayElite+V43*BlendedProvPayEss+W43*BlendedProvPayPrem+X43*BlendedProvPayElite,S44*BlendedProvPayEss+T44*BlendedProvPayPrem+U44*BlendedProvPayElite+V44*BlendedProvPayEss+W44*BlendedProvPayPrem+X44*BlendedProvPayElite)</f>
        <v/>
      </c>
      <c r="AM44" s="12">
        <f>AE44*PaymentFee</f>
        <v/>
      </c>
      <c r="AN44" s="12">
        <f>Y44*OpsAI</f>
        <v/>
      </c>
      <c r="AO44" s="12">
        <f>MonthlyFixed</f>
        <v/>
      </c>
      <c r="AP44" s="12">
        <f>I44*ReferralReward</f>
        <v/>
      </c>
      <c r="AQ44" s="12">
        <f>G44</f>
        <v/>
      </c>
      <c r="AR44" s="9">
        <f>AH44-AL44-AM44-AN44-AO44-AP44-AQ44</f>
        <v/>
      </c>
      <c r="AS44" s="9">
        <f>AS43+AE44-(AL44+AM44+AN44+AO44+AP44+AQ44+AJ44)</f>
        <v/>
      </c>
      <c r="AT44" s="12">
        <f>IF(Y44&gt;0,Z44/Y44,0)</f>
        <v/>
      </c>
      <c r="AU44" s="11">
        <f>IF(Y43&gt;0,MAX(0,(Y43+J44-Y44)/Y43),0)</f>
        <v/>
      </c>
    </row>
    <row r="45">
      <c r="A45" s="12" t="n">
        <v>41</v>
      </c>
      <c r="B45" s="12">
        <f>MOD(A45-1+LaunchMonth-1,12)+1</f>
        <v/>
      </c>
      <c r="C45" s="12">
        <f>INT((A45-1+LaunchMonth-1)/12)+1</f>
        <v/>
      </c>
      <c r="D45" s="12">
        <f>VLOOKUP(B45,SeasonTable,2,FALSE)</f>
        <v/>
      </c>
      <c r="E45" s="12">
        <f>(1+InflationRate)^INT((A45-1)/12)</f>
        <v/>
      </c>
      <c r="F45" s="11">
        <f>MonthlyChurn*VLOOKUP(B45,ChurnSeasonTable,4,FALSE)</f>
        <v/>
      </c>
      <c r="G45" s="12">
        <f>MIN(MAX(MktMin19plus,AE44*MktPct19plus),MAX(0,AS44-CashBuffer))</f>
        <v/>
      </c>
      <c r="H45" s="12">
        <f>IF(G45&gt;0,MAX(1,ROUND(G45/CAC*D45,0)),0)</f>
        <v/>
      </c>
      <c r="I45" s="12">
        <f>IF(H45&gt;0,ROUND(H45*ReferralMix/(1-ReferralMix),0),0)</f>
        <v/>
      </c>
      <c r="J45" s="12">
        <f>H45+I45</f>
        <v/>
      </c>
      <c r="K45" s="12">
        <f>ROUND(J45*(1-AnnualMix),0)</f>
        <v/>
      </c>
      <c r="L45" s="12">
        <f>J45-K45</f>
        <v/>
      </c>
      <c r="M45" s="12">
        <f>ROUND(K45*EssentialMix,0)</f>
        <v/>
      </c>
      <c r="N45" s="12">
        <f>ROUND(K45*PremiumMix,0)</f>
        <v/>
      </c>
      <c r="O45" s="12">
        <f>K45-M45-N45</f>
        <v/>
      </c>
      <c r="P45" s="12">
        <f>ROUND(L45*EssentialMix,0)</f>
        <v/>
      </c>
      <c r="Q45" s="12">
        <f>ROUND(L45*PremiumMix,0)</f>
        <v/>
      </c>
      <c r="R45" s="12">
        <f>L45-P45-Q45</f>
        <v/>
      </c>
      <c r="S45" s="12">
        <f>M45+M44+M43+MAX(0,S44-M44-M43)*(1-F45)</f>
        <v/>
      </c>
      <c r="T45" s="12">
        <f>N45+N44+N43+MAX(0,T44-N44-N43)*(1-F45)</f>
        <v/>
      </c>
      <c r="U45" s="12">
        <f>O45+O44+O43+MAX(0,U44-O44-O43)*(1-F45)</f>
        <v/>
      </c>
      <c r="V45" s="12">
        <f>V44+P45-P33*(AnnualChurn*VLOOKUP(B45,ChurnSeasonTable,4,FALSE))*POWER(1-(AnnualChurn*VLOOKUP(B45,ChurnSeasonTable,4,FALSE)),0)+P21*(AnnualChurn*VLOOKUP(B45,ChurnSeasonTable,4,FALSE))*POWER(1-(AnnualChurn*VLOOKUP(B45,ChurnSeasonTable,4,FALSE)),1)+P9*(AnnualChurn*VLOOKUP(B45,ChurnSeasonTable,4,FALSE))*POWER(1-(AnnualChurn*VLOOKUP(B45,ChurnSeasonTable,4,FALSE)),2)</f>
        <v/>
      </c>
      <c r="W45" s="12">
        <f>W44+Q45-Q33*(AnnualChurn*VLOOKUP(B45,ChurnSeasonTable,4,FALSE))*POWER(1-(AnnualChurn*VLOOKUP(B45,ChurnSeasonTable,4,FALSE)),0)+Q21*(AnnualChurn*VLOOKUP(B45,ChurnSeasonTable,4,FALSE))*POWER(1-(AnnualChurn*VLOOKUP(B45,ChurnSeasonTable,4,FALSE)),1)+Q9*(AnnualChurn*VLOOKUP(B45,ChurnSeasonTable,4,FALSE))*POWER(1-(AnnualChurn*VLOOKUP(B45,ChurnSeasonTable,4,FALSE)),2)</f>
        <v/>
      </c>
      <c r="X45" s="12">
        <f>X44+R45-R33*(AnnualChurn*VLOOKUP(B45,ChurnSeasonTable,4,FALSE))*POWER(1-(AnnualChurn*VLOOKUP(B45,ChurnSeasonTable,4,FALSE)),0)+R21*(AnnualChurn*VLOOKUP(B45,ChurnSeasonTable,4,FALSE))*POWER(1-(AnnualChurn*VLOOKUP(B45,ChurnSeasonTable,4,FALSE)),1)+R9*(AnnualChurn*VLOOKUP(B45,ChurnSeasonTable,4,FALSE))*POWER(1-(AnnualChurn*VLOOKUP(B45,ChurnSeasonTable,4,FALSE)),2)</f>
        <v/>
      </c>
      <c r="Y45" s="12">
        <f>S45+T45+U45+V45+W45+X45</f>
        <v/>
      </c>
      <c r="Z45" s="9">
        <f>S45*BlendedPriceEssMonthly*E45+T45*BlendedPricePremMonthly*E45+U45*BlendedPriceEliteMonthly*E45+V45*BlendedPriceEssAnnual*E45/12+W45*BlendedPricePremAnnual*E45/12+X45*BlendedPriceEliteAnnual*E45/12</f>
        <v/>
      </c>
      <c r="AA45" s="9">
        <f>Z45*12</f>
        <v/>
      </c>
      <c r="AB45" s="12">
        <f>S45*BlendedPriceEssMonthly*E45+T45*BlendedPricePremMonthly*E45+U45*BlendedPriceEliteMonthly*E45</f>
        <v/>
      </c>
      <c r="AC45" s="12">
        <f>P45*BlendedPriceEssAnnual*E45+Q45*BlendedPricePremAnnual*E45+R45*BlendedPriceEliteAnnual*E45</f>
        <v/>
      </c>
      <c r="AD45" s="12">
        <f>P33*POWER(1-(AnnualChurn*VLOOKUP(B45,ChurnSeasonTable,4,FALSE)),1)*BlendedPriceEssAnnual*E45+P21*POWER(1-(AnnualChurn*VLOOKUP(B45,ChurnSeasonTable,4,FALSE)),2)*BlendedPriceEssAnnual*E45+P9*POWER(1-(AnnualChurn*VLOOKUP(B45,ChurnSeasonTable,4,FALSE)),3)*BlendedPriceEssAnnual*E45+Q33*POWER(1-(AnnualChurn*VLOOKUP(B45,ChurnSeasonTable,4,FALSE)),1)*BlendedPricePremAnnual*E45+Q21*POWER(1-(AnnualChurn*VLOOKUP(B45,ChurnSeasonTable,4,FALSE)),2)*BlendedPricePremAnnual*E45+Q9*POWER(1-(AnnualChurn*VLOOKUP(B45,ChurnSeasonTable,4,FALSE)),3)*BlendedPricePremAnnual*E45+R33*POWER(1-(AnnualChurn*VLOOKUP(B45,ChurnSeasonTable,4,FALSE)),1)*BlendedPriceEliteAnnual*E45+R21*POWER(1-(AnnualChurn*VLOOKUP(B45,ChurnSeasonTable,4,FALSE)),2)*BlendedPriceEliteAnnual*E45+R9*POWER(1-(AnnualChurn*VLOOKUP(B45,ChurnSeasonTable,4,FALSE)),3)*BlendedPriceEliteAnnual*E45</f>
        <v/>
      </c>
      <c r="AE45" s="9">
        <f>AB45+AC45+AD45</f>
        <v/>
      </c>
      <c r="AF45" s="12">
        <f>SUM(AE34:AE45)</f>
        <v/>
      </c>
      <c r="AG45" s="12">
        <f>OR(AG44,IF(VATAgentMode,SUM($AE34:$AE45)-SUM($AL34:$AL45)&gt;=VATThreshold,SUM($AE34:$AE45)&gt;=VATThreshold))</f>
        <v/>
      </c>
      <c r="AH45" s="9">
        <f>IF(AG45,IF(VATAgentMode,AE45-((AE45-AL45)-(AE45-AL45)/(1+VATRate)),AE45/(1+VATRate)),AE45)</f>
        <v/>
      </c>
      <c r="AI45" s="12">
        <f>AE45-AH45</f>
        <v/>
      </c>
      <c r="AJ45" s="12">
        <f>IF(AG45=0,0,IF(B45=1,SUMPRODUCT(--(($C$5:$C45=$C45-1)*($B$5:$B45&gt;=10)*($B$5:$B45&lt;=12)),$AI$5:$AI45),IF(B45=4,SUMPRODUCT(--(($C$5:$C45=$C45)*($B$5:$B45&gt;=1)*($B$5:$B45&lt;=3)),$AI$5:$AI45),IF(B45=7,SUMPRODUCT(--(($C$5:$C45=$C45)*($B$5:$B45&gt;=4)*($B$5:$B45&lt;=6)),$AI$5:$AI45),IF(B45=10,SUMPRODUCT(--(($C$5:$C45=$C45)*($B$5:$B45&gt;=7)*($B$5:$B45&lt;=9)),$AI$5:$AI45),0)))))</f>
        <v/>
      </c>
      <c r="AK45" s="12">
        <f>AK44+AI45-AJ45</f>
        <v/>
      </c>
      <c r="AL45" s="12">
        <f>IF(ProviderDelay&gt;=1,S44*BlendedProvPayEss+T44*BlendedProvPayPrem+U44*BlendedProvPayElite+V44*BlendedProvPayEss+W44*BlendedProvPayPrem+X44*BlendedProvPayElite,S45*BlendedProvPayEss+T45*BlendedProvPayPrem+U45*BlendedProvPayElite+V45*BlendedProvPayEss+W45*BlendedProvPayPrem+X45*BlendedProvPayElite)</f>
        <v/>
      </c>
      <c r="AM45" s="12">
        <f>AE45*PaymentFee</f>
        <v/>
      </c>
      <c r="AN45" s="12">
        <f>Y45*OpsAI</f>
        <v/>
      </c>
      <c r="AO45" s="12">
        <f>MonthlyFixed</f>
        <v/>
      </c>
      <c r="AP45" s="12">
        <f>I45*ReferralReward</f>
        <v/>
      </c>
      <c r="AQ45" s="12">
        <f>G45</f>
        <v/>
      </c>
      <c r="AR45" s="9">
        <f>AH45-AL45-AM45-AN45-AO45-AP45-AQ45</f>
        <v/>
      </c>
      <c r="AS45" s="9">
        <f>AS44+AE45-(AL45+AM45+AN45+AO45+AP45+AQ45+AJ45)</f>
        <v/>
      </c>
      <c r="AT45" s="12">
        <f>IF(Y45&gt;0,Z45/Y45,0)</f>
        <v/>
      </c>
      <c r="AU45" s="11">
        <f>IF(Y44&gt;0,MAX(0,(Y44+J45-Y45)/Y44),0)</f>
        <v/>
      </c>
    </row>
    <row r="46">
      <c r="A46" s="12" t="n">
        <v>42</v>
      </c>
      <c r="B46" s="12">
        <f>MOD(A46-1+LaunchMonth-1,12)+1</f>
        <v/>
      </c>
      <c r="C46" s="12">
        <f>INT((A46-1+LaunchMonth-1)/12)+1</f>
        <v/>
      </c>
      <c r="D46" s="12">
        <f>VLOOKUP(B46,SeasonTable,2,FALSE)</f>
        <v/>
      </c>
      <c r="E46" s="12">
        <f>(1+InflationRate)^INT((A46-1)/12)</f>
        <v/>
      </c>
      <c r="F46" s="11">
        <f>MonthlyChurn*VLOOKUP(B46,ChurnSeasonTable,4,FALSE)</f>
        <v/>
      </c>
      <c r="G46" s="12">
        <f>MIN(MAX(MktMin19plus,AE45*MktPct19plus),MAX(0,AS45-CashBuffer))</f>
        <v/>
      </c>
      <c r="H46" s="12">
        <f>IF(G46&gt;0,MAX(1,ROUND(G46/CAC*D46,0)),0)</f>
        <v/>
      </c>
      <c r="I46" s="12">
        <f>IF(H46&gt;0,ROUND(H46*ReferralMix/(1-ReferralMix),0),0)</f>
        <v/>
      </c>
      <c r="J46" s="12">
        <f>H46+I46</f>
        <v/>
      </c>
      <c r="K46" s="12">
        <f>ROUND(J46*(1-AnnualMix),0)</f>
        <v/>
      </c>
      <c r="L46" s="12">
        <f>J46-K46</f>
        <v/>
      </c>
      <c r="M46" s="12">
        <f>ROUND(K46*EssentialMix,0)</f>
        <v/>
      </c>
      <c r="N46" s="12">
        <f>ROUND(K46*PremiumMix,0)</f>
        <v/>
      </c>
      <c r="O46" s="12">
        <f>K46-M46-N46</f>
        <v/>
      </c>
      <c r="P46" s="12">
        <f>ROUND(L46*EssentialMix,0)</f>
        <v/>
      </c>
      <c r="Q46" s="12">
        <f>ROUND(L46*PremiumMix,0)</f>
        <v/>
      </c>
      <c r="R46" s="12">
        <f>L46-P46-Q46</f>
        <v/>
      </c>
      <c r="S46" s="12">
        <f>M46+M45+M44+MAX(0,S45-M45-M44)*(1-F46)</f>
        <v/>
      </c>
      <c r="T46" s="12">
        <f>N46+N45+N44+MAX(0,T45-N45-N44)*(1-F46)</f>
        <v/>
      </c>
      <c r="U46" s="12">
        <f>O46+O45+O44+MAX(0,U45-O45-O44)*(1-F46)</f>
        <v/>
      </c>
      <c r="V46" s="12">
        <f>V45+P46-P34*(AnnualChurn*VLOOKUP(B46,ChurnSeasonTable,4,FALSE))*POWER(1-(AnnualChurn*VLOOKUP(B46,ChurnSeasonTable,4,FALSE)),0)+P22*(AnnualChurn*VLOOKUP(B46,ChurnSeasonTable,4,FALSE))*POWER(1-(AnnualChurn*VLOOKUP(B46,ChurnSeasonTable,4,FALSE)),1)+P10*(AnnualChurn*VLOOKUP(B46,ChurnSeasonTable,4,FALSE))*POWER(1-(AnnualChurn*VLOOKUP(B46,ChurnSeasonTable,4,FALSE)),2)</f>
        <v/>
      </c>
      <c r="W46" s="12">
        <f>W45+Q46-Q34*(AnnualChurn*VLOOKUP(B46,ChurnSeasonTable,4,FALSE))*POWER(1-(AnnualChurn*VLOOKUP(B46,ChurnSeasonTable,4,FALSE)),0)+Q22*(AnnualChurn*VLOOKUP(B46,ChurnSeasonTable,4,FALSE))*POWER(1-(AnnualChurn*VLOOKUP(B46,ChurnSeasonTable,4,FALSE)),1)+Q10*(AnnualChurn*VLOOKUP(B46,ChurnSeasonTable,4,FALSE))*POWER(1-(AnnualChurn*VLOOKUP(B46,ChurnSeasonTable,4,FALSE)),2)</f>
        <v/>
      </c>
      <c r="X46" s="12">
        <f>X45+R46-R34*(AnnualChurn*VLOOKUP(B46,ChurnSeasonTable,4,FALSE))*POWER(1-(AnnualChurn*VLOOKUP(B46,ChurnSeasonTable,4,FALSE)),0)+R22*(AnnualChurn*VLOOKUP(B46,ChurnSeasonTable,4,FALSE))*POWER(1-(AnnualChurn*VLOOKUP(B46,ChurnSeasonTable,4,FALSE)),1)+R10*(AnnualChurn*VLOOKUP(B46,ChurnSeasonTable,4,FALSE))*POWER(1-(AnnualChurn*VLOOKUP(B46,ChurnSeasonTable,4,FALSE)),2)</f>
        <v/>
      </c>
      <c r="Y46" s="12">
        <f>S46+T46+U46+V46+W46+X46</f>
        <v/>
      </c>
      <c r="Z46" s="9">
        <f>S46*BlendedPriceEssMonthly*E46+T46*BlendedPricePremMonthly*E46+U46*BlendedPriceEliteMonthly*E46+V46*BlendedPriceEssAnnual*E46/12+W46*BlendedPricePremAnnual*E46/12+X46*BlendedPriceEliteAnnual*E46/12</f>
        <v/>
      </c>
      <c r="AA46" s="9">
        <f>Z46*12</f>
        <v/>
      </c>
      <c r="AB46" s="12">
        <f>S46*BlendedPriceEssMonthly*E46+T46*BlendedPricePremMonthly*E46+U46*BlendedPriceEliteMonthly*E46</f>
        <v/>
      </c>
      <c r="AC46" s="12">
        <f>P46*BlendedPriceEssAnnual*E46+Q46*BlendedPricePremAnnual*E46+R46*BlendedPriceEliteAnnual*E46</f>
        <v/>
      </c>
      <c r="AD46" s="12">
        <f>P34*POWER(1-(AnnualChurn*VLOOKUP(B46,ChurnSeasonTable,4,FALSE)),1)*BlendedPriceEssAnnual*E46+P22*POWER(1-(AnnualChurn*VLOOKUP(B46,ChurnSeasonTable,4,FALSE)),2)*BlendedPriceEssAnnual*E46+P10*POWER(1-(AnnualChurn*VLOOKUP(B46,ChurnSeasonTable,4,FALSE)),3)*BlendedPriceEssAnnual*E46+Q34*POWER(1-(AnnualChurn*VLOOKUP(B46,ChurnSeasonTable,4,FALSE)),1)*BlendedPricePremAnnual*E46+Q22*POWER(1-(AnnualChurn*VLOOKUP(B46,ChurnSeasonTable,4,FALSE)),2)*BlendedPricePremAnnual*E46+Q10*POWER(1-(AnnualChurn*VLOOKUP(B46,ChurnSeasonTable,4,FALSE)),3)*BlendedPricePremAnnual*E46+R34*POWER(1-(AnnualChurn*VLOOKUP(B46,ChurnSeasonTable,4,FALSE)),1)*BlendedPriceEliteAnnual*E46+R22*POWER(1-(AnnualChurn*VLOOKUP(B46,ChurnSeasonTable,4,FALSE)),2)*BlendedPriceEliteAnnual*E46+R10*POWER(1-(AnnualChurn*VLOOKUP(B46,ChurnSeasonTable,4,FALSE)),3)*BlendedPriceEliteAnnual*E46</f>
        <v/>
      </c>
      <c r="AE46" s="9">
        <f>AB46+AC46+AD46</f>
        <v/>
      </c>
      <c r="AF46" s="12">
        <f>SUM(AE35:AE46)</f>
        <v/>
      </c>
      <c r="AG46" s="12">
        <f>OR(AG45,IF(VATAgentMode,SUM($AE35:$AE46)-SUM($AL35:$AL46)&gt;=VATThreshold,SUM($AE35:$AE46)&gt;=VATThreshold))</f>
        <v/>
      </c>
      <c r="AH46" s="9">
        <f>IF(AG46,IF(VATAgentMode,AE46-((AE46-AL46)-(AE46-AL46)/(1+VATRate)),AE46/(1+VATRate)),AE46)</f>
        <v/>
      </c>
      <c r="AI46" s="12">
        <f>AE46-AH46</f>
        <v/>
      </c>
      <c r="AJ46" s="12">
        <f>IF(AG46=0,0,IF(B46=1,SUMPRODUCT(--(($C$5:$C46=$C46-1)*($B$5:$B46&gt;=10)*($B$5:$B46&lt;=12)),$AI$5:$AI46),IF(B46=4,SUMPRODUCT(--(($C$5:$C46=$C46)*($B$5:$B46&gt;=1)*($B$5:$B46&lt;=3)),$AI$5:$AI46),IF(B46=7,SUMPRODUCT(--(($C$5:$C46=$C46)*($B$5:$B46&gt;=4)*($B$5:$B46&lt;=6)),$AI$5:$AI46),IF(B46=10,SUMPRODUCT(--(($C$5:$C46=$C46)*($B$5:$B46&gt;=7)*($B$5:$B46&lt;=9)),$AI$5:$AI46),0)))))</f>
        <v/>
      </c>
      <c r="AK46" s="12">
        <f>AK45+AI46-AJ46</f>
        <v/>
      </c>
      <c r="AL46" s="12">
        <f>IF(ProviderDelay&gt;=1,S45*BlendedProvPayEss+T45*BlendedProvPayPrem+U45*BlendedProvPayElite+V45*BlendedProvPayEss+W45*BlendedProvPayPrem+X45*BlendedProvPayElite,S46*BlendedProvPayEss+T46*BlendedProvPayPrem+U46*BlendedProvPayElite+V46*BlendedProvPayEss+W46*BlendedProvPayPrem+X46*BlendedProvPayElite)</f>
        <v/>
      </c>
      <c r="AM46" s="12">
        <f>AE46*PaymentFee</f>
        <v/>
      </c>
      <c r="AN46" s="12">
        <f>Y46*OpsAI</f>
        <v/>
      </c>
      <c r="AO46" s="12">
        <f>MonthlyFixed</f>
        <v/>
      </c>
      <c r="AP46" s="12">
        <f>I46*ReferralReward</f>
        <v/>
      </c>
      <c r="AQ46" s="12">
        <f>G46</f>
        <v/>
      </c>
      <c r="AR46" s="9">
        <f>AH46-AL46-AM46-AN46-AO46-AP46-AQ46</f>
        <v/>
      </c>
      <c r="AS46" s="9">
        <f>AS45+AE46-(AL46+AM46+AN46+AO46+AP46+AQ46+AJ46)</f>
        <v/>
      </c>
      <c r="AT46" s="12">
        <f>IF(Y46&gt;0,Z46/Y46,0)</f>
        <v/>
      </c>
      <c r="AU46" s="11">
        <f>IF(Y45&gt;0,MAX(0,(Y45+J46-Y46)/Y45),0)</f>
        <v/>
      </c>
    </row>
    <row r="47">
      <c r="A47" s="12" t="n">
        <v>43</v>
      </c>
      <c r="B47" s="12">
        <f>MOD(A47-1+LaunchMonth-1,12)+1</f>
        <v/>
      </c>
      <c r="C47" s="12">
        <f>INT((A47-1+LaunchMonth-1)/12)+1</f>
        <v/>
      </c>
      <c r="D47" s="12">
        <f>VLOOKUP(B47,SeasonTable,2,FALSE)</f>
        <v/>
      </c>
      <c r="E47" s="12">
        <f>(1+InflationRate)^INT((A47-1)/12)</f>
        <v/>
      </c>
      <c r="F47" s="11">
        <f>MonthlyChurn*VLOOKUP(B47,ChurnSeasonTable,4,FALSE)</f>
        <v/>
      </c>
      <c r="G47" s="12">
        <f>MIN(MAX(MktMin19plus,AE46*MktPct19plus),MAX(0,AS46-CashBuffer))</f>
        <v/>
      </c>
      <c r="H47" s="12">
        <f>IF(G47&gt;0,MAX(1,ROUND(G47/CAC*D47,0)),0)</f>
        <v/>
      </c>
      <c r="I47" s="12">
        <f>IF(H47&gt;0,ROUND(H47*ReferralMix/(1-ReferralMix),0),0)</f>
        <v/>
      </c>
      <c r="J47" s="12">
        <f>H47+I47</f>
        <v/>
      </c>
      <c r="K47" s="12">
        <f>ROUND(J47*(1-AnnualMix),0)</f>
        <v/>
      </c>
      <c r="L47" s="12">
        <f>J47-K47</f>
        <v/>
      </c>
      <c r="M47" s="12">
        <f>ROUND(K47*EssentialMix,0)</f>
        <v/>
      </c>
      <c r="N47" s="12">
        <f>ROUND(K47*PremiumMix,0)</f>
        <v/>
      </c>
      <c r="O47" s="12">
        <f>K47-M47-N47</f>
        <v/>
      </c>
      <c r="P47" s="12">
        <f>ROUND(L47*EssentialMix,0)</f>
        <v/>
      </c>
      <c r="Q47" s="12">
        <f>ROUND(L47*PremiumMix,0)</f>
        <v/>
      </c>
      <c r="R47" s="12">
        <f>L47-P47-Q47</f>
        <v/>
      </c>
      <c r="S47" s="12">
        <f>M47+M46+M45+MAX(0,S46-M46-M45)*(1-F47)</f>
        <v/>
      </c>
      <c r="T47" s="12">
        <f>N47+N46+N45+MAX(0,T46-N46-N45)*(1-F47)</f>
        <v/>
      </c>
      <c r="U47" s="12">
        <f>O47+O46+O45+MAX(0,U46-O46-O45)*(1-F47)</f>
        <v/>
      </c>
      <c r="V47" s="12">
        <f>V46+P47-P35*(AnnualChurn*VLOOKUP(B47,ChurnSeasonTable,4,FALSE))*POWER(1-(AnnualChurn*VLOOKUP(B47,ChurnSeasonTable,4,FALSE)),0)+P23*(AnnualChurn*VLOOKUP(B47,ChurnSeasonTable,4,FALSE))*POWER(1-(AnnualChurn*VLOOKUP(B47,ChurnSeasonTable,4,FALSE)),1)+P11*(AnnualChurn*VLOOKUP(B47,ChurnSeasonTable,4,FALSE))*POWER(1-(AnnualChurn*VLOOKUP(B47,ChurnSeasonTable,4,FALSE)),2)</f>
        <v/>
      </c>
      <c r="W47" s="12">
        <f>W46+Q47-Q35*(AnnualChurn*VLOOKUP(B47,ChurnSeasonTable,4,FALSE))*POWER(1-(AnnualChurn*VLOOKUP(B47,ChurnSeasonTable,4,FALSE)),0)+Q23*(AnnualChurn*VLOOKUP(B47,ChurnSeasonTable,4,FALSE))*POWER(1-(AnnualChurn*VLOOKUP(B47,ChurnSeasonTable,4,FALSE)),1)+Q11*(AnnualChurn*VLOOKUP(B47,ChurnSeasonTable,4,FALSE))*POWER(1-(AnnualChurn*VLOOKUP(B47,ChurnSeasonTable,4,FALSE)),2)</f>
        <v/>
      </c>
      <c r="X47" s="12">
        <f>X46+R47-R35*(AnnualChurn*VLOOKUP(B47,ChurnSeasonTable,4,FALSE))*POWER(1-(AnnualChurn*VLOOKUP(B47,ChurnSeasonTable,4,FALSE)),0)+R23*(AnnualChurn*VLOOKUP(B47,ChurnSeasonTable,4,FALSE))*POWER(1-(AnnualChurn*VLOOKUP(B47,ChurnSeasonTable,4,FALSE)),1)+R11*(AnnualChurn*VLOOKUP(B47,ChurnSeasonTable,4,FALSE))*POWER(1-(AnnualChurn*VLOOKUP(B47,ChurnSeasonTable,4,FALSE)),2)</f>
        <v/>
      </c>
      <c r="Y47" s="12">
        <f>S47+T47+U47+V47+W47+X47</f>
        <v/>
      </c>
      <c r="Z47" s="9">
        <f>S47*BlendedPriceEssMonthly*E47+T47*BlendedPricePremMonthly*E47+U47*BlendedPriceEliteMonthly*E47+V47*BlendedPriceEssAnnual*E47/12+W47*BlendedPricePremAnnual*E47/12+X47*BlendedPriceEliteAnnual*E47/12</f>
        <v/>
      </c>
      <c r="AA47" s="9">
        <f>Z47*12</f>
        <v/>
      </c>
      <c r="AB47" s="12">
        <f>S47*BlendedPriceEssMonthly*E47+T47*BlendedPricePremMonthly*E47+U47*BlendedPriceEliteMonthly*E47</f>
        <v/>
      </c>
      <c r="AC47" s="12">
        <f>P47*BlendedPriceEssAnnual*E47+Q47*BlendedPricePremAnnual*E47+R47*BlendedPriceEliteAnnual*E47</f>
        <v/>
      </c>
      <c r="AD47" s="12">
        <f>P35*POWER(1-(AnnualChurn*VLOOKUP(B47,ChurnSeasonTable,4,FALSE)),1)*BlendedPriceEssAnnual*E47+P23*POWER(1-(AnnualChurn*VLOOKUP(B47,ChurnSeasonTable,4,FALSE)),2)*BlendedPriceEssAnnual*E47+P11*POWER(1-(AnnualChurn*VLOOKUP(B47,ChurnSeasonTable,4,FALSE)),3)*BlendedPriceEssAnnual*E47+Q35*POWER(1-(AnnualChurn*VLOOKUP(B47,ChurnSeasonTable,4,FALSE)),1)*BlendedPricePremAnnual*E47+Q23*POWER(1-(AnnualChurn*VLOOKUP(B47,ChurnSeasonTable,4,FALSE)),2)*BlendedPricePremAnnual*E47+Q11*POWER(1-(AnnualChurn*VLOOKUP(B47,ChurnSeasonTable,4,FALSE)),3)*BlendedPricePremAnnual*E47+R35*POWER(1-(AnnualChurn*VLOOKUP(B47,ChurnSeasonTable,4,FALSE)),1)*BlendedPriceEliteAnnual*E47+R23*POWER(1-(AnnualChurn*VLOOKUP(B47,ChurnSeasonTable,4,FALSE)),2)*BlendedPriceEliteAnnual*E47+R11*POWER(1-(AnnualChurn*VLOOKUP(B47,ChurnSeasonTable,4,FALSE)),3)*BlendedPriceEliteAnnual*E47</f>
        <v/>
      </c>
      <c r="AE47" s="9">
        <f>AB47+AC47+AD47</f>
        <v/>
      </c>
      <c r="AF47" s="12">
        <f>SUM(AE36:AE47)</f>
        <v/>
      </c>
      <c r="AG47" s="12">
        <f>OR(AG46,IF(VATAgentMode,SUM($AE36:$AE47)-SUM($AL36:$AL47)&gt;=VATThreshold,SUM($AE36:$AE47)&gt;=VATThreshold))</f>
        <v/>
      </c>
      <c r="AH47" s="9">
        <f>IF(AG47,IF(VATAgentMode,AE47-((AE47-AL47)-(AE47-AL47)/(1+VATRate)),AE47/(1+VATRate)),AE47)</f>
        <v/>
      </c>
      <c r="AI47" s="12">
        <f>AE47-AH47</f>
        <v/>
      </c>
      <c r="AJ47" s="12">
        <f>IF(AG47=0,0,IF(B47=1,SUMPRODUCT(--(($C$5:$C47=$C47-1)*($B$5:$B47&gt;=10)*($B$5:$B47&lt;=12)),$AI$5:$AI47),IF(B47=4,SUMPRODUCT(--(($C$5:$C47=$C47)*($B$5:$B47&gt;=1)*($B$5:$B47&lt;=3)),$AI$5:$AI47),IF(B47=7,SUMPRODUCT(--(($C$5:$C47=$C47)*($B$5:$B47&gt;=4)*($B$5:$B47&lt;=6)),$AI$5:$AI47),IF(B47=10,SUMPRODUCT(--(($C$5:$C47=$C47)*($B$5:$B47&gt;=7)*($B$5:$B47&lt;=9)),$AI$5:$AI47),0)))))</f>
        <v/>
      </c>
      <c r="AK47" s="12">
        <f>AK46+AI47-AJ47</f>
        <v/>
      </c>
      <c r="AL47" s="12">
        <f>IF(ProviderDelay&gt;=1,S46*BlendedProvPayEss+T46*BlendedProvPayPrem+U46*BlendedProvPayElite+V46*BlendedProvPayEss+W46*BlendedProvPayPrem+X46*BlendedProvPayElite,S47*BlendedProvPayEss+T47*BlendedProvPayPrem+U47*BlendedProvPayElite+V47*BlendedProvPayEss+W47*BlendedProvPayPrem+X47*BlendedProvPayElite)</f>
        <v/>
      </c>
      <c r="AM47" s="12">
        <f>AE47*PaymentFee</f>
        <v/>
      </c>
      <c r="AN47" s="12">
        <f>Y47*OpsAI</f>
        <v/>
      </c>
      <c r="AO47" s="12">
        <f>MonthlyFixed</f>
        <v/>
      </c>
      <c r="AP47" s="12">
        <f>I47*ReferralReward</f>
        <v/>
      </c>
      <c r="AQ47" s="12">
        <f>G47</f>
        <v/>
      </c>
      <c r="AR47" s="9">
        <f>AH47-AL47-AM47-AN47-AO47-AP47-AQ47</f>
        <v/>
      </c>
      <c r="AS47" s="9">
        <f>AS46+AE47-(AL47+AM47+AN47+AO47+AP47+AQ47+AJ47)</f>
        <v/>
      </c>
      <c r="AT47" s="12">
        <f>IF(Y47&gt;0,Z47/Y47,0)</f>
        <v/>
      </c>
      <c r="AU47" s="11">
        <f>IF(Y46&gt;0,MAX(0,(Y46+J47-Y47)/Y46),0)</f>
        <v/>
      </c>
    </row>
    <row r="48">
      <c r="A48" s="12" t="n">
        <v>44</v>
      </c>
      <c r="B48" s="12">
        <f>MOD(A48-1+LaunchMonth-1,12)+1</f>
        <v/>
      </c>
      <c r="C48" s="12">
        <f>INT((A48-1+LaunchMonth-1)/12)+1</f>
        <v/>
      </c>
      <c r="D48" s="12">
        <f>VLOOKUP(B48,SeasonTable,2,FALSE)</f>
        <v/>
      </c>
      <c r="E48" s="12">
        <f>(1+InflationRate)^INT((A48-1)/12)</f>
        <v/>
      </c>
      <c r="F48" s="11">
        <f>MonthlyChurn*VLOOKUP(B48,ChurnSeasonTable,4,FALSE)</f>
        <v/>
      </c>
      <c r="G48" s="12">
        <f>MIN(MAX(MktMin19plus,AE47*MktPct19plus),MAX(0,AS47-CashBuffer))</f>
        <v/>
      </c>
      <c r="H48" s="12">
        <f>IF(G48&gt;0,MAX(1,ROUND(G48/CAC*D48,0)),0)</f>
        <v/>
      </c>
      <c r="I48" s="12">
        <f>IF(H48&gt;0,ROUND(H48*ReferralMix/(1-ReferralMix),0),0)</f>
        <v/>
      </c>
      <c r="J48" s="12">
        <f>H48+I48</f>
        <v/>
      </c>
      <c r="K48" s="12">
        <f>ROUND(J48*(1-AnnualMix),0)</f>
        <v/>
      </c>
      <c r="L48" s="12">
        <f>J48-K48</f>
        <v/>
      </c>
      <c r="M48" s="12">
        <f>ROUND(K48*EssentialMix,0)</f>
        <v/>
      </c>
      <c r="N48" s="12">
        <f>ROUND(K48*PremiumMix,0)</f>
        <v/>
      </c>
      <c r="O48" s="12">
        <f>K48-M48-N48</f>
        <v/>
      </c>
      <c r="P48" s="12">
        <f>ROUND(L48*EssentialMix,0)</f>
        <v/>
      </c>
      <c r="Q48" s="12">
        <f>ROUND(L48*PremiumMix,0)</f>
        <v/>
      </c>
      <c r="R48" s="12">
        <f>L48-P48-Q48</f>
        <v/>
      </c>
      <c r="S48" s="12">
        <f>M48+M47+M46+MAX(0,S47-M47-M46)*(1-F48)</f>
        <v/>
      </c>
      <c r="T48" s="12">
        <f>N48+N47+N46+MAX(0,T47-N47-N46)*(1-F48)</f>
        <v/>
      </c>
      <c r="U48" s="12">
        <f>O48+O47+O46+MAX(0,U47-O47-O46)*(1-F48)</f>
        <v/>
      </c>
      <c r="V48" s="12">
        <f>V47+P48-P36*(AnnualChurn*VLOOKUP(B48,ChurnSeasonTable,4,FALSE))*POWER(1-(AnnualChurn*VLOOKUP(B48,ChurnSeasonTable,4,FALSE)),0)+P24*(AnnualChurn*VLOOKUP(B48,ChurnSeasonTable,4,FALSE))*POWER(1-(AnnualChurn*VLOOKUP(B48,ChurnSeasonTable,4,FALSE)),1)+P12*(AnnualChurn*VLOOKUP(B48,ChurnSeasonTable,4,FALSE))*POWER(1-(AnnualChurn*VLOOKUP(B48,ChurnSeasonTable,4,FALSE)),2)</f>
        <v/>
      </c>
      <c r="W48" s="12">
        <f>W47+Q48-Q36*(AnnualChurn*VLOOKUP(B48,ChurnSeasonTable,4,FALSE))*POWER(1-(AnnualChurn*VLOOKUP(B48,ChurnSeasonTable,4,FALSE)),0)+Q24*(AnnualChurn*VLOOKUP(B48,ChurnSeasonTable,4,FALSE))*POWER(1-(AnnualChurn*VLOOKUP(B48,ChurnSeasonTable,4,FALSE)),1)+Q12*(AnnualChurn*VLOOKUP(B48,ChurnSeasonTable,4,FALSE))*POWER(1-(AnnualChurn*VLOOKUP(B48,ChurnSeasonTable,4,FALSE)),2)</f>
        <v/>
      </c>
      <c r="X48" s="12">
        <f>X47+R48-R36*(AnnualChurn*VLOOKUP(B48,ChurnSeasonTable,4,FALSE))*POWER(1-(AnnualChurn*VLOOKUP(B48,ChurnSeasonTable,4,FALSE)),0)+R24*(AnnualChurn*VLOOKUP(B48,ChurnSeasonTable,4,FALSE))*POWER(1-(AnnualChurn*VLOOKUP(B48,ChurnSeasonTable,4,FALSE)),1)+R12*(AnnualChurn*VLOOKUP(B48,ChurnSeasonTable,4,FALSE))*POWER(1-(AnnualChurn*VLOOKUP(B48,ChurnSeasonTable,4,FALSE)),2)</f>
        <v/>
      </c>
      <c r="Y48" s="12">
        <f>S48+T48+U48+V48+W48+X48</f>
        <v/>
      </c>
      <c r="Z48" s="9">
        <f>S48*BlendedPriceEssMonthly*E48+T48*BlendedPricePremMonthly*E48+U48*BlendedPriceEliteMonthly*E48+V48*BlendedPriceEssAnnual*E48/12+W48*BlendedPricePremAnnual*E48/12+X48*BlendedPriceEliteAnnual*E48/12</f>
        <v/>
      </c>
      <c r="AA48" s="9">
        <f>Z48*12</f>
        <v/>
      </c>
      <c r="AB48" s="12">
        <f>S48*BlendedPriceEssMonthly*E48+T48*BlendedPricePremMonthly*E48+U48*BlendedPriceEliteMonthly*E48</f>
        <v/>
      </c>
      <c r="AC48" s="12">
        <f>P48*BlendedPriceEssAnnual*E48+Q48*BlendedPricePremAnnual*E48+R48*BlendedPriceEliteAnnual*E48</f>
        <v/>
      </c>
      <c r="AD48" s="12">
        <f>P36*POWER(1-(AnnualChurn*VLOOKUP(B48,ChurnSeasonTable,4,FALSE)),1)*BlendedPriceEssAnnual*E48+P24*POWER(1-(AnnualChurn*VLOOKUP(B48,ChurnSeasonTable,4,FALSE)),2)*BlendedPriceEssAnnual*E48+P12*POWER(1-(AnnualChurn*VLOOKUP(B48,ChurnSeasonTable,4,FALSE)),3)*BlendedPriceEssAnnual*E48+Q36*POWER(1-(AnnualChurn*VLOOKUP(B48,ChurnSeasonTable,4,FALSE)),1)*BlendedPricePremAnnual*E48+Q24*POWER(1-(AnnualChurn*VLOOKUP(B48,ChurnSeasonTable,4,FALSE)),2)*BlendedPricePremAnnual*E48+Q12*POWER(1-(AnnualChurn*VLOOKUP(B48,ChurnSeasonTable,4,FALSE)),3)*BlendedPricePremAnnual*E48+R36*POWER(1-(AnnualChurn*VLOOKUP(B48,ChurnSeasonTable,4,FALSE)),1)*BlendedPriceEliteAnnual*E48+R24*POWER(1-(AnnualChurn*VLOOKUP(B48,ChurnSeasonTable,4,FALSE)),2)*BlendedPriceEliteAnnual*E48+R12*POWER(1-(AnnualChurn*VLOOKUP(B48,ChurnSeasonTable,4,FALSE)),3)*BlendedPriceEliteAnnual*E48</f>
        <v/>
      </c>
      <c r="AE48" s="9">
        <f>AB48+AC48+AD48</f>
        <v/>
      </c>
      <c r="AF48" s="12">
        <f>SUM(AE37:AE48)</f>
        <v/>
      </c>
      <c r="AG48" s="12">
        <f>OR(AG47,IF(VATAgentMode,SUM($AE37:$AE48)-SUM($AL37:$AL48)&gt;=VATThreshold,SUM($AE37:$AE48)&gt;=VATThreshold))</f>
        <v/>
      </c>
      <c r="AH48" s="9">
        <f>IF(AG48,IF(VATAgentMode,AE48-((AE48-AL48)-(AE48-AL48)/(1+VATRate)),AE48/(1+VATRate)),AE48)</f>
        <v/>
      </c>
      <c r="AI48" s="12">
        <f>AE48-AH48</f>
        <v/>
      </c>
      <c r="AJ48" s="12">
        <f>IF(AG48=0,0,IF(B48=1,SUMPRODUCT(--(($C$5:$C48=$C48-1)*($B$5:$B48&gt;=10)*($B$5:$B48&lt;=12)),$AI$5:$AI48),IF(B48=4,SUMPRODUCT(--(($C$5:$C48=$C48)*($B$5:$B48&gt;=1)*($B$5:$B48&lt;=3)),$AI$5:$AI48),IF(B48=7,SUMPRODUCT(--(($C$5:$C48=$C48)*($B$5:$B48&gt;=4)*($B$5:$B48&lt;=6)),$AI$5:$AI48),IF(B48=10,SUMPRODUCT(--(($C$5:$C48=$C48)*($B$5:$B48&gt;=7)*($B$5:$B48&lt;=9)),$AI$5:$AI48),0)))))</f>
        <v/>
      </c>
      <c r="AK48" s="12">
        <f>AK47+AI48-AJ48</f>
        <v/>
      </c>
      <c r="AL48" s="12">
        <f>IF(ProviderDelay&gt;=1,S47*BlendedProvPayEss+T47*BlendedProvPayPrem+U47*BlendedProvPayElite+V47*BlendedProvPayEss+W47*BlendedProvPayPrem+X47*BlendedProvPayElite,S48*BlendedProvPayEss+T48*BlendedProvPayPrem+U48*BlendedProvPayElite+V48*BlendedProvPayEss+W48*BlendedProvPayPrem+X48*BlendedProvPayElite)</f>
        <v/>
      </c>
      <c r="AM48" s="12">
        <f>AE48*PaymentFee</f>
        <v/>
      </c>
      <c r="AN48" s="12">
        <f>Y48*OpsAI</f>
        <v/>
      </c>
      <c r="AO48" s="12">
        <f>MonthlyFixed</f>
        <v/>
      </c>
      <c r="AP48" s="12">
        <f>I48*ReferralReward</f>
        <v/>
      </c>
      <c r="AQ48" s="12">
        <f>G48</f>
        <v/>
      </c>
      <c r="AR48" s="9">
        <f>AH48-AL48-AM48-AN48-AO48-AP48-AQ48</f>
        <v/>
      </c>
      <c r="AS48" s="9">
        <f>AS47+AE48-(AL48+AM48+AN48+AO48+AP48+AQ48+AJ48)</f>
        <v/>
      </c>
      <c r="AT48" s="12">
        <f>IF(Y48&gt;0,Z48/Y48,0)</f>
        <v/>
      </c>
      <c r="AU48" s="11">
        <f>IF(Y47&gt;0,MAX(0,(Y47+J48-Y48)/Y47),0)</f>
        <v/>
      </c>
    </row>
    <row r="49">
      <c r="A49" s="12" t="n">
        <v>45</v>
      </c>
      <c r="B49" s="12">
        <f>MOD(A49-1+LaunchMonth-1,12)+1</f>
        <v/>
      </c>
      <c r="C49" s="12">
        <f>INT((A49-1+LaunchMonth-1)/12)+1</f>
        <v/>
      </c>
      <c r="D49" s="12">
        <f>VLOOKUP(B49,SeasonTable,2,FALSE)</f>
        <v/>
      </c>
      <c r="E49" s="12">
        <f>(1+InflationRate)^INT((A49-1)/12)</f>
        <v/>
      </c>
      <c r="F49" s="11">
        <f>MonthlyChurn*VLOOKUP(B49,ChurnSeasonTable,4,FALSE)</f>
        <v/>
      </c>
      <c r="G49" s="12">
        <f>MIN(MAX(MktMin19plus,AE48*MktPct19plus),MAX(0,AS48-CashBuffer))</f>
        <v/>
      </c>
      <c r="H49" s="12">
        <f>IF(G49&gt;0,MAX(1,ROUND(G49/CAC*D49,0)),0)</f>
        <v/>
      </c>
      <c r="I49" s="12">
        <f>IF(H49&gt;0,ROUND(H49*ReferralMix/(1-ReferralMix),0),0)</f>
        <v/>
      </c>
      <c r="J49" s="12">
        <f>H49+I49</f>
        <v/>
      </c>
      <c r="K49" s="12">
        <f>ROUND(J49*(1-AnnualMix),0)</f>
        <v/>
      </c>
      <c r="L49" s="12">
        <f>J49-K49</f>
        <v/>
      </c>
      <c r="M49" s="12">
        <f>ROUND(K49*EssentialMix,0)</f>
        <v/>
      </c>
      <c r="N49" s="12">
        <f>ROUND(K49*PremiumMix,0)</f>
        <v/>
      </c>
      <c r="O49" s="12">
        <f>K49-M49-N49</f>
        <v/>
      </c>
      <c r="P49" s="12">
        <f>ROUND(L49*EssentialMix,0)</f>
        <v/>
      </c>
      <c r="Q49" s="12">
        <f>ROUND(L49*PremiumMix,0)</f>
        <v/>
      </c>
      <c r="R49" s="12">
        <f>L49-P49-Q49</f>
        <v/>
      </c>
      <c r="S49" s="12">
        <f>M49+M48+M47+MAX(0,S48-M48-M47)*(1-F49)</f>
        <v/>
      </c>
      <c r="T49" s="12">
        <f>N49+N48+N47+MAX(0,T48-N48-N47)*(1-F49)</f>
        <v/>
      </c>
      <c r="U49" s="12">
        <f>O49+O48+O47+MAX(0,U48-O48-O47)*(1-F49)</f>
        <v/>
      </c>
      <c r="V49" s="12">
        <f>V48+P49-P37*(AnnualChurn*VLOOKUP(B49,ChurnSeasonTable,4,FALSE))*POWER(1-(AnnualChurn*VLOOKUP(B49,ChurnSeasonTable,4,FALSE)),0)+P25*(AnnualChurn*VLOOKUP(B49,ChurnSeasonTable,4,FALSE))*POWER(1-(AnnualChurn*VLOOKUP(B49,ChurnSeasonTable,4,FALSE)),1)+P13*(AnnualChurn*VLOOKUP(B49,ChurnSeasonTable,4,FALSE))*POWER(1-(AnnualChurn*VLOOKUP(B49,ChurnSeasonTable,4,FALSE)),2)</f>
        <v/>
      </c>
      <c r="W49" s="12">
        <f>W48+Q49-Q37*(AnnualChurn*VLOOKUP(B49,ChurnSeasonTable,4,FALSE))*POWER(1-(AnnualChurn*VLOOKUP(B49,ChurnSeasonTable,4,FALSE)),0)+Q25*(AnnualChurn*VLOOKUP(B49,ChurnSeasonTable,4,FALSE))*POWER(1-(AnnualChurn*VLOOKUP(B49,ChurnSeasonTable,4,FALSE)),1)+Q13*(AnnualChurn*VLOOKUP(B49,ChurnSeasonTable,4,FALSE))*POWER(1-(AnnualChurn*VLOOKUP(B49,ChurnSeasonTable,4,FALSE)),2)</f>
        <v/>
      </c>
      <c r="X49" s="12">
        <f>X48+R49-R37*(AnnualChurn*VLOOKUP(B49,ChurnSeasonTable,4,FALSE))*POWER(1-(AnnualChurn*VLOOKUP(B49,ChurnSeasonTable,4,FALSE)),0)+R25*(AnnualChurn*VLOOKUP(B49,ChurnSeasonTable,4,FALSE))*POWER(1-(AnnualChurn*VLOOKUP(B49,ChurnSeasonTable,4,FALSE)),1)+R13*(AnnualChurn*VLOOKUP(B49,ChurnSeasonTable,4,FALSE))*POWER(1-(AnnualChurn*VLOOKUP(B49,ChurnSeasonTable,4,FALSE)),2)</f>
        <v/>
      </c>
      <c r="Y49" s="12">
        <f>S49+T49+U49+V49+W49+X49</f>
        <v/>
      </c>
      <c r="Z49" s="9">
        <f>S49*BlendedPriceEssMonthly*E49+T49*BlendedPricePremMonthly*E49+U49*BlendedPriceEliteMonthly*E49+V49*BlendedPriceEssAnnual*E49/12+W49*BlendedPricePremAnnual*E49/12+X49*BlendedPriceEliteAnnual*E49/12</f>
        <v/>
      </c>
      <c r="AA49" s="9">
        <f>Z49*12</f>
        <v/>
      </c>
      <c r="AB49" s="12">
        <f>S49*BlendedPriceEssMonthly*E49+T49*BlendedPricePremMonthly*E49+U49*BlendedPriceEliteMonthly*E49</f>
        <v/>
      </c>
      <c r="AC49" s="12">
        <f>P49*BlendedPriceEssAnnual*E49+Q49*BlendedPricePremAnnual*E49+R49*BlendedPriceEliteAnnual*E49</f>
        <v/>
      </c>
      <c r="AD49" s="12">
        <f>P37*POWER(1-(AnnualChurn*VLOOKUP(B49,ChurnSeasonTable,4,FALSE)),1)*BlendedPriceEssAnnual*E49+P25*POWER(1-(AnnualChurn*VLOOKUP(B49,ChurnSeasonTable,4,FALSE)),2)*BlendedPriceEssAnnual*E49+P13*POWER(1-(AnnualChurn*VLOOKUP(B49,ChurnSeasonTable,4,FALSE)),3)*BlendedPriceEssAnnual*E49+Q37*POWER(1-(AnnualChurn*VLOOKUP(B49,ChurnSeasonTable,4,FALSE)),1)*BlendedPricePremAnnual*E49+Q25*POWER(1-(AnnualChurn*VLOOKUP(B49,ChurnSeasonTable,4,FALSE)),2)*BlendedPricePremAnnual*E49+Q13*POWER(1-(AnnualChurn*VLOOKUP(B49,ChurnSeasonTable,4,FALSE)),3)*BlendedPricePremAnnual*E49+R37*POWER(1-(AnnualChurn*VLOOKUP(B49,ChurnSeasonTable,4,FALSE)),1)*BlendedPriceEliteAnnual*E49+R25*POWER(1-(AnnualChurn*VLOOKUP(B49,ChurnSeasonTable,4,FALSE)),2)*BlendedPriceEliteAnnual*E49+R13*POWER(1-(AnnualChurn*VLOOKUP(B49,ChurnSeasonTable,4,FALSE)),3)*BlendedPriceEliteAnnual*E49</f>
        <v/>
      </c>
      <c r="AE49" s="9">
        <f>AB49+AC49+AD49</f>
        <v/>
      </c>
      <c r="AF49" s="12">
        <f>SUM(AE38:AE49)</f>
        <v/>
      </c>
      <c r="AG49" s="12">
        <f>OR(AG48,IF(VATAgentMode,SUM($AE38:$AE49)-SUM($AL38:$AL49)&gt;=VATThreshold,SUM($AE38:$AE49)&gt;=VATThreshold))</f>
        <v/>
      </c>
      <c r="AH49" s="9">
        <f>IF(AG49,IF(VATAgentMode,AE49-((AE49-AL49)-(AE49-AL49)/(1+VATRate)),AE49/(1+VATRate)),AE49)</f>
        <v/>
      </c>
      <c r="AI49" s="12">
        <f>AE49-AH49</f>
        <v/>
      </c>
      <c r="AJ49" s="12">
        <f>IF(AG49=0,0,IF(B49=1,SUMPRODUCT(--(($C$5:$C49=$C49-1)*($B$5:$B49&gt;=10)*($B$5:$B49&lt;=12)),$AI$5:$AI49),IF(B49=4,SUMPRODUCT(--(($C$5:$C49=$C49)*($B$5:$B49&gt;=1)*($B$5:$B49&lt;=3)),$AI$5:$AI49),IF(B49=7,SUMPRODUCT(--(($C$5:$C49=$C49)*($B$5:$B49&gt;=4)*($B$5:$B49&lt;=6)),$AI$5:$AI49),IF(B49=10,SUMPRODUCT(--(($C$5:$C49=$C49)*($B$5:$B49&gt;=7)*($B$5:$B49&lt;=9)),$AI$5:$AI49),0)))))</f>
        <v/>
      </c>
      <c r="AK49" s="12">
        <f>AK48+AI49-AJ49</f>
        <v/>
      </c>
      <c r="AL49" s="12">
        <f>IF(ProviderDelay&gt;=1,S48*BlendedProvPayEss+T48*BlendedProvPayPrem+U48*BlendedProvPayElite+V48*BlendedProvPayEss+W48*BlendedProvPayPrem+X48*BlendedProvPayElite,S49*BlendedProvPayEss+T49*BlendedProvPayPrem+U49*BlendedProvPayElite+V49*BlendedProvPayEss+W49*BlendedProvPayPrem+X49*BlendedProvPayElite)</f>
        <v/>
      </c>
      <c r="AM49" s="12">
        <f>AE49*PaymentFee</f>
        <v/>
      </c>
      <c r="AN49" s="12">
        <f>Y49*OpsAI</f>
        <v/>
      </c>
      <c r="AO49" s="12">
        <f>MonthlyFixed</f>
        <v/>
      </c>
      <c r="AP49" s="12">
        <f>I49*ReferralReward</f>
        <v/>
      </c>
      <c r="AQ49" s="12">
        <f>G49</f>
        <v/>
      </c>
      <c r="AR49" s="9">
        <f>AH49-AL49-AM49-AN49-AO49-AP49-AQ49</f>
        <v/>
      </c>
      <c r="AS49" s="9">
        <f>AS48+AE49-(AL49+AM49+AN49+AO49+AP49+AQ49+AJ49)</f>
        <v/>
      </c>
      <c r="AT49" s="12">
        <f>IF(Y49&gt;0,Z49/Y49,0)</f>
        <v/>
      </c>
      <c r="AU49" s="11">
        <f>IF(Y48&gt;0,MAX(0,(Y48+J49-Y49)/Y48),0)</f>
        <v/>
      </c>
    </row>
    <row r="50">
      <c r="A50" s="12" t="n">
        <v>46</v>
      </c>
      <c r="B50" s="12">
        <f>MOD(A50-1+LaunchMonth-1,12)+1</f>
        <v/>
      </c>
      <c r="C50" s="12">
        <f>INT((A50-1+LaunchMonth-1)/12)+1</f>
        <v/>
      </c>
      <c r="D50" s="12">
        <f>VLOOKUP(B50,SeasonTable,2,FALSE)</f>
        <v/>
      </c>
      <c r="E50" s="12">
        <f>(1+InflationRate)^INT((A50-1)/12)</f>
        <v/>
      </c>
      <c r="F50" s="11">
        <f>MonthlyChurn*VLOOKUP(B50,ChurnSeasonTable,4,FALSE)</f>
        <v/>
      </c>
      <c r="G50" s="12">
        <f>MIN(MAX(MktMin19plus,AE49*MktPct19plus),MAX(0,AS49-CashBuffer))</f>
        <v/>
      </c>
      <c r="H50" s="12">
        <f>IF(G50&gt;0,MAX(1,ROUND(G50/CAC*D50,0)),0)</f>
        <v/>
      </c>
      <c r="I50" s="12">
        <f>IF(H50&gt;0,ROUND(H50*ReferralMix/(1-ReferralMix),0),0)</f>
        <v/>
      </c>
      <c r="J50" s="12">
        <f>H50+I50</f>
        <v/>
      </c>
      <c r="K50" s="12">
        <f>ROUND(J50*(1-AnnualMix),0)</f>
        <v/>
      </c>
      <c r="L50" s="12">
        <f>J50-K50</f>
        <v/>
      </c>
      <c r="M50" s="12">
        <f>ROUND(K50*EssentialMix,0)</f>
        <v/>
      </c>
      <c r="N50" s="12">
        <f>ROUND(K50*PremiumMix,0)</f>
        <v/>
      </c>
      <c r="O50" s="12">
        <f>K50-M50-N50</f>
        <v/>
      </c>
      <c r="P50" s="12">
        <f>ROUND(L50*EssentialMix,0)</f>
        <v/>
      </c>
      <c r="Q50" s="12">
        <f>ROUND(L50*PremiumMix,0)</f>
        <v/>
      </c>
      <c r="R50" s="12">
        <f>L50-P50-Q50</f>
        <v/>
      </c>
      <c r="S50" s="12">
        <f>M50+M49+M48+MAX(0,S49-M49-M48)*(1-F50)</f>
        <v/>
      </c>
      <c r="T50" s="12">
        <f>N50+N49+N48+MAX(0,T49-N49-N48)*(1-F50)</f>
        <v/>
      </c>
      <c r="U50" s="12">
        <f>O50+O49+O48+MAX(0,U49-O49-O48)*(1-F50)</f>
        <v/>
      </c>
      <c r="V50" s="12">
        <f>V49+P50-P38*(AnnualChurn*VLOOKUP(B50,ChurnSeasonTable,4,FALSE))*POWER(1-(AnnualChurn*VLOOKUP(B50,ChurnSeasonTable,4,FALSE)),0)+P26*(AnnualChurn*VLOOKUP(B50,ChurnSeasonTable,4,FALSE))*POWER(1-(AnnualChurn*VLOOKUP(B50,ChurnSeasonTable,4,FALSE)),1)+P14*(AnnualChurn*VLOOKUP(B50,ChurnSeasonTable,4,FALSE))*POWER(1-(AnnualChurn*VLOOKUP(B50,ChurnSeasonTable,4,FALSE)),2)</f>
        <v/>
      </c>
      <c r="W50" s="12">
        <f>W49+Q50-Q38*(AnnualChurn*VLOOKUP(B50,ChurnSeasonTable,4,FALSE))*POWER(1-(AnnualChurn*VLOOKUP(B50,ChurnSeasonTable,4,FALSE)),0)+Q26*(AnnualChurn*VLOOKUP(B50,ChurnSeasonTable,4,FALSE))*POWER(1-(AnnualChurn*VLOOKUP(B50,ChurnSeasonTable,4,FALSE)),1)+Q14*(AnnualChurn*VLOOKUP(B50,ChurnSeasonTable,4,FALSE))*POWER(1-(AnnualChurn*VLOOKUP(B50,ChurnSeasonTable,4,FALSE)),2)</f>
        <v/>
      </c>
      <c r="X50" s="12">
        <f>X49+R50-R38*(AnnualChurn*VLOOKUP(B50,ChurnSeasonTable,4,FALSE))*POWER(1-(AnnualChurn*VLOOKUP(B50,ChurnSeasonTable,4,FALSE)),0)+R26*(AnnualChurn*VLOOKUP(B50,ChurnSeasonTable,4,FALSE))*POWER(1-(AnnualChurn*VLOOKUP(B50,ChurnSeasonTable,4,FALSE)),1)+R14*(AnnualChurn*VLOOKUP(B50,ChurnSeasonTable,4,FALSE))*POWER(1-(AnnualChurn*VLOOKUP(B50,ChurnSeasonTable,4,FALSE)),2)</f>
        <v/>
      </c>
      <c r="Y50" s="12">
        <f>S50+T50+U50+V50+W50+X50</f>
        <v/>
      </c>
      <c r="Z50" s="9">
        <f>S50*BlendedPriceEssMonthly*E50+T50*BlendedPricePremMonthly*E50+U50*BlendedPriceEliteMonthly*E50+V50*BlendedPriceEssAnnual*E50/12+W50*BlendedPricePremAnnual*E50/12+X50*BlendedPriceEliteAnnual*E50/12</f>
        <v/>
      </c>
      <c r="AA50" s="9">
        <f>Z50*12</f>
        <v/>
      </c>
      <c r="AB50" s="12">
        <f>S50*BlendedPriceEssMonthly*E50+T50*BlendedPricePremMonthly*E50+U50*BlendedPriceEliteMonthly*E50</f>
        <v/>
      </c>
      <c r="AC50" s="12">
        <f>P50*BlendedPriceEssAnnual*E50+Q50*BlendedPricePremAnnual*E50+R50*BlendedPriceEliteAnnual*E50</f>
        <v/>
      </c>
      <c r="AD50" s="12">
        <f>P38*POWER(1-(AnnualChurn*VLOOKUP(B50,ChurnSeasonTable,4,FALSE)),1)*BlendedPriceEssAnnual*E50+P26*POWER(1-(AnnualChurn*VLOOKUP(B50,ChurnSeasonTable,4,FALSE)),2)*BlendedPriceEssAnnual*E50+P14*POWER(1-(AnnualChurn*VLOOKUP(B50,ChurnSeasonTable,4,FALSE)),3)*BlendedPriceEssAnnual*E50+Q38*POWER(1-(AnnualChurn*VLOOKUP(B50,ChurnSeasonTable,4,FALSE)),1)*BlendedPricePremAnnual*E50+Q26*POWER(1-(AnnualChurn*VLOOKUP(B50,ChurnSeasonTable,4,FALSE)),2)*BlendedPricePremAnnual*E50+Q14*POWER(1-(AnnualChurn*VLOOKUP(B50,ChurnSeasonTable,4,FALSE)),3)*BlendedPricePremAnnual*E50+R38*POWER(1-(AnnualChurn*VLOOKUP(B50,ChurnSeasonTable,4,FALSE)),1)*BlendedPriceEliteAnnual*E50+R26*POWER(1-(AnnualChurn*VLOOKUP(B50,ChurnSeasonTable,4,FALSE)),2)*BlendedPriceEliteAnnual*E50+R14*POWER(1-(AnnualChurn*VLOOKUP(B50,ChurnSeasonTable,4,FALSE)),3)*BlendedPriceEliteAnnual*E50</f>
        <v/>
      </c>
      <c r="AE50" s="9">
        <f>AB50+AC50+AD50</f>
        <v/>
      </c>
      <c r="AF50" s="12">
        <f>SUM(AE39:AE50)</f>
        <v/>
      </c>
      <c r="AG50" s="12">
        <f>OR(AG49,IF(VATAgentMode,SUM($AE39:$AE50)-SUM($AL39:$AL50)&gt;=VATThreshold,SUM($AE39:$AE50)&gt;=VATThreshold))</f>
        <v/>
      </c>
      <c r="AH50" s="9">
        <f>IF(AG50,IF(VATAgentMode,AE50-((AE50-AL50)-(AE50-AL50)/(1+VATRate)),AE50/(1+VATRate)),AE50)</f>
        <v/>
      </c>
      <c r="AI50" s="12">
        <f>AE50-AH50</f>
        <v/>
      </c>
      <c r="AJ50" s="12">
        <f>IF(AG50=0,0,IF(B50=1,SUMPRODUCT(--(($C$5:$C50=$C50-1)*($B$5:$B50&gt;=10)*($B$5:$B50&lt;=12)),$AI$5:$AI50),IF(B50=4,SUMPRODUCT(--(($C$5:$C50=$C50)*($B$5:$B50&gt;=1)*($B$5:$B50&lt;=3)),$AI$5:$AI50),IF(B50=7,SUMPRODUCT(--(($C$5:$C50=$C50)*($B$5:$B50&gt;=4)*($B$5:$B50&lt;=6)),$AI$5:$AI50),IF(B50=10,SUMPRODUCT(--(($C$5:$C50=$C50)*($B$5:$B50&gt;=7)*($B$5:$B50&lt;=9)),$AI$5:$AI50),0)))))</f>
        <v/>
      </c>
      <c r="AK50" s="12">
        <f>AK49+AI50-AJ50</f>
        <v/>
      </c>
      <c r="AL50" s="12">
        <f>IF(ProviderDelay&gt;=1,S49*BlendedProvPayEss+T49*BlendedProvPayPrem+U49*BlendedProvPayElite+V49*BlendedProvPayEss+W49*BlendedProvPayPrem+X49*BlendedProvPayElite,S50*BlendedProvPayEss+T50*BlendedProvPayPrem+U50*BlendedProvPayElite+V50*BlendedProvPayEss+W50*BlendedProvPayPrem+X50*BlendedProvPayElite)</f>
        <v/>
      </c>
      <c r="AM50" s="12">
        <f>AE50*PaymentFee</f>
        <v/>
      </c>
      <c r="AN50" s="12">
        <f>Y50*OpsAI</f>
        <v/>
      </c>
      <c r="AO50" s="12">
        <f>MonthlyFixed</f>
        <v/>
      </c>
      <c r="AP50" s="12">
        <f>I50*ReferralReward</f>
        <v/>
      </c>
      <c r="AQ50" s="12">
        <f>G50</f>
        <v/>
      </c>
      <c r="AR50" s="9">
        <f>AH50-AL50-AM50-AN50-AO50-AP50-AQ50</f>
        <v/>
      </c>
      <c r="AS50" s="9">
        <f>AS49+AE50-(AL50+AM50+AN50+AO50+AP50+AQ50+AJ50)</f>
        <v/>
      </c>
      <c r="AT50" s="12">
        <f>IF(Y50&gt;0,Z50/Y50,0)</f>
        <v/>
      </c>
      <c r="AU50" s="11">
        <f>IF(Y49&gt;0,MAX(0,(Y49+J50-Y50)/Y49),0)</f>
        <v/>
      </c>
    </row>
    <row r="51">
      <c r="A51" s="12" t="n">
        <v>47</v>
      </c>
      <c r="B51" s="12">
        <f>MOD(A51-1+LaunchMonth-1,12)+1</f>
        <v/>
      </c>
      <c r="C51" s="12">
        <f>INT((A51-1+LaunchMonth-1)/12)+1</f>
        <v/>
      </c>
      <c r="D51" s="12">
        <f>VLOOKUP(B51,SeasonTable,2,FALSE)</f>
        <v/>
      </c>
      <c r="E51" s="12">
        <f>(1+InflationRate)^INT((A51-1)/12)</f>
        <v/>
      </c>
      <c r="F51" s="11">
        <f>MonthlyChurn*VLOOKUP(B51,ChurnSeasonTable,4,FALSE)</f>
        <v/>
      </c>
      <c r="G51" s="12">
        <f>MIN(MAX(MktMin19plus,AE50*MktPct19plus),MAX(0,AS50-CashBuffer))</f>
        <v/>
      </c>
      <c r="H51" s="12">
        <f>IF(G51&gt;0,MAX(1,ROUND(G51/CAC*D51,0)),0)</f>
        <v/>
      </c>
      <c r="I51" s="12">
        <f>IF(H51&gt;0,ROUND(H51*ReferralMix/(1-ReferralMix),0),0)</f>
        <v/>
      </c>
      <c r="J51" s="12">
        <f>H51+I51</f>
        <v/>
      </c>
      <c r="K51" s="12">
        <f>ROUND(J51*(1-AnnualMix),0)</f>
        <v/>
      </c>
      <c r="L51" s="12">
        <f>J51-K51</f>
        <v/>
      </c>
      <c r="M51" s="12">
        <f>ROUND(K51*EssentialMix,0)</f>
        <v/>
      </c>
      <c r="N51" s="12">
        <f>ROUND(K51*PremiumMix,0)</f>
        <v/>
      </c>
      <c r="O51" s="12">
        <f>K51-M51-N51</f>
        <v/>
      </c>
      <c r="P51" s="12">
        <f>ROUND(L51*EssentialMix,0)</f>
        <v/>
      </c>
      <c r="Q51" s="12">
        <f>ROUND(L51*PremiumMix,0)</f>
        <v/>
      </c>
      <c r="R51" s="12">
        <f>L51-P51-Q51</f>
        <v/>
      </c>
      <c r="S51" s="12">
        <f>M51+M50+M49+MAX(0,S50-M50-M49)*(1-F51)</f>
        <v/>
      </c>
      <c r="T51" s="12">
        <f>N51+N50+N49+MAX(0,T50-N50-N49)*(1-F51)</f>
        <v/>
      </c>
      <c r="U51" s="12">
        <f>O51+O50+O49+MAX(0,U50-O50-O49)*(1-F51)</f>
        <v/>
      </c>
      <c r="V51" s="12">
        <f>V50+P51-P39*(AnnualChurn*VLOOKUP(B51,ChurnSeasonTable,4,FALSE))*POWER(1-(AnnualChurn*VLOOKUP(B51,ChurnSeasonTable,4,FALSE)),0)+P27*(AnnualChurn*VLOOKUP(B51,ChurnSeasonTable,4,FALSE))*POWER(1-(AnnualChurn*VLOOKUP(B51,ChurnSeasonTable,4,FALSE)),1)+P15*(AnnualChurn*VLOOKUP(B51,ChurnSeasonTable,4,FALSE))*POWER(1-(AnnualChurn*VLOOKUP(B51,ChurnSeasonTable,4,FALSE)),2)</f>
        <v/>
      </c>
      <c r="W51" s="12">
        <f>W50+Q51-Q39*(AnnualChurn*VLOOKUP(B51,ChurnSeasonTable,4,FALSE))*POWER(1-(AnnualChurn*VLOOKUP(B51,ChurnSeasonTable,4,FALSE)),0)+Q27*(AnnualChurn*VLOOKUP(B51,ChurnSeasonTable,4,FALSE))*POWER(1-(AnnualChurn*VLOOKUP(B51,ChurnSeasonTable,4,FALSE)),1)+Q15*(AnnualChurn*VLOOKUP(B51,ChurnSeasonTable,4,FALSE))*POWER(1-(AnnualChurn*VLOOKUP(B51,ChurnSeasonTable,4,FALSE)),2)</f>
        <v/>
      </c>
      <c r="X51" s="12">
        <f>X50+R51-R39*(AnnualChurn*VLOOKUP(B51,ChurnSeasonTable,4,FALSE))*POWER(1-(AnnualChurn*VLOOKUP(B51,ChurnSeasonTable,4,FALSE)),0)+R27*(AnnualChurn*VLOOKUP(B51,ChurnSeasonTable,4,FALSE))*POWER(1-(AnnualChurn*VLOOKUP(B51,ChurnSeasonTable,4,FALSE)),1)+R15*(AnnualChurn*VLOOKUP(B51,ChurnSeasonTable,4,FALSE))*POWER(1-(AnnualChurn*VLOOKUP(B51,ChurnSeasonTable,4,FALSE)),2)</f>
        <v/>
      </c>
      <c r="Y51" s="12">
        <f>S51+T51+U51+V51+W51+X51</f>
        <v/>
      </c>
      <c r="Z51" s="9">
        <f>S51*BlendedPriceEssMonthly*E51+T51*BlendedPricePremMonthly*E51+U51*BlendedPriceEliteMonthly*E51+V51*BlendedPriceEssAnnual*E51/12+W51*BlendedPricePremAnnual*E51/12+X51*BlendedPriceEliteAnnual*E51/12</f>
        <v/>
      </c>
      <c r="AA51" s="9">
        <f>Z51*12</f>
        <v/>
      </c>
      <c r="AB51" s="12">
        <f>S51*BlendedPriceEssMonthly*E51+T51*BlendedPricePremMonthly*E51+U51*BlendedPriceEliteMonthly*E51</f>
        <v/>
      </c>
      <c r="AC51" s="12">
        <f>P51*BlendedPriceEssAnnual*E51+Q51*BlendedPricePremAnnual*E51+R51*BlendedPriceEliteAnnual*E51</f>
        <v/>
      </c>
      <c r="AD51" s="12">
        <f>P39*POWER(1-(AnnualChurn*VLOOKUP(B51,ChurnSeasonTable,4,FALSE)),1)*BlendedPriceEssAnnual*E51+P27*POWER(1-(AnnualChurn*VLOOKUP(B51,ChurnSeasonTable,4,FALSE)),2)*BlendedPriceEssAnnual*E51+P15*POWER(1-(AnnualChurn*VLOOKUP(B51,ChurnSeasonTable,4,FALSE)),3)*BlendedPriceEssAnnual*E51+Q39*POWER(1-(AnnualChurn*VLOOKUP(B51,ChurnSeasonTable,4,FALSE)),1)*BlendedPricePremAnnual*E51+Q27*POWER(1-(AnnualChurn*VLOOKUP(B51,ChurnSeasonTable,4,FALSE)),2)*BlendedPricePremAnnual*E51+Q15*POWER(1-(AnnualChurn*VLOOKUP(B51,ChurnSeasonTable,4,FALSE)),3)*BlendedPricePremAnnual*E51+R39*POWER(1-(AnnualChurn*VLOOKUP(B51,ChurnSeasonTable,4,FALSE)),1)*BlendedPriceEliteAnnual*E51+R27*POWER(1-(AnnualChurn*VLOOKUP(B51,ChurnSeasonTable,4,FALSE)),2)*BlendedPriceEliteAnnual*E51+R15*POWER(1-(AnnualChurn*VLOOKUP(B51,ChurnSeasonTable,4,FALSE)),3)*BlendedPriceEliteAnnual*E51</f>
        <v/>
      </c>
      <c r="AE51" s="9">
        <f>AB51+AC51+AD51</f>
        <v/>
      </c>
      <c r="AF51" s="12">
        <f>SUM(AE40:AE51)</f>
        <v/>
      </c>
      <c r="AG51" s="12">
        <f>OR(AG50,IF(VATAgentMode,SUM($AE40:$AE51)-SUM($AL40:$AL51)&gt;=VATThreshold,SUM($AE40:$AE51)&gt;=VATThreshold))</f>
        <v/>
      </c>
      <c r="AH51" s="9">
        <f>IF(AG51,IF(VATAgentMode,AE51-((AE51-AL51)-(AE51-AL51)/(1+VATRate)),AE51/(1+VATRate)),AE51)</f>
        <v/>
      </c>
      <c r="AI51" s="12">
        <f>AE51-AH51</f>
        <v/>
      </c>
      <c r="AJ51" s="12">
        <f>IF(AG51=0,0,IF(B51=1,SUMPRODUCT(--(($C$5:$C51=$C51-1)*($B$5:$B51&gt;=10)*($B$5:$B51&lt;=12)),$AI$5:$AI51),IF(B51=4,SUMPRODUCT(--(($C$5:$C51=$C51)*($B$5:$B51&gt;=1)*($B$5:$B51&lt;=3)),$AI$5:$AI51),IF(B51=7,SUMPRODUCT(--(($C$5:$C51=$C51)*($B$5:$B51&gt;=4)*($B$5:$B51&lt;=6)),$AI$5:$AI51),IF(B51=10,SUMPRODUCT(--(($C$5:$C51=$C51)*($B$5:$B51&gt;=7)*($B$5:$B51&lt;=9)),$AI$5:$AI51),0)))))</f>
        <v/>
      </c>
      <c r="AK51" s="12">
        <f>AK50+AI51-AJ51</f>
        <v/>
      </c>
      <c r="AL51" s="12">
        <f>IF(ProviderDelay&gt;=1,S50*BlendedProvPayEss+T50*BlendedProvPayPrem+U50*BlendedProvPayElite+V50*BlendedProvPayEss+W50*BlendedProvPayPrem+X50*BlendedProvPayElite,S51*BlendedProvPayEss+T51*BlendedProvPayPrem+U51*BlendedProvPayElite+V51*BlendedProvPayEss+W51*BlendedProvPayPrem+X51*BlendedProvPayElite)</f>
        <v/>
      </c>
      <c r="AM51" s="12">
        <f>AE51*PaymentFee</f>
        <v/>
      </c>
      <c r="AN51" s="12">
        <f>Y51*OpsAI</f>
        <v/>
      </c>
      <c r="AO51" s="12">
        <f>MonthlyFixed</f>
        <v/>
      </c>
      <c r="AP51" s="12">
        <f>I51*ReferralReward</f>
        <v/>
      </c>
      <c r="AQ51" s="12">
        <f>G51</f>
        <v/>
      </c>
      <c r="AR51" s="9">
        <f>AH51-AL51-AM51-AN51-AO51-AP51-AQ51</f>
        <v/>
      </c>
      <c r="AS51" s="9">
        <f>AS50+AE51-(AL51+AM51+AN51+AO51+AP51+AQ51+AJ51)</f>
        <v/>
      </c>
      <c r="AT51" s="12">
        <f>IF(Y51&gt;0,Z51/Y51,0)</f>
        <v/>
      </c>
      <c r="AU51" s="11">
        <f>IF(Y50&gt;0,MAX(0,(Y50+J51-Y51)/Y50),0)</f>
        <v/>
      </c>
    </row>
    <row r="52">
      <c r="A52" s="12" t="n">
        <v>48</v>
      </c>
      <c r="B52" s="12">
        <f>MOD(A52-1+LaunchMonth-1,12)+1</f>
        <v/>
      </c>
      <c r="C52" s="12">
        <f>INT((A52-1+LaunchMonth-1)/12)+1</f>
        <v/>
      </c>
      <c r="D52" s="12">
        <f>VLOOKUP(B52,SeasonTable,2,FALSE)</f>
        <v/>
      </c>
      <c r="E52" s="12">
        <f>(1+InflationRate)^INT((A52-1)/12)</f>
        <v/>
      </c>
      <c r="F52" s="11">
        <f>MonthlyChurn*VLOOKUP(B52,ChurnSeasonTable,4,FALSE)</f>
        <v/>
      </c>
      <c r="G52" s="12">
        <f>MIN(MAX(MktMin19plus,AE51*MktPct19plus),MAX(0,AS51-CashBuffer))</f>
        <v/>
      </c>
      <c r="H52" s="12">
        <f>IF(G52&gt;0,MAX(1,ROUND(G52/CAC*D52,0)),0)</f>
        <v/>
      </c>
      <c r="I52" s="12">
        <f>IF(H52&gt;0,ROUND(H52*ReferralMix/(1-ReferralMix),0),0)</f>
        <v/>
      </c>
      <c r="J52" s="12">
        <f>H52+I52</f>
        <v/>
      </c>
      <c r="K52" s="12">
        <f>ROUND(J52*(1-AnnualMix),0)</f>
        <v/>
      </c>
      <c r="L52" s="12">
        <f>J52-K52</f>
        <v/>
      </c>
      <c r="M52" s="12">
        <f>ROUND(K52*EssentialMix,0)</f>
        <v/>
      </c>
      <c r="N52" s="12">
        <f>ROUND(K52*PremiumMix,0)</f>
        <v/>
      </c>
      <c r="O52" s="12">
        <f>K52-M52-N52</f>
        <v/>
      </c>
      <c r="P52" s="12">
        <f>ROUND(L52*EssentialMix,0)</f>
        <v/>
      </c>
      <c r="Q52" s="12">
        <f>ROUND(L52*PremiumMix,0)</f>
        <v/>
      </c>
      <c r="R52" s="12">
        <f>L52-P52-Q52</f>
        <v/>
      </c>
      <c r="S52" s="12">
        <f>M52+M51+M50+MAX(0,S51-M51-M50)*(1-F52)</f>
        <v/>
      </c>
      <c r="T52" s="12">
        <f>N52+N51+N50+MAX(0,T51-N51-N50)*(1-F52)</f>
        <v/>
      </c>
      <c r="U52" s="12">
        <f>O52+O51+O50+MAX(0,U51-O51-O50)*(1-F52)</f>
        <v/>
      </c>
      <c r="V52" s="12">
        <f>V51+P52-P40*(AnnualChurn*VLOOKUP(B52,ChurnSeasonTable,4,FALSE))*POWER(1-(AnnualChurn*VLOOKUP(B52,ChurnSeasonTable,4,FALSE)),0)+P28*(AnnualChurn*VLOOKUP(B52,ChurnSeasonTable,4,FALSE))*POWER(1-(AnnualChurn*VLOOKUP(B52,ChurnSeasonTable,4,FALSE)),1)+P16*(AnnualChurn*VLOOKUP(B52,ChurnSeasonTable,4,FALSE))*POWER(1-(AnnualChurn*VLOOKUP(B52,ChurnSeasonTable,4,FALSE)),2)</f>
        <v/>
      </c>
      <c r="W52" s="12">
        <f>W51+Q52-Q40*(AnnualChurn*VLOOKUP(B52,ChurnSeasonTable,4,FALSE))*POWER(1-(AnnualChurn*VLOOKUP(B52,ChurnSeasonTable,4,FALSE)),0)+Q28*(AnnualChurn*VLOOKUP(B52,ChurnSeasonTable,4,FALSE))*POWER(1-(AnnualChurn*VLOOKUP(B52,ChurnSeasonTable,4,FALSE)),1)+Q16*(AnnualChurn*VLOOKUP(B52,ChurnSeasonTable,4,FALSE))*POWER(1-(AnnualChurn*VLOOKUP(B52,ChurnSeasonTable,4,FALSE)),2)</f>
        <v/>
      </c>
      <c r="X52" s="12">
        <f>X51+R52-R40*(AnnualChurn*VLOOKUP(B52,ChurnSeasonTable,4,FALSE))*POWER(1-(AnnualChurn*VLOOKUP(B52,ChurnSeasonTable,4,FALSE)),0)+R28*(AnnualChurn*VLOOKUP(B52,ChurnSeasonTable,4,FALSE))*POWER(1-(AnnualChurn*VLOOKUP(B52,ChurnSeasonTable,4,FALSE)),1)+R16*(AnnualChurn*VLOOKUP(B52,ChurnSeasonTable,4,FALSE))*POWER(1-(AnnualChurn*VLOOKUP(B52,ChurnSeasonTable,4,FALSE)),2)</f>
        <v/>
      </c>
      <c r="Y52" s="12">
        <f>S52+T52+U52+V52+W52+X52</f>
        <v/>
      </c>
      <c r="Z52" s="9">
        <f>S52*BlendedPriceEssMonthly*E52+T52*BlendedPricePremMonthly*E52+U52*BlendedPriceEliteMonthly*E52+V52*BlendedPriceEssAnnual*E52/12+W52*BlendedPricePremAnnual*E52/12+X52*BlendedPriceEliteAnnual*E52/12</f>
        <v/>
      </c>
      <c r="AA52" s="9">
        <f>Z52*12</f>
        <v/>
      </c>
      <c r="AB52" s="12">
        <f>S52*BlendedPriceEssMonthly*E52+T52*BlendedPricePremMonthly*E52+U52*BlendedPriceEliteMonthly*E52</f>
        <v/>
      </c>
      <c r="AC52" s="12">
        <f>P52*BlendedPriceEssAnnual*E52+Q52*BlendedPricePremAnnual*E52+R52*BlendedPriceEliteAnnual*E52</f>
        <v/>
      </c>
      <c r="AD52" s="12">
        <f>P40*POWER(1-(AnnualChurn*VLOOKUP(B52,ChurnSeasonTable,4,FALSE)),1)*BlendedPriceEssAnnual*E52+P28*POWER(1-(AnnualChurn*VLOOKUP(B52,ChurnSeasonTable,4,FALSE)),2)*BlendedPriceEssAnnual*E52+P16*POWER(1-(AnnualChurn*VLOOKUP(B52,ChurnSeasonTable,4,FALSE)),3)*BlendedPriceEssAnnual*E52+Q40*POWER(1-(AnnualChurn*VLOOKUP(B52,ChurnSeasonTable,4,FALSE)),1)*BlendedPricePremAnnual*E52+Q28*POWER(1-(AnnualChurn*VLOOKUP(B52,ChurnSeasonTable,4,FALSE)),2)*BlendedPricePremAnnual*E52+Q16*POWER(1-(AnnualChurn*VLOOKUP(B52,ChurnSeasonTable,4,FALSE)),3)*BlendedPricePremAnnual*E52+R40*POWER(1-(AnnualChurn*VLOOKUP(B52,ChurnSeasonTable,4,FALSE)),1)*BlendedPriceEliteAnnual*E52+R28*POWER(1-(AnnualChurn*VLOOKUP(B52,ChurnSeasonTable,4,FALSE)),2)*BlendedPriceEliteAnnual*E52+R16*POWER(1-(AnnualChurn*VLOOKUP(B52,ChurnSeasonTable,4,FALSE)),3)*BlendedPriceEliteAnnual*E52</f>
        <v/>
      </c>
      <c r="AE52" s="9">
        <f>AB52+AC52+AD52</f>
        <v/>
      </c>
      <c r="AF52" s="12">
        <f>SUM(AE41:AE52)</f>
        <v/>
      </c>
      <c r="AG52" s="12">
        <f>OR(AG51,IF(VATAgentMode,SUM($AE41:$AE52)-SUM($AL41:$AL52)&gt;=VATThreshold,SUM($AE41:$AE52)&gt;=VATThreshold))</f>
        <v/>
      </c>
      <c r="AH52" s="9">
        <f>IF(AG52,IF(VATAgentMode,AE52-((AE52-AL52)-(AE52-AL52)/(1+VATRate)),AE52/(1+VATRate)),AE52)</f>
        <v/>
      </c>
      <c r="AI52" s="12">
        <f>AE52-AH52</f>
        <v/>
      </c>
      <c r="AJ52" s="12">
        <f>IF(AG52=0,0,IF(B52=1,SUMPRODUCT(--(($C$5:$C52=$C52-1)*($B$5:$B52&gt;=10)*($B$5:$B52&lt;=12)),$AI$5:$AI52),IF(B52=4,SUMPRODUCT(--(($C$5:$C52=$C52)*($B$5:$B52&gt;=1)*($B$5:$B52&lt;=3)),$AI$5:$AI52),IF(B52=7,SUMPRODUCT(--(($C$5:$C52=$C52)*($B$5:$B52&gt;=4)*($B$5:$B52&lt;=6)),$AI$5:$AI52),IF(B52=10,SUMPRODUCT(--(($C$5:$C52=$C52)*($B$5:$B52&gt;=7)*($B$5:$B52&lt;=9)),$AI$5:$AI52),0)))))</f>
        <v/>
      </c>
      <c r="AK52" s="12">
        <f>AK51+AI52-AJ52</f>
        <v/>
      </c>
      <c r="AL52" s="12">
        <f>IF(ProviderDelay&gt;=1,S51*BlendedProvPayEss+T51*BlendedProvPayPrem+U51*BlendedProvPayElite+V51*BlendedProvPayEss+W51*BlendedProvPayPrem+X51*BlendedProvPayElite,S52*BlendedProvPayEss+T52*BlendedProvPayPrem+U52*BlendedProvPayElite+V52*BlendedProvPayEss+W52*BlendedProvPayPrem+X52*BlendedProvPayElite)</f>
        <v/>
      </c>
      <c r="AM52" s="12">
        <f>AE52*PaymentFee</f>
        <v/>
      </c>
      <c r="AN52" s="12">
        <f>Y52*OpsAI</f>
        <v/>
      </c>
      <c r="AO52" s="12">
        <f>MonthlyFixed</f>
        <v/>
      </c>
      <c r="AP52" s="12">
        <f>I52*ReferralReward</f>
        <v/>
      </c>
      <c r="AQ52" s="12">
        <f>G52</f>
        <v/>
      </c>
      <c r="AR52" s="9">
        <f>AH52-AL52-AM52-AN52-AO52-AP52-AQ52</f>
        <v/>
      </c>
      <c r="AS52" s="9">
        <f>AS51+AE52-(AL52+AM52+AN52+AO52+AP52+AQ52+AJ52)</f>
        <v/>
      </c>
      <c r="AT52" s="12">
        <f>IF(Y52&gt;0,Z52/Y52,0)</f>
        <v/>
      </c>
      <c r="AU52" s="11">
        <f>IF(Y51&gt;0,MAX(0,(Y51+J52-Y52)/Y51),0)</f>
        <v/>
      </c>
    </row>
    <row r="53">
      <c r="A53" s="12" t="n">
        <v>49</v>
      </c>
      <c r="B53" s="12">
        <f>MOD(A53-1+LaunchMonth-1,12)+1</f>
        <v/>
      </c>
      <c r="C53" s="12">
        <f>INT((A53-1+LaunchMonth-1)/12)+1</f>
        <v/>
      </c>
      <c r="D53" s="12">
        <f>VLOOKUP(B53,SeasonTable,2,FALSE)</f>
        <v/>
      </c>
      <c r="E53" s="12">
        <f>(1+InflationRate)^INT((A53-1)/12)</f>
        <v/>
      </c>
      <c r="F53" s="11">
        <f>MonthlyChurn*VLOOKUP(B53,ChurnSeasonTable,4,FALSE)</f>
        <v/>
      </c>
      <c r="G53" s="12">
        <f>MIN(MAX(MktMin19plus,AE52*MktPct19plus),MAX(0,AS52-CashBuffer))</f>
        <v/>
      </c>
      <c r="H53" s="12">
        <f>IF(G53&gt;0,MAX(1,ROUND(G53/CAC*D53,0)),0)</f>
        <v/>
      </c>
      <c r="I53" s="12">
        <f>IF(H53&gt;0,ROUND(H53*ReferralMix/(1-ReferralMix),0),0)</f>
        <v/>
      </c>
      <c r="J53" s="12">
        <f>H53+I53</f>
        <v/>
      </c>
      <c r="K53" s="12">
        <f>ROUND(J53*(1-AnnualMix),0)</f>
        <v/>
      </c>
      <c r="L53" s="12">
        <f>J53-K53</f>
        <v/>
      </c>
      <c r="M53" s="12">
        <f>ROUND(K53*EssentialMix,0)</f>
        <v/>
      </c>
      <c r="N53" s="12">
        <f>ROUND(K53*PremiumMix,0)</f>
        <v/>
      </c>
      <c r="O53" s="12">
        <f>K53-M53-N53</f>
        <v/>
      </c>
      <c r="P53" s="12">
        <f>ROUND(L53*EssentialMix,0)</f>
        <v/>
      </c>
      <c r="Q53" s="12">
        <f>ROUND(L53*PremiumMix,0)</f>
        <v/>
      </c>
      <c r="R53" s="12">
        <f>L53-P53-Q53</f>
        <v/>
      </c>
      <c r="S53" s="12">
        <f>M53+M52+M51+MAX(0,S52-M52-M51)*(1-F53)</f>
        <v/>
      </c>
      <c r="T53" s="12">
        <f>N53+N52+N51+MAX(0,T52-N52-N51)*(1-F53)</f>
        <v/>
      </c>
      <c r="U53" s="12">
        <f>O53+O52+O51+MAX(0,U52-O52-O51)*(1-F53)</f>
        <v/>
      </c>
      <c r="V53" s="12">
        <f>V52+P53-P41*(AnnualChurn*VLOOKUP(B53,ChurnSeasonTable,4,FALSE))*POWER(1-(AnnualChurn*VLOOKUP(B53,ChurnSeasonTable,4,FALSE)),0)+P29*(AnnualChurn*VLOOKUP(B53,ChurnSeasonTable,4,FALSE))*POWER(1-(AnnualChurn*VLOOKUP(B53,ChurnSeasonTable,4,FALSE)),1)+P17*(AnnualChurn*VLOOKUP(B53,ChurnSeasonTable,4,FALSE))*POWER(1-(AnnualChurn*VLOOKUP(B53,ChurnSeasonTable,4,FALSE)),2)+P5*(AnnualChurn*VLOOKUP(B53,ChurnSeasonTable,4,FALSE))*POWER(1-(AnnualChurn*VLOOKUP(B53,ChurnSeasonTable,4,FALSE)),3)</f>
        <v/>
      </c>
      <c r="W53" s="12">
        <f>W52+Q53-Q41*(AnnualChurn*VLOOKUP(B53,ChurnSeasonTable,4,FALSE))*POWER(1-(AnnualChurn*VLOOKUP(B53,ChurnSeasonTable,4,FALSE)),0)+Q29*(AnnualChurn*VLOOKUP(B53,ChurnSeasonTable,4,FALSE))*POWER(1-(AnnualChurn*VLOOKUP(B53,ChurnSeasonTable,4,FALSE)),1)+Q17*(AnnualChurn*VLOOKUP(B53,ChurnSeasonTable,4,FALSE))*POWER(1-(AnnualChurn*VLOOKUP(B53,ChurnSeasonTable,4,FALSE)),2)+Q5*(AnnualChurn*VLOOKUP(B53,ChurnSeasonTable,4,FALSE))*POWER(1-(AnnualChurn*VLOOKUP(B53,ChurnSeasonTable,4,FALSE)),3)</f>
        <v/>
      </c>
      <c r="X53" s="12">
        <f>X52+R53-R41*(AnnualChurn*VLOOKUP(B53,ChurnSeasonTable,4,FALSE))*POWER(1-(AnnualChurn*VLOOKUP(B53,ChurnSeasonTable,4,FALSE)),0)+R29*(AnnualChurn*VLOOKUP(B53,ChurnSeasonTable,4,FALSE))*POWER(1-(AnnualChurn*VLOOKUP(B53,ChurnSeasonTable,4,FALSE)),1)+R17*(AnnualChurn*VLOOKUP(B53,ChurnSeasonTable,4,FALSE))*POWER(1-(AnnualChurn*VLOOKUP(B53,ChurnSeasonTable,4,FALSE)),2)+R5*(AnnualChurn*VLOOKUP(B53,ChurnSeasonTable,4,FALSE))*POWER(1-(AnnualChurn*VLOOKUP(B53,ChurnSeasonTable,4,FALSE)),3)</f>
        <v/>
      </c>
      <c r="Y53" s="12">
        <f>S53+T53+U53+V53+W53+X53</f>
        <v/>
      </c>
      <c r="Z53" s="9">
        <f>S53*BlendedPriceEssMonthly*E53+T53*BlendedPricePremMonthly*E53+U53*BlendedPriceEliteMonthly*E53+V53*BlendedPriceEssAnnual*E53/12+W53*BlendedPricePremAnnual*E53/12+X53*BlendedPriceEliteAnnual*E53/12</f>
        <v/>
      </c>
      <c r="AA53" s="9">
        <f>Z53*12</f>
        <v/>
      </c>
      <c r="AB53" s="12">
        <f>S53*BlendedPriceEssMonthly*E53+T53*BlendedPricePremMonthly*E53+U53*BlendedPriceEliteMonthly*E53</f>
        <v/>
      </c>
      <c r="AC53" s="12">
        <f>P53*BlendedPriceEssAnnual*E53+Q53*BlendedPricePremAnnual*E53+R53*BlendedPriceEliteAnnual*E53</f>
        <v/>
      </c>
      <c r="AD53" s="12">
        <f>P41*POWER(1-(AnnualChurn*VLOOKUP(B53,ChurnSeasonTable,4,FALSE)),1)*BlendedPriceEssAnnual*E53+P29*POWER(1-(AnnualChurn*VLOOKUP(B53,ChurnSeasonTable,4,FALSE)),2)*BlendedPriceEssAnnual*E53+P17*POWER(1-(AnnualChurn*VLOOKUP(B53,ChurnSeasonTable,4,FALSE)),3)*BlendedPriceEssAnnual*E53+P5*POWER(1-(AnnualChurn*VLOOKUP(B53,ChurnSeasonTable,4,FALSE)),4)*BlendedPriceEssAnnual*E53+Q41*POWER(1-(AnnualChurn*VLOOKUP(B53,ChurnSeasonTable,4,FALSE)),1)*BlendedPricePremAnnual*E53+Q29*POWER(1-(AnnualChurn*VLOOKUP(B53,ChurnSeasonTable,4,FALSE)),2)*BlendedPricePremAnnual*E53+Q17*POWER(1-(AnnualChurn*VLOOKUP(B53,ChurnSeasonTable,4,FALSE)),3)*BlendedPricePremAnnual*E53+Q5*POWER(1-(AnnualChurn*VLOOKUP(B53,ChurnSeasonTable,4,FALSE)),4)*BlendedPricePremAnnual*E53+R41*POWER(1-(AnnualChurn*VLOOKUP(B53,ChurnSeasonTable,4,FALSE)),1)*BlendedPriceEliteAnnual*E53+R29*POWER(1-(AnnualChurn*VLOOKUP(B53,ChurnSeasonTable,4,FALSE)),2)*BlendedPriceEliteAnnual*E53+R17*POWER(1-(AnnualChurn*VLOOKUP(B53,ChurnSeasonTable,4,FALSE)),3)*BlendedPriceEliteAnnual*E53+R5*POWER(1-(AnnualChurn*VLOOKUP(B53,ChurnSeasonTable,4,FALSE)),4)*BlendedPriceEliteAnnual*E53</f>
        <v/>
      </c>
      <c r="AE53" s="9">
        <f>AB53+AC53+AD53</f>
        <v/>
      </c>
      <c r="AF53" s="12">
        <f>SUM(AE42:AE53)</f>
        <v/>
      </c>
      <c r="AG53" s="12">
        <f>OR(AG52,IF(VATAgentMode,SUM($AE42:$AE53)-SUM($AL42:$AL53)&gt;=VATThreshold,SUM($AE42:$AE53)&gt;=VATThreshold))</f>
        <v/>
      </c>
      <c r="AH53" s="9">
        <f>IF(AG53,IF(VATAgentMode,AE53-((AE53-AL53)-(AE53-AL53)/(1+VATRate)),AE53/(1+VATRate)),AE53)</f>
        <v/>
      </c>
      <c r="AI53" s="12">
        <f>AE53-AH53</f>
        <v/>
      </c>
      <c r="AJ53" s="12">
        <f>IF(AG53=0,0,IF(B53=1,SUMPRODUCT(--(($C$5:$C53=$C53-1)*($B$5:$B53&gt;=10)*($B$5:$B53&lt;=12)),$AI$5:$AI53),IF(B53=4,SUMPRODUCT(--(($C$5:$C53=$C53)*($B$5:$B53&gt;=1)*($B$5:$B53&lt;=3)),$AI$5:$AI53),IF(B53=7,SUMPRODUCT(--(($C$5:$C53=$C53)*($B$5:$B53&gt;=4)*($B$5:$B53&lt;=6)),$AI$5:$AI53),IF(B53=10,SUMPRODUCT(--(($C$5:$C53=$C53)*($B$5:$B53&gt;=7)*($B$5:$B53&lt;=9)),$AI$5:$AI53),0)))))</f>
        <v/>
      </c>
      <c r="AK53" s="12">
        <f>AK52+AI53-AJ53</f>
        <v/>
      </c>
      <c r="AL53" s="12">
        <f>IF(ProviderDelay&gt;=1,S52*BlendedProvPayEss+T52*BlendedProvPayPrem+U52*BlendedProvPayElite+V52*BlendedProvPayEss+W52*BlendedProvPayPrem+X52*BlendedProvPayElite,S53*BlendedProvPayEss+T53*BlendedProvPayPrem+U53*BlendedProvPayElite+V53*BlendedProvPayEss+W53*BlendedProvPayPrem+X53*BlendedProvPayElite)</f>
        <v/>
      </c>
      <c r="AM53" s="12">
        <f>AE53*PaymentFee</f>
        <v/>
      </c>
      <c r="AN53" s="12">
        <f>Y53*OpsAI</f>
        <v/>
      </c>
      <c r="AO53" s="12">
        <f>MonthlyFixed</f>
        <v/>
      </c>
      <c r="AP53" s="12">
        <f>I53*ReferralReward</f>
        <v/>
      </c>
      <c r="AQ53" s="12">
        <f>G53</f>
        <v/>
      </c>
      <c r="AR53" s="9">
        <f>AH53-AL53-AM53-AN53-AO53-AP53-AQ53</f>
        <v/>
      </c>
      <c r="AS53" s="9">
        <f>AS52+AE53-(AL53+AM53+AN53+AO53+AP53+AQ53+AJ53)</f>
        <v/>
      </c>
      <c r="AT53" s="12">
        <f>IF(Y53&gt;0,Z53/Y53,0)</f>
        <v/>
      </c>
      <c r="AU53" s="11">
        <f>IF(Y52&gt;0,MAX(0,(Y52+J53-Y53)/Y52),0)</f>
        <v/>
      </c>
    </row>
    <row r="54">
      <c r="A54" s="12" t="n">
        <v>50</v>
      </c>
      <c r="B54" s="12">
        <f>MOD(A54-1+LaunchMonth-1,12)+1</f>
        <v/>
      </c>
      <c r="C54" s="12">
        <f>INT((A54-1+LaunchMonth-1)/12)+1</f>
        <v/>
      </c>
      <c r="D54" s="12">
        <f>VLOOKUP(B54,SeasonTable,2,FALSE)</f>
        <v/>
      </c>
      <c r="E54" s="12">
        <f>(1+InflationRate)^INT((A54-1)/12)</f>
        <v/>
      </c>
      <c r="F54" s="11">
        <f>MonthlyChurn*VLOOKUP(B54,ChurnSeasonTable,4,FALSE)</f>
        <v/>
      </c>
      <c r="G54" s="12">
        <f>MIN(MAX(MktMin19plus,AE53*MktPct19plus),MAX(0,AS53-CashBuffer))</f>
        <v/>
      </c>
      <c r="H54" s="12">
        <f>IF(G54&gt;0,MAX(1,ROUND(G54/CAC*D54,0)),0)</f>
        <v/>
      </c>
      <c r="I54" s="12">
        <f>IF(H54&gt;0,ROUND(H54*ReferralMix/(1-ReferralMix),0),0)</f>
        <v/>
      </c>
      <c r="J54" s="12">
        <f>H54+I54</f>
        <v/>
      </c>
      <c r="K54" s="12">
        <f>ROUND(J54*(1-AnnualMix),0)</f>
        <v/>
      </c>
      <c r="L54" s="12">
        <f>J54-K54</f>
        <v/>
      </c>
      <c r="M54" s="12">
        <f>ROUND(K54*EssentialMix,0)</f>
        <v/>
      </c>
      <c r="N54" s="12">
        <f>ROUND(K54*PremiumMix,0)</f>
        <v/>
      </c>
      <c r="O54" s="12">
        <f>K54-M54-N54</f>
        <v/>
      </c>
      <c r="P54" s="12">
        <f>ROUND(L54*EssentialMix,0)</f>
        <v/>
      </c>
      <c r="Q54" s="12">
        <f>ROUND(L54*PremiumMix,0)</f>
        <v/>
      </c>
      <c r="R54" s="12">
        <f>L54-P54-Q54</f>
        <v/>
      </c>
      <c r="S54" s="12">
        <f>M54+M53+M52+MAX(0,S53-M53-M52)*(1-F54)</f>
        <v/>
      </c>
      <c r="T54" s="12">
        <f>N54+N53+N52+MAX(0,T53-N53-N52)*(1-F54)</f>
        <v/>
      </c>
      <c r="U54" s="12">
        <f>O54+O53+O52+MAX(0,U53-O53-O52)*(1-F54)</f>
        <v/>
      </c>
      <c r="V54" s="12">
        <f>V53+P54-P42*(AnnualChurn*VLOOKUP(B54,ChurnSeasonTable,4,FALSE))*POWER(1-(AnnualChurn*VLOOKUP(B54,ChurnSeasonTable,4,FALSE)),0)+P30*(AnnualChurn*VLOOKUP(B54,ChurnSeasonTable,4,FALSE))*POWER(1-(AnnualChurn*VLOOKUP(B54,ChurnSeasonTable,4,FALSE)),1)+P18*(AnnualChurn*VLOOKUP(B54,ChurnSeasonTable,4,FALSE))*POWER(1-(AnnualChurn*VLOOKUP(B54,ChurnSeasonTable,4,FALSE)),2)+P6*(AnnualChurn*VLOOKUP(B54,ChurnSeasonTable,4,FALSE))*POWER(1-(AnnualChurn*VLOOKUP(B54,ChurnSeasonTable,4,FALSE)),3)</f>
        <v/>
      </c>
      <c r="W54" s="12">
        <f>W53+Q54-Q42*(AnnualChurn*VLOOKUP(B54,ChurnSeasonTable,4,FALSE))*POWER(1-(AnnualChurn*VLOOKUP(B54,ChurnSeasonTable,4,FALSE)),0)+Q30*(AnnualChurn*VLOOKUP(B54,ChurnSeasonTable,4,FALSE))*POWER(1-(AnnualChurn*VLOOKUP(B54,ChurnSeasonTable,4,FALSE)),1)+Q18*(AnnualChurn*VLOOKUP(B54,ChurnSeasonTable,4,FALSE))*POWER(1-(AnnualChurn*VLOOKUP(B54,ChurnSeasonTable,4,FALSE)),2)+Q6*(AnnualChurn*VLOOKUP(B54,ChurnSeasonTable,4,FALSE))*POWER(1-(AnnualChurn*VLOOKUP(B54,ChurnSeasonTable,4,FALSE)),3)</f>
        <v/>
      </c>
      <c r="X54" s="12">
        <f>X53+R54-R42*(AnnualChurn*VLOOKUP(B54,ChurnSeasonTable,4,FALSE))*POWER(1-(AnnualChurn*VLOOKUP(B54,ChurnSeasonTable,4,FALSE)),0)+R30*(AnnualChurn*VLOOKUP(B54,ChurnSeasonTable,4,FALSE))*POWER(1-(AnnualChurn*VLOOKUP(B54,ChurnSeasonTable,4,FALSE)),1)+R18*(AnnualChurn*VLOOKUP(B54,ChurnSeasonTable,4,FALSE))*POWER(1-(AnnualChurn*VLOOKUP(B54,ChurnSeasonTable,4,FALSE)),2)+R6*(AnnualChurn*VLOOKUP(B54,ChurnSeasonTable,4,FALSE))*POWER(1-(AnnualChurn*VLOOKUP(B54,ChurnSeasonTable,4,FALSE)),3)</f>
        <v/>
      </c>
      <c r="Y54" s="12">
        <f>S54+T54+U54+V54+W54+X54</f>
        <v/>
      </c>
      <c r="Z54" s="9">
        <f>S54*BlendedPriceEssMonthly*E54+T54*BlendedPricePremMonthly*E54+U54*BlendedPriceEliteMonthly*E54+V54*BlendedPriceEssAnnual*E54/12+W54*BlendedPricePremAnnual*E54/12+X54*BlendedPriceEliteAnnual*E54/12</f>
        <v/>
      </c>
      <c r="AA54" s="9">
        <f>Z54*12</f>
        <v/>
      </c>
      <c r="AB54" s="12">
        <f>S54*BlendedPriceEssMonthly*E54+T54*BlendedPricePremMonthly*E54+U54*BlendedPriceEliteMonthly*E54</f>
        <v/>
      </c>
      <c r="AC54" s="12">
        <f>P54*BlendedPriceEssAnnual*E54+Q54*BlendedPricePremAnnual*E54+R54*BlendedPriceEliteAnnual*E54</f>
        <v/>
      </c>
      <c r="AD54" s="12">
        <f>P42*POWER(1-(AnnualChurn*VLOOKUP(B54,ChurnSeasonTable,4,FALSE)),1)*BlendedPriceEssAnnual*E54+P30*POWER(1-(AnnualChurn*VLOOKUP(B54,ChurnSeasonTable,4,FALSE)),2)*BlendedPriceEssAnnual*E54+P18*POWER(1-(AnnualChurn*VLOOKUP(B54,ChurnSeasonTable,4,FALSE)),3)*BlendedPriceEssAnnual*E54+P6*POWER(1-(AnnualChurn*VLOOKUP(B54,ChurnSeasonTable,4,FALSE)),4)*BlendedPriceEssAnnual*E54+Q42*POWER(1-(AnnualChurn*VLOOKUP(B54,ChurnSeasonTable,4,FALSE)),1)*BlendedPricePremAnnual*E54+Q30*POWER(1-(AnnualChurn*VLOOKUP(B54,ChurnSeasonTable,4,FALSE)),2)*BlendedPricePremAnnual*E54+Q18*POWER(1-(AnnualChurn*VLOOKUP(B54,ChurnSeasonTable,4,FALSE)),3)*BlendedPricePremAnnual*E54+Q6*POWER(1-(AnnualChurn*VLOOKUP(B54,ChurnSeasonTable,4,FALSE)),4)*BlendedPricePremAnnual*E54+R42*POWER(1-(AnnualChurn*VLOOKUP(B54,ChurnSeasonTable,4,FALSE)),1)*BlendedPriceEliteAnnual*E54+R30*POWER(1-(AnnualChurn*VLOOKUP(B54,ChurnSeasonTable,4,FALSE)),2)*BlendedPriceEliteAnnual*E54+R18*POWER(1-(AnnualChurn*VLOOKUP(B54,ChurnSeasonTable,4,FALSE)),3)*BlendedPriceEliteAnnual*E54+R6*POWER(1-(AnnualChurn*VLOOKUP(B54,ChurnSeasonTable,4,FALSE)),4)*BlendedPriceEliteAnnual*E54</f>
        <v/>
      </c>
      <c r="AE54" s="9">
        <f>AB54+AC54+AD54</f>
        <v/>
      </c>
      <c r="AF54" s="12">
        <f>SUM(AE43:AE54)</f>
        <v/>
      </c>
      <c r="AG54" s="12">
        <f>OR(AG53,IF(VATAgentMode,SUM($AE43:$AE54)-SUM($AL43:$AL54)&gt;=VATThreshold,SUM($AE43:$AE54)&gt;=VATThreshold))</f>
        <v/>
      </c>
      <c r="AH54" s="9">
        <f>IF(AG54,IF(VATAgentMode,AE54-((AE54-AL54)-(AE54-AL54)/(1+VATRate)),AE54/(1+VATRate)),AE54)</f>
        <v/>
      </c>
      <c r="AI54" s="12">
        <f>AE54-AH54</f>
        <v/>
      </c>
      <c r="AJ54" s="12">
        <f>IF(AG54=0,0,IF(B54=1,SUMPRODUCT(--(($C$5:$C54=$C54-1)*($B$5:$B54&gt;=10)*($B$5:$B54&lt;=12)),$AI$5:$AI54),IF(B54=4,SUMPRODUCT(--(($C$5:$C54=$C54)*($B$5:$B54&gt;=1)*($B$5:$B54&lt;=3)),$AI$5:$AI54),IF(B54=7,SUMPRODUCT(--(($C$5:$C54=$C54)*($B$5:$B54&gt;=4)*($B$5:$B54&lt;=6)),$AI$5:$AI54),IF(B54=10,SUMPRODUCT(--(($C$5:$C54=$C54)*($B$5:$B54&gt;=7)*($B$5:$B54&lt;=9)),$AI$5:$AI54),0)))))</f>
        <v/>
      </c>
      <c r="AK54" s="12">
        <f>AK53+AI54-AJ54</f>
        <v/>
      </c>
      <c r="AL54" s="12">
        <f>IF(ProviderDelay&gt;=1,S53*BlendedProvPayEss+T53*BlendedProvPayPrem+U53*BlendedProvPayElite+V53*BlendedProvPayEss+W53*BlendedProvPayPrem+X53*BlendedProvPayElite,S54*BlendedProvPayEss+T54*BlendedProvPayPrem+U54*BlendedProvPayElite+V54*BlendedProvPayEss+W54*BlendedProvPayPrem+X54*BlendedProvPayElite)</f>
        <v/>
      </c>
      <c r="AM54" s="12">
        <f>AE54*PaymentFee</f>
        <v/>
      </c>
      <c r="AN54" s="12">
        <f>Y54*OpsAI</f>
        <v/>
      </c>
      <c r="AO54" s="12">
        <f>MonthlyFixed</f>
        <v/>
      </c>
      <c r="AP54" s="12">
        <f>I54*ReferralReward</f>
        <v/>
      </c>
      <c r="AQ54" s="12">
        <f>G54</f>
        <v/>
      </c>
      <c r="AR54" s="9">
        <f>AH54-AL54-AM54-AN54-AO54-AP54-AQ54</f>
        <v/>
      </c>
      <c r="AS54" s="9">
        <f>AS53+AE54-(AL54+AM54+AN54+AO54+AP54+AQ54+AJ54)</f>
        <v/>
      </c>
      <c r="AT54" s="12">
        <f>IF(Y54&gt;0,Z54/Y54,0)</f>
        <v/>
      </c>
      <c r="AU54" s="11">
        <f>IF(Y53&gt;0,MAX(0,(Y53+J54-Y54)/Y53),0)</f>
        <v/>
      </c>
    </row>
    <row r="55">
      <c r="A55" s="12" t="n">
        <v>51</v>
      </c>
      <c r="B55" s="12">
        <f>MOD(A55-1+LaunchMonth-1,12)+1</f>
        <v/>
      </c>
      <c r="C55" s="12">
        <f>INT((A55-1+LaunchMonth-1)/12)+1</f>
        <v/>
      </c>
      <c r="D55" s="12">
        <f>VLOOKUP(B55,SeasonTable,2,FALSE)</f>
        <v/>
      </c>
      <c r="E55" s="12">
        <f>(1+InflationRate)^INT((A55-1)/12)</f>
        <v/>
      </c>
      <c r="F55" s="11">
        <f>MonthlyChurn*VLOOKUP(B55,ChurnSeasonTable,4,FALSE)</f>
        <v/>
      </c>
      <c r="G55" s="12">
        <f>MIN(MAX(MktMin19plus,AE54*MktPct19plus),MAX(0,AS54-CashBuffer))</f>
        <v/>
      </c>
      <c r="H55" s="12">
        <f>IF(G55&gt;0,MAX(1,ROUND(G55/CAC*D55,0)),0)</f>
        <v/>
      </c>
      <c r="I55" s="12">
        <f>IF(H55&gt;0,ROUND(H55*ReferralMix/(1-ReferralMix),0),0)</f>
        <v/>
      </c>
      <c r="J55" s="12">
        <f>H55+I55</f>
        <v/>
      </c>
      <c r="K55" s="12">
        <f>ROUND(J55*(1-AnnualMix),0)</f>
        <v/>
      </c>
      <c r="L55" s="12">
        <f>J55-K55</f>
        <v/>
      </c>
      <c r="M55" s="12">
        <f>ROUND(K55*EssentialMix,0)</f>
        <v/>
      </c>
      <c r="N55" s="12">
        <f>ROUND(K55*PremiumMix,0)</f>
        <v/>
      </c>
      <c r="O55" s="12">
        <f>K55-M55-N55</f>
        <v/>
      </c>
      <c r="P55" s="12">
        <f>ROUND(L55*EssentialMix,0)</f>
        <v/>
      </c>
      <c r="Q55" s="12">
        <f>ROUND(L55*PremiumMix,0)</f>
        <v/>
      </c>
      <c r="R55" s="12">
        <f>L55-P55-Q55</f>
        <v/>
      </c>
      <c r="S55" s="12">
        <f>M55+M54+M53+MAX(0,S54-M54-M53)*(1-F55)</f>
        <v/>
      </c>
      <c r="T55" s="12">
        <f>N55+N54+N53+MAX(0,T54-N54-N53)*(1-F55)</f>
        <v/>
      </c>
      <c r="U55" s="12">
        <f>O55+O54+O53+MAX(0,U54-O54-O53)*(1-F55)</f>
        <v/>
      </c>
      <c r="V55" s="12">
        <f>V54+P55-P43*(AnnualChurn*VLOOKUP(B55,ChurnSeasonTable,4,FALSE))*POWER(1-(AnnualChurn*VLOOKUP(B55,ChurnSeasonTable,4,FALSE)),0)+P31*(AnnualChurn*VLOOKUP(B55,ChurnSeasonTable,4,FALSE))*POWER(1-(AnnualChurn*VLOOKUP(B55,ChurnSeasonTable,4,FALSE)),1)+P19*(AnnualChurn*VLOOKUP(B55,ChurnSeasonTable,4,FALSE))*POWER(1-(AnnualChurn*VLOOKUP(B55,ChurnSeasonTable,4,FALSE)),2)+P7*(AnnualChurn*VLOOKUP(B55,ChurnSeasonTable,4,FALSE))*POWER(1-(AnnualChurn*VLOOKUP(B55,ChurnSeasonTable,4,FALSE)),3)</f>
        <v/>
      </c>
      <c r="W55" s="12">
        <f>W54+Q55-Q43*(AnnualChurn*VLOOKUP(B55,ChurnSeasonTable,4,FALSE))*POWER(1-(AnnualChurn*VLOOKUP(B55,ChurnSeasonTable,4,FALSE)),0)+Q31*(AnnualChurn*VLOOKUP(B55,ChurnSeasonTable,4,FALSE))*POWER(1-(AnnualChurn*VLOOKUP(B55,ChurnSeasonTable,4,FALSE)),1)+Q19*(AnnualChurn*VLOOKUP(B55,ChurnSeasonTable,4,FALSE))*POWER(1-(AnnualChurn*VLOOKUP(B55,ChurnSeasonTable,4,FALSE)),2)+Q7*(AnnualChurn*VLOOKUP(B55,ChurnSeasonTable,4,FALSE))*POWER(1-(AnnualChurn*VLOOKUP(B55,ChurnSeasonTable,4,FALSE)),3)</f>
        <v/>
      </c>
      <c r="X55" s="12">
        <f>X54+R55-R43*(AnnualChurn*VLOOKUP(B55,ChurnSeasonTable,4,FALSE))*POWER(1-(AnnualChurn*VLOOKUP(B55,ChurnSeasonTable,4,FALSE)),0)+R31*(AnnualChurn*VLOOKUP(B55,ChurnSeasonTable,4,FALSE))*POWER(1-(AnnualChurn*VLOOKUP(B55,ChurnSeasonTable,4,FALSE)),1)+R19*(AnnualChurn*VLOOKUP(B55,ChurnSeasonTable,4,FALSE))*POWER(1-(AnnualChurn*VLOOKUP(B55,ChurnSeasonTable,4,FALSE)),2)+R7*(AnnualChurn*VLOOKUP(B55,ChurnSeasonTable,4,FALSE))*POWER(1-(AnnualChurn*VLOOKUP(B55,ChurnSeasonTable,4,FALSE)),3)</f>
        <v/>
      </c>
      <c r="Y55" s="12">
        <f>S55+T55+U55+V55+W55+X55</f>
        <v/>
      </c>
      <c r="Z55" s="9">
        <f>S55*BlendedPriceEssMonthly*E55+T55*BlendedPricePremMonthly*E55+U55*BlendedPriceEliteMonthly*E55+V55*BlendedPriceEssAnnual*E55/12+W55*BlendedPricePremAnnual*E55/12+X55*BlendedPriceEliteAnnual*E55/12</f>
        <v/>
      </c>
      <c r="AA55" s="9">
        <f>Z55*12</f>
        <v/>
      </c>
      <c r="AB55" s="12">
        <f>S55*BlendedPriceEssMonthly*E55+T55*BlendedPricePremMonthly*E55+U55*BlendedPriceEliteMonthly*E55</f>
        <v/>
      </c>
      <c r="AC55" s="12">
        <f>P55*BlendedPriceEssAnnual*E55+Q55*BlendedPricePremAnnual*E55+R55*BlendedPriceEliteAnnual*E55</f>
        <v/>
      </c>
      <c r="AD55" s="12">
        <f>P43*POWER(1-(AnnualChurn*VLOOKUP(B55,ChurnSeasonTable,4,FALSE)),1)*BlendedPriceEssAnnual*E55+P31*POWER(1-(AnnualChurn*VLOOKUP(B55,ChurnSeasonTable,4,FALSE)),2)*BlendedPriceEssAnnual*E55+P19*POWER(1-(AnnualChurn*VLOOKUP(B55,ChurnSeasonTable,4,FALSE)),3)*BlendedPriceEssAnnual*E55+P7*POWER(1-(AnnualChurn*VLOOKUP(B55,ChurnSeasonTable,4,FALSE)),4)*BlendedPriceEssAnnual*E55+Q43*POWER(1-(AnnualChurn*VLOOKUP(B55,ChurnSeasonTable,4,FALSE)),1)*BlendedPricePremAnnual*E55+Q31*POWER(1-(AnnualChurn*VLOOKUP(B55,ChurnSeasonTable,4,FALSE)),2)*BlendedPricePremAnnual*E55+Q19*POWER(1-(AnnualChurn*VLOOKUP(B55,ChurnSeasonTable,4,FALSE)),3)*BlendedPricePremAnnual*E55+Q7*POWER(1-(AnnualChurn*VLOOKUP(B55,ChurnSeasonTable,4,FALSE)),4)*BlendedPricePremAnnual*E55+R43*POWER(1-(AnnualChurn*VLOOKUP(B55,ChurnSeasonTable,4,FALSE)),1)*BlendedPriceEliteAnnual*E55+R31*POWER(1-(AnnualChurn*VLOOKUP(B55,ChurnSeasonTable,4,FALSE)),2)*BlendedPriceEliteAnnual*E55+R19*POWER(1-(AnnualChurn*VLOOKUP(B55,ChurnSeasonTable,4,FALSE)),3)*BlendedPriceEliteAnnual*E55+R7*POWER(1-(AnnualChurn*VLOOKUP(B55,ChurnSeasonTable,4,FALSE)),4)*BlendedPriceEliteAnnual*E55</f>
        <v/>
      </c>
      <c r="AE55" s="9">
        <f>AB55+AC55+AD55</f>
        <v/>
      </c>
      <c r="AF55" s="12">
        <f>SUM(AE44:AE55)</f>
        <v/>
      </c>
      <c r="AG55" s="12">
        <f>OR(AG54,IF(VATAgentMode,SUM($AE44:$AE55)-SUM($AL44:$AL55)&gt;=VATThreshold,SUM($AE44:$AE55)&gt;=VATThreshold))</f>
        <v/>
      </c>
      <c r="AH55" s="9">
        <f>IF(AG55,IF(VATAgentMode,AE55-((AE55-AL55)-(AE55-AL55)/(1+VATRate)),AE55/(1+VATRate)),AE55)</f>
        <v/>
      </c>
      <c r="AI55" s="12">
        <f>AE55-AH55</f>
        <v/>
      </c>
      <c r="AJ55" s="12">
        <f>IF(AG55=0,0,IF(B55=1,SUMPRODUCT(--(($C$5:$C55=$C55-1)*($B$5:$B55&gt;=10)*($B$5:$B55&lt;=12)),$AI$5:$AI55),IF(B55=4,SUMPRODUCT(--(($C$5:$C55=$C55)*($B$5:$B55&gt;=1)*($B$5:$B55&lt;=3)),$AI$5:$AI55),IF(B55=7,SUMPRODUCT(--(($C$5:$C55=$C55)*($B$5:$B55&gt;=4)*($B$5:$B55&lt;=6)),$AI$5:$AI55),IF(B55=10,SUMPRODUCT(--(($C$5:$C55=$C55)*($B$5:$B55&gt;=7)*($B$5:$B55&lt;=9)),$AI$5:$AI55),0)))))</f>
        <v/>
      </c>
      <c r="AK55" s="12">
        <f>AK54+AI55-AJ55</f>
        <v/>
      </c>
      <c r="AL55" s="12">
        <f>IF(ProviderDelay&gt;=1,S54*BlendedProvPayEss+T54*BlendedProvPayPrem+U54*BlendedProvPayElite+V54*BlendedProvPayEss+W54*BlendedProvPayPrem+X54*BlendedProvPayElite,S55*BlendedProvPayEss+T55*BlendedProvPayPrem+U55*BlendedProvPayElite+V55*BlendedProvPayEss+W55*BlendedProvPayPrem+X55*BlendedProvPayElite)</f>
        <v/>
      </c>
      <c r="AM55" s="12">
        <f>AE55*PaymentFee</f>
        <v/>
      </c>
      <c r="AN55" s="12">
        <f>Y55*OpsAI</f>
        <v/>
      </c>
      <c r="AO55" s="12">
        <f>MonthlyFixed</f>
        <v/>
      </c>
      <c r="AP55" s="12">
        <f>I55*ReferralReward</f>
        <v/>
      </c>
      <c r="AQ55" s="12">
        <f>G55</f>
        <v/>
      </c>
      <c r="AR55" s="9">
        <f>AH55-AL55-AM55-AN55-AO55-AP55-AQ55</f>
        <v/>
      </c>
      <c r="AS55" s="9">
        <f>AS54+AE55-(AL55+AM55+AN55+AO55+AP55+AQ55+AJ55)</f>
        <v/>
      </c>
      <c r="AT55" s="12">
        <f>IF(Y55&gt;0,Z55/Y55,0)</f>
        <v/>
      </c>
      <c r="AU55" s="11">
        <f>IF(Y54&gt;0,MAX(0,(Y54+J55-Y55)/Y54),0)</f>
        <v/>
      </c>
    </row>
    <row r="56">
      <c r="A56" s="12" t="n">
        <v>52</v>
      </c>
      <c r="B56" s="12">
        <f>MOD(A56-1+LaunchMonth-1,12)+1</f>
        <v/>
      </c>
      <c r="C56" s="12">
        <f>INT((A56-1+LaunchMonth-1)/12)+1</f>
        <v/>
      </c>
      <c r="D56" s="12">
        <f>VLOOKUP(B56,SeasonTable,2,FALSE)</f>
        <v/>
      </c>
      <c r="E56" s="12">
        <f>(1+InflationRate)^INT((A56-1)/12)</f>
        <v/>
      </c>
      <c r="F56" s="11">
        <f>MonthlyChurn*VLOOKUP(B56,ChurnSeasonTable,4,FALSE)</f>
        <v/>
      </c>
      <c r="G56" s="12">
        <f>MIN(MAX(MktMin19plus,AE55*MktPct19plus),MAX(0,AS55-CashBuffer))</f>
        <v/>
      </c>
      <c r="H56" s="12">
        <f>IF(G56&gt;0,MAX(1,ROUND(G56/CAC*D56,0)),0)</f>
        <v/>
      </c>
      <c r="I56" s="12">
        <f>IF(H56&gt;0,ROUND(H56*ReferralMix/(1-ReferralMix),0),0)</f>
        <v/>
      </c>
      <c r="J56" s="12">
        <f>H56+I56</f>
        <v/>
      </c>
      <c r="K56" s="12">
        <f>ROUND(J56*(1-AnnualMix),0)</f>
        <v/>
      </c>
      <c r="L56" s="12">
        <f>J56-K56</f>
        <v/>
      </c>
      <c r="M56" s="12">
        <f>ROUND(K56*EssentialMix,0)</f>
        <v/>
      </c>
      <c r="N56" s="12">
        <f>ROUND(K56*PremiumMix,0)</f>
        <v/>
      </c>
      <c r="O56" s="12">
        <f>K56-M56-N56</f>
        <v/>
      </c>
      <c r="P56" s="12">
        <f>ROUND(L56*EssentialMix,0)</f>
        <v/>
      </c>
      <c r="Q56" s="12">
        <f>ROUND(L56*PremiumMix,0)</f>
        <v/>
      </c>
      <c r="R56" s="12">
        <f>L56-P56-Q56</f>
        <v/>
      </c>
      <c r="S56" s="12">
        <f>M56+M55+M54+MAX(0,S55-M55-M54)*(1-F56)</f>
        <v/>
      </c>
      <c r="T56" s="12">
        <f>N56+N55+N54+MAX(0,T55-N55-N54)*(1-F56)</f>
        <v/>
      </c>
      <c r="U56" s="12">
        <f>O56+O55+O54+MAX(0,U55-O55-O54)*(1-F56)</f>
        <v/>
      </c>
      <c r="V56" s="12">
        <f>V55+P56-P44*(AnnualChurn*VLOOKUP(B56,ChurnSeasonTable,4,FALSE))*POWER(1-(AnnualChurn*VLOOKUP(B56,ChurnSeasonTable,4,FALSE)),0)+P32*(AnnualChurn*VLOOKUP(B56,ChurnSeasonTable,4,FALSE))*POWER(1-(AnnualChurn*VLOOKUP(B56,ChurnSeasonTable,4,FALSE)),1)+P20*(AnnualChurn*VLOOKUP(B56,ChurnSeasonTable,4,FALSE))*POWER(1-(AnnualChurn*VLOOKUP(B56,ChurnSeasonTable,4,FALSE)),2)+P8*(AnnualChurn*VLOOKUP(B56,ChurnSeasonTable,4,FALSE))*POWER(1-(AnnualChurn*VLOOKUP(B56,ChurnSeasonTable,4,FALSE)),3)</f>
        <v/>
      </c>
      <c r="W56" s="12">
        <f>W55+Q56-Q44*(AnnualChurn*VLOOKUP(B56,ChurnSeasonTable,4,FALSE))*POWER(1-(AnnualChurn*VLOOKUP(B56,ChurnSeasonTable,4,FALSE)),0)+Q32*(AnnualChurn*VLOOKUP(B56,ChurnSeasonTable,4,FALSE))*POWER(1-(AnnualChurn*VLOOKUP(B56,ChurnSeasonTable,4,FALSE)),1)+Q20*(AnnualChurn*VLOOKUP(B56,ChurnSeasonTable,4,FALSE))*POWER(1-(AnnualChurn*VLOOKUP(B56,ChurnSeasonTable,4,FALSE)),2)+Q8*(AnnualChurn*VLOOKUP(B56,ChurnSeasonTable,4,FALSE))*POWER(1-(AnnualChurn*VLOOKUP(B56,ChurnSeasonTable,4,FALSE)),3)</f>
        <v/>
      </c>
      <c r="X56" s="12">
        <f>X55+R56-R44*(AnnualChurn*VLOOKUP(B56,ChurnSeasonTable,4,FALSE))*POWER(1-(AnnualChurn*VLOOKUP(B56,ChurnSeasonTable,4,FALSE)),0)+R32*(AnnualChurn*VLOOKUP(B56,ChurnSeasonTable,4,FALSE))*POWER(1-(AnnualChurn*VLOOKUP(B56,ChurnSeasonTable,4,FALSE)),1)+R20*(AnnualChurn*VLOOKUP(B56,ChurnSeasonTable,4,FALSE))*POWER(1-(AnnualChurn*VLOOKUP(B56,ChurnSeasonTable,4,FALSE)),2)+R8*(AnnualChurn*VLOOKUP(B56,ChurnSeasonTable,4,FALSE))*POWER(1-(AnnualChurn*VLOOKUP(B56,ChurnSeasonTable,4,FALSE)),3)</f>
        <v/>
      </c>
      <c r="Y56" s="12">
        <f>S56+T56+U56+V56+W56+X56</f>
        <v/>
      </c>
      <c r="Z56" s="9">
        <f>S56*BlendedPriceEssMonthly*E56+T56*BlendedPricePremMonthly*E56+U56*BlendedPriceEliteMonthly*E56+V56*BlendedPriceEssAnnual*E56/12+W56*BlendedPricePremAnnual*E56/12+X56*BlendedPriceEliteAnnual*E56/12</f>
        <v/>
      </c>
      <c r="AA56" s="9">
        <f>Z56*12</f>
        <v/>
      </c>
      <c r="AB56" s="12">
        <f>S56*BlendedPriceEssMonthly*E56+T56*BlendedPricePremMonthly*E56+U56*BlendedPriceEliteMonthly*E56</f>
        <v/>
      </c>
      <c r="AC56" s="12">
        <f>P56*BlendedPriceEssAnnual*E56+Q56*BlendedPricePremAnnual*E56+R56*BlendedPriceEliteAnnual*E56</f>
        <v/>
      </c>
      <c r="AD56" s="12">
        <f>P44*POWER(1-(AnnualChurn*VLOOKUP(B56,ChurnSeasonTable,4,FALSE)),1)*BlendedPriceEssAnnual*E56+P32*POWER(1-(AnnualChurn*VLOOKUP(B56,ChurnSeasonTable,4,FALSE)),2)*BlendedPriceEssAnnual*E56+P20*POWER(1-(AnnualChurn*VLOOKUP(B56,ChurnSeasonTable,4,FALSE)),3)*BlendedPriceEssAnnual*E56+P8*POWER(1-(AnnualChurn*VLOOKUP(B56,ChurnSeasonTable,4,FALSE)),4)*BlendedPriceEssAnnual*E56+Q44*POWER(1-(AnnualChurn*VLOOKUP(B56,ChurnSeasonTable,4,FALSE)),1)*BlendedPricePremAnnual*E56+Q32*POWER(1-(AnnualChurn*VLOOKUP(B56,ChurnSeasonTable,4,FALSE)),2)*BlendedPricePremAnnual*E56+Q20*POWER(1-(AnnualChurn*VLOOKUP(B56,ChurnSeasonTable,4,FALSE)),3)*BlendedPricePremAnnual*E56+Q8*POWER(1-(AnnualChurn*VLOOKUP(B56,ChurnSeasonTable,4,FALSE)),4)*BlendedPricePremAnnual*E56+R44*POWER(1-(AnnualChurn*VLOOKUP(B56,ChurnSeasonTable,4,FALSE)),1)*BlendedPriceEliteAnnual*E56+R32*POWER(1-(AnnualChurn*VLOOKUP(B56,ChurnSeasonTable,4,FALSE)),2)*BlendedPriceEliteAnnual*E56+R20*POWER(1-(AnnualChurn*VLOOKUP(B56,ChurnSeasonTable,4,FALSE)),3)*BlendedPriceEliteAnnual*E56+R8*POWER(1-(AnnualChurn*VLOOKUP(B56,ChurnSeasonTable,4,FALSE)),4)*BlendedPriceEliteAnnual*E56</f>
        <v/>
      </c>
      <c r="AE56" s="9">
        <f>AB56+AC56+AD56</f>
        <v/>
      </c>
      <c r="AF56" s="12">
        <f>SUM(AE45:AE56)</f>
        <v/>
      </c>
      <c r="AG56" s="12">
        <f>OR(AG55,IF(VATAgentMode,SUM($AE45:$AE56)-SUM($AL45:$AL56)&gt;=VATThreshold,SUM($AE45:$AE56)&gt;=VATThreshold))</f>
        <v/>
      </c>
      <c r="AH56" s="9">
        <f>IF(AG56,IF(VATAgentMode,AE56-((AE56-AL56)-(AE56-AL56)/(1+VATRate)),AE56/(1+VATRate)),AE56)</f>
        <v/>
      </c>
      <c r="AI56" s="12">
        <f>AE56-AH56</f>
        <v/>
      </c>
      <c r="AJ56" s="12">
        <f>IF(AG56=0,0,IF(B56=1,SUMPRODUCT(--(($C$5:$C56=$C56-1)*($B$5:$B56&gt;=10)*($B$5:$B56&lt;=12)),$AI$5:$AI56),IF(B56=4,SUMPRODUCT(--(($C$5:$C56=$C56)*($B$5:$B56&gt;=1)*($B$5:$B56&lt;=3)),$AI$5:$AI56),IF(B56=7,SUMPRODUCT(--(($C$5:$C56=$C56)*($B$5:$B56&gt;=4)*($B$5:$B56&lt;=6)),$AI$5:$AI56),IF(B56=10,SUMPRODUCT(--(($C$5:$C56=$C56)*($B$5:$B56&gt;=7)*($B$5:$B56&lt;=9)),$AI$5:$AI56),0)))))</f>
        <v/>
      </c>
      <c r="AK56" s="12">
        <f>AK55+AI56-AJ56</f>
        <v/>
      </c>
      <c r="AL56" s="12">
        <f>IF(ProviderDelay&gt;=1,S55*BlendedProvPayEss+T55*BlendedProvPayPrem+U55*BlendedProvPayElite+V55*BlendedProvPayEss+W55*BlendedProvPayPrem+X55*BlendedProvPayElite,S56*BlendedProvPayEss+T56*BlendedProvPayPrem+U56*BlendedProvPayElite+V56*BlendedProvPayEss+W56*BlendedProvPayPrem+X56*BlendedProvPayElite)</f>
        <v/>
      </c>
      <c r="AM56" s="12">
        <f>AE56*PaymentFee</f>
        <v/>
      </c>
      <c r="AN56" s="12">
        <f>Y56*OpsAI</f>
        <v/>
      </c>
      <c r="AO56" s="12">
        <f>MonthlyFixed</f>
        <v/>
      </c>
      <c r="AP56" s="12">
        <f>I56*ReferralReward</f>
        <v/>
      </c>
      <c r="AQ56" s="12">
        <f>G56</f>
        <v/>
      </c>
      <c r="AR56" s="9">
        <f>AH56-AL56-AM56-AN56-AO56-AP56-AQ56</f>
        <v/>
      </c>
      <c r="AS56" s="9">
        <f>AS55+AE56-(AL56+AM56+AN56+AO56+AP56+AQ56+AJ56)</f>
        <v/>
      </c>
      <c r="AT56" s="12">
        <f>IF(Y56&gt;0,Z56/Y56,0)</f>
        <v/>
      </c>
      <c r="AU56" s="11">
        <f>IF(Y55&gt;0,MAX(0,(Y55+J56-Y56)/Y55),0)</f>
        <v/>
      </c>
    </row>
    <row r="57">
      <c r="A57" s="12" t="n">
        <v>53</v>
      </c>
      <c r="B57" s="12">
        <f>MOD(A57-1+LaunchMonth-1,12)+1</f>
        <v/>
      </c>
      <c r="C57" s="12">
        <f>INT((A57-1+LaunchMonth-1)/12)+1</f>
        <v/>
      </c>
      <c r="D57" s="12">
        <f>VLOOKUP(B57,SeasonTable,2,FALSE)</f>
        <v/>
      </c>
      <c r="E57" s="12">
        <f>(1+InflationRate)^INT((A57-1)/12)</f>
        <v/>
      </c>
      <c r="F57" s="11">
        <f>MonthlyChurn*VLOOKUP(B57,ChurnSeasonTable,4,FALSE)</f>
        <v/>
      </c>
      <c r="G57" s="12">
        <f>MIN(MAX(MktMin19plus,AE56*MktPct19plus),MAX(0,AS56-CashBuffer))</f>
        <v/>
      </c>
      <c r="H57" s="12">
        <f>IF(G57&gt;0,MAX(1,ROUND(G57/CAC*D57,0)),0)</f>
        <v/>
      </c>
      <c r="I57" s="12">
        <f>IF(H57&gt;0,ROUND(H57*ReferralMix/(1-ReferralMix),0),0)</f>
        <v/>
      </c>
      <c r="J57" s="12">
        <f>H57+I57</f>
        <v/>
      </c>
      <c r="K57" s="12">
        <f>ROUND(J57*(1-AnnualMix),0)</f>
        <v/>
      </c>
      <c r="L57" s="12">
        <f>J57-K57</f>
        <v/>
      </c>
      <c r="M57" s="12">
        <f>ROUND(K57*EssentialMix,0)</f>
        <v/>
      </c>
      <c r="N57" s="12">
        <f>ROUND(K57*PremiumMix,0)</f>
        <v/>
      </c>
      <c r="O57" s="12">
        <f>K57-M57-N57</f>
        <v/>
      </c>
      <c r="P57" s="12">
        <f>ROUND(L57*EssentialMix,0)</f>
        <v/>
      </c>
      <c r="Q57" s="12">
        <f>ROUND(L57*PremiumMix,0)</f>
        <v/>
      </c>
      <c r="R57" s="12">
        <f>L57-P57-Q57</f>
        <v/>
      </c>
      <c r="S57" s="12">
        <f>M57+M56+M55+MAX(0,S56-M56-M55)*(1-F57)</f>
        <v/>
      </c>
      <c r="T57" s="12">
        <f>N57+N56+N55+MAX(0,T56-N56-N55)*(1-F57)</f>
        <v/>
      </c>
      <c r="U57" s="12">
        <f>O57+O56+O55+MAX(0,U56-O56-O55)*(1-F57)</f>
        <v/>
      </c>
      <c r="V57" s="12">
        <f>V56+P57-P45*(AnnualChurn*VLOOKUP(B57,ChurnSeasonTable,4,FALSE))*POWER(1-(AnnualChurn*VLOOKUP(B57,ChurnSeasonTable,4,FALSE)),0)+P33*(AnnualChurn*VLOOKUP(B57,ChurnSeasonTable,4,FALSE))*POWER(1-(AnnualChurn*VLOOKUP(B57,ChurnSeasonTable,4,FALSE)),1)+P21*(AnnualChurn*VLOOKUP(B57,ChurnSeasonTable,4,FALSE))*POWER(1-(AnnualChurn*VLOOKUP(B57,ChurnSeasonTable,4,FALSE)),2)+P9*(AnnualChurn*VLOOKUP(B57,ChurnSeasonTable,4,FALSE))*POWER(1-(AnnualChurn*VLOOKUP(B57,ChurnSeasonTable,4,FALSE)),3)</f>
        <v/>
      </c>
      <c r="W57" s="12">
        <f>W56+Q57-Q45*(AnnualChurn*VLOOKUP(B57,ChurnSeasonTable,4,FALSE))*POWER(1-(AnnualChurn*VLOOKUP(B57,ChurnSeasonTable,4,FALSE)),0)+Q33*(AnnualChurn*VLOOKUP(B57,ChurnSeasonTable,4,FALSE))*POWER(1-(AnnualChurn*VLOOKUP(B57,ChurnSeasonTable,4,FALSE)),1)+Q21*(AnnualChurn*VLOOKUP(B57,ChurnSeasonTable,4,FALSE))*POWER(1-(AnnualChurn*VLOOKUP(B57,ChurnSeasonTable,4,FALSE)),2)+Q9*(AnnualChurn*VLOOKUP(B57,ChurnSeasonTable,4,FALSE))*POWER(1-(AnnualChurn*VLOOKUP(B57,ChurnSeasonTable,4,FALSE)),3)</f>
        <v/>
      </c>
      <c r="X57" s="12">
        <f>X56+R57-R45*(AnnualChurn*VLOOKUP(B57,ChurnSeasonTable,4,FALSE))*POWER(1-(AnnualChurn*VLOOKUP(B57,ChurnSeasonTable,4,FALSE)),0)+R33*(AnnualChurn*VLOOKUP(B57,ChurnSeasonTable,4,FALSE))*POWER(1-(AnnualChurn*VLOOKUP(B57,ChurnSeasonTable,4,FALSE)),1)+R21*(AnnualChurn*VLOOKUP(B57,ChurnSeasonTable,4,FALSE))*POWER(1-(AnnualChurn*VLOOKUP(B57,ChurnSeasonTable,4,FALSE)),2)+R9*(AnnualChurn*VLOOKUP(B57,ChurnSeasonTable,4,FALSE))*POWER(1-(AnnualChurn*VLOOKUP(B57,ChurnSeasonTable,4,FALSE)),3)</f>
        <v/>
      </c>
      <c r="Y57" s="12">
        <f>S57+T57+U57+V57+W57+X57</f>
        <v/>
      </c>
      <c r="Z57" s="9">
        <f>S57*BlendedPriceEssMonthly*E57+T57*BlendedPricePremMonthly*E57+U57*BlendedPriceEliteMonthly*E57+V57*BlendedPriceEssAnnual*E57/12+W57*BlendedPricePremAnnual*E57/12+X57*BlendedPriceEliteAnnual*E57/12</f>
        <v/>
      </c>
      <c r="AA57" s="9">
        <f>Z57*12</f>
        <v/>
      </c>
      <c r="AB57" s="12">
        <f>S57*BlendedPriceEssMonthly*E57+T57*BlendedPricePremMonthly*E57+U57*BlendedPriceEliteMonthly*E57</f>
        <v/>
      </c>
      <c r="AC57" s="12">
        <f>P57*BlendedPriceEssAnnual*E57+Q57*BlendedPricePremAnnual*E57+R57*BlendedPriceEliteAnnual*E57</f>
        <v/>
      </c>
      <c r="AD57" s="12">
        <f>P45*POWER(1-(AnnualChurn*VLOOKUP(B57,ChurnSeasonTable,4,FALSE)),1)*BlendedPriceEssAnnual*E57+P33*POWER(1-(AnnualChurn*VLOOKUP(B57,ChurnSeasonTable,4,FALSE)),2)*BlendedPriceEssAnnual*E57+P21*POWER(1-(AnnualChurn*VLOOKUP(B57,ChurnSeasonTable,4,FALSE)),3)*BlendedPriceEssAnnual*E57+P9*POWER(1-(AnnualChurn*VLOOKUP(B57,ChurnSeasonTable,4,FALSE)),4)*BlendedPriceEssAnnual*E57+Q45*POWER(1-(AnnualChurn*VLOOKUP(B57,ChurnSeasonTable,4,FALSE)),1)*BlendedPricePremAnnual*E57+Q33*POWER(1-(AnnualChurn*VLOOKUP(B57,ChurnSeasonTable,4,FALSE)),2)*BlendedPricePremAnnual*E57+Q21*POWER(1-(AnnualChurn*VLOOKUP(B57,ChurnSeasonTable,4,FALSE)),3)*BlendedPricePremAnnual*E57+Q9*POWER(1-(AnnualChurn*VLOOKUP(B57,ChurnSeasonTable,4,FALSE)),4)*BlendedPricePremAnnual*E57+R45*POWER(1-(AnnualChurn*VLOOKUP(B57,ChurnSeasonTable,4,FALSE)),1)*BlendedPriceEliteAnnual*E57+R33*POWER(1-(AnnualChurn*VLOOKUP(B57,ChurnSeasonTable,4,FALSE)),2)*BlendedPriceEliteAnnual*E57+R21*POWER(1-(AnnualChurn*VLOOKUP(B57,ChurnSeasonTable,4,FALSE)),3)*BlendedPriceEliteAnnual*E57+R9*POWER(1-(AnnualChurn*VLOOKUP(B57,ChurnSeasonTable,4,FALSE)),4)*BlendedPriceEliteAnnual*E57</f>
        <v/>
      </c>
      <c r="AE57" s="9">
        <f>AB57+AC57+AD57</f>
        <v/>
      </c>
      <c r="AF57" s="12">
        <f>SUM(AE46:AE57)</f>
        <v/>
      </c>
      <c r="AG57" s="12">
        <f>OR(AG56,IF(VATAgentMode,SUM($AE46:$AE57)-SUM($AL46:$AL57)&gt;=VATThreshold,SUM($AE46:$AE57)&gt;=VATThreshold))</f>
        <v/>
      </c>
      <c r="AH57" s="9">
        <f>IF(AG57,IF(VATAgentMode,AE57-((AE57-AL57)-(AE57-AL57)/(1+VATRate)),AE57/(1+VATRate)),AE57)</f>
        <v/>
      </c>
      <c r="AI57" s="12">
        <f>AE57-AH57</f>
        <v/>
      </c>
      <c r="AJ57" s="12">
        <f>IF(AG57=0,0,IF(B57=1,SUMPRODUCT(--(($C$5:$C57=$C57-1)*($B$5:$B57&gt;=10)*($B$5:$B57&lt;=12)),$AI$5:$AI57),IF(B57=4,SUMPRODUCT(--(($C$5:$C57=$C57)*($B$5:$B57&gt;=1)*($B$5:$B57&lt;=3)),$AI$5:$AI57),IF(B57=7,SUMPRODUCT(--(($C$5:$C57=$C57)*($B$5:$B57&gt;=4)*($B$5:$B57&lt;=6)),$AI$5:$AI57),IF(B57=10,SUMPRODUCT(--(($C$5:$C57=$C57)*($B$5:$B57&gt;=7)*($B$5:$B57&lt;=9)),$AI$5:$AI57),0)))))</f>
        <v/>
      </c>
      <c r="AK57" s="12">
        <f>AK56+AI57-AJ57</f>
        <v/>
      </c>
      <c r="AL57" s="12">
        <f>IF(ProviderDelay&gt;=1,S56*BlendedProvPayEss+T56*BlendedProvPayPrem+U56*BlendedProvPayElite+V56*BlendedProvPayEss+W56*BlendedProvPayPrem+X56*BlendedProvPayElite,S57*BlendedProvPayEss+T57*BlendedProvPayPrem+U57*BlendedProvPayElite+V57*BlendedProvPayEss+W57*BlendedProvPayPrem+X57*BlendedProvPayElite)</f>
        <v/>
      </c>
      <c r="AM57" s="12">
        <f>AE57*PaymentFee</f>
        <v/>
      </c>
      <c r="AN57" s="12">
        <f>Y57*OpsAI</f>
        <v/>
      </c>
      <c r="AO57" s="12">
        <f>MonthlyFixed</f>
        <v/>
      </c>
      <c r="AP57" s="12">
        <f>I57*ReferralReward</f>
        <v/>
      </c>
      <c r="AQ57" s="12">
        <f>G57</f>
        <v/>
      </c>
      <c r="AR57" s="9">
        <f>AH57-AL57-AM57-AN57-AO57-AP57-AQ57</f>
        <v/>
      </c>
      <c r="AS57" s="9">
        <f>AS56+AE57-(AL57+AM57+AN57+AO57+AP57+AQ57+AJ57)</f>
        <v/>
      </c>
      <c r="AT57" s="12">
        <f>IF(Y57&gt;0,Z57/Y57,0)</f>
        <v/>
      </c>
      <c r="AU57" s="11">
        <f>IF(Y56&gt;0,MAX(0,(Y56+J57-Y57)/Y56),0)</f>
        <v/>
      </c>
    </row>
    <row r="58">
      <c r="A58" s="12" t="n">
        <v>54</v>
      </c>
      <c r="B58" s="12">
        <f>MOD(A58-1+LaunchMonth-1,12)+1</f>
        <v/>
      </c>
      <c r="C58" s="12">
        <f>INT((A58-1+LaunchMonth-1)/12)+1</f>
        <v/>
      </c>
      <c r="D58" s="12">
        <f>VLOOKUP(B58,SeasonTable,2,FALSE)</f>
        <v/>
      </c>
      <c r="E58" s="12">
        <f>(1+InflationRate)^INT((A58-1)/12)</f>
        <v/>
      </c>
      <c r="F58" s="11">
        <f>MonthlyChurn*VLOOKUP(B58,ChurnSeasonTable,4,FALSE)</f>
        <v/>
      </c>
      <c r="G58" s="12">
        <f>MIN(MAX(MktMin19plus,AE57*MktPct19plus),MAX(0,AS57-CashBuffer))</f>
        <v/>
      </c>
      <c r="H58" s="12">
        <f>IF(G58&gt;0,MAX(1,ROUND(G58/CAC*D58,0)),0)</f>
        <v/>
      </c>
      <c r="I58" s="12">
        <f>IF(H58&gt;0,ROUND(H58*ReferralMix/(1-ReferralMix),0),0)</f>
        <v/>
      </c>
      <c r="J58" s="12">
        <f>H58+I58</f>
        <v/>
      </c>
      <c r="K58" s="12">
        <f>ROUND(J58*(1-AnnualMix),0)</f>
        <v/>
      </c>
      <c r="L58" s="12">
        <f>J58-K58</f>
        <v/>
      </c>
      <c r="M58" s="12">
        <f>ROUND(K58*EssentialMix,0)</f>
        <v/>
      </c>
      <c r="N58" s="12">
        <f>ROUND(K58*PremiumMix,0)</f>
        <v/>
      </c>
      <c r="O58" s="12">
        <f>K58-M58-N58</f>
        <v/>
      </c>
      <c r="P58" s="12">
        <f>ROUND(L58*EssentialMix,0)</f>
        <v/>
      </c>
      <c r="Q58" s="12">
        <f>ROUND(L58*PremiumMix,0)</f>
        <v/>
      </c>
      <c r="R58" s="12">
        <f>L58-P58-Q58</f>
        <v/>
      </c>
      <c r="S58" s="12">
        <f>M58+M57+M56+MAX(0,S57-M57-M56)*(1-F58)</f>
        <v/>
      </c>
      <c r="T58" s="12">
        <f>N58+N57+N56+MAX(0,T57-N57-N56)*(1-F58)</f>
        <v/>
      </c>
      <c r="U58" s="12">
        <f>O58+O57+O56+MAX(0,U57-O57-O56)*(1-F58)</f>
        <v/>
      </c>
      <c r="V58" s="12">
        <f>V57+P58-P46*(AnnualChurn*VLOOKUP(B58,ChurnSeasonTable,4,FALSE))*POWER(1-(AnnualChurn*VLOOKUP(B58,ChurnSeasonTable,4,FALSE)),0)+P34*(AnnualChurn*VLOOKUP(B58,ChurnSeasonTable,4,FALSE))*POWER(1-(AnnualChurn*VLOOKUP(B58,ChurnSeasonTable,4,FALSE)),1)+P22*(AnnualChurn*VLOOKUP(B58,ChurnSeasonTable,4,FALSE))*POWER(1-(AnnualChurn*VLOOKUP(B58,ChurnSeasonTable,4,FALSE)),2)+P10*(AnnualChurn*VLOOKUP(B58,ChurnSeasonTable,4,FALSE))*POWER(1-(AnnualChurn*VLOOKUP(B58,ChurnSeasonTable,4,FALSE)),3)</f>
        <v/>
      </c>
      <c r="W58" s="12">
        <f>W57+Q58-Q46*(AnnualChurn*VLOOKUP(B58,ChurnSeasonTable,4,FALSE))*POWER(1-(AnnualChurn*VLOOKUP(B58,ChurnSeasonTable,4,FALSE)),0)+Q34*(AnnualChurn*VLOOKUP(B58,ChurnSeasonTable,4,FALSE))*POWER(1-(AnnualChurn*VLOOKUP(B58,ChurnSeasonTable,4,FALSE)),1)+Q22*(AnnualChurn*VLOOKUP(B58,ChurnSeasonTable,4,FALSE))*POWER(1-(AnnualChurn*VLOOKUP(B58,ChurnSeasonTable,4,FALSE)),2)+Q10*(AnnualChurn*VLOOKUP(B58,ChurnSeasonTable,4,FALSE))*POWER(1-(AnnualChurn*VLOOKUP(B58,ChurnSeasonTable,4,FALSE)),3)</f>
        <v/>
      </c>
      <c r="X58" s="12">
        <f>X57+R58-R46*(AnnualChurn*VLOOKUP(B58,ChurnSeasonTable,4,FALSE))*POWER(1-(AnnualChurn*VLOOKUP(B58,ChurnSeasonTable,4,FALSE)),0)+R34*(AnnualChurn*VLOOKUP(B58,ChurnSeasonTable,4,FALSE))*POWER(1-(AnnualChurn*VLOOKUP(B58,ChurnSeasonTable,4,FALSE)),1)+R22*(AnnualChurn*VLOOKUP(B58,ChurnSeasonTable,4,FALSE))*POWER(1-(AnnualChurn*VLOOKUP(B58,ChurnSeasonTable,4,FALSE)),2)+R10*(AnnualChurn*VLOOKUP(B58,ChurnSeasonTable,4,FALSE))*POWER(1-(AnnualChurn*VLOOKUP(B58,ChurnSeasonTable,4,FALSE)),3)</f>
        <v/>
      </c>
      <c r="Y58" s="12">
        <f>S58+T58+U58+V58+W58+X58</f>
        <v/>
      </c>
      <c r="Z58" s="9">
        <f>S58*BlendedPriceEssMonthly*E58+T58*BlendedPricePremMonthly*E58+U58*BlendedPriceEliteMonthly*E58+V58*BlendedPriceEssAnnual*E58/12+W58*BlendedPricePremAnnual*E58/12+X58*BlendedPriceEliteAnnual*E58/12</f>
        <v/>
      </c>
      <c r="AA58" s="9">
        <f>Z58*12</f>
        <v/>
      </c>
      <c r="AB58" s="12">
        <f>S58*BlendedPriceEssMonthly*E58+T58*BlendedPricePremMonthly*E58+U58*BlendedPriceEliteMonthly*E58</f>
        <v/>
      </c>
      <c r="AC58" s="12">
        <f>P58*BlendedPriceEssAnnual*E58+Q58*BlendedPricePremAnnual*E58+R58*BlendedPriceEliteAnnual*E58</f>
        <v/>
      </c>
      <c r="AD58" s="12">
        <f>P46*POWER(1-(AnnualChurn*VLOOKUP(B58,ChurnSeasonTable,4,FALSE)),1)*BlendedPriceEssAnnual*E58+P34*POWER(1-(AnnualChurn*VLOOKUP(B58,ChurnSeasonTable,4,FALSE)),2)*BlendedPriceEssAnnual*E58+P22*POWER(1-(AnnualChurn*VLOOKUP(B58,ChurnSeasonTable,4,FALSE)),3)*BlendedPriceEssAnnual*E58+P10*POWER(1-(AnnualChurn*VLOOKUP(B58,ChurnSeasonTable,4,FALSE)),4)*BlendedPriceEssAnnual*E58+Q46*POWER(1-(AnnualChurn*VLOOKUP(B58,ChurnSeasonTable,4,FALSE)),1)*BlendedPricePremAnnual*E58+Q34*POWER(1-(AnnualChurn*VLOOKUP(B58,ChurnSeasonTable,4,FALSE)),2)*BlendedPricePremAnnual*E58+Q22*POWER(1-(AnnualChurn*VLOOKUP(B58,ChurnSeasonTable,4,FALSE)),3)*BlendedPricePremAnnual*E58+Q10*POWER(1-(AnnualChurn*VLOOKUP(B58,ChurnSeasonTable,4,FALSE)),4)*BlendedPricePremAnnual*E58+R46*POWER(1-(AnnualChurn*VLOOKUP(B58,ChurnSeasonTable,4,FALSE)),1)*BlendedPriceEliteAnnual*E58+R34*POWER(1-(AnnualChurn*VLOOKUP(B58,ChurnSeasonTable,4,FALSE)),2)*BlendedPriceEliteAnnual*E58+R22*POWER(1-(AnnualChurn*VLOOKUP(B58,ChurnSeasonTable,4,FALSE)),3)*BlendedPriceEliteAnnual*E58+R10*POWER(1-(AnnualChurn*VLOOKUP(B58,ChurnSeasonTable,4,FALSE)),4)*BlendedPriceEliteAnnual*E58</f>
        <v/>
      </c>
      <c r="AE58" s="9">
        <f>AB58+AC58+AD58</f>
        <v/>
      </c>
      <c r="AF58" s="12">
        <f>SUM(AE47:AE58)</f>
        <v/>
      </c>
      <c r="AG58" s="12">
        <f>OR(AG57,IF(VATAgentMode,SUM($AE47:$AE58)-SUM($AL47:$AL58)&gt;=VATThreshold,SUM($AE47:$AE58)&gt;=VATThreshold))</f>
        <v/>
      </c>
      <c r="AH58" s="9">
        <f>IF(AG58,IF(VATAgentMode,AE58-((AE58-AL58)-(AE58-AL58)/(1+VATRate)),AE58/(1+VATRate)),AE58)</f>
        <v/>
      </c>
      <c r="AI58" s="12">
        <f>AE58-AH58</f>
        <v/>
      </c>
      <c r="AJ58" s="12">
        <f>IF(AG58=0,0,IF(B58=1,SUMPRODUCT(--(($C$5:$C58=$C58-1)*($B$5:$B58&gt;=10)*($B$5:$B58&lt;=12)),$AI$5:$AI58),IF(B58=4,SUMPRODUCT(--(($C$5:$C58=$C58)*($B$5:$B58&gt;=1)*($B$5:$B58&lt;=3)),$AI$5:$AI58),IF(B58=7,SUMPRODUCT(--(($C$5:$C58=$C58)*($B$5:$B58&gt;=4)*($B$5:$B58&lt;=6)),$AI$5:$AI58),IF(B58=10,SUMPRODUCT(--(($C$5:$C58=$C58)*($B$5:$B58&gt;=7)*($B$5:$B58&lt;=9)),$AI$5:$AI58),0)))))</f>
        <v/>
      </c>
      <c r="AK58" s="12">
        <f>AK57+AI58-AJ58</f>
        <v/>
      </c>
      <c r="AL58" s="12">
        <f>IF(ProviderDelay&gt;=1,S57*BlendedProvPayEss+T57*BlendedProvPayPrem+U57*BlendedProvPayElite+V57*BlendedProvPayEss+W57*BlendedProvPayPrem+X57*BlendedProvPayElite,S58*BlendedProvPayEss+T58*BlendedProvPayPrem+U58*BlendedProvPayElite+V58*BlendedProvPayEss+W58*BlendedProvPayPrem+X58*BlendedProvPayElite)</f>
        <v/>
      </c>
      <c r="AM58" s="12">
        <f>AE58*PaymentFee</f>
        <v/>
      </c>
      <c r="AN58" s="12">
        <f>Y58*OpsAI</f>
        <v/>
      </c>
      <c r="AO58" s="12">
        <f>MonthlyFixed</f>
        <v/>
      </c>
      <c r="AP58" s="12">
        <f>I58*ReferralReward</f>
        <v/>
      </c>
      <c r="AQ58" s="12">
        <f>G58</f>
        <v/>
      </c>
      <c r="AR58" s="9">
        <f>AH58-AL58-AM58-AN58-AO58-AP58-AQ58</f>
        <v/>
      </c>
      <c r="AS58" s="9">
        <f>AS57+AE58-(AL58+AM58+AN58+AO58+AP58+AQ58+AJ58)</f>
        <v/>
      </c>
      <c r="AT58" s="12">
        <f>IF(Y58&gt;0,Z58/Y58,0)</f>
        <v/>
      </c>
      <c r="AU58" s="11">
        <f>IF(Y57&gt;0,MAX(0,(Y57+J58-Y58)/Y57),0)</f>
        <v/>
      </c>
    </row>
    <row r="59">
      <c r="A59" s="12" t="n">
        <v>55</v>
      </c>
      <c r="B59" s="12">
        <f>MOD(A59-1+LaunchMonth-1,12)+1</f>
        <v/>
      </c>
      <c r="C59" s="12">
        <f>INT((A59-1+LaunchMonth-1)/12)+1</f>
        <v/>
      </c>
      <c r="D59" s="12">
        <f>VLOOKUP(B59,SeasonTable,2,FALSE)</f>
        <v/>
      </c>
      <c r="E59" s="12">
        <f>(1+InflationRate)^INT((A59-1)/12)</f>
        <v/>
      </c>
      <c r="F59" s="11">
        <f>MonthlyChurn*VLOOKUP(B59,ChurnSeasonTable,4,FALSE)</f>
        <v/>
      </c>
      <c r="G59" s="12">
        <f>MIN(MAX(MktMin19plus,AE58*MktPct19plus),MAX(0,AS58-CashBuffer))</f>
        <v/>
      </c>
      <c r="H59" s="12">
        <f>IF(G59&gt;0,MAX(1,ROUND(G59/CAC*D59,0)),0)</f>
        <v/>
      </c>
      <c r="I59" s="12">
        <f>IF(H59&gt;0,ROUND(H59*ReferralMix/(1-ReferralMix),0),0)</f>
        <v/>
      </c>
      <c r="J59" s="12">
        <f>H59+I59</f>
        <v/>
      </c>
      <c r="K59" s="12">
        <f>ROUND(J59*(1-AnnualMix),0)</f>
        <v/>
      </c>
      <c r="L59" s="12">
        <f>J59-K59</f>
        <v/>
      </c>
      <c r="M59" s="12">
        <f>ROUND(K59*EssentialMix,0)</f>
        <v/>
      </c>
      <c r="N59" s="12">
        <f>ROUND(K59*PremiumMix,0)</f>
        <v/>
      </c>
      <c r="O59" s="12">
        <f>K59-M59-N59</f>
        <v/>
      </c>
      <c r="P59" s="12">
        <f>ROUND(L59*EssentialMix,0)</f>
        <v/>
      </c>
      <c r="Q59" s="12">
        <f>ROUND(L59*PremiumMix,0)</f>
        <v/>
      </c>
      <c r="R59" s="12">
        <f>L59-P59-Q59</f>
        <v/>
      </c>
      <c r="S59" s="12">
        <f>M59+M58+M57+MAX(0,S58-M58-M57)*(1-F59)</f>
        <v/>
      </c>
      <c r="T59" s="12">
        <f>N59+N58+N57+MAX(0,T58-N58-N57)*(1-F59)</f>
        <v/>
      </c>
      <c r="U59" s="12">
        <f>O59+O58+O57+MAX(0,U58-O58-O57)*(1-F59)</f>
        <v/>
      </c>
      <c r="V59" s="12">
        <f>V58+P59-P47*(AnnualChurn*VLOOKUP(B59,ChurnSeasonTable,4,FALSE))*POWER(1-(AnnualChurn*VLOOKUP(B59,ChurnSeasonTable,4,FALSE)),0)+P35*(AnnualChurn*VLOOKUP(B59,ChurnSeasonTable,4,FALSE))*POWER(1-(AnnualChurn*VLOOKUP(B59,ChurnSeasonTable,4,FALSE)),1)+P23*(AnnualChurn*VLOOKUP(B59,ChurnSeasonTable,4,FALSE))*POWER(1-(AnnualChurn*VLOOKUP(B59,ChurnSeasonTable,4,FALSE)),2)+P11*(AnnualChurn*VLOOKUP(B59,ChurnSeasonTable,4,FALSE))*POWER(1-(AnnualChurn*VLOOKUP(B59,ChurnSeasonTable,4,FALSE)),3)</f>
        <v/>
      </c>
      <c r="W59" s="12">
        <f>W58+Q59-Q47*(AnnualChurn*VLOOKUP(B59,ChurnSeasonTable,4,FALSE))*POWER(1-(AnnualChurn*VLOOKUP(B59,ChurnSeasonTable,4,FALSE)),0)+Q35*(AnnualChurn*VLOOKUP(B59,ChurnSeasonTable,4,FALSE))*POWER(1-(AnnualChurn*VLOOKUP(B59,ChurnSeasonTable,4,FALSE)),1)+Q23*(AnnualChurn*VLOOKUP(B59,ChurnSeasonTable,4,FALSE))*POWER(1-(AnnualChurn*VLOOKUP(B59,ChurnSeasonTable,4,FALSE)),2)+Q11*(AnnualChurn*VLOOKUP(B59,ChurnSeasonTable,4,FALSE))*POWER(1-(AnnualChurn*VLOOKUP(B59,ChurnSeasonTable,4,FALSE)),3)</f>
        <v/>
      </c>
      <c r="X59" s="12">
        <f>X58+R59-R47*(AnnualChurn*VLOOKUP(B59,ChurnSeasonTable,4,FALSE))*POWER(1-(AnnualChurn*VLOOKUP(B59,ChurnSeasonTable,4,FALSE)),0)+R35*(AnnualChurn*VLOOKUP(B59,ChurnSeasonTable,4,FALSE))*POWER(1-(AnnualChurn*VLOOKUP(B59,ChurnSeasonTable,4,FALSE)),1)+R23*(AnnualChurn*VLOOKUP(B59,ChurnSeasonTable,4,FALSE))*POWER(1-(AnnualChurn*VLOOKUP(B59,ChurnSeasonTable,4,FALSE)),2)+R11*(AnnualChurn*VLOOKUP(B59,ChurnSeasonTable,4,FALSE))*POWER(1-(AnnualChurn*VLOOKUP(B59,ChurnSeasonTable,4,FALSE)),3)</f>
        <v/>
      </c>
      <c r="Y59" s="12">
        <f>S59+T59+U59+V59+W59+X59</f>
        <v/>
      </c>
      <c r="Z59" s="9">
        <f>S59*BlendedPriceEssMonthly*E59+T59*BlendedPricePremMonthly*E59+U59*BlendedPriceEliteMonthly*E59+V59*BlendedPriceEssAnnual*E59/12+W59*BlendedPricePremAnnual*E59/12+X59*BlendedPriceEliteAnnual*E59/12</f>
        <v/>
      </c>
      <c r="AA59" s="9">
        <f>Z59*12</f>
        <v/>
      </c>
      <c r="AB59" s="12">
        <f>S59*BlendedPriceEssMonthly*E59+T59*BlendedPricePremMonthly*E59+U59*BlendedPriceEliteMonthly*E59</f>
        <v/>
      </c>
      <c r="AC59" s="12">
        <f>P59*BlendedPriceEssAnnual*E59+Q59*BlendedPricePremAnnual*E59+R59*BlendedPriceEliteAnnual*E59</f>
        <v/>
      </c>
      <c r="AD59" s="12">
        <f>P47*POWER(1-(AnnualChurn*VLOOKUP(B59,ChurnSeasonTable,4,FALSE)),1)*BlendedPriceEssAnnual*E59+P35*POWER(1-(AnnualChurn*VLOOKUP(B59,ChurnSeasonTable,4,FALSE)),2)*BlendedPriceEssAnnual*E59+P23*POWER(1-(AnnualChurn*VLOOKUP(B59,ChurnSeasonTable,4,FALSE)),3)*BlendedPriceEssAnnual*E59+P11*POWER(1-(AnnualChurn*VLOOKUP(B59,ChurnSeasonTable,4,FALSE)),4)*BlendedPriceEssAnnual*E59+Q47*POWER(1-(AnnualChurn*VLOOKUP(B59,ChurnSeasonTable,4,FALSE)),1)*BlendedPricePremAnnual*E59+Q35*POWER(1-(AnnualChurn*VLOOKUP(B59,ChurnSeasonTable,4,FALSE)),2)*BlendedPricePremAnnual*E59+Q23*POWER(1-(AnnualChurn*VLOOKUP(B59,ChurnSeasonTable,4,FALSE)),3)*BlendedPricePremAnnual*E59+Q11*POWER(1-(AnnualChurn*VLOOKUP(B59,ChurnSeasonTable,4,FALSE)),4)*BlendedPricePremAnnual*E59+R47*POWER(1-(AnnualChurn*VLOOKUP(B59,ChurnSeasonTable,4,FALSE)),1)*BlendedPriceEliteAnnual*E59+R35*POWER(1-(AnnualChurn*VLOOKUP(B59,ChurnSeasonTable,4,FALSE)),2)*BlendedPriceEliteAnnual*E59+R23*POWER(1-(AnnualChurn*VLOOKUP(B59,ChurnSeasonTable,4,FALSE)),3)*BlendedPriceEliteAnnual*E59+R11*POWER(1-(AnnualChurn*VLOOKUP(B59,ChurnSeasonTable,4,FALSE)),4)*BlendedPriceEliteAnnual*E59</f>
        <v/>
      </c>
      <c r="AE59" s="9">
        <f>AB59+AC59+AD59</f>
        <v/>
      </c>
      <c r="AF59" s="12">
        <f>SUM(AE48:AE59)</f>
        <v/>
      </c>
      <c r="AG59" s="12">
        <f>OR(AG58,IF(VATAgentMode,SUM($AE48:$AE59)-SUM($AL48:$AL59)&gt;=VATThreshold,SUM($AE48:$AE59)&gt;=VATThreshold))</f>
        <v/>
      </c>
      <c r="AH59" s="9">
        <f>IF(AG59,IF(VATAgentMode,AE59-((AE59-AL59)-(AE59-AL59)/(1+VATRate)),AE59/(1+VATRate)),AE59)</f>
        <v/>
      </c>
      <c r="AI59" s="12">
        <f>AE59-AH59</f>
        <v/>
      </c>
      <c r="AJ59" s="12">
        <f>IF(AG59=0,0,IF(B59=1,SUMPRODUCT(--(($C$5:$C59=$C59-1)*($B$5:$B59&gt;=10)*($B$5:$B59&lt;=12)),$AI$5:$AI59),IF(B59=4,SUMPRODUCT(--(($C$5:$C59=$C59)*($B$5:$B59&gt;=1)*($B$5:$B59&lt;=3)),$AI$5:$AI59),IF(B59=7,SUMPRODUCT(--(($C$5:$C59=$C59)*($B$5:$B59&gt;=4)*($B$5:$B59&lt;=6)),$AI$5:$AI59),IF(B59=10,SUMPRODUCT(--(($C$5:$C59=$C59)*($B$5:$B59&gt;=7)*($B$5:$B59&lt;=9)),$AI$5:$AI59),0)))))</f>
        <v/>
      </c>
      <c r="AK59" s="12">
        <f>AK58+AI59-AJ59</f>
        <v/>
      </c>
      <c r="AL59" s="12">
        <f>IF(ProviderDelay&gt;=1,S58*BlendedProvPayEss+T58*BlendedProvPayPrem+U58*BlendedProvPayElite+V58*BlendedProvPayEss+W58*BlendedProvPayPrem+X58*BlendedProvPayElite,S59*BlendedProvPayEss+T59*BlendedProvPayPrem+U59*BlendedProvPayElite+V59*BlendedProvPayEss+W59*BlendedProvPayPrem+X59*BlendedProvPayElite)</f>
        <v/>
      </c>
      <c r="AM59" s="12">
        <f>AE59*PaymentFee</f>
        <v/>
      </c>
      <c r="AN59" s="12">
        <f>Y59*OpsAI</f>
        <v/>
      </c>
      <c r="AO59" s="12">
        <f>MonthlyFixed</f>
        <v/>
      </c>
      <c r="AP59" s="12">
        <f>I59*ReferralReward</f>
        <v/>
      </c>
      <c r="AQ59" s="12">
        <f>G59</f>
        <v/>
      </c>
      <c r="AR59" s="9">
        <f>AH59-AL59-AM59-AN59-AO59-AP59-AQ59</f>
        <v/>
      </c>
      <c r="AS59" s="9">
        <f>AS58+AE59-(AL59+AM59+AN59+AO59+AP59+AQ59+AJ59)</f>
        <v/>
      </c>
      <c r="AT59" s="12">
        <f>IF(Y59&gt;0,Z59/Y59,0)</f>
        <v/>
      </c>
      <c r="AU59" s="11">
        <f>IF(Y58&gt;0,MAX(0,(Y58+J59-Y59)/Y58),0)</f>
        <v/>
      </c>
    </row>
    <row r="60">
      <c r="A60" s="12" t="n">
        <v>56</v>
      </c>
      <c r="B60" s="12">
        <f>MOD(A60-1+LaunchMonth-1,12)+1</f>
        <v/>
      </c>
      <c r="C60" s="12">
        <f>INT((A60-1+LaunchMonth-1)/12)+1</f>
        <v/>
      </c>
      <c r="D60" s="12">
        <f>VLOOKUP(B60,SeasonTable,2,FALSE)</f>
        <v/>
      </c>
      <c r="E60" s="12">
        <f>(1+InflationRate)^INT((A60-1)/12)</f>
        <v/>
      </c>
      <c r="F60" s="11">
        <f>MonthlyChurn*VLOOKUP(B60,ChurnSeasonTable,4,FALSE)</f>
        <v/>
      </c>
      <c r="G60" s="12">
        <f>MIN(MAX(MktMin19plus,AE59*MktPct19plus),MAX(0,AS59-CashBuffer))</f>
        <v/>
      </c>
      <c r="H60" s="12">
        <f>IF(G60&gt;0,MAX(1,ROUND(G60/CAC*D60,0)),0)</f>
        <v/>
      </c>
      <c r="I60" s="12">
        <f>IF(H60&gt;0,ROUND(H60*ReferralMix/(1-ReferralMix),0),0)</f>
        <v/>
      </c>
      <c r="J60" s="12">
        <f>H60+I60</f>
        <v/>
      </c>
      <c r="K60" s="12">
        <f>ROUND(J60*(1-AnnualMix),0)</f>
        <v/>
      </c>
      <c r="L60" s="12">
        <f>J60-K60</f>
        <v/>
      </c>
      <c r="M60" s="12">
        <f>ROUND(K60*EssentialMix,0)</f>
        <v/>
      </c>
      <c r="N60" s="12">
        <f>ROUND(K60*PremiumMix,0)</f>
        <v/>
      </c>
      <c r="O60" s="12">
        <f>K60-M60-N60</f>
        <v/>
      </c>
      <c r="P60" s="12">
        <f>ROUND(L60*EssentialMix,0)</f>
        <v/>
      </c>
      <c r="Q60" s="12">
        <f>ROUND(L60*PremiumMix,0)</f>
        <v/>
      </c>
      <c r="R60" s="12">
        <f>L60-P60-Q60</f>
        <v/>
      </c>
      <c r="S60" s="12">
        <f>M60+M59+M58+MAX(0,S59-M59-M58)*(1-F60)</f>
        <v/>
      </c>
      <c r="T60" s="12">
        <f>N60+N59+N58+MAX(0,T59-N59-N58)*(1-F60)</f>
        <v/>
      </c>
      <c r="U60" s="12">
        <f>O60+O59+O58+MAX(0,U59-O59-O58)*(1-F60)</f>
        <v/>
      </c>
      <c r="V60" s="12">
        <f>V59+P60-P48*(AnnualChurn*VLOOKUP(B60,ChurnSeasonTable,4,FALSE))*POWER(1-(AnnualChurn*VLOOKUP(B60,ChurnSeasonTable,4,FALSE)),0)+P36*(AnnualChurn*VLOOKUP(B60,ChurnSeasonTable,4,FALSE))*POWER(1-(AnnualChurn*VLOOKUP(B60,ChurnSeasonTable,4,FALSE)),1)+P24*(AnnualChurn*VLOOKUP(B60,ChurnSeasonTable,4,FALSE))*POWER(1-(AnnualChurn*VLOOKUP(B60,ChurnSeasonTable,4,FALSE)),2)+P12*(AnnualChurn*VLOOKUP(B60,ChurnSeasonTable,4,FALSE))*POWER(1-(AnnualChurn*VLOOKUP(B60,ChurnSeasonTable,4,FALSE)),3)</f>
        <v/>
      </c>
      <c r="W60" s="12">
        <f>W59+Q60-Q48*(AnnualChurn*VLOOKUP(B60,ChurnSeasonTable,4,FALSE))*POWER(1-(AnnualChurn*VLOOKUP(B60,ChurnSeasonTable,4,FALSE)),0)+Q36*(AnnualChurn*VLOOKUP(B60,ChurnSeasonTable,4,FALSE))*POWER(1-(AnnualChurn*VLOOKUP(B60,ChurnSeasonTable,4,FALSE)),1)+Q24*(AnnualChurn*VLOOKUP(B60,ChurnSeasonTable,4,FALSE))*POWER(1-(AnnualChurn*VLOOKUP(B60,ChurnSeasonTable,4,FALSE)),2)+Q12*(AnnualChurn*VLOOKUP(B60,ChurnSeasonTable,4,FALSE))*POWER(1-(AnnualChurn*VLOOKUP(B60,ChurnSeasonTable,4,FALSE)),3)</f>
        <v/>
      </c>
      <c r="X60" s="12">
        <f>X59+R60-R48*(AnnualChurn*VLOOKUP(B60,ChurnSeasonTable,4,FALSE))*POWER(1-(AnnualChurn*VLOOKUP(B60,ChurnSeasonTable,4,FALSE)),0)+R36*(AnnualChurn*VLOOKUP(B60,ChurnSeasonTable,4,FALSE))*POWER(1-(AnnualChurn*VLOOKUP(B60,ChurnSeasonTable,4,FALSE)),1)+R24*(AnnualChurn*VLOOKUP(B60,ChurnSeasonTable,4,FALSE))*POWER(1-(AnnualChurn*VLOOKUP(B60,ChurnSeasonTable,4,FALSE)),2)+R12*(AnnualChurn*VLOOKUP(B60,ChurnSeasonTable,4,FALSE))*POWER(1-(AnnualChurn*VLOOKUP(B60,ChurnSeasonTable,4,FALSE)),3)</f>
        <v/>
      </c>
      <c r="Y60" s="12">
        <f>S60+T60+U60+V60+W60+X60</f>
        <v/>
      </c>
      <c r="Z60" s="9">
        <f>S60*BlendedPriceEssMonthly*E60+T60*BlendedPricePremMonthly*E60+U60*BlendedPriceEliteMonthly*E60+V60*BlendedPriceEssAnnual*E60/12+W60*BlendedPricePremAnnual*E60/12+X60*BlendedPriceEliteAnnual*E60/12</f>
        <v/>
      </c>
      <c r="AA60" s="9">
        <f>Z60*12</f>
        <v/>
      </c>
      <c r="AB60" s="12">
        <f>S60*BlendedPriceEssMonthly*E60+T60*BlendedPricePremMonthly*E60+U60*BlendedPriceEliteMonthly*E60</f>
        <v/>
      </c>
      <c r="AC60" s="12">
        <f>P60*BlendedPriceEssAnnual*E60+Q60*BlendedPricePremAnnual*E60+R60*BlendedPriceEliteAnnual*E60</f>
        <v/>
      </c>
      <c r="AD60" s="12">
        <f>P48*POWER(1-(AnnualChurn*VLOOKUP(B60,ChurnSeasonTable,4,FALSE)),1)*BlendedPriceEssAnnual*E60+P36*POWER(1-(AnnualChurn*VLOOKUP(B60,ChurnSeasonTable,4,FALSE)),2)*BlendedPriceEssAnnual*E60+P24*POWER(1-(AnnualChurn*VLOOKUP(B60,ChurnSeasonTable,4,FALSE)),3)*BlendedPriceEssAnnual*E60+P12*POWER(1-(AnnualChurn*VLOOKUP(B60,ChurnSeasonTable,4,FALSE)),4)*BlendedPriceEssAnnual*E60+Q48*POWER(1-(AnnualChurn*VLOOKUP(B60,ChurnSeasonTable,4,FALSE)),1)*BlendedPricePremAnnual*E60+Q36*POWER(1-(AnnualChurn*VLOOKUP(B60,ChurnSeasonTable,4,FALSE)),2)*BlendedPricePremAnnual*E60+Q24*POWER(1-(AnnualChurn*VLOOKUP(B60,ChurnSeasonTable,4,FALSE)),3)*BlendedPricePremAnnual*E60+Q12*POWER(1-(AnnualChurn*VLOOKUP(B60,ChurnSeasonTable,4,FALSE)),4)*BlendedPricePremAnnual*E60+R48*POWER(1-(AnnualChurn*VLOOKUP(B60,ChurnSeasonTable,4,FALSE)),1)*BlendedPriceEliteAnnual*E60+R36*POWER(1-(AnnualChurn*VLOOKUP(B60,ChurnSeasonTable,4,FALSE)),2)*BlendedPriceEliteAnnual*E60+R24*POWER(1-(AnnualChurn*VLOOKUP(B60,ChurnSeasonTable,4,FALSE)),3)*BlendedPriceEliteAnnual*E60+R12*POWER(1-(AnnualChurn*VLOOKUP(B60,ChurnSeasonTable,4,FALSE)),4)*BlendedPriceEliteAnnual*E60</f>
        <v/>
      </c>
      <c r="AE60" s="9">
        <f>AB60+AC60+AD60</f>
        <v/>
      </c>
      <c r="AF60" s="12">
        <f>SUM(AE49:AE60)</f>
        <v/>
      </c>
      <c r="AG60" s="12">
        <f>OR(AG59,IF(VATAgentMode,SUM($AE49:$AE60)-SUM($AL49:$AL60)&gt;=VATThreshold,SUM($AE49:$AE60)&gt;=VATThreshold))</f>
        <v/>
      </c>
      <c r="AH60" s="9">
        <f>IF(AG60,IF(VATAgentMode,AE60-((AE60-AL60)-(AE60-AL60)/(1+VATRate)),AE60/(1+VATRate)),AE60)</f>
        <v/>
      </c>
      <c r="AI60" s="12">
        <f>AE60-AH60</f>
        <v/>
      </c>
      <c r="AJ60" s="12">
        <f>IF(AG60=0,0,IF(B60=1,SUMPRODUCT(--(($C$5:$C60=$C60-1)*($B$5:$B60&gt;=10)*($B$5:$B60&lt;=12)),$AI$5:$AI60),IF(B60=4,SUMPRODUCT(--(($C$5:$C60=$C60)*($B$5:$B60&gt;=1)*($B$5:$B60&lt;=3)),$AI$5:$AI60),IF(B60=7,SUMPRODUCT(--(($C$5:$C60=$C60)*($B$5:$B60&gt;=4)*($B$5:$B60&lt;=6)),$AI$5:$AI60),IF(B60=10,SUMPRODUCT(--(($C$5:$C60=$C60)*($B$5:$B60&gt;=7)*($B$5:$B60&lt;=9)),$AI$5:$AI60),0)))))</f>
        <v/>
      </c>
      <c r="AK60" s="12">
        <f>AK59+AI60-AJ60</f>
        <v/>
      </c>
      <c r="AL60" s="12">
        <f>IF(ProviderDelay&gt;=1,S59*BlendedProvPayEss+T59*BlendedProvPayPrem+U59*BlendedProvPayElite+V59*BlendedProvPayEss+W59*BlendedProvPayPrem+X59*BlendedProvPayElite,S60*BlendedProvPayEss+T60*BlendedProvPayPrem+U60*BlendedProvPayElite+V60*BlendedProvPayEss+W60*BlendedProvPayPrem+X60*BlendedProvPayElite)</f>
        <v/>
      </c>
      <c r="AM60" s="12">
        <f>AE60*PaymentFee</f>
        <v/>
      </c>
      <c r="AN60" s="12">
        <f>Y60*OpsAI</f>
        <v/>
      </c>
      <c r="AO60" s="12">
        <f>MonthlyFixed</f>
        <v/>
      </c>
      <c r="AP60" s="12">
        <f>I60*ReferralReward</f>
        <v/>
      </c>
      <c r="AQ60" s="12">
        <f>G60</f>
        <v/>
      </c>
      <c r="AR60" s="9">
        <f>AH60-AL60-AM60-AN60-AO60-AP60-AQ60</f>
        <v/>
      </c>
      <c r="AS60" s="9">
        <f>AS59+AE60-(AL60+AM60+AN60+AO60+AP60+AQ60+AJ60)</f>
        <v/>
      </c>
      <c r="AT60" s="12">
        <f>IF(Y60&gt;0,Z60/Y60,0)</f>
        <v/>
      </c>
      <c r="AU60" s="11">
        <f>IF(Y59&gt;0,MAX(0,(Y59+J60-Y60)/Y59),0)</f>
        <v/>
      </c>
    </row>
    <row r="61">
      <c r="A61" s="12" t="n">
        <v>57</v>
      </c>
      <c r="B61" s="12">
        <f>MOD(A61-1+LaunchMonth-1,12)+1</f>
        <v/>
      </c>
      <c r="C61" s="12">
        <f>INT((A61-1+LaunchMonth-1)/12)+1</f>
        <v/>
      </c>
      <c r="D61" s="12">
        <f>VLOOKUP(B61,SeasonTable,2,FALSE)</f>
        <v/>
      </c>
      <c r="E61" s="12">
        <f>(1+InflationRate)^INT((A61-1)/12)</f>
        <v/>
      </c>
      <c r="F61" s="11">
        <f>MonthlyChurn*VLOOKUP(B61,ChurnSeasonTable,4,FALSE)</f>
        <v/>
      </c>
      <c r="G61" s="12">
        <f>MIN(MAX(MktMin19plus,AE60*MktPct19plus),MAX(0,AS60-CashBuffer))</f>
        <v/>
      </c>
      <c r="H61" s="12">
        <f>IF(G61&gt;0,MAX(1,ROUND(G61/CAC*D61,0)),0)</f>
        <v/>
      </c>
      <c r="I61" s="12">
        <f>IF(H61&gt;0,ROUND(H61*ReferralMix/(1-ReferralMix),0),0)</f>
        <v/>
      </c>
      <c r="J61" s="12">
        <f>H61+I61</f>
        <v/>
      </c>
      <c r="K61" s="12">
        <f>ROUND(J61*(1-AnnualMix),0)</f>
        <v/>
      </c>
      <c r="L61" s="12">
        <f>J61-K61</f>
        <v/>
      </c>
      <c r="M61" s="12">
        <f>ROUND(K61*EssentialMix,0)</f>
        <v/>
      </c>
      <c r="N61" s="12">
        <f>ROUND(K61*PremiumMix,0)</f>
        <v/>
      </c>
      <c r="O61" s="12">
        <f>K61-M61-N61</f>
        <v/>
      </c>
      <c r="P61" s="12">
        <f>ROUND(L61*EssentialMix,0)</f>
        <v/>
      </c>
      <c r="Q61" s="12">
        <f>ROUND(L61*PremiumMix,0)</f>
        <v/>
      </c>
      <c r="R61" s="12">
        <f>L61-P61-Q61</f>
        <v/>
      </c>
      <c r="S61" s="12">
        <f>M61+M60+M59+MAX(0,S60-M60-M59)*(1-F61)</f>
        <v/>
      </c>
      <c r="T61" s="12">
        <f>N61+N60+N59+MAX(0,T60-N60-N59)*(1-F61)</f>
        <v/>
      </c>
      <c r="U61" s="12">
        <f>O61+O60+O59+MAX(0,U60-O60-O59)*(1-F61)</f>
        <v/>
      </c>
      <c r="V61" s="12">
        <f>V60+P61-P49*(AnnualChurn*VLOOKUP(B61,ChurnSeasonTable,4,FALSE))*POWER(1-(AnnualChurn*VLOOKUP(B61,ChurnSeasonTable,4,FALSE)),0)+P37*(AnnualChurn*VLOOKUP(B61,ChurnSeasonTable,4,FALSE))*POWER(1-(AnnualChurn*VLOOKUP(B61,ChurnSeasonTable,4,FALSE)),1)+P25*(AnnualChurn*VLOOKUP(B61,ChurnSeasonTable,4,FALSE))*POWER(1-(AnnualChurn*VLOOKUP(B61,ChurnSeasonTable,4,FALSE)),2)+P13*(AnnualChurn*VLOOKUP(B61,ChurnSeasonTable,4,FALSE))*POWER(1-(AnnualChurn*VLOOKUP(B61,ChurnSeasonTable,4,FALSE)),3)</f>
        <v/>
      </c>
      <c r="W61" s="12">
        <f>W60+Q61-Q49*(AnnualChurn*VLOOKUP(B61,ChurnSeasonTable,4,FALSE))*POWER(1-(AnnualChurn*VLOOKUP(B61,ChurnSeasonTable,4,FALSE)),0)+Q37*(AnnualChurn*VLOOKUP(B61,ChurnSeasonTable,4,FALSE))*POWER(1-(AnnualChurn*VLOOKUP(B61,ChurnSeasonTable,4,FALSE)),1)+Q25*(AnnualChurn*VLOOKUP(B61,ChurnSeasonTable,4,FALSE))*POWER(1-(AnnualChurn*VLOOKUP(B61,ChurnSeasonTable,4,FALSE)),2)+Q13*(AnnualChurn*VLOOKUP(B61,ChurnSeasonTable,4,FALSE))*POWER(1-(AnnualChurn*VLOOKUP(B61,ChurnSeasonTable,4,FALSE)),3)</f>
        <v/>
      </c>
      <c r="X61" s="12">
        <f>X60+R61-R49*(AnnualChurn*VLOOKUP(B61,ChurnSeasonTable,4,FALSE))*POWER(1-(AnnualChurn*VLOOKUP(B61,ChurnSeasonTable,4,FALSE)),0)+R37*(AnnualChurn*VLOOKUP(B61,ChurnSeasonTable,4,FALSE))*POWER(1-(AnnualChurn*VLOOKUP(B61,ChurnSeasonTable,4,FALSE)),1)+R25*(AnnualChurn*VLOOKUP(B61,ChurnSeasonTable,4,FALSE))*POWER(1-(AnnualChurn*VLOOKUP(B61,ChurnSeasonTable,4,FALSE)),2)+R13*(AnnualChurn*VLOOKUP(B61,ChurnSeasonTable,4,FALSE))*POWER(1-(AnnualChurn*VLOOKUP(B61,ChurnSeasonTable,4,FALSE)),3)</f>
        <v/>
      </c>
      <c r="Y61" s="12">
        <f>S61+T61+U61+V61+W61+X61</f>
        <v/>
      </c>
      <c r="Z61" s="9">
        <f>S61*BlendedPriceEssMonthly*E61+T61*BlendedPricePremMonthly*E61+U61*BlendedPriceEliteMonthly*E61+V61*BlendedPriceEssAnnual*E61/12+W61*BlendedPricePremAnnual*E61/12+X61*BlendedPriceEliteAnnual*E61/12</f>
        <v/>
      </c>
      <c r="AA61" s="9">
        <f>Z61*12</f>
        <v/>
      </c>
      <c r="AB61" s="12">
        <f>S61*BlendedPriceEssMonthly*E61+T61*BlendedPricePremMonthly*E61+U61*BlendedPriceEliteMonthly*E61</f>
        <v/>
      </c>
      <c r="AC61" s="12">
        <f>P61*BlendedPriceEssAnnual*E61+Q61*BlendedPricePremAnnual*E61+R61*BlendedPriceEliteAnnual*E61</f>
        <v/>
      </c>
      <c r="AD61" s="12">
        <f>P49*POWER(1-(AnnualChurn*VLOOKUP(B61,ChurnSeasonTable,4,FALSE)),1)*BlendedPriceEssAnnual*E61+P37*POWER(1-(AnnualChurn*VLOOKUP(B61,ChurnSeasonTable,4,FALSE)),2)*BlendedPriceEssAnnual*E61+P25*POWER(1-(AnnualChurn*VLOOKUP(B61,ChurnSeasonTable,4,FALSE)),3)*BlendedPriceEssAnnual*E61+P13*POWER(1-(AnnualChurn*VLOOKUP(B61,ChurnSeasonTable,4,FALSE)),4)*BlendedPriceEssAnnual*E61+Q49*POWER(1-(AnnualChurn*VLOOKUP(B61,ChurnSeasonTable,4,FALSE)),1)*BlendedPricePremAnnual*E61+Q37*POWER(1-(AnnualChurn*VLOOKUP(B61,ChurnSeasonTable,4,FALSE)),2)*BlendedPricePremAnnual*E61+Q25*POWER(1-(AnnualChurn*VLOOKUP(B61,ChurnSeasonTable,4,FALSE)),3)*BlendedPricePremAnnual*E61+Q13*POWER(1-(AnnualChurn*VLOOKUP(B61,ChurnSeasonTable,4,FALSE)),4)*BlendedPricePremAnnual*E61+R49*POWER(1-(AnnualChurn*VLOOKUP(B61,ChurnSeasonTable,4,FALSE)),1)*BlendedPriceEliteAnnual*E61+R37*POWER(1-(AnnualChurn*VLOOKUP(B61,ChurnSeasonTable,4,FALSE)),2)*BlendedPriceEliteAnnual*E61+R25*POWER(1-(AnnualChurn*VLOOKUP(B61,ChurnSeasonTable,4,FALSE)),3)*BlendedPriceEliteAnnual*E61+R13*POWER(1-(AnnualChurn*VLOOKUP(B61,ChurnSeasonTable,4,FALSE)),4)*BlendedPriceEliteAnnual*E61</f>
        <v/>
      </c>
      <c r="AE61" s="9">
        <f>AB61+AC61+AD61</f>
        <v/>
      </c>
      <c r="AF61" s="12">
        <f>SUM(AE50:AE61)</f>
        <v/>
      </c>
      <c r="AG61" s="12">
        <f>OR(AG60,IF(VATAgentMode,SUM($AE50:$AE61)-SUM($AL50:$AL61)&gt;=VATThreshold,SUM($AE50:$AE61)&gt;=VATThreshold))</f>
        <v/>
      </c>
      <c r="AH61" s="9">
        <f>IF(AG61,IF(VATAgentMode,AE61-((AE61-AL61)-(AE61-AL61)/(1+VATRate)),AE61/(1+VATRate)),AE61)</f>
        <v/>
      </c>
      <c r="AI61" s="12">
        <f>AE61-AH61</f>
        <v/>
      </c>
      <c r="AJ61" s="12">
        <f>IF(AG61=0,0,IF(B61=1,SUMPRODUCT(--(($C$5:$C61=$C61-1)*($B$5:$B61&gt;=10)*($B$5:$B61&lt;=12)),$AI$5:$AI61),IF(B61=4,SUMPRODUCT(--(($C$5:$C61=$C61)*($B$5:$B61&gt;=1)*($B$5:$B61&lt;=3)),$AI$5:$AI61),IF(B61=7,SUMPRODUCT(--(($C$5:$C61=$C61)*($B$5:$B61&gt;=4)*($B$5:$B61&lt;=6)),$AI$5:$AI61),IF(B61=10,SUMPRODUCT(--(($C$5:$C61=$C61)*($B$5:$B61&gt;=7)*($B$5:$B61&lt;=9)),$AI$5:$AI61),0)))))</f>
        <v/>
      </c>
      <c r="AK61" s="12">
        <f>AK60+AI61-AJ61</f>
        <v/>
      </c>
      <c r="AL61" s="12">
        <f>IF(ProviderDelay&gt;=1,S60*BlendedProvPayEss+T60*BlendedProvPayPrem+U60*BlendedProvPayElite+V60*BlendedProvPayEss+W60*BlendedProvPayPrem+X60*BlendedProvPayElite,S61*BlendedProvPayEss+T61*BlendedProvPayPrem+U61*BlendedProvPayElite+V61*BlendedProvPayEss+W61*BlendedProvPayPrem+X61*BlendedProvPayElite)</f>
        <v/>
      </c>
      <c r="AM61" s="12">
        <f>AE61*PaymentFee</f>
        <v/>
      </c>
      <c r="AN61" s="12">
        <f>Y61*OpsAI</f>
        <v/>
      </c>
      <c r="AO61" s="12">
        <f>MonthlyFixed</f>
        <v/>
      </c>
      <c r="AP61" s="12">
        <f>I61*ReferralReward</f>
        <v/>
      </c>
      <c r="AQ61" s="12">
        <f>G61</f>
        <v/>
      </c>
      <c r="AR61" s="9">
        <f>AH61-AL61-AM61-AN61-AO61-AP61-AQ61</f>
        <v/>
      </c>
      <c r="AS61" s="9">
        <f>AS60+AE61-(AL61+AM61+AN61+AO61+AP61+AQ61+AJ61)</f>
        <v/>
      </c>
      <c r="AT61" s="12">
        <f>IF(Y61&gt;0,Z61/Y61,0)</f>
        <v/>
      </c>
      <c r="AU61" s="11">
        <f>IF(Y60&gt;0,MAX(0,(Y60+J61-Y61)/Y60),0)</f>
        <v/>
      </c>
    </row>
    <row r="62">
      <c r="A62" s="12" t="n">
        <v>58</v>
      </c>
      <c r="B62" s="12">
        <f>MOD(A62-1+LaunchMonth-1,12)+1</f>
        <v/>
      </c>
      <c r="C62" s="12">
        <f>INT((A62-1+LaunchMonth-1)/12)+1</f>
        <v/>
      </c>
      <c r="D62" s="12">
        <f>VLOOKUP(B62,SeasonTable,2,FALSE)</f>
        <v/>
      </c>
      <c r="E62" s="12">
        <f>(1+InflationRate)^INT((A62-1)/12)</f>
        <v/>
      </c>
      <c r="F62" s="11">
        <f>MonthlyChurn*VLOOKUP(B62,ChurnSeasonTable,4,FALSE)</f>
        <v/>
      </c>
      <c r="G62" s="12">
        <f>MIN(MAX(MktMin19plus,AE61*MktPct19plus),MAX(0,AS61-CashBuffer))</f>
        <v/>
      </c>
      <c r="H62" s="12">
        <f>IF(G62&gt;0,MAX(1,ROUND(G62/CAC*D62,0)),0)</f>
        <v/>
      </c>
      <c r="I62" s="12">
        <f>IF(H62&gt;0,ROUND(H62*ReferralMix/(1-ReferralMix),0),0)</f>
        <v/>
      </c>
      <c r="J62" s="12">
        <f>H62+I62</f>
        <v/>
      </c>
      <c r="K62" s="12">
        <f>ROUND(J62*(1-AnnualMix),0)</f>
        <v/>
      </c>
      <c r="L62" s="12">
        <f>J62-K62</f>
        <v/>
      </c>
      <c r="M62" s="12">
        <f>ROUND(K62*EssentialMix,0)</f>
        <v/>
      </c>
      <c r="N62" s="12">
        <f>ROUND(K62*PremiumMix,0)</f>
        <v/>
      </c>
      <c r="O62" s="12">
        <f>K62-M62-N62</f>
        <v/>
      </c>
      <c r="P62" s="12">
        <f>ROUND(L62*EssentialMix,0)</f>
        <v/>
      </c>
      <c r="Q62" s="12">
        <f>ROUND(L62*PremiumMix,0)</f>
        <v/>
      </c>
      <c r="R62" s="12">
        <f>L62-P62-Q62</f>
        <v/>
      </c>
      <c r="S62" s="12">
        <f>M62+M61+M60+MAX(0,S61-M61-M60)*(1-F62)</f>
        <v/>
      </c>
      <c r="T62" s="12">
        <f>N62+N61+N60+MAX(0,T61-N61-N60)*(1-F62)</f>
        <v/>
      </c>
      <c r="U62" s="12">
        <f>O62+O61+O60+MAX(0,U61-O61-O60)*(1-F62)</f>
        <v/>
      </c>
      <c r="V62" s="12">
        <f>V61+P62-P50*(AnnualChurn*VLOOKUP(B62,ChurnSeasonTable,4,FALSE))*POWER(1-(AnnualChurn*VLOOKUP(B62,ChurnSeasonTable,4,FALSE)),0)+P38*(AnnualChurn*VLOOKUP(B62,ChurnSeasonTable,4,FALSE))*POWER(1-(AnnualChurn*VLOOKUP(B62,ChurnSeasonTable,4,FALSE)),1)+P26*(AnnualChurn*VLOOKUP(B62,ChurnSeasonTable,4,FALSE))*POWER(1-(AnnualChurn*VLOOKUP(B62,ChurnSeasonTable,4,FALSE)),2)+P14*(AnnualChurn*VLOOKUP(B62,ChurnSeasonTable,4,FALSE))*POWER(1-(AnnualChurn*VLOOKUP(B62,ChurnSeasonTable,4,FALSE)),3)</f>
        <v/>
      </c>
      <c r="W62" s="12">
        <f>W61+Q62-Q50*(AnnualChurn*VLOOKUP(B62,ChurnSeasonTable,4,FALSE))*POWER(1-(AnnualChurn*VLOOKUP(B62,ChurnSeasonTable,4,FALSE)),0)+Q38*(AnnualChurn*VLOOKUP(B62,ChurnSeasonTable,4,FALSE))*POWER(1-(AnnualChurn*VLOOKUP(B62,ChurnSeasonTable,4,FALSE)),1)+Q26*(AnnualChurn*VLOOKUP(B62,ChurnSeasonTable,4,FALSE))*POWER(1-(AnnualChurn*VLOOKUP(B62,ChurnSeasonTable,4,FALSE)),2)+Q14*(AnnualChurn*VLOOKUP(B62,ChurnSeasonTable,4,FALSE))*POWER(1-(AnnualChurn*VLOOKUP(B62,ChurnSeasonTable,4,FALSE)),3)</f>
        <v/>
      </c>
      <c r="X62" s="12">
        <f>X61+R62-R50*(AnnualChurn*VLOOKUP(B62,ChurnSeasonTable,4,FALSE))*POWER(1-(AnnualChurn*VLOOKUP(B62,ChurnSeasonTable,4,FALSE)),0)+R38*(AnnualChurn*VLOOKUP(B62,ChurnSeasonTable,4,FALSE))*POWER(1-(AnnualChurn*VLOOKUP(B62,ChurnSeasonTable,4,FALSE)),1)+R26*(AnnualChurn*VLOOKUP(B62,ChurnSeasonTable,4,FALSE))*POWER(1-(AnnualChurn*VLOOKUP(B62,ChurnSeasonTable,4,FALSE)),2)+R14*(AnnualChurn*VLOOKUP(B62,ChurnSeasonTable,4,FALSE))*POWER(1-(AnnualChurn*VLOOKUP(B62,ChurnSeasonTable,4,FALSE)),3)</f>
        <v/>
      </c>
      <c r="Y62" s="12">
        <f>S62+T62+U62+V62+W62+X62</f>
        <v/>
      </c>
      <c r="Z62" s="9">
        <f>S62*BlendedPriceEssMonthly*E62+T62*BlendedPricePremMonthly*E62+U62*BlendedPriceEliteMonthly*E62+V62*BlendedPriceEssAnnual*E62/12+W62*BlendedPricePremAnnual*E62/12+X62*BlendedPriceEliteAnnual*E62/12</f>
        <v/>
      </c>
      <c r="AA62" s="9">
        <f>Z62*12</f>
        <v/>
      </c>
      <c r="AB62" s="12">
        <f>S62*BlendedPriceEssMonthly*E62+T62*BlendedPricePremMonthly*E62+U62*BlendedPriceEliteMonthly*E62</f>
        <v/>
      </c>
      <c r="AC62" s="12">
        <f>P62*BlendedPriceEssAnnual*E62+Q62*BlendedPricePremAnnual*E62+R62*BlendedPriceEliteAnnual*E62</f>
        <v/>
      </c>
      <c r="AD62" s="12">
        <f>P50*POWER(1-(AnnualChurn*VLOOKUP(B62,ChurnSeasonTable,4,FALSE)),1)*BlendedPriceEssAnnual*E62+P38*POWER(1-(AnnualChurn*VLOOKUP(B62,ChurnSeasonTable,4,FALSE)),2)*BlendedPriceEssAnnual*E62+P26*POWER(1-(AnnualChurn*VLOOKUP(B62,ChurnSeasonTable,4,FALSE)),3)*BlendedPriceEssAnnual*E62+P14*POWER(1-(AnnualChurn*VLOOKUP(B62,ChurnSeasonTable,4,FALSE)),4)*BlendedPriceEssAnnual*E62+Q50*POWER(1-(AnnualChurn*VLOOKUP(B62,ChurnSeasonTable,4,FALSE)),1)*BlendedPricePremAnnual*E62+Q38*POWER(1-(AnnualChurn*VLOOKUP(B62,ChurnSeasonTable,4,FALSE)),2)*BlendedPricePremAnnual*E62+Q26*POWER(1-(AnnualChurn*VLOOKUP(B62,ChurnSeasonTable,4,FALSE)),3)*BlendedPricePremAnnual*E62+Q14*POWER(1-(AnnualChurn*VLOOKUP(B62,ChurnSeasonTable,4,FALSE)),4)*BlendedPricePremAnnual*E62+R50*POWER(1-(AnnualChurn*VLOOKUP(B62,ChurnSeasonTable,4,FALSE)),1)*BlendedPriceEliteAnnual*E62+R38*POWER(1-(AnnualChurn*VLOOKUP(B62,ChurnSeasonTable,4,FALSE)),2)*BlendedPriceEliteAnnual*E62+R26*POWER(1-(AnnualChurn*VLOOKUP(B62,ChurnSeasonTable,4,FALSE)),3)*BlendedPriceEliteAnnual*E62+R14*POWER(1-(AnnualChurn*VLOOKUP(B62,ChurnSeasonTable,4,FALSE)),4)*BlendedPriceEliteAnnual*E62</f>
        <v/>
      </c>
      <c r="AE62" s="9">
        <f>AB62+AC62+AD62</f>
        <v/>
      </c>
      <c r="AF62" s="12">
        <f>SUM(AE51:AE62)</f>
        <v/>
      </c>
      <c r="AG62" s="12">
        <f>OR(AG61,IF(VATAgentMode,SUM($AE51:$AE62)-SUM($AL51:$AL62)&gt;=VATThreshold,SUM($AE51:$AE62)&gt;=VATThreshold))</f>
        <v/>
      </c>
      <c r="AH62" s="9">
        <f>IF(AG62,IF(VATAgentMode,AE62-((AE62-AL62)-(AE62-AL62)/(1+VATRate)),AE62/(1+VATRate)),AE62)</f>
        <v/>
      </c>
      <c r="AI62" s="12">
        <f>AE62-AH62</f>
        <v/>
      </c>
      <c r="AJ62" s="12">
        <f>IF(AG62=0,0,IF(B62=1,SUMPRODUCT(--(($C$5:$C62=$C62-1)*($B$5:$B62&gt;=10)*($B$5:$B62&lt;=12)),$AI$5:$AI62),IF(B62=4,SUMPRODUCT(--(($C$5:$C62=$C62)*($B$5:$B62&gt;=1)*($B$5:$B62&lt;=3)),$AI$5:$AI62),IF(B62=7,SUMPRODUCT(--(($C$5:$C62=$C62)*($B$5:$B62&gt;=4)*($B$5:$B62&lt;=6)),$AI$5:$AI62),IF(B62=10,SUMPRODUCT(--(($C$5:$C62=$C62)*($B$5:$B62&gt;=7)*($B$5:$B62&lt;=9)),$AI$5:$AI62),0)))))</f>
        <v/>
      </c>
      <c r="AK62" s="12">
        <f>AK61+AI62-AJ62</f>
        <v/>
      </c>
      <c r="AL62" s="12">
        <f>IF(ProviderDelay&gt;=1,S61*BlendedProvPayEss+T61*BlendedProvPayPrem+U61*BlendedProvPayElite+V61*BlendedProvPayEss+W61*BlendedProvPayPrem+X61*BlendedProvPayElite,S62*BlendedProvPayEss+T62*BlendedProvPayPrem+U62*BlendedProvPayElite+V62*BlendedProvPayEss+W62*BlendedProvPayPrem+X62*BlendedProvPayElite)</f>
        <v/>
      </c>
      <c r="AM62" s="12">
        <f>AE62*PaymentFee</f>
        <v/>
      </c>
      <c r="AN62" s="12">
        <f>Y62*OpsAI</f>
        <v/>
      </c>
      <c r="AO62" s="12">
        <f>MonthlyFixed</f>
        <v/>
      </c>
      <c r="AP62" s="12">
        <f>I62*ReferralReward</f>
        <v/>
      </c>
      <c r="AQ62" s="12">
        <f>G62</f>
        <v/>
      </c>
      <c r="AR62" s="9">
        <f>AH62-AL62-AM62-AN62-AO62-AP62-AQ62</f>
        <v/>
      </c>
      <c r="AS62" s="9">
        <f>AS61+AE62-(AL62+AM62+AN62+AO62+AP62+AQ62+AJ62)</f>
        <v/>
      </c>
      <c r="AT62" s="12">
        <f>IF(Y62&gt;0,Z62/Y62,0)</f>
        <v/>
      </c>
      <c r="AU62" s="11">
        <f>IF(Y61&gt;0,MAX(0,(Y61+J62-Y62)/Y61),0)</f>
        <v/>
      </c>
    </row>
    <row r="63">
      <c r="A63" s="12" t="n">
        <v>59</v>
      </c>
      <c r="B63" s="12">
        <f>MOD(A63-1+LaunchMonth-1,12)+1</f>
        <v/>
      </c>
      <c r="C63" s="12">
        <f>INT((A63-1+LaunchMonth-1)/12)+1</f>
        <v/>
      </c>
      <c r="D63" s="12">
        <f>VLOOKUP(B63,SeasonTable,2,FALSE)</f>
        <v/>
      </c>
      <c r="E63" s="12">
        <f>(1+InflationRate)^INT((A63-1)/12)</f>
        <v/>
      </c>
      <c r="F63" s="11">
        <f>MonthlyChurn*VLOOKUP(B63,ChurnSeasonTable,4,FALSE)</f>
        <v/>
      </c>
      <c r="G63" s="12">
        <f>MIN(MAX(MktMin19plus,AE62*MktPct19plus),MAX(0,AS62-CashBuffer))</f>
        <v/>
      </c>
      <c r="H63" s="12">
        <f>IF(G63&gt;0,MAX(1,ROUND(G63/CAC*D63,0)),0)</f>
        <v/>
      </c>
      <c r="I63" s="12">
        <f>IF(H63&gt;0,ROUND(H63*ReferralMix/(1-ReferralMix),0),0)</f>
        <v/>
      </c>
      <c r="J63" s="12">
        <f>H63+I63</f>
        <v/>
      </c>
      <c r="K63" s="12">
        <f>ROUND(J63*(1-AnnualMix),0)</f>
        <v/>
      </c>
      <c r="L63" s="12">
        <f>J63-K63</f>
        <v/>
      </c>
      <c r="M63" s="12">
        <f>ROUND(K63*EssentialMix,0)</f>
        <v/>
      </c>
      <c r="N63" s="12">
        <f>ROUND(K63*PremiumMix,0)</f>
        <v/>
      </c>
      <c r="O63" s="12">
        <f>K63-M63-N63</f>
        <v/>
      </c>
      <c r="P63" s="12">
        <f>ROUND(L63*EssentialMix,0)</f>
        <v/>
      </c>
      <c r="Q63" s="12">
        <f>ROUND(L63*PremiumMix,0)</f>
        <v/>
      </c>
      <c r="R63" s="12">
        <f>L63-P63-Q63</f>
        <v/>
      </c>
      <c r="S63" s="12">
        <f>M63+M62+M61+MAX(0,S62-M62-M61)*(1-F63)</f>
        <v/>
      </c>
      <c r="T63" s="12">
        <f>N63+N62+N61+MAX(0,T62-N62-N61)*(1-F63)</f>
        <v/>
      </c>
      <c r="U63" s="12">
        <f>O63+O62+O61+MAX(0,U62-O62-O61)*(1-F63)</f>
        <v/>
      </c>
      <c r="V63" s="12">
        <f>V62+P63-P51*(AnnualChurn*VLOOKUP(B63,ChurnSeasonTable,4,FALSE))*POWER(1-(AnnualChurn*VLOOKUP(B63,ChurnSeasonTable,4,FALSE)),0)+P39*(AnnualChurn*VLOOKUP(B63,ChurnSeasonTable,4,FALSE))*POWER(1-(AnnualChurn*VLOOKUP(B63,ChurnSeasonTable,4,FALSE)),1)+P27*(AnnualChurn*VLOOKUP(B63,ChurnSeasonTable,4,FALSE))*POWER(1-(AnnualChurn*VLOOKUP(B63,ChurnSeasonTable,4,FALSE)),2)+P15*(AnnualChurn*VLOOKUP(B63,ChurnSeasonTable,4,FALSE))*POWER(1-(AnnualChurn*VLOOKUP(B63,ChurnSeasonTable,4,FALSE)),3)</f>
        <v/>
      </c>
      <c r="W63" s="12">
        <f>W62+Q63-Q51*(AnnualChurn*VLOOKUP(B63,ChurnSeasonTable,4,FALSE))*POWER(1-(AnnualChurn*VLOOKUP(B63,ChurnSeasonTable,4,FALSE)),0)+Q39*(AnnualChurn*VLOOKUP(B63,ChurnSeasonTable,4,FALSE))*POWER(1-(AnnualChurn*VLOOKUP(B63,ChurnSeasonTable,4,FALSE)),1)+Q27*(AnnualChurn*VLOOKUP(B63,ChurnSeasonTable,4,FALSE))*POWER(1-(AnnualChurn*VLOOKUP(B63,ChurnSeasonTable,4,FALSE)),2)+Q15*(AnnualChurn*VLOOKUP(B63,ChurnSeasonTable,4,FALSE))*POWER(1-(AnnualChurn*VLOOKUP(B63,ChurnSeasonTable,4,FALSE)),3)</f>
        <v/>
      </c>
      <c r="X63" s="12">
        <f>X62+R63-R51*(AnnualChurn*VLOOKUP(B63,ChurnSeasonTable,4,FALSE))*POWER(1-(AnnualChurn*VLOOKUP(B63,ChurnSeasonTable,4,FALSE)),0)+R39*(AnnualChurn*VLOOKUP(B63,ChurnSeasonTable,4,FALSE))*POWER(1-(AnnualChurn*VLOOKUP(B63,ChurnSeasonTable,4,FALSE)),1)+R27*(AnnualChurn*VLOOKUP(B63,ChurnSeasonTable,4,FALSE))*POWER(1-(AnnualChurn*VLOOKUP(B63,ChurnSeasonTable,4,FALSE)),2)+R15*(AnnualChurn*VLOOKUP(B63,ChurnSeasonTable,4,FALSE))*POWER(1-(AnnualChurn*VLOOKUP(B63,ChurnSeasonTable,4,FALSE)),3)</f>
        <v/>
      </c>
      <c r="Y63" s="12">
        <f>S63+T63+U63+V63+W63+X63</f>
        <v/>
      </c>
      <c r="Z63" s="9">
        <f>S63*BlendedPriceEssMonthly*E63+T63*BlendedPricePremMonthly*E63+U63*BlendedPriceEliteMonthly*E63+V63*BlendedPriceEssAnnual*E63/12+W63*BlendedPricePremAnnual*E63/12+X63*BlendedPriceEliteAnnual*E63/12</f>
        <v/>
      </c>
      <c r="AA63" s="9">
        <f>Z63*12</f>
        <v/>
      </c>
      <c r="AB63" s="12">
        <f>S63*BlendedPriceEssMonthly*E63+T63*BlendedPricePremMonthly*E63+U63*BlendedPriceEliteMonthly*E63</f>
        <v/>
      </c>
      <c r="AC63" s="12">
        <f>P63*BlendedPriceEssAnnual*E63+Q63*BlendedPricePremAnnual*E63+R63*BlendedPriceEliteAnnual*E63</f>
        <v/>
      </c>
      <c r="AD63" s="12">
        <f>P51*POWER(1-(AnnualChurn*VLOOKUP(B63,ChurnSeasonTable,4,FALSE)),1)*BlendedPriceEssAnnual*E63+P39*POWER(1-(AnnualChurn*VLOOKUP(B63,ChurnSeasonTable,4,FALSE)),2)*BlendedPriceEssAnnual*E63+P27*POWER(1-(AnnualChurn*VLOOKUP(B63,ChurnSeasonTable,4,FALSE)),3)*BlendedPriceEssAnnual*E63+P15*POWER(1-(AnnualChurn*VLOOKUP(B63,ChurnSeasonTable,4,FALSE)),4)*BlendedPriceEssAnnual*E63+Q51*POWER(1-(AnnualChurn*VLOOKUP(B63,ChurnSeasonTable,4,FALSE)),1)*BlendedPricePremAnnual*E63+Q39*POWER(1-(AnnualChurn*VLOOKUP(B63,ChurnSeasonTable,4,FALSE)),2)*BlendedPricePremAnnual*E63+Q27*POWER(1-(AnnualChurn*VLOOKUP(B63,ChurnSeasonTable,4,FALSE)),3)*BlendedPricePremAnnual*E63+Q15*POWER(1-(AnnualChurn*VLOOKUP(B63,ChurnSeasonTable,4,FALSE)),4)*BlendedPricePremAnnual*E63+R51*POWER(1-(AnnualChurn*VLOOKUP(B63,ChurnSeasonTable,4,FALSE)),1)*BlendedPriceEliteAnnual*E63+R39*POWER(1-(AnnualChurn*VLOOKUP(B63,ChurnSeasonTable,4,FALSE)),2)*BlendedPriceEliteAnnual*E63+R27*POWER(1-(AnnualChurn*VLOOKUP(B63,ChurnSeasonTable,4,FALSE)),3)*BlendedPriceEliteAnnual*E63+R15*POWER(1-(AnnualChurn*VLOOKUP(B63,ChurnSeasonTable,4,FALSE)),4)*BlendedPriceEliteAnnual*E63</f>
        <v/>
      </c>
      <c r="AE63" s="9">
        <f>AB63+AC63+AD63</f>
        <v/>
      </c>
      <c r="AF63" s="12">
        <f>SUM(AE52:AE63)</f>
        <v/>
      </c>
      <c r="AG63" s="12">
        <f>OR(AG62,IF(VATAgentMode,SUM($AE52:$AE63)-SUM($AL52:$AL63)&gt;=VATThreshold,SUM($AE52:$AE63)&gt;=VATThreshold))</f>
        <v/>
      </c>
      <c r="AH63" s="9">
        <f>IF(AG63,IF(VATAgentMode,AE63-((AE63-AL63)-(AE63-AL63)/(1+VATRate)),AE63/(1+VATRate)),AE63)</f>
        <v/>
      </c>
      <c r="AI63" s="12">
        <f>AE63-AH63</f>
        <v/>
      </c>
      <c r="AJ63" s="12">
        <f>IF(AG63=0,0,IF(B63=1,SUMPRODUCT(--(($C$5:$C63=$C63-1)*($B$5:$B63&gt;=10)*($B$5:$B63&lt;=12)),$AI$5:$AI63),IF(B63=4,SUMPRODUCT(--(($C$5:$C63=$C63)*($B$5:$B63&gt;=1)*($B$5:$B63&lt;=3)),$AI$5:$AI63),IF(B63=7,SUMPRODUCT(--(($C$5:$C63=$C63)*($B$5:$B63&gt;=4)*($B$5:$B63&lt;=6)),$AI$5:$AI63),IF(B63=10,SUMPRODUCT(--(($C$5:$C63=$C63)*($B$5:$B63&gt;=7)*($B$5:$B63&lt;=9)),$AI$5:$AI63),0)))))</f>
        <v/>
      </c>
      <c r="AK63" s="12">
        <f>AK62+AI63-AJ63</f>
        <v/>
      </c>
      <c r="AL63" s="12">
        <f>IF(ProviderDelay&gt;=1,S62*BlendedProvPayEss+T62*BlendedProvPayPrem+U62*BlendedProvPayElite+V62*BlendedProvPayEss+W62*BlendedProvPayPrem+X62*BlendedProvPayElite,S63*BlendedProvPayEss+T63*BlendedProvPayPrem+U63*BlendedProvPayElite+V63*BlendedProvPayEss+W63*BlendedProvPayPrem+X63*BlendedProvPayElite)</f>
        <v/>
      </c>
      <c r="AM63" s="12">
        <f>AE63*PaymentFee</f>
        <v/>
      </c>
      <c r="AN63" s="12">
        <f>Y63*OpsAI</f>
        <v/>
      </c>
      <c r="AO63" s="12">
        <f>MonthlyFixed</f>
        <v/>
      </c>
      <c r="AP63" s="12">
        <f>I63*ReferralReward</f>
        <v/>
      </c>
      <c r="AQ63" s="12">
        <f>G63</f>
        <v/>
      </c>
      <c r="AR63" s="9">
        <f>AH63-AL63-AM63-AN63-AO63-AP63-AQ63</f>
        <v/>
      </c>
      <c r="AS63" s="9">
        <f>AS62+AE63-(AL63+AM63+AN63+AO63+AP63+AQ63+AJ63)</f>
        <v/>
      </c>
      <c r="AT63" s="12">
        <f>IF(Y63&gt;0,Z63/Y63,0)</f>
        <v/>
      </c>
      <c r="AU63" s="11">
        <f>IF(Y62&gt;0,MAX(0,(Y62+J63-Y63)/Y62),0)</f>
        <v/>
      </c>
    </row>
    <row r="64">
      <c r="A64" s="12" t="n">
        <v>60</v>
      </c>
      <c r="B64" s="12">
        <f>MOD(A64-1+LaunchMonth-1,12)+1</f>
        <v/>
      </c>
      <c r="C64" s="12">
        <f>INT((A64-1+LaunchMonth-1)/12)+1</f>
        <v/>
      </c>
      <c r="D64" s="12">
        <f>VLOOKUP(B64,SeasonTable,2,FALSE)</f>
        <v/>
      </c>
      <c r="E64" s="12">
        <f>(1+InflationRate)^INT((A64-1)/12)</f>
        <v/>
      </c>
      <c r="F64" s="11">
        <f>MonthlyChurn*VLOOKUP(B64,ChurnSeasonTable,4,FALSE)</f>
        <v/>
      </c>
      <c r="G64" s="12">
        <f>MIN(MAX(MktMin19plus,AE63*MktPct19plus),MAX(0,AS63-CashBuffer))</f>
        <v/>
      </c>
      <c r="H64" s="12">
        <f>IF(G64&gt;0,MAX(1,ROUND(G64/CAC*D64,0)),0)</f>
        <v/>
      </c>
      <c r="I64" s="12">
        <f>IF(H64&gt;0,ROUND(H64*ReferralMix/(1-ReferralMix),0),0)</f>
        <v/>
      </c>
      <c r="J64" s="12">
        <f>H64+I64</f>
        <v/>
      </c>
      <c r="K64" s="12">
        <f>ROUND(J64*(1-AnnualMix),0)</f>
        <v/>
      </c>
      <c r="L64" s="12">
        <f>J64-K64</f>
        <v/>
      </c>
      <c r="M64" s="12">
        <f>ROUND(K64*EssentialMix,0)</f>
        <v/>
      </c>
      <c r="N64" s="12">
        <f>ROUND(K64*PremiumMix,0)</f>
        <v/>
      </c>
      <c r="O64" s="12">
        <f>K64-M64-N64</f>
        <v/>
      </c>
      <c r="P64" s="12">
        <f>ROUND(L64*EssentialMix,0)</f>
        <v/>
      </c>
      <c r="Q64" s="12">
        <f>ROUND(L64*PremiumMix,0)</f>
        <v/>
      </c>
      <c r="R64" s="12">
        <f>L64-P64-Q64</f>
        <v/>
      </c>
      <c r="S64" s="12">
        <f>M64+M63+M62+MAX(0,S63-M63-M62)*(1-F64)</f>
        <v/>
      </c>
      <c r="T64" s="12">
        <f>N64+N63+N62+MAX(0,T63-N63-N62)*(1-F64)</f>
        <v/>
      </c>
      <c r="U64" s="12">
        <f>O64+O63+O62+MAX(0,U63-O63-O62)*(1-F64)</f>
        <v/>
      </c>
      <c r="V64" s="12">
        <f>V63+P64-P52*(AnnualChurn*VLOOKUP(B64,ChurnSeasonTable,4,FALSE))*POWER(1-(AnnualChurn*VLOOKUP(B64,ChurnSeasonTable,4,FALSE)),0)+P40*(AnnualChurn*VLOOKUP(B64,ChurnSeasonTable,4,FALSE))*POWER(1-(AnnualChurn*VLOOKUP(B64,ChurnSeasonTable,4,FALSE)),1)+P28*(AnnualChurn*VLOOKUP(B64,ChurnSeasonTable,4,FALSE))*POWER(1-(AnnualChurn*VLOOKUP(B64,ChurnSeasonTable,4,FALSE)),2)+P16*(AnnualChurn*VLOOKUP(B64,ChurnSeasonTable,4,FALSE))*POWER(1-(AnnualChurn*VLOOKUP(B64,ChurnSeasonTable,4,FALSE)),3)</f>
        <v/>
      </c>
      <c r="W64" s="12">
        <f>W63+Q64-Q52*(AnnualChurn*VLOOKUP(B64,ChurnSeasonTable,4,FALSE))*POWER(1-(AnnualChurn*VLOOKUP(B64,ChurnSeasonTable,4,FALSE)),0)+Q40*(AnnualChurn*VLOOKUP(B64,ChurnSeasonTable,4,FALSE))*POWER(1-(AnnualChurn*VLOOKUP(B64,ChurnSeasonTable,4,FALSE)),1)+Q28*(AnnualChurn*VLOOKUP(B64,ChurnSeasonTable,4,FALSE))*POWER(1-(AnnualChurn*VLOOKUP(B64,ChurnSeasonTable,4,FALSE)),2)+Q16*(AnnualChurn*VLOOKUP(B64,ChurnSeasonTable,4,FALSE))*POWER(1-(AnnualChurn*VLOOKUP(B64,ChurnSeasonTable,4,FALSE)),3)</f>
        <v/>
      </c>
      <c r="X64" s="12">
        <f>X63+R64-R52*(AnnualChurn*VLOOKUP(B64,ChurnSeasonTable,4,FALSE))*POWER(1-(AnnualChurn*VLOOKUP(B64,ChurnSeasonTable,4,FALSE)),0)+R40*(AnnualChurn*VLOOKUP(B64,ChurnSeasonTable,4,FALSE))*POWER(1-(AnnualChurn*VLOOKUP(B64,ChurnSeasonTable,4,FALSE)),1)+R28*(AnnualChurn*VLOOKUP(B64,ChurnSeasonTable,4,FALSE))*POWER(1-(AnnualChurn*VLOOKUP(B64,ChurnSeasonTable,4,FALSE)),2)+R16*(AnnualChurn*VLOOKUP(B64,ChurnSeasonTable,4,FALSE))*POWER(1-(AnnualChurn*VLOOKUP(B64,ChurnSeasonTable,4,FALSE)),3)</f>
        <v/>
      </c>
      <c r="Y64" s="12">
        <f>S64+T64+U64+V64+W64+X64</f>
        <v/>
      </c>
      <c r="Z64" s="9">
        <f>S64*BlendedPriceEssMonthly*E64+T64*BlendedPricePremMonthly*E64+U64*BlendedPriceEliteMonthly*E64+V64*BlendedPriceEssAnnual*E64/12+W64*BlendedPricePremAnnual*E64/12+X64*BlendedPriceEliteAnnual*E64/12</f>
        <v/>
      </c>
      <c r="AA64" s="9">
        <f>Z64*12</f>
        <v/>
      </c>
      <c r="AB64" s="12">
        <f>S64*BlendedPriceEssMonthly*E64+T64*BlendedPricePremMonthly*E64+U64*BlendedPriceEliteMonthly*E64</f>
        <v/>
      </c>
      <c r="AC64" s="12">
        <f>P64*BlendedPriceEssAnnual*E64+Q64*BlendedPricePremAnnual*E64+R64*BlendedPriceEliteAnnual*E64</f>
        <v/>
      </c>
      <c r="AD64" s="12">
        <f>P52*POWER(1-(AnnualChurn*VLOOKUP(B64,ChurnSeasonTable,4,FALSE)),1)*BlendedPriceEssAnnual*E64+P40*POWER(1-(AnnualChurn*VLOOKUP(B64,ChurnSeasonTable,4,FALSE)),2)*BlendedPriceEssAnnual*E64+P28*POWER(1-(AnnualChurn*VLOOKUP(B64,ChurnSeasonTable,4,FALSE)),3)*BlendedPriceEssAnnual*E64+P16*POWER(1-(AnnualChurn*VLOOKUP(B64,ChurnSeasonTable,4,FALSE)),4)*BlendedPriceEssAnnual*E64+Q52*POWER(1-(AnnualChurn*VLOOKUP(B64,ChurnSeasonTable,4,FALSE)),1)*BlendedPricePremAnnual*E64+Q40*POWER(1-(AnnualChurn*VLOOKUP(B64,ChurnSeasonTable,4,FALSE)),2)*BlendedPricePremAnnual*E64+Q28*POWER(1-(AnnualChurn*VLOOKUP(B64,ChurnSeasonTable,4,FALSE)),3)*BlendedPricePremAnnual*E64+Q16*POWER(1-(AnnualChurn*VLOOKUP(B64,ChurnSeasonTable,4,FALSE)),4)*BlendedPricePremAnnual*E64+R52*POWER(1-(AnnualChurn*VLOOKUP(B64,ChurnSeasonTable,4,FALSE)),1)*BlendedPriceEliteAnnual*E64+R40*POWER(1-(AnnualChurn*VLOOKUP(B64,ChurnSeasonTable,4,FALSE)),2)*BlendedPriceEliteAnnual*E64+R28*POWER(1-(AnnualChurn*VLOOKUP(B64,ChurnSeasonTable,4,FALSE)),3)*BlendedPriceEliteAnnual*E64+R16*POWER(1-(AnnualChurn*VLOOKUP(B64,ChurnSeasonTable,4,FALSE)),4)*BlendedPriceEliteAnnual*E64</f>
        <v/>
      </c>
      <c r="AE64" s="9">
        <f>AB64+AC64+AD64</f>
        <v/>
      </c>
      <c r="AF64" s="12">
        <f>SUM(AE53:AE64)</f>
        <v/>
      </c>
      <c r="AG64" s="12">
        <f>OR(AG63,IF(VATAgentMode,SUM($AE53:$AE64)-SUM($AL53:$AL64)&gt;=VATThreshold,SUM($AE53:$AE64)&gt;=VATThreshold))</f>
        <v/>
      </c>
      <c r="AH64" s="9">
        <f>IF(AG64,IF(VATAgentMode,AE64-((AE64-AL64)-(AE64-AL64)/(1+VATRate)),AE64/(1+VATRate)),AE64)</f>
        <v/>
      </c>
      <c r="AI64" s="12">
        <f>AE64-AH64</f>
        <v/>
      </c>
      <c r="AJ64" s="12">
        <f>IF(AG64=0,0,IF(B64=1,SUMPRODUCT(--(($C$5:$C64=$C64-1)*($B$5:$B64&gt;=10)*($B$5:$B64&lt;=12)),$AI$5:$AI64),IF(B64=4,SUMPRODUCT(--(($C$5:$C64=$C64)*($B$5:$B64&gt;=1)*($B$5:$B64&lt;=3)),$AI$5:$AI64),IF(B64=7,SUMPRODUCT(--(($C$5:$C64=$C64)*($B$5:$B64&gt;=4)*($B$5:$B64&lt;=6)),$AI$5:$AI64),IF(B64=10,SUMPRODUCT(--(($C$5:$C64=$C64)*($B$5:$B64&gt;=7)*($B$5:$B64&lt;=9)),$AI$5:$AI64),0)))))</f>
        <v/>
      </c>
      <c r="AK64" s="12">
        <f>AK63+AI64-AJ64</f>
        <v/>
      </c>
      <c r="AL64" s="12">
        <f>IF(ProviderDelay&gt;=1,S63*BlendedProvPayEss+T63*BlendedProvPayPrem+U63*BlendedProvPayElite+V63*BlendedProvPayEss+W63*BlendedProvPayPrem+X63*BlendedProvPayElite,S64*BlendedProvPayEss+T64*BlendedProvPayPrem+U64*BlendedProvPayElite+V64*BlendedProvPayEss+W64*BlendedProvPayPrem+X64*BlendedProvPayElite)</f>
        <v/>
      </c>
      <c r="AM64" s="12">
        <f>AE64*PaymentFee</f>
        <v/>
      </c>
      <c r="AN64" s="12">
        <f>Y64*OpsAI</f>
        <v/>
      </c>
      <c r="AO64" s="12">
        <f>MonthlyFixed</f>
        <v/>
      </c>
      <c r="AP64" s="12">
        <f>I64*ReferralReward</f>
        <v/>
      </c>
      <c r="AQ64" s="12">
        <f>G64</f>
        <v/>
      </c>
      <c r="AR64" s="9">
        <f>AH64-AL64-AM64-AN64-AO64-AP64-AQ64</f>
        <v/>
      </c>
      <c r="AS64" s="9">
        <f>AS63+AE64-(AL64+AM64+AN64+AO64+AP64+AQ64+AJ64)</f>
        <v/>
      </c>
      <c r="AT64" s="12">
        <f>IF(Y64&gt;0,Z64/Y64,0)</f>
        <v/>
      </c>
      <c r="AU64" s="11">
        <f>IF(Y63&gt;0,MAX(0,(Y63+J64-Y64)/Y63),0)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V64"/>
  <sheetViews>
    <sheetView workbookViewId="0">
      <selection activeCell="A1" sqref="A1"/>
    </sheetView>
  </sheetViews>
  <sheetFormatPr baseColWidth="8" defaultRowHeight="15"/>
  <sheetData>
    <row r="1"/>
    <row r="2">
      <c r="A2" s="65" t="inlineStr">
        <is>
          <t>Conservative</t>
        </is>
      </c>
      <c r="AW2" s="65" t="inlineStr">
        <is>
          <t>Base</t>
        </is>
      </c>
      <c r="CS2" s="65" t="inlineStr">
        <is>
          <t>Aggressive</t>
        </is>
      </c>
      <c r="EO2" s="65" t="inlineStr">
        <is>
          <t>Ch0</t>
        </is>
      </c>
      <c r="GK2" s="65" t="inlineStr">
        <is>
          <t>Ch1</t>
        </is>
      </c>
      <c r="IG2" s="65" t="inlineStr">
        <is>
          <t>Ch2</t>
        </is>
      </c>
      <c r="KC2" s="65" t="inlineStr">
        <is>
          <t>Ch3</t>
        </is>
      </c>
      <c r="LY2" s="65" t="inlineStr">
        <is>
          <t>Ch4</t>
        </is>
      </c>
      <c r="NU2" s="65" t="inlineStr">
        <is>
          <t>Ch5</t>
        </is>
      </c>
      <c r="PQ2" s="65" t="inlineStr">
        <is>
          <t>Ch6</t>
        </is>
      </c>
      <c r="RM2" s="65" t="inlineStr">
        <is>
          <t>Ch7</t>
        </is>
      </c>
      <c r="TI2" s="65" t="inlineStr">
        <is>
          <t>Ch8</t>
        </is>
      </c>
      <c r="VE2" s="65" t="inlineStr">
        <is>
          <t>Mx0</t>
        </is>
      </c>
      <c r="XA2" s="65" t="inlineStr">
        <is>
          <t>Mx1</t>
        </is>
      </c>
      <c r="YW2" s="65" t="inlineStr">
        <is>
          <t>Mx2</t>
        </is>
      </c>
      <c r="AAS2" s="65" t="inlineStr">
        <is>
          <t>Mx3</t>
        </is>
      </c>
      <c r="ACO2" s="65" t="inlineStr">
        <is>
          <t>Mx4</t>
        </is>
      </c>
      <c r="AEK2" s="65" t="inlineStr">
        <is>
          <t>Mx5</t>
        </is>
      </c>
      <c r="AGG2" s="65" t="inlineStr">
        <is>
          <t>Mx6</t>
        </is>
      </c>
      <c r="AIC2" s="65" t="inlineStr">
        <is>
          <t>Cac0</t>
        </is>
      </c>
      <c r="AJY2" s="65" t="inlineStr">
        <is>
          <t>Cac1</t>
        </is>
      </c>
      <c r="ALU2" s="65" t="inlineStr">
        <is>
          <t>Cac2</t>
        </is>
      </c>
      <c r="ANQ2" s="65" t="inlineStr">
        <is>
          <t>Cac3</t>
        </is>
      </c>
      <c r="APM2" s="65" t="inlineStr">
        <is>
          <t>Cac4</t>
        </is>
      </c>
      <c r="ARI2" s="65" t="inlineStr">
        <is>
          <t>Cac5</t>
        </is>
      </c>
      <c r="ATE2" s="65" t="inlineStr">
        <is>
          <t>Cac6</t>
        </is>
      </c>
      <c r="AVA2" s="65" t="inlineStr">
        <is>
          <t>Winter Pivot</t>
        </is>
      </c>
    </row>
    <row r="3">
      <c r="A3" s="22" t="inlineStr">
        <is>
          <t>Mo</t>
        </is>
      </c>
      <c r="B3" s="22" t="inlineStr">
        <is>
          <t>Cal</t>
        </is>
      </c>
      <c r="C3" s="22" t="inlineStr">
        <is>
          <t>CY</t>
        </is>
      </c>
      <c r="D3" s="22" t="inlineStr">
        <is>
          <t>Acq</t>
        </is>
      </c>
      <c r="E3" s="22" t="inlineStr">
        <is>
          <t>Infl</t>
        </is>
      </c>
      <c r="F3" s="22" t="inlineStr">
        <is>
          <t>ECh</t>
        </is>
      </c>
      <c r="G3" s="22" t="inlineStr">
        <is>
          <t>Mkt</t>
        </is>
      </c>
      <c r="H3" s="22" t="inlineStr">
        <is>
          <t>Paid</t>
        </is>
      </c>
      <c r="I3" s="22" t="inlineStr">
        <is>
          <t>Ref</t>
        </is>
      </c>
      <c r="J3" s="22" t="inlineStr">
        <is>
          <t>Tot</t>
        </is>
      </c>
      <c r="K3" s="22" t="inlineStr">
        <is>
          <t>NMo</t>
        </is>
      </c>
      <c r="L3" s="22" t="inlineStr">
        <is>
          <t>NAn</t>
        </is>
      </c>
      <c r="M3" s="22" t="inlineStr">
        <is>
          <t>NEsM</t>
        </is>
      </c>
      <c r="N3" s="22" t="inlineStr">
        <is>
          <t>NPrM</t>
        </is>
      </c>
      <c r="O3" s="22" t="inlineStr">
        <is>
          <t>NElM</t>
        </is>
      </c>
      <c r="P3" s="22" t="inlineStr">
        <is>
          <t>NEsA</t>
        </is>
      </c>
      <c r="Q3" s="22" t="inlineStr">
        <is>
          <t>NPrA</t>
        </is>
      </c>
      <c r="R3" s="22" t="inlineStr">
        <is>
          <t>NElA</t>
        </is>
      </c>
      <c r="S3" s="22" t="inlineStr">
        <is>
          <t>AEsM</t>
        </is>
      </c>
      <c r="T3" s="22" t="inlineStr">
        <is>
          <t>APrM</t>
        </is>
      </c>
      <c r="U3" s="22" t="inlineStr">
        <is>
          <t>AElM</t>
        </is>
      </c>
      <c r="V3" s="22" t="inlineStr">
        <is>
          <t>AEsA</t>
        </is>
      </c>
      <c r="W3" s="22" t="inlineStr">
        <is>
          <t>APrA</t>
        </is>
      </c>
      <c r="X3" s="22" t="inlineStr">
        <is>
          <t>AElA</t>
        </is>
      </c>
      <c r="Y3" s="22" t="inlineStr">
        <is>
          <t>Cust</t>
        </is>
      </c>
      <c r="Z3" s="22" t="inlineStr">
        <is>
          <t>MRR</t>
        </is>
      </c>
      <c r="AA3" s="22" t="inlineStr">
        <is>
          <t>ARR</t>
        </is>
      </c>
      <c r="AB3" s="22" t="inlineStr">
        <is>
          <t>Mo$</t>
        </is>
      </c>
      <c r="AC3" s="22" t="inlineStr">
        <is>
          <t>NwAn</t>
        </is>
      </c>
      <c r="AD3" s="22" t="inlineStr">
        <is>
          <t>Ren</t>
        </is>
      </c>
      <c r="AE3" s="22" t="inlineStr">
        <is>
          <t>Gross</t>
        </is>
      </c>
      <c r="AF3" s="22" t="inlineStr">
        <is>
          <t>R12</t>
        </is>
      </c>
      <c r="AG3" s="22" t="inlineStr">
        <is>
          <t>VAT</t>
        </is>
      </c>
      <c r="AH3" s="22" t="inlineStr">
        <is>
          <t>Net</t>
        </is>
      </c>
      <c r="AI3" s="22" t="inlineStr">
        <is>
          <t>VAcc</t>
        </is>
      </c>
      <c r="AJ3" s="22" t="inlineStr">
        <is>
          <t>VPay</t>
        </is>
      </c>
      <c r="AK3" s="22" t="inlineStr">
        <is>
          <t>VBal</t>
        </is>
      </c>
      <c r="AL3" s="22" t="inlineStr">
        <is>
          <t>Prov</t>
        </is>
      </c>
      <c r="AM3" s="22" t="inlineStr">
        <is>
          <t>Fee</t>
        </is>
      </c>
      <c r="AN3" s="22" t="inlineStr">
        <is>
          <t>Ops</t>
        </is>
      </c>
      <c r="AO3" s="22" t="inlineStr">
        <is>
          <t>Fix</t>
        </is>
      </c>
      <c r="AP3" s="22" t="inlineStr">
        <is>
          <t>Ref$</t>
        </is>
      </c>
      <c r="AQ3" s="22" t="inlineStr">
        <is>
          <t>Mkt</t>
        </is>
      </c>
      <c r="AR3" s="22" t="inlineStr">
        <is>
          <t>Pft</t>
        </is>
      </c>
      <c r="AS3" s="22" t="inlineStr">
        <is>
          <t>Cash</t>
        </is>
      </c>
      <c r="AT3" s="22" t="inlineStr">
        <is>
          <t>ARPU</t>
        </is>
      </c>
      <c r="AU3" s="22" t="inlineStr">
        <is>
          <t>Chrn</t>
        </is>
      </c>
      <c r="AW3" s="22" t="inlineStr">
        <is>
          <t>Mo</t>
        </is>
      </c>
      <c r="AX3" s="22" t="inlineStr">
        <is>
          <t>Cal</t>
        </is>
      </c>
      <c r="AY3" s="22" t="inlineStr">
        <is>
          <t>CY</t>
        </is>
      </c>
      <c r="AZ3" s="22" t="inlineStr">
        <is>
          <t>Acq</t>
        </is>
      </c>
      <c r="BA3" s="22" t="inlineStr">
        <is>
          <t>Infl</t>
        </is>
      </c>
      <c r="BB3" s="22" t="inlineStr">
        <is>
          <t>ECh</t>
        </is>
      </c>
      <c r="BC3" s="22" t="inlineStr">
        <is>
          <t>Mkt</t>
        </is>
      </c>
      <c r="BD3" s="22" t="inlineStr">
        <is>
          <t>Paid</t>
        </is>
      </c>
      <c r="BE3" s="22" t="inlineStr">
        <is>
          <t>Ref</t>
        </is>
      </c>
      <c r="BF3" s="22" t="inlineStr">
        <is>
          <t>Tot</t>
        </is>
      </c>
      <c r="BG3" s="22" t="inlineStr">
        <is>
          <t>NMo</t>
        </is>
      </c>
      <c r="BH3" s="22" t="inlineStr">
        <is>
          <t>NAn</t>
        </is>
      </c>
      <c r="BI3" s="22" t="inlineStr">
        <is>
          <t>NEsM</t>
        </is>
      </c>
      <c r="BJ3" s="22" t="inlineStr">
        <is>
          <t>NPrM</t>
        </is>
      </c>
      <c r="BK3" s="22" t="inlineStr">
        <is>
          <t>NElM</t>
        </is>
      </c>
      <c r="BL3" s="22" t="inlineStr">
        <is>
          <t>NEsA</t>
        </is>
      </c>
      <c r="BM3" s="22" t="inlineStr">
        <is>
          <t>NPrA</t>
        </is>
      </c>
      <c r="BN3" s="22" t="inlineStr">
        <is>
          <t>NElA</t>
        </is>
      </c>
      <c r="BO3" s="22" t="inlineStr">
        <is>
          <t>AEsM</t>
        </is>
      </c>
      <c r="BP3" s="22" t="inlineStr">
        <is>
          <t>APrM</t>
        </is>
      </c>
      <c r="BQ3" s="22" t="inlineStr">
        <is>
          <t>AElM</t>
        </is>
      </c>
      <c r="BR3" s="22" t="inlineStr">
        <is>
          <t>AEsA</t>
        </is>
      </c>
      <c r="BS3" s="22" t="inlineStr">
        <is>
          <t>APrA</t>
        </is>
      </c>
      <c r="BT3" s="22" t="inlineStr">
        <is>
          <t>AElA</t>
        </is>
      </c>
      <c r="BU3" s="22" t="inlineStr">
        <is>
          <t>Cust</t>
        </is>
      </c>
      <c r="BV3" s="22" t="inlineStr">
        <is>
          <t>MRR</t>
        </is>
      </c>
      <c r="BW3" s="22" t="inlineStr">
        <is>
          <t>ARR</t>
        </is>
      </c>
      <c r="BX3" s="22" t="inlineStr">
        <is>
          <t>Mo$</t>
        </is>
      </c>
      <c r="BY3" s="22" t="inlineStr">
        <is>
          <t>NwAn</t>
        </is>
      </c>
      <c r="BZ3" s="22" t="inlineStr">
        <is>
          <t>Ren</t>
        </is>
      </c>
      <c r="CA3" s="22" t="inlineStr">
        <is>
          <t>Gross</t>
        </is>
      </c>
      <c r="CB3" s="22" t="inlineStr">
        <is>
          <t>R12</t>
        </is>
      </c>
      <c r="CC3" s="22" t="inlineStr">
        <is>
          <t>VAT</t>
        </is>
      </c>
      <c r="CD3" s="22" t="inlineStr">
        <is>
          <t>Net</t>
        </is>
      </c>
      <c r="CE3" s="22" t="inlineStr">
        <is>
          <t>VAcc</t>
        </is>
      </c>
      <c r="CF3" s="22" t="inlineStr">
        <is>
          <t>VPay</t>
        </is>
      </c>
      <c r="CG3" s="22" t="inlineStr">
        <is>
          <t>VBal</t>
        </is>
      </c>
      <c r="CH3" s="22" t="inlineStr">
        <is>
          <t>Prov</t>
        </is>
      </c>
      <c r="CI3" s="22" t="inlineStr">
        <is>
          <t>Fee</t>
        </is>
      </c>
      <c r="CJ3" s="22" t="inlineStr">
        <is>
          <t>Ops</t>
        </is>
      </c>
      <c r="CK3" s="22" t="inlineStr">
        <is>
          <t>Fix</t>
        </is>
      </c>
      <c r="CL3" s="22" t="inlineStr">
        <is>
          <t>Ref$</t>
        </is>
      </c>
      <c r="CM3" s="22" t="inlineStr">
        <is>
          <t>Mkt</t>
        </is>
      </c>
      <c r="CN3" s="22" t="inlineStr">
        <is>
          <t>Pft</t>
        </is>
      </c>
      <c r="CO3" s="22" t="inlineStr">
        <is>
          <t>Cash</t>
        </is>
      </c>
      <c r="CP3" s="22" t="inlineStr">
        <is>
          <t>ARPU</t>
        </is>
      </c>
      <c r="CQ3" s="22" t="inlineStr">
        <is>
          <t>Chrn</t>
        </is>
      </c>
      <c r="CS3" s="22" t="inlineStr">
        <is>
          <t>Mo</t>
        </is>
      </c>
      <c r="CT3" s="22" t="inlineStr">
        <is>
          <t>Cal</t>
        </is>
      </c>
      <c r="CU3" s="22" t="inlineStr">
        <is>
          <t>CY</t>
        </is>
      </c>
      <c r="CV3" s="22" t="inlineStr">
        <is>
          <t>Acq</t>
        </is>
      </c>
      <c r="CW3" s="22" t="inlineStr">
        <is>
          <t>Infl</t>
        </is>
      </c>
      <c r="CX3" s="22" t="inlineStr">
        <is>
          <t>ECh</t>
        </is>
      </c>
      <c r="CY3" s="22" t="inlineStr">
        <is>
          <t>Mkt</t>
        </is>
      </c>
      <c r="CZ3" s="22" t="inlineStr">
        <is>
          <t>Paid</t>
        </is>
      </c>
      <c r="DA3" s="22" t="inlineStr">
        <is>
          <t>Ref</t>
        </is>
      </c>
      <c r="DB3" s="22" t="inlineStr">
        <is>
          <t>Tot</t>
        </is>
      </c>
      <c r="DC3" s="22" t="inlineStr">
        <is>
          <t>NMo</t>
        </is>
      </c>
      <c r="DD3" s="22" t="inlineStr">
        <is>
          <t>NAn</t>
        </is>
      </c>
      <c r="DE3" s="22" t="inlineStr">
        <is>
          <t>NEsM</t>
        </is>
      </c>
      <c r="DF3" s="22" t="inlineStr">
        <is>
          <t>NPrM</t>
        </is>
      </c>
      <c r="DG3" s="22" t="inlineStr">
        <is>
          <t>NElM</t>
        </is>
      </c>
      <c r="DH3" s="22" t="inlineStr">
        <is>
          <t>NEsA</t>
        </is>
      </c>
      <c r="DI3" s="22" t="inlineStr">
        <is>
          <t>NPrA</t>
        </is>
      </c>
      <c r="DJ3" s="22" t="inlineStr">
        <is>
          <t>NElA</t>
        </is>
      </c>
      <c r="DK3" s="22" t="inlineStr">
        <is>
          <t>AEsM</t>
        </is>
      </c>
      <c r="DL3" s="22" t="inlineStr">
        <is>
          <t>APrM</t>
        </is>
      </c>
      <c r="DM3" s="22" t="inlineStr">
        <is>
          <t>AElM</t>
        </is>
      </c>
      <c r="DN3" s="22" t="inlineStr">
        <is>
          <t>AEsA</t>
        </is>
      </c>
      <c r="DO3" s="22" t="inlineStr">
        <is>
          <t>APrA</t>
        </is>
      </c>
      <c r="DP3" s="22" t="inlineStr">
        <is>
          <t>AElA</t>
        </is>
      </c>
      <c r="DQ3" s="22" t="inlineStr">
        <is>
          <t>Cust</t>
        </is>
      </c>
      <c r="DR3" s="22" t="inlineStr">
        <is>
          <t>MRR</t>
        </is>
      </c>
      <c r="DS3" s="22" t="inlineStr">
        <is>
          <t>ARR</t>
        </is>
      </c>
      <c r="DT3" s="22" t="inlineStr">
        <is>
          <t>Mo$</t>
        </is>
      </c>
      <c r="DU3" s="22" t="inlineStr">
        <is>
          <t>NwAn</t>
        </is>
      </c>
      <c r="DV3" s="22" t="inlineStr">
        <is>
          <t>Ren</t>
        </is>
      </c>
      <c r="DW3" s="22" t="inlineStr">
        <is>
          <t>Gross</t>
        </is>
      </c>
      <c r="DX3" s="22" t="inlineStr">
        <is>
          <t>R12</t>
        </is>
      </c>
      <c r="DY3" s="22" t="inlineStr">
        <is>
          <t>VAT</t>
        </is>
      </c>
      <c r="DZ3" s="22" t="inlineStr">
        <is>
          <t>Net</t>
        </is>
      </c>
      <c r="EA3" s="22" t="inlineStr">
        <is>
          <t>VAcc</t>
        </is>
      </c>
      <c r="EB3" s="22" t="inlineStr">
        <is>
          <t>VPay</t>
        </is>
      </c>
      <c r="EC3" s="22" t="inlineStr">
        <is>
          <t>VBal</t>
        </is>
      </c>
      <c r="ED3" s="22" t="inlineStr">
        <is>
          <t>Prov</t>
        </is>
      </c>
      <c r="EE3" s="22" t="inlineStr">
        <is>
          <t>Fee</t>
        </is>
      </c>
      <c r="EF3" s="22" t="inlineStr">
        <is>
          <t>Ops</t>
        </is>
      </c>
      <c r="EG3" s="22" t="inlineStr">
        <is>
          <t>Fix</t>
        </is>
      </c>
      <c r="EH3" s="22" t="inlineStr">
        <is>
          <t>Ref$</t>
        </is>
      </c>
      <c r="EI3" s="22" t="inlineStr">
        <is>
          <t>Mkt</t>
        </is>
      </c>
      <c r="EJ3" s="22" t="inlineStr">
        <is>
          <t>Pft</t>
        </is>
      </c>
      <c r="EK3" s="22" t="inlineStr">
        <is>
          <t>Cash</t>
        </is>
      </c>
      <c r="EL3" s="22" t="inlineStr">
        <is>
          <t>ARPU</t>
        </is>
      </c>
      <c r="EM3" s="22" t="inlineStr">
        <is>
          <t>Chrn</t>
        </is>
      </c>
      <c r="EO3" s="22" t="inlineStr">
        <is>
          <t>Mo</t>
        </is>
      </c>
      <c r="EP3" s="22" t="inlineStr">
        <is>
          <t>Cal</t>
        </is>
      </c>
      <c r="EQ3" s="22" t="inlineStr">
        <is>
          <t>CY</t>
        </is>
      </c>
      <c r="ER3" s="22" t="inlineStr">
        <is>
          <t>Acq</t>
        </is>
      </c>
      <c r="ES3" s="22" t="inlineStr">
        <is>
          <t>Infl</t>
        </is>
      </c>
      <c r="ET3" s="22" t="inlineStr">
        <is>
          <t>ECh</t>
        </is>
      </c>
      <c r="EU3" s="22" t="inlineStr">
        <is>
          <t>Mkt</t>
        </is>
      </c>
      <c r="EV3" s="22" t="inlineStr">
        <is>
          <t>Paid</t>
        </is>
      </c>
      <c r="EW3" s="22" t="inlineStr">
        <is>
          <t>Ref</t>
        </is>
      </c>
      <c r="EX3" s="22" t="inlineStr">
        <is>
          <t>Tot</t>
        </is>
      </c>
      <c r="EY3" s="22" t="inlineStr">
        <is>
          <t>NMo</t>
        </is>
      </c>
      <c r="EZ3" s="22" t="inlineStr">
        <is>
          <t>NAn</t>
        </is>
      </c>
      <c r="FA3" s="22" t="inlineStr">
        <is>
          <t>NEsM</t>
        </is>
      </c>
      <c r="FB3" s="22" t="inlineStr">
        <is>
          <t>NPrM</t>
        </is>
      </c>
      <c r="FC3" s="22" t="inlineStr">
        <is>
          <t>NElM</t>
        </is>
      </c>
      <c r="FD3" s="22" t="inlineStr">
        <is>
          <t>NEsA</t>
        </is>
      </c>
      <c r="FE3" s="22" t="inlineStr">
        <is>
          <t>NPrA</t>
        </is>
      </c>
      <c r="FF3" s="22" t="inlineStr">
        <is>
          <t>NElA</t>
        </is>
      </c>
      <c r="FG3" s="22" t="inlineStr">
        <is>
          <t>AEsM</t>
        </is>
      </c>
      <c r="FH3" s="22" t="inlineStr">
        <is>
          <t>APrM</t>
        </is>
      </c>
      <c r="FI3" s="22" t="inlineStr">
        <is>
          <t>AElM</t>
        </is>
      </c>
      <c r="FJ3" s="22" t="inlineStr">
        <is>
          <t>AEsA</t>
        </is>
      </c>
      <c r="FK3" s="22" t="inlineStr">
        <is>
          <t>APrA</t>
        </is>
      </c>
      <c r="FL3" s="22" t="inlineStr">
        <is>
          <t>AElA</t>
        </is>
      </c>
      <c r="FM3" s="22" t="inlineStr">
        <is>
          <t>Cust</t>
        </is>
      </c>
      <c r="FN3" s="22" t="inlineStr">
        <is>
          <t>MRR</t>
        </is>
      </c>
      <c r="FO3" s="22" t="inlineStr">
        <is>
          <t>ARR</t>
        </is>
      </c>
      <c r="FP3" s="22" t="inlineStr">
        <is>
          <t>Mo$</t>
        </is>
      </c>
      <c r="FQ3" s="22" t="inlineStr">
        <is>
          <t>NwAn</t>
        </is>
      </c>
      <c r="FR3" s="22" t="inlineStr">
        <is>
          <t>Ren</t>
        </is>
      </c>
      <c r="FS3" s="22" t="inlineStr">
        <is>
          <t>Gross</t>
        </is>
      </c>
      <c r="FT3" s="22" t="inlineStr">
        <is>
          <t>R12</t>
        </is>
      </c>
      <c r="FU3" s="22" t="inlineStr">
        <is>
          <t>VAT</t>
        </is>
      </c>
      <c r="FV3" s="22" t="inlineStr">
        <is>
          <t>Net</t>
        </is>
      </c>
      <c r="FW3" s="22" t="inlineStr">
        <is>
          <t>VAcc</t>
        </is>
      </c>
      <c r="FX3" s="22" t="inlineStr">
        <is>
          <t>VPay</t>
        </is>
      </c>
      <c r="FY3" s="22" t="inlineStr">
        <is>
          <t>VBal</t>
        </is>
      </c>
      <c r="FZ3" s="22" t="inlineStr">
        <is>
          <t>Prov</t>
        </is>
      </c>
      <c r="GA3" s="22" t="inlineStr">
        <is>
          <t>Fee</t>
        </is>
      </c>
      <c r="GB3" s="22" t="inlineStr">
        <is>
          <t>Ops</t>
        </is>
      </c>
      <c r="GC3" s="22" t="inlineStr">
        <is>
          <t>Fix</t>
        </is>
      </c>
      <c r="GD3" s="22" t="inlineStr">
        <is>
          <t>Ref$</t>
        </is>
      </c>
      <c r="GE3" s="22" t="inlineStr">
        <is>
          <t>Mkt</t>
        </is>
      </c>
      <c r="GF3" s="22" t="inlineStr">
        <is>
          <t>Pft</t>
        </is>
      </c>
      <c r="GG3" s="22" t="inlineStr">
        <is>
          <t>Cash</t>
        </is>
      </c>
      <c r="GH3" s="22" t="inlineStr">
        <is>
          <t>ARPU</t>
        </is>
      </c>
      <c r="GI3" s="22" t="inlineStr">
        <is>
          <t>Chrn</t>
        </is>
      </c>
      <c r="GK3" s="22" t="inlineStr">
        <is>
          <t>Mo</t>
        </is>
      </c>
      <c r="GL3" s="22" t="inlineStr">
        <is>
          <t>Cal</t>
        </is>
      </c>
      <c r="GM3" s="22" t="inlineStr">
        <is>
          <t>CY</t>
        </is>
      </c>
      <c r="GN3" s="22" t="inlineStr">
        <is>
          <t>Acq</t>
        </is>
      </c>
      <c r="GO3" s="22" t="inlineStr">
        <is>
          <t>Infl</t>
        </is>
      </c>
      <c r="GP3" s="22" t="inlineStr">
        <is>
          <t>ECh</t>
        </is>
      </c>
      <c r="GQ3" s="22" t="inlineStr">
        <is>
          <t>Mkt</t>
        </is>
      </c>
      <c r="GR3" s="22" t="inlineStr">
        <is>
          <t>Paid</t>
        </is>
      </c>
      <c r="GS3" s="22" t="inlineStr">
        <is>
          <t>Ref</t>
        </is>
      </c>
      <c r="GT3" s="22" t="inlineStr">
        <is>
          <t>Tot</t>
        </is>
      </c>
      <c r="GU3" s="22" t="inlineStr">
        <is>
          <t>NMo</t>
        </is>
      </c>
      <c r="GV3" s="22" t="inlineStr">
        <is>
          <t>NAn</t>
        </is>
      </c>
      <c r="GW3" s="22" t="inlineStr">
        <is>
          <t>NEsM</t>
        </is>
      </c>
      <c r="GX3" s="22" t="inlineStr">
        <is>
          <t>NPrM</t>
        </is>
      </c>
      <c r="GY3" s="22" t="inlineStr">
        <is>
          <t>NElM</t>
        </is>
      </c>
      <c r="GZ3" s="22" t="inlineStr">
        <is>
          <t>NEsA</t>
        </is>
      </c>
      <c r="HA3" s="22" t="inlineStr">
        <is>
          <t>NPrA</t>
        </is>
      </c>
      <c r="HB3" s="22" t="inlineStr">
        <is>
          <t>NElA</t>
        </is>
      </c>
      <c r="HC3" s="22" t="inlineStr">
        <is>
          <t>AEsM</t>
        </is>
      </c>
      <c r="HD3" s="22" t="inlineStr">
        <is>
          <t>APrM</t>
        </is>
      </c>
      <c r="HE3" s="22" t="inlineStr">
        <is>
          <t>AElM</t>
        </is>
      </c>
      <c r="HF3" s="22" t="inlineStr">
        <is>
          <t>AEsA</t>
        </is>
      </c>
      <c r="HG3" s="22" t="inlineStr">
        <is>
          <t>APrA</t>
        </is>
      </c>
      <c r="HH3" s="22" t="inlineStr">
        <is>
          <t>AElA</t>
        </is>
      </c>
      <c r="HI3" s="22" t="inlineStr">
        <is>
          <t>Cust</t>
        </is>
      </c>
      <c r="HJ3" s="22" t="inlineStr">
        <is>
          <t>MRR</t>
        </is>
      </c>
      <c r="HK3" s="22" t="inlineStr">
        <is>
          <t>ARR</t>
        </is>
      </c>
      <c r="HL3" s="22" t="inlineStr">
        <is>
          <t>Mo$</t>
        </is>
      </c>
      <c r="HM3" s="22" t="inlineStr">
        <is>
          <t>NwAn</t>
        </is>
      </c>
      <c r="HN3" s="22" t="inlineStr">
        <is>
          <t>Ren</t>
        </is>
      </c>
      <c r="HO3" s="22" t="inlineStr">
        <is>
          <t>Gross</t>
        </is>
      </c>
      <c r="HP3" s="22" t="inlineStr">
        <is>
          <t>R12</t>
        </is>
      </c>
      <c r="HQ3" s="22" t="inlineStr">
        <is>
          <t>VAT</t>
        </is>
      </c>
      <c r="HR3" s="22" t="inlineStr">
        <is>
          <t>Net</t>
        </is>
      </c>
      <c r="HS3" s="22" t="inlineStr">
        <is>
          <t>VAcc</t>
        </is>
      </c>
      <c r="HT3" s="22" t="inlineStr">
        <is>
          <t>VPay</t>
        </is>
      </c>
      <c r="HU3" s="22" t="inlineStr">
        <is>
          <t>VBal</t>
        </is>
      </c>
      <c r="HV3" s="22" t="inlineStr">
        <is>
          <t>Prov</t>
        </is>
      </c>
      <c r="HW3" s="22" t="inlineStr">
        <is>
          <t>Fee</t>
        </is>
      </c>
      <c r="HX3" s="22" t="inlineStr">
        <is>
          <t>Ops</t>
        </is>
      </c>
      <c r="HY3" s="22" t="inlineStr">
        <is>
          <t>Fix</t>
        </is>
      </c>
      <c r="HZ3" s="22" t="inlineStr">
        <is>
          <t>Ref$</t>
        </is>
      </c>
      <c r="IA3" s="22" t="inlineStr">
        <is>
          <t>Mkt</t>
        </is>
      </c>
      <c r="IB3" s="22" t="inlineStr">
        <is>
          <t>Pft</t>
        </is>
      </c>
      <c r="IC3" s="22" t="inlineStr">
        <is>
          <t>Cash</t>
        </is>
      </c>
      <c r="ID3" s="22" t="inlineStr">
        <is>
          <t>ARPU</t>
        </is>
      </c>
      <c r="IE3" s="22" t="inlineStr">
        <is>
          <t>Chrn</t>
        </is>
      </c>
      <c r="IG3" s="22" t="inlineStr">
        <is>
          <t>Mo</t>
        </is>
      </c>
      <c r="IH3" s="22" t="inlineStr">
        <is>
          <t>Cal</t>
        </is>
      </c>
      <c r="II3" s="22" t="inlineStr">
        <is>
          <t>CY</t>
        </is>
      </c>
      <c r="IJ3" s="22" t="inlineStr">
        <is>
          <t>Acq</t>
        </is>
      </c>
      <c r="IK3" s="22" t="inlineStr">
        <is>
          <t>Infl</t>
        </is>
      </c>
      <c r="IL3" s="22" t="inlineStr">
        <is>
          <t>ECh</t>
        </is>
      </c>
      <c r="IM3" s="22" t="inlineStr">
        <is>
          <t>Mkt</t>
        </is>
      </c>
      <c r="IN3" s="22" t="inlineStr">
        <is>
          <t>Paid</t>
        </is>
      </c>
      <c r="IO3" s="22" t="inlineStr">
        <is>
          <t>Ref</t>
        </is>
      </c>
      <c r="IP3" s="22" t="inlineStr">
        <is>
          <t>Tot</t>
        </is>
      </c>
      <c r="IQ3" s="22" t="inlineStr">
        <is>
          <t>NMo</t>
        </is>
      </c>
      <c r="IR3" s="22" t="inlineStr">
        <is>
          <t>NAn</t>
        </is>
      </c>
      <c r="IS3" s="22" t="inlineStr">
        <is>
          <t>NEsM</t>
        </is>
      </c>
      <c r="IT3" s="22" t="inlineStr">
        <is>
          <t>NPrM</t>
        </is>
      </c>
      <c r="IU3" s="22" t="inlineStr">
        <is>
          <t>NElM</t>
        </is>
      </c>
      <c r="IV3" s="22" t="inlineStr">
        <is>
          <t>NEsA</t>
        </is>
      </c>
      <c r="IW3" s="22" t="inlineStr">
        <is>
          <t>NPrA</t>
        </is>
      </c>
      <c r="IX3" s="22" t="inlineStr">
        <is>
          <t>NElA</t>
        </is>
      </c>
      <c r="IY3" s="22" t="inlineStr">
        <is>
          <t>AEsM</t>
        </is>
      </c>
      <c r="IZ3" s="22" t="inlineStr">
        <is>
          <t>APrM</t>
        </is>
      </c>
      <c r="JA3" s="22" t="inlineStr">
        <is>
          <t>AElM</t>
        </is>
      </c>
      <c r="JB3" s="22" t="inlineStr">
        <is>
          <t>AEsA</t>
        </is>
      </c>
      <c r="JC3" s="22" t="inlineStr">
        <is>
          <t>APrA</t>
        </is>
      </c>
      <c r="JD3" s="22" t="inlineStr">
        <is>
          <t>AElA</t>
        </is>
      </c>
      <c r="JE3" s="22" t="inlineStr">
        <is>
          <t>Cust</t>
        </is>
      </c>
      <c r="JF3" s="22" t="inlineStr">
        <is>
          <t>MRR</t>
        </is>
      </c>
      <c r="JG3" s="22" t="inlineStr">
        <is>
          <t>ARR</t>
        </is>
      </c>
      <c r="JH3" s="22" t="inlineStr">
        <is>
          <t>Mo$</t>
        </is>
      </c>
      <c r="JI3" s="22" t="inlineStr">
        <is>
          <t>NwAn</t>
        </is>
      </c>
      <c r="JJ3" s="22" t="inlineStr">
        <is>
          <t>Ren</t>
        </is>
      </c>
      <c r="JK3" s="22" t="inlineStr">
        <is>
          <t>Gross</t>
        </is>
      </c>
      <c r="JL3" s="22" t="inlineStr">
        <is>
          <t>R12</t>
        </is>
      </c>
      <c r="JM3" s="22" t="inlineStr">
        <is>
          <t>VAT</t>
        </is>
      </c>
      <c r="JN3" s="22" t="inlineStr">
        <is>
          <t>Net</t>
        </is>
      </c>
      <c r="JO3" s="22" t="inlineStr">
        <is>
          <t>VAcc</t>
        </is>
      </c>
      <c r="JP3" s="22" t="inlineStr">
        <is>
          <t>VPay</t>
        </is>
      </c>
      <c r="JQ3" s="22" t="inlineStr">
        <is>
          <t>VBal</t>
        </is>
      </c>
      <c r="JR3" s="22" t="inlineStr">
        <is>
          <t>Prov</t>
        </is>
      </c>
      <c r="JS3" s="22" t="inlineStr">
        <is>
          <t>Fee</t>
        </is>
      </c>
      <c r="JT3" s="22" t="inlineStr">
        <is>
          <t>Ops</t>
        </is>
      </c>
      <c r="JU3" s="22" t="inlineStr">
        <is>
          <t>Fix</t>
        </is>
      </c>
      <c r="JV3" s="22" t="inlineStr">
        <is>
          <t>Ref$</t>
        </is>
      </c>
      <c r="JW3" s="22" t="inlineStr">
        <is>
          <t>Mkt</t>
        </is>
      </c>
      <c r="JX3" s="22" t="inlineStr">
        <is>
          <t>Pft</t>
        </is>
      </c>
      <c r="JY3" s="22" t="inlineStr">
        <is>
          <t>Cash</t>
        </is>
      </c>
      <c r="JZ3" s="22" t="inlineStr">
        <is>
          <t>ARPU</t>
        </is>
      </c>
      <c r="KA3" s="22" t="inlineStr">
        <is>
          <t>Chrn</t>
        </is>
      </c>
      <c r="KC3" s="22" t="inlineStr">
        <is>
          <t>Mo</t>
        </is>
      </c>
      <c r="KD3" s="22" t="inlineStr">
        <is>
          <t>Cal</t>
        </is>
      </c>
      <c r="KE3" s="22" t="inlineStr">
        <is>
          <t>CY</t>
        </is>
      </c>
      <c r="KF3" s="22" t="inlineStr">
        <is>
          <t>Acq</t>
        </is>
      </c>
      <c r="KG3" s="22" t="inlineStr">
        <is>
          <t>Infl</t>
        </is>
      </c>
      <c r="KH3" s="22" t="inlineStr">
        <is>
          <t>ECh</t>
        </is>
      </c>
      <c r="KI3" s="22" t="inlineStr">
        <is>
          <t>Mkt</t>
        </is>
      </c>
      <c r="KJ3" s="22" t="inlineStr">
        <is>
          <t>Paid</t>
        </is>
      </c>
      <c r="KK3" s="22" t="inlineStr">
        <is>
          <t>Ref</t>
        </is>
      </c>
      <c r="KL3" s="22" t="inlineStr">
        <is>
          <t>Tot</t>
        </is>
      </c>
      <c r="KM3" s="22" t="inlineStr">
        <is>
          <t>NMo</t>
        </is>
      </c>
      <c r="KN3" s="22" t="inlineStr">
        <is>
          <t>NAn</t>
        </is>
      </c>
      <c r="KO3" s="22" t="inlineStr">
        <is>
          <t>NEsM</t>
        </is>
      </c>
      <c r="KP3" s="22" t="inlineStr">
        <is>
          <t>NPrM</t>
        </is>
      </c>
      <c r="KQ3" s="22" t="inlineStr">
        <is>
          <t>NElM</t>
        </is>
      </c>
      <c r="KR3" s="22" t="inlineStr">
        <is>
          <t>NEsA</t>
        </is>
      </c>
      <c r="KS3" s="22" t="inlineStr">
        <is>
          <t>NPrA</t>
        </is>
      </c>
      <c r="KT3" s="22" t="inlineStr">
        <is>
          <t>NElA</t>
        </is>
      </c>
      <c r="KU3" s="22" t="inlineStr">
        <is>
          <t>AEsM</t>
        </is>
      </c>
      <c r="KV3" s="22" t="inlineStr">
        <is>
          <t>APrM</t>
        </is>
      </c>
      <c r="KW3" s="22" t="inlineStr">
        <is>
          <t>AElM</t>
        </is>
      </c>
      <c r="KX3" s="22" t="inlineStr">
        <is>
          <t>AEsA</t>
        </is>
      </c>
      <c r="KY3" s="22" t="inlineStr">
        <is>
          <t>APrA</t>
        </is>
      </c>
      <c r="KZ3" s="22" t="inlineStr">
        <is>
          <t>AElA</t>
        </is>
      </c>
      <c r="LA3" s="22" t="inlineStr">
        <is>
          <t>Cust</t>
        </is>
      </c>
      <c r="LB3" s="22" t="inlineStr">
        <is>
          <t>MRR</t>
        </is>
      </c>
      <c r="LC3" s="22" t="inlineStr">
        <is>
          <t>ARR</t>
        </is>
      </c>
      <c r="LD3" s="22" t="inlineStr">
        <is>
          <t>Mo$</t>
        </is>
      </c>
      <c r="LE3" s="22" t="inlineStr">
        <is>
          <t>NwAn</t>
        </is>
      </c>
      <c r="LF3" s="22" t="inlineStr">
        <is>
          <t>Ren</t>
        </is>
      </c>
      <c r="LG3" s="22" t="inlineStr">
        <is>
          <t>Gross</t>
        </is>
      </c>
      <c r="LH3" s="22" t="inlineStr">
        <is>
          <t>R12</t>
        </is>
      </c>
      <c r="LI3" s="22" t="inlineStr">
        <is>
          <t>VAT</t>
        </is>
      </c>
      <c r="LJ3" s="22" t="inlineStr">
        <is>
          <t>Net</t>
        </is>
      </c>
      <c r="LK3" s="22" t="inlineStr">
        <is>
          <t>VAcc</t>
        </is>
      </c>
      <c r="LL3" s="22" t="inlineStr">
        <is>
          <t>VPay</t>
        </is>
      </c>
      <c r="LM3" s="22" t="inlineStr">
        <is>
          <t>VBal</t>
        </is>
      </c>
      <c r="LN3" s="22" t="inlineStr">
        <is>
          <t>Prov</t>
        </is>
      </c>
      <c r="LO3" s="22" t="inlineStr">
        <is>
          <t>Fee</t>
        </is>
      </c>
      <c r="LP3" s="22" t="inlineStr">
        <is>
          <t>Ops</t>
        </is>
      </c>
      <c r="LQ3" s="22" t="inlineStr">
        <is>
          <t>Fix</t>
        </is>
      </c>
      <c r="LR3" s="22" t="inlineStr">
        <is>
          <t>Ref$</t>
        </is>
      </c>
      <c r="LS3" s="22" t="inlineStr">
        <is>
          <t>Mkt</t>
        </is>
      </c>
      <c r="LT3" s="22" t="inlineStr">
        <is>
          <t>Pft</t>
        </is>
      </c>
      <c r="LU3" s="22" t="inlineStr">
        <is>
          <t>Cash</t>
        </is>
      </c>
      <c r="LV3" s="22" t="inlineStr">
        <is>
          <t>ARPU</t>
        </is>
      </c>
      <c r="LW3" s="22" t="inlineStr">
        <is>
          <t>Chrn</t>
        </is>
      </c>
      <c r="LY3" s="22" t="inlineStr">
        <is>
          <t>Mo</t>
        </is>
      </c>
      <c r="LZ3" s="22" t="inlineStr">
        <is>
          <t>Cal</t>
        </is>
      </c>
      <c r="MA3" s="22" t="inlineStr">
        <is>
          <t>CY</t>
        </is>
      </c>
      <c r="MB3" s="22" t="inlineStr">
        <is>
          <t>Acq</t>
        </is>
      </c>
      <c r="MC3" s="22" t="inlineStr">
        <is>
          <t>Infl</t>
        </is>
      </c>
      <c r="MD3" s="22" t="inlineStr">
        <is>
          <t>ECh</t>
        </is>
      </c>
      <c r="ME3" s="22" t="inlineStr">
        <is>
          <t>Mkt</t>
        </is>
      </c>
      <c r="MF3" s="22" t="inlineStr">
        <is>
          <t>Paid</t>
        </is>
      </c>
      <c r="MG3" s="22" t="inlineStr">
        <is>
          <t>Ref</t>
        </is>
      </c>
      <c r="MH3" s="22" t="inlineStr">
        <is>
          <t>Tot</t>
        </is>
      </c>
      <c r="MI3" s="22" t="inlineStr">
        <is>
          <t>NMo</t>
        </is>
      </c>
      <c r="MJ3" s="22" t="inlineStr">
        <is>
          <t>NAn</t>
        </is>
      </c>
      <c r="MK3" s="22" t="inlineStr">
        <is>
          <t>NEsM</t>
        </is>
      </c>
      <c r="ML3" s="22" t="inlineStr">
        <is>
          <t>NPrM</t>
        </is>
      </c>
      <c r="MM3" s="22" t="inlineStr">
        <is>
          <t>NElM</t>
        </is>
      </c>
      <c r="MN3" s="22" t="inlineStr">
        <is>
          <t>NEsA</t>
        </is>
      </c>
      <c r="MO3" s="22" t="inlineStr">
        <is>
          <t>NPrA</t>
        </is>
      </c>
      <c r="MP3" s="22" t="inlineStr">
        <is>
          <t>NElA</t>
        </is>
      </c>
      <c r="MQ3" s="22" t="inlineStr">
        <is>
          <t>AEsM</t>
        </is>
      </c>
      <c r="MR3" s="22" t="inlineStr">
        <is>
          <t>APrM</t>
        </is>
      </c>
      <c r="MS3" s="22" t="inlineStr">
        <is>
          <t>AElM</t>
        </is>
      </c>
      <c r="MT3" s="22" t="inlineStr">
        <is>
          <t>AEsA</t>
        </is>
      </c>
      <c r="MU3" s="22" t="inlineStr">
        <is>
          <t>APrA</t>
        </is>
      </c>
      <c r="MV3" s="22" t="inlineStr">
        <is>
          <t>AElA</t>
        </is>
      </c>
      <c r="MW3" s="22" t="inlineStr">
        <is>
          <t>Cust</t>
        </is>
      </c>
      <c r="MX3" s="22" t="inlineStr">
        <is>
          <t>MRR</t>
        </is>
      </c>
      <c r="MY3" s="22" t="inlineStr">
        <is>
          <t>ARR</t>
        </is>
      </c>
      <c r="MZ3" s="22" t="inlineStr">
        <is>
          <t>Mo$</t>
        </is>
      </c>
      <c r="NA3" s="22" t="inlineStr">
        <is>
          <t>NwAn</t>
        </is>
      </c>
      <c r="NB3" s="22" t="inlineStr">
        <is>
          <t>Ren</t>
        </is>
      </c>
      <c r="NC3" s="22" t="inlineStr">
        <is>
          <t>Gross</t>
        </is>
      </c>
      <c r="ND3" s="22" t="inlineStr">
        <is>
          <t>R12</t>
        </is>
      </c>
      <c r="NE3" s="22" t="inlineStr">
        <is>
          <t>VAT</t>
        </is>
      </c>
      <c r="NF3" s="22" t="inlineStr">
        <is>
          <t>Net</t>
        </is>
      </c>
      <c r="NG3" s="22" t="inlineStr">
        <is>
          <t>VAcc</t>
        </is>
      </c>
      <c r="NH3" s="22" t="inlineStr">
        <is>
          <t>VPay</t>
        </is>
      </c>
      <c r="NI3" s="22" t="inlineStr">
        <is>
          <t>VBal</t>
        </is>
      </c>
      <c r="NJ3" s="22" t="inlineStr">
        <is>
          <t>Prov</t>
        </is>
      </c>
      <c r="NK3" s="22" t="inlineStr">
        <is>
          <t>Fee</t>
        </is>
      </c>
      <c r="NL3" s="22" t="inlineStr">
        <is>
          <t>Ops</t>
        </is>
      </c>
      <c r="NM3" s="22" t="inlineStr">
        <is>
          <t>Fix</t>
        </is>
      </c>
      <c r="NN3" s="22" t="inlineStr">
        <is>
          <t>Ref$</t>
        </is>
      </c>
      <c r="NO3" s="22" t="inlineStr">
        <is>
          <t>Mkt</t>
        </is>
      </c>
      <c r="NP3" s="22" t="inlineStr">
        <is>
          <t>Pft</t>
        </is>
      </c>
      <c r="NQ3" s="22" t="inlineStr">
        <is>
          <t>Cash</t>
        </is>
      </c>
      <c r="NR3" s="22" t="inlineStr">
        <is>
          <t>ARPU</t>
        </is>
      </c>
      <c r="NS3" s="22" t="inlineStr">
        <is>
          <t>Chrn</t>
        </is>
      </c>
      <c r="NU3" s="22" t="inlineStr">
        <is>
          <t>Mo</t>
        </is>
      </c>
      <c r="NV3" s="22" t="inlineStr">
        <is>
          <t>Cal</t>
        </is>
      </c>
      <c r="NW3" s="22" t="inlineStr">
        <is>
          <t>CY</t>
        </is>
      </c>
      <c r="NX3" s="22" t="inlineStr">
        <is>
          <t>Acq</t>
        </is>
      </c>
      <c r="NY3" s="22" t="inlineStr">
        <is>
          <t>Infl</t>
        </is>
      </c>
      <c r="NZ3" s="22" t="inlineStr">
        <is>
          <t>ECh</t>
        </is>
      </c>
      <c r="OA3" s="22" t="inlineStr">
        <is>
          <t>Mkt</t>
        </is>
      </c>
      <c r="OB3" s="22" t="inlineStr">
        <is>
          <t>Paid</t>
        </is>
      </c>
      <c r="OC3" s="22" t="inlineStr">
        <is>
          <t>Ref</t>
        </is>
      </c>
      <c r="OD3" s="22" t="inlineStr">
        <is>
          <t>Tot</t>
        </is>
      </c>
      <c r="OE3" s="22" t="inlineStr">
        <is>
          <t>NMo</t>
        </is>
      </c>
      <c r="OF3" s="22" t="inlineStr">
        <is>
          <t>NAn</t>
        </is>
      </c>
      <c r="OG3" s="22" t="inlineStr">
        <is>
          <t>NEsM</t>
        </is>
      </c>
      <c r="OH3" s="22" t="inlineStr">
        <is>
          <t>NPrM</t>
        </is>
      </c>
      <c r="OI3" s="22" t="inlineStr">
        <is>
          <t>NElM</t>
        </is>
      </c>
      <c r="OJ3" s="22" t="inlineStr">
        <is>
          <t>NEsA</t>
        </is>
      </c>
      <c r="OK3" s="22" t="inlineStr">
        <is>
          <t>NPrA</t>
        </is>
      </c>
      <c r="OL3" s="22" t="inlineStr">
        <is>
          <t>NElA</t>
        </is>
      </c>
      <c r="OM3" s="22" t="inlineStr">
        <is>
          <t>AEsM</t>
        </is>
      </c>
      <c r="ON3" s="22" t="inlineStr">
        <is>
          <t>APrM</t>
        </is>
      </c>
      <c r="OO3" s="22" t="inlineStr">
        <is>
          <t>AElM</t>
        </is>
      </c>
      <c r="OP3" s="22" t="inlineStr">
        <is>
          <t>AEsA</t>
        </is>
      </c>
      <c r="OQ3" s="22" t="inlineStr">
        <is>
          <t>APrA</t>
        </is>
      </c>
      <c r="OR3" s="22" t="inlineStr">
        <is>
          <t>AElA</t>
        </is>
      </c>
      <c r="OS3" s="22" t="inlineStr">
        <is>
          <t>Cust</t>
        </is>
      </c>
      <c r="OT3" s="22" t="inlineStr">
        <is>
          <t>MRR</t>
        </is>
      </c>
      <c r="OU3" s="22" t="inlineStr">
        <is>
          <t>ARR</t>
        </is>
      </c>
      <c r="OV3" s="22" t="inlineStr">
        <is>
          <t>Mo$</t>
        </is>
      </c>
      <c r="OW3" s="22" t="inlineStr">
        <is>
          <t>NwAn</t>
        </is>
      </c>
      <c r="OX3" s="22" t="inlineStr">
        <is>
          <t>Ren</t>
        </is>
      </c>
      <c r="OY3" s="22" t="inlineStr">
        <is>
          <t>Gross</t>
        </is>
      </c>
      <c r="OZ3" s="22" t="inlineStr">
        <is>
          <t>R12</t>
        </is>
      </c>
      <c r="PA3" s="22" t="inlineStr">
        <is>
          <t>VAT</t>
        </is>
      </c>
      <c r="PB3" s="22" t="inlineStr">
        <is>
          <t>Net</t>
        </is>
      </c>
      <c r="PC3" s="22" t="inlineStr">
        <is>
          <t>VAcc</t>
        </is>
      </c>
      <c r="PD3" s="22" t="inlineStr">
        <is>
          <t>VPay</t>
        </is>
      </c>
      <c r="PE3" s="22" t="inlineStr">
        <is>
          <t>VBal</t>
        </is>
      </c>
      <c r="PF3" s="22" t="inlineStr">
        <is>
          <t>Prov</t>
        </is>
      </c>
      <c r="PG3" s="22" t="inlineStr">
        <is>
          <t>Fee</t>
        </is>
      </c>
      <c r="PH3" s="22" t="inlineStr">
        <is>
          <t>Ops</t>
        </is>
      </c>
      <c r="PI3" s="22" t="inlineStr">
        <is>
          <t>Fix</t>
        </is>
      </c>
      <c r="PJ3" s="22" t="inlineStr">
        <is>
          <t>Ref$</t>
        </is>
      </c>
      <c r="PK3" s="22" t="inlineStr">
        <is>
          <t>Mkt</t>
        </is>
      </c>
      <c r="PL3" s="22" t="inlineStr">
        <is>
          <t>Pft</t>
        </is>
      </c>
      <c r="PM3" s="22" t="inlineStr">
        <is>
          <t>Cash</t>
        </is>
      </c>
      <c r="PN3" s="22" t="inlineStr">
        <is>
          <t>ARPU</t>
        </is>
      </c>
      <c r="PO3" s="22" t="inlineStr">
        <is>
          <t>Chrn</t>
        </is>
      </c>
      <c r="PQ3" s="22" t="inlineStr">
        <is>
          <t>Mo</t>
        </is>
      </c>
      <c r="PR3" s="22" t="inlineStr">
        <is>
          <t>Cal</t>
        </is>
      </c>
      <c r="PS3" s="22" t="inlineStr">
        <is>
          <t>CY</t>
        </is>
      </c>
      <c r="PT3" s="22" t="inlineStr">
        <is>
          <t>Acq</t>
        </is>
      </c>
      <c r="PU3" s="22" t="inlineStr">
        <is>
          <t>Infl</t>
        </is>
      </c>
      <c r="PV3" s="22" t="inlineStr">
        <is>
          <t>ECh</t>
        </is>
      </c>
      <c r="PW3" s="22" t="inlineStr">
        <is>
          <t>Mkt</t>
        </is>
      </c>
      <c r="PX3" s="22" t="inlineStr">
        <is>
          <t>Paid</t>
        </is>
      </c>
      <c r="PY3" s="22" t="inlineStr">
        <is>
          <t>Ref</t>
        </is>
      </c>
      <c r="PZ3" s="22" t="inlineStr">
        <is>
          <t>Tot</t>
        </is>
      </c>
      <c r="QA3" s="22" t="inlineStr">
        <is>
          <t>NMo</t>
        </is>
      </c>
      <c r="QB3" s="22" t="inlineStr">
        <is>
          <t>NAn</t>
        </is>
      </c>
      <c r="QC3" s="22" t="inlineStr">
        <is>
          <t>NEsM</t>
        </is>
      </c>
      <c r="QD3" s="22" t="inlineStr">
        <is>
          <t>NPrM</t>
        </is>
      </c>
      <c r="QE3" s="22" t="inlineStr">
        <is>
          <t>NElM</t>
        </is>
      </c>
      <c r="QF3" s="22" t="inlineStr">
        <is>
          <t>NEsA</t>
        </is>
      </c>
      <c r="QG3" s="22" t="inlineStr">
        <is>
          <t>NPrA</t>
        </is>
      </c>
      <c r="QH3" s="22" t="inlineStr">
        <is>
          <t>NElA</t>
        </is>
      </c>
      <c r="QI3" s="22" t="inlineStr">
        <is>
          <t>AEsM</t>
        </is>
      </c>
      <c r="QJ3" s="22" t="inlineStr">
        <is>
          <t>APrM</t>
        </is>
      </c>
      <c r="QK3" s="22" t="inlineStr">
        <is>
          <t>AElM</t>
        </is>
      </c>
      <c r="QL3" s="22" t="inlineStr">
        <is>
          <t>AEsA</t>
        </is>
      </c>
      <c r="QM3" s="22" t="inlineStr">
        <is>
          <t>APrA</t>
        </is>
      </c>
      <c r="QN3" s="22" t="inlineStr">
        <is>
          <t>AElA</t>
        </is>
      </c>
      <c r="QO3" s="22" t="inlineStr">
        <is>
          <t>Cust</t>
        </is>
      </c>
      <c r="QP3" s="22" t="inlineStr">
        <is>
          <t>MRR</t>
        </is>
      </c>
      <c r="QQ3" s="22" t="inlineStr">
        <is>
          <t>ARR</t>
        </is>
      </c>
      <c r="QR3" s="22" t="inlineStr">
        <is>
          <t>Mo$</t>
        </is>
      </c>
      <c r="QS3" s="22" t="inlineStr">
        <is>
          <t>NwAn</t>
        </is>
      </c>
      <c r="QT3" s="22" t="inlineStr">
        <is>
          <t>Ren</t>
        </is>
      </c>
      <c r="QU3" s="22" t="inlineStr">
        <is>
          <t>Gross</t>
        </is>
      </c>
      <c r="QV3" s="22" t="inlineStr">
        <is>
          <t>R12</t>
        </is>
      </c>
      <c r="QW3" s="22" t="inlineStr">
        <is>
          <t>VAT</t>
        </is>
      </c>
      <c r="QX3" s="22" t="inlineStr">
        <is>
          <t>Net</t>
        </is>
      </c>
      <c r="QY3" s="22" t="inlineStr">
        <is>
          <t>VAcc</t>
        </is>
      </c>
      <c r="QZ3" s="22" t="inlineStr">
        <is>
          <t>VPay</t>
        </is>
      </c>
      <c r="RA3" s="22" t="inlineStr">
        <is>
          <t>VBal</t>
        </is>
      </c>
      <c r="RB3" s="22" t="inlineStr">
        <is>
          <t>Prov</t>
        </is>
      </c>
      <c r="RC3" s="22" t="inlineStr">
        <is>
          <t>Fee</t>
        </is>
      </c>
      <c r="RD3" s="22" t="inlineStr">
        <is>
          <t>Ops</t>
        </is>
      </c>
      <c r="RE3" s="22" t="inlineStr">
        <is>
          <t>Fix</t>
        </is>
      </c>
      <c r="RF3" s="22" t="inlineStr">
        <is>
          <t>Ref$</t>
        </is>
      </c>
      <c r="RG3" s="22" t="inlineStr">
        <is>
          <t>Mkt</t>
        </is>
      </c>
      <c r="RH3" s="22" t="inlineStr">
        <is>
          <t>Pft</t>
        </is>
      </c>
      <c r="RI3" s="22" t="inlineStr">
        <is>
          <t>Cash</t>
        </is>
      </c>
      <c r="RJ3" s="22" t="inlineStr">
        <is>
          <t>ARPU</t>
        </is>
      </c>
      <c r="RK3" s="22" t="inlineStr">
        <is>
          <t>Chrn</t>
        </is>
      </c>
      <c r="RM3" s="22" t="inlineStr">
        <is>
          <t>Mo</t>
        </is>
      </c>
      <c r="RN3" s="22" t="inlineStr">
        <is>
          <t>Cal</t>
        </is>
      </c>
      <c r="RO3" s="22" t="inlineStr">
        <is>
          <t>CY</t>
        </is>
      </c>
      <c r="RP3" s="22" t="inlineStr">
        <is>
          <t>Acq</t>
        </is>
      </c>
      <c r="RQ3" s="22" t="inlineStr">
        <is>
          <t>Infl</t>
        </is>
      </c>
      <c r="RR3" s="22" t="inlineStr">
        <is>
          <t>ECh</t>
        </is>
      </c>
      <c r="RS3" s="22" t="inlineStr">
        <is>
          <t>Mkt</t>
        </is>
      </c>
      <c r="RT3" s="22" t="inlineStr">
        <is>
          <t>Paid</t>
        </is>
      </c>
      <c r="RU3" s="22" t="inlineStr">
        <is>
          <t>Ref</t>
        </is>
      </c>
      <c r="RV3" s="22" t="inlineStr">
        <is>
          <t>Tot</t>
        </is>
      </c>
      <c r="RW3" s="22" t="inlineStr">
        <is>
          <t>NMo</t>
        </is>
      </c>
      <c r="RX3" s="22" t="inlineStr">
        <is>
          <t>NAn</t>
        </is>
      </c>
      <c r="RY3" s="22" t="inlineStr">
        <is>
          <t>NEsM</t>
        </is>
      </c>
      <c r="RZ3" s="22" t="inlineStr">
        <is>
          <t>NPrM</t>
        </is>
      </c>
      <c r="SA3" s="22" t="inlineStr">
        <is>
          <t>NElM</t>
        </is>
      </c>
      <c r="SB3" s="22" t="inlineStr">
        <is>
          <t>NEsA</t>
        </is>
      </c>
      <c r="SC3" s="22" t="inlineStr">
        <is>
          <t>NPrA</t>
        </is>
      </c>
      <c r="SD3" s="22" t="inlineStr">
        <is>
          <t>NElA</t>
        </is>
      </c>
      <c r="SE3" s="22" t="inlineStr">
        <is>
          <t>AEsM</t>
        </is>
      </c>
      <c r="SF3" s="22" t="inlineStr">
        <is>
          <t>APrM</t>
        </is>
      </c>
      <c r="SG3" s="22" t="inlineStr">
        <is>
          <t>AElM</t>
        </is>
      </c>
      <c r="SH3" s="22" t="inlineStr">
        <is>
          <t>AEsA</t>
        </is>
      </c>
      <c r="SI3" s="22" t="inlineStr">
        <is>
          <t>APrA</t>
        </is>
      </c>
      <c r="SJ3" s="22" t="inlineStr">
        <is>
          <t>AElA</t>
        </is>
      </c>
      <c r="SK3" s="22" t="inlineStr">
        <is>
          <t>Cust</t>
        </is>
      </c>
      <c r="SL3" s="22" t="inlineStr">
        <is>
          <t>MRR</t>
        </is>
      </c>
      <c r="SM3" s="22" t="inlineStr">
        <is>
          <t>ARR</t>
        </is>
      </c>
      <c r="SN3" s="22" t="inlineStr">
        <is>
          <t>Mo$</t>
        </is>
      </c>
      <c r="SO3" s="22" t="inlineStr">
        <is>
          <t>NwAn</t>
        </is>
      </c>
      <c r="SP3" s="22" t="inlineStr">
        <is>
          <t>Ren</t>
        </is>
      </c>
      <c r="SQ3" s="22" t="inlineStr">
        <is>
          <t>Gross</t>
        </is>
      </c>
      <c r="SR3" s="22" t="inlineStr">
        <is>
          <t>R12</t>
        </is>
      </c>
      <c r="SS3" s="22" t="inlineStr">
        <is>
          <t>VAT</t>
        </is>
      </c>
      <c r="ST3" s="22" t="inlineStr">
        <is>
          <t>Net</t>
        </is>
      </c>
      <c r="SU3" s="22" t="inlineStr">
        <is>
          <t>VAcc</t>
        </is>
      </c>
      <c r="SV3" s="22" t="inlineStr">
        <is>
          <t>VPay</t>
        </is>
      </c>
      <c r="SW3" s="22" t="inlineStr">
        <is>
          <t>VBal</t>
        </is>
      </c>
      <c r="SX3" s="22" t="inlineStr">
        <is>
          <t>Prov</t>
        </is>
      </c>
      <c r="SY3" s="22" t="inlineStr">
        <is>
          <t>Fee</t>
        </is>
      </c>
      <c r="SZ3" s="22" t="inlineStr">
        <is>
          <t>Ops</t>
        </is>
      </c>
      <c r="TA3" s="22" t="inlineStr">
        <is>
          <t>Fix</t>
        </is>
      </c>
      <c r="TB3" s="22" t="inlineStr">
        <is>
          <t>Ref$</t>
        </is>
      </c>
      <c r="TC3" s="22" t="inlineStr">
        <is>
          <t>Mkt</t>
        </is>
      </c>
      <c r="TD3" s="22" t="inlineStr">
        <is>
          <t>Pft</t>
        </is>
      </c>
      <c r="TE3" s="22" t="inlineStr">
        <is>
          <t>Cash</t>
        </is>
      </c>
      <c r="TF3" s="22" t="inlineStr">
        <is>
          <t>ARPU</t>
        </is>
      </c>
      <c r="TG3" s="22" t="inlineStr">
        <is>
          <t>Chrn</t>
        </is>
      </c>
      <c r="TI3" s="22" t="inlineStr">
        <is>
          <t>Mo</t>
        </is>
      </c>
      <c r="TJ3" s="22" t="inlineStr">
        <is>
          <t>Cal</t>
        </is>
      </c>
      <c r="TK3" s="22" t="inlineStr">
        <is>
          <t>CY</t>
        </is>
      </c>
      <c r="TL3" s="22" t="inlineStr">
        <is>
          <t>Acq</t>
        </is>
      </c>
      <c r="TM3" s="22" t="inlineStr">
        <is>
          <t>Infl</t>
        </is>
      </c>
      <c r="TN3" s="22" t="inlineStr">
        <is>
          <t>ECh</t>
        </is>
      </c>
      <c r="TO3" s="22" t="inlineStr">
        <is>
          <t>Mkt</t>
        </is>
      </c>
      <c r="TP3" s="22" t="inlineStr">
        <is>
          <t>Paid</t>
        </is>
      </c>
      <c r="TQ3" s="22" t="inlineStr">
        <is>
          <t>Ref</t>
        </is>
      </c>
      <c r="TR3" s="22" t="inlineStr">
        <is>
          <t>Tot</t>
        </is>
      </c>
      <c r="TS3" s="22" t="inlineStr">
        <is>
          <t>NMo</t>
        </is>
      </c>
      <c r="TT3" s="22" t="inlineStr">
        <is>
          <t>NAn</t>
        </is>
      </c>
      <c r="TU3" s="22" t="inlineStr">
        <is>
          <t>NEsM</t>
        </is>
      </c>
      <c r="TV3" s="22" t="inlineStr">
        <is>
          <t>NPrM</t>
        </is>
      </c>
      <c r="TW3" s="22" t="inlineStr">
        <is>
          <t>NElM</t>
        </is>
      </c>
      <c r="TX3" s="22" t="inlineStr">
        <is>
          <t>NEsA</t>
        </is>
      </c>
      <c r="TY3" s="22" t="inlineStr">
        <is>
          <t>NPrA</t>
        </is>
      </c>
      <c r="TZ3" s="22" t="inlineStr">
        <is>
          <t>NElA</t>
        </is>
      </c>
      <c r="UA3" s="22" t="inlineStr">
        <is>
          <t>AEsM</t>
        </is>
      </c>
      <c r="UB3" s="22" t="inlineStr">
        <is>
          <t>APrM</t>
        </is>
      </c>
      <c r="UC3" s="22" t="inlineStr">
        <is>
          <t>AElM</t>
        </is>
      </c>
      <c r="UD3" s="22" t="inlineStr">
        <is>
          <t>AEsA</t>
        </is>
      </c>
      <c r="UE3" s="22" t="inlineStr">
        <is>
          <t>APrA</t>
        </is>
      </c>
      <c r="UF3" s="22" t="inlineStr">
        <is>
          <t>AElA</t>
        </is>
      </c>
      <c r="UG3" s="22" t="inlineStr">
        <is>
          <t>Cust</t>
        </is>
      </c>
      <c r="UH3" s="22" t="inlineStr">
        <is>
          <t>MRR</t>
        </is>
      </c>
      <c r="UI3" s="22" t="inlineStr">
        <is>
          <t>ARR</t>
        </is>
      </c>
      <c r="UJ3" s="22" t="inlineStr">
        <is>
          <t>Mo$</t>
        </is>
      </c>
      <c r="UK3" s="22" t="inlineStr">
        <is>
          <t>NwAn</t>
        </is>
      </c>
      <c r="UL3" s="22" t="inlineStr">
        <is>
          <t>Ren</t>
        </is>
      </c>
      <c r="UM3" s="22" t="inlineStr">
        <is>
          <t>Gross</t>
        </is>
      </c>
      <c r="UN3" s="22" t="inlineStr">
        <is>
          <t>R12</t>
        </is>
      </c>
      <c r="UO3" s="22" t="inlineStr">
        <is>
          <t>VAT</t>
        </is>
      </c>
      <c r="UP3" s="22" t="inlineStr">
        <is>
          <t>Net</t>
        </is>
      </c>
      <c r="UQ3" s="22" t="inlineStr">
        <is>
          <t>VAcc</t>
        </is>
      </c>
      <c r="UR3" s="22" t="inlineStr">
        <is>
          <t>VPay</t>
        </is>
      </c>
      <c r="US3" s="22" t="inlineStr">
        <is>
          <t>VBal</t>
        </is>
      </c>
      <c r="UT3" s="22" t="inlineStr">
        <is>
          <t>Prov</t>
        </is>
      </c>
      <c r="UU3" s="22" t="inlineStr">
        <is>
          <t>Fee</t>
        </is>
      </c>
      <c r="UV3" s="22" t="inlineStr">
        <is>
          <t>Ops</t>
        </is>
      </c>
      <c r="UW3" s="22" t="inlineStr">
        <is>
          <t>Fix</t>
        </is>
      </c>
      <c r="UX3" s="22" t="inlineStr">
        <is>
          <t>Ref$</t>
        </is>
      </c>
      <c r="UY3" s="22" t="inlineStr">
        <is>
          <t>Mkt</t>
        </is>
      </c>
      <c r="UZ3" s="22" t="inlineStr">
        <is>
          <t>Pft</t>
        </is>
      </c>
      <c r="VA3" s="22" t="inlineStr">
        <is>
          <t>Cash</t>
        </is>
      </c>
      <c r="VB3" s="22" t="inlineStr">
        <is>
          <t>ARPU</t>
        </is>
      </c>
      <c r="VC3" s="22" t="inlineStr">
        <is>
          <t>Chrn</t>
        </is>
      </c>
      <c r="VE3" s="22" t="inlineStr">
        <is>
          <t>Mo</t>
        </is>
      </c>
      <c r="VF3" s="22" t="inlineStr">
        <is>
          <t>Cal</t>
        </is>
      </c>
      <c r="VG3" s="22" t="inlineStr">
        <is>
          <t>CY</t>
        </is>
      </c>
      <c r="VH3" s="22" t="inlineStr">
        <is>
          <t>Acq</t>
        </is>
      </c>
      <c r="VI3" s="22" t="inlineStr">
        <is>
          <t>Infl</t>
        </is>
      </c>
      <c r="VJ3" s="22" t="inlineStr">
        <is>
          <t>ECh</t>
        </is>
      </c>
      <c r="VK3" s="22" t="inlineStr">
        <is>
          <t>Mkt</t>
        </is>
      </c>
      <c r="VL3" s="22" t="inlineStr">
        <is>
          <t>Paid</t>
        </is>
      </c>
      <c r="VM3" s="22" t="inlineStr">
        <is>
          <t>Ref</t>
        </is>
      </c>
      <c r="VN3" s="22" t="inlineStr">
        <is>
          <t>Tot</t>
        </is>
      </c>
      <c r="VO3" s="22" t="inlineStr">
        <is>
          <t>NMo</t>
        </is>
      </c>
      <c r="VP3" s="22" t="inlineStr">
        <is>
          <t>NAn</t>
        </is>
      </c>
      <c r="VQ3" s="22" t="inlineStr">
        <is>
          <t>NEsM</t>
        </is>
      </c>
      <c r="VR3" s="22" t="inlineStr">
        <is>
          <t>NPrM</t>
        </is>
      </c>
      <c r="VS3" s="22" t="inlineStr">
        <is>
          <t>NElM</t>
        </is>
      </c>
      <c r="VT3" s="22" t="inlineStr">
        <is>
          <t>NEsA</t>
        </is>
      </c>
      <c r="VU3" s="22" t="inlineStr">
        <is>
          <t>NPrA</t>
        </is>
      </c>
      <c r="VV3" s="22" t="inlineStr">
        <is>
          <t>NElA</t>
        </is>
      </c>
      <c r="VW3" s="22" t="inlineStr">
        <is>
          <t>AEsM</t>
        </is>
      </c>
      <c r="VX3" s="22" t="inlineStr">
        <is>
          <t>APrM</t>
        </is>
      </c>
      <c r="VY3" s="22" t="inlineStr">
        <is>
          <t>AElM</t>
        </is>
      </c>
      <c r="VZ3" s="22" t="inlineStr">
        <is>
          <t>AEsA</t>
        </is>
      </c>
      <c r="WA3" s="22" t="inlineStr">
        <is>
          <t>APrA</t>
        </is>
      </c>
      <c r="WB3" s="22" t="inlineStr">
        <is>
          <t>AElA</t>
        </is>
      </c>
      <c r="WC3" s="22" t="inlineStr">
        <is>
          <t>Cust</t>
        </is>
      </c>
      <c r="WD3" s="22" t="inlineStr">
        <is>
          <t>MRR</t>
        </is>
      </c>
      <c r="WE3" s="22" t="inlineStr">
        <is>
          <t>ARR</t>
        </is>
      </c>
      <c r="WF3" s="22" t="inlineStr">
        <is>
          <t>Mo$</t>
        </is>
      </c>
      <c r="WG3" s="22" t="inlineStr">
        <is>
          <t>NwAn</t>
        </is>
      </c>
      <c r="WH3" s="22" t="inlineStr">
        <is>
          <t>Ren</t>
        </is>
      </c>
      <c r="WI3" s="22" t="inlineStr">
        <is>
          <t>Gross</t>
        </is>
      </c>
      <c r="WJ3" s="22" t="inlineStr">
        <is>
          <t>R12</t>
        </is>
      </c>
      <c r="WK3" s="22" t="inlineStr">
        <is>
          <t>VAT</t>
        </is>
      </c>
      <c r="WL3" s="22" t="inlineStr">
        <is>
          <t>Net</t>
        </is>
      </c>
      <c r="WM3" s="22" t="inlineStr">
        <is>
          <t>VAcc</t>
        </is>
      </c>
      <c r="WN3" s="22" t="inlineStr">
        <is>
          <t>VPay</t>
        </is>
      </c>
      <c r="WO3" s="22" t="inlineStr">
        <is>
          <t>VBal</t>
        </is>
      </c>
      <c r="WP3" s="22" t="inlineStr">
        <is>
          <t>Prov</t>
        </is>
      </c>
      <c r="WQ3" s="22" t="inlineStr">
        <is>
          <t>Fee</t>
        </is>
      </c>
      <c r="WR3" s="22" t="inlineStr">
        <is>
          <t>Ops</t>
        </is>
      </c>
      <c r="WS3" s="22" t="inlineStr">
        <is>
          <t>Fix</t>
        </is>
      </c>
      <c r="WT3" s="22" t="inlineStr">
        <is>
          <t>Ref$</t>
        </is>
      </c>
      <c r="WU3" s="22" t="inlineStr">
        <is>
          <t>Mkt</t>
        </is>
      </c>
      <c r="WV3" s="22" t="inlineStr">
        <is>
          <t>Pft</t>
        </is>
      </c>
      <c r="WW3" s="22" t="inlineStr">
        <is>
          <t>Cash</t>
        </is>
      </c>
      <c r="WX3" s="22" t="inlineStr">
        <is>
          <t>ARPU</t>
        </is>
      </c>
      <c r="WY3" s="22" t="inlineStr">
        <is>
          <t>Chrn</t>
        </is>
      </c>
      <c r="XA3" s="22" t="inlineStr">
        <is>
          <t>Mo</t>
        </is>
      </c>
      <c r="XB3" s="22" t="inlineStr">
        <is>
          <t>Cal</t>
        </is>
      </c>
      <c r="XC3" s="22" t="inlineStr">
        <is>
          <t>CY</t>
        </is>
      </c>
      <c r="XD3" s="22" t="inlineStr">
        <is>
          <t>Acq</t>
        </is>
      </c>
      <c r="XE3" s="22" t="inlineStr">
        <is>
          <t>Infl</t>
        </is>
      </c>
      <c r="XF3" s="22" t="inlineStr">
        <is>
          <t>ECh</t>
        </is>
      </c>
      <c r="XG3" s="22" t="inlineStr">
        <is>
          <t>Mkt</t>
        </is>
      </c>
      <c r="XH3" s="22" t="inlineStr">
        <is>
          <t>Paid</t>
        </is>
      </c>
      <c r="XI3" s="22" t="inlineStr">
        <is>
          <t>Ref</t>
        </is>
      </c>
      <c r="XJ3" s="22" t="inlineStr">
        <is>
          <t>Tot</t>
        </is>
      </c>
      <c r="XK3" s="22" t="inlineStr">
        <is>
          <t>NMo</t>
        </is>
      </c>
      <c r="XL3" s="22" t="inlineStr">
        <is>
          <t>NAn</t>
        </is>
      </c>
      <c r="XM3" s="22" t="inlineStr">
        <is>
          <t>NEsM</t>
        </is>
      </c>
      <c r="XN3" s="22" t="inlineStr">
        <is>
          <t>NPrM</t>
        </is>
      </c>
      <c r="XO3" s="22" t="inlineStr">
        <is>
          <t>NElM</t>
        </is>
      </c>
      <c r="XP3" s="22" t="inlineStr">
        <is>
          <t>NEsA</t>
        </is>
      </c>
      <c r="XQ3" s="22" t="inlineStr">
        <is>
          <t>NPrA</t>
        </is>
      </c>
      <c r="XR3" s="22" t="inlineStr">
        <is>
          <t>NElA</t>
        </is>
      </c>
      <c r="XS3" s="22" t="inlineStr">
        <is>
          <t>AEsM</t>
        </is>
      </c>
      <c r="XT3" s="22" t="inlineStr">
        <is>
          <t>APrM</t>
        </is>
      </c>
      <c r="XU3" s="22" t="inlineStr">
        <is>
          <t>AElM</t>
        </is>
      </c>
      <c r="XV3" s="22" t="inlineStr">
        <is>
          <t>AEsA</t>
        </is>
      </c>
      <c r="XW3" s="22" t="inlineStr">
        <is>
          <t>APrA</t>
        </is>
      </c>
      <c r="XX3" s="22" t="inlineStr">
        <is>
          <t>AElA</t>
        </is>
      </c>
      <c r="XY3" s="22" t="inlineStr">
        <is>
          <t>Cust</t>
        </is>
      </c>
      <c r="XZ3" s="22" t="inlineStr">
        <is>
          <t>MRR</t>
        </is>
      </c>
      <c r="YA3" s="22" t="inlineStr">
        <is>
          <t>ARR</t>
        </is>
      </c>
      <c r="YB3" s="22" t="inlineStr">
        <is>
          <t>Mo$</t>
        </is>
      </c>
      <c r="YC3" s="22" t="inlineStr">
        <is>
          <t>NwAn</t>
        </is>
      </c>
      <c r="YD3" s="22" t="inlineStr">
        <is>
          <t>Ren</t>
        </is>
      </c>
      <c r="YE3" s="22" t="inlineStr">
        <is>
          <t>Gross</t>
        </is>
      </c>
      <c r="YF3" s="22" t="inlineStr">
        <is>
          <t>R12</t>
        </is>
      </c>
      <c r="YG3" s="22" t="inlineStr">
        <is>
          <t>VAT</t>
        </is>
      </c>
      <c r="YH3" s="22" t="inlineStr">
        <is>
          <t>Net</t>
        </is>
      </c>
      <c r="YI3" s="22" t="inlineStr">
        <is>
          <t>VAcc</t>
        </is>
      </c>
      <c r="YJ3" s="22" t="inlineStr">
        <is>
          <t>VPay</t>
        </is>
      </c>
      <c r="YK3" s="22" t="inlineStr">
        <is>
          <t>VBal</t>
        </is>
      </c>
      <c r="YL3" s="22" t="inlineStr">
        <is>
          <t>Prov</t>
        </is>
      </c>
      <c r="YM3" s="22" t="inlineStr">
        <is>
          <t>Fee</t>
        </is>
      </c>
      <c r="YN3" s="22" t="inlineStr">
        <is>
          <t>Ops</t>
        </is>
      </c>
      <c r="YO3" s="22" t="inlineStr">
        <is>
          <t>Fix</t>
        </is>
      </c>
      <c r="YP3" s="22" t="inlineStr">
        <is>
          <t>Ref$</t>
        </is>
      </c>
      <c r="YQ3" s="22" t="inlineStr">
        <is>
          <t>Mkt</t>
        </is>
      </c>
      <c r="YR3" s="22" t="inlineStr">
        <is>
          <t>Pft</t>
        </is>
      </c>
      <c r="YS3" s="22" t="inlineStr">
        <is>
          <t>Cash</t>
        </is>
      </c>
      <c r="YT3" s="22" t="inlineStr">
        <is>
          <t>ARPU</t>
        </is>
      </c>
      <c r="YU3" s="22" t="inlineStr">
        <is>
          <t>Chrn</t>
        </is>
      </c>
      <c r="YW3" s="22" t="inlineStr">
        <is>
          <t>Mo</t>
        </is>
      </c>
      <c r="YX3" s="22" t="inlineStr">
        <is>
          <t>Cal</t>
        </is>
      </c>
      <c r="YY3" s="22" t="inlineStr">
        <is>
          <t>CY</t>
        </is>
      </c>
      <c r="YZ3" s="22" t="inlineStr">
        <is>
          <t>Acq</t>
        </is>
      </c>
      <c r="ZA3" s="22" t="inlineStr">
        <is>
          <t>Infl</t>
        </is>
      </c>
      <c r="ZB3" s="22" t="inlineStr">
        <is>
          <t>ECh</t>
        </is>
      </c>
      <c r="ZC3" s="22" t="inlineStr">
        <is>
          <t>Mkt</t>
        </is>
      </c>
      <c r="ZD3" s="22" t="inlineStr">
        <is>
          <t>Paid</t>
        </is>
      </c>
      <c r="ZE3" s="22" t="inlineStr">
        <is>
          <t>Ref</t>
        </is>
      </c>
      <c r="ZF3" s="22" t="inlineStr">
        <is>
          <t>Tot</t>
        </is>
      </c>
      <c r="ZG3" s="22" t="inlineStr">
        <is>
          <t>NMo</t>
        </is>
      </c>
      <c r="ZH3" s="22" t="inlineStr">
        <is>
          <t>NAn</t>
        </is>
      </c>
      <c r="ZI3" s="22" t="inlineStr">
        <is>
          <t>NEsM</t>
        </is>
      </c>
      <c r="ZJ3" s="22" t="inlineStr">
        <is>
          <t>NPrM</t>
        </is>
      </c>
      <c r="ZK3" s="22" t="inlineStr">
        <is>
          <t>NElM</t>
        </is>
      </c>
      <c r="ZL3" s="22" t="inlineStr">
        <is>
          <t>NEsA</t>
        </is>
      </c>
      <c r="ZM3" s="22" t="inlineStr">
        <is>
          <t>NPrA</t>
        </is>
      </c>
      <c r="ZN3" s="22" t="inlineStr">
        <is>
          <t>NElA</t>
        </is>
      </c>
      <c r="ZO3" s="22" t="inlineStr">
        <is>
          <t>AEsM</t>
        </is>
      </c>
      <c r="ZP3" s="22" t="inlineStr">
        <is>
          <t>APrM</t>
        </is>
      </c>
      <c r="ZQ3" s="22" t="inlineStr">
        <is>
          <t>AElM</t>
        </is>
      </c>
      <c r="ZR3" s="22" t="inlineStr">
        <is>
          <t>AEsA</t>
        </is>
      </c>
      <c r="ZS3" s="22" t="inlineStr">
        <is>
          <t>APrA</t>
        </is>
      </c>
      <c r="ZT3" s="22" t="inlineStr">
        <is>
          <t>AElA</t>
        </is>
      </c>
      <c r="ZU3" s="22" t="inlineStr">
        <is>
          <t>Cust</t>
        </is>
      </c>
      <c r="ZV3" s="22" t="inlineStr">
        <is>
          <t>MRR</t>
        </is>
      </c>
      <c r="ZW3" s="22" t="inlineStr">
        <is>
          <t>ARR</t>
        </is>
      </c>
      <c r="ZX3" s="22" t="inlineStr">
        <is>
          <t>Mo$</t>
        </is>
      </c>
      <c r="ZY3" s="22" t="inlineStr">
        <is>
          <t>NwAn</t>
        </is>
      </c>
      <c r="ZZ3" s="22" t="inlineStr">
        <is>
          <t>Ren</t>
        </is>
      </c>
      <c r="AAA3" s="22" t="inlineStr">
        <is>
          <t>Gross</t>
        </is>
      </c>
      <c r="AAB3" s="22" t="inlineStr">
        <is>
          <t>R12</t>
        </is>
      </c>
      <c r="AAC3" s="22" t="inlineStr">
        <is>
          <t>VAT</t>
        </is>
      </c>
      <c r="AAD3" s="22" t="inlineStr">
        <is>
          <t>Net</t>
        </is>
      </c>
      <c r="AAE3" s="22" t="inlineStr">
        <is>
          <t>VAcc</t>
        </is>
      </c>
      <c r="AAF3" s="22" t="inlineStr">
        <is>
          <t>VPay</t>
        </is>
      </c>
      <c r="AAG3" s="22" t="inlineStr">
        <is>
          <t>VBal</t>
        </is>
      </c>
      <c r="AAH3" s="22" t="inlineStr">
        <is>
          <t>Prov</t>
        </is>
      </c>
      <c r="AAI3" s="22" t="inlineStr">
        <is>
          <t>Fee</t>
        </is>
      </c>
      <c r="AAJ3" s="22" t="inlineStr">
        <is>
          <t>Ops</t>
        </is>
      </c>
      <c r="AAK3" s="22" t="inlineStr">
        <is>
          <t>Fix</t>
        </is>
      </c>
      <c r="AAL3" s="22" t="inlineStr">
        <is>
          <t>Ref$</t>
        </is>
      </c>
      <c r="AAM3" s="22" t="inlineStr">
        <is>
          <t>Mkt</t>
        </is>
      </c>
      <c r="AAN3" s="22" t="inlineStr">
        <is>
          <t>Pft</t>
        </is>
      </c>
      <c r="AAO3" s="22" t="inlineStr">
        <is>
          <t>Cash</t>
        </is>
      </c>
      <c r="AAP3" s="22" t="inlineStr">
        <is>
          <t>ARPU</t>
        </is>
      </c>
      <c r="AAQ3" s="22" t="inlineStr">
        <is>
          <t>Chrn</t>
        </is>
      </c>
      <c r="AAS3" s="22" t="inlineStr">
        <is>
          <t>Mo</t>
        </is>
      </c>
      <c r="AAT3" s="22" t="inlineStr">
        <is>
          <t>Cal</t>
        </is>
      </c>
      <c r="AAU3" s="22" t="inlineStr">
        <is>
          <t>CY</t>
        </is>
      </c>
      <c r="AAV3" s="22" t="inlineStr">
        <is>
          <t>Acq</t>
        </is>
      </c>
      <c r="AAW3" s="22" t="inlineStr">
        <is>
          <t>Infl</t>
        </is>
      </c>
      <c r="AAX3" s="22" t="inlineStr">
        <is>
          <t>ECh</t>
        </is>
      </c>
      <c r="AAY3" s="22" t="inlineStr">
        <is>
          <t>Mkt</t>
        </is>
      </c>
      <c r="AAZ3" s="22" t="inlineStr">
        <is>
          <t>Paid</t>
        </is>
      </c>
      <c r="ABA3" s="22" t="inlineStr">
        <is>
          <t>Ref</t>
        </is>
      </c>
      <c r="ABB3" s="22" t="inlineStr">
        <is>
          <t>Tot</t>
        </is>
      </c>
      <c r="ABC3" s="22" t="inlineStr">
        <is>
          <t>NMo</t>
        </is>
      </c>
      <c r="ABD3" s="22" t="inlineStr">
        <is>
          <t>NAn</t>
        </is>
      </c>
      <c r="ABE3" s="22" t="inlineStr">
        <is>
          <t>NEsM</t>
        </is>
      </c>
      <c r="ABF3" s="22" t="inlineStr">
        <is>
          <t>NPrM</t>
        </is>
      </c>
      <c r="ABG3" s="22" t="inlineStr">
        <is>
          <t>NElM</t>
        </is>
      </c>
      <c r="ABH3" s="22" t="inlineStr">
        <is>
          <t>NEsA</t>
        </is>
      </c>
      <c r="ABI3" s="22" t="inlineStr">
        <is>
          <t>NPrA</t>
        </is>
      </c>
      <c r="ABJ3" s="22" t="inlineStr">
        <is>
          <t>NElA</t>
        </is>
      </c>
      <c r="ABK3" s="22" t="inlineStr">
        <is>
          <t>AEsM</t>
        </is>
      </c>
      <c r="ABL3" s="22" t="inlineStr">
        <is>
          <t>APrM</t>
        </is>
      </c>
      <c r="ABM3" s="22" t="inlineStr">
        <is>
          <t>AElM</t>
        </is>
      </c>
      <c r="ABN3" s="22" t="inlineStr">
        <is>
          <t>AEsA</t>
        </is>
      </c>
      <c r="ABO3" s="22" t="inlineStr">
        <is>
          <t>APrA</t>
        </is>
      </c>
      <c r="ABP3" s="22" t="inlineStr">
        <is>
          <t>AElA</t>
        </is>
      </c>
      <c r="ABQ3" s="22" t="inlineStr">
        <is>
          <t>Cust</t>
        </is>
      </c>
      <c r="ABR3" s="22" t="inlineStr">
        <is>
          <t>MRR</t>
        </is>
      </c>
      <c r="ABS3" s="22" t="inlineStr">
        <is>
          <t>ARR</t>
        </is>
      </c>
      <c r="ABT3" s="22" t="inlineStr">
        <is>
          <t>Mo$</t>
        </is>
      </c>
      <c r="ABU3" s="22" t="inlineStr">
        <is>
          <t>NwAn</t>
        </is>
      </c>
      <c r="ABV3" s="22" t="inlineStr">
        <is>
          <t>Ren</t>
        </is>
      </c>
      <c r="ABW3" s="22" t="inlineStr">
        <is>
          <t>Gross</t>
        </is>
      </c>
      <c r="ABX3" s="22" t="inlineStr">
        <is>
          <t>R12</t>
        </is>
      </c>
      <c r="ABY3" s="22" t="inlineStr">
        <is>
          <t>VAT</t>
        </is>
      </c>
      <c r="ABZ3" s="22" t="inlineStr">
        <is>
          <t>Net</t>
        </is>
      </c>
      <c r="ACA3" s="22" t="inlineStr">
        <is>
          <t>VAcc</t>
        </is>
      </c>
      <c r="ACB3" s="22" t="inlineStr">
        <is>
          <t>VPay</t>
        </is>
      </c>
      <c r="ACC3" s="22" t="inlineStr">
        <is>
          <t>VBal</t>
        </is>
      </c>
      <c r="ACD3" s="22" t="inlineStr">
        <is>
          <t>Prov</t>
        </is>
      </c>
      <c r="ACE3" s="22" t="inlineStr">
        <is>
          <t>Fee</t>
        </is>
      </c>
      <c r="ACF3" s="22" t="inlineStr">
        <is>
          <t>Ops</t>
        </is>
      </c>
      <c r="ACG3" s="22" t="inlineStr">
        <is>
          <t>Fix</t>
        </is>
      </c>
      <c r="ACH3" s="22" t="inlineStr">
        <is>
          <t>Ref$</t>
        </is>
      </c>
      <c r="ACI3" s="22" t="inlineStr">
        <is>
          <t>Mkt</t>
        </is>
      </c>
      <c r="ACJ3" s="22" t="inlineStr">
        <is>
          <t>Pft</t>
        </is>
      </c>
      <c r="ACK3" s="22" t="inlineStr">
        <is>
          <t>Cash</t>
        </is>
      </c>
      <c r="ACL3" s="22" t="inlineStr">
        <is>
          <t>ARPU</t>
        </is>
      </c>
      <c r="ACM3" s="22" t="inlineStr">
        <is>
          <t>Chrn</t>
        </is>
      </c>
      <c r="ACO3" s="22" t="inlineStr">
        <is>
          <t>Mo</t>
        </is>
      </c>
      <c r="ACP3" s="22" t="inlineStr">
        <is>
          <t>Cal</t>
        </is>
      </c>
      <c r="ACQ3" s="22" t="inlineStr">
        <is>
          <t>CY</t>
        </is>
      </c>
      <c r="ACR3" s="22" t="inlineStr">
        <is>
          <t>Acq</t>
        </is>
      </c>
      <c r="ACS3" s="22" t="inlineStr">
        <is>
          <t>Infl</t>
        </is>
      </c>
      <c r="ACT3" s="22" t="inlineStr">
        <is>
          <t>ECh</t>
        </is>
      </c>
      <c r="ACU3" s="22" t="inlineStr">
        <is>
          <t>Mkt</t>
        </is>
      </c>
      <c r="ACV3" s="22" t="inlineStr">
        <is>
          <t>Paid</t>
        </is>
      </c>
      <c r="ACW3" s="22" t="inlineStr">
        <is>
          <t>Ref</t>
        </is>
      </c>
      <c r="ACX3" s="22" t="inlineStr">
        <is>
          <t>Tot</t>
        </is>
      </c>
      <c r="ACY3" s="22" t="inlineStr">
        <is>
          <t>NMo</t>
        </is>
      </c>
      <c r="ACZ3" s="22" t="inlineStr">
        <is>
          <t>NAn</t>
        </is>
      </c>
      <c r="ADA3" s="22" t="inlineStr">
        <is>
          <t>NEsM</t>
        </is>
      </c>
      <c r="ADB3" s="22" t="inlineStr">
        <is>
          <t>NPrM</t>
        </is>
      </c>
      <c r="ADC3" s="22" t="inlineStr">
        <is>
          <t>NElM</t>
        </is>
      </c>
      <c r="ADD3" s="22" t="inlineStr">
        <is>
          <t>NEsA</t>
        </is>
      </c>
      <c r="ADE3" s="22" t="inlineStr">
        <is>
          <t>NPrA</t>
        </is>
      </c>
      <c r="ADF3" s="22" t="inlineStr">
        <is>
          <t>NElA</t>
        </is>
      </c>
      <c r="ADG3" s="22" t="inlineStr">
        <is>
          <t>AEsM</t>
        </is>
      </c>
      <c r="ADH3" s="22" t="inlineStr">
        <is>
          <t>APrM</t>
        </is>
      </c>
      <c r="ADI3" s="22" t="inlineStr">
        <is>
          <t>AElM</t>
        </is>
      </c>
      <c r="ADJ3" s="22" t="inlineStr">
        <is>
          <t>AEsA</t>
        </is>
      </c>
      <c r="ADK3" s="22" t="inlineStr">
        <is>
          <t>APrA</t>
        </is>
      </c>
      <c r="ADL3" s="22" t="inlineStr">
        <is>
          <t>AElA</t>
        </is>
      </c>
      <c r="ADM3" s="22" t="inlineStr">
        <is>
          <t>Cust</t>
        </is>
      </c>
      <c r="ADN3" s="22" t="inlineStr">
        <is>
          <t>MRR</t>
        </is>
      </c>
      <c r="ADO3" s="22" t="inlineStr">
        <is>
          <t>ARR</t>
        </is>
      </c>
      <c r="ADP3" s="22" t="inlineStr">
        <is>
          <t>Mo$</t>
        </is>
      </c>
      <c r="ADQ3" s="22" t="inlineStr">
        <is>
          <t>NwAn</t>
        </is>
      </c>
      <c r="ADR3" s="22" t="inlineStr">
        <is>
          <t>Ren</t>
        </is>
      </c>
      <c r="ADS3" s="22" t="inlineStr">
        <is>
          <t>Gross</t>
        </is>
      </c>
      <c r="ADT3" s="22" t="inlineStr">
        <is>
          <t>R12</t>
        </is>
      </c>
      <c r="ADU3" s="22" t="inlineStr">
        <is>
          <t>VAT</t>
        </is>
      </c>
      <c r="ADV3" s="22" t="inlineStr">
        <is>
          <t>Net</t>
        </is>
      </c>
      <c r="ADW3" s="22" t="inlineStr">
        <is>
          <t>VAcc</t>
        </is>
      </c>
      <c r="ADX3" s="22" t="inlineStr">
        <is>
          <t>VPay</t>
        </is>
      </c>
      <c r="ADY3" s="22" t="inlineStr">
        <is>
          <t>VBal</t>
        </is>
      </c>
      <c r="ADZ3" s="22" t="inlineStr">
        <is>
          <t>Prov</t>
        </is>
      </c>
      <c r="AEA3" s="22" t="inlineStr">
        <is>
          <t>Fee</t>
        </is>
      </c>
      <c r="AEB3" s="22" t="inlineStr">
        <is>
          <t>Ops</t>
        </is>
      </c>
      <c r="AEC3" s="22" t="inlineStr">
        <is>
          <t>Fix</t>
        </is>
      </c>
      <c r="AED3" s="22" t="inlineStr">
        <is>
          <t>Ref$</t>
        </is>
      </c>
      <c r="AEE3" s="22" t="inlineStr">
        <is>
          <t>Mkt</t>
        </is>
      </c>
      <c r="AEF3" s="22" t="inlineStr">
        <is>
          <t>Pft</t>
        </is>
      </c>
      <c r="AEG3" s="22" t="inlineStr">
        <is>
          <t>Cash</t>
        </is>
      </c>
      <c r="AEH3" s="22" t="inlineStr">
        <is>
          <t>ARPU</t>
        </is>
      </c>
      <c r="AEI3" s="22" t="inlineStr">
        <is>
          <t>Chrn</t>
        </is>
      </c>
      <c r="AEK3" s="22" t="inlineStr">
        <is>
          <t>Mo</t>
        </is>
      </c>
      <c r="AEL3" s="22" t="inlineStr">
        <is>
          <t>Cal</t>
        </is>
      </c>
      <c r="AEM3" s="22" t="inlineStr">
        <is>
          <t>CY</t>
        </is>
      </c>
      <c r="AEN3" s="22" t="inlineStr">
        <is>
          <t>Acq</t>
        </is>
      </c>
      <c r="AEO3" s="22" t="inlineStr">
        <is>
          <t>Infl</t>
        </is>
      </c>
      <c r="AEP3" s="22" t="inlineStr">
        <is>
          <t>ECh</t>
        </is>
      </c>
      <c r="AEQ3" s="22" t="inlineStr">
        <is>
          <t>Mkt</t>
        </is>
      </c>
      <c r="AER3" s="22" t="inlineStr">
        <is>
          <t>Paid</t>
        </is>
      </c>
      <c r="AES3" s="22" t="inlineStr">
        <is>
          <t>Ref</t>
        </is>
      </c>
      <c r="AET3" s="22" t="inlineStr">
        <is>
          <t>Tot</t>
        </is>
      </c>
      <c r="AEU3" s="22" t="inlineStr">
        <is>
          <t>NMo</t>
        </is>
      </c>
      <c r="AEV3" s="22" t="inlineStr">
        <is>
          <t>NAn</t>
        </is>
      </c>
      <c r="AEW3" s="22" t="inlineStr">
        <is>
          <t>NEsM</t>
        </is>
      </c>
      <c r="AEX3" s="22" t="inlineStr">
        <is>
          <t>NPrM</t>
        </is>
      </c>
      <c r="AEY3" s="22" t="inlineStr">
        <is>
          <t>NElM</t>
        </is>
      </c>
      <c r="AEZ3" s="22" t="inlineStr">
        <is>
          <t>NEsA</t>
        </is>
      </c>
      <c r="AFA3" s="22" t="inlineStr">
        <is>
          <t>NPrA</t>
        </is>
      </c>
      <c r="AFB3" s="22" t="inlineStr">
        <is>
          <t>NElA</t>
        </is>
      </c>
      <c r="AFC3" s="22" t="inlineStr">
        <is>
          <t>AEsM</t>
        </is>
      </c>
      <c r="AFD3" s="22" t="inlineStr">
        <is>
          <t>APrM</t>
        </is>
      </c>
      <c r="AFE3" s="22" t="inlineStr">
        <is>
          <t>AElM</t>
        </is>
      </c>
      <c r="AFF3" s="22" t="inlineStr">
        <is>
          <t>AEsA</t>
        </is>
      </c>
      <c r="AFG3" s="22" t="inlineStr">
        <is>
          <t>APrA</t>
        </is>
      </c>
      <c r="AFH3" s="22" t="inlineStr">
        <is>
          <t>AElA</t>
        </is>
      </c>
      <c r="AFI3" s="22" t="inlineStr">
        <is>
          <t>Cust</t>
        </is>
      </c>
      <c r="AFJ3" s="22" t="inlineStr">
        <is>
          <t>MRR</t>
        </is>
      </c>
      <c r="AFK3" s="22" t="inlineStr">
        <is>
          <t>ARR</t>
        </is>
      </c>
      <c r="AFL3" s="22" t="inlineStr">
        <is>
          <t>Mo$</t>
        </is>
      </c>
      <c r="AFM3" s="22" t="inlineStr">
        <is>
          <t>NwAn</t>
        </is>
      </c>
      <c r="AFN3" s="22" t="inlineStr">
        <is>
          <t>Ren</t>
        </is>
      </c>
      <c r="AFO3" s="22" t="inlineStr">
        <is>
          <t>Gross</t>
        </is>
      </c>
      <c r="AFP3" s="22" t="inlineStr">
        <is>
          <t>R12</t>
        </is>
      </c>
      <c r="AFQ3" s="22" t="inlineStr">
        <is>
          <t>VAT</t>
        </is>
      </c>
      <c r="AFR3" s="22" t="inlineStr">
        <is>
          <t>Net</t>
        </is>
      </c>
      <c r="AFS3" s="22" t="inlineStr">
        <is>
          <t>VAcc</t>
        </is>
      </c>
      <c r="AFT3" s="22" t="inlineStr">
        <is>
          <t>VPay</t>
        </is>
      </c>
      <c r="AFU3" s="22" t="inlineStr">
        <is>
          <t>VBal</t>
        </is>
      </c>
      <c r="AFV3" s="22" t="inlineStr">
        <is>
          <t>Prov</t>
        </is>
      </c>
      <c r="AFW3" s="22" t="inlineStr">
        <is>
          <t>Fee</t>
        </is>
      </c>
      <c r="AFX3" s="22" t="inlineStr">
        <is>
          <t>Ops</t>
        </is>
      </c>
      <c r="AFY3" s="22" t="inlineStr">
        <is>
          <t>Fix</t>
        </is>
      </c>
      <c r="AFZ3" s="22" t="inlineStr">
        <is>
          <t>Ref$</t>
        </is>
      </c>
      <c r="AGA3" s="22" t="inlineStr">
        <is>
          <t>Mkt</t>
        </is>
      </c>
      <c r="AGB3" s="22" t="inlineStr">
        <is>
          <t>Pft</t>
        </is>
      </c>
      <c r="AGC3" s="22" t="inlineStr">
        <is>
          <t>Cash</t>
        </is>
      </c>
      <c r="AGD3" s="22" t="inlineStr">
        <is>
          <t>ARPU</t>
        </is>
      </c>
      <c r="AGE3" s="22" t="inlineStr">
        <is>
          <t>Chrn</t>
        </is>
      </c>
      <c r="AGG3" s="22" t="inlineStr">
        <is>
          <t>Mo</t>
        </is>
      </c>
      <c r="AGH3" s="22" t="inlineStr">
        <is>
          <t>Cal</t>
        </is>
      </c>
      <c r="AGI3" s="22" t="inlineStr">
        <is>
          <t>CY</t>
        </is>
      </c>
      <c r="AGJ3" s="22" t="inlineStr">
        <is>
          <t>Acq</t>
        </is>
      </c>
      <c r="AGK3" s="22" t="inlineStr">
        <is>
          <t>Infl</t>
        </is>
      </c>
      <c r="AGL3" s="22" t="inlineStr">
        <is>
          <t>ECh</t>
        </is>
      </c>
      <c r="AGM3" s="22" t="inlineStr">
        <is>
          <t>Mkt</t>
        </is>
      </c>
      <c r="AGN3" s="22" t="inlineStr">
        <is>
          <t>Paid</t>
        </is>
      </c>
      <c r="AGO3" s="22" t="inlineStr">
        <is>
          <t>Ref</t>
        </is>
      </c>
      <c r="AGP3" s="22" t="inlineStr">
        <is>
          <t>Tot</t>
        </is>
      </c>
      <c r="AGQ3" s="22" t="inlineStr">
        <is>
          <t>NMo</t>
        </is>
      </c>
      <c r="AGR3" s="22" t="inlineStr">
        <is>
          <t>NAn</t>
        </is>
      </c>
      <c r="AGS3" s="22" t="inlineStr">
        <is>
          <t>NEsM</t>
        </is>
      </c>
      <c r="AGT3" s="22" t="inlineStr">
        <is>
          <t>NPrM</t>
        </is>
      </c>
      <c r="AGU3" s="22" t="inlineStr">
        <is>
          <t>NElM</t>
        </is>
      </c>
      <c r="AGV3" s="22" t="inlineStr">
        <is>
          <t>NEsA</t>
        </is>
      </c>
      <c r="AGW3" s="22" t="inlineStr">
        <is>
          <t>NPrA</t>
        </is>
      </c>
      <c r="AGX3" s="22" t="inlineStr">
        <is>
          <t>NElA</t>
        </is>
      </c>
      <c r="AGY3" s="22" t="inlineStr">
        <is>
          <t>AEsM</t>
        </is>
      </c>
      <c r="AGZ3" s="22" t="inlineStr">
        <is>
          <t>APrM</t>
        </is>
      </c>
      <c r="AHA3" s="22" t="inlineStr">
        <is>
          <t>AElM</t>
        </is>
      </c>
      <c r="AHB3" s="22" t="inlineStr">
        <is>
          <t>AEsA</t>
        </is>
      </c>
      <c r="AHC3" s="22" t="inlineStr">
        <is>
          <t>APrA</t>
        </is>
      </c>
      <c r="AHD3" s="22" t="inlineStr">
        <is>
          <t>AElA</t>
        </is>
      </c>
      <c r="AHE3" s="22" t="inlineStr">
        <is>
          <t>Cust</t>
        </is>
      </c>
      <c r="AHF3" s="22" t="inlineStr">
        <is>
          <t>MRR</t>
        </is>
      </c>
      <c r="AHG3" s="22" t="inlineStr">
        <is>
          <t>ARR</t>
        </is>
      </c>
      <c r="AHH3" s="22" t="inlineStr">
        <is>
          <t>Mo$</t>
        </is>
      </c>
      <c r="AHI3" s="22" t="inlineStr">
        <is>
          <t>NwAn</t>
        </is>
      </c>
      <c r="AHJ3" s="22" t="inlineStr">
        <is>
          <t>Ren</t>
        </is>
      </c>
      <c r="AHK3" s="22" t="inlineStr">
        <is>
          <t>Gross</t>
        </is>
      </c>
      <c r="AHL3" s="22" t="inlineStr">
        <is>
          <t>R12</t>
        </is>
      </c>
      <c r="AHM3" s="22" t="inlineStr">
        <is>
          <t>VAT</t>
        </is>
      </c>
      <c r="AHN3" s="22" t="inlineStr">
        <is>
          <t>Net</t>
        </is>
      </c>
      <c r="AHO3" s="22" t="inlineStr">
        <is>
          <t>VAcc</t>
        </is>
      </c>
      <c r="AHP3" s="22" t="inlineStr">
        <is>
          <t>VPay</t>
        </is>
      </c>
      <c r="AHQ3" s="22" t="inlineStr">
        <is>
          <t>VBal</t>
        </is>
      </c>
      <c r="AHR3" s="22" t="inlineStr">
        <is>
          <t>Prov</t>
        </is>
      </c>
      <c r="AHS3" s="22" t="inlineStr">
        <is>
          <t>Fee</t>
        </is>
      </c>
      <c r="AHT3" s="22" t="inlineStr">
        <is>
          <t>Ops</t>
        </is>
      </c>
      <c r="AHU3" s="22" t="inlineStr">
        <is>
          <t>Fix</t>
        </is>
      </c>
      <c r="AHV3" s="22" t="inlineStr">
        <is>
          <t>Ref$</t>
        </is>
      </c>
      <c r="AHW3" s="22" t="inlineStr">
        <is>
          <t>Mkt</t>
        </is>
      </c>
      <c r="AHX3" s="22" t="inlineStr">
        <is>
          <t>Pft</t>
        </is>
      </c>
      <c r="AHY3" s="22" t="inlineStr">
        <is>
          <t>Cash</t>
        </is>
      </c>
      <c r="AHZ3" s="22" t="inlineStr">
        <is>
          <t>ARPU</t>
        </is>
      </c>
      <c r="AIA3" s="22" t="inlineStr">
        <is>
          <t>Chrn</t>
        </is>
      </c>
      <c r="AIC3" s="22" t="inlineStr">
        <is>
          <t>Mo</t>
        </is>
      </c>
      <c r="AID3" s="22" t="inlineStr">
        <is>
          <t>Cal</t>
        </is>
      </c>
      <c r="AIE3" s="22" t="inlineStr">
        <is>
          <t>CY</t>
        </is>
      </c>
      <c r="AIF3" s="22" t="inlineStr">
        <is>
          <t>Acq</t>
        </is>
      </c>
      <c r="AIG3" s="22" t="inlineStr">
        <is>
          <t>Infl</t>
        </is>
      </c>
      <c r="AIH3" s="22" t="inlineStr">
        <is>
          <t>ECh</t>
        </is>
      </c>
      <c r="AII3" s="22" t="inlineStr">
        <is>
          <t>Mkt</t>
        </is>
      </c>
      <c r="AIJ3" s="22" t="inlineStr">
        <is>
          <t>Paid</t>
        </is>
      </c>
      <c r="AIK3" s="22" t="inlineStr">
        <is>
          <t>Ref</t>
        </is>
      </c>
      <c r="AIL3" s="22" t="inlineStr">
        <is>
          <t>Tot</t>
        </is>
      </c>
      <c r="AIM3" s="22" t="inlineStr">
        <is>
          <t>NMo</t>
        </is>
      </c>
      <c r="AIN3" s="22" t="inlineStr">
        <is>
          <t>NAn</t>
        </is>
      </c>
      <c r="AIO3" s="22" t="inlineStr">
        <is>
          <t>NEsM</t>
        </is>
      </c>
      <c r="AIP3" s="22" t="inlineStr">
        <is>
          <t>NPrM</t>
        </is>
      </c>
      <c r="AIQ3" s="22" t="inlineStr">
        <is>
          <t>NElM</t>
        </is>
      </c>
      <c r="AIR3" s="22" t="inlineStr">
        <is>
          <t>NEsA</t>
        </is>
      </c>
      <c r="AIS3" s="22" t="inlineStr">
        <is>
          <t>NPrA</t>
        </is>
      </c>
      <c r="AIT3" s="22" t="inlineStr">
        <is>
          <t>NElA</t>
        </is>
      </c>
      <c r="AIU3" s="22" t="inlineStr">
        <is>
          <t>AEsM</t>
        </is>
      </c>
      <c r="AIV3" s="22" t="inlineStr">
        <is>
          <t>APrM</t>
        </is>
      </c>
      <c r="AIW3" s="22" t="inlineStr">
        <is>
          <t>AElM</t>
        </is>
      </c>
      <c r="AIX3" s="22" t="inlineStr">
        <is>
          <t>AEsA</t>
        </is>
      </c>
      <c r="AIY3" s="22" t="inlineStr">
        <is>
          <t>APrA</t>
        </is>
      </c>
      <c r="AIZ3" s="22" t="inlineStr">
        <is>
          <t>AElA</t>
        </is>
      </c>
      <c r="AJA3" s="22" t="inlineStr">
        <is>
          <t>Cust</t>
        </is>
      </c>
      <c r="AJB3" s="22" t="inlineStr">
        <is>
          <t>MRR</t>
        </is>
      </c>
      <c r="AJC3" s="22" t="inlineStr">
        <is>
          <t>ARR</t>
        </is>
      </c>
      <c r="AJD3" s="22" t="inlineStr">
        <is>
          <t>Mo$</t>
        </is>
      </c>
      <c r="AJE3" s="22" t="inlineStr">
        <is>
          <t>NwAn</t>
        </is>
      </c>
      <c r="AJF3" s="22" t="inlineStr">
        <is>
          <t>Ren</t>
        </is>
      </c>
      <c r="AJG3" s="22" t="inlineStr">
        <is>
          <t>Gross</t>
        </is>
      </c>
      <c r="AJH3" s="22" t="inlineStr">
        <is>
          <t>R12</t>
        </is>
      </c>
      <c r="AJI3" s="22" t="inlineStr">
        <is>
          <t>VAT</t>
        </is>
      </c>
      <c r="AJJ3" s="22" t="inlineStr">
        <is>
          <t>Net</t>
        </is>
      </c>
      <c r="AJK3" s="22" t="inlineStr">
        <is>
          <t>VAcc</t>
        </is>
      </c>
      <c r="AJL3" s="22" t="inlineStr">
        <is>
          <t>VPay</t>
        </is>
      </c>
      <c r="AJM3" s="22" t="inlineStr">
        <is>
          <t>VBal</t>
        </is>
      </c>
      <c r="AJN3" s="22" t="inlineStr">
        <is>
          <t>Prov</t>
        </is>
      </c>
      <c r="AJO3" s="22" t="inlineStr">
        <is>
          <t>Fee</t>
        </is>
      </c>
      <c r="AJP3" s="22" t="inlineStr">
        <is>
          <t>Ops</t>
        </is>
      </c>
      <c r="AJQ3" s="22" t="inlineStr">
        <is>
          <t>Fix</t>
        </is>
      </c>
      <c r="AJR3" s="22" t="inlineStr">
        <is>
          <t>Ref$</t>
        </is>
      </c>
      <c r="AJS3" s="22" t="inlineStr">
        <is>
          <t>Mkt</t>
        </is>
      </c>
      <c r="AJT3" s="22" t="inlineStr">
        <is>
          <t>Pft</t>
        </is>
      </c>
      <c r="AJU3" s="22" t="inlineStr">
        <is>
          <t>Cash</t>
        </is>
      </c>
      <c r="AJV3" s="22" t="inlineStr">
        <is>
          <t>ARPU</t>
        </is>
      </c>
      <c r="AJW3" s="22" t="inlineStr">
        <is>
          <t>Chrn</t>
        </is>
      </c>
      <c r="AJY3" s="22" t="inlineStr">
        <is>
          <t>Mo</t>
        </is>
      </c>
      <c r="AJZ3" s="22" t="inlineStr">
        <is>
          <t>Cal</t>
        </is>
      </c>
      <c r="AKA3" s="22" t="inlineStr">
        <is>
          <t>CY</t>
        </is>
      </c>
      <c r="AKB3" s="22" t="inlineStr">
        <is>
          <t>Acq</t>
        </is>
      </c>
      <c r="AKC3" s="22" t="inlineStr">
        <is>
          <t>Infl</t>
        </is>
      </c>
      <c r="AKD3" s="22" t="inlineStr">
        <is>
          <t>ECh</t>
        </is>
      </c>
      <c r="AKE3" s="22" t="inlineStr">
        <is>
          <t>Mkt</t>
        </is>
      </c>
      <c r="AKF3" s="22" t="inlineStr">
        <is>
          <t>Paid</t>
        </is>
      </c>
      <c r="AKG3" s="22" t="inlineStr">
        <is>
          <t>Ref</t>
        </is>
      </c>
      <c r="AKH3" s="22" t="inlineStr">
        <is>
          <t>Tot</t>
        </is>
      </c>
      <c r="AKI3" s="22" t="inlineStr">
        <is>
          <t>NMo</t>
        </is>
      </c>
      <c r="AKJ3" s="22" t="inlineStr">
        <is>
          <t>NAn</t>
        </is>
      </c>
      <c r="AKK3" s="22" t="inlineStr">
        <is>
          <t>NEsM</t>
        </is>
      </c>
      <c r="AKL3" s="22" t="inlineStr">
        <is>
          <t>NPrM</t>
        </is>
      </c>
      <c r="AKM3" s="22" t="inlineStr">
        <is>
          <t>NElM</t>
        </is>
      </c>
      <c r="AKN3" s="22" t="inlineStr">
        <is>
          <t>NEsA</t>
        </is>
      </c>
      <c r="AKO3" s="22" t="inlineStr">
        <is>
          <t>NPrA</t>
        </is>
      </c>
      <c r="AKP3" s="22" t="inlineStr">
        <is>
          <t>NElA</t>
        </is>
      </c>
      <c r="AKQ3" s="22" t="inlineStr">
        <is>
          <t>AEsM</t>
        </is>
      </c>
      <c r="AKR3" s="22" t="inlineStr">
        <is>
          <t>APrM</t>
        </is>
      </c>
      <c r="AKS3" s="22" t="inlineStr">
        <is>
          <t>AElM</t>
        </is>
      </c>
      <c r="AKT3" s="22" t="inlineStr">
        <is>
          <t>AEsA</t>
        </is>
      </c>
      <c r="AKU3" s="22" t="inlineStr">
        <is>
          <t>APrA</t>
        </is>
      </c>
      <c r="AKV3" s="22" t="inlineStr">
        <is>
          <t>AElA</t>
        </is>
      </c>
      <c r="AKW3" s="22" t="inlineStr">
        <is>
          <t>Cust</t>
        </is>
      </c>
      <c r="AKX3" s="22" t="inlineStr">
        <is>
          <t>MRR</t>
        </is>
      </c>
      <c r="AKY3" s="22" t="inlineStr">
        <is>
          <t>ARR</t>
        </is>
      </c>
      <c r="AKZ3" s="22" t="inlineStr">
        <is>
          <t>Mo$</t>
        </is>
      </c>
      <c r="ALA3" s="22" t="inlineStr">
        <is>
          <t>NwAn</t>
        </is>
      </c>
      <c r="ALB3" s="22" t="inlineStr">
        <is>
          <t>Ren</t>
        </is>
      </c>
      <c r="ALC3" s="22" t="inlineStr">
        <is>
          <t>Gross</t>
        </is>
      </c>
      <c r="ALD3" s="22" t="inlineStr">
        <is>
          <t>R12</t>
        </is>
      </c>
      <c r="ALE3" s="22" t="inlineStr">
        <is>
          <t>VAT</t>
        </is>
      </c>
      <c r="ALF3" s="22" t="inlineStr">
        <is>
          <t>Net</t>
        </is>
      </c>
      <c r="ALG3" s="22" t="inlineStr">
        <is>
          <t>VAcc</t>
        </is>
      </c>
      <c r="ALH3" s="22" t="inlineStr">
        <is>
          <t>VPay</t>
        </is>
      </c>
      <c r="ALI3" s="22" t="inlineStr">
        <is>
          <t>VBal</t>
        </is>
      </c>
      <c r="ALJ3" s="22" t="inlineStr">
        <is>
          <t>Prov</t>
        </is>
      </c>
      <c r="ALK3" s="22" t="inlineStr">
        <is>
          <t>Fee</t>
        </is>
      </c>
      <c r="ALL3" s="22" t="inlineStr">
        <is>
          <t>Ops</t>
        </is>
      </c>
      <c r="ALM3" s="22" t="inlineStr">
        <is>
          <t>Fix</t>
        </is>
      </c>
      <c r="ALN3" s="22" t="inlineStr">
        <is>
          <t>Ref$</t>
        </is>
      </c>
      <c r="ALO3" s="22" t="inlineStr">
        <is>
          <t>Mkt</t>
        </is>
      </c>
      <c r="ALP3" s="22" t="inlineStr">
        <is>
          <t>Pft</t>
        </is>
      </c>
      <c r="ALQ3" s="22" t="inlineStr">
        <is>
          <t>Cash</t>
        </is>
      </c>
      <c r="ALR3" s="22" t="inlineStr">
        <is>
          <t>ARPU</t>
        </is>
      </c>
      <c r="ALS3" s="22" t="inlineStr">
        <is>
          <t>Chrn</t>
        </is>
      </c>
      <c r="ALU3" s="22" t="inlineStr">
        <is>
          <t>Mo</t>
        </is>
      </c>
      <c r="ALV3" s="22" t="inlineStr">
        <is>
          <t>Cal</t>
        </is>
      </c>
      <c r="ALW3" s="22" t="inlineStr">
        <is>
          <t>CY</t>
        </is>
      </c>
      <c r="ALX3" s="22" t="inlineStr">
        <is>
          <t>Acq</t>
        </is>
      </c>
      <c r="ALY3" s="22" t="inlineStr">
        <is>
          <t>Infl</t>
        </is>
      </c>
      <c r="ALZ3" s="22" t="inlineStr">
        <is>
          <t>ECh</t>
        </is>
      </c>
      <c r="AMA3" s="22" t="inlineStr">
        <is>
          <t>Mkt</t>
        </is>
      </c>
      <c r="AMB3" s="22" t="inlineStr">
        <is>
          <t>Paid</t>
        </is>
      </c>
      <c r="AMC3" s="22" t="inlineStr">
        <is>
          <t>Ref</t>
        </is>
      </c>
      <c r="AMD3" s="22" t="inlineStr">
        <is>
          <t>Tot</t>
        </is>
      </c>
      <c r="AME3" s="22" t="inlineStr">
        <is>
          <t>NMo</t>
        </is>
      </c>
      <c r="AMF3" s="22" t="inlineStr">
        <is>
          <t>NAn</t>
        </is>
      </c>
      <c r="AMG3" s="22" t="inlineStr">
        <is>
          <t>NEsM</t>
        </is>
      </c>
      <c r="AMH3" s="22" t="inlineStr">
        <is>
          <t>NPrM</t>
        </is>
      </c>
      <c r="AMI3" s="22" t="inlineStr">
        <is>
          <t>NElM</t>
        </is>
      </c>
      <c r="AMJ3" s="22" t="inlineStr">
        <is>
          <t>NEsA</t>
        </is>
      </c>
      <c r="AMK3" s="22" t="inlineStr">
        <is>
          <t>NPrA</t>
        </is>
      </c>
      <c r="AML3" s="22" t="inlineStr">
        <is>
          <t>NElA</t>
        </is>
      </c>
      <c r="AMM3" s="22" t="inlineStr">
        <is>
          <t>AEsM</t>
        </is>
      </c>
      <c r="AMN3" s="22" t="inlineStr">
        <is>
          <t>APrM</t>
        </is>
      </c>
      <c r="AMO3" s="22" t="inlineStr">
        <is>
          <t>AElM</t>
        </is>
      </c>
      <c r="AMP3" s="22" t="inlineStr">
        <is>
          <t>AEsA</t>
        </is>
      </c>
      <c r="AMQ3" s="22" t="inlineStr">
        <is>
          <t>APrA</t>
        </is>
      </c>
      <c r="AMR3" s="22" t="inlineStr">
        <is>
          <t>AElA</t>
        </is>
      </c>
      <c r="AMS3" s="22" t="inlineStr">
        <is>
          <t>Cust</t>
        </is>
      </c>
      <c r="AMT3" s="22" t="inlineStr">
        <is>
          <t>MRR</t>
        </is>
      </c>
      <c r="AMU3" s="22" t="inlineStr">
        <is>
          <t>ARR</t>
        </is>
      </c>
      <c r="AMV3" s="22" t="inlineStr">
        <is>
          <t>Mo$</t>
        </is>
      </c>
      <c r="AMW3" s="22" t="inlineStr">
        <is>
          <t>NwAn</t>
        </is>
      </c>
      <c r="AMX3" s="22" t="inlineStr">
        <is>
          <t>Ren</t>
        </is>
      </c>
      <c r="AMY3" s="22" t="inlineStr">
        <is>
          <t>Gross</t>
        </is>
      </c>
      <c r="AMZ3" s="22" t="inlineStr">
        <is>
          <t>R12</t>
        </is>
      </c>
      <c r="ANA3" s="22" t="inlineStr">
        <is>
          <t>VAT</t>
        </is>
      </c>
      <c r="ANB3" s="22" t="inlineStr">
        <is>
          <t>Net</t>
        </is>
      </c>
      <c r="ANC3" s="22" t="inlineStr">
        <is>
          <t>VAcc</t>
        </is>
      </c>
      <c r="AND3" s="22" t="inlineStr">
        <is>
          <t>VPay</t>
        </is>
      </c>
      <c r="ANE3" s="22" t="inlineStr">
        <is>
          <t>VBal</t>
        </is>
      </c>
      <c r="ANF3" s="22" t="inlineStr">
        <is>
          <t>Prov</t>
        </is>
      </c>
      <c r="ANG3" s="22" t="inlineStr">
        <is>
          <t>Fee</t>
        </is>
      </c>
      <c r="ANH3" s="22" t="inlineStr">
        <is>
          <t>Ops</t>
        </is>
      </c>
      <c r="ANI3" s="22" t="inlineStr">
        <is>
          <t>Fix</t>
        </is>
      </c>
      <c r="ANJ3" s="22" t="inlineStr">
        <is>
          <t>Ref$</t>
        </is>
      </c>
      <c r="ANK3" s="22" t="inlineStr">
        <is>
          <t>Mkt</t>
        </is>
      </c>
      <c r="ANL3" s="22" t="inlineStr">
        <is>
          <t>Pft</t>
        </is>
      </c>
      <c r="ANM3" s="22" t="inlineStr">
        <is>
          <t>Cash</t>
        </is>
      </c>
      <c r="ANN3" s="22" t="inlineStr">
        <is>
          <t>ARPU</t>
        </is>
      </c>
      <c r="ANO3" s="22" t="inlineStr">
        <is>
          <t>Chrn</t>
        </is>
      </c>
      <c r="ANQ3" s="22" t="inlineStr">
        <is>
          <t>Mo</t>
        </is>
      </c>
      <c r="ANR3" s="22" t="inlineStr">
        <is>
          <t>Cal</t>
        </is>
      </c>
      <c r="ANS3" s="22" t="inlineStr">
        <is>
          <t>CY</t>
        </is>
      </c>
      <c r="ANT3" s="22" t="inlineStr">
        <is>
          <t>Acq</t>
        </is>
      </c>
      <c r="ANU3" s="22" t="inlineStr">
        <is>
          <t>Infl</t>
        </is>
      </c>
      <c r="ANV3" s="22" t="inlineStr">
        <is>
          <t>ECh</t>
        </is>
      </c>
      <c r="ANW3" s="22" t="inlineStr">
        <is>
          <t>Mkt</t>
        </is>
      </c>
      <c r="ANX3" s="22" t="inlineStr">
        <is>
          <t>Paid</t>
        </is>
      </c>
      <c r="ANY3" s="22" t="inlineStr">
        <is>
          <t>Ref</t>
        </is>
      </c>
      <c r="ANZ3" s="22" t="inlineStr">
        <is>
          <t>Tot</t>
        </is>
      </c>
      <c r="AOA3" s="22" t="inlineStr">
        <is>
          <t>NMo</t>
        </is>
      </c>
      <c r="AOB3" s="22" t="inlineStr">
        <is>
          <t>NAn</t>
        </is>
      </c>
      <c r="AOC3" s="22" t="inlineStr">
        <is>
          <t>NEsM</t>
        </is>
      </c>
      <c r="AOD3" s="22" t="inlineStr">
        <is>
          <t>NPrM</t>
        </is>
      </c>
      <c r="AOE3" s="22" t="inlineStr">
        <is>
          <t>NElM</t>
        </is>
      </c>
      <c r="AOF3" s="22" t="inlineStr">
        <is>
          <t>NEsA</t>
        </is>
      </c>
      <c r="AOG3" s="22" t="inlineStr">
        <is>
          <t>NPrA</t>
        </is>
      </c>
      <c r="AOH3" s="22" t="inlineStr">
        <is>
          <t>NElA</t>
        </is>
      </c>
      <c r="AOI3" s="22" t="inlineStr">
        <is>
          <t>AEsM</t>
        </is>
      </c>
      <c r="AOJ3" s="22" t="inlineStr">
        <is>
          <t>APrM</t>
        </is>
      </c>
      <c r="AOK3" s="22" t="inlineStr">
        <is>
          <t>AElM</t>
        </is>
      </c>
      <c r="AOL3" s="22" t="inlineStr">
        <is>
          <t>AEsA</t>
        </is>
      </c>
      <c r="AOM3" s="22" t="inlineStr">
        <is>
          <t>APrA</t>
        </is>
      </c>
      <c r="AON3" s="22" t="inlineStr">
        <is>
          <t>AElA</t>
        </is>
      </c>
      <c r="AOO3" s="22" t="inlineStr">
        <is>
          <t>Cust</t>
        </is>
      </c>
      <c r="AOP3" s="22" t="inlineStr">
        <is>
          <t>MRR</t>
        </is>
      </c>
      <c r="AOQ3" s="22" t="inlineStr">
        <is>
          <t>ARR</t>
        </is>
      </c>
      <c r="AOR3" s="22" t="inlineStr">
        <is>
          <t>Mo$</t>
        </is>
      </c>
      <c r="AOS3" s="22" t="inlineStr">
        <is>
          <t>NwAn</t>
        </is>
      </c>
      <c r="AOT3" s="22" t="inlineStr">
        <is>
          <t>Ren</t>
        </is>
      </c>
      <c r="AOU3" s="22" t="inlineStr">
        <is>
          <t>Gross</t>
        </is>
      </c>
      <c r="AOV3" s="22" t="inlineStr">
        <is>
          <t>R12</t>
        </is>
      </c>
      <c r="AOW3" s="22" t="inlineStr">
        <is>
          <t>VAT</t>
        </is>
      </c>
      <c r="AOX3" s="22" t="inlineStr">
        <is>
          <t>Net</t>
        </is>
      </c>
      <c r="AOY3" s="22" t="inlineStr">
        <is>
          <t>VAcc</t>
        </is>
      </c>
      <c r="AOZ3" s="22" t="inlineStr">
        <is>
          <t>VPay</t>
        </is>
      </c>
      <c r="APA3" s="22" t="inlineStr">
        <is>
          <t>VBal</t>
        </is>
      </c>
      <c r="APB3" s="22" t="inlineStr">
        <is>
          <t>Prov</t>
        </is>
      </c>
      <c r="APC3" s="22" t="inlineStr">
        <is>
          <t>Fee</t>
        </is>
      </c>
      <c r="APD3" s="22" t="inlineStr">
        <is>
          <t>Ops</t>
        </is>
      </c>
      <c r="APE3" s="22" t="inlineStr">
        <is>
          <t>Fix</t>
        </is>
      </c>
      <c r="APF3" s="22" t="inlineStr">
        <is>
          <t>Ref$</t>
        </is>
      </c>
      <c r="APG3" s="22" t="inlineStr">
        <is>
          <t>Mkt</t>
        </is>
      </c>
      <c r="APH3" s="22" t="inlineStr">
        <is>
          <t>Pft</t>
        </is>
      </c>
      <c r="API3" s="22" t="inlineStr">
        <is>
          <t>Cash</t>
        </is>
      </c>
      <c r="APJ3" s="22" t="inlineStr">
        <is>
          <t>ARPU</t>
        </is>
      </c>
      <c r="APK3" s="22" t="inlineStr">
        <is>
          <t>Chrn</t>
        </is>
      </c>
      <c r="APM3" s="22" t="inlineStr">
        <is>
          <t>Mo</t>
        </is>
      </c>
      <c r="APN3" s="22" t="inlineStr">
        <is>
          <t>Cal</t>
        </is>
      </c>
      <c r="APO3" s="22" t="inlineStr">
        <is>
          <t>CY</t>
        </is>
      </c>
      <c r="APP3" s="22" t="inlineStr">
        <is>
          <t>Acq</t>
        </is>
      </c>
      <c r="APQ3" s="22" t="inlineStr">
        <is>
          <t>Infl</t>
        </is>
      </c>
      <c r="APR3" s="22" t="inlineStr">
        <is>
          <t>ECh</t>
        </is>
      </c>
      <c r="APS3" s="22" t="inlineStr">
        <is>
          <t>Mkt</t>
        </is>
      </c>
      <c r="APT3" s="22" t="inlineStr">
        <is>
          <t>Paid</t>
        </is>
      </c>
      <c r="APU3" s="22" t="inlineStr">
        <is>
          <t>Ref</t>
        </is>
      </c>
      <c r="APV3" s="22" t="inlineStr">
        <is>
          <t>Tot</t>
        </is>
      </c>
      <c r="APW3" s="22" t="inlineStr">
        <is>
          <t>NMo</t>
        </is>
      </c>
      <c r="APX3" s="22" t="inlineStr">
        <is>
          <t>NAn</t>
        </is>
      </c>
      <c r="APY3" s="22" t="inlineStr">
        <is>
          <t>NEsM</t>
        </is>
      </c>
      <c r="APZ3" s="22" t="inlineStr">
        <is>
          <t>NPrM</t>
        </is>
      </c>
      <c r="AQA3" s="22" t="inlineStr">
        <is>
          <t>NElM</t>
        </is>
      </c>
      <c r="AQB3" s="22" t="inlineStr">
        <is>
          <t>NEsA</t>
        </is>
      </c>
      <c r="AQC3" s="22" t="inlineStr">
        <is>
          <t>NPrA</t>
        </is>
      </c>
      <c r="AQD3" s="22" t="inlineStr">
        <is>
          <t>NElA</t>
        </is>
      </c>
      <c r="AQE3" s="22" t="inlineStr">
        <is>
          <t>AEsM</t>
        </is>
      </c>
      <c r="AQF3" s="22" t="inlineStr">
        <is>
          <t>APrM</t>
        </is>
      </c>
      <c r="AQG3" s="22" t="inlineStr">
        <is>
          <t>AElM</t>
        </is>
      </c>
      <c r="AQH3" s="22" t="inlineStr">
        <is>
          <t>AEsA</t>
        </is>
      </c>
      <c r="AQI3" s="22" t="inlineStr">
        <is>
          <t>APrA</t>
        </is>
      </c>
      <c r="AQJ3" s="22" t="inlineStr">
        <is>
          <t>AElA</t>
        </is>
      </c>
      <c r="AQK3" s="22" t="inlineStr">
        <is>
          <t>Cust</t>
        </is>
      </c>
      <c r="AQL3" s="22" t="inlineStr">
        <is>
          <t>MRR</t>
        </is>
      </c>
      <c r="AQM3" s="22" t="inlineStr">
        <is>
          <t>ARR</t>
        </is>
      </c>
      <c r="AQN3" s="22" t="inlineStr">
        <is>
          <t>Mo$</t>
        </is>
      </c>
      <c r="AQO3" s="22" t="inlineStr">
        <is>
          <t>NwAn</t>
        </is>
      </c>
      <c r="AQP3" s="22" t="inlineStr">
        <is>
          <t>Ren</t>
        </is>
      </c>
      <c r="AQQ3" s="22" t="inlineStr">
        <is>
          <t>Gross</t>
        </is>
      </c>
      <c r="AQR3" s="22" t="inlineStr">
        <is>
          <t>R12</t>
        </is>
      </c>
      <c r="AQS3" s="22" t="inlineStr">
        <is>
          <t>VAT</t>
        </is>
      </c>
      <c r="AQT3" s="22" t="inlineStr">
        <is>
          <t>Net</t>
        </is>
      </c>
      <c r="AQU3" s="22" t="inlineStr">
        <is>
          <t>VAcc</t>
        </is>
      </c>
      <c r="AQV3" s="22" t="inlineStr">
        <is>
          <t>VPay</t>
        </is>
      </c>
      <c r="AQW3" s="22" t="inlineStr">
        <is>
          <t>VBal</t>
        </is>
      </c>
      <c r="AQX3" s="22" t="inlineStr">
        <is>
          <t>Prov</t>
        </is>
      </c>
      <c r="AQY3" s="22" t="inlineStr">
        <is>
          <t>Fee</t>
        </is>
      </c>
      <c r="AQZ3" s="22" t="inlineStr">
        <is>
          <t>Ops</t>
        </is>
      </c>
      <c r="ARA3" s="22" t="inlineStr">
        <is>
          <t>Fix</t>
        </is>
      </c>
      <c r="ARB3" s="22" t="inlineStr">
        <is>
          <t>Ref$</t>
        </is>
      </c>
      <c r="ARC3" s="22" t="inlineStr">
        <is>
          <t>Mkt</t>
        </is>
      </c>
      <c r="ARD3" s="22" t="inlineStr">
        <is>
          <t>Pft</t>
        </is>
      </c>
      <c r="ARE3" s="22" t="inlineStr">
        <is>
          <t>Cash</t>
        </is>
      </c>
      <c r="ARF3" s="22" t="inlineStr">
        <is>
          <t>ARPU</t>
        </is>
      </c>
      <c r="ARG3" s="22" t="inlineStr">
        <is>
          <t>Chrn</t>
        </is>
      </c>
      <c r="ARI3" s="22" t="inlineStr">
        <is>
          <t>Mo</t>
        </is>
      </c>
      <c r="ARJ3" s="22" t="inlineStr">
        <is>
          <t>Cal</t>
        </is>
      </c>
      <c r="ARK3" s="22" t="inlineStr">
        <is>
          <t>CY</t>
        </is>
      </c>
      <c r="ARL3" s="22" t="inlineStr">
        <is>
          <t>Acq</t>
        </is>
      </c>
      <c r="ARM3" s="22" t="inlineStr">
        <is>
          <t>Infl</t>
        </is>
      </c>
      <c r="ARN3" s="22" t="inlineStr">
        <is>
          <t>ECh</t>
        </is>
      </c>
      <c r="ARO3" s="22" t="inlineStr">
        <is>
          <t>Mkt</t>
        </is>
      </c>
      <c r="ARP3" s="22" t="inlineStr">
        <is>
          <t>Paid</t>
        </is>
      </c>
      <c r="ARQ3" s="22" t="inlineStr">
        <is>
          <t>Ref</t>
        </is>
      </c>
      <c r="ARR3" s="22" t="inlineStr">
        <is>
          <t>Tot</t>
        </is>
      </c>
      <c r="ARS3" s="22" t="inlineStr">
        <is>
          <t>NMo</t>
        </is>
      </c>
      <c r="ART3" s="22" t="inlineStr">
        <is>
          <t>NAn</t>
        </is>
      </c>
      <c r="ARU3" s="22" t="inlineStr">
        <is>
          <t>NEsM</t>
        </is>
      </c>
      <c r="ARV3" s="22" t="inlineStr">
        <is>
          <t>NPrM</t>
        </is>
      </c>
      <c r="ARW3" s="22" t="inlineStr">
        <is>
          <t>NElM</t>
        </is>
      </c>
      <c r="ARX3" s="22" t="inlineStr">
        <is>
          <t>NEsA</t>
        </is>
      </c>
      <c r="ARY3" s="22" t="inlineStr">
        <is>
          <t>NPrA</t>
        </is>
      </c>
      <c r="ARZ3" s="22" t="inlineStr">
        <is>
          <t>NElA</t>
        </is>
      </c>
      <c r="ASA3" s="22" t="inlineStr">
        <is>
          <t>AEsM</t>
        </is>
      </c>
      <c r="ASB3" s="22" t="inlineStr">
        <is>
          <t>APrM</t>
        </is>
      </c>
      <c r="ASC3" s="22" t="inlineStr">
        <is>
          <t>AElM</t>
        </is>
      </c>
      <c r="ASD3" s="22" t="inlineStr">
        <is>
          <t>AEsA</t>
        </is>
      </c>
      <c r="ASE3" s="22" t="inlineStr">
        <is>
          <t>APrA</t>
        </is>
      </c>
      <c r="ASF3" s="22" t="inlineStr">
        <is>
          <t>AElA</t>
        </is>
      </c>
      <c r="ASG3" s="22" t="inlineStr">
        <is>
          <t>Cust</t>
        </is>
      </c>
      <c r="ASH3" s="22" t="inlineStr">
        <is>
          <t>MRR</t>
        </is>
      </c>
      <c r="ASI3" s="22" t="inlineStr">
        <is>
          <t>ARR</t>
        </is>
      </c>
      <c r="ASJ3" s="22" t="inlineStr">
        <is>
          <t>Mo$</t>
        </is>
      </c>
      <c r="ASK3" s="22" t="inlineStr">
        <is>
          <t>NwAn</t>
        </is>
      </c>
      <c r="ASL3" s="22" t="inlineStr">
        <is>
          <t>Ren</t>
        </is>
      </c>
      <c r="ASM3" s="22" t="inlineStr">
        <is>
          <t>Gross</t>
        </is>
      </c>
      <c r="ASN3" s="22" t="inlineStr">
        <is>
          <t>R12</t>
        </is>
      </c>
      <c r="ASO3" s="22" t="inlineStr">
        <is>
          <t>VAT</t>
        </is>
      </c>
      <c r="ASP3" s="22" t="inlineStr">
        <is>
          <t>Net</t>
        </is>
      </c>
      <c r="ASQ3" s="22" t="inlineStr">
        <is>
          <t>VAcc</t>
        </is>
      </c>
      <c r="ASR3" s="22" t="inlineStr">
        <is>
          <t>VPay</t>
        </is>
      </c>
      <c r="ASS3" s="22" t="inlineStr">
        <is>
          <t>VBal</t>
        </is>
      </c>
      <c r="AST3" s="22" t="inlineStr">
        <is>
          <t>Prov</t>
        </is>
      </c>
      <c r="ASU3" s="22" t="inlineStr">
        <is>
          <t>Fee</t>
        </is>
      </c>
      <c r="ASV3" s="22" t="inlineStr">
        <is>
          <t>Ops</t>
        </is>
      </c>
      <c r="ASW3" s="22" t="inlineStr">
        <is>
          <t>Fix</t>
        </is>
      </c>
      <c r="ASX3" s="22" t="inlineStr">
        <is>
          <t>Ref$</t>
        </is>
      </c>
      <c r="ASY3" s="22" t="inlineStr">
        <is>
          <t>Mkt</t>
        </is>
      </c>
      <c r="ASZ3" s="22" t="inlineStr">
        <is>
          <t>Pft</t>
        </is>
      </c>
      <c r="ATA3" s="22" t="inlineStr">
        <is>
          <t>Cash</t>
        </is>
      </c>
      <c r="ATB3" s="22" t="inlineStr">
        <is>
          <t>ARPU</t>
        </is>
      </c>
      <c r="ATC3" s="22" t="inlineStr">
        <is>
          <t>Chrn</t>
        </is>
      </c>
      <c r="ATE3" s="22" t="inlineStr">
        <is>
          <t>Mo</t>
        </is>
      </c>
      <c r="ATF3" s="22" t="inlineStr">
        <is>
          <t>Cal</t>
        </is>
      </c>
      <c r="ATG3" s="22" t="inlineStr">
        <is>
          <t>CY</t>
        </is>
      </c>
      <c r="ATH3" s="22" t="inlineStr">
        <is>
          <t>Acq</t>
        </is>
      </c>
      <c r="ATI3" s="22" t="inlineStr">
        <is>
          <t>Infl</t>
        </is>
      </c>
      <c r="ATJ3" s="22" t="inlineStr">
        <is>
          <t>ECh</t>
        </is>
      </c>
      <c r="ATK3" s="22" t="inlineStr">
        <is>
          <t>Mkt</t>
        </is>
      </c>
      <c r="ATL3" s="22" t="inlineStr">
        <is>
          <t>Paid</t>
        </is>
      </c>
      <c r="ATM3" s="22" t="inlineStr">
        <is>
          <t>Ref</t>
        </is>
      </c>
      <c r="ATN3" s="22" t="inlineStr">
        <is>
          <t>Tot</t>
        </is>
      </c>
      <c r="ATO3" s="22" t="inlineStr">
        <is>
          <t>NMo</t>
        </is>
      </c>
      <c r="ATP3" s="22" t="inlineStr">
        <is>
          <t>NAn</t>
        </is>
      </c>
      <c r="ATQ3" s="22" t="inlineStr">
        <is>
          <t>NEsM</t>
        </is>
      </c>
      <c r="ATR3" s="22" t="inlineStr">
        <is>
          <t>NPrM</t>
        </is>
      </c>
      <c r="ATS3" s="22" t="inlineStr">
        <is>
          <t>NElM</t>
        </is>
      </c>
      <c r="ATT3" s="22" t="inlineStr">
        <is>
          <t>NEsA</t>
        </is>
      </c>
      <c r="ATU3" s="22" t="inlineStr">
        <is>
          <t>NPrA</t>
        </is>
      </c>
      <c r="ATV3" s="22" t="inlineStr">
        <is>
          <t>NElA</t>
        </is>
      </c>
      <c r="ATW3" s="22" t="inlineStr">
        <is>
          <t>AEsM</t>
        </is>
      </c>
      <c r="ATX3" s="22" t="inlineStr">
        <is>
          <t>APrM</t>
        </is>
      </c>
      <c r="ATY3" s="22" t="inlineStr">
        <is>
          <t>AElM</t>
        </is>
      </c>
      <c r="ATZ3" s="22" t="inlineStr">
        <is>
          <t>AEsA</t>
        </is>
      </c>
      <c r="AUA3" s="22" t="inlineStr">
        <is>
          <t>APrA</t>
        </is>
      </c>
      <c r="AUB3" s="22" t="inlineStr">
        <is>
          <t>AElA</t>
        </is>
      </c>
      <c r="AUC3" s="22" t="inlineStr">
        <is>
          <t>Cust</t>
        </is>
      </c>
      <c r="AUD3" s="22" t="inlineStr">
        <is>
          <t>MRR</t>
        </is>
      </c>
      <c r="AUE3" s="22" t="inlineStr">
        <is>
          <t>ARR</t>
        </is>
      </c>
      <c r="AUF3" s="22" t="inlineStr">
        <is>
          <t>Mo$</t>
        </is>
      </c>
      <c r="AUG3" s="22" t="inlineStr">
        <is>
          <t>NwAn</t>
        </is>
      </c>
      <c r="AUH3" s="22" t="inlineStr">
        <is>
          <t>Ren</t>
        </is>
      </c>
      <c r="AUI3" s="22" t="inlineStr">
        <is>
          <t>Gross</t>
        </is>
      </c>
      <c r="AUJ3" s="22" t="inlineStr">
        <is>
          <t>R12</t>
        </is>
      </c>
      <c r="AUK3" s="22" t="inlineStr">
        <is>
          <t>VAT</t>
        </is>
      </c>
      <c r="AUL3" s="22" t="inlineStr">
        <is>
          <t>Net</t>
        </is>
      </c>
      <c r="AUM3" s="22" t="inlineStr">
        <is>
          <t>VAcc</t>
        </is>
      </c>
      <c r="AUN3" s="22" t="inlineStr">
        <is>
          <t>VPay</t>
        </is>
      </c>
      <c r="AUO3" s="22" t="inlineStr">
        <is>
          <t>VBal</t>
        </is>
      </c>
      <c r="AUP3" s="22" t="inlineStr">
        <is>
          <t>Prov</t>
        </is>
      </c>
      <c r="AUQ3" s="22" t="inlineStr">
        <is>
          <t>Fee</t>
        </is>
      </c>
      <c r="AUR3" s="22" t="inlineStr">
        <is>
          <t>Ops</t>
        </is>
      </c>
      <c r="AUS3" s="22" t="inlineStr">
        <is>
          <t>Fix</t>
        </is>
      </c>
      <c r="AUT3" s="22" t="inlineStr">
        <is>
          <t>Ref$</t>
        </is>
      </c>
      <c r="AUU3" s="22" t="inlineStr">
        <is>
          <t>Mkt</t>
        </is>
      </c>
      <c r="AUV3" s="22" t="inlineStr">
        <is>
          <t>Pft</t>
        </is>
      </c>
      <c r="AUW3" s="22" t="inlineStr">
        <is>
          <t>Cash</t>
        </is>
      </c>
      <c r="AUX3" s="22" t="inlineStr">
        <is>
          <t>ARPU</t>
        </is>
      </c>
      <c r="AUY3" s="22" t="inlineStr">
        <is>
          <t>Chrn</t>
        </is>
      </c>
      <c r="AVA3" s="22" t="inlineStr">
        <is>
          <t>Mo</t>
        </is>
      </c>
      <c r="AVB3" s="22" t="inlineStr">
        <is>
          <t>Cal</t>
        </is>
      </c>
      <c r="AVC3" s="22" t="inlineStr">
        <is>
          <t>CY</t>
        </is>
      </c>
      <c r="AVD3" s="22" t="inlineStr">
        <is>
          <t>Acq</t>
        </is>
      </c>
      <c r="AVE3" s="22" t="inlineStr">
        <is>
          <t>Infl</t>
        </is>
      </c>
      <c r="AVF3" s="22" t="inlineStr">
        <is>
          <t>ECh</t>
        </is>
      </c>
      <c r="AVG3" s="22" t="inlineStr">
        <is>
          <t>Mkt</t>
        </is>
      </c>
      <c r="AVH3" s="22" t="inlineStr">
        <is>
          <t>Paid</t>
        </is>
      </c>
      <c r="AVI3" s="22" t="inlineStr">
        <is>
          <t>Ref</t>
        </is>
      </c>
      <c r="AVJ3" s="22" t="inlineStr">
        <is>
          <t>Tot</t>
        </is>
      </c>
      <c r="AVK3" s="22" t="inlineStr">
        <is>
          <t>NMo</t>
        </is>
      </c>
      <c r="AVL3" s="22" t="inlineStr">
        <is>
          <t>NAn</t>
        </is>
      </c>
      <c r="AVM3" s="22" t="inlineStr">
        <is>
          <t>NEsM</t>
        </is>
      </c>
      <c r="AVN3" s="22" t="inlineStr">
        <is>
          <t>NPrM</t>
        </is>
      </c>
      <c r="AVO3" s="22" t="inlineStr">
        <is>
          <t>NElM</t>
        </is>
      </c>
      <c r="AVP3" s="22" t="inlineStr">
        <is>
          <t>NEsA</t>
        </is>
      </c>
      <c r="AVQ3" s="22" t="inlineStr">
        <is>
          <t>NPrA</t>
        </is>
      </c>
      <c r="AVR3" s="22" t="inlineStr">
        <is>
          <t>NElA</t>
        </is>
      </c>
      <c r="AVS3" s="22" t="inlineStr">
        <is>
          <t>AEsM</t>
        </is>
      </c>
      <c r="AVT3" s="22" t="inlineStr">
        <is>
          <t>APrM</t>
        </is>
      </c>
      <c r="AVU3" s="22" t="inlineStr">
        <is>
          <t>AElM</t>
        </is>
      </c>
      <c r="AVV3" s="22" t="inlineStr">
        <is>
          <t>AEsA</t>
        </is>
      </c>
      <c r="AVW3" s="22" t="inlineStr">
        <is>
          <t>APrA</t>
        </is>
      </c>
      <c r="AVX3" s="22" t="inlineStr">
        <is>
          <t>AElA</t>
        </is>
      </c>
      <c r="AVY3" s="22" t="inlineStr">
        <is>
          <t>Cust</t>
        </is>
      </c>
      <c r="AVZ3" s="22" t="inlineStr">
        <is>
          <t>MRR</t>
        </is>
      </c>
      <c r="AWA3" s="22" t="inlineStr">
        <is>
          <t>ARR</t>
        </is>
      </c>
      <c r="AWB3" s="22" t="inlineStr">
        <is>
          <t>Mo$</t>
        </is>
      </c>
      <c r="AWC3" s="22" t="inlineStr">
        <is>
          <t>NwAn</t>
        </is>
      </c>
      <c r="AWD3" s="22" t="inlineStr">
        <is>
          <t>Ren</t>
        </is>
      </c>
      <c r="AWE3" s="22" t="inlineStr">
        <is>
          <t>Gross</t>
        </is>
      </c>
      <c r="AWF3" s="22" t="inlineStr">
        <is>
          <t>R12</t>
        </is>
      </c>
      <c r="AWG3" s="22" t="inlineStr">
        <is>
          <t>VAT</t>
        </is>
      </c>
      <c r="AWH3" s="22" t="inlineStr">
        <is>
          <t>Net</t>
        </is>
      </c>
      <c r="AWI3" s="22" t="inlineStr">
        <is>
          <t>VAcc</t>
        </is>
      </c>
      <c r="AWJ3" s="22" t="inlineStr">
        <is>
          <t>VPay</t>
        </is>
      </c>
      <c r="AWK3" s="22" t="inlineStr">
        <is>
          <t>VBal</t>
        </is>
      </c>
      <c r="AWL3" s="22" t="inlineStr">
        <is>
          <t>Prov</t>
        </is>
      </c>
      <c r="AWM3" s="22" t="inlineStr">
        <is>
          <t>Fee</t>
        </is>
      </c>
      <c r="AWN3" s="22" t="inlineStr">
        <is>
          <t>Ops</t>
        </is>
      </c>
      <c r="AWO3" s="22" t="inlineStr">
        <is>
          <t>Fix</t>
        </is>
      </c>
      <c r="AWP3" s="22" t="inlineStr">
        <is>
          <t>Ref$</t>
        </is>
      </c>
      <c r="AWQ3" s="22" t="inlineStr">
        <is>
          <t>Mkt</t>
        </is>
      </c>
      <c r="AWR3" s="22" t="inlineStr">
        <is>
          <t>Pft</t>
        </is>
      </c>
      <c r="AWS3" s="22" t="inlineStr">
        <is>
          <t>Cash</t>
        </is>
      </c>
      <c r="AWT3" s="22" t="inlineStr">
        <is>
          <t>ARPU</t>
        </is>
      </c>
      <c r="AWU3" s="22" t="inlineStr">
        <is>
          <t>Chrn</t>
        </is>
      </c>
    </row>
    <row r="4"/>
    <row r="5">
      <c r="A5" s="12" t="n">
        <v>1</v>
      </c>
      <c r="B5" s="12">
        <f>MOD(A5-1+LaunchMonth-1,12)+1</f>
        <v/>
      </c>
      <c r="C5" s="12">
        <f>INT((A5-1+LaunchMonth-1)/12)+1</f>
        <v/>
      </c>
      <c r="D5" s="12">
        <f>VLOOKUP(B5,SeasonTable,2,FALSE)</f>
        <v/>
      </c>
      <c r="E5" s="12">
        <f>(1+InflationRate)^INT((A5-1)/12)</f>
        <v/>
      </c>
      <c r="F5" s="11">
        <f>'Sens - Scenarios'!$B$5*VLOOKUP(B5,ChurnSeasonTable,4,FALSE)</f>
        <v/>
      </c>
      <c r="G5" s="12">
        <f>MktFixed1_3</f>
        <v/>
      </c>
      <c r="H5" s="12">
        <f>IF(G5&gt;0,MAX(1,ROUND(G5/'Sens - Scenarios'!$B$8*D5,0)),0)</f>
        <v/>
      </c>
      <c r="I5" s="12">
        <f>IF(H5&gt;0,ROUND(H5*ReferralMix/(1-ReferralMix),0),0)</f>
        <v/>
      </c>
      <c r="J5" s="12">
        <f>H5+I5</f>
        <v/>
      </c>
      <c r="K5" s="12">
        <f>ROUND(J5*(1-'Sens - Scenarios'!$B$7),0)</f>
        <v/>
      </c>
      <c r="L5" s="12">
        <f>J5-K5</f>
        <v/>
      </c>
      <c r="M5" s="12">
        <f>ROUND(K5*EssentialMix,0)</f>
        <v/>
      </c>
      <c r="N5" s="12">
        <f>ROUND(K5*PremiumMix,0)</f>
        <v/>
      </c>
      <c r="O5" s="12">
        <f>K5-M5-N5</f>
        <v/>
      </c>
      <c r="P5" s="12">
        <f>ROUND(L5*EssentialMix,0)</f>
        <v/>
      </c>
      <c r="Q5" s="12">
        <f>ROUND(L5*PremiumMix,0)</f>
        <v/>
      </c>
      <c r="R5" s="12">
        <f>L5-P5-Q5</f>
        <v/>
      </c>
      <c r="S5" s="12">
        <f>M5</f>
        <v/>
      </c>
      <c r="T5" s="12">
        <f>N5</f>
        <v/>
      </c>
      <c r="U5" s="12">
        <f>O5</f>
        <v/>
      </c>
      <c r="V5" s="12">
        <f>P5</f>
        <v/>
      </c>
      <c r="W5" s="12">
        <f>Q5</f>
        <v/>
      </c>
      <c r="X5" s="12">
        <f>R5</f>
        <v/>
      </c>
      <c r="Y5" s="12">
        <f>S5+T5+U5+V5+W5+X5</f>
        <v/>
      </c>
      <c r="Z5" s="9">
        <f>S5*BlendedPriceEssMonthly*E5+T5*BlendedPricePremMonthly*E5+U5*BlendedPriceEliteMonthly*E5+V5*BlendedPriceEssAnnual*E5/12+W5*BlendedPricePremAnnual*E5/12+X5*BlendedPriceEliteAnnual*E5/12</f>
        <v/>
      </c>
      <c r="AA5" s="9">
        <f>Z5*12</f>
        <v/>
      </c>
      <c r="AB5" s="12">
        <f>S5*BlendedPriceEssMonthly*E5+T5*BlendedPricePremMonthly*E5+U5*BlendedPriceEliteMonthly*E5</f>
        <v/>
      </c>
      <c r="AC5" s="12">
        <f>P5*BlendedPriceEssAnnual*E5+Q5*BlendedPricePremAnnual*E5+R5*BlendedPriceEliteAnnual*E5</f>
        <v/>
      </c>
      <c r="AD5" s="12">
        <f>0+0+0</f>
        <v/>
      </c>
      <c r="AE5" s="9">
        <f>AB5+AC5+AD5</f>
        <v/>
      </c>
      <c r="AF5" s="12">
        <f>SUM(AE$5:AE5)</f>
        <v/>
      </c>
      <c r="AG5" s="12">
        <f>IF(VATAgentMode,SUM($AE$5:$AE5)-SUM($AL$5:$AL5)&gt;=VATThreshold,SUM($AE$5:$AE5)&gt;=VATThreshold)</f>
        <v/>
      </c>
      <c r="AH5" s="9">
        <f>IF(AG5,IF(VATAgentMode,AE5-((AE5-AL5)-(AE5-AL5)/(1+VATRate)),AE5/(1+VATRate)),AE5)</f>
        <v/>
      </c>
      <c r="AI5" s="12">
        <f>AE5-AH5</f>
        <v/>
      </c>
      <c r="AJ5" s="12">
        <f>IF(AG5=0,0,IF(B5=1,SUMPRODUCT(--(($C$5:$C5=$C5-1)*($B$5:$B5&gt;=10)*($B$5:$B5&lt;=12)),$AI$5:$AI5),IF(B5=4,SUMPRODUCT(--(($C$5:$C5=$C5)*($B$5:$B5&gt;=1)*($B$5:$B5&lt;=3)),$AI$5:$AI5),IF(B5=7,SUMPRODUCT(--(($C$5:$C5=$C5)*($B$5:$B5&gt;=4)*($B$5:$B5&lt;=6)),$AI$5:$AI5),IF(B5=10,SUMPRODUCT(--(($C$5:$C5=$C5)*($B$5:$B5&gt;=7)*($B$5:$B5&lt;=9)),$AI$5:$AI5),0)))))</f>
        <v/>
      </c>
      <c r="AK5" s="12">
        <f>AI5-AJ5</f>
        <v/>
      </c>
      <c r="AL5" s="12">
        <f>IF(ProviderDelay&gt;=1,0,S5*BlendedProvPayEss+T5*BlendedProvPayPrem+U5*BlendedProvPayElite+V5*BlendedProvPayEss+W5*BlendedProvPayPrem+X5*BlendedProvPayElite)</f>
        <v/>
      </c>
      <c r="AM5" s="12">
        <f>AE5*PaymentFee</f>
        <v/>
      </c>
      <c r="AN5" s="12">
        <f>Y5*OpsAI</f>
        <v/>
      </c>
      <c r="AO5" s="12">
        <f>MonthlyFixed</f>
        <v/>
      </c>
      <c r="AP5" s="12">
        <f>I5*ReferralReward</f>
        <v/>
      </c>
      <c r="AQ5" s="12">
        <f>G5</f>
        <v/>
      </c>
      <c r="AR5" s="9">
        <f>AH5-AL5-AM5-AN5-AO5-AP5-AQ5</f>
        <v/>
      </c>
      <c r="AS5" s="9">
        <f>InitialInvestment+AE5-(AL5+AM5+AN5+AO5+AP5+AQ5+AJ5)</f>
        <v/>
      </c>
      <c r="AT5" s="12">
        <f>IF(Y5&gt;0,Z5/Y5,0)</f>
        <v/>
      </c>
      <c r="AU5" s="11" t="n">
        <v>0</v>
      </c>
      <c r="AW5" s="12" t="n">
        <v>1</v>
      </c>
      <c r="AX5" s="12">
        <f>MOD(AW5-1+LaunchMonth-1,12)+1</f>
        <v/>
      </c>
      <c r="AY5" s="12">
        <f>INT((AW5-1+LaunchMonth-1)/12)+1</f>
        <v/>
      </c>
      <c r="AZ5" s="12">
        <f>VLOOKUP(AX5,SeasonTable,2,FALSE)</f>
        <v/>
      </c>
      <c r="BA5" s="12">
        <f>(1+InflationRate)^INT((AW5-1)/12)</f>
        <v/>
      </c>
      <c r="BB5" s="11">
        <f>MonthlyChurn*VLOOKUP(AX5,ChurnSeasonTable,4,FALSE)</f>
        <v/>
      </c>
      <c r="BC5" s="12">
        <f>MktFixed1_3</f>
        <v/>
      </c>
      <c r="BD5" s="12">
        <f>IF(BC5&gt;0,MAX(1,ROUND(BC5/CAC*AZ5,0)),0)</f>
        <v/>
      </c>
      <c r="BE5" s="12">
        <f>IF(BD5&gt;0,ROUND(BD5*ReferralMix/(1-ReferralMix),0),0)</f>
        <v/>
      </c>
      <c r="BF5" s="12">
        <f>BD5+BE5</f>
        <v/>
      </c>
      <c r="BG5" s="12">
        <f>ROUND(BF5*(1-AnnualMix),0)</f>
        <v/>
      </c>
      <c r="BH5" s="12">
        <f>BF5-BG5</f>
        <v/>
      </c>
      <c r="BI5" s="12">
        <f>ROUND(BG5*EssentialMix,0)</f>
        <v/>
      </c>
      <c r="BJ5" s="12">
        <f>ROUND(BG5*PremiumMix,0)</f>
        <v/>
      </c>
      <c r="BK5" s="12">
        <f>BG5-BI5-BJ5</f>
        <v/>
      </c>
      <c r="BL5" s="12">
        <f>ROUND(BH5*EssentialMix,0)</f>
        <v/>
      </c>
      <c r="BM5" s="12">
        <f>ROUND(BH5*PremiumMix,0)</f>
        <v/>
      </c>
      <c r="BN5" s="12">
        <f>BH5-BL5-BM5</f>
        <v/>
      </c>
      <c r="BO5" s="12">
        <f>BI5</f>
        <v/>
      </c>
      <c r="BP5" s="12">
        <f>BJ5</f>
        <v/>
      </c>
      <c r="BQ5" s="12">
        <f>BK5</f>
        <v/>
      </c>
      <c r="BR5" s="12">
        <f>BL5</f>
        <v/>
      </c>
      <c r="BS5" s="12">
        <f>BM5</f>
        <v/>
      </c>
      <c r="BT5" s="12">
        <f>BN5</f>
        <v/>
      </c>
      <c r="BU5" s="12">
        <f>BO5+BP5+BQ5+BR5+BS5+BT5</f>
        <v/>
      </c>
      <c r="BV5" s="9">
        <f>BO5*BlendedPriceEssMonthly*BA5+BP5*BlendedPricePremMonthly*BA5+BQ5*BlendedPriceEliteMonthly*BA5+BR5*BlendedPriceEssAnnual*BA5/12+BS5*BlendedPricePremAnnual*BA5/12+BT5*BlendedPriceEliteAnnual*BA5/12</f>
        <v/>
      </c>
      <c r="BW5" s="9">
        <f>BV5*12</f>
        <v/>
      </c>
      <c r="BX5" s="12">
        <f>BO5*BlendedPriceEssMonthly*BA5+BP5*BlendedPricePremMonthly*BA5+BQ5*BlendedPriceEliteMonthly*BA5</f>
        <v/>
      </c>
      <c r="BY5" s="12">
        <f>BL5*BlendedPriceEssAnnual*BA5+BM5*BlendedPricePremAnnual*BA5+BN5*BlendedPriceEliteAnnual*BA5</f>
        <v/>
      </c>
      <c r="BZ5" s="12">
        <f>0+0+0</f>
        <v/>
      </c>
      <c r="CA5" s="9">
        <f>BX5+BY5+BZ5</f>
        <v/>
      </c>
      <c r="CB5" s="12">
        <f>SUM(CA$5:CA5)</f>
        <v/>
      </c>
      <c r="CC5" s="12">
        <f>IF(VATAgentMode,SUM($CA$5:$CA5)-SUM($CH$5:$CH5)&gt;=VATThreshold,SUM($CA$5:$CA5)&gt;=VATThreshold)</f>
        <v/>
      </c>
      <c r="CD5" s="9">
        <f>IF(CC5,IF(VATAgentMode,CA5-((CA5-CH5)-(CA5-CH5)/(1+VATRate)),CA5/(1+VATRate)),CA5)</f>
        <v/>
      </c>
      <c r="CE5" s="12">
        <f>CA5-CD5</f>
        <v/>
      </c>
      <c r="CF5" s="12">
        <f>IF(CC5=0,0,IF(AX5=1,SUMPRODUCT(--(($AY$5:$AY5=$AY5-1)*($AX$5:$AX5&gt;=10)*($AX$5:$AX5&lt;=12)),$CE$5:$CE5),IF(AX5=4,SUMPRODUCT(--(($AY$5:$AY5=$AY5)*($AX$5:$AX5&gt;=1)*($AX$5:$AX5&lt;=3)),$CE$5:$CE5),IF(AX5=7,SUMPRODUCT(--(($AY$5:$AY5=$AY5)*($AX$5:$AX5&gt;=4)*($AX$5:$AX5&lt;=6)),$CE$5:$CE5),IF(AX5=10,SUMPRODUCT(--(($AY$5:$AY5=$AY5)*($AX$5:$AX5&gt;=7)*($AX$5:$AX5&lt;=9)),$CE$5:$CE5),0)))))</f>
        <v/>
      </c>
      <c r="CG5" s="12">
        <f>CE5-CF5</f>
        <v/>
      </c>
      <c r="CH5" s="12">
        <f>IF(ProviderDelay&gt;=1,0,BO5*BlendedProvPayEss+BP5*BlendedProvPayPrem+BQ5*BlendedProvPayElite+BR5*BlendedProvPayEss+BS5*BlendedProvPayPrem+BT5*BlendedProvPayElite)</f>
        <v/>
      </c>
      <c r="CI5" s="12">
        <f>CA5*PaymentFee</f>
        <v/>
      </c>
      <c r="CJ5" s="12">
        <f>BU5*OpsAI</f>
        <v/>
      </c>
      <c r="CK5" s="12">
        <f>MonthlyFixed</f>
        <v/>
      </c>
      <c r="CL5" s="12">
        <f>BE5*ReferralReward</f>
        <v/>
      </c>
      <c r="CM5" s="12">
        <f>BC5</f>
        <v/>
      </c>
      <c r="CN5" s="9">
        <f>CD5-CH5-CI5-CJ5-CK5-CL5-CM5</f>
        <v/>
      </c>
      <c r="CO5" s="9">
        <f>InitialInvestment+CA5-(CH5+CI5+CJ5+CK5+CL5+CM5+CF5)</f>
        <v/>
      </c>
      <c r="CP5" s="12">
        <f>IF(BU5&gt;0,BV5/BU5,0)</f>
        <v/>
      </c>
      <c r="CQ5" s="11" t="n">
        <v>0</v>
      </c>
      <c r="CS5" s="12" t="n">
        <v>1</v>
      </c>
      <c r="CT5" s="12">
        <f>MOD(CS5-1+LaunchMonth-1,12)+1</f>
        <v/>
      </c>
      <c r="CU5" s="12">
        <f>INT((CS5-1+LaunchMonth-1)/12)+1</f>
        <v/>
      </c>
      <c r="CV5" s="12">
        <f>VLOOKUP(CT5,SeasonTable,2,FALSE)</f>
        <v/>
      </c>
      <c r="CW5" s="12">
        <f>(1+InflationRate)^INT((CS5-1)/12)</f>
        <v/>
      </c>
      <c r="CX5" s="11">
        <f>'Sens - Scenarios'!$D$5*VLOOKUP(CT5,ChurnSeasonTable,4,FALSE)</f>
        <v/>
      </c>
      <c r="CY5" s="12">
        <f>MktFixed1_3</f>
        <v/>
      </c>
      <c r="CZ5" s="12">
        <f>IF(CY5&gt;0,MAX(1,ROUND(CY5/'Sens - Scenarios'!$D$8*CV5,0)),0)</f>
        <v/>
      </c>
      <c r="DA5" s="12">
        <f>IF(CZ5&gt;0,ROUND(CZ5*ReferralMix/(1-ReferralMix),0),0)</f>
        <v/>
      </c>
      <c r="DB5" s="12">
        <f>CZ5+DA5</f>
        <v/>
      </c>
      <c r="DC5" s="12">
        <f>ROUND(DB5*(1-'Sens - Scenarios'!$D$7),0)</f>
        <v/>
      </c>
      <c r="DD5" s="12">
        <f>DB5-DC5</f>
        <v/>
      </c>
      <c r="DE5" s="12">
        <f>ROUND(DC5*EssentialMix,0)</f>
        <v/>
      </c>
      <c r="DF5" s="12">
        <f>ROUND(DC5*PremiumMix,0)</f>
        <v/>
      </c>
      <c r="DG5" s="12">
        <f>DC5-DE5-DF5</f>
        <v/>
      </c>
      <c r="DH5" s="12">
        <f>ROUND(DD5*EssentialMix,0)</f>
        <v/>
      </c>
      <c r="DI5" s="12">
        <f>ROUND(DD5*PremiumMix,0)</f>
        <v/>
      </c>
      <c r="DJ5" s="12">
        <f>DD5-DH5-DI5</f>
        <v/>
      </c>
      <c r="DK5" s="12">
        <f>DE5</f>
        <v/>
      </c>
      <c r="DL5" s="12">
        <f>DF5</f>
        <v/>
      </c>
      <c r="DM5" s="12">
        <f>DG5</f>
        <v/>
      </c>
      <c r="DN5" s="12">
        <f>DH5</f>
        <v/>
      </c>
      <c r="DO5" s="12">
        <f>DI5</f>
        <v/>
      </c>
      <c r="DP5" s="12">
        <f>DJ5</f>
        <v/>
      </c>
      <c r="DQ5" s="12">
        <f>DK5+DL5+DM5+DN5+DO5+DP5</f>
        <v/>
      </c>
      <c r="DR5" s="9">
        <f>DK5*BlendedPriceEssMonthly*CW5+DL5*BlendedPricePremMonthly*CW5+DM5*BlendedPriceEliteMonthly*CW5+DN5*BlendedPriceEssAnnual*CW5/12+DO5*BlendedPricePremAnnual*CW5/12+DP5*BlendedPriceEliteAnnual*CW5/12</f>
        <v/>
      </c>
      <c r="DS5" s="9">
        <f>DR5*12</f>
        <v/>
      </c>
      <c r="DT5" s="12">
        <f>DK5*BlendedPriceEssMonthly*CW5+DL5*BlendedPricePremMonthly*CW5+DM5*BlendedPriceEliteMonthly*CW5</f>
        <v/>
      </c>
      <c r="DU5" s="12">
        <f>DH5*BlendedPriceEssAnnual*CW5+DI5*BlendedPricePremAnnual*CW5+DJ5*BlendedPriceEliteAnnual*CW5</f>
        <v/>
      </c>
      <c r="DV5" s="12">
        <f>0+0+0</f>
        <v/>
      </c>
      <c r="DW5" s="9">
        <f>DT5+DU5+DV5</f>
        <v/>
      </c>
      <c r="DX5" s="12">
        <f>SUM(DW$5:DW5)</f>
        <v/>
      </c>
      <c r="DY5" s="12">
        <f>IF(VATAgentMode,SUM($DW$5:$DW5)-SUM($ED$5:$ED5)&gt;=VATThreshold,SUM($DW$5:$DW5)&gt;=VATThreshold)</f>
        <v/>
      </c>
      <c r="DZ5" s="9">
        <f>IF(DY5,IF(VATAgentMode,DW5-((DW5-ED5)-(DW5-ED5)/(1+VATRate)),DW5/(1+VATRate)),DW5)</f>
        <v/>
      </c>
      <c r="EA5" s="12">
        <f>DW5-DZ5</f>
        <v/>
      </c>
      <c r="EB5" s="12">
        <f>IF(DY5=0,0,IF(CT5=1,SUMPRODUCT(--(($CU$5:$CU5=$CU5-1)*($CT$5:$CT5&gt;=10)*($CT$5:$CT5&lt;=12)),$EA$5:$EA5),IF(CT5=4,SUMPRODUCT(--(($CU$5:$CU5=$CU5)*($CT$5:$CT5&gt;=1)*($CT$5:$CT5&lt;=3)),$EA$5:$EA5),IF(CT5=7,SUMPRODUCT(--(($CU$5:$CU5=$CU5)*($CT$5:$CT5&gt;=4)*($CT$5:$CT5&lt;=6)),$EA$5:$EA5),IF(CT5=10,SUMPRODUCT(--(($CU$5:$CU5=$CU5)*($CT$5:$CT5&gt;=7)*($CT$5:$CT5&lt;=9)),$EA$5:$EA5),0)))))</f>
        <v/>
      </c>
      <c r="EC5" s="12">
        <f>EA5-EB5</f>
        <v/>
      </c>
      <c r="ED5" s="12">
        <f>IF(ProviderDelay&gt;=1,0,DK5*BlendedProvPayEss+DL5*BlendedProvPayPrem+DM5*BlendedProvPayElite+DN5*BlendedProvPayEss+DO5*BlendedProvPayPrem+DP5*BlendedProvPayElite)</f>
        <v/>
      </c>
      <c r="EE5" s="12">
        <f>DW5*PaymentFee</f>
        <v/>
      </c>
      <c r="EF5" s="12">
        <f>DQ5*OpsAI</f>
        <v/>
      </c>
      <c r="EG5" s="12">
        <f>MonthlyFixed</f>
        <v/>
      </c>
      <c r="EH5" s="12">
        <f>DA5*ReferralReward</f>
        <v/>
      </c>
      <c r="EI5" s="12">
        <f>CY5</f>
        <v/>
      </c>
      <c r="EJ5" s="9">
        <f>DZ5-ED5-EE5-EF5-EG5-EH5-EI5</f>
        <v/>
      </c>
      <c r="EK5" s="9">
        <f>InitialInvestment+DW5-(ED5+EE5+EF5+EG5+EH5+EI5+EB5)</f>
        <v/>
      </c>
      <c r="EL5" s="12">
        <f>IF(DQ5&gt;0,DR5/DQ5,0)</f>
        <v/>
      </c>
      <c r="EM5" s="11" t="n">
        <v>0</v>
      </c>
      <c r="EO5" s="12" t="n">
        <v>1</v>
      </c>
      <c r="EP5" s="12">
        <f>MOD(EO5-1+LaunchMonth-1,12)+1</f>
        <v/>
      </c>
      <c r="EQ5" s="12">
        <f>INT((EO5-1+LaunchMonth-1)/12)+1</f>
        <v/>
      </c>
      <c r="ER5" s="12">
        <f>VLOOKUP(EP5,SeasonTable,2,FALSE)</f>
        <v/>
      </c>
      <c r="ES5" s="12">
        <f>(1+InflationRate)^INT((EO5-1)/12)</f>
        <v/>
      </c>
      <c r="ET5" s="11">
        <f>'Sens - Churn'!$A$13*VLOOKUP(EP5,ChurnSeasonTable,4,FALSE)</f>
        <v/>
      </c>
      <c r="EU5" s="12">
        <f>MktFixed1_3</f>
        <v/>
      </c>
      <c r="EV5" s="12">
        <f>IF(EU5&gt;0,MAX(1,ROUND(EU5/CAC*ER5,0)),0)</f>
        <v/>
      </c>
      <c r="EW5" s="12">
        <f>IF(EV5&gt;0,ROUND(EV5*ReferralMix/(1-ReferralMix),0),0)</f>
        <v/>
      </c>
      <c r="EX5" s="12">
        <f>EV5+EW5</f>
        <v/>
      </c>
      <c r="EY5" s="12">
        <f>ROUND(EX5*(1-AnnualMix),0)</f>
        <v/>
      </c>
      <c r="EZ5" s="12">
        <f>EX5-EY5</f>
        <v/>
      </c>
      <c r="FA5" s="12">
        <f>ROUND(EY5*EssentialMix,0)</f>
        <v/>
      </c>
      <c r="FB5" s="12">
        <f>ROUND(EY5*PremiumMix,0)</f>
        <v/>
      </c>
      <c r="FC5" s="12">
        <f>EY5-FA5-FB5</f>
        <v/>
      </c>
      <c r="FD5" s="12">
        <f>ROUND(EZ5*EssentialMix,0)</f>
        <v/>
      </c>
      <c r="FE5" s="12">
        <f>ROUND(EZ5*PremiumMix,0)</f>
        <v/>
      </c>
      <c r="FF5" s="12">
        <f>EZ5-FD5-FE5</f>
        <v/>
      </c>
      <c r="FG5" s="12">
        <f>FA5</f>
        <v/>
      </c>
      <c r="FH5" s="12">
        <f>FB5</f>
        <v/>
      </c>
      <c r="FI5" s="12">
        <f>FC5</f>
        <v/>
      </c>
      <c r="FJ5" s="12">
        <f>FD5</f>
        <v/>
      </c>
      <c r="FK5" s="12">
        <f>FE5</f>
        <v/>
      </c>
      <c r="FL5" s="12">
        <f>FF5</f>
        <v/>
      </c>
      <c r="FM5" s="12">
        <f>FG5+FH5+FI5+FJ5+FK5+FL5</f>
        <v/>
      </c>
      <c r="FN5" s="9">
        <f>FG5*BlendedPriceEssMonthly*ES5+FH5*BlendedPricePremMonthly*ES5+FI5*BlendedPriceEliteMonthly*ES5+FJ5*BlendedPriceEssAnnual*ES5/12+FK5*BlendedPricePremAnnual*ES5/12+FL5*BlendedPriceEliteAnnual*ES5/12</f>
        <v/>
      </c>
      <c r="FO5" s="9">
        <f>FN5*12</f>
        <v/>
      </c>
      <c r="FP5" s="12">
        <f>FG5*BlendedPriceEssMonthly*ES5+FH5*BlendedPricePremMonthly*ES5+FI5*BlendedPriceEliteMonthly*ES5</f>
        <v/>
      </c>
      <c r="FQ5" s="12">
        <f>FD5*BlendedPriceEssAnnual*ES5+FE5*BlendedPricePremAnnual*ES5+FF5*BlendedPriceEliteAnnual*ES5</f>
        <v/>
      </c>
      <c r="FR5" s="12">
        <f>0+0+0</f>
        <v/>
      </c>
      <c r="FS5" s="9">
        <f>FP5+FQ5+FR5</f>
        <v/>
      </c>
      <c r="FT5" s="12">
        <f>SUM(FS$5:FS5)</f>
        <v/>
      </c>
      <c r="FU5" s="12">
        <f>IF(VATAgentMode,SUM($FS$5:$FS5)-SUM($FZ$5:$FZ5)&gt;=VATThreshold,SUM($FS$5:$FS5)&gt;=VATThreshold)</f>
        <v/>
      </c>
      <c r="FV5" s="9">
        <f>IF(FU5,IF(VATAgentMode,FS5-((FS5-FZ5)-(FS5-FZ5)/(1+VATRate)),FS5/(1+VATRate)),FS5)</f>
        <v/>
      </c>
      <c r="FW5" s="12">
        <f>FS5-FV5</f>
        <v/>
      </c>
      <c r="FX5" s="12">
        <f>IF(FU5=0,0,IF(EP5=1,SUMPRODUCT(--(($EQ$5:$EQ5=$EQ5-1)*($EP$5:$EP5&gt;=10)*($EP$5:$EP5&lt;=12)),$FW$5:$FW5),IF(EP5=4,SUMPRODUCT(--(($EQ$5:$EQ5=$EQ5)*($EP$5:$EP5&gt;=1)*($EP$5:$EP5&lt;=3)),$FW$5:$FW5),IF(EP5=7,SUMPRODUCT(--(($EQ$5:$EQ5=$EQ5)*($EP$5:$EP5&gt;=4)*($EP$5:$EP5&lt;=6)),$FW$5:$FW5),IF(EP5=10,SUMPRODUCT(--(($EQ$5:$EQ5=$EQ5)*($EP$5:$EP5&gt;=7)*($EP$5:$EP5&lt;=9)),$FW$5:$FW5),0)))))</f>
        <v/>
      </c>
      <c r="FY5" s="12">
        <f>FW5-FX5</f>
        <v/>
      </c>
      <c r="FZ5" s="12">
        <f>IF(ProviderDelay&gt;=1,0,FG5*BlendedProvPayEss+FH5*BlendedProvPayPrem+FI5*BlendedProvPayElite+FJ5*BlendedProvPayEss+FK5*BlendedProvPayPrem+FL5*BlendedProvPayElite)</f>
        <v/>
      </c>
      <c r="GA5" s="12">
        <f>FS5*PaymentFee</f>
        <v/>
      </c>
      <c r="GB5" s="12">
        <f>FM5*OpsAI</f>
        <v/>
      </c>
      <c r="GC5" s="12">
        <f>MonthlyFixed</f>
        <v/>
      </c>
      <c r="GD5" s="12">
        <f>EW5*ReferralReward</f>
        <v/>
      </c>
      <c r="GE5" s="12">
        <f>EU5</f>
        <v/>
      </c>
      <c r="GF5" s="9">
        <f>FV5-FZ5-GA5-GB5-GC5-GD5-GE5</f>
        <v/>
      </c>
      <c r="GG5" s="9">
        <f>InitialInvestment+FS5-(FZ5+GA5+GB5+GC5+GD5+GE5+FX5)</f>
        <v/>
      </c>
      <c r="GH5" s="12">
        <f>IF(FM5&gt;0,FN5/FM5,0)</f>
        <v/>
      </c>
      <c r="GI5" s="11" t="n">
        <v>0</v>
      </c>
      <c r="GK5" s="12" t="n">
        <v>1</v>
      </c>
      <c r="GL5" s="12">
        <f>MOD(GK5-1+LaunchMonth-1,12)+1</f>
        <v/>
      </c>
      <c r="GM5" s="12">
        <f>INT((GK5-1+LaunchMonth-1)/12)+1</f>
        <v/>
      </c>
      <c r="GN5" s="12">
        <f>VLOOKUP(GL5,SeasonTable,2,FALSE)</f>
        <v/>
      </c>
      <c r="GO5" s="12">
        <f>(1+InflationRate)^INT((GK5-1)/12)</f>
        <v/>
      </c>
      <c r="GP5" s="11">
        <f>'Sens - Churn'!$A$14*VLOOKUP(GL5,ChurnSeasonTable,4,FALSE)</f>
        <v/>
      </c>
      <c r="GQ5" s="12">
        <f>MktFixed1_3</f>
        <v/>
      </c>
      <c r="GR5" s="12">
        <f>IF(GQ5&gt;0,MAX(1,ROUND(GQ5/CAC*GN5,0)),0)</f>
        <v/>
      </c>
      <c r="GS5" s="12">
        <f>IF(GR5&gt;0,ROUND(GR5*ReferralMix/(1-ReferralMix),0),0)</f>
        <v/>
      </c>
      <c r="GT5" s="12">
        <f>GR5+GS5</f>
        <v/>
      </c>
      <c r="GU5" s="12">
        <f>ROUND(GT5*(1-AnnualMix),0)</f>
        <v/>
      </c>
      <c r="GV5" s="12">
        <f>GT5-GU5</f>
        <v/>
      </c>
      <c r="GW5" s="12">
        <f>ROUND(GU5*EssentialMix,0)</f>
        <v/>
      </c>
      <c r="GX5" s="12">
        <f>ROUND(GU5*PremiumMix,0)</f>
        <v/>
      </c>
      <c r="GY5" s="12">
        <f>GU5-GW5-GX5</f>
        <v/>
      </c>
      <c r="GZ5" s="12">
        <f>ROUND(GV5*EssentialMix,0)</f>
        <v/>
      </c>
      <c r="HA5" s="12">
        <f>ROUND(GV5*PremiumMix,0)</f>
        <v/>
      </c>
      <c r="HB5" s="12">
        <f>GV5-GZ5-HA5</f>
        <v/>
      </c>
      <c r="HC5" s="12">
        <f>GW5</f>
        <v/>
      </c>
      <c r="HD5" s="12">
        <f>GX5</f>
        <v/>
      </c>
      <c r="HE5" s="12">
        <f>GY5</f>
        <v/>
      </c>
      <c r="HF5" s="12">
        <f>GZ5</f>
        <v/>
      </c>
      <c r="HG5" s="12">
        <f>HA5</f>
        <v/>
      </c>
      <c r="HH5" s="12">
        <f>HB5</f>
        <v/>
      </c>
      <c r="HI5" s="12">
        <f>HC5+HD5+HE5+HF5+HG5+HH5</f>
        <v/>
      </c>
      <c r="HJ5" s="9">
        <f>HC5*BlendedPriceEssMonthly*GO5+HD5*BlendedPricePremMonthly*GO5+HE5*BlendedPriceEliteMonthly*GO5+HF5*BlendedPriceEssAnnual*GO5/12+HG5*BlendedPricePremAnnual*GO5/12+HH5*BlendedPriceEliteAnnual*GO5/12</f>
        <v/>
      </c>
      <c r="HK5" s="9">
        <f>HJ5*12</f>
        <v/>
      </c>
      <c r="HL5" s="12">
        <f>HC5*BlendedPriceEssMonthly*GO5+HD5*BlendedPricePremMonthly*GO5+HE5*BlendedPriceEliteMonthly*GO5</f>
        <v/>
      </c>
      <c r="HM5" s="12">
        <f>GZ5*BlendedPriceEssAnnual*GO5+HA5*BlendedPricePremAnnual*GO5+HB5*BlendedPriceEliteAnnual*GO5</f>
        <v/>
      </c>
      <c r="HN5" s="12">
        <f>0+0+0</f>
        <v/>
      </c>
      <c r="HO5" s="9">
        <f>HL5+HM5+HN5</f>
        <v/>
      </c>
      <c r="HP5" s="12">
        <f>SUM(HO$5:HO5)</f>
        <v/>
      </c>
      <c r="HQ5" s="12">
        <f>IF(VATAgentMode,SUM($HO$5:$HO5)-SUM($HV$5:$HV5)&gt;=VATThreshold,SUM($HO$5:$HO5)&gt;=VATThreshold)</f>
        <v/>
      </c>
      <c r="HR5" s="9">
        <f>IF(HQ5,IF(VATAgentMode,HO5-((HO5-HV5)-(HO5-HV5)/(1+VATRate)),HO5/(1+VATRate)),HO5)</f>
        <v/>
      </c>
      <c r="HS5" s="12">
        <f>HO5-HR5</f>
        <v/>
      </c>
      <c r="HT5" s="12">
        <f>IF(HQ5=0,0,IF(GL5=1,SUMPRODUCT(--(($GM$5:$GM5=$GM5-1)*($GL$5:$GL5&gt;=10)*($GL$5:$GL5&lt;=12)),$HS$5:$HS5),IF(GL5=4,SUMPRODUCT(--(($GM$5:$GM5=$GM5)*($GL$5:$GL5&gt;=1)*($GL$5:$GL5&lt;=3)),$HS$5:$HS5),IF(GL5=7,SUMPRODUCT(--(($GM$5:$GM5=$GM5)*($GL$5:$GL5&gt;=4)*($GL$5:$GL5&lt;=6)),$HS$5:$HS5),IF(GL5=10,SUMPRODUCT(--(($GM$5:$GM5=$GM5)*($GL$5:$GL5&gt;=7)*($GL$5:$GL5&lt;=9)),$HS$5:$HS5),0)))))</f>
        <v/>
      </c>
      <c r="HU5" s="12">
        <f>HS5-HT5</f>
        <v/>
      </c>
      <c r="HV5" s="12">
        <f>IF(ProviderDelay&gt;=1,0,HC5*BlendedProvPayEss+HD5*BlendedProvPayPrem+HE5*BlendedProvPayElite+HF5*BlendedProvPayEss+HG5*BlendedProvPayPrem+HH5*BlendedProvPayElite)</f>
        <v/>
      </c>
      <c r="HW5" s="12">
        <f>HO5*PaymentFee</f>
        <v/>
      </c>
      <c r="HX5" s="12">
        <f>HI5*OpsAI</f>
        <v/>
      </c>
      <c r="HY5" s="12">
        <f>MonthlyFixed</f>
        <v/>
      </c>
      <c r="HZ5" s="12">
        <f>GS5*ReferralReward</f>
        <v/>
      </c>
      <c r="IA5" s="12">
        <f>GQ5</f>
        <v/>
      </c>
      <c r="IB5" s="9">
        <f>HR5-HV5-HW5-HX5-HY5-HZ5-IA5</f>
        <v/>
      </c>
      <c r="IC5" s="9">
        <f>InitialInvestment+HO5-(HV5+HW5+HX5+HY5+HZ5+IA5+HT5)</f>
        <v/>
      </c>
      <c r="ID5" s="12">
        <f>IF(HI5&gt;0,HJ5/HI5,0)</f>
        <v/>
      </c>
      <c r="IE5" s="11" t="n">
        <v>0</v>
      </c>
      <c r="IG5" s="12" t="n">
        <v>1</v>
      </c>
      <c r="IH5" s="12">
        <f>MOD(IG5-1+LaunchMonth-1,12)+1</f>
        <v/>
      </c>
      <c r="II5" s="12">
        <f>INT((IG5-1+LaunchMonth-1)/12)+1</f>
        <v/>
      </c>
      <c r="IJ5" s="12">
        <f>VLOOKUP(IH5,SeasonTable,2,FALSE)</f>
        <v/>
      </c>
      <c r="IK5" s="12">
        <f>(1+InflationRate)^INT((IG5-1)/12)</f>
        <v/>
      </c>
      <c r="IL5" s="11">
        <f>'Sens - Churn'!$A$15*VLOOKUP(IH5,ChurnSeasonTable,4,FALSE)</f>
        <v/>
      </c>
      <c r="IM5" s="12">
        <f>MktFixed1_3</f>
        <v/>
      </c>
      <c r="IN5" s="12">
        <f>IF(IM5&gt;0,MAX(1,ROUND(IM5/CAC*IJ5,0)),0)</f>
        <v/>
      </c>
      <c r="IO5" s="12">
        <f>IF(IN5&gt;0,ROUND(IN5*ReferralMix/(1-ReferralMix),0),0)</f>
        <v/>
      </c>
      <c r="IP5" s="12">
        <f>IN5+IO5</f>
        <v/>
      </c>
      <c r="IQ5" s="12">
        <f>ROUND(IP5*(1-AnnualMix),0)</f>
        <v/>
      </c>
      <c r="IR5" s="12">
        <f>IP5-IQ5</f>
        <v/>
      </c>
      <c r="IS5" s="12">
        <f>ROUND(IQ5*EssentialMix,0)</f>
        <v/>
      </c>
      <c r="IT5" s="12">
        <f>ROUND(IQ5*PremiumMix,0)</f>
        <v/>
      </c>
      <c r="IU5" s="12">
        <f>IQ5-IS5-IT5</f>
        <v/>
      </c>
      <c r="IV5" s="12">
        <f>ROUND(IR5*EssentialMix,0)</f>
        <v/>
      </c>
      <c r="IW5" s="12">
        <f>ROUND(IR5*PremiumMix,0)</f>
        <v/>
      </c>
      <c r="IX5" s="12">
        <f>IR5-IV5-IW5</f>
        <v/>
      </c>
      <c r="IY5" s="12">
        <f>IS5</f>
        <v/>
      </c>
      <c r="IZ5" s="12">
        <f>IT5</f>
        <v/>
      </c>
      <c r="JA5" s="12">
        <f>IU5</f>
        <v/>
      </c>
      <c r="JB5" s="12">
        <f>IV5</f>
        <v/>
      </c>
      <c r="JC5" s="12">
        <f>IW5</f>
        <v/>
      </c>
      <c r="JD5" s="12">
        <f>IX5</f>
        <v/>
      </c>
      <c r="JE5" s="12">
        <f>IY5+IZ5+JA5+JB5+JC5+JD5</f>
        <v/>
      </c>
      <c r="JF5" s="9">
        <f>IY5*BlendedPriceEssMonthly*IK5+IZ5*BlendedPricePremMonthly*IK5+JA5*BlendedPriceEliteMonthly*IK5+JB5*BlendedPriceEssAnnual*IK5/12+JC5*BlendedPricePremAnnual*IK5/12+JD5*BlendedPriceEliteAnnual*IK5/12</f>
        <v/>
      </c>
      <c r="JG5" s="9">
        <f>JF5*12</f>
        <v/>
      </c>
      <c r="JH5" s="12">
        <f>IY5*BlendedPriceEssMonthly*IK5+IZ5*BlendedPricePremMonthly*IK5+JA5*BlendedPriceEliteMonthly*IK5</f>
        <v/>
      </c>
      <c r="JI5" s="12">
        <f>IV5*BlendedPriceEssAnnual*IK5+IW5*BlendedPricePremAnnual*IK5+IX5*BlendedPriceEliteAnnual*IK5</f>
        <v/>
      </c>
      <c r="JJ5" s="12">
        <f>0+0+0</f>
        <v/>
      </c>
      <c r="JK5" s="9">
        <f>JH5+JI5+JJ5</f>
        <v/>
      </c>
      <c r="JL5" s="12">
        <f>SUM(JK$5:JK5)</f>
        <v/>
      </c>
      <c r="JM5" s="12">
        <f>IF(VATAgentMode,SUM($JK$5:$JK5)-SUM($JR$5:$JR5)&gt;=VATThreshold,SUM($JK$5:$JK5)&gt;=VATThreshold)</f>
        <v/>
      </c>
      <c r="JN5" s="9">
        <f>IF(JM5,IF(VATAgentMode,JK5-((JK5-JR5)-(JK5-JR5)/(1+VATRate)),JK5/(1+VATRate)),JK5)</f>
        <v/>
      </c>
      <c r="JO5" s="12">
        <f>JK5-JN5</f>
        <v/>
      </c>
      <c r="JP5" s="12">
        <f>IF(JM5=0,0,IF(IH5=1,SUMPRODUCT(--(($II$5:$II5=$II5-1)*($IH$5:$IH5&gt;=10)*($IH$5:$IH5&lt;=12)),$JO$5:$JO5),IF(IH5=4,SUMPRODUCT(--(($II$5:$II5=$II5)*($IH$5:$IH5&gt;=1)*($IH$5:$IH5&lt;=3)),$JO$5:$JO5),IF(IH5=7,SUMPRODUCT(--(($II$5:$II5=$II5)*($IH$5:$IH5&gt;=4)*($IH$5:$IH5&lt;=6)),$JO$5:$JO5),IF(IH5=10,SUMPRODUCT(--(($II$5:$II5=$II5)*($IH$5:$IH5&gt;=7)*($IH$5:$IH5&lt;=9)),$JO$5:$JO5),0)))))</f>
        <v/>
      </c>
      <c r="JQ5" s="12">
        <f>JO5-JP5</f>
        <v/>
      </c>
      <c r="JR5" s="12">
        <f>IF(ProviderDelay&gt;=1,0,IY5*BlendedProvPayEss+IZ5*BlendedProvPayPrem+JA5*BlendedProvPayElite+JB5*BlendedProvPayEss+JC5*BlendedProvPayPrem+JD5*BlendedProvPayElite)</f>
        <v/>
      </c>
      <c r="JS5" s="12">
        <f>JK5*PaymentFee</f>
        <v/>
      </c>
      <c r="JT5" s="12">
        <f>JE5*OpsAI</f>
        <v/>
      </c>
      <c r="JU5" s="12">
        <f>MonthlyFixed</f>
        <v/>
      </c>
      <c r="JV5" s="12">
        <f>IO5*ReferralReward</f>
        <v/>
      </c>
      <c r="JW5" s="12">
        <f>IM5</f>
        <v/>
      </c>
      <c r="JX5" s="9">
        <f>JN5-JR5-JS5-JT5-JU5-JV5-JW5</f>
        <v/>
      </c>
      <c r="JY5" s="9">
        <f>InitialInvestment+JK5-(JR5+JS5+JT5+JU5+JV5+JW5+JP5)</f>
        <v/>
      </c>
      <c r="JZ5" s="12">
        <f>IF(JE5&gt;0,JF5/JE5,0)</f>
        <v/>
      </c>
      <c r="KA5" s="11" t="n">
        <v>0</v>
      </c>
      <c r="KC5" s="12" t="n">
        <v>1</v>
      </c>
      <c r="KD5" s="12">
        <f>MOD(KC5-1+LaunchMonth-1,12)+1</f>
        <v/>
      </c>
      <c r="KE5" s="12">
        <f>INT((KC5-1+LaunchMonth-1)/12)+1</f>
        <v/>
      </c>
      <c r="KF5" s="12">
        <f>VLOOKUP(KD5,SeasonTable,2,FALSE)</f>
        <v/>
      </c>
      <c r="KG5" s="12">
        <f>(1+InflationRate)^INT((KC5-1)/12)</f>
        <v/>
      </c>
      <c r="KH5" s="11">
        <f>'Sens - Churn'!$A$16*VLOOKUP(KD5,ChurnSeasonTable,4,FALSE)</f>
        <v/>
      </c>
      <c r="KI5" s="12">
        <f>MktFixed1_3</f>
        <v/>
      </c>
      <c r="KJ5" s="12">
        <f>IF(KI5&gt;0,MAX(1,ROUND(KI5/CAC*KF5,0)),0)</f>
        <v/>
      </c>
      <c r="KK5" s="12">
        <f>IF(KJ5&gt;0,ROUND(KJ5*ReferralMix/(1-ReferralMix),0),0)</f>
        <v/>
      </c>
      <c r="KL5" s="12">
        <f>KJ5+KK5</f>
        <v/>
      </c>
      <c r="KM5" s="12">
        <f>ROUND(KL5*(1-AnnualMix),0)</f>
        <v/>
      </c>
      <c r="KN5" s="12">
        <f>KL5-KM5</f>
        <v/>
      </c>
      <c r="KO5" s="12">
        <f>ROUND(KM5*EssentialMix,0)</f>
        <v/>
      </c>
      <c r="KP5" s="12">
        <f>ROUND(KM5*PremiumMix,0)</f>
        <v/>
      </c>
      <c r="KQ5" s="12">
        <f>KM5-KO5-KP5</f>
        <v/>
      </c>
      <c r="KR5" s="12">
        <f>ROUND(KN5*EssentialMix,0)</f>
        <v/>
      </c>
      <c r="KS5" s="12">
        <f>ROUND(KN5*PremiumMix,0)</f>
        <v/>
      </c>
      <c r="KT5" s="12">
        <f>KN5-KR5-KS5</f>
        <v/>
      </c>
      <c r="KU5" s="12">
        <f>KO5</f>
        <v/>
      </c>
      <c r="KV5" s="12">
        <f>KP5</f>
        <v/>
      </c>
      <c r="KW5" s="12">
        <f>KQ5</f>
        <v/>
      </c>
      <c r="KX5" s="12">
        <f>KR5</f>
        <v/>
      </c>
      <c r="KY5" s="12">
        <f>KS5</f>
        <v/>
      </c>
      <c r="KZ5" s="12">
        <f>KT5</f>
        <v/>
      </c>
      <c r="LA5" s="12">
        <f>KU5+KV5+KW5+KX5+KY5+KZ5</f>
        <v/>
      </c>
      <c r="LB5" s="9">
        <f>KU5*BlendedPriceEssMonthly*KG5+KV5*BlendedPricePremMonthly*KG5+KW5*BlendedPriceEliteMonthly*KG5+KX5*BlendedPriceEssAnnual*KG5/12+KY5*BlendedPricePremAnnual*KG5/12+KZ5*BlendedPriceEliteAnnual*KG5/12</f>
        <v/>
      </c>
      <c r="LC5" s="9">
        <f>LB5*12</f>
        <v/>
      </c>
      <c r="LD5" s="12">
        <f>KU5*BlendedPriceEssMonthly*KG5+KV5*BlendedPricePremMonthly*KG5+KW5*BlendedPriceEliteMonthly*KG5</f>
        <v/>
      </c>
      <c r="LE5" s="12">
        <f>KR5*BlendedPriceEssAnnual*KG5+KS5*BlendedPricePremAnnual*KG5+KT5*BlendedPriceEliteAnnual*KG5</f>
        <v/>
      </c>
      <c r="LF5" s="12">
        <f>0+0+0</f>
        <v/>
      </c>
      <c r="LG5" s="9">
        <f>LD5+LE5+LF5</f>
        <v/>
      </c>
      <c r="LH5" s="12">
        <f>SUM(LG$5:LG5)</f>
        <v/>
      </c>
      <c r="LI5" s="12">
        <f>IF(VATAgentMode,SUM($LG$5:$LG5)-SUM($LN$5:$LN5)&gt;=VATThreshold,SUM($LG$5:$LG5)&gt;=VATThreshold)</f>
        <v/>
      </c>
      <c r="LJ5" s="9">
        <f>IF(LI5,IF(VATAgentMode,LG5-((LG5-LN5)-(LG5-LN5)/(1+VATRate)),LG5/(1+VATRate)),LG5)</f>
        <v/>
      </c>
      <c r="LK5" s="12">
        <f>LG5-LJ5</f>
        <v/>
      </c>
      <c r="LL5" s="12">
        <f>IF(LI5=0,0,IF(KD5=1,SUMPRODUCT(--(($KE$5:$KE5=$KE5-1)*($KD$5:$KD5&gt;=10)*($KD$5:$KD5&lt;=12)),$LK$5:$LK5),IF(KD5=4,SUMPRODUCT(--(($KE$5:$KE5=$KE5)*($KD$5:$KD5&gt;=1)*($KD$5:$KD5&lt;=3)),$LK$5:$LK5),IF(KD5=7,SUMPRODUCT(--(($KE$5:$KE5=$KE5)*($KD$5:$KD5&gt;=4)*($KD$5:$KD5&lt;=6)),$LK$5:$LK5),IF(KD5=10,SUMPRODUCT(--(($KE$5:$KE5=$KE5)*($KD$5:$KD5&gt;=7)*($KD$5:$KD5&lt;=9)),$LK$5:$LK5),0)))))</f>
        <v/>
      </c>
      <c r="LM5" s="12">
        <f>LK5-LL5</f>
        <v/>
      </c>
      <c r="LN5" s="12">
        <f>IF(ProviderDelay&gt;=1,0,KU5*BlendedProvPayEss+KV5*BlendedProvPayPrem+KW5*BlendedProvPayElite+KX5*BlendedProvPayEss+KY5*BlendedProvPayPrem+KZ5*BlendedProvPayElite)</f>
        <v/>
      </c>
      <c r="LO5" s="12">
        <f>LG5*PaymentFee</f>
        <v/>
      </c>
      <c r="LP5" s="12">
        <f>LA5*OpsAI</f>
        <v/>
      </c>
      <c r="LQ5" s="12">
        <f>MonthlyFixed</f>
        <v/>
      </c>
      <c r="LR5" s="12">
        <f>KK5*ReferralReward</f>
        <v/>
      </c>
      <c r="LS5" s="12">
        <f>KI5</f>
        <v/>
      </c>
      <c r="LT5" s="9">
        <f>LJ5-LN5-LO5-LP5-LQ5-LR5-LS5</f>
        <v/>
      </c>
      <c r="LU5" s="9">
        <f>InitialInvestment+LG5-(LN5+LO5+LP5+LQ5+LR5+LS5+LL5)</f>
        <v/>
      </c>
      <c r="LV5" s="12">
        <f>IF(LA5&gt;0,LB5/LA5,0)</f>
        <v/>
      </c>
      <c r="LW5" s="11" t="n">
        <v>0</v>
      </c>
      <c r="LY5" s="12" t="n">
        <v>1</v>
      </c>
      <c r="LZ5" s="12">
        <f>MOD(LY5-1+LaunchMonth-1,12)+1</f>
        <v/>
      </c>
      <c r="MA5" s="12">
        <f>INT((LY5-1+LaunchMonth-1)/12)+1</f>
        <v/>
      </c>
      <c r="MB5" s="12">
        <f>VLOOKUP(LZ5,SeasonTable,2,FALSE)</f>
        <v/>
      </c>
      <c r="MC5" s="12">
        <f>(1+InflationRate)^INT((LY5-1)/12)</f>
        <v/>
      </c>
      <c r="MD5" s="11">
        <f>'Sens - Churn'!$A$17*VLOOKUP(LZ5,ChurnSeasonTable,4,FALSE)</f>
        <v/>
      </c>
      <c r="ME5" s="12">
        <f>MktFixed1_3</f>
        <v/>
      </c>
      <c r="MF5" s="12">
        <f>IF(ME5&gt;0,MAX(1,ROUND(ME5/CAC*MB5,0)),0)</f>
        <v/>
      </c>
      <c r="MG5" s="12">
        <f>IF(MF5&gt;0,ROUND(MF5*ReferralMix/(1-ReferralMix),0),0)</f>
        <v/>
      </c>
      <c r="MH5" s="12">
        <f>MF5+MG5</f>
        <v/>
      </c>
      <c r="MI5" s="12">
        <f>ROUND(MH5*(1-AnnualMix),0)</f>
        <v/>
      </c>
      <c r="MJ5" s="12">
        <f>MH5-MI5</f>
        <v/>
      </c>
      <c r="MK5" s="12">
        <f>ROUND(MI5*EssentialMix,0)</f>
        <v/>
      </c>
      <c r="ML5" s="12">
        <f>ROUND(MI5*PremiumMix,0)</f>
        <v/>
      </c>
      <c r="MM5" s="12">
        <f>MI5-MK5-ML5</f>
        <v/>
      </c>
      <c r="MN5" s="12">
        <f>ROUND(MJ5*EssentialMix,0)</f>
        <v/>
      </c>
      <c r="MO5" s="12">
        <f>ROUND(MJ5*PremiumMix,0)</f>
        <v/>
      </c>
      <c r="MP5" s="12">
        <f>MJ5-MN5-MO5</f>
        <v/>
      </c>
      <c r="MQ5" s="12">
        <f>MK5</f>
        <v/>
      </c>
      <c r="MR5" s="12">
        <f>ML5</f>
        <v/>
      </c>
      <c r="MS5" s="12">
        <f>MM5</f>
        <v/>
      </c>
      <c r="MT5" s="12">
        <f>MN5</f>
        <v/>
      </c>
      <c r="MU5" s="12">
        <f>MO5</f>
        <v/>
      </c>
      <c r="MV5" s="12">
        <f>MP5</f>
        <v/>
      </c>
      <c r="MW5" s="12">
        <f>MQ5+MR5+MS5+MT5+MU5+MV5</f>
        <v/>
      </c>
      <c r="MX5" s="9">
        <f>MQ5*BlendedPriceEssMonthly*MC5+MR5*BlendedPricePremMonthly*MC5+MS5*BlendedPriceEliteMonthly*MC5+MT5*BlendedPriceEssAnnual*MC5/12+MU5*BlendedPricePremAnnual*MC5/12+MV5*BlendedPriceEliteAnnual*MC5/12</f>
        <v/>
      </c>
      <c r="MY5" s="9">
        <f>MX5*12</f>
        <v/>
      </c>
      <c r="MZ5" s="12">
        <f>MQ5*BlendedPriceEssMonthly*MC5+MR5*BlendedPricePremMonthly*MC5+MS5*BlendedPriceEliteMonthly*MC5</f>
        <v/>
      </c>
      <c r="NA5" s="12">
        <f>MN5*BlendedPriceEssAnnual*MC5+MO5*BlendedPricePremAnnual*MC5+MP5*BlendedPriceEliteAnnual*MC5</f>
        <v/>
      </c>
      <c r="NB5" s="12">
        <f>0+0+0</f>
        <v/>
      </c>
      <c r="NC5" s="9">
        <f>MZ5+NA5+NB5</f>
        <v/>
      </c>
      <c r="ND5" s="12">
        <f>SUM(NC$5:NC5)</f>
        <v/>
      </c>
      <c r="NE5" s="12">
        <f>IF(VATAgentMode,SUM($NC$5:$NC5)-SUM($NJ$5:$NJ5)&gt;=VATThreshold,SUM($NC$5:$NC5)&gt;=VATThreshold)</f>
        <v/>
      </c>
      <c r="NF5" s="9">
        <f>IF(NE5,IF(VATAgentMode,NC5-((NC5-NJ5)-(NC5-NJ5)/(1+VATRate)),NC5/(1+VATRate)),NC5)</f>
        <v/>
      </c>
      <c r="NG5" s="12">
        <f>NC5-NF5</f>
        <v/>
      </c>
      <c r="NH5" s="12">
        <f>IF(NE5=0,0,IF(LZ5=1,SUMPRODUCT(--(($MA$5:$MA5=$MA5-1)*($LZ$5:$LZ5&gt;=10)*($LZ$5:$LZ5&lt;=12)),$NG$5:$NG5),IF(LZ5=4,SUMPRODUCT(--(($MA$5:$MA5=$MA5)*($LZ$5:$LZ5&gt;=1)*($LZ$5:$LZ5&lt;=3)),$NG$5:$NG5),IF(LZ5=7,SUMPRODUCT(--(($MA$5:$MA5=$MA5)*($LZ$5:$LZ5&gt;=4)*($LZ$5:$LZ5&lt;=6)),$NG$5:$NG5),IF(LZ5=10,SUMPRODUCT(--(($MA$5:$MA5=$MA5)*($LZ$5:$LZ5&gt;=7)*($LZ$5:$LZ5&lt;=9)),$NG$5:$NG5),0)))))</f>
        <v/>
      </c>
      <c r="NI5" s="12">
        <f>NG5-NH5</f>
        <v/>
      </c>
      <c r="NJ5" s="12">
        <f>IF(ProviderDelay&gt;=1,0,MQ5*BlendedProvPayEss+MR5*BlendedProvPayPrem+MS5*BlendedProvPayElite+MT5*BlendedProvPayEss+MU5*BlendedProvPayPrem+MV5*BlendedProvPayElite)</f>
        <v/>
      </c>
      <c r="NK5" s="12">
        <f>NC5*PaymentFee</f>
        <v/>
      </c>
      <c r="NL5" s="12">
        <f>MW5*OpsAI</f>
        <v/>
      </c>
      <c r="NM5" s="12">
        <f>MonthlyFixed</f>
        <v/>
      </c>
      <c r="NN5" s="12">
        <f>MG5*ReferralReward</f>
        <v/>
      </c>
      <c r="NO5" s="12">
        <f>ME5</f>
        <v/>
      </c>
      <c r="NP5" s="9">
        <f>NF5-NJ5-NK5-NL5-NM5-NN5-NO5</f>
        <v/>
      </c>
      <c r="NQ5" s="9">
        <f>InitialInvestment+NC5-(NJ5+NK5+NL5+NM5+NN5+NO5+NH5)</f>
        <v/>
      </c>
      <c r="NR5" s="12">
        <f>IF(MW5&gt;0,MX5/MW5,0)</f>
        <v/>
      </c>
      <c r="NS5" s="11" t="n">
        <v>0</v>
      </c>
      <c r="NU5" s="12" t="n">
        <v>1</v>
      </c>
      <c r="NV5" s="12">
        <f>MOD(NU5-1+LaunchMonth-1,12)+1</f>
        <v/>
      </c>
      <c r="NW5" s="12">
        <f>INT((NU5-1+LaunchMonth-1)/12)+1</f>
        <v/>
      </c>
      <c r="NX5" s="12">
        <f>VLOOKUP(NV5,SeasonTable,2,FALSE)</f>
        <v/>
      </c>
      <c r="NY5" s="12">
        <f>(1+InflationRate)^INT((NU5-1)/12)</f>
        <v/>
      </c>
      <c r="NZ5" s="11">
        <f>'Sens - Churn'!$A$18*VLOOKUP(NV5,ChurnSeasonTable,4,FALSE)</f>
        <v/>
      </c>
      <c r="OA5" s="12">
        <f>MktFixed1_3</f>
        <v/>
      </c>
      <c r="OB5" s="12">
        <f>IF(OA5&gt;0,MAX(1,ROUND(OA5/CAC*NX5,0)),0)</f>
        <v/>
      </c>
      <c r="OC5" s="12">
        <f>IF(OB5&gt;0,ROUND(OB5*ReferralMix/(1-ReferralMix),0),0)</f>
        <v/>
      </c>
      <c r="OD5" s="12">
        <f>OB5+OC5</f>
        <v/>
      </c>
      <c r="OE5" s="12">
        <f>ROUND(OD5*(1-AnnualMix),0)</f>
        <v/>
      </c>
      <c r="OF5" s="12">
        <f>OD5-OE5</f>
        <v/>
      </c>
      <c r="OG5" s="12">
        <f>ROUND(OE5*EssentialMix,0)</f>
        <v/>
      </c>
      <c r="OH5" s="12">
        <f>ROUND(OE5*PremiumMix,0)</f>
        <v/>
      </c>
      <c r="OI5" s="12">
        <f>OE5-OG5-OH5</f>
        <v/>
      </c>
      <c r="OJ5" s="12">
        <f>ROUND(OF5*EssentialMix,0)</f>
        <v/>
      </c>
      <c r="OK5" s="12">
        <f>ROUND(OF5*PremiumMix,0)</f>
        <v/>
      </c>
      <c r="OL5" s="12">
        <f>OF5-OJ5-OK5</f>
        <v/>
      </c>
      <c r="OM5" s="12">
        <f>OG5</f>
        <v/>
      </c>
      <c r="ON5" s="12">
        <f>OH5</f>
        <v/>
      </c>
      <c r="OO5" s="12">
        <f>OI5</f>
        <v/>
      </c>
      <c r="OP5" s="12">
        <f>OJ5</f>
        <v/>
      </c>
      <c r="OQ5" s="12">
        <f>OK5</f>
        <v/>
      </c>
      <c r="OR5" s="12">
        <f>OL5</f>
        <v/>
      </c>
      <c r="OS5" s="12">
        <f>OM5+ON5+OO5+OP5+OQ5+OR5</f>
        <v/>
      </c>
      <c r="OT5" s="9">
        <f>OM5*BlendedPriceEssMonthly*NY5+ON5*BlendedPricePremMonthly*NY5+OO5*BlendedPriceEliteMonthly*NY5+OP5*BlendedPriceEssAnnual*NY5/12+OQ5*BlendedPricePremAnnual*NY5/12+OR5*BlendedPriceEliteAnnual*NY5/12</f>
        <v/>
      </c>
      <c r="OU5" s="9">
        <f>OT5*12</f>
        <v/>
      </c>
      <c r="OV5" s="12">
        <f>OM5*BlendedPriceEssMonthly*NY5+ON5*BlendedPricePremMonthly*NY5+OO5*BlendedPriceEliteMonthly*NY5</f>
        <v/>
      </c>
      <c r="OW5" s="12">
        <f>OJ5*BlendedPriceEssAnnual*NY5+OK5*BlendedPricePremAnnual*NY5+OL5*BlendedPriceEliteAnnual*NY5</f>
        <v/>
      </c>
      <c r="OX5" s="12">
        <f>0+0+0</f>
        <v/>
      </c>
      <c r="OY5" s="9">
        <f>OV5+OW5+OX5</f>
        <v/>
      </c>
      <c r="OZ5" s="12">
        <f>SUM(OY$5:OY5)</f>
        <v/>
      </c>
      <c r="PA5" s="12">
        <f>IF(VATAgentMode,SUM($OY$5:$OY5)-SUM($PF$5:$PF5)&gt;=VATThreshold,SUM($OY$5:$OY5)&gt;=VATThreshold)</f>
        <v/>
      </c>
      <c r="PB5" s="9">
        <f>IF(PA5,IF(VATAgentMode,OY5-((OY5-PF5)-(OY5-PF5)/(1+VATRate)),OY5/(1+VATRate)),OY5)</f>
        <v/>
      </c>
      <c r="PC5" s="12">
        <f>OY5-PB5</f>
        <v/>
      </c>
      <c r="PD5" s="12">
        <f>IF(PA5=0,0,IF(NV5=1,SUMPRODUCT(--(($NW$5:$NW5=$NW5-1)*($NV$5:$NV5&gt;=10)*($NV$5:$NV5&lt;=12)),$PC$5:$PC5),IF(NV5=4,SUMPRODUCT(--(($NW$5:$NW5=$NW5)*($NV$5:$NV5&gt;=1)*($NV$5:$NV5&lt;=3)),$PC$5:$PC5),IF(NV5=7,SUMPRODUCT(--(($NW$5:$NW5=$NW5)*($NV$5:$NV5&gt;=4)*($NV$5:$NV5&lt;=6)),$PC$5:$PC5),IF(NV5=10,SUMPRODUCT(--(($NW$5:$NW5=$NW5)*($NV$5:$NV5&gt;=7)*($NV$5:$NV5&lt;=9)),$PC$5:$PC5),0)))))</f>
        <v/>
      </c>
      <c r="PE5" s="12">
        <f>PC5-PD5</f>
        <v/>
      </c>
      <c r="PF5" s="12">
        <f>IF(ProviderDelay&gt;=1,0,OM5*BlendedProvPayEss+ON5*BlendedProvPayPrem+OO5*BlendedProvPayElite+OP5*BlendedProvPayEss+OQ5*BlendedProvPayPrem+OR5*BlendedProvPayElite)</f>
        <v/>
      </c>
      <c r="PG5" s="12">
        <f>OY5*PaymentFee</f>
        <v/>
      </c>
      <c r="PH5" s="12">
        <f>OS5*OpsAI</f>
        <v/>
      </c>
      <c r="PI5" s="12">
        <f>MonthlyFixed</f>
        <v/>
      </c>
      <c r="PJ5" s="12">
        <f>OC5*ReferralReward</f>
        <v/>
      </c>
      <c r="PK5" s="12">
        <f>OA5</f>
        <v/>
      </c>
      <c r="PL5" s="9">
        <f>PB5-PF5-PG5-PH5-PI5-PJ5-PK5</f>
        <v/>
      </c>
      <c r="PM5" s="9">
        <f>InitialInvestment+OY5-(PF5+PG5+PH5+PI5+PJ5+PK5+PD5)</f>
        <v/>
      </c>
      <c r="PN5" s="12">
        <f>IF(OS5&gt;0,OT5/OS5,0)</f>
        <v/>
      </c>
      <c r="PO5" s="11" t="n">
        <v>0</v>
      </c>
      <c r="PQ5" s="12" t="n">
        <v>1</v>
      </c>
      <c r="PR5" s="12">
        <f>MOD(PQ5-1+LaunchMonth-1,12)+1</f>
        <v/>
      </c>
      <c r="PS5" s="12">
        <f>INT((PQ5-1+LaunchMonth-1)/12)+1</f>
        <v/>
      </c>
      <c r="PT5" s="12">
        <f>VLOOKUP(PR5,SeasonTable,2,FALSE)</f>
        <v/>
      </c>
      <c r="PU5" s="12">
        <f>(1+InflationRate)^INT((PQ5-1)/12)</f>
        <v/>
      </c>
      <c r="PV5" s="11">
        <f>'Sens - Churn'!$A$19*VLOOKUP(PR5,ChurnSeasonTable,4,FALSE)</f>
        <v/>
      </c>
      <c r="PW5" s="12">
        <f>MktFixed1_3</f>
        <v/>
      </c>
      <c r="PX5" s="12">
        <f>IF(PW5&gt;0,MAX(1,ROUND(PW5/CAC*PT5,0)),0)</f>
        <v/>
      </c>
      <c r="PY5" s="12">
        <f>IF(PX5&gt;0,ROUND(PX5*ReferralMix/(1-ReferralMix),0),0)</f>
        <v/>
      </c>
      <c r="PZ5" s="12">
        <f>PX5+PY5</f>
        <v/>
      </c>
      <c r="QA5" s="12">
        <f>ROUND(PZ5*(1-AnnualMix),0)</f>
        <v/>
      </c>
      <c r="QB5" s="12">
        <f>PZ5-QA5</f>
        <v/>
      </c>
      <c r="QC5" s="12">
        <f>ROUND(QA5*EssentialMix,0)</f>
        <v/>
      </c>
      <c r="QD5" s="12">
        <f>ROUND(QA5*PremiumMix,0)</f>
        <v/>
      </c>
      <c r="QE5" s="12">
        <f>QA5-QC5-QD5</f>
        <v/>
      </c>
      <c r="QF5" s="12">
        <f>ROUND(QB5*EssentialMix,0)</f>
        <v/>
      </c>
      <c r="QG5" s="12">
        <f>ROUND(QB5*PremiumMix,0)</f>
        <v/>
      </c>
      <c r="QH5" s="12">
        <f>QB5-QF5-QG5</f>
        <v/>
      </c>
      <c r="QI5" s="12">
        <f>QC5</f>
        <v/>
      </c>
      <c r="QJ5" s="12">
        <f>QD5</f>
        <v/>
      </c>
      <c r="QK5" s="12">
        <f>QE5</f>
        <v/>
      </c>
      <c r="QL5" s="12">
        <f>QF5</f>
        <v/>
      </c>
      <c r="QM5" s="12">
        <f>QG5</f>
        <v/>
      </c>
      <c r="QN5" s="12">
        <f>QH5</f>
        <v/>
      </c>
      <c r="QO5" s="12">
        <f>QI5+QJ5+QK5+QL5+QM5+QN5</f>
        <v/>
      </c>
      <c r="QP5" s="9">
        <f>QI5*BlendedPriceEssMonthly*PU5+QJ5*BlendedPricePremMonthly*PU5+QK5*BlendedPriceEliteMonthly*PU5+QL5*BlendedPriceEssAnnual*PU5/12+QM5*BlendedPricePremAnnual*PU5/12+QN5*BlendedPriceEliteAnnual*PU5/12</f>
        <v/>
      </c>
      <c r="QQ5" s="9">
        <f>QP5*12</f>
        <v/>
      </c>
      <c r="QR5" s="12">
        <f>QI5*BlendedPriceEssMonthly*PU5+QJ5*BlendedPricePremMonthly*PU5+QK5*BlendedPriceEliteMonthly*PU5</f>
        <v/>
      </c>
      <c r="QS5" s="12">
        <f>QF5*BlendedPriceEssAnnual*PU5+QG5*BlendedPricePremAnnual*PU5+QH5*BlendedPriceEliteAnnual*PU5</f>
        <v/>
      </c>
      <c r="QT5" s="12">
        <f>0+0+0</f>
        <v/>
      </c>
      <c r="QU5" s="9">
        <f>QR5+QS5+QT5</f>
        <v/>
      </c>
      <c r="QV5" s="12">
        <f>SUM(QU$5:QU5)</f>
        <v/>
      </c>
      <c r="QW5" s="12">
        <f>IF(VATAgentMode,SUM($QU$5:$QU5)-SUM($RB$5:$RB5)&gt;=VATThreshold,SUM($QU$5:$QU5)&gt;=VATThreshold)</f>
        <v/>
      </c>
      <c r="QX5" s="9">
        <f>IF(QW5,IF(VATAgentMode,QU5-((QU5-RB5)-(QU5-RB5)/(1+VATRate)),QU5/(1+VATRate)),QU5)</f>
        <v/>
      </c>
      <c r="QY5" s="12">
        <f>QU5-QX5</f>
        <v/>
      </c>
      <c r="QZ5" s="12">
        <f>IF(QW5=0,0,IF(PR5=1,SUMPRODUCT(--(($PS$5:$PS5=$PS5-1)*($PR$5:$PR5&gt;=10)*($PR$5:$PR5&lt;=12)),$QY$5:$QY5),IF(PR5=4,SUMPRODUCT(--(($PS$5:$PS5=$PS5)*($PR$5:$PR5&gt;=1)*($PR$5:$PR5&lt;=3)),$QY$5:$QY5),IF(PR5=7,SUMPRODUCT(--(($PS$5:$PS5=$PS5)*($PR$5:$PR5&gt;=4)*($PR$5:$PR5&lt;=6)),$QY$5:$QY5),IF(PR5=10,SUMPRODUCT(--(($PS$5:$PS5=$PS5)*($PR$5:$PR5&gt;=7)*($PR$5:$PR5&lt;=9)),$QY$5:$QY5),0)))))</f>
        <v/>
      </c>
      <c r="RA5" s="12">
        <f>QY5-QZ5</f>
        <v/>
      </c>
      <c r="RB5" s="12">
        <f>IF(ProviderDelay&gt;=1,0,QI5*BlendedProvPayEss+QJ5*BlendedProvPayPrem+QK5*BlendedProvPayElite+QL5*BlendedProvPayEss+QM5*BlendedProvPayPrem+QN5*BlendedProvPayElite)</f>
        <v/>
      </c>
      <c r="RC5" s="12">
        <f>QU5*PaymentFee</f>
        <v/>
      </c>
      <c r="RD5" s="12">
        <f>QO5*OpsAI</f>
        <v/>
      </c>
      <c r="RE5" s="12">
        <f>MonthlyFixed</f>
        <v/>
      </c>
      <c r="RF5" s="12">
        <f>PY5*ReferralReward</f>
        <v/>
      </c>
      <c r="RG5" s="12">
        <f>PW5</f>
        <v/>
      </c>
      <c r="RH5" s="9">
        <f>QX5-RB5-RC5-RD5-RE5-RF5-RG5</f>
        <v/>
      </c>
      <c r="RI5" s="9">
        <f>InitialInvestment+QU5-(RB5+RC5+RD5+RE5+RF5+RG5+QZ5)</f>
        <v/>
      </c>
      <c r="RJ5" s="12">
        <f>IF(QO5&gt;0,QP5/QO5,0)</f>
        <v/>
      </c>
      <c r="RK5" s="11" t="n">
        <v>0</v>
      </c>
      <c r="RM5" s="12" t="n">
        <v>1</v>
      </c>
      <c r="RN5" s="12">
        <f>MOD(RM5-1+LaunchMonth-1,12)+1</f>
        <v/>
      </c>
      <c r="RO5" s="12">
        <f>INT((RM5-1+LaunchMonth-1)/12)+1</f>
        <v/>
      </c>
      <c r="RP5" s="12">
        <f>VLOOKUP(RN5,SeasonTable,2,FALSE)</f>
        <v/>
      </c>
      <c r="RQ5" s="12">
        <f>(1+InflationRate)^INT((RM5-1)/12)</f>
        <v/>
      </c>
      <c r="RR5" s="11">
        <f>'Sens - Churn'!$A$20*VLOOKUP(RN5,ChurnSeasonTable,4,FALSE)</f>
        <v/>
      </c>
      <c r="RS5" s="12">
        <f>MktFixed1_3</f>
        <v/>
      </c>
      <c r="RT5" s="12">
        <f>IF(RS5&gt;0,MAX(1,ROUND(RS5/CAC*RP5,0)),0)</f>
        <v/>
      </c>
      <c r="RU5" s="12">
        <f>IF(RT5&gt;0,ROUND(RT5*ReferralMix/(1-ReferralMix),0),0)</f>
        <v/>
      </c>
      <c r="RV5" s="12">
        <f>RT5+RU5</f>
        <v/>
      </c>
      <c r="RW5" s="12">
        <f>ROUND(RV5*(1-AnnualMix),0)</f>
        <v/>
      </c>
      <c r="RX5" s="12">
        <f>RV5-RW5</f>
        <v/>
      </c>
      <c r="RY5" s="12">
        <f>ROUND(RW5*EssentialMix,0)</f>
        <v/>
      </c>
      <c r="RZ5" s="12">
        <f>ROUND(RW5*PremiumMix,0)</f>
        <v/>
      </c>
      <c r="SA5" s="12">
        <f>RW5-RY5-RZ5</f>
        <v/>
      </c>
      <c r="SB5" s="12">
        <f>ROUND(RX5*EssentialMix,0)</f>
        <v/>
      </c>
      <c r="SC5" s="12">
        <f>ROUND(RX5*PremiumMix,0)</f>
        <v/>
      </c>
      <c r="SD5" s="12">
        <f>RX5-SB5-SC5</f>
        <v/>
      </c>
      <c r="SE5" s="12">
        <f>RY5</f>
        <v/>
      </c>
      <c r="SF5" s="12">
        <f>RZ5</f>
        <v/>
      </c>
      <c r="SG5" s="12">
        <f>SA5</f>
        <v/>
      </c>
      <c r="SH5" s="12">
        <f>SB5</f>
        <v/>
      </c>
      <c r="SI5" s="12">
        <f>SC5</f>
        <v/>
      </c>
      <c r="SJ5" s="12">
        <f>SD5</f>
        <v/>
      </c>
      <c r="SK5" s="12">
        <f>SE5+SF5+SG5+SH5+SI5+SJ5</f>
        <v/>
      </c>
      <c r="SL5" s="9">
        <f>SE5*BlendedPriceEssMonthly*RQ5+SF5*BlendedPricePremMonthly*RQ5+SG5*BlendedPriceEliteMonthly*RQ5+SH5*BlendedPriceEssAnnual*RQ5/12+SI5*BlendedPricePremAnnual*RQ5/12+SJ5*BlendedPriceEliteAnnual*RQ5/12</f>
        <v/>
      </c>
      <c r="SM5" s="9">
        <f>SL5*12</f>
        <v/>
      </c>
      <c r="SN5" s="12">
        <f>SE5*BlendedPriceEssMonthly*RQ5+SF5*BlendedPricePremMonthly*RQ5+SG5*BlendedPriceEliteMonthly*RQ5</f>
        <v/>
      </c>
      <c r="SO5" s="12">
        <f>SB5*BlendedPriceEssAnnual*RQ5+SC5*BlendedPricePremAnnual*RQ5+SD5*BlendedPriceEliteAnnual*RQ5</f>
        <v/>
      </c>
      <c r="SP5" s="12">
        <f>0+0+0</f>
        <v/>
      </c>
      <c r="SQ5" s="9">
        <f>SN5+SO5+SP5</f>
        <v/>
      </c>
      <c r="SR5" s="12">
        <f>SUM(SQ$5:SQ5)</f>
        <v/>
      </c>
      <c r="SS5" s="12">
        <f>IF(VATAgentMode,SUM($SQ$5:$SQ5)-SUM($SX$5:$SX5)&gt;=VATThreshold,SUM($SQ$5:$SQ5)&gt;=VATThreshold)</f>
        <v/>
      </c>
      <c r="ST5" s="9">
        <f>IF(SS5,IF(VATAgentMode,SQ5-((SQ5-SX5)-(SQ5-SX5)/(1+VATRate)),SQ5/(1+VATRate)),SQ5)</f>
        <v/>
      </c>
      <c r="SU5" s="12">
        <f>SQ5-ST5</f>
        <v/>
      </c>
      <c r="SV5" s="12">
        <f>IF(SS5=0,0,IF(RN5=1,SUMPRODUCT(--(($RO$5:$RO5=$RO5-1)*($RN$5:$RN5&gt;=10)*($RN$5:$RN5&lt;=12)),$SU$5:$SU5),IF(RN5=4,SUMPRODUCT(--(($RO$5:$RO5=$RO5)*($RN$5:$RN5&gt;=1)*($RN$5:$RN5&lt;=3)),$SU$5:$SU5),IF(RN5=7,SUMPRODUCT(--(($RO$5:$RO5=$RO5)*($RN$5:$RN5&gt;=4)*($RN$5:$RN5&lt;=6)),$SU$5:$SU5),IF(RN5=10,SUMPRODUCT(--(($RO$5:$RO5=$RO5)*($RN$5:$RN5&gt;=7)*($RN$5:$RN5&lt;=9)),$SU$5:$SU5),0)))))</f>
        <v/>
      </c>
      <c r="SW5" s="12">
        <f>SU5-SV5</f>
        <v/>
      </c>
      <c r="SX5" s="12">
        <f>IF(ProviderDelay&gt;=1,0,SE5*BlendedProvPayEss+SF5*BlendedProvPayPrem+SG5*BlendedProvPayElite+SH5*BlendedProvPayEss+SI5*BlendedProvPayPrem+SJ5*BlendedProvPayElite)</f>
        <v/>
      </c>
      <c r="SY5" s="12">
        <f>SQ5*PaymentFee</f>
        <v/>
      </c>
      <c r="SZ5" s="12">
        <f>SK5*OpsAI</f>
        <v/>
      </c>
      <c r="TA5" s="12">
        <f>MonthlyFixed</f>
        <v/>
      </c>
      <c r="TB5" s="12">
        <f>RU5*ReferralReward</f>
        <v/>
      </c>
      <c r="TC5" s="12">
        <f>RS5</f>
        <v/>
      </c>
      <c r="TD5" s="9">
        <f>ST5-SX5-SY5-SZ5-TA5-TB5-TC5</f>
        <v/>
      </c>
      <c r="TE5" s="9">
        <f>InitialInvestment+SQ5-(SX5+SY5+SZ5+TA5+TB5+TC5+SV5)</f>
        <v/>
      </c>
      <c r="TF5" s="12">
        <f>IF(SK5&gt;0,SL5/SK5,0)</f>
        <v/>
      </c>
      <c r="TG5" s="11" t="n">
        <v>0</v>
      </c>
      <c r="TI5" s="12" t="n">
        <v>1</v>
      </c>
      <c r="TJ5" s="12">
        <f>MOD(TI5-1+LaunchMonth-1,12)+1</f>
        <v/>
      </c>
      <c r="TK5" s="12">
        <f>INT((TI5-1+LaunchMonth-1)/12)+1</f>
        <v/>
      </c>
      <c r="TL5" s="12">
        <f>VLOOKUP(TJ5,SeasonTable,2,FALSE)</f>
        <v/>
      </c>
      <c r="TM5" s="12">
        <f>(1+InflationRate)^INT((TI5-1)/12)</f>
        <v/>
      </c>
      <c r="TN5" s="11">
        <f>'Sens - Churn'!$A$21*VLOOKUP(TJ5,ChurnSeasonTable,4,FALSE)</f>
        <v/>
      </c>
      <c r="TO5" s="12">
        <f>MktFixed1_3</f>
        <v/>
      </c>
      <c r="TP5" s="12">
        <f>IF(TO5&gt;0,MAX(1,ROUND(TO5/CAC*TL5,0)),0)</f>
        <v/>
      </c>
      <c r="TQ5" s="12">
        <f>IF(TP5&gt;0,ROUND(TP5*ReferralMix/(1-ReferralMix),0),0)</f>
        <v/>
      </c>
      <c r="TR5" s="12">
        <f>TP5+TQ5</f>
        <v/>
      </c>
      <c r="TS5" s="12">
        <f>ROUND(TR5*(1-AnnualMix),0)</f>
        <v/>
      </c>
      <c r="TT5" s="12">
        <f>TR5-TS5</f>
        <v/>
      </c>
      <c r="TU5" s="12">
        <f>ROUND(TS5*EssentialMix,0)</f>
        <v/>
      </c>
      <c r="TV5" s="12">
        <f>ROUND(TS5*PremiumMix,0)</f>
        <v/>
      </c>
      <c r="TW5" s="12">
        <f>TS5-TU5-TV5</f>
        <v/>
      </c>
      <c r="TX5" s="12">
        <f>ROUND(TT5*EssentialMix,0)</f>
        <v/>
      </c>
      <c r="TY5" s="12">
        <f>ROUND(TT5*PremiumMix,0)</f>
        <v/>
      </c>
      <c r="TZ5" s="12">
        <f>TT5-TX5-TY5</f>
        <v/>
      </c>
      <c r="UA5" s="12">
        <f>TU5</f>
        <v/>
      </c>
      <c r="UB5" s="12">
        <f>TV5</f>
        <v/>
      </c>
      <c r="UC5" s="12">
        <f>TW5</f>
        <v/>
      </c>
      <c r="UD5" s="12">
        <f>TX5</f>
        <v/>
      </c>
      <c r="UE5" s="12">
        <f>TY5</f>
        <v/>
      </c>
      <c r="UF5" s="12">
        <f>TZ5</f>
        <v/>
      </c>
      <c r="UG5" s="12">
        <f>UA5+UB5+UC5+UD5+UE5+UF5</f>
        <v/>
      </c>
      <c r="UH5" s="9">
        <f>UA5*BlendedPriceEssMonthly*TM5+UB5*BlendedPricePremMonthly*TM5+UC5*BlendedPriceEliteMonthly*TM5+UD5*BlendedPriceEssAnnual*TM5/12+UE5*BlendedPricePremAnnual*TM5/12+UF5*BlendedPriceEliteAnnual*TM5/12</f>
        <v/>
      </c>
      <c r="UI5" s="9">
        <f>UH5*12</f>
        <v/>
      </c>
      <c r="UJ5" s="12">
        <f>UA5*BlendedPriceEssMonthly*TM5+UB5*BlendedPricePremMonthly*TM5+UC5*BlendedPriceEliteMonthly*TM5</f>
        <v/>
      </c>
      <c r="UK5" s="12">
        <f>TX5*BlendedPriceEssAnnual*TM5+TY5*BlendedPricePremAnnual*TM5+TZ5*BlendedPriceEliteAnnual*TM5</f>
        <v/>
      </c>
      <c r="UL5" s="12">
        <f>0+0+0</f>
        <v/>
      </c>
      <c r="UM5" s="9">
        <f>UJ5+UK5+UL5</f>
        <v/>
      </c>
      <c r="UN5" s="12">
        <f>SUM(UM$5:UM5)</f>
        <v/>
      </c>
      <c r="UO5" s="12">
        <f>IF(VATAgentMode,SUM($UM$5:$UM5)-SUM($UT$5:$UT5)&gt;=VATThreshold,SUM($UM$5:$UM5)&gt;=VATThreshold)</f>
        <v/>
      </c>
      <c r="UP5" s="9">
        <f>IF(UO5,IF(VATAgentMode,UM5-((UM5-UT5)-(UM5-UT5)/(1+VATRate)),UM5/(1+VATRate)),UM5)</f>
        <v/>
      </c>
      <c r="UQ5" s="12">
        <f>UM5-UP5</f>
        <v/>
      </c>
      <c r="UR5" s="12">
        <f>IF(UO5=0,0,IF(TJ5=1,SUMPRODUCT(--(($TK$5:$TK5=$TK5-1)*($TJ$5:$TJ5&gt;=10)*($TJ$5:$TJ5&lt;=12)),$UQ$5:$UQ5),IF(TJ5=4,SUMPRODUCT(--(($TK$5:$TK5=$TK5)*($TJ$5:$TJ5&gt;=1)*($TJ$5:$TJ5&lt;=3)),$UQ$5:$UQ5),IF(TJ5=7,SUMPRODUCT(--(($TK$5:$TK5=$TK5)*($TJ$5:$TJ5&gt;=4)*($TJ$5:$TJ5&lt;=6)),$UQ$5:$UQ5),IF(TJ5=10,SUMPRODUCT(--(($TK$5:$TK5=$TK5)*($TJ$5:$TJ5&gt;=7)*($TJ$5:$TJ5&lt;=9)),$UQ$5:$UQ5),0)))))</f>
        <v/>
      </c>
      <c r="US5" s="12">
        <f>UQ5-UR5</f>
        <v/>
      </c>
      <c r="UT5" s="12">
        <f>IF(ProviderDelay&gt;=1,0,UA5*BlendedProvPayEss+UB5*BlendedProvPayPrem+UC5*BlendedProvPayElite+UD5*BlendedProvPayEss+UE5*BlendedProvPayPrem+UF5*BlendedProvPayElite)</f>
        <v/>
      </c>
      <c r="UU5" s="12">
        <f>UM5*PaymentFee</f>
        <v/>
      </c>
      <c r="UV5" s="12">
        <f>UG5*OpsAI</f>
        <v/>
      </c>
      <c r="UW5" s="12">
        <f>MonthlyFixed</f>
        <v/>
      </c>
      <c r="UX5" s="12">
        <f>TQ5*ReferralReward</f>
        <v/>
      </c>
      <c r="UY5" s="12">
        <f>TO5</f>
        <v/>
      </c>
      <c r="UZ5" s="9">
        <f>UP5-UT5-UU5-UV5-UW5-UX5-UY5</f>
        <v/>
      </c>
      <c r="VA5" s="9">
        <f>InitialInvestment+UM5-(UT5+UU5+UV5+UW5+UX5+UY5+UR5)</f>
        <v/>
      </c>
      <c r="VB5" s="12">
        <f>IF(UG5&gt;0,UH5/UG5,0)</f>
        <v/>
      </c>
      <c r="VC5" s="11" t="n">
        <v>0</v>
      </c>
      <c r="VE5" s="12" t="n">
        <v>1</v>
      </c>
      <c r="VF5" s="12">
        <f>MOD(VE5-1+LaunchMonth-1,12)+1</f>
        <v/>
      </c>
      <c r="VG5" s="12">
        <f>INT((VE5-1+LaunchMonth-1)/12)+1</f>
        <v/>
      </c>
      <c r="VH5" s="12">
        <f>VLOOKUP(VF5,SeasonTable,2,FALSE)</f>
        <v/>
      </c>
      <c r="VI5" s="12">
        <f>(1+InflationRate)^INT((VE5-1)/12)</f>
        <v/>
      </c>
      <c r="VJ5" s="11">
        <f>MonthlyChurn*VLOOKUP(VF5,ChurnSeasonTable,4,FALSE)</f>
        <v/>
      </c>
      <c r="VK5" s="12">
        <f>MktFixed1_3</f>
        <v/>
      </c>
      <c r="VL5" s="12">
        <f>IF(VK5&gt;0,MAX(1,ROUND(VK5/CAC*VH5,0)),0)</f>
        <v/>
      </c>
      <c r="VM5" s="12">
        <f>IF(VL5&gt;0,ROUND(VL5*ReferralMix/(1-ReferralMix),0),0)</f>
        <v/>
      </c>
      <c r="VN5" s="12">
        <f>VL5+VM5</f>
        <v/>
      </c>
      <c r="VO5" s="12">
        <f>ROUND(VN5*(1-'Sens - Annual Mix'!$A$9),0)</f>
        <v/>
      </c>
      <c r="VP5" s="12">
        <f>VN5-VO5</f>
        <v/>
      </c>
      <c r="VQ5" s="12">
        <f>ROUND(VO5*EssentialMix,0)</f>
        <v/>
      </c>
      <c r="VR5" s="12">
        <f>ROUND(VO5*PremiumMix,0)</f>
        <v/>
      </c>
      <c r="VS5" s="12">
        <f>VO5-VQ5-VR5</f>
        <v/>
      </c>
      <c r="VT5" s="12">
        <f>ROUND(VP5*EssentialMix,0)</f>
        <v/>
      </c>
      <c r="VU5" s="12">
        <f>ROUND(VP5*PremiumMix,0)</f>
        <v/>
      </c>
      <c r="VV5" s="12">
        <f>VP5-VT5-VU5</f>
        <v/>
      </c>
      <c r="VW5" s="12">
        <f>VQ5</f>
        <v/>
      </c>
      <c r="VX5" s="12">
        <f>VR5</f>
        <v/>
      </c>
      <c r="VY5" s="12">
        <f>VS5</f>
        <v/>
      </c>
      <c r="VZ5" s="12">
        <f>VT5</f>
        <v/>
      </c>
      <c r="WA5" s="12">
        <f>VU5</f>
        <v/>
      </c>
      <c r="WB5" s="12">
        <f>VV5</f>
        <v/>
      </c>
      <c r="WC5" s="12">
        <f>VW5+VX5+VY5+VZ5+WA5+WB5</f>
        <v/>
      </c>
      <c r="WD5" s="9">
        <f>VW5*BlendedPriceEssMonthly*VI5+VX5*BlendedPricePremMonthly*VI5+VY5*BlendedPriceEliteMonthly*VI5+VZ5*BlendedPriceEssAnnual*VI5/12+WA5*BlendedPricePremAnnual*VI5/12+WB5*BlendedPriceEliteAnnual*VI5/12</f>
        <v/>
      </c>
      <c r="WE5" s="9">
        <f>WD5*12</f>
        <v/>
      </c>
      <c r="WF5" s="12">
        <f>VW5*BlendedPriceEssMonthly*VI5+VX5*BlendedPricePremMonthly*VI5+VY5*BlendedPriceEliteMonthly*VI5</f>
        <v/>
      </c>
      <c r="WG5" s="12">
        <f>VT5*BlendedPriceEssAnnual*VI5+VU5*BlendedPricePremAnnual*VI5+VV5*BlendedPriceEliteAnnual*VI5</f>
        <v/>
      </c>
      <c r="WH5" s="12">
        <f>0+0+0</f>
        <v/>
      </c>
      <c r="WI5" s="9">
        <f>WF5+WG5+WH5</f>
        <v/>
      </c>
      <c r="WJ5" s="12">
        <f>SUM(WI$5:WI5)</f>
        <v/>
      </c>
      <c r="WK5" s="12">
        <f>IF(VATAgentMode,SUM($WI$5:$WI5)-SUM($WP$5:$WP5)&gt;=VATThreshold,SUM($WI$5:$WI5)&gt;=VATThreshold)</f>
        <v/>
      </c>
      <c r="WL5" s="9">
        <f>IF(WK5,IF(VATAgentMode,WI5-((WI5-WP5)-(WI5-WP5)/(1+VATRate)),WI5/(1+VATRate)),WI5)</f>
        <v/>
      </c>
      <c r="WM5" s="12">
        <f>WI5-WL5</f>
        <v/>
      </c>
      <c r="WN5" s="12">
        <f>IF(WK5=0,0,IF(VF5=1,SUMPRODUCT(--(($VG$5:$VG5=$VG5-1)*($VF$5:$VF5&gt;=10)*($VF$5:$VF5&lt;=12)),$WM$5:$WM5),IF(VF5=4,SUMPRODUCT(--(($VG$5:$VG5=$VG5)*($VF$5:$VF5&gt;=1)*($VF$5:$VF5&lt;=3)),$WM$5:$WM5),IF(VF5=7,SUMPRODUCT(--(($VG$5:$VG5=$VG5)*($VF$5:$VF5&gt;=4)*($VF$5:$VF5&lt;=6)),$WM$5:$WM5),IF(VF5=10,SUMPRODUCT(--(($VG$5:$VG5=$VG5)*($VF$5:$VF5&gt;=7)*($VF$5:$VF5&lt;=9)),$WM$5:$WM5),0)))))</f>
        <v/>
      </c>
      <c r="WO5" s="12">
        <f>WM5-WN5</f>
        <v/>
      </c>
      <c r="WP5" s="12">
        <f>IF(ProviderDelay&gt;=1,0,VW5*BlendedProvPayEss+VX5*BlendedProvPayPrem+VY5*BlendedProvPayElite+VZ5*BlendedProvPayEss+WA5*BlendedProvPayPrem+WB5*BlendedProvPayElite)</f>
        <v/>
      </c>
      <c r="WQ5" s="12">
        <f>WI5*PaymentFee</f>
        <v/>
      </c>
      <c r="WR5" s="12">
        <f>WC5*OpsAI</f>
        <v/>
      </c>
      <c r="WS5" s="12">
        <f>MonthlyFixed</f>
        <v/>
      </c>
      <c r="WT5" s="12">
        <f>VM5*ReferralReward</f>
        <v/>
      </c>
      <c r="WU5" s="12">
        <f>VK5</f>
        <v/>
      </c>
      <c r="WV5" s="9">
        <f>WL5-WP5-WQ5-WR5-WS5-WT5-WU5</f>
        <v/>
      </c>
      <c r="WW5" s="9">
        <f>InitialInvestment+WI5-(WP5+WQ5+WR5+WS5+WT5+WU5+WN5)</f>
        <v/>
      </c>
      <c r="WX5" s="12">
        <f>IF(WC5&gt;0,WD5/WC5,0)</f>
        <v/>
      </c>
      <c r="WY5" s="11" t="n">
        <v>0</v>
      </c>
      <c r="XA5" s="12" t="n">
        <v>1</v>
      </c>
      <c r="XB5" s="12">
        <f>MOD(XA5-1+LaunchMonth-1,12)+1</f>
        <v/>
      </c>
      <c r="XC5" s="12">
        <f>INT((XA5-1+LaunchMonth-1)/12)+1</f>
        <v/>
      </c>
      <c r="XD5" s="12">
        <f>VLOOKUP(XB5,SeasonTable,2,FALSE)</f>
        <v/>
      </c>
      <c r="XE5" s="12">
        <f>(1+InflationRate)^INT((XA5-1)/12)</f>
        <v/>
      </c>
      <c r="XF5" s="11">
        <f>MonthlyChurn*VLOOKUP(XB5,ChurnSeasonTable,4,FALSE)</f>
        <v/>
      </c>
      <c r="XG5" s="12">
        <f>MktFixed1_3</f>
        <v/>
      </c>
      <c r="XH5" s="12">
        <f>IF(XG5&gt;0,MAX(1,ROUND(XG5/CAC*XD5,0)),0)</f>
        <v/>
      </c>
      <c r="XI5" s="12">
        <f>IF(XH5&gt;0,ROUND(XH5*ReferralMix/(1-ReferralMix),0),0)</f>
        <v/>
      </c>
      <c r="XJ5" s="12">
        <f>XH5+XI5</f>
        <v/>
      </c>
      <c r="XK5" s="12">
        <f>ROUND(XJ5*(1-'Sens - Annual Mix'!$A$10),0)</f>
        <v/>
      </c>
      <c r="XL5" s="12">
        <f>XJ5-XK5</f>
        <v/>
      </c>
      <c r="XM5" s="12">
        <f>ROUND(XK5*EssentialMix,0)</f>
        <v/>
      </c>
      <c r="XN5" s="12">
        <f>ROUND(XK5*PremiumMix,0)</f>
        <v/>
      </c>
      <c r="XO5" s="12">
        <f>XK5-XM5-XN5</f>
        <v/>
      </c>
      <c r="XP5" s="12">
        <f>ROUND(XL5*EssentialMix,0)</f>
        <v/>
      </c>
      <c r="XQ5" s="12">
        <f>ROUND(XL5*PremiumMix,0)</f>
        <v/>
      </c>
      <c r="XR5" s="12">
        <f>XL5-XP5-XQ5</f>
        <v/>
      </c>
      <c r="XS5" s="12">
        <f>XM5</f>
        <v/>
      </c>
      <c r="XT5" s="12">
        <f>XN5</f>
        <v/>
      </c>
      <c r="XU5" s="12">
        <f>XO5</f>
        <v/>
      </c>
      <c r="XV5" s="12">
        <f>XP5</f>
        <v/>
      </c>
      <c r="XW5" s="12">
        <f>XQ5</f>
        <v/>
      </c>
      <c r="XX5" s="12">
        <f>XR5</f>
        <v/>
      </c>
      <c r="XY5" s="12">
        <f>XS5+XT5+XU5+XV5+XW5+XX5</f>
        <v/>
      </c>
      <c r="XZ5" s="9">
        <f>XS5*BlendedPriceEssMonthly*XE5+XT5*BlendedPricePremMonthly*XE5+XU5*BlendedPriceEliteMonthly*XE5+XV5*BlendedPriceEssAnnual*XE5/12+XW5*BlendedPricePremAnnual*XE5/12+XX5*BlendedPriceEliteAnnual*XE5/12</f>
        <v/>
      </c>
      <c r="YA5" s="9">
        <f>XZ5*12</f>
        <v/>
      </c>
      <c r="YB5" s="12">
        <f>XS5*BlendedPriceEssMonthly*XE5+XT5*BlendedPricePremMonthly*XE5+XU5*BlendedPriceEliteMonthly*XE5</f>
        <v/>
      </c>
      <c r="YC5" s="12">
        <f>XP5*BlendedPriceEssAnnual*XE5+XQ5*BlendedPricePremAnnual*XE5+XR5*BlendedPriceEliteAnnual*XE5</f>
        <v/>
      </c>
      <c r="YD5" s="12">
        <f>0+0+0</f>
        <v/>
      </c>
      <c r="YE5" s="9">
        <f>YB5+YC5+YD5</f>
        <v/>
      </c>
      <c r="YF5" s="12">
        <f>SUM(YE$5:YE5)</f>
        <v/>
      </c>
      <c r="YG5" s="12">
        <f>IF(VATAgentMode,SUM($YE$5:$YE5)-SUM($YL$5:$YL5)&gt;=VATThreshold,SUM($YE$5:$YE5)&gt;=VATThreshold)</f>
        <v/>
      </c>
      <c r="YH5" s="9">
        <f>IF(YG5,IF(VATAgentMode,YE5-((YE5-YL5)-(YE5-YL5)/(1+VATRate)),YE5/(1+VATRate)),YE5)</f>
        <v/>
      </c>
      <c r="YI5" s="12">
        <f>YE5-YH5</f>
        <v/>
      </c>
      <c r="YJ5" s="12">
        <f>IF(YG5=0,0,IF(XB5=1,SUMPRODUCT(--(($XC$5:$XC5=$XC5-1)*($XB$5:$XB5&gt;=10)*($XB$5:$XB5&lt;=12)),$YI$5:$YI5),IF(XB5=4,SUMPRODUCT(--(($XC$5:$XC5=$XC5)*($XB$5:$XB5&gt;=1)*($XB$5:$XB5&lt;=3)),$YI$5:$YI5),IF(XB5=7,SUMPRODUCT(--(($XC$5:$XC5=$XC5)*($XB$5:$XB5&gt;=4)*($XB$5:$XB5&lt;=6)),$YI$5:$YI5),IF(XB5=10,SUMPRODUCT(--(($XC$5:$XC5=$XC5)*($XB$5:$XB5&gt;=7)*($XB$5:$XB5&lt;=9)),$YI$5:$YI5),0)))))</f>
        <v/>
      </c>
      <c r="YK5" s="12">
        <f>YI5-YJ5</f>
        <v/>
      </c>
      <c r="YL5" s="12">
        <f>IF(ProviderDelay&gt;=1,0,XS5*BlendedProvPayEss+XT5*BlendedProvPayPrem+XU5*BlendedProvPayElite+XV5*BlendedProvPayEss+XW5*BlendedProvPayPrem+XX5*BlendedProvPayElite)</f>
        <v/>
      </c>
      <c r="YM5" s="12">
        <f>YE5*PaymentFee</f>
        <v/>
      </c>
      <c r="YN5" s="12">
        <f>XY5*OpsAI</f>
        <v/>
      </c>
      <c r="YO5" s="12">
        <f>MonthlyFixed</f>
        <v/>
      </c>
      <c r="YP5" s="12">
        <f>XI5*ReferralReward</f>
        <v/>
      </c>
      <c r="YQ5" s="12">
        <f>XG5</f>
        <v/>
      </c>
      <c r="YR5" s="9">
        <f>YH5-YL5-YM5-YN5-YO5-YP5-YQ5</f>
        <v/>
      </c>
      <c r="YS5" s="9">
        <f>InitialInvestment+YE5-(YL5+YM5+YN5+YO5+YP5+YQ5+YJ5)</f>
        <v/>
      </c>
      <c r="YT5" s="12">
        <f>IF(XY5&gt;0,XZ5/XY5,0)</f>
        <v/>
      </c>
      <c r="YU5" s="11" t="n">
        <v>0</v>
      </c>
      <c r="YW5" s="12" t="n">
        <v>1</v>
      </c>
      <c r="YX5" s="12">
        <f>MOD(YW5-1+LaunchMonth-1,12)+1</f>
        <v/>
      </c>
      <c r="YY5" s="12">
        <f>INT((YW5-1+LaunchMonth-1)/12)+1</f>
        <v/>
      </c>
      <c r="YZ5" s="12">
        <f>VLOOKUP(YX5,SeasonTable,2,FALSE)</f>
        <v/>
      </c>
      <c r="ZA5" s="12">
        <f>(1+InflationRate)^INT((YW5-1)/12)</f>
        <v/>
      </c>
      <c r="ZB5" s="11">
        <f>MonthlyChurn*VLOOKUP(YX5,ChurnSeasonTable,4,FALSE)</f>
        <v/>
      </c>
      <c r="ZC5" s="12">
        <f>MktFixed1_3</f>
        <v/>
      </c>
      <c r="ZD5" s="12">
        <f>IF(ZC5&gt;0,MAX(1,ROUND(ZC5/CAC*YZ5,0)),0)</f>
        <v/>
      </c>
      <c r="ZE5" s="12">
        <f>IF(ZD5&gt;0,ROUND(ZD5*ReferralMix/(1-ReferralMix),0),0)</f>
        <v/>
      </c>
      <c r="ZF5" s="12">
        <f>ZD5+ZE5</f>
        <v/>
      </c>
      <c r="ZG5" s="12">
        <f>ROUND(ZF5*(1-'Sens - Annual Mix'!$A$11),0)</f>
        <v/>
      </c>
      <c r="ZH5" s="12">
        <f>ZF5-ZG5</f>
        <v/>
      </c>
      <c r="ZI5" s="12">
        <f>ROUND(ZG5*EssentialMix,0)</f>
        <v/>
      </c>
      <c r="ZJ5" s="12">
        <f>ROUND(ZG5*PremiumMix,0)</f>
        <v/>
      </c>
      <c r="ZK5" s="12">
        <f>ZG5-ZI5-ZJ5</f>
        <v/>
      </c>
      <c r="ZL5" s="12">
        <f>ROUND(ZH5*EssentialMix,0)</f>
        <v/>
      </c>
      <c r="ZM5" s="12">
        <f>ROUND(ZH5*PremiumMix,0)</f>
        <v/>
      </c>
      <c r="ZN5" s="12">
        <f>ZH5-ZL5-ZM5</f>
        <v/>
      </c>
      <c r="ZO5" s="12">
        <f>ZI5</f>
        <v/>
      </c>
      <c r="ZP5" s="12">
        <f>ZJ5</f>
        <v/>
      </c>
      <c r="ZQ5" s="12">
        <f>ZK5</f>
        <v/>
      </c>
      <c r="ZR5" s="12">
        <f>ZL5</f>
        <v/>
      </c>
      <c r="ZS5" s="12">
        <f>ZM5</f>
        <v/>
      </c>
      <c r="ZT5" s="12">
        <f>ZN5</f>
        <v/>
      </c>
      <c r="ZU5" s="12">
        <f>ZO5+ZP5+ZQ5+ZR5+ZS5+ZT5</f>
        <v/>
      </c>
      <c r="ZV5" s="9">
        <f>ZO5*BlendedPriceEssMonthly*ZA5+ZP5*BlendedPricePremMonthly*ZA5+ZQ5*BlendedPriceEliteMonthly*ZA5+ZR5*BlendedPriceEssAnnual*ZA5/12+ZS5*BlendedPricePremAnnual*ZA5/12+ZT5*BlendedPriceEliteAnnual*ZA5/12</f>
        <v/>
      </c>
      <c r="ZW5" s="9">
        <f>ZV5*12</f>
        <v/>
      </c>
      <c r="ZX5" s="12">
        <f>ZO5*BlendedPriceEssMonthly*ZA5+ZP5*BlendedPricePremMonthly*ZA5+ZQ5*BlendedPriceEliteMonthly*ZA5</f>
        <v/>
      </c>
      <c r="ZY5" s="12">
        <f>ZL5*BlendedPriceEssAnnual*ZA5+ZM5*BlendedPricePremAnnual*ZA5+ZN5*BlendedPriceEliteAnnual*ZA5</f>
        <v/>
      </c>
      <c r="ZZ5" s="12">
        <f>0+0+0</f>
        <v/>
      </c>
      <c r="AAA5" s="9">
        <f>ZX5+ZY5+ZZ5</f>
        <v/>
      </c>
      <c r="AAB5" s="12">
        <f>SUM(AAA$5:AAA5)</f>
        <v/>
      </c>
      <c r="AAC5" s="12">
        <f>IF(VATAgentMode,SUM($AAA$5:$AAA5)-SUM($AAH$5:$AAH5)&gt;=VATThreshold,SUM($AAA$5:$AAA5)&gt;=VATThreshold)</f>
        <v/>
      </c>
      <c r="AAD5" s="9">
        <f>IF(AAC5,IF(VATAgentMode,AAA5-((AAA5-AAH5)-(AAA5-AAH5)/(1+VATRate)),AAA5/(1+VATRate)),AAA5)</f>
        <v/>
      </c>
      <c r="AAE5" s="12">
        <f>AAA5-AAD5</f>
        <v/>
      </c>
      <c r="AAF5" s="12">
        <f>IF(AAC5=0,0,IF(YX5=1,SUMPRODUCT(--(($YY$5:$YY5=$YY5-1)*($YX$5:$YX5&gt;=10)*($YX$5:$YX5&lt;=12)),$AAE$5:$AAE5),IF(YX5=4,SUMPRODUCT(--(($YY$5:$YY5=$YY5)*($YX$5:$YX5&gt;=1)*($YX$5:$YX5&lt;=3)),$AAE$5:$AAE5),IF(YX5=7,SUMPRODUCT(--(($YY$5:$YY5=$YY5)*($YX$5:$YX5&gt;=4)*($YX$5:$YX5&lt;=6)),$AAE$5:$AAE5),IF(YX5=10,SUMPRODUCT(--(($YY$5:$YY5=$YY5)*($YX$5:$YX5&gt;=7)*($YX$5:$YX5&lt;=9)),$AAE$5:$AAE5),0)))))</f>
        <v/>
      </c>
      <c r="AAG5" s="12">
        <f>AAE5-AAF5</f>
        <v/>
      </c>
      <c r="AAH5" s="12">
        <f>IF(ProviderDelay&gt;=1,0,ZO5*BlendedProvPayEss+ZP5*BlendedProvPayPrem+ZQ5*BlendedProvPayElite+ZR5*BlendedProvPayEss+ZS5*BlendedProvPayPrem+ZT5*BlendedProvPayElite)</f>
        <v/>
      </c>
      <c r="AAI5" s="12">
        <f>AAA5*PaymentFee</f>
        <v/>
      </c>
      <c r="AAJ5" s="12">
        <f>ZU5*OpsAI</f>
        <v/>
      </c>
      <c r="AAK5" s="12">
        <f>MonthlyFixed</f>
        <v/>
      </c>
      <c r="AAL5" s="12">
        <f>ZE5*ReferralReward</f>
        <v/>
      </c>
      <c r="AAM5" s="12">
        <f>ZC5</f>
        <v/>
      </c>
      <c r="AAN5" s="9">
        <f>AAD5-AAH5-AAI5-AAJ5-AAK5-AAL5-AAM5</f>
        <v/>
      </c>
      <c r="AAO5" s="9">
        <f>InitialInvestment+AAA5-(AAH5+AAI5+AAJ5+AAK5+AAL5+AAM5+AAF5)</f>
        <v/>
      </c>
      <c r="AAP5" s="12">
        <f>IF(ZU5&gt;0,ZV5/ZU5,0)</f>
        <v/>
      </c>
      <c r="AAQ5" s="11" t="n">
        <v>0</v>
      </c>
      <c r="AAS5" s="12" t="n">
        <v>1</v>
      </c>
      <c r="AAT5" s="12">
        <f>MOD(AAS5-1+LaunchMonth-1,12)+1</f>
        <v/>
      </c>
      <c r="AAU5" s="12">
        <f>INT((AAS5-1+LaunchMonth-1)/12)+1</f>
        <v/>
      </c>
      <c r="AAV5" s="12">
        <f>VLOOKUP(AAT5,SeasonTable,2,FALSE)</f>
        <v/>
      </c>
      <c r="AAW5" s="12">
        <f>(1+InflationRate)^INT((AAS5-1)/12)</f>
        <v/>
      </c>
      <c r="AAX5" s="11">
        <f>MonthlyChurn*VLOOKUP(AAT5,ChurnSeasonTable,4,FALSE)</f>
        <v/>
      </c>
      <c r="AAY5" s="12">
        <f>MktFixed1_3</f>
        <v/>
      </c>
      <c r="AAZ5" s="12">
        <f>IF(AAY5&gt;0,MAX(1,ROUND(AAY5/CAC*AAV5,0)),0)</f>
        <v/>
      </c>
      <c r="ABA5" s="12">
        <f>IF(AAZ5&gt;0,ROUND(AAZ5*ReferralMix/(1-ReferralMix),0),0)</f>
        <v/>
      </c>
      <c r="ABB5" s="12">
        <f>AAZ5+ABA5</f>
        <v/>
      </c>
      <c r="ABC5" s="12">
        <f>ROUND(ABB5*(1-'Sens - Annual Mix'!$A$12),0)</f>
        <v/>
      </c>
      <c r="ABD5" s="12">
        <f>ABB5-ABC5</f>
        <v/>
      </c>
      <c r="ABE5" s="12">
        <f>ROUND(ABC5*EssentialMix,0)</f>
        <v/>
      </c>
      <c r="ABF5" s="12">
        <f>ROUND(ABC5*PremiumMix,0)</f>
        <v/>
      </c>
      <c r="ABG5" s="12">
        <f>ABC5-ABE5-ABF5</f>
        <v/>
      </c>
      <c r="ABH5" s="12">
        <f>ROUND(ABD5*EssentialMix,0)</f>
        <v/>
      </c>
      <c r="ABI5" s="12">
        <f>ROUND(ABD5*PremiumMix,0)</f>
        <v/>
      </c>
      <c r="ABJ5" s="12">
        <f>ABD5-ABH5-ABI5</f>
        <v/>
      </c>
      <c r="ABK5" s="12">
        <f>ABE5</f>
        <v/>
      </c>
      <c r="ABL5" s="12">
        <f>ABF5</f>
        <v/>
      </c>
      <c r="ABM5" s="12">
        <f>ABG5</f>
        <v/>
      </c>
      <c r="ABN5" s="12">
        <f>ABH5</f>
        <v/>
      </c>
      <c r="ABO5" s="12">
        <f>ABI5</f>
        <v/>
      </c>
      <c r="ABP5" s="12">
        <f>ABJ5</f>
        <v/>
      </c>
      <c r="ABQ5" s="12">
        <f>ABK5+ABL5+ABM5+ABN5+ABO5+ABP5</f>
        <v/>
      </c>
      <c r="ABR5" s="9">
        <f>ABK5*BlendedPriceEssMonthly*AAW5+ABL5*BlendedPricePremMonthly*AAW5+ABM5*BlendedPriceEliteMonthly*AAW5+ABN5*BlendedPriceEssAnnual*AAW5/12+ABO5*BlendedPricePremAnnual*AAW5/12+ABP5*BlendedPriceEliteAnnual*AAW5/12</f>
        <v/>
      </c>
      <c r="ABS5" s="9">
        <f>ABR5*12</f>
        <v/>
      </c>
      <c r="ABT5" s="12">
        <f>ABK5*BlendedPriceEssMonthly*AAW5+ABL5*BlendedPricePremMonthly*AAW5+ABM5*BlendedPriceEliteMonthly*AAW5</f>
        <v/>
      </c>
      <c r="ABU5" s="12">
        <f>ABH5*BlendedPriceEssAnnual*AAW5+ABI5*BlendedPricePremAnnual*AAW5+ABJ5*BlendedPriceEliteAnnual*AAW5</f>
        <v/>
      </c>
      <c r="ABV5" s="12">
        <f>0+0+0</f>
        <v/>
      </c>
      <c r="ABW5" s="9">
        <f>ABT5+ABU5+ABV5</f>
        <v/>
      </c>
      <c r="ABX5" s="12">
        <f>SUM(ABW$5:ABW5)</f>
        <v/>
      </c>
      <c r="ABY5" s="12">
        <f>IF(VATAgentMode,SUM($ABW$5:$ABW5)-SUM($ACD$5:$ACD5)&gt;=VATThreshold,SUM($ABW$5:$ABW5)&gt;=VATThreshold)</f>
        <v/>
      </c>
      <c r="ABZ5" s="9">
        <f>IF(ABY5,IF(VATAgentMode,ABW5-((ABW5-ACD5)-(ABW5-ACD5)/(1+VATRate)),ABW5/(1+VATRate)),ABW5)</f>
        <v/>
      </c>
      <c r="ACA5" s="12">
        <f>ABW5-ABZ5</f>
        <v/>
      </c>
      <c r="ACB5" s="12">
        <f>IF(ABY5=0,0,IF(AAT5=1,SUMPRODUCT(--(($AAU$5:$AAU5=$AAU5-1)*($AAT$5:$AAT5&gt;=10)*($AAT$5:$AAT5&lt;=12)),$ACA$5:$ACA5),IF(AAT5=4,SUMPRODUCT(--(($AAU$5:$AAU5=$AAU5)*($AAT$5:$AAT5&gt;=1)*($AAT$5:$AAT5&lt;=3)),$ACA$5:$ACA5),IF(AAT5=7,SUMPRODUCT(--(($AAU$5:$AAU5=$AAU5)*($AAT$5:$AAT5&gt;=4)*($AAT$5:$AAT5&lt;=6)),$ACA$5:$ACA5),IF(AAT5=10,SUMPRODUCT(--(($AAU$5:$AAU5=$AAU5)*($AAT$5:$AAT5&gt;=7)*($AAT$5:$AAT5&lt;=9)),$ACA$5:$ACA5),0)))))</f>
        <v/>
      </c>
      <c r="ACC5" s="12">
        <f>ACA5-ACB5</f>
        <v/>
      </c>
      <c r="ACD5" s="12">
        <f>IF(ProviderDelay&gt;=1,0,ABK5*BlendedProvPayEss+ABL5*BlendedProvPayPrem+ABM5*BlendedProvPayElite+ABN5*BlendedProvPayEss+ABO5*BlendedProvPayPrem+ABP5*BlendedProvPayElite)</f>
        <v/>
      </c>
      <c r="ACE5" s="12">
        <f>ABW5*PaymentFee</f>
        <v/>
      </c>
      <c r="ACF5" s="12">
        <f>ABQ5*OpsAI</f>
        <v/>
      </c>
      <c r="ACG5" s="12">
        <f>MonthlyFixed</f>
        <v/>
      </c>
      <c r="ACH5" s="12">
        <f>ABA5*ReferralReward</f>
        <v/>
      </c>
      <c r="ACI5" s="12">
        <f>AAY5</f>
        <v/>
      </c>
      <c r="ACJ5" s="9">
        <f>ABZ5-ACD5-ACE5-ACF5-ACG5-ACH5-ACI5</f>
        <v/>
      </c>
      <c r="ACK5" s="9">
        <f>InitialInvestment+ABW5-(ACD5+ACE5+ACF5+ACG5+ACH5+ACI5+ACB5)</f>
        <v/>
      </c>
      <c r="ACL5" s="12">
        <f>IF(ABQ5&gt;0,ABR5/ABQ5,0)</f>
        <v/>
      </c>
      <c r="ACM5" s="11" t="n">
        <v>0</v>
      </c>
      <c r="ACO5" s="12" t="n">
        <v>1</v>
      </c>
      <c r="ACP5" s="12">
        <f>MOD(ACO5-1+LaunchMonth-1,12)+1</f>
        <v/>
      </c>
      <c r="ACQ5" s="12">
        <f>INT((ACO5-1+LaunchMonth-1)/12)+1</f>
        <v/>
      </c>
      <c r="ACR5" s="12">
        <f>VLOOKUP(ACP5,SeasonTable,2,FALSE)</f>
        <v/>
      </c>
      <c r="ACS5" s="12">
        <f>(1+InflationRate)^INT((ACO5-1)/12)</f>
        <v/>
      </c>
      <c r="ACT5" s="11">
        <f>MonthlyChurn*VLOOKUP(ACP5,ChurnSeasonTable,4,FALSE)</f>
        <v/>
      </c>
      <c r="ACU5" s="12">
        <f>MktFixed1_3</f>
        <v/>
      </c>
      <c r="ACV5" s="12">
        <f>IF(ACU5&gt;0,MAX(1,ROUND(ACU5/CAC*ACR5,0)),0)</f>
        <v/>
      </c>
      <c r="ACW5" s="12">
        <f>IF(ACV5&gt;0,ROUND(ACV5*ReferralMix/(1-ReferralMix),0),0)</f>
        <v/>
      </c>
      <c r="ACX5" s="12">
        <f>ACV5+ACW5</f>
        <v/>
      </c>
      <c r="ACY5" s="12">
        <f>ROUND(ACX5*(1-'Sens - Annual Mix'!$A$13),0)</f>
        <v/>
      </c>
      <c r="ACZ5" s="12">
        <f>ACX5-ACY5</f>
        <v/>
      </c>
      <c r="ADA5" s="12">
        <f>ROUND(ACY5*EssentialMix,0)</f>
        <v/>
      </c>
      <c r="ADB5" s="12">
        <f>ROUND(ACY5*PremiumMix,0)</f>
        <v/>
      </c>
      <c r="ADC5" s="12">
        <f>ACY5-ADA5-ADB5</f>
        <v/>
      </c>
      <c r="ADD5" s="12">
        <f>ROUND(ACZ5*EssentialMix,0)</f>
        <v/>
      </c>
      <c r="ADE5" s="12">
        <f>ROUND(ACZ5*PremiumMix,0)</f>
        <v/>
      </c>
      <c r="ADF5" s="12">
        <f>ACZ5-ADD5-ADE5</f>
        <v/>
      </c>
      <c r="ADG5" s="12">
        <f>ADA5</f>
        <v/>
      </c>
      <c r="ADH5" s="12">
        <f>ADB5</f>
        <v/>
      </c>
      <c r="ADI5" s="12">
        <f>ADC5</f>
        <v/>
      </c>
      <c r="ADJ5" s="12">
        <f>ADD5</f>
        <v/>
      </c>
      <c r="ADK5" s="12">
        <f>ADE5</f>
        <v/>
      </c>
      <c r="ADL5" s="12">
        <f>ADF5</f>
        <v/>
      </c>
      <c r="ADM5" s="12">
        <f>ADG5+ADH5+ADI5+ADJ5+ADK5+ADL5</f>
        <v/>
      </c>
      <c r="ADN5" s="9">
        <f>ADG5*BlendedPriceEssMonthly*ACS5+ADH5*BlendedPricePremMonthly*ACS5+ADI5*BlendedPriceEliteMonthly*ACS5+ADJ5*BlendedPriceEssAnnual*ACS5/12+ADK5*BlendedPricePremAnnual*ACS5/12+ADL5*BlendedPriceEliteAnnual*ACS5/12</f>
        <v/>
      </c>
      <c r="ADO5" s="9">
        <f>ADN5*12</f>
        <v/>
      </c>
      <c r="ADP5" s="12">
        <f>ADG5*BlendedPriceEssMonthly*ACS5+ADH5*BlendedPricePremMonthly*ACS5+ADI5*BlendedPriceEliteMonthly*ACS5</f>
        <v/>
      </c>
      <c r="ADQ5" s="12">
        <f>ADD5*BlendedPriceEssAnnual*ACS5+ADE5*BlendedPricePremAnnual*ACS5+ADF5*BlendedPriceEliteAnnual*ACS5</f>
        <v/>
      </c>
      <c r="ADR5" s="12">
        <f>0+0+0</f>
        <v/>
      </c>
      <c r="ADS5" s="9">
        <f>ADP5+ADQ5+ADR5</f>
        <v/>
      </c>
      <c r="ADT5" s="12">
        <f>SUM(ADS$5:ADS5)</f>
        <v/>
      </c>
      <c r="ADU5" s="12">
        <f>IF(VATAgentMode,SUM($ADS$5:$ADS5)-SUM($ADZ$5:$ADZ5)&gt;=VATThreshold,SUM($ADS$5:$ADS5)&gt;=VATThreshold)</f>
        <v/>
      </c>
      <c r="ADV5" s="9">
        <f>IF(ADU5,IF(VATAgentMode,ADS5-((ADS5-ADZ5)-(ADS5-ADZ5)/(1+VATRate)),ADS5/(1+VATRate)),ADS5)</f>
        <v/>
      </c>
      <c r="ADW5" s="12">
        <f>ADS5-ADV5</f>
        <v/>
      </c>
      <c r="ADX5" s="12">
        <f>IF(ADU5=0,0,IF(ACP5=1,SUMPRODUCT(--(($ACQ$5:$ACQ5=$ACQ5-1)*($ACP$5:$ACP5&gt;=10)*($ACP$5:$ACP5&lt;=12)),$ADW$5:$ADW5),IF(ACP5=4,SUMPRODUCT(--(($ACQ$5:$ACQ5=$ACQ5)*($ACP$5:$ACP5&gt;=1)*($ACP$5:$ACP5&lt;=3)),$ADW$5:$ADW5),IF(ACP5=7,SUMPRODUCT(--(($ACQ$5:$ACQ5=$ACQ5)*($ACP$5:$ACP5&gt;=4)*($ACP$5:$ACP5&lt;=6)),$ADW$5:$ADW5),IF(ACP5=10,SUMPRODUCT(--(($ACQ$5:$ACQ5=$ACQ5)*($ACP$5:$ACP5&gt;=7)*($ACP$5:$ACP5&lt;=9)),$ADW$5:$ADW5),0)))))</f>
        <v/>
      </c>
      <c r="ADY5" s="12">
        <f>ADW5-ADX5</f>
        <v/>
      </c>
      <c r="ADZ5" s="12">
        <f>IF(ProviderDelay&gt;=1,0,ADG5*BlendedProvPayEss+ADH5*BlendedProvPayPrem+ADI5*BlendedProvPayElite+ADJ5*BlendedProvPayEss+ADK5*BlendedProvPayPrem+ADL5*BlendedProvPayElite)</f>
        <v/>
      </c>
      <c r="AEA5" s="12">
        <f>ADS5*PaymentFee</f>
        <v/>
      </c>
      <c r="AEB5" s="12">
        <f>ADM5*OpsAI</f>
        <v/>
      </c>
      <c r="AEC5" s="12">
        <f>MonthlyFixed</f>
        <v/>
      </c>
      <c r="AED5" s="12">
        <f>ACW5*ReferralReward</f>
        <v/>
      </c>
      <c r="AEE5" s="12">
        <f>ACU5</f>
        <v/>
      </c>
      <c r="AEF5" s="9">
        <f>ADV5-ADZ5-AEA5-AEB5-AEC5-AED5-AEE5</f>
        <v/>
      </c>
      <c r="AEG5" s="9">
        <f>InitialInvestment+ADS5-(ADZ5+AEA5+AEB5+AEC5+AED5+AEE5+ADX5)</f>
        <v/>
      </c>
      <c r="AEH5" s="12">
        <f>IF(ADM5&gt;0,ADN5/ADM5,0)</f>
        <v/>
      </c>
      <c r="AEI5" s="11" t="n">
        <v>0</v>
      </c>
      <c r="AEK5" s="12" t="n">
        <v>1</v>
      </c>
      <c r="AEL5" s="12">
        <f>MOD(AEK5-1+LaunchMonth-1,12)+1</f>
        <v/>
      </c>
      <c r="AEM5" s="12">
        <f>INT((AEK5-1+LaunchMonth-1)/12)+1</f>
        <v/>
      </c>
      <c r="AEN5" s="12">
        <f>VLOOKUP(AEL5,SeasonTable,2,FALSE)</f>
        <v/>
      </c>
      <c r="AEO5" s="12">
        <f>(1+InflationRate)^INT((AEK5-1)/12)</f>
        <v/>
      </c>
      <c r="AEP5" s="11">
        <f>MonthlyChurn*VLOOKUP(AEL5,ChurnSeasonTable,4,FALSE)</f>
        <v/>
      </c>
      <c r="AEQ5" s="12">
        <f>MktFixed1_3</f>
        <v/>
      </c>
      <c r="AER5" s="12">
        <f>IF(AEQ5&gt;0,MAX(1,ROUND(AEQ5/CAC*AEN5,0)),0)</f>
        <v/>
      </c>
      <c r="AES5" s="12">
        <f>IF(AER5&gt;0,ROUND(AER5*ReferralMix/(1-ReferralMix),0),0)</f>
        <v/>
      </c>
      <c r="AET5" s="12">
        <f>AER5+AES5</f>
        <v/>
      </c>
      <c r="AEU5" s="12">
        <f>ROUND(AET5*(1-'Sens - Annual Mix'!$A$14),0)</f>
        <v/>
      </c>
      <c r="AEV5" s="12">
        <f>AET5-AEU5</f>
        <v/>
      </c>
      <c r="AEW5" s="12">
        <f>ROUND(AEU5*EssentialMix,0)</f>
        <v/>
      </c>
      <c r="AEX5" s="12">
        <f>ROUND(AEU5*PremiumMix,0)</f>
        <v/>
      </c>
      <c r="AEY5" s="12">
        <f>AEU5-AEW5-AEX5</f>
        <v/>
      </c>
      <c r="AEZ5" s="12">
        <f>ROUND(AEV5*EssentialMix,0)</f>
        <v/>
      </c>
      <c r="AFA5" s="12">
        <f>ROUND(AEV5*PremiumMix,0)</f>
        <v/>
      </c>
      <c r="AFB5" s="12">
        <f>AEV5-AEZ5-AFA5</f>
        <v/>
      </c>
      <c r="AFC5" s="12">
        <f>AEW5</f>
        <v/>
      </c>
      <c r="AFD5" s="12">
        <f>AEX5</f>
        <v/>
      </c>
      <c r="AFE5" s="12">
        <f>AEY5</f>
        <v/>
      </c>
      <c r="AFF5" s="12">
        <f>AEZ5</f>
        <v/>
      </c>
      <c r="AFG5" s="12">
        <f>AFA5</f>
        <v/>
      </c>
      <c r="AFH5" s="12">
        <f>AFB5</f>
        <v/>
      </c>
      <c r="AFI5" s="12">
        <f>AFC5+AFD5+AFE5+AFF5+AFG5+AFH5</f>
        <v/>
      </c>
      <c r="AFJ5" s="9">
        <f>AFC5*BlendedPriceEssMonthly*AEO5+AFD5*BlendedPricePremMonthly*AEO5+AFE5*BlendedPriceEliteMonthly*AEO5+AFF5*BlendedPriceEssAnnual*AEO5/12+AFG5*BlendedPricePremAnnual*AEO5/12+AFH5*BlendedPriceEliteAnnual*AEO5/12</f>
        <v/>
      </c>
      <c r="AFK5" s="9">
        <f>AFJ5*12</f>
        <v/>
      </c>
      <c r="AFL5" s="12">
        <f>AFC5*BlendedPriceEssMonthly*AEO5+AFD5*BlendedPricePremMonthly*AEO5+AFE5*BlendedPriceEliteMonthly*AEO5</f>
        <v/>
      </c>
      <c r="AFM5" s="12">
        <f>AEZ5*BlendedPriceEssAnnual*AEO5+AFA5*BlendedPricePremAnnual*AEO5+AFB5*BlendedPriceEliteAnnual*AEO5</f>
        <v/>
      </c>
      <c r="AFN5" s="12">
        <f>0+0+0</f>
        <v/>
      </c>
      <c r="AFO5" s="9">
        <f>AFL5+AFM5+AFN5</f>
        <v/>
      </c>
      <c r="AFP5" s="12">
        <f>SUM(AFO$5:AFO5)</f>
        <v/>
      </c>
      <c r="AFQ5" s="12">
        <f>IF(VATAgentMode,SUM($AFO$5:$AFO5)-SUM($AFV$5:$AFV5)&gt;=VATThreshold,SUM($AFO$5:$AFO5)&gt;=VATThreshold)</f>
        <v/>
      </c>
      <c r="AFR5" s="9">
        <f>IF(AFQ5,IF(VATAgentMode,AFO5-((AFO5-AFV5)-(AFO5-AFV5)/(1+VATRate)),AFO5/(1+VATRate)),AFO5)</f>
        <v/>
      </c>
      <c r="AFS5" s="12">
        <f>AFO5-AFR5</f>
        <v/>
      </c>
      <c r="AFT5" s="12">
        <f>IF(AFQ5=0,0,IF(AEL5=1,SUMPRODUCT(--(($AEM$5:$AEM5=$AEM5-1)*($AEL$5:$AEL5&gt;=10)*($AEL$5:$AEL5&lt;=12)),$AFS$5:$AFS5),IF(AEL5=4,SUMPRODUCT(--(($AEM$5:$AEM5=$AEM5)*($AEL$5:$AEL5&gt;=1)*($AEL$5:$AEL5&lt;=3)),$AFS$5:$AFS5),IF(AEL5=7,SUMPRODUCT(--(($AEM$5:$AEM5=$AEM5)*($AEL$5:$AEL5&gt;=4)*($AEL$5:$AEL5&lt;=6)),$AFS$5:$AFS5),IF(AEL5=10,SUMPRODUCT(--(($AEM$5:$AEM5=$AEM5)*($AEL$5:$AEL5&gt;=7)*($AEL$5:$AEL5&lt;=9)),$AFS$5:$AFS5),0)))))</f>
        <v/>
      </c>
      <c r="AFU5" s="12">
        <f>AFS5-AFT5</f>
        <v/>
      </c>
      <c r="AFV5" s="12">
        <f>IF(ProviderDelay&gt;=1,0,AFC5*BlendedProvPayEss+AFD5*BlendedProvPayPrem+AFE5*BlendedProvPayElite+AFF5*BlendedProvPayEss+AFG5*BlendedProvPayPrem+AFH5*BlendedProvPayElite)</f>
        <v/>
      </c>
      <c r="AFW5" s="12">
        <f>AFO5*PaymentFee</f>
        <v/>
      </c>
      <c r="AFX5" s="12">
        <f>AFI5*OpsAI</f>
        <v/>
      </c>
      <c r="AFY5" s="12">
        <f>MonthlyFixed</f>
        <v/>
      </c>
      <c r="AFZ5" s="12">
        <f>AES5*ReferralReward</f>
        <v/>
      </c>
      <c r="AGA5" s="12">
        <f>AEQ5</f>
        <v/>
      </c>
      <c r="AGB5" s="9">
        <f>AFR5-AFV5-AFW5-AFX5-AFY5-AFZ5-AGA5</f>
        <v/>
      </c>
      <c r="AGC5" s="9">
        <f>InitialInvestment+AFO5-(AFV5+AFW5+AFX5+AFY5+AFZ5+AGA5+AFT5)</f>
        <v/>
      </c>
      <c r="AGD5" s="12">
        <f>IF(AFI5&gt;0,AFJ5/AFI5,0)</f>
        <v/>
      </c>
      <c r="AGE5" s="11" t="n">
        <v>0</v>
      </c>
      <c r="AGG5" s="12" t="n">
        <v>1</v>
      </c>
      <c r="AGH5" s="12">
        <f>MOD(AGG5-1+LaunchMonth-1,12)+1</f>
        <v/>
      </c>
      <c r="AGI5" s="12">
        <f>INT((AGG5-1+LaunchMonth-1)/12)+1</f>
        <v/>
      </c>
      <c r="AGJ5" s="12">
        <f>VLOOKUP(AGH5,SeasonTable,2,FALSE)</f>
        <v/>
      </c>
      <c r="AGK5" s="12">
        <f>(1+InflationRate)^INT((AGG5-1)/12)</f>
        <v/>
      </c>
      <c r="AGL5" s="11">
        <f>MonthlyChurn*VLOOKUP(AGH5,ChurnSeasonTable,4,FALSE)</f>
        <v/>
      </c>
      <c r="AGM5" s="12">
        <f>MktFixed1_3</f>
        <v/>
      </c>
      <c r="AGN5" s="12">
        <f>IF(AGM5&gt;0,MAX(1,ROUND(AGM5/CAC*AGJ5,0)),0)</f>
        <v/>
      </c>
      <c r="AGO5" s="12">
        <f>IF(AGN5&gt;0,ROUND(AGN5*ReferralMix/(1-ReferralMix),0),0)</f>
        <v/>
      </c>
      <c r="AGP5" s="12">
        <f>AGN5+AGO5</f>
        <v/>
      </c>
      <c r="AGQ5" s="12">
        <f>ROUND(AGP5*(1-'Sens - Annual Mix'!$A$15),0)</f>
        <v/>
      </c>
      <c r="AGR5" s="12">
        <f>AGP5-AGQ5</f>
        <v/>
      </c>
      <c r="AGS5" s="12">
        <f>ROUND(AGQ5*EssentialMix,0)</f>
        <v/>
      </c>
      <c r="AGT5" s="12">
        <f>ROUND(AGQ5*PremiumMix,0)</f>
        <v/>
      </c>
      <c r="AGU5" s="12">
        <f>AGQ5-AGS5-AGT5</f>
        <v/>
      </c>
      <c r="AGV5" s="12">
        <f>ROUND(AGR5*EssentialMix,0)</f>
        <v/>
      </c>
      <c r="AGW5" s="12">
        <f>ROUND(AGR5*PremiumMix,0)</f>
        <v/>
      </c>
      <c r="AGX5" s="12">
        <f>AGR5-AGV5-AGW5</f>
        <v/>
      </c>
      <c r="AGY5" s="12">
        <f>AGS5</f>
        <v/>
      </c>
      <c r="AGZ5" s="12">
        <f>AGT5</f>
        <v/>
      </c>
      <c r="AHA5" s="12">
        <f>AGU5</f>
        <v/>
      </c>
      <c r="AHB5" s="12">
        <f>AGV5</f>
        <v/>
      </c>
      <c r="AHC5" s="12">
        <f>AGW5</f>
        <v/>
      </c>
      <c r="AHD5" s="12">
        <f>AGX5</f>
        <v/>
      </c>
      <c r="AHE5" s="12">
        <f>AGY5+AGZ5+AHA5+AHB5+AHC5+AHD5</f>
        <v/>
      </c>
      <c r="AHF5" s="9">
        <f>AGY5*BlendedPriceEssMonthly*AGK5+AGZ5*BlendedPricePremMonthly*AGK5+AHA5*BlendedPriceEliteMonthly*AGK5+AHB5*BlendedPriceEssAnnual*AGK5/12+AHC5*BlendedPricePremAnnual*AGK5/12+AHD5*BlendedPriceEliteAnnual*AGK5/12</f>
        <v/>
      </c>
      <c r="AHG5" s="9">
        <f>AHF5*12</f>
        <v/>
      </c>
      <c r="AHH5" s="12">
        <f>AGY5*BlendedPriceEssMonthly*AGK5+AGZ5*BlendedPricePremMonthly*AGK5+AHA5*BlendedPriceEliteMonthly*AGK5</f>
        <v/>
      </c>
      <c r="AHI5" s="12">
        <f>AGV5*BlendedPriceEssAnnual*AGK5+AGW5*BlendedPricePremAnnual*AGK5+AGX5*BlendedPriceEliteAnnual*AGK5</f>
        <v/>
      </c>
      <c r="AHJ5" s="12">
        <f>0+0+0</f>
        <v/>
      </c>
      <c r="AHK5" s="9">
        <f>AHH5+AHI5+AHJ5</f>
        <v/>
      </c>
      <c r="AHL5" s="12">
        <f>SUM(AHK$5:AHK5)</f>
        <v/>
      </c>
      <c r="AHM5" s="12">
        <f>IF(VATAgentMode,SUM($AHK$5:$AHK5)-SUM($AHR$5:$AHR5)&gt;=VATThreshold,SUM($AHK$5:$AHK5)&gt;=VATThreshold)</f>
        <v/>
      </c>
      <c r="AHN5" s="9">
        <f>IF(AHM5,IF(VATAgentMode,AHK5-((AHK5-AHR5)-(AHK5-AHR5)/(1+VATRate)),AHK5/(1+VATRate)),AHK5)</f>
        <v/>
      </c>
      <c r="AHO5" s="12">
        <f>AHK5-AHN5</f>
        <v/>
      </c>
      <c r="AHP5" s="12">
        <f>IF(AHM5=0,0,IF(AGH5=1,SUMPRODUCT(--(($AGI$5:$AGI5=$AGI5-1)*($AGH$5:$AGH5&gt;=10)*($AGH$5:$AGH5&lt;=12)),$AHO$5:$AHO5),IF(AGH5=4,SUMPRODUCT(--(($AGI$5:$AGI5=$AGI5)*($AGH$5:$AGH5&gt;=1)*($AGH$5:$AGH5&lt;=3)),$AHO$5:$AHO5),IF(AGH5=7,SUMPRODUCT(--(($AGI$5:$AGI5=$AGI5)*($AGH$5:$AGH5&gt;=4)*($AGH$5:$AGH5&lt;=6)),$AHO$5:$AHO5),IF(AGH5=10,SUMPRODUCT(--(($AGI$5:$AGI5=$AGI5)*($AGH$5:$AGH5&gt;=7)*($AGH$5:$AGH5&lt;=9)),$AHO$5:$AHO5),0)))))</f>
        <v/>
      </c>
      <c r="AHQ5" s="12">
        <f>AHO5-AHP5</f>
        <v/>
      </c>
      <c r="AHR5" s="12">
        <f>IF(ProviderDelay&gt;=1,0,AGY5*BlendedProvPayEss+AGZ5*BlendedProvPayPrem+AHA5*BlendedProvPayElite+AHB5*BlendedProvPayEss+AHC5*BlendedProvPayPrem+AHD5*BlendedProvPayElite)</f>
        <v/>
      </c>
      <c r="AHS5" s="12">
        <f>AHK5*PaymentFee</f>
        <v/>
      </c>
      <c r="AHT5" s="12">
        <f>AHE5*OpsAI</f>
        <v/>
      </c>
      <c r="AHU5" s="12">
        <f>MonthlyFixed</f>
        <v/>
      </c>
      <c r="AHV5" s="12">
        <f>AGO5*ReferralReward</f>
        <v/>
      </c>
      <c r="AHW5" s="12">
        <f>AGM5</f>
        <v/>
      </c>
      <c r="AHX5" s="9">
        <f>AHN5-AHR5-AHS5-AHT5-AHU5-AHV5-AHW5</f>
        <v/>
      </c>
      <c r="AHY5" s="9">
        <f>InitialInvestment+AHK5-(AHR5+AHS5+AHT5+AHU5+AHV5+AHW5+AHP5)</f>
        <v/>
      </c>
      <c r="AHZ5" s="12">
        <f>IF(AHE5&gt;0,AHF5/AHE5,0)</f>
        <v/>
      </c>
      <c r="AIA5" s="11" t="n">
        <v>0</v>
      </c>
      <c r="AIC5" s="12" t="n">
        <v>1</v>
      </c>
      <c r="AID5" s="12">
        <f>MOD(AIC5-1+LaunchMonth-1,12)+1</f>
        <v/>
      </c>
      <c r="AIE5" s="12">
        <f>INT((AIC5-1+LaunchMonth-1)/12)+1</f>
        <v/>
      </c>
      <c r="AIF5" s="12">
        <f>VLOOKUP(AID5,SeasonTable,2,FALSE)</f>
        <v/>
      </c>
      <c r="AIG5" s="12">
        <f>(1+InflationRate)^INT((AIC5-1)/12)</f>
        <v/>
      </c>
      <c r="AIH5" s="11">
        <f>MonthlyChurn*VLOOKUP(AID5,ChurnSeasonTable,4,FALSE)</f>
        <v/>
      </c>
      <c r="AII5" s="12">
        <f>MktFixed1_3</f>
        <v/>
      </c>
      <c r="AIJ5" s="12">
        <f>IF(AII5&gt;0,MAX(1,ROUND(AII5/'Sens - CAC &amp; Marketing'!$A$9*AIF5,0)),0)</f>
        <v/>
      </c>
      <c r="AIK5" s="12">
        <f>IF(AIJ5&gt;0,ROUND(AIJ5*ReferralMix/(1-ReferralMix),0),0)</f>
        <v/>
      </c>
      <c r="AIL5" s="12">
        <f>AIJ5+AIK5</f>
        <v/>
      </c>
      <c r="AIM5" s="12">
        <f>ROUND(AIL5*(1-AnnualMix),0)</f>
        <v/>
      </c>
      <c r="AIN5" s="12">
        <f>AIL5-AIM5</f>
        <v/>
      </c>
      <c r="AIO5" s="12">
        <f>ROUND(AIM5*EssentialMix,0)</f>
        <v/>
      </c>
      <c r="AIP5" s="12">
        <f>ROUND(AIM5*PremiumMix,0)</f>
        <v/>
      </c>
      <c r="AIQ5" s="12">
        <f>AIM5-AIO5-AIP5</f>
        <v/>
      </c>
      <c r="AIR5" s="12">
        <f>ROUND(AIN5*EssentialMix,0)</f>
        <v/>
      </c>
      <c r="AIS5" s="12">
        <f>ROUND(AIN5*PremiumMix,0)</f>
        <v/>
      </c>
      <c r="AIT5" s="12">
        <f>AIN5-AIR5-AIS5</f>
        <v/>
      </c>
      <c r="AIU5" s="12">
        <f>AIO5</f>
        <v/>
      </c>
      <c r="AIV5" s="12">
        <f>AIP5</f>
        <v/>
      </c>
      <c r="AIW5" s="12">
        <f>AIQ5</f>
        <v/>
      </c>
      <c r="AIX5" s="12">
        <f>AIR5</f>
        <v/>
      </c>
      <c r="AIY5" s="12">
        <f>AIS5</f>
        <v/>
      </c>
      <c r="AIZ5" s="12">
        <f>AIT5</f>
        <v/>
      </c>
      <c r="AJA5" s="12">
        <f>AIU5+AIV5+AIW5+AIX5+AIY5+AIZ5</f>
        <v/>
      </c>
      <c r="AJB5" s="9">
        <f>AIU5*BlendedPriceEssMonthly*AIG5+AIV5*BlendedPricePremMonthly*AIG5+AIW5*BlendedPriceEliteMonthly*AIG5+AIX5*BlendedPriceEssAnnual*AIG5/12+AIY5*BlendedPricePremAnnual*AIG5/12+AIZ5*BlendedPriceEliteAnnual*AIG5/12</f>
        <v/>
      </c>
      <c r="AJC5" s="9">
        <f>AJB5*12</f>
        <v/>
      </c>
      <c r="AJD5" s="12">
        <f>AIU5*BlendedPriceEssMonthly*AIG5+AIV5*BlendedPricePremMonthly*AIG5+AIW5*BlendedPriceEliteMonthly*AIG5</f>
        <v/>
      </c>
      <c r="AJE5" s="12">
        <f>AIR5*BlendedPriceEssAnnual*AIG5+AIS5*BlendedPricePremAnnual*AIG5+AIT5*BlendedPriceEliteAnnual*AIG5</f>
        <v/>
      </c>
      <c r="AJF5" s="12">
        <f>0+0+0</f>
        <v/>
      </c>
      <c r="AJG5" s="9">
        <f>AJD5+AJE5+AJF5</f>
        <v/>
      </c>
      <c r="AJH5" s="12">
        <f>SUM(AJG$5:AJG5)</f>
        <v/>
      </c>
      <c r="AJI5" s="12">
        <f>IF(VATAgentMode,SUM($AJG$5:$AJG5)-SUM($AJN$5:$AJN5)&gt;=VATThreshold,SUM($AJG$5:$AJG5)&gt;=VATThreshold)</f>
        <v/>
      </c>
      <c r="AJJ5" s="9">
        <f>IF(AJI5,IF(VATAgentMode,AJG5-((AJG5-AJN5)-(AJG5-AJN5)/(1+VATRate)),AJG5/(1+VATRate)),AJG5)</f>
        <v/>
      </c>
      <c r="AJK5" s="12">
        <f>AJG5-AJJ5</f>
        <v/>
      </c>
      <c r="AJL5" s="12">
        <f>IF(AJI5=0,0,IF(AID5=1,SUMPRODUCT(--(($AIE$5:$AIE5=$AIE5-1)*($AID$5:$AID5&gt;=10)*($AID$5:$AID5&lt;=12)),$AJK$5:$AJK5),IF(AID5=4,SUMPRODUCT(--(($AIE$5:$AIE5=$AIE5)*($AID$5:$AID5&gt;=1)*($AID$5:$AID5&lt;=3)),$AJK$5:$AJK5),IF(AID5=7,SUMPRODUCT(--(($AIE$5:$AIE5=$AIE5)*($AID$5:$AID5&gt;=4)*($AID$5:$AID5&lt;=6)),$AJK$5:$AJK5),IF(AID5=10,SUMPRODUCT(--(($AIE$5:$AIE5=$AIE5)*($AID$5:$AID5&gt;=7)*($AID$5:$AID5&lt;=9)),$AJK$5:$AJK5),0)))))</f>
        <v/>
      </c>
      <c r="AJM5" s="12">
        <f>AJK5-AJL5</f>
        <v/>
      </c>
      <c r="AJN5" s="12">
        <f>IF(ProviderDelay&gt;=1,0,AIU5*BlendedProvPayEss+AIV5*BlendedProvPayPrem+AIW5*BlendedProvPayElite+AIX5*BlendedProvPayEss+AIY5*BlendedProvPayPrem+AIZ5*BlendedProvPayElite)</f>
        <v/>
      </c>
      <c r="AJO5" s="12">
        <f>AJG5*PaymentFee</f>
        <v/>
      </c>
      <c r="AJP5" s="12">
        <f>AJA5*OpsAI</f>
        <v/>
      </c>
      <c r="AJQ5" s="12">
        <f>MonthlyFixed</f>
        <v/>
      </c>
      <c r="AJR5" s="12">
        <f>AIK5*ReferralReward</f>
        <v/>
      </c>
      <c r="AJS5" s="12">
        <f>AII5</f>
        <v/>
      </c>
      <c r="AJT5" s="9">
        <f>AJJ5-AJN5-AJO5-AJP5-AJQ5-AJR5-AJS5</f>
        <v/>
      </c>
      <c r="AJU5" s="9">
        <f>InitialInvestment+AJG5-(AJN5+AJO5+AJP5+AJQ5+AJR5+AJS5+AJL5)</f>
        <v/>
      </c>
      <c r="AJV5" s="12">
        <f>IF(AJA5&gt;0,AJB5/AJA5,0)</f>
        <v/>
      </c>
      <c r="AJW5" s="11" t="n">
        <v>0</v>
      </c>
      <c r="AJY5" s="12" t="n">
        <v>1</v>
      </c>
      <c r="AJZ5" s="12">
        <f>MOD(AJY5-1+LaunchMonth-1,12)+1</f>
        <v/>
      </c>
      <c r="AKA5" s="12">
        <f>INT((AJY5-1+LaunchMonth-1)/12)+1</f>
        <v/>
      </c>
      <c r="AKB5" s="12">
        <f>VLOOKUP(AJZ5,SeasonTable,2,FALSE)</f>
        <v/>
      </c>
      <c r="AKC5" s="12">
        <f>(1+InflationRate)^INT((AJY5-1)/12)</f>
        <v/>
      </c>
      <c r="AKD5" s="11">
        <f>MonthlyChurn*VLOOKUP(AJZ5,ChurnSeasonTable,4,FALSE)</f>
        <v/>
      </c>
      <c r="AKE5" s="12">
        <f>MktFixed1_3</f>
        <v/>
      </c>
      <c r="AKF5" s="12">
        <f>IF(AKE5&gt;0,MAX(1,ROUND(AKE5/'Sens - CAC &amp; Marketing'!$A$10*AKB5,0)),0)</f>
        <v/>
      </c>
      <c r="AKG5" s="12">
        <f>IF(AKF5&gt;0,ROUND(AKF5*ReferralMix/(1-ReferralMix),0),0)</f>
        <v/>
      </c>
      <c r="AKH5" s="12">
        <f>AKF5+AKG5</f>
        <v/>
      </c>
      <c r="AKI5" s="12">
        <f>ROUND(AKH5*(1-AnnualMix),0)</f>
        <v/>
      </c>
      <c r="AKJ5" s="12">
        <f>AKH5-AKI5</f>
        <v/>
      </c>
      <c r="AKK5" s="12">
        <f>ROUND(AKI5*EssentialMix,0)</f>
        <v/>
      </c>
      <c r="AKL5" s="12">
        <f>ROUND(AKI5*PremiumMix,0)</f>
        <v/>
      </c>
      <c r="AKM5" s="12">
        <f>AKI5-AKK5-AKL5</f>
        <v/>
      </c>
      <c r="AKN5" s="12">
        <f>ROUND(AKJ5*EssentialMix,0)</f>
        <v/>
      </c>
      <c r="AKO5" s="12">
        <f>ROUND(AKJ5*PremiumMix,0)</f>
        <v/>
      </c>
      <c r="AKP5" s="12">
        <f>AKJ5-AKN5-AKO5</f>
        <v/>
      </c>
      <c r="AKQ5" s="12">
        <f>AKK5</f>
        <v/>
      </c>
      <c r="AKR5" s="12">
        <f>AKL5</f>
        <v/>
      </c>
      <c r="AKS5" s="12">
        <f>AKM5</f>
        <v/>
      </c>
      <c r="AKT5" s="12">
        <f>AKN5</f>
        <v/>
      </c>
      <c r="AKU5" s="12">
        <f>AKO5</f>
        <v/>
      </c>
      <c r="AKV5" s="12">
        <f>AKP5</f>
        <v/>
      </c>
      <c r="AKW5" s="12">
        <f>AKQ5+AKR5+AKS5+AKT5+AKU5+AKV5</f>
        <v/>
      </c>
      <c r="AKX5" s="9">
        <f>AKQ5*BlendedPriceEssMonthly*AKC5+AKR5*BlendedPricePremMonthly*AKC5+AKS5*BlendedPriceEliteMonthly*AKC5+AKT5*BlendedPriceEssAnnual*AKC5/12+AKU5*BlendedPricePremAnnual*AKC5/12+AKV5*BlendedPriceEliteAnnual*AKC5/12</f>
        <v/>
      </c>
      <c r="AKY5" s="9">
        <f>AKX5*12</f>
        <v/>
      </c>
      <c r="AKZ5" s="12">
        <f>AKQ5*BlendedPriceEssMonthly*AKC5+AKR5*BlendedPricePremMonthly*AKC5+AKS5*BlendedPriceEliteMonthly*AKC5</f>
        <v/>
      </c>
      <c r="ALA5" s="12">
        <f>AKN5*BlendedPriceEssAnnual*AKC5+AKO5*BlendedPricePremAnnual*AKC5+AKP5*BlendedPriceEliteAnnual*AKC5</f>
        <v/>
      </c>
      <c r="ALB5" s="12">
        <f>0+0+0</f>
        <v/>
      </c>
      <c r="ALC5" s="9">
        <f>AKZ5+ALA5+ALB5</f>
        <v/>
      </c>
      <c r="ALD5" s="12">
        <f>SUM(ALC$5:ALC5)</f>
        <v/>
      </c>
      <c r="ALE5" s="12">
        <f>IF(VATAgentMode,SUM($ALC$5:$ALC5)-SUM($ALJ$5:$ALJ5)&gt;=VATThreshold,SUM($ALC$5:$ALC5)&gt;=VATThreshold)</f>
        <v/>
      </c>
      <c r="ALF5" s="9">
        <f>IF(ALE5,IF(VATAgentMode,ALC5-((ALC5-ALJ5)-(ALC5-ALJ5)/(1+VATRate)),ALC5/(1+VATRate)),ALC5)</f>
        <v/>
      </c>
      <c r="ALG5" s="12">
        <f>ALC5-ALF5</f>
        <v/>
      </c>
      <c r="ALH5" s="12">
        <f>IF(ALE5=0,0,IF(AJZ5=1,SUMPRODUCT(--(($AKA$5:$AKA5=$AKA5-1)*($AJZ$5:$AJZ5&gt;=10)*($AJZ$5:$AJZ5&lt;=12)),$ALG$5:$ALG5),IF(AJZ5=4,SUMPRODUCT(--(($AKA$5:$AKA5=$AKA5)*($AJZ$5:$AJZ5&gt;=1)*($AJZ$5:$AJZ5&lt;=3)),$ALG$5:$ALG5),IF(AJZ5=7,SUMPRODUCT(--(($AKA$5:$AKA5=$AKA5)*($AJZ$5:$AJZ5&gt;=4)*($AJZ$5:$AJZ5&lt;=6)),$ALG$5:$ALG5),IF(AJZ5=10,SUMPRODUCT(--(($AKA$5:$AKA5=$AKA5)*($AJZ$5:$AJZ5&gt;=7)*($AJZ$5:$AJZ5&lt;=9)),$ALG$5:$ALG5),0)))))</f>
        <v/>
      </c>
      <c r="ALI5" s="12">
        <f>ALG5-ALH5</f>
        <v/>
      </c>
      <c r="ALJ5" s="12">
        <f>IF(ProviderDelay&gt;=1,0,AKQ5*BlendedProvPayEss+AKR5*BlendedProvPayPrem+AKS5*BlendedProvPayElite+AKT5*BlendedProvPayEss+AKU5*BlendedProvPayPrem+AKV5*BlendedProvPayElite)</f>
        <v/>
      </c>
      <c r="ALK5" s="12">
        <f>ALC5*PaymentFee</f>
        <v/>
      </c>
      <c r="ALL5" s="12">
        <f>AKW5*OpsAI</f>
        <v/>
      </c>
      <c r="ALM5" s="12">
        <f>MonthlyFixed</f>
        <v/>
      </c>
      <c r="ALN5" s="12">
        <f>AKG5*ReferralReward</f>
        <v/>
      </c>
      <c r="ALO5" s="12">
        <f>AKE5</f>
        <v/>
      </c>
      <c r="ALP5" s="9">
        <f>ALF5-ALJ5-ALK5-ALL5-ALM5-ALN5-ALO5</f>
        <v/>
      </c>
      <c r="ALQ5" s="9">
        <f>InitialInvestment+ALC5-(ALJ5+ALK5+ALL5+ALM5+ALN5+ALO5+ALH5)</f>
        <v/>
      </c>
      <c r="ALR5" s="12">
        <f>IF(AKW5&gt;0,AKX5/AKW5,0)</f>
        <v/>
      </c>
      <c r="ALS5" s="11" t="n">
        <v>0</v>
      </c>
      <c r="ALU5" s="12" t="n">
        <v>1</v>
      </c>
      <c r="ALV5" s="12">
        <f>MOD(ALU5-1+LaunchMonth-1,12)+1</f>
        <v/>
      </c>
      <c r="ALW5" s="12">
        <f>INT((ALU5-1+LaunchMonth-1)/12)+1</f>
        <v/>
      </c>
      <c r="ALX5" s="12">
        <f>VLOOKUP(ALV5,SeasonTable,2,FALSE)</f>
        <v/>
      </c>
      <c r="ALY5" s="12">
        <f>(1+InflationRate)^INT((ALU5-1)/12)</f>
        <v/>
      </c>
      <c r="ALZ5" s="11">
        <f>MonthlyChurn*VLOOKUP(ALV5,ChurnSeasonTable,4,FALSE)</f>
        <v/>
      </c>
      <c r="AMA5" s="12">
        <f>MktFixed1_3</f>
        <v/>
      </c>
      <c r="AMB5" s="12">
        <f>IF(AMA5&gt;0,MAX(1,ROUND(AMA5/'Sens - CAC &amp; Marketing'!$A$11*ALX5,0)),0)</f>
        <v/>
      </c>
      <c r="AMC5" s="12">
        <f>IF(AMB5&gt;0,ROUND(AMB5*ReferralMix/(1-ReferralMix),0),0)</f>
        <v/>
      </c>
      <c r="AMD5" s="12">
        <f>AMB5+AMC5</f>
        <v/>
      </c>
      <c r="AME5" s="12">
        <f>ROUND(AMD5*(1-AnnualMix),0)</f>
        <v/>
      </c>
      <c r="AMF5" s="12">
        <f>AMD5-AME5</f>
        <v/>
      </c>
      <c r="AMG5" s="12">
        <f>ROUND(AME5*EssentialMix,0)</f>
        <v/>
      </c>
      <c r="AMH5" s="12">
        <f>ROUND(AME5*PremiumMix,0)</f>
        <v/>
      </c>
      <c r="AMI5" s="12">
        <f>AME5-AMG5-AMH5</f>
        <v/>
      </c>
      <c r="AMJ5" s="12">
        <f>ROUND(AMF5*EssentialMix,0)</f>
        <v/>
      </c>
      <c r="AMK5" s="12">
        <f>ROUND(AMF5*PremiumMix,0)</f>
        <v/>
      </c>
      <c r="AML5" s="12">
        <f>AMF5-AMJ5-AMK5</f>
        <v/>
      </c>
      <c r="AMM5" s="12">
        <f>AMG5</f>
        <v/>
      </c>
      <c r="AMN5" s="12">
        <f>AMH5</f>
        <v/>
      </c>
      <c r="AMO5" s="12">
        <f>AMI5</f>
        <v/>
      </c>
      <c r="AMP5" s="12">
        <f>AMJ5</f>
        <v/>
      </c>
      <c r="AMQ5" s="12">
        <f>AMK5</f>
        <v/>
      </c>
      <c r="AMR5" s="12">
        <f>AML5</f>
        <v/>
      </c>
      <c r="AMS5" s="12">
        <f>AMM5+AMN5+AMO5+AMP5+AMQ5+AMR5</f>
        <v/>
      </c>
      <c r="AMT5" s="9">
        <f>AMM5*BlendedPriceEssMonthly*ALY5+AMN5*BlendedPricePremMonthly*ALY5+AMO5*BlendedPriceEliteMonthly*ALY5+AMP5*BlendedPriceEssAnnual*ALY5/12+AMQ5*BlendedPricePremAnnual*ALY5/12+AMR5*BlendedPriceEliteAnnual*ALY5/12</f>
        <v/>
      </c>
      <c r="AMU5" s="9">
        <f>AMT5*12</f>
        <v/>
      </c>
      <c r="AMV5" s="12">
        <f>AMM5*BlendedPriceEssMonthly*ALY5+AMN5*BlendedPricePremMonthly*ALY5+AMO5*BlendedPriceEliteMonthly*ALY5</f>
        <v/>
      </c>
      <c r="AMW5" s="12">
        <f>AMJ5*BlendedPriceEssAnnual*ALY5+AMK5*BlendedPricePremAnnual*ALY5+AML5*BlendedPriceEliteAnnual*ALY5</f>
        <v/>
      </c>
      <c r="AMX5" s="12">
        <f>0+0+0</f>
        <v/>
      </c>
      <c r="AMY5" s="9">
        <f>AMV5+AMW5+AMX5</f>
        <v/>
      </c>
      <c r="AMZ5" s="12">
        <f>SUM(AMY$5:AMY5)</f>
        <v/>
      </c>
      <c r="ANA5" s="12">
        <f>IF(VATAgentMode,SUM($AMY$5:$AMY5)-SUM($ANF$5:$ANF5)&gt;=VATThreshold,SUM($AMY$5:$AMY5)&gt;=VATThreshold)</f>
        <v/>
      </c>
      <c r="ANB5" s="9">
        <f>IF(ANA5,IF(VATAgentMode,AMY5-((AMY5-ANF5)-(AMY5-ANF5)/(1+VATRate)),AMY5/(1+VATRate)),AMY5)</f>
        <v/>
      </c>
      <c r="ANC5" s="12">
        <f>AMY5-ANB5</f>
        <v/>
      </c>
      <c r="AND5" s="12">
        <f>IF(ANA5=0,0,IF(ALV5=1,SUMPRODUCT(--(($ALW$5:$ALW5=$ALW5-1)*($ALV$5:$ALV5&gt;=10)*($ALV$5:$ALV5&lt;=12)),$ANC$5:$ANC5),IF(ALV5=4,SUMPRODUCT(--(($ALW$5:$ALW5=$ALW5)*($ALV$5:$ALV5&gt;=1)*($ALV$5:$ALV5&lt;=3)),$ANC$5:$ANC5),IF(ALV5=7,SUMPRODUCT(--(($ALW$5:$ALW5=$ALW5)*($ALV$5:$ALV5&gt;=4)*($ALV$5:$ALV5&lt;=6)),$ANC$5:$ANC5),IF(ALV5=10,SUMPRODUCT(--(($ALW$5:$ALW5=$ALW5)*($ALV$5:$ALV5&gt;=7)*($ALV$5:$ALV5&lt;=9)),$ANC$5:$ANC5),0)))))</f>
        <v/>
      </c>
      <c r="ANE5" s="12">
        <f>ANC5-AND5</f>
        <v/>
      </c>
      <c r="ANF5" s="12">
        <f>IF(ProviderDelay&gt;=1,0,AMM5*BlendedProvPayEss+AMN5*BlendedProvPayPrem+AMO5*BlendedProvPayElite+AMP5*BlendedProvPayEss+AMQ5*BlendedProvPayPrem+AMR5*BlendedProvPayElite)</f>
        <v/>
      </c>
      <c r="ANG5" s="12">
        <f>AMY5*PaymentFee</f>
        <v/>
      </c>
      <c r="ANH5" s="12">
        <f>AMS5*OpsAI</f>
        <v/>
      </c>
      <c r="ANI5" s="12">
        <f>MonthlyFixed</f>
        <v/>
      </c>
      <c r="ANJ5" s="12">
        <f>AMC5*ReferralReward</f>
        <v/>
      </c>
      <c r="ANK5" s="12">
        <f>AMA5</f>
        <v/>
      </c>
      <c r="ANL5" s="9">
        <f>ANB5-ANF5-ANG5-ANH5-ANI5-ANJ5-ANK5</f>
        <v/>
      </c>
      <c r="ANM5" s="9">
        <f>InitialInvestment+AMY5-(ANF5+ANG5+ANH5+ANI5+ANJ5+ANK5+AND5)</f>
        <v/>
      </c>
      <c r="ANN5" s="12">
        <f>IF(AMS5&gt;0,AMT5/AMS5,0)</f>
        <v/>
      </c>
      <c r="ANO5" s="11" t="n">
        <v>0</v>
      </c>
      <c r="ANQ5" s="12" t="n">
        <v>1</v>
      </c>
      <c r="ANR5" s="12">
        <f>MOD(ANQ5-1+LaunchMonth-1,12)+1</f>
        <v/>
      </c>
      <c r="ANS5" s="12">
        <f>INT((ANQ5-1+LaunchMonth-1)/12)+1</f>
        <v/>
      </c>
      <c r="ANT5" s="12">
        <f>VLOOKUP(ANR5,SeasonTable,2,FALSE)</f>
        <v/>
      </c>
      <c r="ANU5" s="12">
        <f>(1+InflationRate)^INT((ANQ5-1)/12)</f>
        <v/>
      </c>
      <c r="ANV5" s="11">
        <f>MonthlyChurn*VLOOKUP(ANR5,ChurnSeasonTable,4,FALSE)</f>
        <v/>
      </c>
      <c r="ANW5" s="12">
        <f>MktFixed1_3</f>
        <v/>
      </c>
      <c r="ANX5" s="12">
        <f>IF(ANW5&gt;0,MAX(1,ROUND(ANW5/'Sens - CAC &amp; Marketing'!$A$12*ANT5,0)),0)</f>
        <v/>
      </c>
      <c r="ANY5" s="12">
        <f>IF(ANX5&gt;0,ROUND(ANX5*ReferralMix/(1-ReferralMix),0),0)</f>
        <v/>
      </c>
      <c r="ANZ5" s="12">
        <f>ANX5+ANY5</f>
        <v/>
      </c>
      <c r="AOA5" s="12">
        <f>ROUND(ANZ5*(1-AnnualMix),0)</f>
        <v/>
      </c>
      <c r="AOB5" s="12">
        <f>ANZ5-AOA5</f>
        <v/>
      </c>
      <c r="AOC5" s="12">
        <f>ROUND(AOA5*EssentialMix,0)</f>
        <v/>
      </c>
      <c r="AOD5" s="12">
        <f>ROUND(AOA5*PremiumMix,0)</f>
        <v/>
      </c>
      <c r="AOE5" s="12">
        <f>AOA5-AOC5-AOD5</f>
        <v/>
      </c>
      <c r="AOF5" s="12">
        <f>ROUND(AOB5*EssentialMix,0)</f>
        <v/>
      </c>
      <c r="AOG5" s="12">
        <f>ROUND(AOB5*PremiumMix,0)</f>
        <v/>
      </c>
      <c r="AOH5" s="12">
        <f>AOB5-AOF5-AOG5</f>
        <v/>
      </c>
      <c r="AOI5" s="12">
        <f>AOC5</f>
        <v/>
      </c>
      <c r="AOJ5" s="12">
        <f>AOD5</f>
        <v/>
      </c>
      <c r="AOK5" s="12">
        <f>AOE5</f>
        <v/>
      </c>
      <c r="AOL5" s="12">
        <f>AOF5</f>
        <v/>
      </c>
      <c r="AOM5" s="12">
        <f>AOG5</f>
        <v/>
      </c>
      <c r="AON5" s="12">
        <f>AOH5</f>
        <v/>
      </c>
      <c r="AOO5" s="12">
        <f>AOI5+AOJ5+AOK5+AOL5+AOM5+AON5</f>
        <v/>
      </c>
      <c r="AOP5" s="9">
        <f>AOI5*BlendedPriceEssMonthly*ANU5+AOJ5*BlendedPricePremMonthly*ANU5+AOK5*BlendedPriceEliteMonthly*ANU5+AOL5*BlendedPriceEssAnnual*ANU5/12+AOM5*BlendedPricePremAnnual*ANU5/12+AON5*BlendedPriceEliteAnnual*ANU5/12</f>
        <v/>
      </c>
      <c r="AOQ5" s="9">
        <f>AOP5*12</f>
        <v/>
      </c>
      <c r="AOR5" s="12">
        <f>AOI5*BlendedPriceEssMonthly*ANU5+AOJ5*BlendedPricePremMonthly*ANU5+AOK5*BlendedPriceEliteMonthly*ANU5</f>
        <v/>
      </c>
      <c r="AOS5" s="12">
        <f>AOF5*BlendedPriceEssAnnual*ANU5+AOG5*BlendedPricePremAnnual*ANU5+AOH5*BlendedPriceEliteAnnual*ANU5</f>
        <v/>
      </c>
      <c r="AOT5" s="12">
        <f>0+0+0</f>
        <v/>
      </c>
      <c r="AOU5" s="9">
        <f>AOR5+AOS5+AOT5</f>
        <v/>
      </c>
      <c r="AOV5" s="12">
        <f>SUM(AOU$5:AOU5)</f>
        <v/>
      </c>
      <c r="AOW5" s="12">
        <f>IF(VATAgentMode,SUM($AOU$5:$AOU5)-SUM($APB$5:$APB5)&gt;=VATThreshold,SUM($AOU$5:$AOU5)&gt;=VATThreshold)</f>
        <v/>
      </c>
      <c r="AOX5" s="9">
        <f>IF(AOW5,IF(VATAgentMode,AOU5-((AOU5-APB5)-(AOU5-APB5)/(1+VATRate)),AOU5/(1+VATRate)),AOU5)</f>
        <v/>
      </c>
      <c r="AOY5" s="12">
        <f>AOU5-AOX5</f>
        <v/>
      </c>
      <c r="AOZ5" s="12">
        <f>IF(AOW5=0,0,IF(ANR5=1,SUMPRODUCT(--(($ANS$5:$ANS5=$ANS5-1)*($ANR$5:$ANR5&gt;=10)*($ANR$5:$ANR5&lt;=12)),$AOY$5:$AOY5),IF(ANR5=4,SUMPRODUCT(--(($ANS$5:$ANS5=$ANS5)*($ANR$5:$ANR5&gt;=1)*($ANR$5:$ANR5&lt;=3)),$AOY$5:$AOY5),IF(ANR5=7,SUMPRODUCT(--(($ANS$5:$ANS5=$ANS5)*($ANR$5:$ANR5&gt;=4)*($ANR$5:$ANR5&lt;=6)),$AOY$5:$AOY5),IF(ANR5=10,SUMPRODUCT(--(($ANS$5:$ANS5=$ANS5)*($ANR$5:$ANR5&gt;=7)*($ANR$5:$ANR5&lt;=9)),$AOY$5:$AOY5),0)))))</f>
        <v/>
      </c>
      <c r="APA5" s="12">
        <f>AOY5-AOZ5</f>
        <v/>
      </c>
      <c r="APB5" s="12">
        <f>IF(ProviderDelay&gt;=1,0,AOI5*BlendedProvPayEss+AOJ5*BlendedProvPayPrem+AOK5*BlendedProvPayElite+AOL5*BlendedProvPayEss+AOM5*BlendedProvPayPrem+AON5*BlendedProvPayElite)</f>
        <v/>
      </c>
      <c r="APC5" s="12">
        <f>AOU5*PaymentFee</f>
        <v/>
      </c>
      <c r="APD5" s="12">
        <f>AOO5*OpsAI</f>
        <v/>
      </c>
      <c r="APE5" s="12">
        <f>MonthlyFixed</f>
        <v/>
      </c>
      <c r="APF5" s="12">
        <f>ANY5*ReferralReward</f>
        <v/>
      </c>
      <c r="APG5" s="12">
        <f>ANW5</f>
        <v/>
      </c>
      <c r="APH5" s="9">
        <f>AOX5-APB5-APC5-APD5-APE5-APF5-APG5</f>
        <v/>
      </c>
      <c r="API5" s="9">
        <f>InitialInvestment+AOU5-(APB5+APC5+APD5+APE5+APF5+APG5+AOZ5)</f>
        <v/>
      </c>
      <c r="APJ5" s="12">
        <f>IF(AOO5&gt;0,AOP5/AOO5,0)</f>
        <v/>
      </c>
      <c r="APK5" s="11" t="n">
        <v>0</v>
      </c>
      <c r="APM5" s="12" t="n">
        <v>1</v>
      </c>
      <c r="APN5" s="12">
        <f>MOD(APM5-1+LaunchMonth-1,12)+1</f>
        <v/>
      </c>
      <c r="APO5" s="12">
        <f>INT((APM5-1+LaunchMonth-1)/12)+1</f>
        <v/>
      </c>
      <c r="APP5" s="12">
        <f>VLOOKUP(APN5,SeasonTable,2,FALSE)</f>
        <v/>
      </c>
      <c r="APQ5" s="12">
        <f>(1+InflationRate)^INT((APM5-1)/12)</f>
        <v/>
      </c>
      <c r="APR5" s="11">
        <f>MonthlyChurn*VLOOKUP(APN5,ChurnSeasonTable,4,FALSE)</f>
        <v/>
      </c>
      <c r="APS5" s="12">
        <f>MktFixed1_3</f>
        <v/>
      </c>
      <c r="APT5" s="12">
        <f>IF(APS5&gt;0,MAX(1,ROUND(APS5/'Sens - CAC &amp; Marketing'!$A$13*APP5,0)),0)</f>
        <v/>
      </c>
      <c r="APU5" s="12">
        <f>IF(APT5&gt;0,ROUND(APT5*ReferralMix/(1-ReferralMix),0),0)</f>
        <v/>
      </c>
      <c r="APV5" s="12">
        <f>APT5+APU5</f>
        <v/>
      </c>
      <c r="APW5" s="12">
        <f>ROUND(APV5*(1-AnnualMix),0)</f>
        <v/>
      </c>
      <c r="APX5" s="12">
        <f>APV5-APW5</f>
        <v/>
      </c>
      <c r="APY5" s="12">
        <f>ROUND(APW5*EssentialMix,0)</f>
        <v/>
      </c>
      <c r="APZ5" s="12">
        <f>ROUND(APW5*PremiumMix,0)</f>
        <v/>
      </c>
      <c r="AQA5" s="12">
        <f>APW5-APY5-APZ5</f>
        <v/>
      </c>
      <c r="AQB5" s="12">
        <f>ROUND(APX5*EssentialMix,0)</f>
        <v/>
      </c>
      <c r="AQC5" s="12">
        <f>ROUND(APX5*PremiumMix,0)</f>
        <v/>
      </c>
      <c r="AQD5" s="12">
        <f>APX5-AQB5-AQC5</f>
        <v/>
      </c>
      <c r="AQE5" s="12">
        <f>APY5</f>
        <v/>
      </c>
      <c r="AQF5" s="12">
        <f>APZ5</f>
        <v/>
      </c>
      <c r="AQG5" s="12">
        <f>AQA5</f>
        <v/>
      </c>
      <c r="AQH5" s="12">
        <f>AQB5</f>
        <v/>
      </c>
      <c r="AQI5" s="12">
        <f>AQC5</f>
        <v/>
      </c>
      <c r="AQJ5" s="12">
        <f>AQD5</f>
        <v/>
      </c>
      <c r="AQK5" s="12">
        <f>AQE5+AQF5+AQG5+AQH5+AQI5+AQJ5</f>
        <v/>
      </c>
      <c r="AQL5" s="9">
        <f>AQE5*BlendedPriceEssMonthly*APQ5+AQF5*BlendedPricePremMonthly*APQ5+AQG5*BlendedPriceEliteMonthly*APQ5+AQH5*BlendedPriceEssAnnual*APQ5/12+AQI5*BlendedPricePremAnnual*APQ5/12+AQJ5*BlendedPriceEliteAnnual*APQ5/12</f>
        <v/>
      </c>
      <c r="AQM5" s="9">
        <f>AQL5*12</f>
        <v/>
      </c>
      <c r="AQN5" s="12">
        <f>AQE5*BlendedPriceEssMonthly*APQ5+AQF5*BlendedPricePremMonthly*APQ5+AQG5*BlendedPriceEliteMonthly*APQ5</f>
        <v/>
      </c>
      <c r="AQO5" s="12">
        <f>AQB5*BlendedPriceEssAnnual*APQ5+AQC5*BlendedPricePremAnnual*APQ5+AQD5*BlendedPriceEliteAnnual*APQ5</f>
        <v/>
      </c>
      <c r="AQP5" s="12">
        <f>0+0+0</f>
        <v/>
      </c>
      <c r="AQQ5" s="9">
        <f>AQN5+AQO5+AQP5</f>
        <v/>
      </c>
      <c r="AQR5" s="12">
        <f>SUM(AQQ$5:AQQ5)</f>
        <v/>
      </c>
      <c r="AQS5" s="12">
        <f>IF(VATAgentMode,SUM($AQQ$5:$AQQ5)-SUM($AQX$5:$AQX5)&gt;=VATThreshold,SUM($AQQ$5:$AQQ5)&gt;=VATThreshold)</f>
        <v/>
      </c>
      <c r="AQT5" s="9">
        <f>IF(AQS5,IF(VATAgentMode,AQQ5-((AQQ5-AQX5)-(AQQ5-AQX5)/(1+VATRate)),AQQ5/(1+VATRate)),AQQ5)</f>
        <v/>
      </c>
      <c r="AQU5" s="12">
        <f>AQQ5-AQT5</f>
        <v/>
      </c>
      <c r="AQV5" s="12">
        <f>IF(AQS5=0,0,IF(APN5=1,SUMPRODUCT(--(($APO$5:$APO5=$APO5-1)*($APN$5:$APN5&gt;=10)*($APN$5:$APN5&lt;=12)),$AQU$5:$AQU5),IF(APN5=4,SUMPRODUCT(--(($APO$5:$APO5=$APO5)*($APN$5:$APN5&gt;=1)*($APN$5:$APN5&lt;=3)),$AQU$5:$AQU5),IF(APN5=7,SUMPRODUCT(--(($APO$5:$APO5=$APO5)*($APN$5:$APN5&gt;=4)*($APN$5:$APN5&lt;=6)),$AQU$5:$AQU5),IF(APN5=10,SUMPRODUCT(--(($APO$5:$APO5=$APO5)*($APN$5:$APN5&gt;=7)*($APN$5:$APN5&lt;=9)),$AQU$5:$AQU5),0)))))</f>
        <v/>
      </c>
      <c r="AQW5" s="12">
        <f>AQU5-AQV5</f>
        <v/>
      </c>
      <c r="AQX5" s="12">
        <f>IF(ProviderDelay&gt;=1,0,AQE5*BlendedProvPayEss+AQF5*BlendedProvPayPrem+AQG5*BlendedProvPayElite+AQH5*BlendedProvPayEss+AQI5*BlendedProvPayPrem+AQJ5*BlendedProvPayElite)</f>
        <v/>
      </c>
      <c r="AQY5" s="12">
        <f>AQQ5*PaymentFee</f>
        <v/>
      </c>
      <c r="AQZ5" s="12">
        <f>AQK5*OpsAI</f>
        <v/>
      </c>
      <c r="ARA5" s="12">
        <f>MonthlyFixed</f>
        <v/>
      </c>
      <c r="ARB5" s="12">
        <f>APU5*ReferralReward</f>
        <v/>
      </c>
      <c r="ARC5" s="12">
        <f>APS5</f>
        <v/>
      </c>
      <c r="ARD5" s="9">
        <f>AQT5-AQX5-AQY5-AQZ5-ARA5-ARB5-ARC5</f>
        <v/>
      </c>
      <c r="ARE5" s="9">
        <f>InitialInvestment+AQQ5-(AQX5+AQY5+AQZ5+ARA5+ARB5+ARC5+AQV5)</f>
        <v/>
      </c>
      <c r="ARF5" s="12">
        <f>IF(AQK5&gt;0,AQL5/AQK5,0)</f>
        <v/>
      </c>
      <c r="ARG5" s="11" t="n">
        <v>0</v>
      </c>
      <c r="ARI5" s="12" t="n">
        <v>1</v>
      </c>
      <c r="ARJ5" s="12">
        <f>MOD(ARI5-1+LaunchMonth-1,12)+1</f>
        <v/>
      </c>
      <c r="ARK5" s="12">
        <f>INT((ARI5-1+LaunchMonth-1)/12)+1</f>
        <v/>
      </c>
      <c r="ARL5" s="12">
        <f>VLOOKUP(ARJ5,SeasonTable,2,FALSE)</f>
        <v/>
      </c>
      <c r="ARM5" s="12">
        <f>(1+InflationRate)^INT((ARI5-1)/12)</f>
        <v/>
      </c>
      <c r="ARN5" s="11">
        <f>MonthlyChurn*VLOOKUP(ARJ5,ChurnSeasonTable,4,FALSE)</f>
        <v/>
      </c>
      <c r="ARO5" s="12">
        <f>MktFixed1_3</f>
        <v/>
      </c>
      <c r="ARP5" s="12">
        <f>IF(ARO5&gt;0,MAX(1,ROUND(ARO5/'Sens - CAC &amp; Marketing'!$A$14*ARL5,0)),0)</f>
        <v/>
      </c>
      <c r="ARQ5" s="12">
        <f>IF(ARP5&gt;0,ROUND(ARP5*ReferralMix/(1-ReferralMix),0),0)</f>
        <v/>
      </c>
      <c r="ARR5" s="12">
        <f>ARP5+ARQ5</f>
        <v/>
      </c>
      <c r="ARS5" s="12">
        <f>ROUND(ARR5*(1-AnnualMix),0)</f>
        <v/>
      </c>
      <c r="ART5" s="12">
        <f>ARR5-ARS5</f>
        <v/>
      </c>
      <c r="ARU5" s="12">
        <f>ROUND(ARS5*EssentialMix,0)</f>
        <v/>
      </c>
      <c r="ARV5" s="12">
        <f>ROUND(ARS5*PremiumMix,0)</f>
        <v/>
      </c>
      <c r="ARW5" s="12">
        <f>ARS5-ARU5-ARV5</f>
        <v/>
      </c>
      <c r="ARX5" s="12">
        <f>ROUND(ART5*EssentialMix,0)</f>
        <v/>
      </c>
      <c r="ARY5" s="12">
        <f>ROUND(ART5*PremiumMix,0)</f>
        <v/>
      </c>
      <c r="ARZ5" s="12">
        <f>ART5-ARX5-ARY5</f>
        <v/>
      </c>
      <c r="ASA5" s="12">
        <f>ARU5</f>
        <v/>
      </c>
      <c r="ASB5" s="12">
        <f>ARV5</f>
        <v/>
      </c>
      <c r="ASC5" s="12">
        <f>ARW5</f>
        <v/>
      </c>
      <c r="ASD5" s="12">
        <f>ARX5</f>
        <v/>
      </c>
      <c r="ASE5" s="12">
        <f>ARY5</f>
        <v/>
      </c>
      <c r="ASF5" s="12">
        <f>ARZ5</f>
        <v/>
      </c>
      <c r="ASG5" s="12">
        <f>ASA5+ASB5+ASC5+ASD5+ASE5+ASF5</f>
        <v/>
      </c>
      <c r="ASH5" s="9">
        <f>ASA5*BlendedPriceEssMonthly*ARM5+ASB5*BlendedPricePremMonthly*ARM5+ASC5*BlendedPriceEliteMonthly*ARM5+ASD5*BlendedPriceEssAnnual*ARM5/12+ASE5*BlendedPricePremAnnual*ARM5/12+ASF5*BlendedPriceEliteAnnual*ARM5/12</f>
        <v/>
      </c>
      <c r="ASI5" s="9">
        <f>ASH5*12</f>
        <v/>
      </c>
      <c r="ASJ5" s="12">
        <f>ASA5*BlendedPriceEssMonthly*ARM5+ASB5*BlendedPricePremMonthly*ARM5+ASC5*BlendedPriceEliteMonthly*ARM5</f>
        <v/>
      </c>
      <c r="ASK5" s="12">
        <f>ARX5*BlendedPriceEssAnnual*ARM5+ARY5*BlendedPricePremAnnual*ARM5+ARZ5*BlendedPriceEliteAnnual*ARM5</f>
        <v/>
      </c>
      <c r="ASL5" s="12">
        <f>0+0+0</f>
        <v/>
      </c>
      <c r="ASM5" s="9">
        <f>ASJ5+ASK5+ASL5</f>
        <v/>
      </c>
      <c r="ASN5" s="12">
        <f>SUM(ASM$5:ASM5)</f>
        <v/>
      </c>
      <c r="ASO5" s="12">
        <f>IF(VATAgentMode,SUM($ASM$5:$ASM5)-SUM($AST$5:$AST5)&gt;=VATThreshold,SUM($ASM$5:$ASM5)&gt;=VATThreshold)</f>
        <v/>
      </c>
      <c r="ASP5" s="9">
        <f>IF(ASO5,IF(VATAgentMode,ASM5-((ASM5-AST5)-(ASM5-AST5)/(1+VATRate)),ASM5/(1+VATRate)),ASM5)</f>
        <v/>
      </c>
      <c r="ASQ5" s="12">
        <f>ASM5-ASP5</f>
        <v/>
      </c>
      <c r="ASR5" s="12">
        <f>IF(ASO5=0,0,IF(ARJ5=1,SUMPRODUCT(--(($ARK$5:$ARK5=$ARK5-1)*($ARJ$5:$ARJ5&gt;=10)*($ARJ$5:$ARJ5&lt;=12)),$ASQ$5:$ASQ5),IF(ARJ5=4,SUMPRODUCT(--(($ARK$5:$ARK5=$ARK5)*($ARJ$5:$ARJ5&gt;=1)*($ARJ$5:$ARJ5&lt;=3)),$ASQ$5:$ASQ5),IF(ARJ5=7,SUMPRODUCT(--(($ARK$5:$ARK5=$ARK5)*($ARJ$5:$ARJ5&gt;=4)*($ARJ$5:$ARJ5&lt;=6)),$ASQ$5:$ASQ5),IF(ARJ5=10,SUMPRODUCT(--(($ARK$5:$ARK5=$ARK5)*($ARJ$5:$ARJ5&gt;=7)*($ARJ$5:$ARJ5&lt;=9)),$ASQ$5:$ASQ5),0)))))</f>
        <v/>
      </c>
      <c r="ASS5" s="12">
        <f>ASQ5-ASR5</f>
        <v/>
      </c>
      <c r="AST5" s="12">
        <f>IF(ProviderDelay&gt;=1,0,ASA5*BlendedProvPayEss+ASB5*BlendedProvPayPrem+ASC5*BlendedProvPayElite+ASD5*BlendedProvPayEss+ASE5*BlendedProvPayPrem+ASF5*BlendedProvPayElite)</f>
        <v/>
      </c>
      <c r="ASU5" s="12">
        <f>ASM5*PaymentFee</f>
        <v/>
      </c>
      <c r="ASV5" s="12">
        <f>ASG5*OpsAI</f>
        <v/>
      </c>
      <c r="ASW5" s="12">
        <f>MonthlyFixed</f>
        <v/>
      </c>
      <c r="ASX5" s="12">
        <f>ARQ5*ReferralReward</f>
        <v/>
      </c>
      <c r="ASY5" s="12">
        <f>ARO5</f>
        <v/>
      </c>
      <c r="ASZ5" s="9">
        <f>ASP5-AST5-ASU5-ASV5-ASW5-ASX5-ASY5</f>
        <v/>
      </c>
      <c r="ATA5" s="9">
        <f>InitialInvestment+ASM5-(AST5+ASU5+ASV5+ASW5+ASX5+ASY5+ASR5)</f>
        <v/>
      </c>
      <c r="ATB5" s="12">
        <f>IF(ASG5&gt;0,ASH5/ASG5,0)</f>
        <v/>
      </c>
      <c r="ATC5" s="11" t="n">
        <v>0</v>
      </c>
      <c r="ATE5" s="12" t="n">
        <v>1</v>
      </c>
      <c r="ATF5" s="12">
        <f>MOD(ATE5-1+LaunchMonth-1,12)+1</f>
        <v/>
      </c>
      <c r="ATG5" s="12">
        <f>INT((ATE5-1+LaunchMonth-1)/12)+1</f>
        <v/>
      </c>
      <c r="ATH5" s="12">
        <f>VLOOKUP(ATF5,SeasonTable,2,FALSE)</f>
        <v/>
      </c>
      <c r="ATI5" s="12">
        <f>(1+InflationRate)^INT((ATE5-1)/12)</f>
        <v/>
      </c>
      <c r="ATJ5" s="11">
        <f>MonthlyChurn*VLOOKUP(ATF5,ChurnSeasonTable,4,FALSE)</f>
        <v/>
      </c>
      <c r="ATK5" s="12">
        <f>MktFixed1_3</f>
        <v/>
      </c>
      <c r="ATL5" s="12">
        <f>IF(ATK5&gt;0,MAX(1,ROUND(ATK5/'Sens - CAC &amp; Marketing'!$A$15*ATH5,0)),0)</f>
        <v/>
      </c>
      <c r="ATM5" s="12">
        <f>IF(ATL5&gt;0,ROUND(ATL5*ReferralMix/(1-ReferralMix),0),0)</f>
        <v/>
      </c>
      <c r="ATN5" s="12">
        <f>ATL5+ATM5</f>
        <v/>
      </c>
      <c r="ATO5" s="12">
        <f>ROUND(ATN5*(1-AnnualMix),0)</f>
        <v/>
      </c>
      <c r="ATP5" s="12">
        <f>ATN5-ATO5</f>
        <v/>
      </c>
      <c r="ATQ5" s="12">
        <f>ROUND(ATO5*EssentialMix,0)</f>
        <v/>
      </c>
      <c r="ATR5" s="12">
        <f>ROUND(ATO5*PremiumMix,0)</f>
        <v/>
      </c>
      <c r="ATS5" s="12">
        <f>ATO5-ATQ5-ATR5</f>
        <v/>
      </c>
      <c r="ATT5" s="12">
        <f>ROUND(ATP5*EssentialMix,0)</f>
        <v/>
      </c>
      <c r="ATU5" s="12">
        <f>ROUND(ATP5*PremiumMix,0)</f>
        <v/>
      </c>
      <c r="ATV5" s="12">
        <f>ATP5-ATT5-ATU5</f>
        <v/>
      </c>
      <c r="ATW5" s="12">
        <f>ATQ5</f>
        <v/>
      </c>
      <c r="ATX5" s="12">
        <f>ATR5</f>
        <v/>
      </c>
      <c r="ATY5" s="12">
        <f>ATS5</f>
        <v/>
      </c>
      <c r="ATZ5" s="12">
        <f>ATT5</f>
        <v/>
      </c>
      <c r="AUA5" s="12">
        <f>ATU5</f>
        <v/>
      </c>
      <c r="AUB5" s="12">
        <f>ATV5</f>
        <v/>
      </c>
      <c r="AUC5" s="12">
        <f>ATW5+ATX5+ATY5+ATZ5+AUA5+AUB5</f>
        <v/>
      </c>
      <c r="AUD5" s="9">
        <f>ATW5*BlendedPriceEssMonthly*ATI5+ATX5*BlendedPricePremMonthly*ATI5+ATY5*BlendedPriceEliteMonthly*ATI5+ATZ5*BlendedPriceEssAnnual*ATI5/12+AUA5*BlendedPricePremAnnual*ATI5/12+AUB5*BlendedPriceEliteAnnual*ATI5/12</f>
        <v/>
      </c>
      <c r="AUE5" s="9">
        <f>AUD5*12</f>
        <v/>
      </c>
      <c r="AUF5" s="12">
        <f>ATW5*BlendedPriceEssMonthly*ATI5+ATX5*BlendedPricePremMonthly*ATI5+ATY5*BlendedPriceEliteMonthly*ATI5</f>
        <v/>
      </c>
      <c r="AUG5" s="12">
        <f>ATT5*BlendedPriceEssAnnual*ATI5+ATU5*BlendedPricePremAnnual*ATI5+ATV5*BlendedPriceEliteAnnual*ATI5</f>
        <v/>
      </c>
      <c r="AUH5" s="12">
        <f>0+0+0</f>
        <v/>
      </c>
      <c r="AUI5" s="9">
        <f>AUF5+AUG5+AUH5</f>
        <v/>
      </c>
      <c r="AUJ5" s="12">
        <f>SUM(AUI$5:AUI5)</f>
        <v/>
      </c>
      <c r="AUK5" s="12">
        <f>IF(VATAgentMode,SUM($AUI$5:$AUI5)-SUM($AUP$5:$AUP5)&gt;=VATThreshold,SUM($AUI$5:$AUI5)&gt;=VATThreshold)</f>
        <v/>
      </c>
      <c r="AUL5" s="9">
        <f>IF(AUK5,IF(VATAgentMode,AUI5-((AUI5-AUP5)-(AUI5-AUP5)/(1+VATRate)),AUI5/(1+VATRate)),AUI5)</f>
        <v/>
      </c>
      <c r="AUM5" s="12">
        <f>AUI5-AUL5</f>
        <v/>
      </c>
      <c r="AUN5" s="12">
        <f>IF(AUK5=0,0,IF(ATF5=1,SUMPRODUCT(--(($ATG$5:$ATG5=$ATG5-1)*($ATF$5:$ATF5&gt;=10)*($ATF$5:$ATF5&lt;=12)),$AUM$5:$AUM5),IF(ATF5=4,SUMPRODUCT(--(($ATG$5:$ATG5=$ATG5)*($ATF$5:$ATF5&gt;=1)*($ATF$5:$ATF5&lt;=3)),$AUM$5:$AUM5),IF(ATF5=7,SUMPRODUCT(--(($ATG$5:$ATG5=$ATG5)*($ATF$5:$ATF5&gt;=4)*($ATF$5:$ATF5&lt;=6)),$AUM$5:$AUM5),IF(ATF5=10,SUMPRODUCT(--(($ATG$5:$ATG5=$ATG5)*($ATF$5:$ATF5&gt;=7)*($ATF$5:$ATF5&lt;=9)),$AUM$5:$AUM5),0)))))</f>
        <v/>
      </c>
      <c r="AUO5" s="12">
        <f>AUM5-AUN5</f>
        <v/>
      </c>
      <c r="AUP5" s="12">
        <f>IF(ProviderDelay&gt;=1,0,ATW5*BlendedProvPayEss+ATX5*BlendedProvPayPrem+ATY5*BlendedProvPayElite+ATZ5*BlendedProvPayEss+AUA5*BlendedProvPayPrem+AUB5*BlendedProvPayElite)</f>
        <v/>
      </c>
      <c r="AUQ5" s="12">
        <f>AUI5*PaymentFee</f>
        <v/>
      </c>
      <c r="AUR5" s="12">
        <f>AUC5*OpsAI</f>
        <v/>
      </c>
      <c r="AUS5" s="12">
        <f>MonthlyFixed</f>
        <v/>
      </c>
      <c r="AUT5" s="12">
        <f>ATM5*ReferralReward</f>
        <v/>
      </c>
      <c r="AUU5" s="12">
        <f>ATK5</f>
        <v/>
      </c>
      <c r="AUV5" s="9">
        <f>AUL5-AUP5-AUQ5-AUR5-AUS5-AUT5-AUU5</f>
        <v/>
      </c>
      <c r="AUW5" s="9">
        <f>InitialInvestment+AUI5-(AUP5+AUQ5+AUR5+AUS5+AUT5+AUU5+AUN5)</f>
        <v/>
      </c>
      <c r="AUX5" s="12">
        <f>IF(AUC5&gt;0,AUD5/AUC5,0)</f>
        <v/>
      </c>
      <c r="AUY5" s="11" t="n">
        <v>0</v>
      </c>
      <c r="AVA5" s="12" t="n">
        <v>1</v>
      </c>
      <c r="AVB5" s="12">
        <f>MOD(AVA5-1+LaunchMonth-1,12)+1</f>
        <v/>
      </c>
      <c r="AVC5" s="12">
        <f>INT((AVA5-1+LaunchMonth-1)/12)+1</f>
        <v/>
      </c>
      <c r="AVD5" s="12">
        <f>VLOOKUP(AVB5,WinterPivotSeasonTable,5,FALSE)</f>
        <v/>
      </c>
      <c r="AVE5" s="12">
        <f>(1+InflationRate)^INT((AVA5-1)/12)</f>
        <v/>
      </c>
      <c r="AVF5" s="11">
        <f>MonthlyChurn*VLOOKUP(AVB5,WinterPivotChurnTable,6,FALSE)</f>
        <v/>
      </c>
      <c r="AVG5" s="12">
        <f>MktFixed1_3</f>
        <v/>
      </c>
      <c r="AVH5" s="12">
        <f>IF(AVG5&gt;0,MAX(1,ROUND(AVG5/CAC*AVD5,0)),0)</f>
        <v/>
      </c>
      <c r="AVI5" s="12">
        <f>IF(AVH5&gt;0,ROUND(AVH5*ReferralMix/(1-ReferralMix),0),0)</f>
        <v/>
      </c>
      <c r="AVJ5" s="12">
        <f>AVH5+AVI5</f>
        <v/>
      </c>
      <c r="AVK5" s="12">
        <f>ROUND(AVJ5*(1-AnnualMix),0)</f>
        <v/>
      </c>
      <c r="AVL5" s="12">
        <f>AVJ5-AVK5</f>
        <v/>
      </c>
      <c r="AVM5" s="12">
        <f>ROUND(AVK5*'Sens - Winter Pivot'!$B$6,0)</f>
        <v/>
      </c>
      <c r="AVN5" s="12">
        <f>ROUND(AVK5*PremiumMix,0)</f>
        <v/>
      </c>
      <c r="AVO5" s="12">
        <f>AVK5-AVM5-AVN5</f>
        <v/>
      </c>
      <c r="AVP5" s="12">
        <f>ROUND(AVL5*'Sens - Winter Pivot'!$B$6,0)</f>
        <v/>
      </c>
      <c r="AVQ5" s="12">
        <f>ROUND(AVL5*PremiumMix,0)</f>
        <v/>
      </c>
      <c r="AVR5" s="12">
        <f>AVL5-AVP5-AVQ5</f>
        <v/>
      </c>
      <c r="AVS5" s="12">
        <f>AVM5</f>
        <v/>
      </c>
      <c r="AVT5" s="12">
        <f>AVN5</f>
        <v/>
      </c>
      <c r="AVU5" s="12">
        <f>AVO5</f>
        <v/>
      </c>
      <c r="AVV5" s="12">
        <f>AVP5</f>
        <v/>
      </c>
      <c r="AVW5" s="12">
        <f>AVQ5</f>
        <v/>
      </c>
      <c r="AVX5" s="12">
        <f>AVR5</f>
        <v/>
      </c>
      <c r="AVY5" s="12">
        <f>AVS5+AVT5+AVU5+AVV5+AVW5+AVX5</f>
        <v/>
      </c>
      <c r="AVZ5" s="9">
        <f>AVS5*BlendedPriceEssMonthly*AVE5+AVT5*(BlendedPricePremMonthly+'Sens - Winter Pivot'!$B$7)*AVE5+AVU5*BlendedPriceEliteMonthly*AVE5+AVV5*BlendedPriceEssAnnual*AVE5/12+AVW5*(BlendedPricePremAnnual+'Sens - Winter Pivot'!$B$7*12)*AVE5/12+AVX5*BlendedPriceEliteAnnual*AVE5/12</f>
        <v/>
      </c>
      <c r="AWA5" s="9">
        <f>AVZ5*12</f>
        <v/>
      </c>
      <c r="AWB5" s="12">
        <f>AVS5*BlendedPriceEssMonthly*AVE5+AVT5*(BlendedPricePremMonthly+'Sens - Winter Pivot'!$B$7)*AVE5+AVU5*BlendedPriceEliteMonthly*AVE5</f>
        <v/>
      </c>
      <c r="AWC5" s="12">
        <f>AVP5*BlendedPriceEssAnnual*AVE5+AVQ5*(BlendedPricePremAnnual+'Sens - Winter Pivot'!$B$7*12)*AVE5+AVR5*BlendedPriceEliteAnnual*AVE5</f>
        <v/>
      </c>
      <c r="AWD5" s="12">
        <f>0+0+0</f>
        <v/>
      </c>
      <c r="AWE5" s="9">
        <f>AWB5+AWC5+AWD5</f>
        <v/>
      </c>
      <c r="AWF5" s="12">
        <f>SUM(AWE$5:AWE5)</f>
        <v/>
      </c>
      <c r="AWG5" s="12">
        <f>IF(VATAgentMode,SUM($AWE$5:$AWE5)-SUM($AWL$5:$AWL5)&gt;=VATThreshold,SUM($AWE$5:$AWE5)&gt;=VATThreshold)</f>
        <v/>
      </c>
      <c r="AWH5" s="9">
        <f>IF(AWG5,IF(VATAgentMode,AWE5-((AWE5-AWL5)-(AWE5-AWL5)/(1+VATRate)),AWE5/(1+VATRate)),AWE5)</f>
        <v/>
      </c>
      <c r="AWI5" s="12">
        <f>AWE5-AWH5</f>
        <v/>
      </c>
      <c r="AWJ5" s="12">
        <f>IF(AWG5=0,0,IF(AVB5=1,SUMPRODUCT(--(($AVC$5:$AVC5=$AVC5-1)*($AVB$5:$AVB5&gt;=10)*($AVB$5:$AVB5&lt;=12)),$AWI$5:$AWI5),IF(AVB5=4,SUMPRODUCT(--(($AVC$5:$AVC5=$AVC5)*($AVB$5:$AVB5&gt;=1)*($AVB$5:$AVB5&lt;=3)),$AWI$5:$AWI5),IF(AVB5=7,SUMPRODUCT(--(($AVC$5:$AVC5=$AVC5)*($AVB$5:$AVB5&gt;=4)*($AVB$5:$AVB5&lt;=6)),$AWI$5:$AWI5),IF(AVB5=10,SUMPRODUCT(--(($AVC$5:$AVC5=$AVC5)*($AVB$5:$AVB5&gt;=7)*($AVB$5:$AVB5&lt;=9)),$AWI$5:$AWI5),0)))))</f>
        <v/>
      </c>
      <c r="AWK5" s="12">
        <f>AWI5-AWJ5</f>
        <v/>
      </c>
      <c r="AWL5" s="12">
        <f>IF(ProviderDelay&gt;=1,0,AVS5*BlendedProvPayEss+AVT5*BlendedProvPayPrem+AVU5*BlendedProvPayElite+AVV5*BlendedProvPayEss+AVW5*BlendedProvPayPrem+AVX5*BlendedProvPayElite)</f>
        <v/>
      </c>
      <c r="AWM5" s="12">
        <f>AWE5*PaymentFee</f>
        <v/>
      </c>
      <c r="AWN5" s="12">
        <f>AVY5*OpsAI</f>
        <v/>
      </c>
      <c r="AWO5" s="12">
        <f>MonthlyFixed</f>
        <v/>
      </c>
      <c r="AWP5" s="12">
        <f>AVI5*ReferralReward</f>
        <v/>
      </c>
      <c r="AWQ5" s="12">
        <f>AVG5</f>
        <v/>
      </c>
      <c r="AWR5" s="9">
        <f>AWH5-AWL5-AWM5-AWN5-AWO5-AWP5-AWQ5</f>
        <v/>
      </c>
      <c r="AWS5" s="9">
        <f>InitialInvestment+AWE5-(AWL5+AWM5+AWN5+AWO5+AWP5+AWQ5+AWJ5)</f>
        <v/>
      </c>
      <c r="AWT5" s="12">
        <f>IF(AVY5&gt;0,AVZ5/AVY5,0)</f>
        <v/>
      </c>
      <c r="AWU5" s="11" t="n">
        <v>0</v>
      </c>
    </row>
    <row r="6">
      <c r="A6" s="12" t="n">
        <v>2</v>
      </c>
      <c r="B6" s="12">
        <f>MOD(A6-1+LaunchMonth-1,12)+1</f>
        <v/>
      </c>
      <c r="C6" s="12">
        <f>INT((A6-1+LaunchMonth-1)/12)+1</f>
        <v/>
      </c>
      <c r="D6" s="12">
        <f>VLOOKUP(B6,SeasonTable,2,FALSE)</f>
        <v/>
      </c>
      <c r="E6" s="12">
        <f>(1+InflationRate)^INT((A6-1)/12)</f>
        <v/>
      </c>
      <c r="F6" s="11">
        <f>'Sens - Scenarios'!$B$5*VLOOKUP(B6,ChurnSeasonTable,4,FALSE)</f>
        <v/>
      </c>
      <c r="G6" s="12">
        <f>MktFixed1_3</f>
        <v/>
      </c>
      <c r="H6" s="12">
        <f>IF(G6&gt;0,MAX(1,ROUND(G6/'Sens - Scenarios'!$B$8*D6,0)),0)</f>
        <v/>
      </c>
      <c r="I6" s="12">
        <f>IF(H6&gt;0,ROUND(H6*ReferralMix/(1-ReferralMix),0),0)</f>
        <v/>
      </c>
      <c r="J6" s="12">
        <f>H6+I6</f>
        <v/>
      </c>
      <c r="K6" s="12">
        <f>ROUND(J6*(1-'Sens - Scenarios'!$B$7),0)</f>
        <v/>
      </c>
      <c r="L6" s="12">
        <f>J6-K6</f>
        <v/>
      </c>
      <c r="M6" s="12">
        <f>ROUND(K6*EssentialMix,0)</f>
        <v/>
      </c>
      <c r="N6" s="12">
        <f>ROUND(K6*PremiumMix,0)</f>
        <v/>
      </c>
      <c r="O6" s="12">
        <f>K6-M6-N6</f>
        <v/>
      </c>
      <c r="P6" s="12">
        <f>ROUND(L6*EssentialMix,0)</f>
        <v/>
      </c>
      <c r="Q6" s="12">
        <f>ROUND(L6*PremiumMix,0)</f>
        <v/>
      </c>
      <c r="R6" s="12">
        <f>L6-P6-Q6</f>
        <v/>
      </c>
      <c r="S6" s="12">
        <f>M6+M5</f>
        <v/>
      </c>
      <c r="T6" s="12">
        <f>N6+N5</f>
        <v/>
      </c>
      <c r="U6" s="12">
        <f>O6+O5</f>
        <v/>
      </c>
      <c r="V6" s="12">
        <f>SUM(P$5:P6)</f>
        <v/>
      </c>
      <c r="W6" s="12">
        <f>SUM(Q$5:Q6)</f>
        <v/>
      </c>
      <c r="X6" s="12">
        <f>SUM(R$5:R6)</f>
        <v/>
      </c>
      <c r="Y6" s="12">
        <f>S6+T6+U6+V6+W6+X6</f>
        <v/>
      </c>
      <c r="Z6" s="9">
        <f>S6*BlendedPriceEssMonthly*E6+T6*BlendedPricePremMonthly*E6+U6*BlendedPriceEliteMonthly*E6+V6*BlendedPriceEssAnnual*E6/12+W6*BlendedPricePremAnnual*E6/12+X6*BlendedPriceEliteAnnual*E6/12</f>
        <v/>
      </c>
      <c r="AA6" s="9">
        <f>Z6*12</f>
        <v/>
      </c>
      <c r="AB6" s="12">
        <f>S6*BlendedPriceEssMonthly*E6+T6*BlendedPricePremMonthly*E6+U6*BlendedPriceEliteMonthly*E6</f>
        <v/>
      </c>
      <c r="AC6" s="12">
        <f>P6*BlendedPriceEssAnnual*E6+Q6*BlendedPricePremAnnual*E6+R6*BlendedPriceEliteAnnual*E6</f>
        <v/>
      </c>
      <c r="AD6" s="12">
        <f>0+0+0</f>
        <v/>
      </c>
      <c r="AE6" s="9">
        <f>AB6+AC6+AD6</f>
        <v/>
      </c>
      <c r="AF6" s="12">
        <f>SUM(AE$5:AE6)</f>
        <v/>
      </c>
      <c r="AG6" s="12">
        <f>OR(AG5,IF(VATAgentMode,SUM($AE$5:$AE6)-SUM($AL$5:$AL6)&gt;=VATThreshold,SUM($AE$5:$AE6)&gt;=VATThreshold))</f>
        <v/>
      </c>
      <c r="AH6" s="9">
        <f>IF(AG6,IF(VATAgentMode,AE6-((AE6-AL6)-(AE6-AL6)/(1+VATRate)),AE6/(1+VATRate)),AE6)</f>
        <v/>
      </c>
      <c r="AI6" s="12">
        <f>AE6-AH6</f>
        <v/>
      </c>
      <c r="AJ6" s="12">
        <f>IF(AG6=0,0,IF(B6=1,SUMPRODUCT(--(($C$5:$C6=$C6-1)*($B$5:$B6&gt;=10)*($B$5:$B6&lt;=12)),$AI$5:$AI6),IF(B6=4,SUMPRODUCT(--(($C$5:$C6=$C6)*($B$5:$B6&gt;=1)*($B$5:$B6&lt;=3)),$AI$5:$AI6),IF(B6=7,SUMPRODUCT(--(($C$5:$C6=$C6)*($B$5:$B6&gt;=4)*($B$5:$B6&lt;=6)),$AI$5:$AI6),IF(B6=10,SUMPRODUCT(--(($C$5:$C6=$C6)*($B$5:$B6&gt;=7)*($B$5:$B6&lt;=9)),$AI$5:$AI6),0)))))</f>
        <v/>
      </c>
      <c r="AK6" s="12">
        <f>AK5+AI6-AJ6</f>
        <v/>
      </c>
      <c r="AL6" s="12">
        <f>IF(ProviderDelay&gt;=1,S5*BlendedProvPayEss+T5*BlendedProvPayPrem+U5*BlendedProvPayElite+V5*BlendedProvPayEss+W5*BlendedProvPayPrem+X5*BlendedProvPayElite,S6*BlendedProvPayEss+T6*BlendedProvPayPrem+U6*BlendedProvPayElite+V6*BlendedProvPayEss+W6*BlendedProvPayPrem+X6*BlendedProvPayElite)</f>
        <v/>
      </c>
      <c r="AM6" s="12">
        <f>AE6*PaymentFee</f>
        <v/>
      </c>
      <c r="AN6" s="12">
        <f>Y6*OpsAI</f>
        <v/>
      </c>
      <c r="AO6" s="12">
        <f>MonthlyFixed</f>
        <v/>
      </c>
      <c r="AP6" s="12">
        <f>I6*ReferralReward</f>
        <v/>
      </c>
      <c r="AQ6" s="12">
        <f>G6</f>
        <v/>
      </c>
      <c r="AR6" s="9">
        <f>AH6-AL6-AM6-AN6-AO6-AP6-AQ6</f>
        <v/>
      </c>
      <c r="AS6" s="9">
        <f>AS5+AE6-(AL6+AM6+AN6+AO6+AP6+AQ6+AJ6)</f>
        <v/>
      </c>
      <c r="AT6" s="12">
        <f>IF(Y6&gt;0,Z6/Y6,0)</f>
        <v/>
      </c>
      <c r="AU6" s="11">
        <f>IF(Y5&gt;0,MAX(0,(Y5+J6-Y6)/Y5),0)</f>
        <v/>
      </c>
      <c r="AW6" s="12" t="n">
        <v>2</v>
      </c>
      <c r="AX6" s="12">
        <f>MOD(AW6-1+LaunchMonth-1,12)+1</f>
        <v/>
      </c>
      <c r="AY6" s="12">
        <f>INT((AW6-1+LaunchMonth-1)/12)+1</f>
        <v/>
      </c>
      <c r="AZ6" s="12">
        <f>VLOOKUP(AX6,SeasonTable,2,FALSE)</f>
        <v/>
      </c>
      <c r="BA6" s="12">
        <f>(1+InflationRate)^INT((AW6-1)/12)</f>
        <v/>
      </c>
      <c r="BB6" s="11">
        <f>MonthlyChurn*VLOOKUP(AX6,ChurnSeasonTable,4,FALSE)</f>
        <v/>
      </c>
      <c r="BC6" s="12">
        <f>MktFixed1_3</f>
        <v/>
      </c>
      <c r="BD6" s="12">
        <f>IF(BC6&gt;0,MAX(1,ROUND(BC6/CAC*AZ6,0)),0)</f>
        <v/>
      </c>
      <c r="BE6" s="12">
        <f>IF(BD6&gt;0,ROUND(BD6*ReferralMix/(1-ReferralMix),0),0)</f>
        <v/>
      </c>
      <c r="BF6" s="12">
        <f>BD6+BE6</f>
        <v/>
      </c>
      <c r="BG6" s="12">
        <f>ROUND(BF6*(1-AnnualMix),0)</f>
        <v/>
      </c>
      <c r="BH6" s="12">
        <f>BF6-BG6</f>
        <v/>
      </c>
      <c r="BI6" s="12">
        <f>ROUND(BG6*EssentialMix,0)</f>
        <v/>
      </c>
      <c r="BJ6" s="12">
        <f>ROUND(BG6*PremiumMix,0)</f>
        <v/>
      </c>
      <c r="BK6" s="12">
        <f>BG6-BI6-BJ6</f>
        <v/>
      </c>
      <c r="BL6" s="12">
        <f>ROUND(BH6*EssentialMix,0)</f>
        <v/>
      </c>
      <c r="BM6" s="12">
        <f>ROUND(BH6*PremiumMix,0)</f>
        <v/>
      </c>
      <c r="BN6" s="12">
        <f>BH6-BL6-BM6</f>
        <v/>
      </c>
      <c r="BO6" s="12">
        <f>BI6+BI5</f>
        <v/>
      </c>
      <c r="BP6" s="12">
        <f>BJ6+BJ5</f>
        <v/>
      </c>
      <c r="BQ6" s="12">
        <f>BK6+BK5</f>
        <v/>
      </c>
      <c r="BR6" s="12">
        <f>SUM(BL$5:BL6)</f>
        <v/>
      </c>
      <c r="BS6" s="12">
        <f>SUM(BM$5:BM6)</f>
        <v/>
      </c>
      <c r="BT6" s="12">
        <f>SUM(BN$5:BN6)</f>
        <v/>
      </c>
      <c r="BU6" s="12">
        <f>BO6+BP6+BQ6+BR6+BS6+BT6</f>
        <v/>
      </c>
      <c r="BV6" s="9">
        <f>BO6*BlendedPriceEssMonthly*BA6+BP6*BlendedPricePremMonthly*BA6+BQ6*BlendedPriceEliteMonthly*BA6+BR6*BlendedPriceEssAnnual*BA6/12+BS6*BlendedPricePremAnnual*BA6/12+BT6*BlendedPriceEliteAnnual*BA6/12</f>
        <v/>
      </c>
      <c r="BW6" s="9">
        <f>BV6*12</f>
        <v/>
      </c>
      <c r="BX6" s="12">
        <f>BO6*BlendedPriceEssMonthly*BA6+BP6*BlendedPricePremMonthly*BA6+BQ6*BlendedPriceEliteMonthly*BA6</f>
        <v/>
      </c>
      <c r="BY6" s="12">
        <f>BL6*BlendedPriceEssAnnual*BA6+BM6*BlendedPricePremAnnual*BA6+BN6*BlendedPriceEliteAnnual*BA6</f>
        <v/>
      </c>
      <c r="BZ6" s="12">
        <f>0+0+0</f>
        <v/>
      </c>
      <c r="CA6" s="9">
        <f>BX6+BY6+BZ6</f>
        <v/>
      </c>
      <c r="CB6" s="12">
        <f>SUM(CA$5:CA6)</f>
        <v/>
      </c>
      <c r="CC6" s="12">
        <f>OR(CC5,IF(VATAgentMode,SUM($CA$5:$CA6)-SUM($CH$5:$CH6)&gt;=VATThreshold,SUM($CA$5:$CA6)&gt;=VATThreshold))</f>
        <v/>
      </c>
      <c r="CD6" s="9">
        <f>IF(CC6,IF(VATAgentMode,CA6-((CA6-CH6)-(CA6-CH6)/(1+VATRate)),CA6/(1+VATRate)),CA6)</f>
        <v/>
      </c>
      <c r="CE6" s="12">
        <f>CA6-CD6</f>
        <v/>
      </c>
      <c r="CF6" s="12">
        <f>IF(CC6=0,0,IF(AX6=1,SUMPRODUCT(--(($AY$5:$AY6=$AY6-1)*($AX$5:$AX6&gt;=10)*($AX$5:$AX6&lt;=12)),$CE$5:$CE6),IF(AX6=4,SUMPRODUCT(--(($AY$5:$AY6=$AY6)*($AX$5:$AX6&gt;=1)*($AX$5:$AX6&lt;=3)),$CE$5:$CE6),IF(AX6=7,SUMPRODUCT(--(($AY$5:$AY6=$AY6)*($AX$5:$AX6&gt;=4)*($AX$5:$AX6&lt;=6)),$CE$5:$CE6),IF(AX6=10,SUMPRODUCT(--(($AY$5:$AY6=$AY6)*($AX$5:$AX6&gt;=7)*($AX$5:$AX6&lt;=9)),$CE$5:$CE6),0)))))</f>
        <v/>
      </c>
      <c r="CG6" s="12">
        <f>CG5+CE6-CF6</f>
        <v/>
      </c>
      <c r="CH6" s="12">
        <f>IF(ProviderDelay&gt;=1,BO5*BlendedProvPayEss+BP5*BlendedProvPayPrem+BQ5*BlendedProvPayElite+BR5*BlendedProvPayEss+BS5*BlendedProvPayPrem+BT5*BlendedProvPayElite,BO6*BlendedProvPayEss+BP6*BlendedProvPayPrem+BQ6*BlendedProvPayElite+BR6*BlendedProvPayEss+BS6*BlendedProvPayPrem+BT6*BlendedProvPayElite)</f>
        <v/>
      </c>
      <c r="CI6" s="12">
        <f>CA6*PaymentFee</f>
        <v/>
      </c>
      <c r="CJ6" s="12">
        <f>BU6*OpsAI</f>
        <v/>
      </c>
      <c r="CK6" s="12">
        <f>MonthlyFixed</f>
        <v/>
      </c>
      <c r="CL6" s="12">
        <f>BE6*ReferralReward</f>
        <v/>
      </c>
      <c r="CM6" s="12">
        <f>BC6</f>
        <v/>
      </c>
      <c r="CN6" s="9">
        <f>CD6-CH6-CI6-CJ6-CK6-CL6-CM6</f>
        <v/>
      </c>
      <c r="CO6" s="9">
        <f>CO5+CA6-(CH6+CI6+CJ6+CK6+CL6+CM6+CF6)</f>
        <v/>
      </c>
      <c r="CP6" s="12">
        <f>IF(BU6&gt;0,BV6/BU6,0)</f>
        <v/>
      </c>
      <c r="CQ6" s="11">
        <f>IF(BU5&gt;0,MAX(0,(BU5+BF6-BU6)/BU5),0)</f>
        <v/>
      </c>
      <c r="CS6" s="12" t="n">
        <v>2</v>
      </c>
      <c r="CT6" s="12">
        <f>MOD(CS6-1+LaunchMonth-1,12)+1</f>
        <v/>
      </c>
      <c r="CU6" s="12">
        <f>INT((CS6-1+LaunchMonth-1)/12)+1</f>
        <v/>
      </c>
      <c r="CV6" s="12">
        <f>VLOOKUP(CT6,SeasonTable,2,FALSE)</f>
        <v/>
      </c>
      <c r="CW6" s="12">
        <f>(1+InflationRate)^INT((CS6-1)/12)</f>
        <v/>
      </c>
      <c r="CX6" s="11">
        <f>'Sens - Scenarios'!$D$5*VLOOKUP(CT6,ChurnSeasonTable,4,FALSE)</f>
        <v/>
      </c>
      <c r="CY6" s="12">
        <f>MktFixed1_3</f>
        <v/>
      </c>
      <c r="CZ6" s="12">
        <f>IF(CY6&gt;0,MAX(1,ROUND(CY6/'Sens - Scenarios'!$D$8*CV6,0)),0)</f>
        <v/>
      </c>
      <c r="DA6" s="12">
        <f>IF(CZ6&gt;0,ROUND(CZ6*ReferralMix/(1-ReferralMix),0),0)</f>
        <v/>
      </c>
      <c r="DB6" s="12">
        <f>CZ6+DA6</f>
        <v/>
      </c>
      <c r="DC6" s="12">
        <f>ROUND(DB6*(1-'Sens - Scenarios'!$D$7),0)</f>
        <v/>
      </c>
      <c r="DD6" s="12">
        <f>DB6-DC6</f>
        <v/>
      </c>
      <c r="DE6" s="12">
        <f>ROUND(DC6*EssentialMix,0)</f>
        <v/>
      </c>
      <c r="DF6" s="12">
        <f>ROUND(DC6*PremiumMix,0)</f>
        <v/>
      </c>
      <c r="DG6" s="12">
        <f>DC6-DE6-DF6</f>
        <v/>
      </c>
      <c r="DH6" s="12">
        <f>ROUND(DD6*EssentialMix,0)</f>
        <v/>
      </c>
      <c r="DI6" s="12">
        <f>ROUND(DD6*PremiumMix,0)</f>
        <v/>
      </c>
      <c r="DJ6" s="12">
        <f>DD6-DH6-DI6</f>
        <v/>
      </c>
      <c r="DK6" s="12">
        <f>DE6+DE5</f>
        <v/>
      </c>
      <c r="DL6" s="12">
        <f>DF6+DF5</f>
        <v/>
      </c>
      <c r="DM6" s="12">
        <f>DG6+DG5</f>
        <v/>
      </c>
      <c r="DN6" s="12">
        <f>SUM(DH$5:DH6)</f>
        <v/>
      </c>
      <c r="DO6" s="12">
        <f>SUM(DI$5:DI6)</f>
        <v/>
      </c>
      <c r="DP6" s="12">
        <f>SUM(DJ$5:DJ6)</f>
        <v/>
      </c>
      <c r="DQ6" s="12">
        <f>DK6+DL6+DM6+DN6+DO6+DP6</f>
        <v/>
      </c>
      <c r="DR6" s="9">
        <f>DK6*BlendedPriceEssMonthly*CW6+DL6*BlendedPricePremMonthly*CW6+DM6*BlendedPriceEliteMonthly*CW6+DN6*BlendedPriceEssAnnual*CW6/12+DO6*BlendedPricePremAnnual*CW6/12+DP6*BlendedPriceEliteAnnual*CW6/12</f>
        <v/>
      </c>
      <c r="DS6" s="9">
        <f>DR6*12</f>
        <v/>
      </c>
      <c r="DT6" s="12">
        <f>DK6*BlendedPriceEssMonthly*CW6+DL6*BlendedPricePremMonthly*CW6+DM6*BlendedPriceEliteMonthly*CW6</f>
        <v/>
      </c>
      <c r="DU6" s="12">
        <f>DH6*BlendedPriceEssAnnual*CW6+DI6*BlendedPricePremAnnual*CW6+DJ6*BlendedPriceEliteAnnual*CW6</f>
        <v/>
      </c>
      <c r="DV6" s="12">
        <f>0+0+0</f>
        <v/>
      </c>
      <c r="DW6" s="9">
        <f>DT6+DU6+DV6</f>
        <v/>
      </c>
      <c r="DX6" s="12">
        <f>SUM(DW$5:DW6)</f>
        <v/>
      </c>
      <c r="DY6" s="12">
        <f>OR(DY5,IF(VATAgentMode,SUM($DW$5:$DW6)-SUM($ED$5:$ED6)&gt;=VATThreshold,SUM($DW$5:$DW6)&gt;=VATThreshold))</f>
        <v/>
      </c>
      <c r="DZ6" s="9">
        <f>IF(DY6,IF(VATAgentMode,DW6-((DW6-ED6)-(DW6-ED6)/(1+VATRate)),DW6/(1+VATRate)),DW6)</f>
        <v/>
      </c>
      <c r="EA6" s="12">
        <f>DW6-DZ6</f>
        <v/>
      </c>
      <c r="EB6" s="12">
        <f>IF(DY6=0,0,IF(CT6=1,SUMPRODUCT(--(($CU$5:$CU6=$CU6-1)*($CT$5:$CT6&gt;=10)*($CT$5:$CT6&lt;=12)),$EA$5:$EA6),IF(CT6=4,SUMPRODUCT(--(($CU$5:$CU6=$CU6)*($CT$5:$CT6&gt;=1)*($CT$5:$CT6&lt;=3)),$EA$5:$EA6),IF(CT6=7,SUMPRODUCT(--(($CU$5:$CU6=$CU6)*($CT$5:$CT6&gt;=4)*($CT$5:$CT6&lt;=6)),$EA$5:$EA6),IF(CT6=10,SUMPRODUCT(--(($CU$5:$CU6=$CU6)*($CT$5:$CT6&gt;=7)*($CT$5:$CT6&lt;=9)),$EA$5:$EA6),0)))))</f>
        <v/>
      </c>
      <c r="EC6" s="12">
        <f>EC5+EA6-EB6</f>
        <v/>
      </c>
      <c r="ED6" s="12">
        <f>IF(ProviderDelay&gt;=1,DK5*BlendedProvPayEss+DL5*BlendedProvPayPrem+DM5*BlendedProvPayElite+DN5*BlendedProvPayEss+DO5*BlendedProvPayPrem+DP5*BlendedProvPayElite,DK6*BlendedProvPayEss+DL6*BlendedProvPayPrem+DM6*BlendedProvPayElite+DN6*BlendedProvPayEss+DO6*BlendedProvPayPrem+DP6*BlendedProvPayElite)</f>
        <v/>
      </c>
      <c r="EE6" s="12">
        <f>DW6*PaymentFee</f>
        <v/>
      </c>
      <c r="EF6" s="12">
        <f>DQ6*OpsAI</f>
        <v/>
      </c>
      <c r="EG6" s="12">
        <f>MonthlyFixed</f>
        <v/>
      </c>
      <c r="EH6" s="12">
        <f>DA6*ReferralReward</f>
        <v/>
      </c>
      <c r="EI6" s="12">
        <f>CY6</f>
        <v/>
      </c>
      <c r="EJ6" s="9">
        <f>DZ6-ED6-EE6-EF6-EG6-EH6-EI6</f>
        <v/>
      </c>
      <c r="EK6" s="9">
        <f>EK5+DW6-(ED6+EE6+EF6+EG6+EH6+EI6+EB6)</f>
        <v/>
      </c>
      <c r="EL6" s="12">
        <f>IF(DQ6&gt;0,DR6/DQ6,0)</f>
        <v/>
      </c>
      <c r="EM6" s="11">
        <f>IF(DQ5&gt;0,MAX(0,(DQ5+DB6-DQ6)/DQ5),0)</f>
        <v/>
      </c>
      <c r="EO6" s="12" t="n">
        <v>2</v>
      </c>
      <c r="EP6" s="12">
        <f>MOD(EO6-1+LaunchMonth-1,12)+1</f>
        <v/>
      </c>
      <c r="EQ6" s="12">
        <f>INT((EO6-1+LaunchMonth-1)/12)+1</f>
        <v/>
      </c>
      <c r="ER6" s="12">
        <f>VLOOKUP(EP6,SeasonTable,2,FALSE)</f>
        <v/>
      </c>
      <c r="ES6" s="12">
        <f>(1+InflationRate)^INT((EO6-1)/12)</f>
        <v/>
      </c>
      <c r="ET6" s="11">
        <f>'Sens - Churn'!$A$13*VLOOKUP(EP6,ChurnSeasonTable,4,FALSE)</f>
        <v/>
      </c>
      <c r="EU6" s="12">
        <f>MktFixed1_3</f>
        <v/>
      </c>
      <c r="EV6" s="12">
        <f>IF(EU6&gt;0,MAX(1,ROUND(EU6/CAC*ER6,0)),0)</f>
        <v/>
      </c>
      <c r="EW6" s="12">
        <f>IF(EV6&gt;0,ROUND(EV6*ReferralMix/(1-ReferralMix),0),0)</f>
        <v/>
      </c>
      <c r="EX6" s="12">
        <f>EV6+EW6</f>
        <v/>
      </c>
      <c r="EY6" s="12">
        <f>ROUND(EX6*(1-AnnualMix),0)</f>
        <v/>
      </c>
      <c r="EZ6" s="12">
        <f>EX6-EY6</f>
        <v/>
      </c>
      <c r="FA6" s="12">
        <f>ROUND(EY6*EssentialMix,0)</f>
        <v/>
      </c>
      <c r="FB6" s="12">
        <f>ROUND(EY6*PremiumMix,0)</f>
        <v/>
      </c>
      <c r="FC6" s="12">
        <f>EY6-FA6-FB6</f>
        <v/>
      </c>
      <c r="FD6" s="12">
        <f>ROUND(EZ6*EssentialMix,0)</f>
        <v/>
      </c>
      <c r="FE6" s="12">
        <f>ROUND(EZ6*PremiumMix,0)</f>
        <v/>
      </c>
      <c r="FF6" s="12">
        <f>EZ6-FD6-FE6</f>
        <v/>
      </c>
      <c r="FG6" s="12">
        <f>FA6+FA5</f>
        <v/>
      </c>
      <c r="FH6" s="12">
        <f>FB6+FB5</f>
        <v/>
      </c>
      <c r="FI6" s="12">
        <f>FC6+FC5</f>
        <v/>
      </c>
      <c r="FJ6" s="12">
        <f>SUM(FD$5:FD6)</f>
        <v/>
      </c>
      <c r="FK6" s="12">
        <f>SUM(FE$5:FE6)</f>
        <v/>
      </c>
      <c r="FL6" s="12">
        <f>SUM(FF$5:FF6)</f>
        <v/>
      </c>
      <c r="FM6" s="12">
        <f>FG6+FH6+FI6+FJ6+FK6+FL6</f>
        <v/>
      </c>
      <c r="FN6" s="9">
        <f>FG6*BlendedPriceEssMonthly*ES6+FH6*BlendedPricePremMonthly*ES6+FI6*BlendedPriceEliteMonthly*ES6+FJ6*BlendedPriceEssAnnual*ES6/12+FK6*BlendedPricePremAnnual*ES6/12+FL6*BlendedPriceEliteAnnual*ES6/12</f>
        <v/>
      </c>
      <c r="FO6" s="9">
        <f>FN6*12</f>
        <v/>
      </c>
      <c r="FP6" s="12">
        <f>FG6*BlendedPriceEssMonthly*ES6+FH6*BlendedPricePremMonthly*ES6+FI6*BlendedPriceEliteMonthly*ES6</f>
        <v/>
      </c>
      <c r="FQ6" s="12">
        <f>FD6*BlendedPriceEssAnnual*ES6+FE6*BlendedPricePremAnnual*ES6+FF6*BlendedPriceEliteAnnual*ES6</f>
        <v/>
      </c>
      <c r="FR6" s="12">
        <f>0+0+0</f>
        <v/>
      </c>
      <c r="FS6" s="9">
        <f>FP6+FQ6+FR6</f>
        <v/>
      </c>
      <c r="FT6" s="12">
        <f>SUM(FS$5:FS6)</f>
        <v/>
      </c>
      <c r="FU6" s="12">
        <f>OR(FU5,IF(VATAgentMode,SUM($FS$5:$FS6)-SUM($FZ$5:$FZ6)&gt;=VATThreshold,SUM($FS$5:$FS6)&gt;=VATThreshold))</f>
        <v/>
      </c>
      <c r="FV6" s="9">
        <f>IF(FU6,IF(VATAgentMode,FS6-((FS6-FZ6)-(FS6-FZ6)/(1+VATRate)),FS6/(1+VATRate)),FS6)</f>
        <v/>
      </c>
      <c r="FW6" s="12">
        <f>FS6-FV6</f>
        <v/>
      </c>
      <c r="FX6" s="12">
        <f>IF(FU6=0,0,IF(EP6=1,SUMPRODUCT(--(($EQ$5:$EQ6=$EQ6-1)*($EP$5:$EP6&gt;=10)*($EP$5:$EP6&lt;=12)),$FW$5:$FW6),IF(EP6=4,SUMPRODUCT(--(($EQ$5:$EQ6=$EQ6)*($EP$5:$EP6&gt;=1)*($EP$5:$EP6&lt;=3)),$FW$5:$FW6),IF(EP6=7,SUMPRODUCT(--(($EQ$5:$EQ6=$EQ6)*($EP$5:$EP6&gt;=4)*($EP$5:$EP6&lt;=6)),$FW$5:$FW6),IF(EP6=10,SUMPRODUCT(--(($EQ$5:$EQ6=$EQ6)*($EP$5:$EP6&gt;=7)*($EP$5:$EP6&lt;=9)),$FW$5:$FW6),0)))))</f>
        <v/>
      </c>
      <c r="FY6" s="12">
        <f>FY5+FW6-FX6</f>
        <v/>
      </c>
      <c r="FZ6" s="12">
        <f>IF(ProviderDelay&gt;=1,FG5*BlendedProvPayEss+FH5*BlendedProvPayPrem+FI5*BlendedProvPayElite+FJ5*BlendedProvPayEss+FK5*BlendedProvPayPrem+FL5*BlendedProvPayElite,FG6*BlendedProvPayEss+FH6*BlendedProvPayPrem+FI6*BlendedProvPayElite+FJ6*BlendedProvPayEss+FK6*BlendedProvPayPrem+FL6*BlendedProvPayElite)</f>
        <v/>
      </c>
      <c r="GA6" s="12">
        <f>FS6*PaymentFee</f>
        <v/>
      </c>
      <c r="GB6" s="12">
        <f>FM6*OpsAI</f>
        <v/>
      </c>
      <c r="GC6" s="12">
        <f>MonthlyFixed</f>
        <v/>
      </c>
      <c r="GD6" s="12">
        <f>EW6*ReferralReward</f>
        <v/>
      </c>
      <c r="GE6" s="12">
        <f>EU6</f>
        <v/>
      </c>
      <c r="GF6" s="9">
        <f>FV6-FZ6-GA6-GB6-GC6-GD6-GE6</f>
        <v/>
      </c>
      <c r="GG6" s="9">
        <f>GG5+FS6-(FZ6+GA6+GB6+GC6+GD6+GE6+FX6)</f>
        <v/>
      </c>
      <c r="GH6" s="12">
        <f>IF(FM6&gt;0,FN6/FM6,0)</f>
        <v/>
      </c>
      <c r="GI6" s="11">
        <f>IF(FM5&gt;0,MAX(0,(FM5+EX6-FM6)/FM5),0)</f>
        <v/>
      </c>
      <c r="GK6" s="12" t="n">
        <v>2</v>
      </c>
      <c r="GL6" s="12">
        <f>MOD(GK6-1+LaunchMonth-1,12)+1</f>
        <v/>
      </c>
      <c r="GM6" s="12">
        <f>INT((GK6-1+LaunchMonth-1)/12)+1</f>
        <v/>
      </c>
      <c r="GN6" s="12">
        <f>VLOOKUP(GL6,SeasonTable,2,FALSE)</f>
        <v/>
      </c>
      <c r="GO6" s="12">
        <f>(1+InflationRate)^INT((GK6-1)/12)</f>
        <v/>
      </c>
      <c r="GP6" s="11">
        <f>'Sens - Churn'!$A$14*VLOOKUP(GL6,ChurnSeasonTable,4,FALSE)</f>
        <v/>
      </c>
      <c r="GQ6" s="12">
        <f>MktFixed1_3</f>
        <v/>
      </c>
      <c r="GR6" s="12">
        <f>IF(GQ6&gt;0,MAX(1,ROUND(GQ6/CAC*GN6,0)),0)</f>
        <v/>
      </c>
      <c r="GS6" s="12">
        <f>IF(GR6&gt;0,ROUND(GR6*ReferralMix/(1-ReferralMix),0),0)</f>
        <v/>
      </c>
      <c r="GT6" s="12">
        <f>GR6+GS6</f>
        <v/>
      </c>
      <c r="GU6" s="12">
        <f>ROUND(GT6*(1-AnnualMix),0)</f>
        <v/>
      </c>
      <c r="GV6" s="12">
        <f>GT6-GU6</f>
        <v/>
      </c>
      <c r="GW6" s="12">
        <f>ROUND(GU6*EssentialMix,0)</f>
        <v/>
      </c>
      <c r="GX6" s="12">
        <f>ROUND(GU6*PremiumMix,0)</f>
        <v/>
      </c>
      <c r="GY6" s="12">
        <f>GU6-GW6-GX6</f>
        <v/>
      </c>
      <c r="GZ6" s="12">
        <f>ROUND(GV6*EssentialMix,0)</f>
        <v/>
      </c>
      <c r="HA6" s="12">
        <f>ROUND(GV6*PremiumMix,0)</f>
        <v/>
      </c>
      <c r="HB6" s="12">
        <f>GV6-GZ6-HA6</f>
        <v/>
      </c>
      <c r="HC6" s="12">
        <f>GW6+GW5</f>
        <v/>
      </c>
      <c r="HD6" s="12">
        <f>GX6+GX5</f>
        <v/>
      </c>
      <c r="HE6" s="12">
        <f>GY6+GY5</f>
        <v/>
      </c>
      <c r="HF6" s="12">
        <f>SUM(GZ$5:GZ6)</f>
        <v/>
      </c>
      <c r="HG6" s="12">
        <f>SUM(HA$5:HA6)</f>
        <v/>
      </c>
      <c r="HH6" s="12">
        <f>SUM(HB$5:HB6)</f>
        <v/>
      </c>
      <c r="HI6" s="12">
        <f>HC6+HD6+HE6+HF6+HG6+HH6</f>
        <v/>
      </c>
      <c r="HJ6" s="9">
        <f>HC6*BlendedPriceEssMonthly*GO6+HD6*BlendedPricePremMonthly*GO6+HE6*BlendedPriceEliteMonthly*GO6+HF6*BlendedPriceEssAnnual*GO6/12+HG6*BlendedPricePremAnnual*GO6/12+HH6*BlendedPriceEliteAnnual*GO6/12</f>
        <v/>
      </c>
      <c r="HK6" s="9">
        <f>HJ6*12</f>
        <v/>
      </c>
      <c r="HL6" s="12">
        <f>HC6*BlendedPriceEssMonthly*GO6+HD6*BlendedPricePremMonthly*GO6+HE6*BlendedPriceEliteMonthly*GO6</f>
        <v/>
      </c>
      <c r="HM6" s="12">
        <f>GZ6*BlendedPriceEssAnnual*GO6+HA6*BlendedPricePremAnnual*GO6+HB6*BlendedPriceEliteAnnual*GO6</f>
        <v/>
      </c>
      <c r="HN6" s="12">
        <f>0+0+0</f>
        <v/>
      </c>
      <c r="HO6" s="9">
        <f>HL6+HM6+HN6</f>
        <v/>
      </c>
      <c r="HP6" s="12">
        <f>SUM(HO$5:HO6)</f>
        <v/>
      </c>
      <c r="HQ6" s="12">
        <f>OR(HQ5,IF(VATAgentMode,SUM($HO$5:$HO6)-SUM($HV$5:$HV6)&gt;=VATThreshold,SUM($HO$5:$HO6)&gt;=VATThreshold))</f>
        <v/>
      </c>
      <c r="HR6" s="9">
        <f>IF(HQ6,IF(VATAgentMode,HO6-((HO6-HV6)-(HO6-HV6)/(1+VATRate)),HO6/(1+VATRate)),HO6)</f>
        <v/>
      </c>
      <c r="HS6" s="12">
        <f>HO6-HR6</f>
        <v/>
      </c>
      <c r="HT6" s="12">
        <f>IF(HQ6=0,0,IF(GL6=1,SUMPRODUCT(--(($GM$5:$GM6=$GM6-1)*($GL$5:$GL6&gt;=10)*($GL$5:$GL6&lt;=12)),$HS$5:$HS6),IF(GL6=4,SUMPRODUCT(--(($GM$5:$GM6=$GM6)*($GL$5:$GL6&gt;=1)*($GL$5:$GL6&lt;=3)),$HS$5:$HS6),IF(GL6=7,SUMPRODUCT(--(($GM$5:$GM6=$GM6)*($GL$5:$GL6&gt;=4)*($GL$5:$GL6&lt;=6)),$HS$5:$HS6),IF(GL6=10,SUMPRODUCT(--(($GM$5:$GM6=$GM6)*($GL$5:$GL6&gt;=7)*($GL$5:$GL6&lt;=9)),$HS$5:$HS6),0)))))</f>
        <v/>
      </c>
      <c r="HU6" s="12">
        <f>HU5+HS6-HT6</f>
        <v/>
      </c>
      <c r="HV6" s="12">
        <f>IF(ProviderDelay&gt;=1,HC5*BlendedProvPayEss+HD5*BlendedProvPayPrem+HE5*BlendedProvPayElite+HF5*BlendedProvPayEss+HG5*BlendedProvPayPrem+HH5*BlendedProvPayElite,HC6*BlendedProvPayEss+HD6*BlendedProvPayPrem+HE6*BlendedProvPayElite+HF6*BlendedProvPayEss+HG6*BlendedProvPayPrem+HH6*BlendedProvPayElite)</f>
        <v/>
      </c>
      <c r="HW6" s="12">
        <f>HO6*PaymentFee</f>
        <v/>
      </c>
      <c r="HX6" s="12">
        <f>HI6*OpsAI</f>
        <v/>
      </c>
      <c r="HY6" s="12">
        <f>MonthlyFixed</f>
        <v/>
      </c>
      <c r="HZ6" s="12">
        <f>GS6*ReferralReward</f>
        <v/>
      </c>
      <c r="IA6" s="12">
        <f>GQ6</f>
        <v/>
      </c>
      <c r="IB6" s="9">
        <f>HR6-HV6-HW6-HX6-HY6-HZ6-IA6</f>
        <v/>
      </c>
      <c r="IC6" s="9">
        <f>IC5+HO6-(HV6+HW6+HX6+HY6+HZ6+IA6+HT6)</f>
        <v/>
      </c>
      <c r="ID6" s="12">
        <f>IF(HI6&gt;0,HJ6/HI6,0)</f>
        <v/>
      </c>
      <c r="IE6" s="11">
        <f>IF(HI5&gt;0,MAX(0,(HI5+GT6-HI6)/HI5),0)</f>
        <v/>
      </c>
      <c r="IG6" s="12" t="n">
        <v>2</v>
      </c>
      <c r="IH6" s="12">
        <f>MOD(IG6-1+LaunchMonth-1,12)+1</f>
        <v/>
      </c>
      <c r="II6" s="12">
        <f>INT((IG6-1+LaunchMonth-1)/12)+1</f>
        <v/>
      </c>
      <c r="IJ6" s="12">
        <f>VLOOKUP(IH6,SeasonTable,2,FALSE)</f>
        <v/>
      </c>
      <c r="IK6" s="12">
        <f>(1+InflationRate)^INT((IG6-1)/12)</f>
        <v/>
      </c>
      <c r="IL6" s="11">
        <f>'Sens - Churn'!$A$15*VLOOKUP(IH6,ChurnSeasonTable,4,FALSE)</f>
        <v/>
      </c>
      <c r="IM6" s="12">
        <f>MktFixed1_3</f>
        <v/>
      </c>
      <c r="IN6" s="12">
        <f>IF(IM6&gt;0,MAX(1,ROUND(IM6/CAC*IJ6,0)),0)</f>
        <v/>
      </c>
      <c r="IO6" s="12">
        <f>IF(IN6&gt;0,ROUND(IN6*ReferralMix/(1-ReferralMix),0),0)</f>
        <v/>
      </c>
      <c r="IP6" s="12">
        <f>IN6+IO6</f>
        <v/>
      </c>
      <c r="IQ6" s="12">
        <f>ROUND(IP6*(1-AnnualMix),0)</f>
        <v/>
      </c>
      <c r="IR6" s="12">
        <f>IP6-IQ6</f>
        <v/>
      </c>
      <c r="IS6" s="12">
        <f>ROUND(IQ6*EssentialMix,0)</f>
        <v/>
      </c>
      <c r="IT6" s="12">
        <f>ROUND(IQ6*PremiumMix,0)</f>
        <v/>
      </c>
      <c r="IU6" s="12">
        <f>IQ6-IS6-IT6</f>
        <v/>
      </c>
      <c r="IV6" s="12">
        <f>ROUND(IR6*EssentialMix,0)</f>
        <v/>
      </c>
      <c r="IW6" s="12">
        <f>ROUND(IR6*PremiumMix,0)</f>
        <v/>
      </c>
      <c r="IX6" s="12">
        <f>IR6-IV6-IW6</f>
        <v/>
      </c>
      <c r="IY6" s="12">
        <f>IS6+IS5</f>
        <v/>
      </c>
      <c r="IZ6" s="12">
        <f>IT6+IT5</f>
        <v/>
      </c>
      <c r="JA6" s="12">
        <f>IU6+IU5</f>
        <v/>
      </c>
      <c r="JB6" s="12">
        <f>SUM(IV$5:IV6)</f>
        <v/>
      </c>
      <c r="JC6" s="12">
        <f>SUM(IW$5:IW6)</f>
        <v/>
      </c>
      <c r="JD6" s="12">
        <f>SUM(IX$5:IX6)</f>
        <v/>
      </c>
      <c r="JE6" s="12">
        <f>IY6+IZ6+JA6+JB6+JC6+JD6</f>
        <v/>
      </c>
      <c r="JF6" s="9">
        <f>IY6*BlendedPriceEssMonthly*IK6+IZ6*BlendedPricePremMonthly*IK6+JA6*BlendedPriceEliteMonthly*IK6+JB6*BlendedPriceEssAnnual*IK6/12+JC6*BlendedPricePremAnnual*IK6/12+JD6*BlendedPriceEliteAnnual*IK6/12</f>
        <v/>
      </c>
      <c r="JG6" s="9">
        <f>JF6*12</f>
        <v/>
      </c>
      <c r="JH6" s="12">
        <f>IY6*BlendedPriceEssMonthly*IK6+IZ6*BlendedPricePremMonthly*IK6+JA6*BlendedPriceEliteMonthly*IK6</f>
        <v/>
      </c>
      <c r="JI6" s="12">
        <f>IV6*BlendedPriceEssAnnual*IK6+IW6*BlendedPricePremAnnual*IK6+IX6*BlendedPriceEliteAnnual*IK6</f>
        <v/>
      </c>
      <c r="JJ6" s="12">
        <f>0+0+0</f>
        <v/>
      </c>
      <c r="JK6" s="9">
        <f>JH6+JI6+JJ6</f>
        <v/>
      </c>
      <c r="JL6" s="12">
        <f>SUM(JK$5:JK6)</f>
        <v/>
      </c>
      <c r="JM6" s="12">
        <f>OR(JM5,IF(VATAgentMode,SUM($JK$5:$JK6)-SUM($JR$5:$JR6)&gt;=VATThreshold,SUM($JK$5:$JK6)&gt;=VATThreshold))</f>
        <v/>
      </c>
      <c r="JN6" s="9">
        <f>IF(JM6,IF(VATAgentMode,JK6-((JK6-JR6)-(JK6-JR6)/(1+VATRate)),JK6/(1+VATRate)),JK6)</f>
        <v/>
      </c>
      <c r="JO6" s="12">
        <f>JK6-JN6</f>
        <v/>
      </c>
      <c r="JP6" s="12">
        <f>IF(JM6=0,0,IF(IH6=1,SUMPRODUCT(--(($II$5:$II6=$II6-1)*($IH$5:$IH6&gt;=10)*($IH$5:$IH6&lt;=12)),$JO$5:$JO6),IF(IH6=4,SUMPRODUCT(--(($II$5:$II6=$II6)*($IH$5:$IH6&gt;=1)*($IH$5:$IH6&lt;=3)),$JO$5:$JO6),IF(IH6=7,SUMPRODUCT(--(($II$5:$II6=$II6)*($IH$5:$IH6&gt;=4)*($IH$5:$IH6&lt;=6)),$JO$5:$JO6),IF(IH6=10,SUMPRODUCT(--(($II$5:$II6=$II6)*($IH$5:$IH6&gt;=7)*($IH$5:$IH6&lt;=9)),$JO$5:$JO6),0)))))</f>
        <v/>
      </c>
      <c r="JQ6" s="12">
        <f>JQ5+JO6-JP6</f>
        <v/>
      </c>
      <c r="JR6" s="12">
        <f>IF(ProviderDelay&gt;=1,IY5*BlendedProvPayEss+IZ5*BlendedProvPayPrem+JA5*BlendedProvPayElite+JB5*BlendedProvPayEss+JC5*BlendedProvPayPrem+JD5*BlendedProvPayElite,IY6*BlendedProvPayEss+IZ6*BlendedProvPayPrem+JA6*BlendedProvPayElite+JB6*BlendedProvPayEss+JC6*BlendedProvPayPrem+JD6*BlendedProvPayElite)</f>
        <v/>
      </c>
      <c r="JS6" s="12">
        <f>JK6*PaymentFee</f>
        <v/>
      </c>
      <c r="JT6" s="12">
        <f>JE6*OpsAI</f>
        <v/>
      </c>
      <c r="JU6" s="12">
        <f>MonthlyFixed</f>
        <v/>
      </c>
      <c r="JV6" s="12">
        <f>IO6*ReferralReward</f>
        <v/>
      </c>
      <c r="JW6" s="12">
        <f>IM6</f>
        <v/>
      </c>
      <c r="JX6" s="9">
        <f>JN6-JR6-JS6-JT6-JU6-JV6-JW6</f>
        <v/>
      </c>
      <c r="JY6" s="9">
        <f>JY5+JK6-(JR6+JS6+JT6+JU6+JV6+JW6+JP6)</f>
        <v/>
      </c>
      <c r="JZ6" s="12">
        <f>IF(JE6&gt;0,JF6/JE6,0)</f>
        <v/>
      </c>
      <c r="KA6" s="11">
        <f>IF(JE5&gt;0,MAX(0,(JE5+IP6-JE6)/JE5),0)</f>
        <v/>
      </c>
      <c r="KC6" s="12" t="n">
        <v>2</v>
      </c>
      <c r="KD6" s="12">
        <f>MOD(KC6-1+LaunchMonth-1,12)+1</f>
        <v/>
      </c>
      <c r="KE6" s="12">
        <f>INT((KC6-1+LaunchMonth-1)/12)+1</f>
        <v/>
      </c>
      <c r="KF6" s="12">
        <f>VLOOKUP(KD6,SeasonTable,2,FALSE)</f>
        <v/>
      </c>
      <c r="KG6" s="12">
        <f>(1+InflationRate)^INT((KC6-1)/12)</f>
        <v/>
      </c>
      <c r="KH6" s="11">
        <f>'Sens - Churn'!$A$16*VLOOKUP(KD6,ChurnSeasonTable,4,FALSE)</f>
        <v/>
      </c>
      <c r="KI6" s="12">
        <f>MktFixed1_3</f>
        <v/>
      </c>
      <c r="KJ6" s="12">
        <f>IF(KI6&gt;0,MAX(1,ROUND(KI6/CAC*KF6,0)),0)</f>
        <v/>
      </c>
      <c r="KK6" s="12">
        <f>IF(KJ6&gt;0,ROUND(KJ6*ReferralMix/(1-ReferralMix),0),0)</f>
        <v/>
      </c>
      <c r="KL6" s="12">
        <f>KJ6+KK6</f>
        <v/>
      </c>
      <c r="KM6" s="12">
        <f>ROUND(KL6*(1-AnnualMix),0)</f>
        <v/>
      </c>
      <c r="KN6" s="12">
        <f>KL6-KM6</f>
        <v/>
      </c>
      <c r="KO6" s="12">
        <f>ROUND(KM6*EssentialMix,0)</f>
        <v/>
      </c>
      <c r="KP6" s="12">
        <f>ROUND(KM6*PremiumMix,0)</f>
        <v/>
      </c>
      <c r="KQ6" s="12">
        <f>KM6-KO6-KP6</f>
        <v/>
      </c>
      <c r="KR6" s="12">
        <f>ROUND(KN6*EssentialMix,0)</f>
        <v/>
      </c>
      <c r="KS6" s="12">
        <f>ROUND(KN6*PremiumMix,0)</f>
        <v/>
      </c>
      <c r="KT6" s="12">
        <f>KN6-KR6-KS6</f>
        <v/>
      </c>
      <c r="KU6" s="12">
        <f>KO6+KO5</f>
        <v/>
      </c>
      <c r="KV6" s="12">
        <f>KP6+KP5</f>
        <v/>
      </c>
      <c r="KW6" s="12">
        <f>KQ6+KQ5</f>
        <v/>
      </c>
      <c r="KX6" s="12">
        <f>SUM(KR$5:KR6)</f>
        <v/>
      </c>
      <c r="KY6" s="12">
        <f>SUM(KS$5:KS6)</f>
        <v/>
      </c>
      <c r="KZ6" s="12">
        <f>SUM(KT$5:KT6)</f>
        <v/>
      </c>
      <c r="LA6" s="12">
        <f>KU6+KV6+KW6+KX6+KY6+KZ6</f>
        <v/>
      </c>
      <c r="LB6" s="9">
        <f>KU6*BlendedPriceEssMonthly*KG6+KV6*BlendedPricePremMonthly*KG6+KW6*BlendedPriceEliteMonthly*KG6+KX6*BlendedPriceEssAnnual*KG6/12+KY6*BlendedPricePremAnnual*KG6/12+KZ6*BlendedPriceEliteAnnual*KG6/12</f>
        <v/>
      </c>
      <c r="LC6" s="9">
        <f>LB6*12</f>
        <v/>
      </c>
      <c r="LD6" s="12">
        <f>KU6*BlendedPriceEssMonthly*KG6+KV6*BlendedPricePremMonthly*KG6+KW6*BlendedPriceEliteMonthly*KG6</f>
        <v/>
      </c>
      <c r="LE6" s="12">
        <f>KR6*BlendedPriceEssAnnual*KG6+KS6*BlendedPricePremAnnual*KG6+KT6*BlendedPriceEliteAnnual*KG6</f>
        <v/>
      </c>
      <c r="LF6" s="12">
        <f>0+0+0</f>
        <v/>
      </c>
      <c r="LG6" s="9">
        <f>LD6+LE6+LF6</f>
        <v/>
      </c>
      <c r="LH6" s="12">
        <f>SUM(LG$5:LG6)</f>
        <v/>
      </c>
      <c r="LI6" s="12">
        <f>OR(LI5,IF(VATAgentMode,SUM($LG$5:$LG6)-SUM($LN$5:$LN6)&gt;=VATThreshold,SUM($LG$5:$LG6)&gt;=VATThreshold))</f>
        <v/>
      </c>
      <c r="LJ6" s="9">
        <f>IF(LI6,IF(VATAgentMode,LG6-((LG6-LN6)-(LG6-LN6)/(1+VATRate)),LG6/(1+VATRate)),LG6)</f>
        <v/>
      </c>
      <c r="LK6" s="12">
        <f>LG6-LJ6</f>
        <v/>
      </c>
      <c r="LL6" s="12">
        <f>IF(LI6=0,0,IF(KD6=1,SUMPRODUCT(--(($KE$5:$KE6=$KE6-1)*($KD$5:$KD6&gt;=10)*($KD$5:$KD6&lt;=12)),$LK$5:$LK6),IF(KD6=4,SUMPRODUCT(--(($KE$5:$KE6=$KE6)*($KD$5:$KD6&gt;=1)*($KD$5:$KD6&lt;=3)),$LK$5:$LK6),IF(KD6=7,SUMPRODUCT(--(($KE$5:$KE6=$KE6)*($KD$5:$KD6&gt;=4)*($KD$5:$KD6&lt;=6)),$LK$5:$LK6),IF(KD6=10,SUMPRODUCT(--(($KE$5:$KE6=$KE6)*($KD$5:$KD6&gt;=7)*($KD$5:$KD6&lt;=9)),$LK$5:$LK6),0)))))</f>
        <v/>
      </c>
      <c r="LM6" s="12">
        <f>LM5+LK6-LL6</f>
        <v/>
      </c>
      <c r="LN6" s="12">
        <f>IF(ProviderDelay&gt;=1,KU5*BlendedProvPayEss+KV5*BlendedProvPayPrem+KW5*BlendedProvPayElite+KX5*BlendedProvPayEss+KY5*BlendedProvPayPrem+KZ5*BlendedProvPayElite,KU6*BlendedProvPayEss+KV6*BlendedProvPayPrem+KW6*BlendedProvPayElite+KX6*BlendedProvPayEss+KY6*BlendedProvPayPrem+KZ6*BlendedProvPayElite)</f>
        <v/>
      </c>
      <c r="LO6" s="12">
        <f>LG6*PaymentFee</f>
        <v/>
      </c>
      <c r="LP6" s="12">
        <f>LA6*OpsAI</f>
        <v/>
      </c>
      <c r="LQ6" s="12">
        <f>MonthlyFixed</f>
        <v/>
      </c>
      <c r="LR6" s="12">
        <f>KK6*ReferralReward</f>
        <v/>
      </c>
      <c r="LS6" s="12">
        <f>KI6</f>
        <v/>
      </c>
      <c r="LT6" s="9">
        <f>LJ6-LN6-LO6-LP6-LQ6-LR6-LS6</f>
        <v/>
      </c>
      <c r="LU6" s="9">
        <f>LU5+LG6-(LN6+LO6+LP6+LQ6+LR6+LS6+LL6)</f>
        <v/>
      </c>
      <c r="LV6" s="12">
        <f>IF(LA6&gt;0,LB6/LA6,0)</f>
        <v/>
      </c>
      <c r="LW6" s="11">
        <f>IF(LA5&gt;0,MAX(0,(LA5+KL6-LA6)/LA5),0)</f>
        <v/>
      </c>
      <c r="LY6" s="12" t="n">
        <v>2</v>
      </c>
      <c r="LZ6" s="12">
        <f>MOD(LY6-1+LaunchMonth-1,12)+1</f>
        <v/>
      </c>
      <c r="MA6" s="12">
        <f>INT((LY6-1+LaunchMonth-1)/12)+1</f>
        <v/>
      </c>
      <c r="MB6" s="12">
        <f>VLOOKUP(LZ6,SeasonTable,2,FALSE)</f>
        <v/>
      </c>
      <c r="MC6" s="12">
        <f>(1+InflationRate)^INT((LY6-1)/12)</f>
        <v/>
      </c>
      <c r="MD6" s="11">
        <f>'Sens - Churn'!$A$17*VLOOKUP(LZ6,ChurnSeasonTable,4,FALSE)</f>
        <v/>
      </c>
      <c r="ME6" s="12">
        <f>MktFixed1_3</f>
        <v/>
      </c>
      <c r="MF6" s="12">
        <f>IF(ME6&gt;0,MAX(1,ROUND(ME6/CAC*MB6,0)),0)</f>
        <v/>
      </c>
      <c r="MG6" s="12">
        <f>IF(MF6&gt;0,ROUND(MF6*ReferralMix/(1-ReferralMix),0),0)</f>
        <v/>
      </c>
      <c r="MH6" s="12">
        <f>MF6+MG6</f>
        <v/>
      </c>
      <c r="MI6" s="12">
        <f>ROUND(MH6*(1-AnnualMix),0)</f>
        <v/>
      </c>
      <c r="MJ6" s="12">
        <f>MH6-MI6</f>
        <v/>
      </c>
      <c r="MK6" s="12">
        <f>ROUND(MI6*EssentialMix,0)</f>
        <v/>
      </c>
      <c r="ML6" s="12">
        <f>ROUND(MI6*PremiumMix,0)</f>
        <v/>
      </c>
      <c r="MM6" s="12">
        <f>MI6-MK6-ML6</f>
        <v/>
      </c>
      <c r="MN6" s="12">
        <f>ROUND(MJ6*EssentialMix,0)</f>
        <v/>
      </c>
      <c r="MO6" s="12">
        <f>ROUND(MJ6*PremiumMix,0)</f>
        <v/>
      </c>
      <c r="MP6" s="12">
        <f>MJ6-MN6-MO6</f>
        <v/>
      </c>
      <c r="MQ6" s="12">
        <f>MK6+MK5</f>
        <v/>
      </c>
      <c r="MR6" s="12">
        <f>ML6+ML5</f>
        <v/>
      </c>
      <c r="MS6" s="12">
        <f>MM6+MM5</f>
        <v/>
      </c>
      <c r="MT6" s="12">
        <f>SUM(MN$5:MN6)</f>
        <v/>
      </c>
      <c r="MU6" s="12">
        <f>SUM(MO$5:MO6)</f>
        <v/>
      </c>
      <c r="MV6" s="12">
        <f>SUM(MP$5:MP6)</f>
        <v/>
      </c>
      <c r="MW6" s="12">
        <f>MQ6+MR6+MS6+MT6+MU6+MV6</f>
        <v/>
      </c>
      <c r="MX6" s="9">
        <f>MQ6*BlendedPriceEssMonthly*MC6+MR6*BlendedPricePremMonthly*MC6+MS6*BlendedPriceEliteMonthly*MC6+MT6*BlendedPriceEssAnnual*MC6/12+MU6*BlendedPricePremAnnual*MC6/12+MV6*BlendedPriceEliteAnnual*MC6/12</f>
        <v/>
      </c>
      <c r="MY6" s="9">
        <f>MX6*12</f>
        <v/>
      </c>
      <c r="MZ6" s="12">
        <f>MQ6*BlendedPriceEssMonthly*MC6+MR6*BlendedPricePremMonthly*MC6+MS6*BlendedPriceEliteMonthly*MC6</f>
        <v/>
      </c>
      <c r="NA6" s="12">
        <f>MN6*BlendedPriceEssAnnual*MC6+MO6*BlendedPricePremAnnual*MC6+MP6*BlendedPriceEliteAnnual*MC6</f>
        <v/>
      </c>
      <c r="NB6" s="12">
        <f>0+0+0</f>
        <v/>
      </c>
      <c r="NC6" s="9">
        <f>MZ6+NA6+NB6</f>
        <v/>
      </c>
      <c r="ND6" s="12">
        <f>SUM(NC$5:NC6)</f>
        <v/>
      </c>
      <c r="NE6" s="12">
        <f>OR(NE5,IF(VATAgentMode,SUM($NC$5:$NC6)-SUM($NJ$5:$NJ6)&gt;=VATThreshold,SUM($NC$5:$NC6)&gt;=VATThreshold))</f>
        <v/>
      </c>
      <c r="NF6" s="9">
        <f>IF(NE6,IF(VATAgentMode,NC6-((NC6-NJ6)-(NC6-NJ6)/(1+VATRate)),NC6/(1+VATRate)),NC6)</f>
        <v/>
      </c>
      <c r="NG6" s="12">
        <f>NC6-NF6</f>
        <v/>
      </c>
      <c r="NH6" s="12">
        <f>IF(NE6=0,0,IF(LZ6=1,SUMPRODUCT(--(($MA$5:$MA6=$MA6-1)*($LZ$5:$LZ6&gt;=10)*($LZ$5:$LZ6&lt;=12)),$NG$5:$NG6),IF(LZ6=4,SUMPRODUCT(--(($MA$5:$MA6=$MA6)*($LZ$5:$LZ6&gt;=1)*($LZ$5:$LZ6&lt;=3)),$NG$5:$NG6),IF(LZ6=7,SUMPRODUCT(--(($MA$5:$MA6=$MA6)*($LZ$5:$LZ6&gt;=4)*($LZ$5:$LZ6&lt;=6)),$NG$5:$NG6),IF(LZ6=10,SUMPRODUCT(--(($MA$5:$MA6=$MA6)*($LZ$5:$LZ6&gt;=7)*($LZ$5:$LZ6&lt;=9)),$NG$5:$NG6),0)))))</f>
        <v/>
      </c>
      <c r="NI6" s="12">
        <f>NI5+NG6-NH6</f>
        <v/>
      </c>
      <c r="NJ6" s="12">
        <f>IF(ProviderDelay&gt;=1,MQ5*BlendedProvPayEss+MR5*BlendedProvPayPrem+MS5*BlendedProvPayElite+MT5*BlendedProvPayEss+MU5*BlendedProvPayPrem+MV5*BlendedProvPayElite,MQ6*BlendedProvPayEss+MR6*BlendedProvPayPrem+MS6*BlendedProvPayElite+MT6*BlendedProvPayEss+MU6*BlendedProvPayPrem+MV6*BlendedProvPayElite)</f>
        <v/>
      </c>
      <c r="NK6" s="12">
        <f>NC6*PaymentFee</f>
        <v/>
      </c>
      <c r="NL6" s="12">
        <f>MW6*OpsAI</f>
        <v/>
      </c>
      <c r="NM6" s="12">
        <f>MonthlyFixed</f>
        <v/>
      </c>
      <c r="NN6" s="12">
        <f>MG6*ReferralReward</f>
        <v/>
      </c>
      <c r="NO6" s="12">
        <f>ME6</f>
        <v/>
      </c>
      <c r="NP6" s="9">
        <f>NF6-NJ6-NK6-NL6-NM6-NN6-NO6</f>
        <v/>
      </c>
      <c r="NQ6" s="9">
        <f>NQ5+NC6-(NJ6+NK6+NL6+NM6+NN6+NO6+NH6)</f>
        <v/>
      </c>
      <c r="NR6" s="12">
        <f>IF(MW6&gt;0,MX6/MW6,0)</f>
        <v/>
      </c>
      <c r="NS6" s="11">
        <f>IF(MW5&gt;0,MAX(0,(MW5+MH6-MW6)/MW5),0)</f>
        <v/>
      </c>
      <c r="NU6" s="12" t="n">
        <v>2</v>
      </c>
      <c r="NV6" s="12">
        <f>MOD(NU6-1+LaunchMonth-1,12)+1</f>
        <v/>
      </c>
      <c r="NW6" s="12">
        <f>INT((NU6-1+LaunchMonth-1)/12)+1</f>
        <v/>
      </c>
      <c r="NX6" s="12">
        <f>VLOOKUP(NV6,SeasonTable,2,FALSE)</f>
        <v/>
      </c>
      <c r="NY6" s="12">
        <f>(1+InflationRate)^INT((NU6-1)/12)</f>
        <v/>
      </c>
      <c r="NZ6" s="11">
        <f>'Sens - Churn'!$A$18*VLOOKUP(NV6,ChurnSeasonTable,4,FALSE)</f>
        <v/>
      </c>
      <c r="OA6" s="12">
        <f>MktFixed1_3</f>
        <v/>
      </c>
      <c r="OB6" s="12">
        <f>IF(OA6&gt;0,MAX(1,ROUND(OA6/CAC*NX6,0)),0)</f>
        <v/>
      </c>
      <c r="OC6" s="12">
        <f>IF(OB6&gt;0,ROUND(OB6*ReferralMix/(1-ReferralMix),0),0)</f>
        <v/>
      </c>
      <c r="OD6" s="12">
        <f>OB6+OC6</f>
        <v/>
      </c>
      <c r="OE6" s="12">
        <f>ROUND(OD6*(1-AnnualMix),0)</f>
        <v/>
      </c>
      <c r="OF6" s="12">
        <f>OD6-OE6</f>
        <v/>
      </c>
      <c r="OG6" s="12">
        <f>ROUND(OE6*EssentialMix,0)</f>
        <v/>
      </c>
      <c r="OH6" s="12">
        <f>ROUND(OE6*PremiumMix,0)</f>
        <v/>
      </c>
      <c r="OI6" s="12">
        <f>OE6-OG6-OH6</f>
        <v/>
      </c>
      <c r="OJ6" s="12">
        <f>ROUND(OF6*EssentialMix,0)</f>
        <v/>
      </c>
      <c r="OK6" s="12">
        <f>ROUND(OF6*PremiumMix,0)</f>
        <v/>
      </c>
      <c r="OL6" s="12">
        <f>OF6-OJ6-OK6</f>
        <v/>
      </c>
      <c r="OM6" s="12">
        <f>OG6+OG5</f>
        <v/>
      </c>
      <c r="ON6" s="12">
        <f>OH6+OH5</f>
        <v/>
      </c>
      <c r="OO6" s="12">
        <f>OI6+OI5</f>
        <v/>
      </c>
      <c r="OP6" s="12">
        <f>SUM(OJ$5:OJ6)</f>
        <v/>
      </c>
      <c r="OQ6" s="12">
        <f>SUM(OK$5:OK6)</f>
        <v/>
      </c>
      <c r="OR6" s="12">
        <f>SUM(OL$5:OL6)</f>
        <v/>
      </c>
      <c r="OS6" s="12">
        <f>OM6+ON6+OO6+OP6+OQ6+OR6</f>
        <v/>
      </c>
      <c r="OT6" s="9">
        <f>OM6*BlendedPriceEssMonthly*NY6+ON6*BlendedPricePremMonthly*NY6+OO6*BlendedPriceEliteMonthly*NY6+OP6*BlendedPriceEssAnnual*NY6/12+OQ6*BlendedPricePremAnnual*NY6/12+OR6*BlendedPriceEliteAnnual*NY6/12</f>
        <v/>
      </c>
      <c r="OU6" s="9">
        <f>OT6*12</f>
        <v/>
      </c>
      <c r="OV6" s="12">
        <f>OM6*BlendedPriceEssMonthly*NY6+ON6*BlendedPricePremMonthly*NY6+OO6*BlendedPriceEliteMonthly*NY6</f>
        <v/>
      </c>
      <c r="OW6" s="12">
        <f>OJ6*BlendedPriceEssAnnual*NY6+OK6*BlendedPricePremAnnual*NY6+OL6*BlendedPriceEliteAnnual*NY6</f>
        <v/>
      </c>
      <c r="OX6" s="12">
        <f>0+0+0</f>
        <v/>
      </c>
      <c r="OY6" s="9">
        <f>OV6+OW6+OX6</f>
        <v/>
      </c>
      <c r="OZ6" s="12">
        <f>SUM(OY$5:OY6)</f>
        <v/>
      </c>
      <c r="PA6" s="12">
        <f>OR(PA5,IF(VATAgentMode,SUM($OY$5:$OY6)-SUM($PF$5:$PF6)&gt;=VATThreshold,SUM($OY$5:$OY6)&gt;=VATThreshold))</f>
        <v/>
      </c>
      <c r="PB6" s="9">
        <f>IF(PA6,IF(VATAgentMode,OY6-((OY6-PF6)-(OY6-PF6)/(1+VATRate)),OY6/(1+VATRate)),OY6)</f>
        <v/>
      </c>
      <c r="PC6" s="12">
        <f>OY6-PB6</f>
        <v/>
      </c>
      <c r="PD6" s="12">
        <f>IF(PA6=0,0,IF(NV6=1,SUMPRODUCT(--(($NW$5:$NW6=$NW6-1)*($NV$5:$NV6&gt;=10)*($NV$5:$NV6&lt;=12)),$PC$5:$PC6),IF(NV6=4,SUMPRODUCT(--(($NW$5:$NW6=$NW6)*($NV$5:$NV6&gt;=1)*($NV$5:$NV6&lt;=3)),$PC$5:$PC6),IF(NV6=7,SUMPRODUCT(--(($NW$5:$NW6=$NW6)*($NV$5:$NV6&gt;=4)*($NV$5:$NV6&lt;=6)),$PC$5:$PC6),IF(NV6=10,SUMPRODUCT(--(($NW$5:$NW6=$NW6)*($NV$5:$NV6&gt;=7)*($NV$5:$NV6&lt;=9)),$PC$5:$PC6),0)))))</f>
        <v/>
      </c>
      <c r="PE6" s="12">
        <f>PE5+PC6-PD6</f>
        <v/>
      </c>
      <c r="PF6" s="12">
        <f>IF(ProviderDelay&gt;=1,OM5*BlendedProvPayEss+ON5*BlendedProvPayPrem+OO5*BlendedProvPayElite+OP5*BlendedProvPayEss+OQ5*BlendedProvPayPrem+OR5*BlendedProvPayElite,OM6*BlendedProvPayEss+ON6*BlendedProvPayPrem+OO6*BlendedProvPayElite+OP6*BlendedProvPayEss+OQ6*BlendedProvPayPrem+OR6*BlendedProvPayElite)</f>
        <v/>
      </c>
      <c r="PG6" s="12">
        <f>OY6*PaymentFee</f>
        <v/>
      </c>
      <c r="PH6" s="12">
        <f>OS6*OpsAI</f>
        <v/>
      </c>
      <c r="PI6" s="12">
        <f>MonthlyFixed</f>
        <v/>
      </c>
      <c r="PJ6" s="12">
        <f>OC6*ReferralReward</f>
        <v/>
      </c>
      <c r="PK6" s="12">
        <f>OA6</f>
        <v/>
      </c>
      <c r="PL6" s="9">
        <f>PB6-PF6-PG6-PH6-PI6-PJ6-PK6</f>
        <v/>
      </c>
      <c r="PM6" s="9">
        <f>PM5+OY6-(PF6+PG6+PH6+PI6+PJ6+PK6+PD6)</f>
        <v/>
      </c>
      <c r="PN6" s="12">
        <f>IF(OS6&gt;0,OT6/OS6,0)</f>
        <v/>
      </c>
      <c r="PO6" s="11">
        <f>IF(OS5&gt;0,MAX(0,(OS5+OD6-OS6)/OS5),0)</f>
        <v/>
      </c>
      <c r="PQ6" s="12" t="n">
        <v>2</v>
      </c>
      <c r="PR6" s="12">
        <f>MOD(PQ6-1+LaunchMonth-1,12)+1</f>
        <v/>
      </c>
      <c r="PS6" s="12">
        <f>INT((PQ6-1+LaunchMonth-1)/12)+1</f>
        <v/>
      </c>
      <c r="PT6" s="12">
        <f>VLOOKUP(PR6,SeasonTable,2,FALSE)</f>
        <v/>
      </c>
      <c r="PU6" s="12">
        <f>(1+InflationRate)^INT((PQ6-1)/12)</f>
        <v/>
      </c>
      <c r="PV6" s="11">
        <f>'Sens - Churn'!$A$19*VLOOKUP(PR6,ChurnSeasonTable,4,FALSE)</f>
        <v/>
      </c>
      <c r="PW6" s="12">
        <f>MktFixed1_3</f>
        <v/>
      </c>
      <c r="PX6" s="12">
        <f>IF(PW6&gt;0,MAX(1,ROUND(PW6/CAC*PT6,0)),0)</f>
        <v/>
      </c>
      <c r="PY6" s="12">
        <f>IF(PX6&gt;0,ROUND(PX6*ReferralMix/(1-ReferralMix),0),0)</f>
        <v/>
      </c>
      <c r="PZ6" s="12">
        <f>PX6+PY6</f>
        <v/>
      </c>
      <c r="QA6" s="12">
        <f>ROUND(PZ6*(1-AnnualMix),0)</f>
        <v/>
      </c>
      <c r="QB6" s="12">
        <f>PZ6-QA6</f>
        <v/>
      </c>
      <c r="QC6" s="12">
        <f>ROUND(QA6*EssentialMix,0)</f>
        <v/>
      </c>
      <c r="QD6" s="12">
        <f>ROUND(QA6*PremiumMix,0)</f>
        <v/>
      </c>
      <c r="QE6" s="12">
        <f>QA6-QC6-QD6</f>
        <v/>
      </c>
      <c r="QF6" s="12">
        <f>ROUND(QB6*EssentialMix,0)</f>
        <v/>
      </c>
      <c r="QG6" s="12">
        <f>ROUND(QB6*PremiumMix,0)</f>
        <v/>
      </c>
      <c r="QH6" s="12">
        <f>QB6-QF6-QG6</f>
        <v/>
      </c>
      <c r="QI6" s="12">
        <f>QC6+QC5</f>
        <v/>
      </c>
      <c r="QJ6" s="12">
        <f>QD6+QD5</f>
        <v/>
      </c>
      <c r="QK6" s="12">
        <f>QE6+QE5</f>
        <v/>
      </c>
      <c r="QL6" s="12">
        <f>SUM(QF$5:QF6)</f>
        <v/>
      </c>
      <c r="QM6" s="12">
        <f>SUM(QG$5:QG6)</f>
        <v/>
      </c>
      <c r="QN6" s="12">
        <f>SUM(QH$5:QH6)</f>
        <v/>
      </c>
      <c r="QO6" s="12">
        <f>QI6+QJ6+QK6+QL6+QM6+QN6</f>
        <v/>
      </c>
      <c r="QP6" s="9">
        <f>QI6*BlendedPriceEssMonthly*PU6+QJ6*BlendedPricePremMonthly*PU6+QK6*BlendedPriceEliteMonthly*PU6+QL6*BlendedPriceEssAnnual*PU6/12+QM6*BlendedPricePremAnnual*PU6/12+QN6*BlendedPriceEliteAnnual*PU6/12</f>
        <v/>
      </c>
      <c r="QQ6" s="9">
        <f>QP6*12</f>
        <v/>
      </c>
      <c r="QR6" s="12">
        <f>QI6*BlendedPriceEssMonthly*PU6+QJ6*BlendedPricePremMonthly*PU6+QK6*BlendedPriceEliteMonthly*PU6</f>
        <v/>
      </c>
      <c r="QS6" s="12">
        <f>QF6*BlendedPriceEssAnnual*PU6+QG6*BlendedPricePremAnnual*PU6+QH6*BlendedPriceEliteAnnual*PU6</f>
        <v/>
      </c>
      <c r="QT6" s="12">
        <f>0+0+0</f>
        <v/>
      </c>
      <c r="QU6" s="9">
        <f>QR6+QS6+QT6</f>
        <v/>
      </c>
      <c r="QV6" s="12">
        <f>SUM(QU$5:QU6)</f>
        <v/>
      </c>
      <c r="QW6" s="12">
        <f>OR(QW5,IF(VATAgentMode,SUM($QU$5:$QU6)-SUM($RB$5:$RB6)&gt;=VATThreshold,SUM($QU$5:$QU6)&gt;=VATThreshold))</f>
        <v/>
      </c>
      <c r="QX6" s="9">
        <f>IF(QW6,IF(VATAgentMode,QU6-((QU6-RB6)-(QU6-RB6)/(1+VATRate)),QU6/(1+VATRate)),QU6)</f>
        <v/>
      </c>
      <c r="QY6" s="12">
        <f>QU6-QX6</f>
        <v/>
      </c>
      <c r="QZ6" s="12">
        <f>IF(QW6=0,0,IF(PR6=1,SUMPRODUCT(--(($PS$5:$PS6=$PS6-1)*($PR$5:$PR6&gt;=10)*($PR$5:$PR6&lt;=12)),$QY$5:$QY6),IF(PR6=4,SUMPRODUCT(--(($PS$5:$PS6=$PS6)*($PR$5:$PR6&gt;=1)*($PR$5:$PR6&lt;=3)),$QY$5:$QY6),IF(PR6=7,SUMPRODUCT(--(($PS$5:$PS6=$PS6)*($PR$5:$PR6&gt;=4)*($PR$5:$PR6&lt;=6)),$QY$5:$QY6),IF(PR6=10,SUMPRODUCT(--(($PS$5:$PS6=$PS6)*($PR$5:$PR6&gt;=7)*($PR$5:$PR6&lt;=9)),$QY$5:$QY6),0)))))</f>
        <v/>
      </c>
      <c r="RA6" s="12">
        <f>RA5+QY6-QZ6</f>
        <v/>
      </c>
      <c r="RB6" s="12">
        <f>IF(ProviderDelay&gt;=1,QI5*BlendedProvPayEss+QJ5*BlendedProvPayPrem+QK5*BlendedProvPayElite+QL5*BlendedProvPayEss+QM5*BlendedProvPayPrem+QN5*BlendedProvPayElite,QI6*BlendedProvPayEss+QJ6*BlendedProvPayPrem+QK6*BlendedProvPayElite+QL6*BlendedProvPayEss+QM6*BlendedProvPayPrem+QN6*BlendedProvPayElite)</f>
        <v/>
      </c>
      <c r="RC6" s="12">
        <f>QU6*PaymentFee</f>
        <v/>
      </c>
      <c r="RD6" s="12">
        <f>QO6*OpsAI</f>
        <v/>
      </c>
      <c r="RE6" s="12">
        <f>MonthlyFixed</f>
        <v/>
      </c>
      <c r="RF6" s="12">
        <f>PY6*ReferralReward</f>
        <v/>
      </c>
      <c r="RG6" s="12">
        <f>PW6</f>
        <v/>
      </c>
      <c r="RH6" s="9">
        <f>QX6-RB6-RC6-RD6-RE6-RF6-RG6</f>
        <v/>
      </c>
      <c r="RI6" s="9">
        <f>RI5+QU6-(RB6+RC6+RD6+RE6+RF6+RG6+QZ6)</f>
        <v/>
      </c>
      <c r="RJ6" s="12">
        <f>IF(QO6&gt;0,QP6/QO6,0)</f>
        <v/>
      </c>
      <c r="RK6" s="11">
        <f>IF(QO5&gt;0,MAX(0,(QO5+PZ6-QO6)/QO5),0)</f>
        <v/>
      </c>
      <c r="RM6" s="12" t="n">
        <v>2</v>
      </c>
      <c r="RN6" s="12">
        <f>MOD(RM6-1+LaunchMonth-1,12)+1</f>
        <v/>
      </c>
      <c r="RO6" s="12">
        <f>INT((RM6-1+LaunchMonth-1)/12)+1</f>
        <v/>
      </c>
      <c r="RP6" s="12">
        <f>VLOOKUP(RN6,SeasonTable,2,FALSE)</f>
        <v/>
      </c>
      <c r="RQ6" s="12">
        <f>(1+InflationRate)^INT((RM6-1)/12)</f>
        <v/>
      </c>
      <c r="RR6" s="11">
        <f>'Sens - Churn'!$A$20*VLOOKUP(RN6,ChurnSeasonTable,4,FALSE)</f>
        <v/>
      </c>
      <c r="RS6" s="12">
        <f>MktFixed1_3</f>
        <v/>
      </c>
      <c r="RT6" s="12">
        <f>IF(RS6&gt;0,MAX(1,ROUND(RS6/CAC*RP6,0)),0)</f>
        <v/>
      </c>
      <c r="RU6" s="12">
        <f>IF(RT6&gt;0,ROUND(RT6*ReferralMix/(1-ReferralMix),0),0)</f>
        <v/>
      </c>
      <c r="RV6" s="12">
        <f>RT6+RU6</f>
        <v/>
      </c>
      <c r="RW6" s="12">
        <f>ROUND(RV6*(1-AnnualMix),0)</f>
        <v/>
      </c>
      <c r="RX6" s="12">
        <f>RV6-RW6</f>
        <v/>
      </c>
      <c r="RY6" s="12">
        <f>ROUND(RW6*EssentialMix,0)</f>
        <v/>
      </c>
      <c r="RZ6" s="12">
        <f>ROUND(RW6*PremiumMix,0)</f>
        <v/>
      </c>
      <c r="SA6" s="12">
        <f>RW6-RY6-RZ6</f>
        <v/>
      </c>
      <c r="SB6" s="12">
        <f>ROUND(RX6*EssentialMix,0)</f>
        <v/>
      </c>
      <c r="SC6" s="12">
        <f>ROUND(RX6*PremiumMix,0)</f>
        <v/>
      </c>
      <c r="SD6" s="12">
        <f>RX6-SB6-SC6</f>
        <v/>
      </c>
      <c r="SE6" s="12">
        <f>RY6+RY5</f>
        <v/>
      </c>
      <c r="SF6" s="12">
        <f>RZ6+RZ5</f>
        <v/>
      </c>
      <c r="SG6" s="12">
        <f>SA6+SA5</f>
        <v/>
      </c>
      <c r="SH6" s="12">
        <f>SUM(SB$5:SB6)</f>
        <v/>
      </c>
      <c r="SI6" s="12">
        <f>SUM(SC$5:SC6)</f>
        <v/>
      </c>
      <c r="SJ6" s="12">
        <f>SUM(SD$5:SD6)</f>
        <v/>
      </c>
      <c r="SK6" s="12">
        <f>SE6+SF6+SG6+SH6+SI6+SJ6</f>
        <v/>
      </c>
      <c r="SL6" s="9">
        <f>SE6*BlendedPriceEssMonthly*RQ6+SF6*BlendedPricePremMonthly*RQ6+SG6*BlendedPriceEliteMonthly*RQ6+SH6*BlendedPriceEssAnnual*RQ6/12+SI6*BlendedPricePremAnnual*RQ6/12+SJ6*BlendedPriceEliteAnnual*RQ6/12</f>
        <v/>
      </c>
      <c r="SM6" s="9">
        <f>SL6*12</f>
        <v/>
      </c>
      <c r="SN6" s="12">
        <f>SE6*BlendedPriceEssMonthly*RQ6+SF6*BlendedPricePremMonthly*RQ6+SG6*BlendedPriceEliteMonthly*RQ6</f>
        <v/>
      </c>
      <c r="SO6" s="12">
        <f>SB6*BlendedPriceEssAnnual*RQ6+SC6*BlendedPricePremAnnual*RQ6+SD6*BlendedPriceEliteAnnual*RQ6</f>
        <v/>
      </c>
      <c r="SP6" s="12">
        <f>0+0+0</f>
        <v/>
      </c>
      <c r="SQ6" s="9">
        <f>SN6+SO6+SP6</f>
        <v/>
      </c>
      <c r="SR6" s="12">
        <f>SUM(SQ$5:SQ6)</f>
        <v/>
      </c>
      <c r="SS6" s="12">
        <f>OR(SS5,IF(VATAgentMode,SUM($SQ$5:$SQ6)-SUM($SX$5:$SX6)&gt;=VATThreshold,SUM($SQ$5:$SQ6)&gt;=VATThreshold))</f>
        <v/>
      </c>
      <c r="ST6" s="9">
        <f>IF(SS6,IF(VATAgentMode,SQ6-((SQ6-SX6)-(SQ6-SX6)/(1+VATRate)),SQ6/(1+VATRate)),SQ6)</f>
        <v/>
      </c>
      <c r="SU6" s="12">
        <f>SQ6-ST6</f>
        <v/>
      </c>
      <c r="SV6" s="12">
        <f>IF(SS6=0,0,IF(RN6=1,SUMPRODUCT(--(($RO$5:$RO6=$RO6-1)*($RN$5:$RN6&gt;=10)*($RN$5:$RN6&lt;=12)),$SU$5:$SU6),IF(RN6=4,SUMPRODUCT(--(($RO$5:$RO6=$RO6)*($RN$5:$RN6&gt;=1)*($RN$5:$RN6&lt;=3)),$SU$5:$SU6),IF(RN6=7,SUMPRODUCT(--(($RO$5:$RO6=$RO6)*($RN$5:$RN6&gt;=4)*($RN$5:$RN6&lt;=6)),$SU$5:$SU6),IF(RN6=10,SUMPRODUCT(--(($RO$5:$RO6=$RO6)*($RN$5:$RN6&gt;=7)*($RN$5:$RN6&lt;=9)),$SU$5:$SU6),0)))))</f>
        <v/>
      </c>
      <c r="SW6" s="12">
        <f>SW5+SU6-SV6</f>
        <v/>
      </c>
      <c r="SX6" s="12">
        <f>IF(ProviderDelay&gt;=1,SE5*BlendedProvPayEss+SF5*BlendedProvPayPrem+SG5*BlendedProvPayElite+SH5*BlendedProvPayEss+SI5*BlendedProvPayPrem+SJ5*BlendedProvPayElite,SE6*BlendedProvPayEss+SF6*BlendedProvPayPrem+SG6*BlendedProvPayElite+SH6*BlendedProvPayEss+SI6*BlendedProvPayPrem+SJ6*BlendedProvPayElite)</f>
        <v/>
      </c>
      <c r="SY6" s="12">
        <f>SQ6*PaymentFee</f>
        <v/>
      </c>
      <c r="SZ6" s="12">
        <f>SK6*OpsAI</f>
        <v/>
      </c>
      <c r="TA6" s="12">
        <f>MonthlyFixed</f>
        <v/>
      </c>
      <c r="TB6" s="12">
        <f>RU6*ReferralReward</f>
        <v/>
      </c>
      <c r="TC6" s="12">
        <f>RS6</f>
        <v/>
      </c>
      <c r="TD6" s="9">
        <f>ST6-SX6-SY6-SZ6-TA6-TB6-TC6</f>
        <v/>
      </c>
      <c r="TE6" s="9">
        <f>TE5+SQ6-(SX6+SY6+SZ6+TA6+TB6+TC6+SV6)</f>
        <v/>
      </c>
      <c r="TF6" s="12">
        <f>IF(SK6&gt;0,SL6/SK6,0)</f>
        <v/>
      </c>
      <c r="TG6" s="11">
        <f>IF(SK5&gt;0,MAX(0,(SK5+RV6-SK6)/SK5),0)</f>
        <v/>
      </c>
      <c r="TI6" s="12" t="n">
        <v>2</v>
      </c>
      <c r="TJ6" s="12">
        <f>MOD(TI6-1+LaunchMonth-1,12)+1</f>
        <v/>
      </c>
      <c r="TK6" s="12">
        <f>INT((TI6-1+LaunchMonth-1)/12)+1</f>
        <v/>
      </c>
      <c r="TL6" s="12">
        <f>VLOOKUP(TJ6,SeasonTable,2,FALSE)</f>
        <v/>
      </c>
      <c r="TM6" s="12">
        <f>(1+InflationRate)^INT((TI6-1)/12)</f>
        <v/>
      </c>
      <c r="TN6" s="11">
        <f>'Sens - Churn'!$A$21*VLOOKUP(TJ6,ChurnSeasonTable,4,FALSE)</f>
        <v/>
      </c>
      <c r="TO6" s="12">
        <f>MktFixed1_3</f>
        <v/>
      </c>
      <c r="TP6" s="12">
        <f>IF(TO6&gt;0,MAX(1,ROUND(TO6/CAC*TL6,0)),0)</f>
        <v/>
      </c>
      <c r="TQ6" s="12">
        <f>IF(TP6&gt;0,ROUND(TP6*ReferralMix/(1-ReferralMix),0),0)</f>
        <v/>
      </c>
      <c r="TR6" s="12">
        <f>TP6+TQ6</f>
        <v/>
      </c>
      <c r="TS6" s="12">
        <f>ROUND(TR6*(1-AnnualMix),0)</f>
        <v/>
      </c>
      <c r="TT6" s="12">
        <f>TR6-TS6</f>
        <v/>
      </c>
      <c r="TU6" s="12">
        <f>ROUND(TS6*EssentialMix,0)</f>
        <v/>
      </c>
      <c r="TV6" s="12">
        <f>ROUND(TS6*PremiumMix,0)</f>
        <v/>
      </c>
      <c r="TW6" s="12">
        <f>TS6-TU6-TV6</f>
        <v/>
      </c>
      <c r="TX6" s="12">
        <f>ROUND(TT6*EssentialMix,0)</f>
        <v/>
      </c>
      <c r="TY6" s="12">
        <f>ROUND(TT6*PremiumMix,0)</f>
        <v/>
      </c>
      <c r="TZ6" s="12">
        <f>TT6-TX6-TY6</f>
        <v/>
      </c>
      <c r="UA6" s="12">
        <f>TU6+TU5</f>
        <v/>
      </c>
      <c r="UB6" s="12">
        <f>TV6+TV5</f>
        <v/>
      </c>
      <c r="UC6" s="12">
        <f>TW6+TW5</f>
        <v/>
      </c>
      <c r="UD6" s="12">
        <f>SUM(TX$5:TX6)</f>
        <v/>
      </c>
      <c r="UE6" s="12">
        <f>SUM(TY$5:TY6)</f>
        <v/>
      </c>
      <c r="UF6" s="12">
        <f>SUM(TZ$5:TZ6)</f>
        <v/>
      </c>
      <c r="UG6" s="12">
        <f>UA6+UB6+UC6+UD6+UE6+UF6</f>
        <v/>
      </c>
      <c r="UH6" s="9">
        <f>UA6*BlendedPriceEssMonthly*TM6+UB6*BlendedPricePremMonthly*TM6+UC6*BlendedPriceEliteMonthly*TM6+UD6*BlendedPriceEssAnnual*TM6/12+UE6*BlendedPricePremAnnual*TM6/12+UF6*BlendedPriceEliteAnnual*TM6/12</f>
        <v/>
      </c>
      <c r="UI6" s="9">
        <f>UH6*12</f>
        <v/>
      </c>
      <c r="UJ6" s="12">
        <f>UA6*BlendedPriceEssMonthly*TM6+UB6*BlendedPricePremMonthly*TM6+UC6*BlendedPriceEliteMonthly*TM6</f>
        <v/>
      </c>
      <c r="UK6" s="12">
        <f>TX6*BlendedPriceEssAnnual*TM6+TY6*BlendedPricePremAnnual*TM6+TZ6*BlendedPriceEliteAnnual*TM6</f>
        <v/>
      </c>
      <c r="UL6" s="12">
        <f>0+0+0</f>
        <v/>
      </c>
      <c r="UM6" s="9">
        <f>UJ6+UK6+UL6</f>
        <v/>
      </c>
      <c r="UN6" s="12">
        <f>SUM(UM$5:UM6)</f>
        <v/>
      </c>
      <c r="UO6" s="12">
        <f>OR(UO5,IF(VATAgentMode,SUM($UM$5:$UM6)-SUM($UT$5:$UT6)&gt;=VATThreshold,SUM($UM$5:$UM6)&gt;=VATThreshold))</f>
        <v/>
      </c>
      <c r="UP6" s="9">
        <f>IF(UO6,IF(VATAgentMode,UM6-((UM6-UT6)-(UM6-UT6)/(1+VATRate)),UM6/(1+VATRate)),UM6)</f>
        <v/>
      </c>
      <c r="UQ6" s="12">
        <f>UM6-UP6</f>
        <v/>
      </c>
      <c r="UR6" s="12">
        <f>IF(UO6=0,0,IF(TJ6=1,SUMPRODUCT(--(($TK$5:$TK6=$TK6-1)*($TJ$5:$TJ6&gt;=10)*($TJ$5:$TJ6&lt;=12)),$UQ$5:$UQ6),IF(TJ6=4,SUMPRODUCT(--(($TK$5:$TK6=$TK6)*($TJ$5:$TJ6&gt;=1)*($TJ$5:$TJ6&lt;=3)),$UQ$5:$UQ6),IF(TJ6=7,SUMPRODUCT(--(($TK$5:$TK6=$TK6)*($TJ$5:$TJ6&gt;=4)*($TJ$5:$TJ6&lt;=6)),$UQ$5:$UQ6),IF(TJ6=10,SUMPRODUCT(--(($TK$5:$TK6=$TK6)*($TJ$5:$TJ6&gt;=7)*($TJ$5:$TJ6&lt;=9)),$UQ$5:$UQ6),0)))))</f>
        <v/>
      </c>
      <c r="US6" s="12">
        <f>US5+UQ6-UR6</f>
        <v/>
      </c>
      <c r="UT6" s="12">
        <f>IF(ProviderDelay&gt;=1,UA5*BlendedProvPayEss+UB5*BlendedProvPayPrem+UC5*BlendedProvPayElite+UD5*BlendedProvPayEss+UE5*BlendedProvPayPrem+UF5*BlendedProvPayElite,UA6*BlendedProvPayEss+UB6*BlendedProvPayPrem+UC6*BlendedProvPayElite+UD6*BlendedProvPayEss+UE6*BlendedProvPayPrem+UF6*BlendedProvPayElite)</f>
        <v/>
      </c>
      <c r="UU6" s="12">
        <f>UM6*PaymentFee</f>
        <v/>
      </c>
      <c r="UV6" s="12">
        <f>UG6*OpsAI</f>
        <v/>
      </c>
      <c r="UW6" s="12">
        <f>MonthlyFixed</f>
        <v/>
      </c>
      <c r="UX6" s="12">
        <f>TQ6*ReferralReward</f>
        <v/>
      </c>
      <c r="UY6" s="12">
        <f>TO6</f>
        <v/>
      </c>
      <c r="UZ6" s="9">
        <f>UP6-UT6-UU6-UV6-UW6-UX6-UY6</f>
        <v/>
      </c>
      <c r="VA6" s="9">
        <f>VA5+UM6-(UT6+UU6+UV6+UW6+UX6+UY6+UR6)</f>
        <v/>
      </c>
      <c r="VB6" s="12">
        <f>IF(UG6&gt;0,UH6/UG6,0)</f>
        <v/>
      </c>
      <c r="VC6" s="11">
        <f>IF(UG5&gt;0,MAX(0,(UG5+TR6-UG6)/UG5),0)</f>
        <v/>
      </c>
      <c r="VE6" s="12" t="n">
        <v>2</v>
      </c>
      <c r="VF6" s="12">
        <f>MOD(VE6-1+LaunchMonth-1,12)+1</f>
        <v/>
      </c>
      <c r="VG6" s="12">
        <f>INT((VE6-1+LaunchMonth-1)/12)+1</f>
        <v/>
      </c>
      <c r="VH6" s="12">
        <f>VLOOKUP(VF6,SeasonTable,2,FALSE)</f>
        <v/>
      </c>
      <c r="VI6" s="12">
        <f>(1+InflationRate)^INT((VE6-1)/12)</f>
        <v/>
      </c>
      <c r="VJ6" s="11">
        <f>MonthlyChurn*VLOOKUP(VF6,ChurnSeasonTable,4,FALSE)</f>
        <v/>
      </c>
      <c r="VK6" s="12">
        <f>MktFixed1_3</f>
        <v/>
      </c>
      <c r="VL6" s="12">
        <f>IF(VK6&gt;0,MAX(1,ROUND(VK6/CAC*VH6,0)),0)</f>
        <v/>
      </c>
      <c r="VM6" s="12">
        <f>IF(VL6&gt;0,ROUND(VL6*ReferralMix/(1-ReferralMix),0),0)</f>
        <v/>
      </c>
      <c r="VN6" s="12">
        <f>VL6+VM6</f>
        <v/>
      </c>
      <c r="VO6" s="12">
        <f>ROUND(VN6*(1-'Sens - Annual Mix'!$A$9),0)</f>
        <v/>
      </c>
      <c r="VP6" s="12">
        <f>VN6-VO6</f>
        <v/>
      </c>
      <c r="VQ6" s="12">
        <f>ROUND(VO6*EssentialMix,0)</f>
        <v/>
      </c>
      <c r="VR6" s="12">
        <f>ROUND(VO6*PremiumMix,0)</f>
        <v/>
      </c>
      <c r="VS6" s="12">
        <f>VO6-VQ6-VR6</f>
        <v/>
      </c>
      <c r="VT6" s="12">
        <f>ROUND(VP6*EssentialMix,0)</f>
        <v/>
      </c>
      <c r="VU6" s="12">
        <f>ROUND(VP6*PremiumMix,0)</f>
        <v/>
      </c>
      <c r="VV6" s="12">
        <f>VP6-VT6-VU6</f>
        <v/>
      </c>
      <c r="VW6" s="12">
        <f>VQ6+VQ5</f>
        <v/>
      </c>
      <c r="VX6" s="12">
        <f>VR6+VR5</f>
        <v/>
      </c>
      <c r="VY6" s="12">
        <f>VS6+VS5</f>
        <v/>
      </c>
      <c r="VZ6" s="12">
        <f>SUM(VT$5:VT6)</f>
        <v/>
      </c>
      <c r="WA6" s="12">
        <f>SUM(VU$5:VU6)</f>
        <v/>
      </c>
      <c r="WB6" s="12">
        <f>SUM(VV$5:VV6)</f>
        <v/>
      </c>
      <c r="WC6" s="12">
        <f>VW6+VX6+VY6+VZ6+WA6+WB6</f>
        <v/>
      </c>
      <c r="WD6" s="9">
        <f>VW6*BlendedPriceEssMonthly*VI6+VX6*BlendedPricePremMonthly*VI6+VY6*BlendedPriceEliteMonthly*VI6+VZ6*BlendedPriceEssAnnual*VI6/12+WA6*BlendedPricePremAnnual*VI6/12+WB6*BlendedPriceEliteAnnual*VI6/12</f>
        <v/>
      </c>
      <c r="WE6" s="9">
        <f>WD6*12</f>
        <v/>
      </c>
      <c r="WF6" s="12">
        <f>VW6*BlendedPriceEssMonthly*VI6+VX6*BlendedPricePremMonthly*VI6+VY6*BlendedPriceEliteMonthly*VI6</f>
        <v/>
      </c>
      <c r="WG6" s="12">
        <f>VT6*BlendedPriceEssAnnual*VI6+VU6*BlendedPricePremAnnual*VI6+VV6*BlendedPriceEliteAnnual*VI6</f>
        <v/>
      </c>
      <c r="WH6" s="12">
        <f>0+0+0</f>
        <v/>
      </c>
      <c r="WI6" s="9">
        <f>WF6+WG6+WH6</f>
        <v/>
      </c>
      <c r="WJ6" s="12">
        <f>SUM(WI$5:WI6)</f>
        <v/>
      </c>
      <c r="WK6" s="12">
        <f>OR(WK5,IF(VATAgentMode,SUM($WI$5:$WI6)-SUM($WP$5:$WP6)&gt;=VATThreshold,SUM($WI$5:$WI6)&gt;=VATThreshold))</f>
        <v/>
      </c>
      <c r="WL6" s="9">
        <f>IF(WK6,IF(VATAgentMode,WI6-((WI6-WP6)-(WI6-WP6)/(1+VATRate)),WI6/(1+VATRate)),WI6)</f>
        <v/>
      </c>
      <c r="WM6" s="12">
        <f>WI6-WL6</f>
        <v/>
      </c>
      <c r="WN6" s="12">
        <f>IF(WK6=0,0,IF(VF6=1,SUMPRODUCT(--(($VG$5:$VG6=$VG6-1)*($VF$5:$VF6&gt;=10)*($VF$5:$VF6&lt;=12)),$WM$5:$WM6),IF(VF6=4,SUMPRODUCT(--(($VG$5:$VG6=$VG6)*($VF$5:$VF6&gt;=1)*($VF$5:$VF6&lt;=3)),$WM$5:$WM6),IF(VF6=7,SUMPRODUCT(--(($VG$5:$VG6=$VG6)*($VF$5:$VF6&gt;=4)*($VF$5:$VF6&lt;=6)),$WM$5:$WM6),IF(VF6=10,SUMPRODUCT(--(($VG$5:$VG6=$VG6)*($VF$5:$VF6&gt;=7)*($VF$5:$VF6&lt;=9)),$WM$5:$WM6),0)))))</f>
        <v/>
      </c>
      <c r="WO6" s="12">
        <f>WO5+WM6-WN6</f>
        <v/>
      </c>
      <c r="WP6" s="12">
        <f>IF(ProviderDelay&gt;=1,VW5*BlendedProvPayEss+VX5*BlendedProvPayPrem+VY5*BlendedProvPayElite+VZ5*BlendedProvPayEss+WA5*BlendedProvPayPrem+WB5*BlendedProvPayElite,VW6*BlendedProvPayEss+VX6*BlendedProvPayPrem+VY6*BlendedProvPayElite+VZ6*BlendedProvPayEss+WA6*BlendedProvPayPrem+WB6*BlendedProvPayElite)</f>
        <v/>
      </c>
      <c r="WQ6" s="12">
        <f>WI6*PaymentFee</f>
        <v/>
      </c>
      <c r="WR6" s="12">
        <f>WC6*OpsAI</f>
        <v/>
      </c>
      <c r="WS6" s="12">
        <f>MonthlyFixed</f>
        <v/>
      </c>
      <c r="WT6" s="12">
        <f>VM6*ReferralReward</f>
        <v/>
      </c>
      <c r="WU6" s="12">
        <f>VK6</f>
        <v/>
      </c>
      <c r="WV6" s="9">
        <f>WL6-WP6-WQ6-WR6-WS6-WT6-WU6</f>
        <v/>
      </c>
      <c r="WW6" s="9">
        <f>WW5+WI6-(WP6+WQ6+WR6+WS6+WT6+WU6+WN6)</f>
        <v/>
      </c>
      <c r="WX6" s="12">
        <f>IF(WC6&gt;0,WD6/WC6,0)</f>
        <v/>
      </c>
      <c r="WY6" s="11">
        <f>IF(WC5&gt;0,MAX(0,(WC5+VN6-WC6)/WC5),0)</f>
        <v/>
      </c>
      <c r="XA6" s="12" t="n">
        <v>2</v>
      </c>
      <c r="XB6" s="12">
        <f>MOD(XA6-1+LaunchMonth-1,12)+1</f>
        <v/>
      </c>
      <c r="XC6" s="12">
        <f>INT((XA6-1+LaunchMonth-1)/12)+1</f>
        <v/>
      </c>
      <c r="XD6" s="12">
        <f>VLOOKUP(XB6,SeasonTable,2,FALSE)</f>
        <v/>
      </c>
      <c r="XE6" s="12">
        <f>(1+InflationRate)^INT((XA6-1)/12)</f>
        <v/>
      </c>
      <c r="XF6" s="11">
        <f>MonthlyChurn*VLOOKUP(XB6,ChurnSeasonTable,4,FALSE)</f>
        <v/>
      </c>
      <c r="XG6" s="12">
        <f>MktFixed1_3</f>
        <v/>
      </c>
      <c r="XH6" s="12">
        <f>IF(XG6&gt;0,MAX(1,ROUND(XG6/CAC*XD6,0)),0)</f>
        <v/>
      </c>
      <c r="XI6" s="12">
        <f>IF(XH6&gt;0,ROUND(XH6*ReferralMix/(1-ReferralMix),0),0)</f>
        <v/>
      </c>
      <c r="XJ6" s="12">
        <f>XH6+XI6</f>
        <v/>
      </c>
      <c r="XK6" s="12">
        <f>ROUND(XJ6*(1-'Sens - Annual Mix'!$A$10),0)</f>
        <v/>
      </c>
      <c r="XL6" s="12">
        <f>XJ6-XK6</f>
        <v/>
      </c>
      <c r="XM6" s="12">
        <f>ROUND(XK6*EssentialMix,0)</f>
        <v/>
      </c>
      <c r="XN6" s="12">
        <f>ROUND(XK6*PremiumMix,0)</f>
        <v/>
      </c>
      <c r="XO6" s="12">
        <f>XK6-XM6-XN6</f>
        <v/>
      </c>
      <c r="XP6" s="12">
        <f>ROUND(XL6*EssentialMix,0)</f>
        <v/>
      </c>
      <c r="XQ6" s="12">
        <f>ROUND(XL6*PremiumMix,0)</f>
        <v/>
      </c>
      <c r="XR6" s="12">
        <f>XL6-XP6-XQ6</f>
        <v/>
      </c>
      <c r="XS6" s="12">
        <f>XM6+XM5</f>
        <v/>
      </c>
      <c r="XT6" s="12">
        <f>XN6+XN5</f>
        <v/>
      </c>
      <c r="XU6" s="12">
        <f>XO6+XO5</f>
        <v/>
      </c>
      <c r="XV6" s="12">
        <f>SUM(XP$5:XP6)</f>
        <v/>
      </c>
      <c r="XW6" s="12">
        <f>SUM(XQ$5:XQ6)</f>
        <v/>
      </c>
      <c r="XX6" s="12">
        <f>SUM(XR$5:XR6)</f>
        <v/>
      </c>
      <c r="XY6" s="12">
        <f>XS6+XT6+XU6+XV6+XW6+XX6</f>
        <v/>
      </c>
      <c r="XZ6" s="9">
        <f>XS6*BlendedPriceEssMonthly*XE6+XT6*BlendedPricePremMonthly*XE6+XU6*BlendedPriceEliteMonthly*XE6+XV6*BlendedPriceEssAnnual*XE6/12+XW6*BlendedPricePremAnnual*XE6/12+XX6*BlendedPriceEliteAnnual*XE6/12</f>
        <v/>
      </c>
      <c r="YA6" s="9">
        <f>XZ6*12</f>
        <v/>
      </c>
      <c r="YB6" s="12">
        <f>XS6*BlendedPriceEssMonthly*XE6+XT6*BlendedPricePremMonthly*XE6+XU6*BlendedPriceEliteMonthly*XE6</f>
        <v/>
      </c>
      <c r="YC6" s="12">
        <f>XP6*BlendedPriceEssAnnual*XE6+XQ6*BlendedPricePremAnnual*XE6+XR6*BlendedPriceEliteAnnual*XE6</f>
        <v/>
      </c>
      <c r="YD6" s="12">
        <f>0+0+0</f>
        <v/>
      </c>
      <c r="YE6" s="9">
        <f>YB6+YC6+YD6</f>
        <v/>
      </c>
      <c r="YF6" s="12">
        <f>SUM(YE$5:YE6)</f>
        <v/>
      </c>
      <c r="YG6" s="12">
        <f>OR(YG5,IF(VATAgentMode,SUM($YE$5:$YE6)-SUM($YL$5:$YL6)&gt;=VATThreshold,SUM($YE$5:$YE6)&gt;=VATThreshold))</f>
        <v/>
      </c>
      <c r="YH6" s="9">
        <f>IF(YG6,IF(VATAgentMode,YE6-((YE6-YL6)-(YE6-YL6)/(1+VATRate)),YE6/(1+VATRate)),YE6)</f>
        <v/>
      </c>
      <c r="YI6" s="12">
        <f>YE6-YH6</f>
        <v/>
      </c>
      <c r="YJ6" s="12">
        <f>IF(YG6=0,0,IF(XB6=1,SUMPRODUCT(--(($XC$5:$XC6=$XC6-1)*($XB$5:$XB6&gt;=10)*($XB$5:$XB6&lt;=12)),$YI$5:$YI6),IF(XB6=4,SUMPRODUCT(--(($XC$5:$XC6=$XC6)*($XB$5:$XB6&gt;=1)*($XB$5:$XB6&lt;=3)),$YI$5:$YI6),IF(XB6=7,SUMPRODUCT(--(($XC$5:$XC6=$XC6)*($XB$5:$XB6&gt;=4)*($XB$5:$XB6&lt;=6)),$YI$5:$YI6),IF(XB6=10,SUMPRODUCT(--(($XC$5:$XC6=$XC6)*($XB$5:$XB6&gt;=7)*($XB$5:$XB6&lt;=9)),$YI$5:$YI6),0)))))</f>
        <v/>
      </c>
      <c r="YK6" s="12">
        <f>YK5+YI6-YJ6</f>
        <v/>
      </c>
      <c r="YL6" s="12">
        <f>IF(ProviderDelay&gt;=1,XS5*BlendedProvPayEss+XT5*BlendedProvPayPrem+XU5*BlendedProvPayElite+XV5*BlendedProvPayEss+XW5*BlendedProvPayPrem+XX5*BlendedProvPayElite,XS6*BlendedProvPayEss+XT6*BlendedProvPayPrem+XU6*BlendedProvPayElite+XV6*BlendedProvPayEss+XW6*BlendedProvPayPrem+XX6*BlendedProvPayElite)</f>
        <v/>
      </c>
      <c r="YM6" s="12">
        <f>YE6*PaymentFee</f>
        <v/>
      </c>
      <c r="YN6" s="12">
        <f>XY6*OpsAI</f>
        <v/>
      </c>
      <c r="YO6" s="12">
        <f>MonthlyFixed</f>
        <v/>
      </c>
      <c r="YP6" s="12">
        <f>XI6*ReferralReward</f>
        <v/>
      </c>
      <c r="YQ6" s="12">
        <f>XG6</f>
        <v/>
      </c>
      <c r="YR6" s="9">
        <f>YH6-YL6-YM6-YN6-YO6-YP6-YQ6</f>
        <v/>
      </c>
      <c r="YS6" s="9">
        <f>YS5+YE6-(YL6+YM6+YN6+YO6+YP6+YQ6+YJ6)</f>
        <v/>
      </c>
      <c r="YT6" s="12">
        <f>IF(XY6&gt;0,XZ6/XY6,0)</f>
        <v/>
      </c>
      <c r="YU6" s="11">
        <f>IF(XY5&gt;0,MAX(0,(XY5+XJ6-XY6)/XY5),0)</f>
        <v/>
      </c>
      <c r="YW6" s="12" t="n">
        <v>2</v>
      </c>
      <c r="YX6" s="12">
        <f>MOD(YW6-1+LaunchMonth-1,12)+1</f>
        <v/>
      </c>
      <c r="YY6" s="12">
        <f>INT((YW6-1+LaunchMonth-1)/12)+1</f>
        <v/>
      </c>
      <c r="YZ6" s="12">
        <f>VLOOKUP(YX6,SeasonTable,2,FALSE)</f>
        <v/>
      </c>
      <c r="ZA6" s="12">
        <f>(1+InflationRate)^INT((YW6-1)/12)</f>
        <v/>
      </c>
      <c r="ZB6" s="11">
        <f>MonthlyChurn*VLOOKUP(YX6,ChurnSeasonTable,4,FALSE)</f>
        <v/>
      </c>
      <c r="ZC6" s="12">
        <f>MktFixed1_3</f>
        <v/>
      </c>
      <c r="ZD6" s="12">
        <f>IF(ZC6&gt;0,MAX(1,ROUND(ZC6/CAC*YZ6,0)),0)</f>
        <v/>
      </c>
      <c r="ZE6" s="12">
        <f>IF(ZD6&gt;0,ROUND(ZD6*ReferralMix/(1-ReferralMix),0),0)</f>
        <v/>
      </c>
      <c r="ZF6" s="12">
        <f>ZD6+ZE6</f>
        <v/>
      </c>
      <c r="ZG6" s="12">
        <f>ROUND(ZF6*(1-'Sens - Annual Mix'!$A$11),0)</f>
        <v/>
      </c>
      <c r="ZH6" s="12">
        <f>ZF6-ZG6</f>
        <v/>
      </c>
      <c r="ZI6" s="12">
        <f>ROUND(ZG6*EssentialMix,0)</f>
        <v/>
      </c>
      <c r="ZJ6" s="12">
        <f>ROUND(ZG6*PremiumMix,0)</f>
        <v/>
      </c>
      <c r="ZK6" s="12">
        <f>ZG6-ZI6-ZJ6</f>
        <v/>
      </c>
      <c r="ZL6" s="12">
        <f>ROUND(ZH6*EssentialMix,0)</f>
        <v/>
      </c>
      <c r="ZM6" s="12">
        <f>ROUND(ZH6*PremiumMix,0)</f>
        <v/>
      </c>
      <c r="ZN6" s="12">
        <f>ZH6-ZL6-ZM6</f>
        <v/>
      </c>
      <c r="ZO6" s="12">
        <f>ZI6+ZI5</f>
        <v/>
      </c>
      <c r="ZP6" s="12">
        <f>ZJ6+ZJ5</f>
        <v/>
      </c>
      <c r="ZQ6" s="12">
        <f>ZK6+ZK5</f>
        <v/>
      </c>
      <c r="ZR6" s="12">
        <f>SUM(ZL$5:ZL6)</f>
        <v/>
      </c>
      <c r="ZS6" s="12">
        <f>SUM(ZM$5:ZM6)</f>
        <v/>
      </c>
      <c r="ZT6" s="12">
        <f>SUM(ZN$5:ZN6)</f>
        <v/>
      </c>
      <c r="ZU6" s="12">
        <f>ZO6+ZP6+ZQ6+ZR6+ZS6+ZT6</f>
        <v/>
      </c>
      <c r="ZV6" s="9">
        <f>ZO6*BlendedPriceEssMonthly*ZA6+ZP6*BlendedPricePremMonthly*ZA6+ZQ6*BlendedPriceEliteMonthly*ZA6+ZR6*BlendedPriceEssAnnual*ZA6/12+ZS6*BlendedPricePremAnnual*ZA6/12+ZT6*BlendedPriceEliteAnnual*ZA6/12</f>
        <v/>
      </c>
      <c r="ZW6" s="9">
        <f>ZV6*12</f>
        <v/>
      </c>
      <c r="ZX6" s="12">
        <f>ZO6*BlendedPriceEssMonthly*ZA6+ZP6*BlendedPricePremMonthly*ZA6+ZQ6*BlendedPriceEliteMonthly*ZA6</f>
        <v/>
      </c>
      <c r="ZY6" s="12">
        <f>ZL6*BlendedPriceEssAnnual*ZA6+ZM6*BlendedPricePremAnnual*ZA6+ZN6*BlendedPriceEliteAnnual*ZA6</f>
        <v/>
      </c>
      <c r="ZZ6" s="12">
        <f>0+0+0</f>
        <v/>
      </c>
      <c r="AAA6" s="9">
        <f>ZX6+ZY6+ZZ6</f>
        <v/>
      </c>
      <c r="AAB6" s="12">
        <f>SUM(AAA$5:AAA6)</f>
        <v/>
      </c>
      <c r="AAC6" s="12">
        <f>OR(AAC5,IF(VATAgentMode,SUM($AAA$5:$AAA6)-SUM($AAH$5:$AAH6)&gt;=VATThreshold,SUM($AAA$5:$AAA6)&gt;=VATThreshold))</f>
        <v/>
      </c>
      <c r="AAD6" s="9">
        <f>IF(AAC6,IF(VATAgentMode,AAA6-((AAA6-AAH6)-(AAA6-AAH6)/(1+VATRate)),AAA6/(1+VATRate)),AAA6)</f>
        <v/>
      </c>
      <c r="AAE6" s="12">
        <f>AAA6-AAD6</f>
        <v/>
      </c>
      <c r="AAF6" s="12">
        <f>IF(AAC6=0,0,IF(YX6=1,SUMPRODUCT(--(($YY$5:$YY6=$YY6-1)*($YX$5:$YX6&gt;=10)*($YX$5:$YX6&lt;=12)),$AAE$5:$AAE6),IF(YX6=4,SUMPRODUCT(--(($YY$5:$YY6=$YY6)*($YX$5:$YX6&gt;=1)*($YX$5:$YX6&lt;=3)),$AAE$5:$AAE6),IF(YX6=7,SUMPRODUCT(--(($YY$5:$YY6=$YY6)*($YX$5:$YX6&gt;=4)*($YX$5:$YX6&lt;=6)),$AAE$5:$AAE6),IF(YX6=10,SUMPRODUCT(--(($YY$5:$YY6=$YY6)*($YX$5:$YX6&gt;=7)*($YX$5:$YX6&lt;=9)),$AAE$5:$AAE6),0)))))</f>
        <v/>
      </c>
      <c r="AAG6" s="12">
        <f>AAG5+AAE6-AAF6</f>
        <v/>
      </c>
      <c r="AAH6" s="12">
        <f>IF(ProviderDelay&gt;=1,ZO5*BlendedProvPayEss+ZP5*BlendedProvPayPrem+ZQ5*BlendedProvPayElite+ZR5*BlendedProvPayEss+ZS5*BlendedProvPayPrem+ZT5*BlendedProvPayElite,ZO6*BlendedProvPayEss+ZP6*BlendedProvPayPrem+ZQ6*BlendedProvPayElite+ZR6*BlendedProvPayEss+ZS6*BlendedProvPayPrem+ZT6*BlendedProvPayElite)</f>
        <v/>
      </c>
      <c r="AAI6" s="12">
        <f>AAA6*PaymentFee</f>
        <v/>
      </c>
      <c r="AAJ6" s="12">
        <f>ZU6*OpsAI</f>
        <v/>
      </c>
      <c r="AAK6" s="12">
        <f>MonthlyFixed</f>
        <v/>
      </c>
      <c r="AAL6" s="12">
        <f>ZE6*ReferralReward</f>
        <v/>
      </c>
      <c r="AAM6" s="12">
        <f>ZC6</f>
        <v/>
      </c>
      <c r="AAN6" s="9">
        <f>AAD6-AAH6-AAI6-AAJ6-AAK6-AAL6-AAM6</f>
        <v/>
      </c>
      <c r="AAO6" s="9">
        <f>AAO5+AAA6-(AAH6+AAI6+AAJ6+AAK6+AAL6+AAM6+AAF6)</f>
        <v/>
      </c>
      <c r="AAP6" s="12">
        <f>IF(ZU6&gt;0,ZV6/ZU6,0)</f>
        <v/>
      </c>
      <c r="AAQ6" s="11">
        <f>IF(ZU5&gt;0,MAX(0,(ZU5+ZF6-ZU6)/ZU5),0)</f>
        <v/>
      </c>
      <c r="AAS6" s="12" t="n">
        <v>2</v>
      </c>
      <c r="AAT6" s="12">
        <f>MOD(AAS6-1+LaunchMonth-1,12)+1</f>
        <v/>
      </c>
      <c r="AAU6" s="12">
        <f>INT((AAS6-1+LaunchMonth-1)/12)+1</f>
        <v/>
      </c>
      <c r="AAV6" s="12">
        <f>VLOOKUP(AAT6,SeasonTable,2,FALSE)</f>
        <v/>
      </c>
      <c r="AAW6" s="12">
        <f>(1+InflationRate)^INT((AAS6-1)/12)</f>
        <v/>
      </c>
      <c r="AAX6" s="11">
        <f>MonthlyChurn*VLOOKUP(AAT6,ChurnSeasonTable,4,FALSE)</f>
        <v/>
      </c>
      <c r="AAY6" s="12">
        <f>MktFixed1_3</f>
        <v/>
      </c>
      <c r="AAZ6" s="12">
        <f>IF(AAY6&gt;0,MAX(1,ROUND(AAY6/CAC*AAV6,0)),0)</f>
        <v/>
      </c>
      <c r="ABA6" s="12">
        <f>IF(AAZ6&gt;0,ROUND(AAZ6*ReferralMix/(1-ReferralMix),0),0)</f>
        <v/>
      </c>
      <c r="ABB6" s="12">
        <f>AAZ6+ABA6</f>
        <v/>
      </c>
      <c r="ABC6" s="12">
        <f>ROUND(ABB6*(1-'Sens - Annual Mix'!$A$12),0)</f>
        <v/>
      </c>
      <c r="ABD6" s="12">
        <f>ABB6-ABC6</f>
        <v/>
      </c>
      <c r="ABE6" s="12">
        <f>ROUND(ABC6*EssentialMix,0)</f>
        <v/>
      </c>
      <c r="ABF6" s="12">
        <f>ROUND(ABC6*PremiumMix,0)</f>
        <v/>
      </c>
      <c r="ABG6" s="12">
        <f>ABC6-ABE6-ABF6</f>
        <v/>
      </c>
      <c r="ABH6" s="12">
        <f>ROUND(ABD6*EssentialMix,0)</f>
        <v/>
      </c>
      <c r="ABI6" s="12">
        <f>ROUND(ABD6*PremiumMix,0)</f>
        <v/>
      </c>
      <c r="ABJ6" s="12">
        <f>ABD6-ABH6-ABI6</f>
        <v/>
      </c>
      <c r="ABK6" s="12">
        <f>ABE6+ABE5</f>
        <v/>
      </c>
      <c r="ABL6" s="12">
        <f>ABF6+ABF5</f>
        <v/>
      </c>
      <c r="ABM6" s="12">
        <f>ABG6+ABG5</f>
        <v/>
      </c>
      <c r="ABN6" s="12">
        <f>SUM(ABH$5:ABH6)</f>
        <v/>
      </c>
      <c r="ABO6" s="12">
        <f>SUM(ABI$5:ABI6)</f>
        <v/>
      </c>
      <c r="ABP6" s="12">
        <f>SUM(ABJ$5:ABJ6)</f>
        <v/>
      </c>
      <c r="ABQ6" s="12">
        <f>ABK6+ABL6+ABM6+ABN6+ABO6+ABP6</f>
        <v/>
      </c>
      <c r="ABR6" s="9">
        <f>ABK6*BlendedPriceEssMonthly*AAW6+ABL6*BlendedPricePremMonthly*AAW6+ABM6*BlendedPriceEliteMonthly*AAW6+ABN6*BlendedPriceEssAnnual*AAW6/12+ABO6*BlendedPricePremAnnual*AAW6/12+ABP6*BlendedPriceEliteAnnual*AAW6/12</f>
        <v/>
      </c>
      <c r="ABS6" s="9">
        <f>ABR6*12</f>
        <v/>
      </c>
      <c r="ABT6" s="12">
        <f>ABK6*BlendedPriceEssMonthly*AAW6+ABL6*BlendedPricePremMonthly*AAW6+ABM6*BlendedPriceEliteMonthly*AAW6</f>
        <v/>
      </c>
      <c r="ABU6" s="12">
        <f>ABH6*BlendedPriceEssAnnual*AAW6+ABI6*BlendedPricePremAnnual*AAW6+ABJ6*BlendedPriceEliteAnnual*AAW6</f>
        <v/>
      </c>
      <c r="ABV6" s="12">
        <f>0+0+0</f>
        <v/>
      </c>
      <c r="ABW6" s="9">
        <f>ABT6+ABU6+ABV6</f>
        <v/>
      </c>
      <c r="ABX6" s="12">
        <f>SUM(ABW$5:ABW6)</f>
        <v/>
      </c>
      <c r="ABY6" s="12">
        <f>OR(ABY5,IF(VATAgentMode,SUM($ABW$5:$ABW6)-SUM($ACD$5:$ACD6)&gt;=VATThreshold,SUM($ABW$5:$ABW6)&gt;=VATThreshold))</f>
        <v/>
      </c>
      <c r="ABZ6" s="9">
        <f>IF(ABY6,IF(VATAgentMode,ABW6-((ABW6-ACD6)-(ABW6-ACD6)/(1+VATRate)),ABW6/(1+VATRate)),ABW6)</f>
        <v/>
      </c>
      <c r="ACA6" s="12">
        <f>ABW6-ABZ6</f>
        <v/>
      </c>
      <c r="ACB6" s="12">
        <f>IF(ABY6=0,0,IF(AAT6=1,SUMPRODUCT(--(($AAU$5:$AAU6=$AAU6-1)*($AAT$5:$AAT6&gt;=10)*($AAT$5:$AAT6&lt;=12)),$ACA$5:$ACA6),IF(AAT6=4,SUMPRODUCT(--(($AAU$5:$AAU6=$AAU6)*($AAT$5:$AAT6&gt;=1)*($AAT$5:$AAT6&lt;=3)),$ACA$5:$ACA6),IF(AAT6=7,SUMPRODUCT(--(($AAU$5:$AAU6=$AAU6)*($AAT$5:$AAT6&gt;=4)*($AAT$5:$AAT6&lt;=6)),$ACA$5:$ACA6),IF(AAT6=10,SUMPRODUCT(--(($AAU$5:$AAU6=$AAU6)*($AAT$5:$AAT6&gt;=7)*($AAT$5:$AAT6&lt;=9)),$ACA$5:$ACA6),0)))))</f>
        <v/>
      </c>
      <c r="ACC6" s="12">
        <f>ACC5+ACA6-ACB6</f>
        <v/>
      </c>
      <c r="ACD6" s="12">
        <f>IF(ProviderDelay&gt;=1,ABK5*BlendedProvPayEss+ABL5*BlendedProvPayPrem+ABM5*BlendedProvPayElite+ABN5*BlendedProvPayEss+ABO5*BlendedProvPayPrem+ABP5*BlendedProvPayElite,ABK6*BlendedProvPayEss+ABL6*BlendedProvPayPrem+ABM6*BlendedProvPayElite+ABN6*BlendedProvPayEss+ABO6*BlendedProvPayPrem+ABP6*BlendedProvPayElite)</f>
        <v/>
      </c>
      <c r="ACE6" s="12">
        <f>ABW6*PaymentFee</f>
        <v/>
      </c>
      <c r="ACF6" s="12">
        <f>ABQ6*OpsAI</f>
        <v/>
      </c>
      <c r="ACG6" s="12">
        <f>MonthlyFixed</f>
        <v/>
      </c>
      <c r="ACH6" s="12">
        <f>ABA6*ReferralReward</f>
        <v/>
      </c>
      <c r="ACI6" s="12">
        <f>AAY6</f>
        <v/>
      </c>
      <c r="ACJ6" s="9">
        <f>ABZ6-ACD6-ACE6-ACF6-ACG6-ACH6-ACI6</f>
        <v/>
      </c>
      <c r="ACK6" s="9">
        <f>ACK5+ABW6-(ACD6+ACE6+ACF6+ACG6+ACH6+ACI6+ACB6)</f>
        <v/>
      </c>
      <c r="ACL6" s="12">
        <f>IF(ABQ6&gt;0,ABR6/ABQ6,0)</f>
        <v/>
      </c>
      <c r="ACM6" s="11">
        <f>IF(ABQ5&gt;0,MAX(0,(ABQ5+ABB6-ABQ6)/ABQ5),0)</f>
        <v/>
      </c>
      <c r="ACO6" s="12" t="n">
        <v>2</v>
      </c>
      <c r="ACP6" s="12">
        <f>MOD(ACO6-1+LaunchMonth-1,12)+1</f>
        <v/>
      </c>
      <c r="ACQ6" s="12">
        <f>INT((ACO6-1+LaunchMonth-1)/12)+1</f>
        <v/>
      </c>
      <c r="ACR6" s="12">
        <f>VLOOKUP(ACP6,SeasonTable,2,FALSE)</f>
        <v/>
      </c>
      <c r="ACS6" s="12">
        <f>(1+InflationRate)^INT((ACO6-1)/12)</f>
        <v/>
      </c>
      <c r="ACT6" s="11">
        <f>MonthlyChurn*VLOOKUP(ACP6,ChurnSeasonTable,4,FALSE)</f>
        <v/>
      </c>
      <c r="ACU6" s="12">
        <f>MktFixed1_3</f>
        <v/>
      </c>
      <c r="ACV6" s="12">
        <f>IF(ACU6&gt;0,MAX(1,ROUND(ACU6/CAC*ACR6,0)),0)</f>
        <v/>
      </c>
      <c r="ACW6" s="12">
        <f>IF(ACV6&gt;0,ROUND(ACV6*ReferralMix/(1-ReferralMix),0),0)</f>
        <v/>
      </c>
      <c r="ACX6" s="12">
        <f>ACV6+ACW6</f>
        <v/>
      </c>
      <c r="ACY6" s="12">
        <f>ROUND(ACX6*(1-'Sens - Annual Mix'!$A$13),0)</f>
        <v/>
      </c>
      <c r="ACZ6" s="12">
        <f>ACX6-ACY6</f>
        <v/>
      </c>
      <c r="ADA6" s="12">
        <f>ROUND(ACY6*EssentialMix,0)</f>
        <v/>
      </c>
      <c r="ADB6" s="12">
        <f>ROUND(ACY6*PremiumMix,0)</f>
        <v/>
      </c>
      <c r="ADC6" s="12">
        <f>ACY6-ADA6-ADB6</f>
        <v/>
      </c>
      <c r="ADD6" s="12">
        <f>ROUND(ACZ6*EssentialMix,0)</f>
        <v/>
      </c>
      <c r="ADE6" s="12">
        <f>ROUND(ACZ6*PremiumMix,0)</f>
        <v/>
      </c>
      <c r="ADF6" s="12">
        <f>ACZ6-ADD6-ADE6</f>
        <v/>
      </c>
      <c r="ADG6" s="12">
        <f>ADA6+ADA5</f>
        <v/>
      </c>
      <c r="ADH6" s="12">
        <f>ADB6+ADB5</f>
        <v/>
      </c>
      <c r="ADI6" s="12">
        <f>ADC6+ADC5</f>
        <v/>
      </c>
      <c r="ADJ6" s="12">
        <f>SUM(ADD$5:ADD6)</f>
        <v/>
      </c>
      <c r="ADK6" s="12">
        <f>SUM(ADE$5:ADE6)</f>
        <v/>
      </c>
      <c r="ADL6" s="12">
        <f>SUM(ADF$5:ADF6)</f>
        <v/>
      </c>
      <c r="ADM6" s="12">
        <f>ADG6+ADH6+ADI6+ADJ6+ADK6+ADL6</f>
        <v/>
      </c>
      <c r="ADN6" s="9">
        <f>ADG6*BlendedPriceEssMonthly*ACS6+ADH6*BlendedPricePremMonthly*ACS6+ADI6*BlendedPriceEliteMonthly*ACS6+ADJ6*BlendedPriceEssAnnual*ACS6/12+ADK6*BlendedPricePremAnnual*ACS6/12+ADL6*BlendedPriceEliteAnnual*ACS6/12</f>
        <v/>
      </c>
      <c r="ADO6" s="9">
        <f>ADN6*12</f>
        <v/>
      </c>
      <c r="ADP6" s="12">
        <f>ADG6*BlendedPriceEssMonthly*ACS6+ADH6*BlendedPricePremMonthly*ACS6+ADI6*BlendedPriceEliteMonthly*ACS6</f>
        <v/>
      </c>
      <c r="ADQ6" s="12">
        <f>ADD6*BlendedPriceEssAnnual*ACS6+ADE6*BlendedPricePremAnnual*ACS6+ADF6*BlendedPriceEliteAnnual*ACS6</f>
        <v/>
      </c>
      <c r="ADR6" s="12">
        <f>0+0+0</f>
        <v/>
      </c>
      <c r="ADS6" s="9">
        <f>ADP6+ADQ6+ADR6</f>
        <v/>
      </c>
      <c r="ADT6" s="12">
        <f>SUM(ADS$5:ADS6)</f>
        <v/>
      </c>
      <c r="ADU6" s="12">
        <f>OR(ADU5,IF(VATAgentMode,SUM($ADS$5:$ADS6)-SUM($ADZ$5:$ADZ6)&gt;=VATThreshold,SUM($ADS$5:$ADS6)&gt;=VATThreshold))</f>
        <v/>
      </c>
      <c r="ADV6" s="9">
        <f>IF(ADU6,IF(VATAgentMode,ADS6-((ADS6-ADZ6)-(ADS6-ADZ6)/(1+VATRate)),ADS6/(1+VATRate)),ADS6)</f>
        <v/>
      </c>
      <c r="ADW6" s="12">
        <f>ADS6-ADV6</f>
        <v/>
      </c>
      <c r="ADX6" s="12">
        <f>IF(ADU6=0,0,IF(ACP6=1,SUMPRODUCT(--(($ACQ$5:$ACQ6=$ACQ6-1)*($ACP$5:$ACP6&gt;=10)*($ACP$5:$ACP6&lt;=12)),$ADW$5:$ADW6),IF(ACP6=4,SUMPRODUCT(--(($ACQ$5:$ACQ6=$ACQ6)*($ACP$5:$ACP6&gt;=1)*($ACP$5:$ACP6&lt;=3)),$ADW$5:$ADW6),IF(ACP6=7,SUMPRODUCT(--(($ACQ$5:$ACQ6=$ACQ6)*($ACP$5:$ACP6&gt;=4)*($ACP$5:$ACP6&lt;=6)),$ADW$5:$ADW6),IF(ACP6=10,SUMPRODUCT(--(($ACQ$5:$ACQ6=$ACQ6)*($ACP$5:$ACP6&gt;=7)*($ACP$5:$ACP6&lt;=9)),$ADW$5:$ADW6),0)))))</f>
        <v/>
      </c>
      <c r="ADY6" s="12">
        <f>ADY5+ADW6-ADX6</f>
        <v/>
      </c>
      <c r="ADZ6" s="12">
        <f>IF(ProviderDelay&gt;=1,ADG5*BlendedProvPayEss+ADH5*BlendedProvPayPrem+ADI5*BlendedProvPayElite+ADJ5*BlendedProvPayEss+ADK5*BlendedProvPayPrem+ADL5*BlendedProvPayElite,ADG6*BlendedProvPayEss+ADH6*BlendedProvPayPrem+ADI6*BlendedProvPayElite+ADJ6*BlendedProvPayEss+ADK6*BlendedProvPayPrem+ADL6*BlendedProvPayElite)</f>
        <v/>
      </c>
      <c r="AEA6" s="12">
        <f>ADS6*PaymentFee</f>
        <v/>
      </c>
      <c r="AEB6" s="12">
        <f>ADM6*OpsAI</f>
        <v/>
      </c>
      <c r="AEC6" s="12">
        <f>MonthlyFixed</f>
        <v/>
      </c>
      <c r="AED6" s="12">
        <f>ACW6*ReferralReward</f>
        <v/>
      </c>
      <c r="AEE6" s="12">
        <f>ACU6</f>
        <v/>
      </c>
      <c r="AEF6" s="9">
        <f>ADV6-ADZ6-AEA6-AEB6-AEC6-AED6-AEE6</f>
        <v/>
      </c>
      <c r="AEG6" s="9">
        <f>AEG5+ADS6-(ADZ6+AEA6+AEB6+AEC6+AED6+AEE6+ADX6)</f>
        <v/>
      </c>
      <c r="AEH6" s="12">
        <f>IF(ADM6&gt;0,ADN6/ADM6,0)</f>
        <v/>
      </c>
      <c r="AEI6" s="11">
        <f>IF(ADM5&gt;0,MAX(0,(ADM5+ACX6-ADM6)/ADM5),0)</f>
        <v/>
      </c>
      <c r="AEK6" s="12" t="n">
        <v>2</v>
      </c>
      <c r="AEL6" s="12">
        <f>MOD(AEK6-1+LaunchMonth-1,12)+1</f>
        <v/>
      </c>
      <c r="AEM6" s="12">
        <f>INT((AEK6-1+LaunchMonth-1)/12)+1</f>
        <v/>
      </c>
      <c r="AEN6" s="12">
        <f>VLOOKUP(AEL6,SeasonTable,2,FALSE)</f>
        <v/>
      </c>
      <c r="AEO6" s="12">
        <f>(1+InflationRate)^INT((AEK6-1)/12)</f>
        <v/>
      </c>
      <c r="AEP6" s="11">
        <f>MonthlyChurn*VLOOKUP(AEL6,ChurnSeasonTable,4,FALSE)</f>
        <v/>
      </c>
      <c r="AEQ6" s="12">
        <f>MktFixed1_3</f>
        <v/>
      </c>
      <c r="AER6" s="12">
        <f>IF(AEQ6&gt;0,MAX(1,ROUND(AEQ6/CAC*AEN6,0)),0)</f>
        <v/>
      </c>
      <c r="AES6" s="12">
        <f>IF(AER6&gt;0,ROUND(AER6*ReferralMix/(1-ReferralMix),0),0)</f>
        <v/>
      </c>
      <c r="AET6" s="12">
        <f>AER6+AES6</f>
        <v/>
      </c>
      <c r="AEU6" s="12">
        <f>ROUND(AET6*(1-'Sens - Annual Mix'!$A$14),0)</f>
        <v/>
      </c>
      <c r="AEV6" s="12">
        <f>AET6-AEU6</f>
        <v/>
      </c>
      <c r="AEW6" s="12">
        <f>ROUND(AEU6*EssentialMix,0)</f>
        <v/>
      </c>
      <c r="AEX6" s="12">
        <f>ROUND(AEU6*PremiumMix,0)</f>
        <v/>
      </c>
      <c r="AEY6" s="12">
        <f>AEU6-AEW6-AEX6</f>
        <v/>
      </c>
      <c r="AEZ6" s="12">
        <f>ROUND(AEV6*EssentialMix,0)</f>
        <v/>
      </c>
      <c r="AFA6" s="12">
        <f>ROUND(AEV6*PremiumMix,0)</f>
        <v/>
      </c>
      <c r="AFB6" s="12">
        <f>AEV6-AEZ6-AFA6</f>
        <v/>
      </c>
      <c r="AFC6" s="12">
        <f>AEW6+AEW5</f>
        <v/>
      </c>
      <c r="AFD6" s="12">
        <f>AEX6+AEX5</f>
        <v/>
      </c>
      <c r="AFE6" s="12">
        <f>AEY6+AEY5</f>
        <v/>
      </c>
      <c r="AFF6" s="12">
        <f>SUM(AEZ$5:AEZ6)</f>
        <v/>
      </c>
      <c r="AFG6" s="12">
        <f>SUM(AFA$5:AFA6)</f>
        <v/>
      </c>
      <c r="AFH6" s="12">
        <f>SUM(AFB$5:AFB6)</f>
        <v/>
      </c>
      <c r="AFI6" s="12">
        <f>AFC6+AFD6+AFE6+AFF6+AFG6+AFH6</f>
        <v/>
      </c>
      <c r="AFJ6" s="9">
        <f>AFC6*BlendedPriceEssMonthly*AEO6+AFD6*BlendedPricePremMonthly*AEO6+AFE6*BlendedPriceEliteMonthly*AEO6+AFF6*BlendedPriceEssAnnual*AEO6/12+AFG6*BlendedPricePremAnnual*AEO6/12+AFH6*BlendedPriceEliteAnnual*AEO6/12</f>
        <v/>
      </c>
      <c r="AFK6" s="9">
        <f>AFJ6*12</f>
        <v/>
      </c>
      <c r="AFL6" s="12">
        <f>AFC6*BlendedPriceEssMonthly*AEO6+AFD6*BlendedPricePremMonthly*AEO6+AFE6*BlendedPriceEliteMonthly*AEO6</f>
        <v/>
      </c>
      <c r="AFM6" s="12">
        <f>AEZ6*BlendedPriceEssAnnual*AEO6+AFA6*BlendedPricePremAnnual*AEO6+AFB6*BlendedPriceEliteAnnual*AEO6</f>
        <v/>
      </c>
      <c r="AFN6" s="12">
        <f>0+0+0</f>
        <v/>
      </c>
      <c r="AFO6" s="9">
        <f>AFL6+AFM6+AFN6</f>
        <v/>
      </c>
      <c r="AFP6" s="12">
        <f>SUM(AFO$5:AFO6)</f>
        <v/>
      </c>
      <c r="AFQ6" s="12">
        <f>OR(AFQ5,IF(VATAgentMode,SUM($AFO$5:$AFO6)-SUM($AFV$5:$AFV6)&gt;=VATThreshold,SUM($AFO$5:$AFO6)&gt;=VATThreshold))</f>
        <v/>
      </c>
      <c r="AFR6" s="9">
        <f>IF(AFQ6,IF(VATAgentMode,AFO6-((AFO6-AFV6)-(AFO6-AFV6)/(1+VATRate)),AFO6/(1+VATRate)),AFO6)</f>
        <v/>
      </c>
      <c r="AFS6" s="12">
        <f>AFO6-AFR6</f>
        <v/>
      </c>
      <c r="AFT6" s="12">
        <f>IF(AFQ6=0,0,IF(AEL6=1,SUMPRODUCT(--(($AEM$5:$AEM6=$AEM6-1)*($AEL$5:$AEL6&gt;=10)*($AEL$5:$AEL6&lt;=12)),$AFS$5:$AFS6),IF(AEL6=4,SUMPRODUCT(--(($AEM$5:$AEM6=$AEM6)*($AEL$5:$AEL6&gt;=1)*($AEL$5:$AEL6&lt;=3)),$AFS$5:$AFS6),IF(AEL6=7,SUMPRODUCT(--(($AEM$5:$AEM6=$AEM6)*($AEL$5:$AEL6&gt;=4)*($AEL$5:$AEL6&lt;=6)),$AFS$5:$AFS6),IF(AEL6=10,SUMPRODUCT(--(($AEM$5:$AEM6=$AEM6)*($AEL$5:$AEL6&gt;=7)*($AEL$5:$AEL6&lt;=9)),$AFS$5:$AFS6),0)))))</f>
        <v/>
      </c>
      <c r="AFU6" s="12">
        <f>AFU5+AFS6-AFT6</f>
        <v/>
      </c>
      <c r="AFV6" s="12">
        <f>IF(ProviderDelay&gt;=1,AFC5*BlendedProvPayEss+AFD5*BlendedProvPayPrem+AFE5*BlendedProvPayElite+AFF5*BlendedProvPayEss+AFG5*BlendedProvPayPrem+AFH5*BlendedProvPayElite,AFC6*BlendedProvPayEss+AFD6*BlendedProvPayPrem+AFE6*BlendedProvPayElite+AFF6*BlendedProvPayEss+AFG6*BlendedProvPayPrem+AFH6*BlendedProvPayElite)</f>
        <v/>
      </c>
      <c r="AFW6" s="12">
        <f>AFO6*PaymentFee</f>
        <v/>
      </c>
      <c r="AFX6" s="12">
        <f>AFI6*OpsAI</f>
        <v/>
      </c>
      <c r="AFY6" s="12">
        <f>MonthlyFixed</f>
        <v/>
      </c>
      <c r="AFZ6" s="12">
        <f>AES6*ReferralReward</f>
        <v/>
      </c>
      <c r="AGA6" s="12">
        <f>AEQ6</f>
        <v/>
      </c>
      <c r="AGB6" s="9">
        <f>AFR6-AFV6-AFW6-AFX6-AFY6-AFZ6-AGA6</f>
        <v/>
      </c>
      <c r="AGC6" s="9">
        <f>AGC5+AFO6-(AFV6+AFW6+AFX6+AFY6+AFZ6+AGA6+AFT6)</f>
        <v/>
      </c>
      <c r="AGD6" s="12">
        <f>IF(AFI6&gt;0,AFJ6/AFI6,0)</f>
        <v/>
      </c>
      <c r="AGE6" s="11">
        <f>IF(AFI5&gt;0,MAX(0,(AFI5+AET6-AFI6)/AFI5),0)</f>
        <v/>
      </c>
      <c r="AGG6" s="12" t="n">
        <v>2</v>
      </c>
      <c r="AGH6" s="12">
        <f>MOD(AGG6-1+LaunchMonth-1,12)+1</f>
        <v/>
      </c>
      <c r="AGI6" s="12">
        <f>INT((AGG6-1+LaunchMonth-1)/12)+1</f>
        <v/>
      </c>
      <c r="AGJ6" s="12">
        <f>VLOOKUP(AGH6,SeasonTable,2,FALSE)</f>
        <v/>
      </c>
      <c r="AGK6" s="12">
        <f>(1+InflationRate)^INT((AGG6-1)/12)</f>
        <v/>
      </c>
      <c r="AGL6" s="11">
        <f>MonthlyChurn*VLOOKUP(AGH6,ChurnSeasonTable,4,FALSE)</f>
        <v/>
      </c>
      <c r="AGM6" s="12">
        <f>MktFixed1_3</f>
        <v/>
      </c>
      <c r="AGN6" s="12">
        <f>IF(AGM6&gt;0,MAX(1,ROUND(AGM6/CAC*AGJ6,0)),0)</f>
        <v/>
      </c>
      <c r="AGO6" s="12">
        <f>IF(AGN6&gt;0,ROUND(AGN6*ReferralMix/(1-ReferralMix),0),0)</f>
        <v/>
      </c>
      <c r="AGP6" s="12">
        <f>AGN6+AGO6</f>
        <v/>
      </c>
      <c r="AGQ6" s="12">
        <f>ROUND(AGP6*(1-'Sens - Annual Mix'!$A$15),0)</f>
        <v/>
      </c>
      <c r="AGR6" s="12">
        <f>AGP6-AGQ6</f>
        <v/>
      </c>
      <c r="AGS6" s="12">
        <f>ROUND(AGQ6*EssentialMix,0)</f>
        <v/>
      </c>
      <c r="AGT6" s="12">
        <f>ROUND(AGQ6*PremiumMix,0)</f>
        <v/>
      </c>
      <c r="AGU6" s="12">
        <f>AGQ6-AGS6-AGT6</f>
        <v/>
      </c>
      <c r="AGV6" s="12">
        <f>ROUND(AGR6*EssentialMix,0)</f>
        <v/>
      </c>
      <c r="AGW6" s="12">
        <f>ROUND(AGR6*PremiumMix,0)</f>
        <v/>
      </c>
      <c r="AGX6" s="12">
        <f>AGR6-AGV6-AGW6</f>
        <v/>
      </c>
      <c r="AGY6" s="12">
        <f>AGS6+AGS5</f>
        <v/>
      </c>
      <c r="AGZ6" s="12">
        <f>AGT6+AGT5</f>
        <v/>
      </c>
      <c r="AHA6" s="12">
        <f>AGU6+AGU5</f>
        <v/>
      </c>
      <c r="AHB6" s="12">
        <f>SUM(AGV$5:AGV6)</f>
        <v/>
      </c>
      <c r="AHC6" s="12">
        <f>SUM(AGW$5:AGW6)</f>
        <v/>
      </c>
      <c r="AHD6" s="12">
        <f>SUM(AGX$5:AGX6)</f>
        <v/>
      </c>
      <c r="AHE6" s="12">
        <f>AGY6+AGZ6+AHA6+AHB6+AHC6+AHD6</f>
        <v/>
      </c>
      <c r="AHF6" s="9">
        <f>AGY6*BlendedPriceEssMonthly*AGK6+AGZ6*BlendedPricePremMonthly*AGK6+AHA6*BlendedPriceEliteMonthly*AGK6+AHB6*BlendedPriceEssAnnual*AGK6/12+AHC6*BlendedPricePremAnnual*AGK6/12+AHD6*BlendedPriceEliteAnnual*AGK6/12</f>
        <v/>
      </c>
      <c r="AHG6" s="9">
        <f>AHF6*12</f>
        <v/>
      </c>
      <c r="AHH6" s="12">
        <f>AGY6*BlendedPriceEssMonthly*AGK6+AGZ6*BlendedPricePremMonthly*AGK6+AHA6*BlendedPriceEliteMonthly*AGK6</f>
        <v/>
      </c>
      <c r="AHI6" s="12">
        <f>AGV6*BlendedPriceEssAnnual*AGK6+AGW6*BlendedPricePremAnnual*AGK6+AGX6*BlendedPriceEliteAnnual*AGK6</f>
        <v/>
      </c>
      <c r="AHJ6" s="12">
        <f>0+0+0</f>
        <v/>
      </c>
      <c r="AHK6" s="9">
        <f>AHH6+AHI6+AHJ6</f>
        <v/>
      </c>
      <c r="AHL6" s="12">
        <f>SUM(AHK$5:AHK6)</f>
        <v/>
      </c>
      <c r="AHM6" s="12">
        <f>OR(AHM5,IF(VATAgentMode,SUM($AHK$5:$AHK6)-SUM($AHR$5:$AHR6)&gt;=VATThreshold,SUM($AHK$5:$AHK6)&gt;=VATThreshold))</f>
        <v/>
      </c>
      <c r="AHN6" s="9">
        <f>IF(AHM6,IF(VATAgentMode,AHK6-((AHK6-AHR6)-(AHK6-AHR6)/(1+VATRate)),AHK6/(1+VATRate)),AHK6)</f>
        <v/>
      </c>
      <c r="AHO6" s="12">
        <f>AHK6-AHN6</f>
        <v/>
      </c>
      <c r="AHP6" s="12">
        <f>IF(AHM6=0,0,IF(AGH6=1,SUMPRODUCT(--(($AGI$5:$AGI6=$AGI6-1)*($AGH$5:$AGH6&gt;=10)*($AGH$5:$AGH6&lt;=12)),$AHO$5:$AHO6),IF(AGH6=4,SUMPRODUCT(--(($AGI$5:$AGI6=$AGI6)*($AGH$5:$AGH6&gt;=1)*($AGH$5:$AGH6&lt;=3)),$AHO$5:$AHO6),IF(AGH6=7,SUMPRODUCT(--(($AGI$5:$AGI6=$AGI6)*($AGH$5:$AGH6&gt;=4)*($AGH$5:$AGH6&lt;=6)),$AHO$5:$AHO6),IF(AGH6=10,SUMPRODUCT(--(($AGI$5:$AGI6=$AGI6)*($AGH$5:$AGH6&gt;=7)*($AGH$5:$AGH6&lt;=9)),$AHO$5:$AHO6),0)))))</f>
        <v/>
      </c>
      <c r="AHQ6" s="12">
        <f>AHQ5+AHO6-AHP6</f>
        <v/>
      </c>
      <c r="AHR6" s="12">
        <f>IF(ProviderDelay&gt;=1,AGY5*BlendedProvPayEss+AGZ5*BlendedProvPayPrem+AHA5*BlendedProvPayElite+AHB5*BlendedProvPayEss+AHC5*BlendedProvPayPrem+AHD5*BlendedProvPayElite,AGY6*BlendedProvPayEss+AGZ6*BlendedProvPayPrem+AHA6*BlendedProvPayElite+AHB6*BlendedProvPayEss+AHC6*BlendedProvPayPrem+AHD6*BlendedProvPayElite)</f>
        <v/>
      </c>
      <c r="AHS6" s="12">
        <f>AHK6*PaymentFee</f>
        <v/>
      </c>
      <c r="AHT6" s="12">
        <f>AHE6*OpsAI</f>
        <v/>
      </c>
      <c r="AHU6" s="12">
        <f>MonthlyFixed</f>
        <v/>
      </c>
      <c r="AHV6" s="12">
        <f>AGO6*ReferralReward</f>
        <v/>
      </c>
      <c r="AHW6" s="12">
        <f>AGM6</f>
        <v/>
      </c>
      <c r="AHX6" s="9">
        <f>AHN6-AHR6-AHS6-AHT6-AHU6-AHV6-AHW6</f>
        <v/>
      </c>
      <c r="AHY6" s="9">
        <f>AHY5+AHK6-(AHR6+AHS6+AHT6+AHU6+AHV6+AHW6+AHP6)</f>
        <v/>
      </c>
      <c r="AHZ6" s="12">
        <f>IF(AHE6&gt;0,AHF6/AHE6,0)</f>
        <v/>
      </c>
      <c r="AIA6" s="11">
        <f>IF(AHE5&gt;0,MAX(0,(AHE5+AGP6-AHE6)/AHE5),0)</f>
        <v/>
      </c>
      <c r="AIC6" s="12" t="n">
        <v>2</v>
      </c>
      <c r="AID6" s="12">
        <f>MOD(AIC6-1+LaunchMonth-1,12)+1</f>
        <v/>
      </c>
      <c r="AIE6" s="12">
        <f>INT((AIC6-1+LaunchMonth-1)/12)+1</f>
        <v/>
      </c>
      <c r="AIF6" s="12">
        <f>VLOOKUP(AID6,SeasonTable,2,FALSE)</f>
        <v/>
      </c>
      <c r="AIG6" s="12">
        <f>(1+InflationRate)^INT((AIC6-1)/12)</f>
        <v/>
      </c>
      <c r="AIH6" s="11">
        <f>MonthlyChurn*VLOOKUP(AID6,ChurnSeasonTable,4,FALSE)</f>
        <v/>
      </c>
      <c r="AII6" s="12">
        <f>MktFixed1_3</f>
        <v/>
      </c>
      <c r="AIJ6" s="12">
        <f>IF(AII6&gt;0,MAX(1,ROUND(AII6/'Sens - CAC &amp; Marketing'!$A$9*AIF6,0)),0)</f>
        <v/>
      </c>
      <c r="AIK6" s="12">
        <f>IF(AIJ6&gt;0,ROUND(AIJ6*ReferralMix/(1-ReferralMix),0),0)</f>
        <v/>
      </c>
      <c r="AIL6" s="12">
        <f>AIJ6+AIK6</f>
        <v/>
      </c>
      <c r="AIM6" s="12">
        <f>ROUND(AIL6*(1-AnnualMix),0)</f>
        <v/>
      </c>
      <c r="AIN6" s="12">
        <f>AIL6-AIM6</f>
        <v/>
      </c>
      <c r="AIO6" s="12">
        <f>ROUND(AIM6*EssentialMix,0)</f>
        <v/>
      </c>
      <c r="AIP6" s="12">
        <f>ROUND(AIM6*PremiumMix,0)</f>
        <v/>
      </c>
      <c r="AIQ6" s="12">
        <f>AIM6-AIO6-AIP6</f>
        <v/>
      </c>
      <c r="AIR6" s="12">
        <f>ROUND(AIN6*EssentialMix,0)</f>
        <v/>
      </c>
      <c r="AIS6" s="12">
        <f>ROUND(AIN6*PremiumMix,0)</f>
        <v/>
      </c>
      <c r="AIT6" s="12">
        <f>AIN6-AIR6-AIS6</f>
        <v/>
      </c>
      <c r="AIU6" s="12">
        <f>AIO6+AIO5</f>
        <v/>
      </c>
      <c r="AIV6" s="12">
        <f>AIP6+AIP5</f>
        <v/>
      </c>
      <c r="AIW6" s="12">
        <f>AIQ6+AIQ5</f>
        <v/>
      </c>
      <c r="AIX6" s="12">
        <f>SUM(AIR$5:AIR6)</f>
        <v/>
      </c>
      <c r="AIY6" s="12">
        <f>SUM(AIS$5:AIS6)</f>
        <v/>
      </c>
      <c r="AIZ6" s="12">
        <f>SUM(AIT$5:AIT6)</f>
        <v/>
      </c>
      <c r="AJA6" s="12">
        <f>AIU6+AIV6+AIW6+AIX6+AIY6+AIZ6</f>
        <v/>
      </c>
      <c r="AJB6" s="9">
        <f>AIU6*BlendedPriceEssMonthly*AIG6+AIV6*BlendedPricePremMonthly*AIG6+AIW6*BlendedPriceEliteMonthly*AIG6+AIX6*BlendedPriceEssAnnual*AIG6/12+AIY6*BlendedPricePremAnnual*AIG6/12+AIZ6*BlendedPriceEliteAnnual*AIG6/12</f>
        <v/>
      </c>
      <c r="AJC6" s="9">
        <f>AJB6*12</f>
        <v/>
      </c>
      <c r="AJD6" s="12">
        <f>AIU6*BlendedPriceEssMonthly*AIG6+AIV6*BlendedPricePremMonthly*AIG6+AIW6*BlendedPriceEliteMonthly*AIG6</f>
        <v/>
      </c>
      <c r="AJE6" s="12">
        <f>AIR6*BlendedPriceEssAnnual*AIG6+AIS6*BlendedPricePremAnnual*AIG6+AIT6*BlendedPriceEliteAnnual*AIG6</f>
        <v/>
      </c>
      <c r="AJF6" s="12">
        <f>0+0+0</f>
        <v/>
      </c>
      <c r="AJG6" s="9">
        <f>AJD6+AJE6+AJF6</f>
        <v/>
      </c>
      <c r="AJH6" s="12">
        <f>SUM(AJG$5:AJG6)</f>
        <v/>
      </c>
      <c r="AJI6" s="12">
        <f>OR(AJI5,IF(VATAgentMode,SUM($AJG$5:$AJG6)-SUM($AJN$5:$AJN6)&gt;=VATThreshold,SUM($AJG$5:$AJG6)&gt;=VATThreshold))</f>
        <v/>
      </c>
      <c r="AJJ6" s="9">
        <f>IF(AJI6,IF(VATAgentMode,AJG6-((AJG6-AJN6)-(AJG6-AJN6)/(1+VATRate)),AJG6/(1+VATRate)),AJG6)</f>
        <v/>
      </c>
      <c r="AJK6" s="12">
        <f>AJG6-AJJ6</f>
        <v/>
      </c>
      <c r="AJL6" s="12">
        <f>IF(AJI6=0,0,IF(AID6=1,SUMPRODUCT(--(($AIE$5:$AIE6=$AIE6-1)*($AID$5:$AID6&gt;=10)*($AID$5:$AID6&lt;=12)),$AJK$5:$AJK6),IF(AID6=4,SUMPRODUCT(--(($AIE$5:$AIE6=$AIE6)*($AID$5:$AID6&gt;=1)*($AID$5:$AID6&lt;=3)),$AJK$5:$AJK6),IF(AID6=7,SUMPRODUCT(--(($AIE$5:$AIE6=$AIE6)*($AID$5:$AID6&gt;=4)*($AID$5:$AID6&lt;=6)),$AJK$5:$AJK6),IF(AID6=10,SUMPRODUCT(--(($AIE$5:$AIE6=$AIE6)*($AID$5:$AID6&gt;=7)*($AID$5:$AID6&lt;=9)),$AJK$5:$AJK6),0)))))</f>
        <v/>
      </c>
      <c r="AJM6" s="12">
        <f>AJM5+AJK6-AJL6</f>
        <v/>
      </c>
      <c r="AJN6" s="12">
        <f>IF(ProviderDelay&gt;=1,AIU5*BlendedProvPayEss+AIV5*BlendedProvPayPrem+AIW5*BlendedProvPayElite+AIX5*BlendedProvPayEss+AIY5*BlendedProvPayPrem+AIZ5*BlendedProvPayElite,AIU6*BlendedProvPayEss+AIV6*BlendedProvPayPrem+AIW6*BlendedProvPayElite+AIX6*BlendedProvPayEss+AIY6*BlendedProvPayPrem+AIZ6*BlendedProvPayElite)</f>
        <v/>
      </c>
      <c r="AJO6" s="12">
        <f>AJG6*PaymentFee</f>
        <v/>
      </c>
      <c r="AJP6" s="12">
        <f>AJA6*OpsAI</f>
        <v/>
      </c>
      <c r="AJQ6" s="12">
        <f>MonthlyFixed</f>
        <v/>
      </c>
      <c r="AJR6" s="12">
        <f>AIK6*ReferralReward</f>
        <v/>
      </c>
      <c r="AJS6" s="12">
        <f>AII6</f>
        <v/>
      </c>
      <c r="AJT6" s="9">
        <f>AJJ6-AJN6-AJO6-AJP6-AJQ6-AJR6-AJS6</f>
        <v/>
      </c>
      <c r="AJU6" s="9">
        <f>AJU5+AJG6-(AJN6+AJO6+AJP6+AJQ6+AJR6+AJS6+AJL6)</f>
        <v/>
      </c>
      <c r="AJV6" s="12">
        <f>IF(AJA6&gt;0,AJB6/AJA6,0)</f>
        <v/>
      </c>
      <c r="AJW6" s="11">
        <f>IF(AJA5&gt;0,MAX(0,(AJA5+AIL6-AJA6)/AJA5),0)</f>
        <v/>
      </c>
      <c r="AJY6" s="12" t="n">
        <v>2</v>
      </c>
      <c r="AJZ6" s="12">
        <f>MOD(AJY6-1+LaunchMonth-1,12)+1</f>
        <v/>
      </c>
      <c r="AKA6" s="12">
        <f>INT((AJY6-1+LaunchMonth-1)/12)+1</f>
        <v/>
      </c>
      <c r="AKB6" s="12">
        <f>VLOOKUP(AJZ6,SeasonTable,2,FALSE)</f>
        <v/>
      </c>
      <c r="AKC6" s="12">
        <f>(1+InflationRate)^INT((AJY6-1)/12)</f>
        <v/>
      </c>
      <c r="AKD6" s="11">
        <f>MonthlyChurn*VLOOKUP(AJZ6,ChurnSeasonTable,4,FALSE)</f>
        <v/>
      </c>
      <c r="AKE6" s="12">
        <f>MktFixed1_3</f>
        <v/>
      </c>
      <c r="AKF6" s="12">
        <f>IF(AKE6&gt;0,MAX(1,ROUND(AKE6/'Sens - CAC &amp; Marketing'!$A$10*AKB6,0)),0)</f>
        <v/>
      </c>
      <c r="AKG6" s="12">
        <f>IF(AKF6&gt;0,ROUND(AKF6*ReferralMix/(1-ReferralMix),0),0)</f>
        <v/>
      </c>
      <c r="AKH6" s="12">
        <f>AKF6+AKG6</f>
        <v/>
      </c>
      <c r="AKI6" s="12">
        <f>ROUND(AKH6*(1-AnnualMix),0)</f>
        <v/>
      </c>
      <c r="AKJ6" s="12">
        <f>AKH6-AKI6</f>
        <v/>
      </c>
      <c r="AKK6" s="12">
        <f>ROUND(AKI6*EssentialMix,0)</f>
        <v/>
      </c>
      <c r="AKL6" s="12">
        <f>ROUND(AKI6*PremiumMix,0)</f>
        <v/>
      </c>
      <c r="AKM6" s="12">
        <f>AKI6-AKK6-AKL6</f>
        <v/>
      </c>
      <c r="AKN6" s="12">
        <f>ROUND(AKJ6*EssentialMix,0)</f>
        <v/>
      </c>
      <c r="AKO6" s="12">
        <f>ROUND(AKJ6*PremiumMix,0)</f>
        <v/>
      </c>
      <c r="AKP6" s="12">
        <f>AKJ6-AKN6-AKO6</f>
        <v/>
      </c>
      <c r="AKQ6" s="12">
        <f>AKK6+AKK5</f>
        <v/>
      </c>
      <c r="AKR6" s="12">
        <f>AKL6+AKL5</f>
        <v/>
      </c>
      <c r="AKS6" s="12">
        <f>AKM6+AKM5</f>
        <v/>
      </c>
      <c r="AKT6" s="12">
        <f>SUM(AKN$5:AKN6)</f>
        <v/>
      </c>
      <c r="AKU6" s="12">
        <f>SUM(AKO$5:AKO6)</f>
        <v/>
      </c>
      <c r="AKV6" s="12">
        <f>SUM(AKP$5:AKP6)</f>
        <v/>
      </c>
      <c r="AKW6" s="12">
        <f>AKQ6+AKR6+AKS6+AKT6+AKU6+AKV6</f>
        <v/>
      </c>
      <c r="AKX6" s="9">
        <f>AKQ6*BlendedPriceEssMonthly*AKC6+AKR6*BlendedPricePremMonthly*AKC6+AKS6*BlendedPriceEliteMonthly*AKC6+AKT6*BlendedPriceEssAnnual*AKC6/12+AKU6*BlendedPricePremAnnual*AKC6/12+AKV6*BlendedPriceEliteAnnual*AKC6/12</f>
        <v/>
      </c>
      <c r="AKY6" s="9">
        <f>AKX6*12</f>
        <v/>
      </c>
      <c r="AKZ6" s="12">
        <f>AKQ6*BlendedPriceEssMonthly*AKC6+AKR6*BlendedPricePremMonthly*AKC6+AKS6*BlendedPriceEliteMonthly*AKC6</f>
        <v/>
      </c>
      <c r="ALA6" s="12">
        <f>AKN6*BlendedPriceEssAnnual*AKC6+AKO6*BlendedPricePremAnnual*AKC6+AKP6*BlendedPriceEliteAnnual*AKC6</f>
        <v/>
      </c>
      <c r="ALB6" s="12">
        <f>0+0+0</f>
        <v/>
      </c>
      <c r="ALC6" s="9">
        <f>AKZ6+ALA6+ALB6</f>
        <v/>
      </c>
      <c r="ALD6" s="12">
        <f>SUM(ALC$5:ALC6)</f>
        <v/>
      </c>
      <c r="ALE6" s="12">
        <f>OR(ALE5,IF(VATAgentMode,SUM($ALC$5:$ALC6)-SUM($ALJ$5:$ALJ6)&gt;=VATThreshold,SUM($ALC$5:$ALC6)&gt;=VATThreshold))</f>
        <v/>
      </c>
      <c r="ALF6" s="9">
        <f>IF(ALE6,IF(VATAgentMode,ALC6-((ALC6-ALJ6)-(ALC6-ALJ6)/(1+VATRate)),ALC6/(1+VATRate)),ALC6)</f>
        <v/>
      </c>
      <c r="ALG6" s="12">
        <f>ALC6-ALF6</f>
        <v/>
      </c>
      <c r="ALH6" s="12">
        <f>IF(ALE6=0,0,IF(AJZ6=1,SUMPRODUCT(--(($AKA$5:$AKA6=$AKA6-1)*($AJZ$5:$AJZ6&gt;=10)*($AJZ$5:$AJZ6&lt;=12)),$ALG$5:$ALG6),IF(AJZ6=4,SUMPRODUCT(--(($AKA$5:$AKA6=$AKA6)*($AJZ$5:$AJZ6&gt;=1)*($AJZ$5:$AJZ6&lt;=3)),$ALG$5:$ALG6),IF(AJZ6=7,SUMPRODUCT(--(($AKA$5:$AKA6=$AKA6)*($AJZ$5:$AJZ6&gt;=4)*($AJZ$5:$AJZ6&lt;=6)),$ALG$5:$ALG6),IF(AJZ6=10,SUMPRODUCT(--(($AKA$5:$AKA6=$AKA6)*($AJZ$5:$AJZ6&gt;=7)*($AJZ$5:$AJZ6&lt;=9)),$ALG$5:$ALG6),0)))))</f>
        <v/>
      </c>
      <c r="ALI6" s="12">
        <f>ALI5+ALG6-ALH6</f>
        <v/>
      </c>
      <c r="ALJ6" s="12">
        <f>IF(ProviderDelay&gt;=1,AKQ5*BlendedProvPayEss+AKR5*BlendedProvPayPrem+AKS5*BlendedProvPayElite+AKT5*BlendedProvPayEss+AKU5*BlendedProvPayPrem+AKV5*BlendedProvPayElite,AKQ6*BlendedProvPayEss+AKR6*BlendedProvPayPrem+AKS6*BlendedProvPayElite+AKT6*BlendedProvPayEss+AKU6*BlendedProvPayPrem+AKV6*BlendedProvPayElite)</f>
        <v/>
      </c>
      <c r="ALK6" s="12">
        <f>ALC6*PaymentFee</f>
        <v/>
      </c>
      <c r="ALL6" s="12">
        <f>AKW6*OpsAI</f>
        <v/>
      </c>
      <c r="ALM6" s="12">
        <f>MonthlyFixed</f>
        <v/>
      </c>
      <c r="ALN6" s="12">
        <f>AKG6*ReferralReward</f>
        <v/>
      </c>
      <c r="ALO6" s="12">
        <f>AKE6</f>
        <v/>
      </c>
      <c r="ALP6" s="9">
        <f>ALF6-ALJ6-ALK6-ALL6-ALM6-ALN6-ALO6</f>
        <v/>
      </c>
      <c r="ALQ6" s="9">
        <f>ALQ5+ALC6-(ALJ6+ALK6+ALL6+ALM6+ALN6+ALO6+ALH6)</f>
        <v/>
      </c>
      <c r="ALR6" s="12">
        <f>IF(AKW6&gt;0,AKX6/AKW6,0)</f>
        <v/>
      </c>
      <c r="ALS6" s="11">
        <f>IF(AKW5&gt;0,MAX(0,(AKW5+AKH6-AKW6)/AKW5),0)</f>
        <v/>
      </c>
      <c r="ALU6" s="12" t="n">
        <v>2</v>
      </c>
      <c r="ALV6" s="12">
        <f>MOD(ALU6-1+LaunchMonth-1,12)+1</f>
        <v/>
      </c>
      <c r="ALW6" s="12">
        <f>INT((ALU6-1+LaunchMonth-1)/12)+1</f>
        <v/>
      </c>
      <c r="ALX6" s="12">
        <f>VLOOKUP(ALV6,SeasonTable,2,FALSE)</f>
        <v/>
      </c>
      <c r="ALY6" s="12">
        <f>(1+InflationRate)^INT((ALU6-1)/12)</f>
        <v/>
      </c>
      <c r="ALZ6" s="11">
        <f>MonthlyChurn*VLOOKUP(ALV6,ChurnSeasonTable,4,FALSE)</f>
        <v/>
      </c>
      <c r="AMA6" s="12">
        <f>MktFixed1_3</f>
        <v/>
      </c>
      <c r="AMB6" s="12">
        <f>IF(AMA6&gt;0,MAX(1,ROUND(AMA6/'Sens - CAC &amp; Marketing'!$A$11*ALX6,0)),0)</f>
        <v/>
      </c>
      <c r="AMC6" s="12">
        <f>IF(AMB6&gt;0,ROUND(AMB6*ReferralMix/(1-ReferralMix),0),0)</f>
        <v/>
      </c>
      <c r="AMD6" s="12">
        <f>AMB6+AMC6</f>
        <v/>
      </c>
      <c r="AME6" s="12">
        <f>ROUND(AMD6*(1-AnnualMix),0)</f>
        <v/>
      </c>
      <c r="AMF6" s="12">
        <f>AMD6-AME6</f>
        <v/>
      </c>
      <c r="AMG6" s="12">
        <f>ROUND(AME6*EssentialMix,0)</f>
        <v/>
      </c>
      <c r="AMH6" s="12">
        <f>ROUND(AME6*PremiumMix,0)</f>
        <v/>
      </c>
      <c r="AMI6" s="12">
        <f>AME6-AMG6-AMH6</f>
        <v/>
      </c>
      <c r="AMJ6" s="12">
        <f>ROUND(AMF6*EssentialMix,0)</f>
        <v/>
      </c>
      <c r="AMK6" s="12">
        <f>ROUND(AMF6*PremiumMix,0)</f>
        <v/>
      </c>
      <c r="AML6" s="12">
        <f>AMF6-AMJ6-AMK6</f>
        <v/>
      </c>
      <c r="AMM6" s="12">
        <f>AMG6+AMG5</f>
        <v/>
      </c>
      <c r="AMN6" s="12">
        <f>AMH6+AMH5</f>
        <v/>
      </c>
      <c r="AMO6" s="12">
        <f>AMI6+AMI5</f>
        <v/>
      </c>
      <c r="AMP6" s="12">
        <f>SUM(AMJ$5:AMJ6)</f>
        <v/>
      </c>
      <c r="AMQ6" s="12">
        <f>SUM(AMK$5:AMK6)</f>
        <v/>
      </c>
      <c r="AMR6" s="12">
        <f>SUM(AML$5:AML6)</f>
        <v/>
      </c>
      <c r="AMS6" s="12">
        <f>AMM6+AMN6+AMO6+AMP6+AMQ6+AMR6</f>
        <v/>
      </c>
      <c r="AMT6" s="9">
        <f>AMM6*BlendedPriceEssMonthly*ALY6+AMN6*BlendedPricePremMonthly*ALY6+AMO6*BlendedPriceEliteMonthly*ALY6+AMP6*BlendedPriceEssAnnual*ALY6/12+AMQ6*BlendedPricePremAnnual*ALY6/12+AMR6*BlendedPriceEliteAnnual*ALY6/12</f>
        <v/>
      </c>
      <c r="AMU6" s="9">
        <f>AMT6*12</f>
        <v/>
      </c>
      <c r="AMV6" s="12">
        <f>AMM6*BlendedPriceEssMonthly*ALY6+AMN6*BlendedPricePremMonthly*ALY6+AMO6*BlendedPriceEliteMonthly*ALY6</f>
        <v/>
      </c>
      <c r="AMW6" s="12">
        <f>AMJ6*BlendedPriceEssAnnual*ALY6+AMK6*BlendedPricePremAnnual*ALY6+AML6*BlendedPriceEliteAnnual*ALY6</f>
        <v/>
      </c>
      <c r="AMX6" s="12">
        <f>0+0+0</f>
        <v/>
      </c>
      <c r="AMY6" s="9">
        <f>AMV6+AMW6+AMX6</f>
        <v/>
      </c>
      <c r="AMZ6" s="12">
        <f>SUM(AMY$5:AMY6)</f>
        <v/>
      </c>
      <c r="ANA6" s="12">
        <f>OR(ANA5,IF(VATAgentMode,SUM($AMY$5:$AMY6)-SUM($ANF$5:$ANF6)&gt;=VATThreshold,SUM($AMY$5:$AMY6)&gt;=VATThreshold))</f>
        <v/>
      </c>
      <c r="ANB6" s="9">
        <f>IF(ANA6,IF(VATAgentMode,AMY6-((AMY6-ANF6)-(AMY6-ANF6)/(1+VATRate)),AMY6/(1+VATRate)),AMY6)</f>
        <v/>
      </c>
      <c r="ANC6" s="12">
        <f>AMY6-ANB6</f>
        <v/>
      </c>
      <c r="AND6" s="12">
        <f>IF(ANA6=0,0,IF(ALV6=1,SUMPRODUCT(--(($ALW$5:$ALW6=$ALW6-1)*($ALV$5:$ALV6&gt;=10)*($ALV$5:$ALV6&lt;=12)),$ANC$5:$ANC6),IF(ALV6=4,SUMPRODUCT(--(($ALW$5:$ALW6=$ALW6)*($ALV$5:$ALV6&gt;=1)*($ALV$5:$ALV6&lt;=3)),$ANC$5:$ANC6),IF(ALV6=7,SUMPRODUCT(--(($ALW$5:$ALW6=$ALW6)*($ALV$5:$ALV6&gt;=4)*($ALV$5:$ALV6&lt;=6)),$ANC$5:$ANC6),IF(ALV6=10,SUMPRODUCT(--(($ALW$5:$ALW6=$ALW6)*($ALV$5:$ALV6&gt;=7)*($ALV$5:$ALV6&lt;=9)),$ANC$5:$ANC6),0)))))</f>
        <v/>
      </c>
      <c r="ANE6" s="12">
        <f>ANE5+ANC6-AND6</f>
        <v/>
      </c>
      <c r="ANF6" s="12">
        <f>IF(ProviderDelay&gt;=1,AMM5*BlendedProvPayEss+AMN5*BlendedProvPayPrem+AMO5*BlendedProvPayElite+AMP5*BlendedProvPayEss+AMQ5*BlendedProvPayPrem+AMR5*BlendedProvPayElite,AMM6*BlendedProvPayEss+AMN6*BlendedProvPayPrem+AMO6*BlendedProvPayElite+AMP6*BlendedProvPayEss+AMQ6*BlendedProvPayPrem+AMR6*BlendedProvPayElite)</f>
        <v/>
      </c>
      <c r="ANG6" s="12">
        <f>AMY6*PaymentFee</f>
        <v/>
      </c>
      <c r="ANH6" s="12">
        <f>AMS6*OpsAI</f>
        <v/>
      </c>
      <c r="ANI6" s="12">
        <f>MonthlyFixed</f>
        <v/>
      </c>
      <c r="ANJ6" s="12">
        <f>AMC6*ReferralReward</f>
        <v/>
      </c>
      <c r="ANK6" s="12">
        <f>AMA6</f>
        <v/>
      </c>
      <c r="ANL6" s="9">
        <f>ANB6-ANF6-ANG6-ANH6-ANI6-ANJ6-ANK6</f>
        <v/>
      </c>
      <c r="ANM6" s="9">
        <f>ANM5+AMY6-(ANF6+ANG6+ANH6+ANI6+ANJ6+ANK6+AND6)</f>
        <v/>
      </c>
      <c r="ANN6" s="12">
        <f>IF(AMS6&gt;0,AMT6/AMS6,0)</f>
        <v/>
      </c>
      <c r="ANO6" s="11">
        <f>IF(AMS5&gt;0,MAX(0,(AMS5+AMD6-AMS6)/AMS5),0)</f>
        <v/>
      </c>
      <c r="ANQ6" s="12" t="n">
        <v>2</v>
      </c>
      <c r="ANR6" s="12">
        <f>MOD(ANQ6-1+LaunchMonth-1,12)+1</f>
        <v/>
      </c>
      <c r="ANS6" s="12">
        <f>INT((ANQ6-1+LaunchMonth-1)/12)+1</f>
        <v/>
      </c>
      <c r="ANT6" s="12">
        <f>VLOOKUP(ANR6,SeasonTable,2,FALSE)</f>
        <v/>
      </c>
      <c r="ANU6" s="12">
        <f>(1+InflationRate)^INT((ANQ6-1)/12)</f>
        <v/>
      </c>
      <c r="ANV6" s="11">
        <f>MonthlyChurn*VLOOKUP(ANR6,ChurnSeasonTable,4,FALSE)</f>
        <v/>
      </c>
      <c r="ANW6" s="12">
        <f>MktFixed1_3</f>
        <v/>
      </c>
      <c r="ANX6" s="12">
        <f>IF(ANW6&gt;0,MAX(1,ROUND(ANW6/'Sens - CAC &amp; Marketing'!$A$12*ANT6,0)),0)</f>
        <v/>
      </c>
      <c r="ANY6" s="12">
        <f>IF(ANX6&gt;0,ROUND(ANX6*ReferralMix/(1-ReferralMix),0),0)</f>
        <v/>
      </c>
      <c r="ANZ6" s="12">
        <f>ANX6+ANY6</f>
        <v/>
      </c>
      <c r="AOA6" s="12">
        <f>ROUND(ANZ6*(1-AnnualMix),0)</f>
        <v/>
      </c>
      <c r="AOB6" s="12">
        <f>ANZ6-AOA6</f>
        <v/>
      </c>
      <c r="AOC6" s="12">
        <f>ROUND(AOA6*EssentialMix,0)</f>
        <v/>
      </c>
      <c r="AOD6" s="12">
        <f>ROUND(AOA6*PremiumMix,0)</f>
        <v/>
      </c>
      <c r="AOE6" s="12">
        <f>AOA6-AOC6-AOD6</f>
        <v/>
      </c>
      <c r="AOF6" s="12">
        <f>ROUND(AOB6*EssentialMix,0)</f>
        <v/>
      </c>
      <c r="AOG6" s="12">
        <f>ROUND(AOB6*PremiumMix,0)</f>
        <v/>
      </c>
      <c r="AOH6" s="12">
        <f>AOB6-AOF6-AOG6</f>
        <v/>
      </c>
      <c r="AOI6" s="12">
        <f>AOC6+AOC5</f>
        <v/>
      </c>
      <c r="AOJ6" s="12">
        <f>AOD6+AOD5</f>
        <v/>
      </c>
      <c r="AOK6" s="12">
        <f>AOE6+AOE5</f>
        <v/>
      </c>
      <c r="AOL6" s="12">
        <f>SUM(AOF$5:AOF6)</f>
        <v/>
      </c>
      <c r="AOM6" s="12">
        <f>SUM(AOG$5:AOG6)</f>
        <v/>
      </c>
      <c r="AON6" s="12">
        <f>SUM(AOH$5:AOH6)</f>
        <v/>
      </c>
      <c r="AOO6" s="12">
        <f>AOI6+AOJ6+AOK6+AOL6+AOM6+AON6</f>
        <v/>
      </c>
      <c r="AOP6" s="9">
        <f>AOI6*BlendedPriceEssMonthly*ANU6+AOJ6*BlendedPricePremMonthly*ANU6+AOK6*BlendedPriceEliteMonthly*ANU6+AOL6*BlendedPriceEssAnnual*ANU6/12+AOM6*BlendedPricePremAnnual*ANU6/12+AON6*BlendedPriceEliteAnnual*ANU6/12</f>
        <v/>
      </c>
      <c r="AOQ6" s="9">
        <f>AOP6*12</f>
        <v/>
      </c>
      <c r="AOR6" s="12">
        <f>AOI6*BlendedPriceEssMonthly*ANU6+AOJ6*BlendedPricePremMonthly*ANU6+AOK6*BlendedPriceEliteMonthly*ANU6</f>
        <v/>
      </c>
      <c r="AOS6" s="12">
        <f>AOF6*BlendedPriceEssAnnual*ANU6+AOG6*BlendedPricePremAnnual*ANU6+AOH6*BlendedPriceEliteAnnual*ANU6</f>
        <v/>
      </c>
      <c r="AOT6" s="12">
        <f>0+0+0</f>
        <v/>
      </c>
      <c r="AOU6" s="9">
        <f>AOR6+AOS6+AOT6</f>
        <v/>
      </c>
      <c r="AOV6" s="12">
        <f>SUM(AOU$5:AOU6)</f>
        <v/>
      </c>
      <c r="AOW6" s="12">
        <f>OR(AOW5,IF(VATAgentMode,SUM($AOU$5:$AOU6)-SUM($APB$5:$APB6)&gt;=VATThreshold,SUM($AOU$5:$AOU6)&gt;=VATThreshold))</f>
        <v/>
      </c>
      <c r="AOX6" s="9">
        <f>IF(AOW6,IF(VATAgentMode,AOU6-((AOU6-APB6)-(AOU6-APB6)/(1+VATRate)),AOU6/(1+VATRate)),AOU6)</f>
        <v/>
      </c>
      <c r="AOY6" s="12">
        <f>AOU6-AOX6</f>
        <v/>
      </c>
      <c r="AOZ6" s="12">
        <f>IF(AOW6=0,0,IF(ANR6=1,SUMPRODUCT(--(($ANS$5:$ANS6=$ANS6-1)*($ANR$5:$ANR6&gt;=10)*($ANR$5:$ANR6&lt;=12)),$AOY$5:$AOY6),IF(ANR6=4,SUMPRODUCT(--(($ANS$5:$ANS6=$ANS6)*($ANR$5:$ANR6&gt;=1)*($ANR$5:$ANR6&lt;=3)),$AOY$5:$AOY6),IF(ANR6=7,SUMPRODUCT(--(($ANS$5:$ANS6=$ANS6)*($ANR$5:$ANR6&gt;=4)*($ANR$5:$ANR6&lt;=6)),$AOY$5:$AOY6),IF(ANR6=10,SUMPRODUCT(--(($ANS$5:$ANS6=$ANS6)*($ANR$5:$ANR6&gt;=7)*($ANR$5:$ANR6&lt;=9)),$AOY$5:$AOY6),0)))))</f>
        <v/>
      </c>
      <c r="APA6" s="12">
        <f>APA5+AOY6-AOZ6</f>
        <v/>
      </c>
      <c r="APB6" s="12">
        <f>IF(ProviderDelay&gt;=1,AOI5*BlendedProvPayEss+AOJ5*BlendedProvPayPrem+AOK5*BlendedProvPayElite+AOL5*BlendedProvPayEss+AOM5*BlendedProvPayPrem+AON5*BlendedProvPayElite,AOI6*BlendedProvPayEss+AOJ6*BlendedProvPayPrem+AOK6*BlendedProvPayElite+AOL6*BlendedProvPayEss+AOM6*BlendedProvPayPrem+AON6*BlendedProvPayElite)</f>
        <v/>
      </c>
      <c r="APC6" s="12">
        <f>AOU6*PaymentFee</f>
        <v/>
      </c>
      <c r="APD6" s="12">
        <f>AOO6*OpsAI</f>
        <v/>
      </c>
      <c r="APE6" s="12">
        <f>MonthlyFixed</f>
        <v/>
      </c>
      <c r="APF6" s="12">
        <f>ANY6*ReferralReward</f>
        <v/>
      </c>
      <c r="APG6" s="12">
        <f>ANW6</f>
        <v/>
      </c>
      <c r="APH6" s="9">
        <f>AOX6-APB6-APC6-APD6-APE6-APF6-APG6</f>
        <v/>
      </c>
      <c r="API6" s="9">
        <f>API5+AOU6-(APB6+APC6+APD6+APE6+APF6+APG6+AOZ6)</f>
        <v/>
      </c>
      <c r="APJ6" s="12">
        <f>IF(AOO6&gt;0,AOP6/AOO6,0)</f>
        <v/>
      </c>
      <c r="APK6" s="11">
        <f>IF(AOO5&gt;0,MAX(0,(AOO5+ANZ6-AOO6)/AOO5),0)</f>
        <v/>
      </c>
      <c r="APM6" s="12" t="n">
        <v>2</v>
      </c>
      <c r="APN6" s="12">
        <f>MOD(APM6-1+LaunchMonth-1,12)+1</f>
        <v/>
      </c>
      <c r="APO6" s="12">
        <f>INT((APM6-1+LaunchMonth-1)/12)+1</f>
        <v/>
      </c>
      <c r="APP6" s="12">
        <f>VLOOKUP(APN6,SeasonTable,2,FALSE)</f>
        <v/>
      </c>
      <c r="APQ6" s="12">
        <f>(1+InflationRate)^INT((APM6-1)/12)</f>
        <v/>
      </c>
      <c r="APR6" s="11">
        <f>MonthlyChurn*VLOOKUP(APN6,ChurnSeasonTable,4,FALSE)</f>
        <v/>
      </c>
      <c r="APS6" s="12">
        <f>MktFixed1_3</f>
        <v/>
      </c>
      <c r="APT6" s="12">
        <f>IF(APS6&gt;0,MAX(1,ROUND(APS6/'Sens - CAC &amp; Marketing'!$A$13*APP6,0)),0)</f>
        <v/>
      </c>
      <c r="APU6" s="12">
        <f>IF(APT6&gt;0,ROUND(APT6*ReferralMix/(1-ReferralMix),0),0)</f>
        <v/>
      </c>
      <c r="APV6" s="12">
        <f>APT6+APU6</f>
        <v/>
      </c>
      <c r="APW6" s="12">
        <f>ROUND(APV6*(1-AnnualMix),0)</f>
        <v/>
      </c>
      <c r="APX6" s="12">
        <f>APV6-APW6</f>
        <v/>
      </c>
      <c r="APY6" s="12">
        <f>ROUND(APW6*EssentialMix,0)</f>
        <v/>
      </c>
      <c r="APZ6" s="12">
        <f>ROUND(APW6*PremiumMix,0)</f>
        <v/>
      </c>
      <c r="AQA6" s="12">
        <f>APW6-APY6-APZ6</f>
        <v/>
      </c>
      <c r="AQB6" s="12">
        <f>ROUND(APX6*EssentialMix,0)</f>
        <v/>
      </c>
      <c r="AQC6" s="12">
        <f>ROUND(APX6*PremiumMix,0)</f>
        <v/>
      </c>
      <c r="AQD6" s="12">
        <f>APX6-AQB6-AQC6</f>
        <v/>
      </c>
      <c r="AQE6" s="12">
        <f>APY6+APY5</f>
        <v/>
      </c>
      <c r="AQF6" s="12">
        <f>APZ6+APZ5</f>
        <v/>
      </c>
      <c r="AQG6" s="12">
        <f>AQA6+AQA5</f>
        <v/>
      </c>
      <c r="AQH6" s="12">
        <f>SUM(AQB$5:AQB6)</f>
        <v/>
      </c>
      <c r="AQI6" s="12">
        <f>SUM(AQC$5:AQC6)</f>
        <v/>
      </c>
      <c r="AQJ6" s="12">
        <f>SUM(AQD$5:AQD6)</f>
        <v/>
      </c>
      <c r="AQK6" s="12">
        <f>AQE6+AQF6+AQG6+AQH6+AQI6+AQJ6</f>
        <v/>
      </c>
      <c r="AQL6" s="9">
        <f>AQE6*BlendedPriceEssMonthly*APQ6+AQF6*BlendedPricePremMonthly*APQ6+AQG6*BlendedPriceEliteMonthly*APQ6+AQH6*BlendedPriceEssAnnual*APQ6/12+AQI6*BlendedPricePremAnnual*APQ6/12+AQJ6*BlendedPriceEliteAnnual*APQ6/12</f>
        <v/>
      </c>
      <c r="AQM6" s="9">
        <f>AQL6*12</f>
        <v/>
      </c>
      <c r="AQN6" s="12">
        <f>AQE6*BlendedPriceEssMonthly*APQ6+AQF6*BlendedPricePremMonthly*APQ6+AQG6*BlendedPriceEliteMonthly*APQ6</f>
        <v/>
      </c>
      <c r="AQO6" s="12">
        <f>AQB6*BlendedPriceEssAnnual*APQ6+AQC6*BlendedPricePremAnnual*APQ6+AQD6*BlendedPriceEliteAnnual*APQ6</f>
        <v/>
      </c>
      <c r="AQP6" s="12">
        <f>0+0+0</f>
        <v/>
      </c>
      <c r="AQQ6" s="9">
        <f>AQN6+AQO6+AQP6</f>
        <v/>
      </c>
      <c r="AQR6" s="12">
        <f>SUM(AQQ$5:AQQ6)</f>
        <v/>
      </c>
      <c r="AQS6" s="12">
        <f>OR(AQS5,IF(VATAgentMode,SUM($AQQ$5:$AQQ6)-SUM($AQX$5:$AQX6)&gt;=VATThreshold,SUM($AQQ$5:$AQQ6)&gt;=VATThreshold))</f>
        <v/>
      </c>
      <c r="AQT6" s="9">
        <f>IF(AQS6,IF(VATAgentMode,AQQ6-((AQQ6-AQX6)-(AQQ6-AQX6)/(1+VATRate)),AQQ6/(1+VATRate)),AQQ6)</f>
        <v/>
      </c>
      <c r="AQU6" s="12">
        <f>AQQ6-AQT6</f>
        <v/>
      </c>
      <c r="AQV6" s="12">
        <f>IF(AQS6=0,0,IF(APN6=1,SUMPRODUCT(--(($APO$5:$APO6=$APO6-1)*($APN$5:$APN6&gt;=10)*($APN$5:$APN6&lt;=12)),$AQU$5:$AQU6),IF(APN6=4,SUMPRODUCT(--(($APO$5:$APO6=$APO6)*($APN$5:$APN6&gt;=1)*($APN$5:$APN6&lt;=3)),$AQU$5:$AQU6),IF(APN6=7,SUMPRODUCT(--(($APO$5:$APO6=$APO6)*($APN$5:$APN6&gt;=4)*($APN$5:$APN6&lt;=6)),$AQU$5:$AQU6),IF(APN6=10,SUMPRODUCT(--(($APO$5:$APO6=$APO6)*($APN$5:$APN6&gt;=7)*($APN$5:$APN6&lt;=9)),$AQU$5:$AQU6),0)))))</f>
        <v/>
      </c>
      <c r="AQW6" s="12">
        <f>AQW5+AQU6-AQV6</f>
        <v/>
      </c>
      <c r="AQX6" s="12">
        <f>IF(ProviderDelay&gt;=1,AQE5*BlendedProvPayEss+AQF5*BlendedProvPayPrem+AQG5*BlendedProvPayElite+AQH5*BlendedProvPayEss+AQI5*BlendedProvPayPrem+AQJ5*BlendedProvPayElite,AQE6*BlendedProvPayEss+AQF6*BlendedProvPayPrem+AQG6*BlendedProvPayElite+AQH6*BlendedProvPayEss+AQI6*BlendedProvPayPrem+AQJ6*BlendedProvPayElite)</f>
        <v/>
      </c>
      <c r="AQY6" s="12">
        <f>AQQ6*PaymentFee</f>
        <v/>
      </c>
      <c r="AQZ6" s="12">
        <f>AQK6*OpsAI</f>
        <v/>
      </c>
      <c r="ARA6" s="12">
        <f>MonthlyFixed</f>
        <v/>
      </c>
      <c r="ARB6" s="12">
        <f>APU6*ReferralReward</f>
        <v/>
      </c>
      <c r="ARC6" s="12">
        <f>APS6</f>
        <v/>
      </c>
      <c r="ARD6" s="9">
        <f>AQT6-AQX6-AQY6-AQZ6-ARA6-ARB6-ARC6</f>
        <v/>
      </c>
      <c r="ARE6" s="9">
        <f>ARE5+AQQ6-(AQX6+AQY6+AQZ6+ARA6+ARB6+ARC6+AQV6)</f>
        <v/>
      </c>
      <c r="ARF6" s="12">
        <f>IF(AQK6&gt;0,AQL6/AQK6,0)</f>
        <v/>
      </c>
      <c r="ARG6" s="11">
        <f>IF(AQK5&gt;0,MAX(0,(AQK5+APV6-AQK6)/AQK5),0)</f>
        <v/>
      </c>
      <c r="ARI6" s="12" t="n">
        <v>2</v>
      </c>
      <c r="ARJ6" s="12">
        <f>MOD(ARI6-1+LaunchMonth-1,12)+1</f>
        <v/>
      </c>
      <c r="ARK6" s="12">
        <f>INT((ARI6-1+LaunchMonth-1)/12)+1</f>
        <v/>
      </c>
      <c r="ARL6" s="12">
        <f>VLOOKUP(ARJ6,SeasonTable,2,FALSE)</f>
        <v/>
      </c>
      <c r="ARM6" s="12">
        <f>(1+InflationRate)^INT((ARI6-1)/12)</f>
        <v/>
      </c>
      <c r="ARN6" s="11">
        <f>MonthlyChurn*VLOOKUP(ARJ6,ChurnSeasonTable,4,FALSE)</f>
        <v/>
      </c>
      <c r="ARO6" s="12">
        <f>MktFixed1_3</f>
        <v/>
      </c>
      <c r="ARP6" s="12">
        <f>IF(ARO6&gt;0,MAX(1,ROUND(ARO6/'Sens - CAC &amp; Marketing'!$A$14*ARL6,0)),0)</f>
        <v/>
      </c>
      <c r="ARQ6" s="12">
        <f>IF(ARP6&gt;0,ROUND(ARP6*ReferralMix/(1-ReferralMix),0),0)</f>
        <v/>
      </c>
      <c r="ARR6" s="12">
        <f>ARP6+ARQ6</f>
        <v/>
      </c>
      <c r="ARS6" s="12">
        <f>ROUND(ARR6*(1-AnnualMix),0)</f>
        <v/>
      </c>
      <c r="ART6" s="12">
        <f>ARR6-ARS6</f>
        <v/>
      </c>
      <c r="ARU6" s="12">
        <f>ROUND(ARS6*EssentialMix,0)</f>
        <v/>
      </c>
      <c r="ARV6" s="12">
        <f>ROUND(ARS6*PremiumMix,0)</f>
        <v/>
      </c>
      <c r="ARW6" s="12">
        <f>ARS6-ARU6-ARV6</f>
        <v/>
      </c>
      <c r="ARX6" s="12">
        <f>ROUND(ART6*EssentialMix,0)</f>
        <v/>
      </c>
      <c r="ARY6" s="12">
        <f>ROUND(ART6*PremiumMix,0)</f>
        <v/>
      </c>
      <c r="ARZ6" s="12">
        <f>ART6-ARX6-ARY6</f>
        <v/>
      </c>
      <c r="ASA6" s="12">
        <f>ARU6+ARU5</f>
        <v/>
      </c>
      <c r="ASB6" s="12">
        <f>ARV6+ARV5</f>
        <v/>
      </c>
      <c r="ASC6" s="12">
        <f>ARW6+ARW5</f>
        <v/>
      </c>
      <c r="ASD6" s="12">
        <f>SUM(ARX$5:ARX6)</f>
        <v/>
      </c>
      <c r="ASE6" s="12">
        <f>SUM(ARY$5:ARY6)</f>
        <v/>
      </c>
      <c r="ASF6" s="12">
        <f>SUM(ARZ$5:ARZ6)</f>
        <v/>
      </c>
      <c r="ASG6" s="12">
        <f>ASA6+ASB6+ASC6+ASD6+ASE6+ASF6</f>
        <v/>
      </c>
      <c r="ASH6" s="9">
        <f>ASA6*BlendedPriceEssMonthly*ARM6+ASB6*BlendedPricePremMonthly*ARM6+ASC6*BlendedPriceEliteMonthly*ARM6+ASD6*BlendedPriceEssAnnual*ARM6/12+ASE6*BlendedPricePremAnnual*ARM6/12+ASF6*BlendedPriceEliteAnnual*ARM6/12</f>
        <v/>
      </c>
      <c r="ASI6" s="9">
        <f>ASH6*12</f>
        <v/>
      </c>
      <c r="ASJ6" s="12">
        <f>ASA6*BlendedPriceEssMonthly*ARM6+ASB6*BlendedPricePremMonthly*ARM6+ASC6*BlendedPriceEliteMonthly*ARM6</f>
        <v/>
      </c>
      <c r="ASK6" s="12">
        <f>ARX6*BlendedPriceEssAnnual*ARM6+ARY6*BlendedPricePremAnnual*ARM6+ARZ6*BlendedPriceEliteAnnual*ARM6</f>
        <v/>
      </c>
      <c r="ASL6" s="12">
        <f>0+0+0</f>
        <v/>
      </c>
      <c r="ASM6" s="9">
        <f>ASJ6+ASK6+ASL6</f>
        <v/>
      </c>
      <c r="ASN6" s="12">
        <f>SUM(ASM$5:ASM6)</f>
        <v/>
      </c>
      <c r="ASO6" s="12">
        <f>OR(ASO5,IF(VATAgentMode,SUM($ASM$5:$ASM6)-SUM($AST$5:$AST6)&gt;=VATThreshold,SUM($ASM$5:$ASM6)&gt;=VATThreshold))</f>
        <v/>
      </c>
      <c r="ASP6" s="9">
        <f>IF(ASO6,IF(VATAgentMode,ASM6-((ASM6-AST6)-(ASM6-AST6)/(1+VATRate)),ASM6/(1+VATRate)),ASM6)</f>
        <v/>
      </c>
      <c r="ASQ6" s="12">
        <f>ASM6-ASP6</f>
        <v/>
      </c>
      <c r="ASR6" s="12">
        <f>IF(ASO6=0,0,IF(ARJ6=1,SUMPRODUCT(--(($ARK$5:$ARK6=$ARK6-1)*($ARJ$5:$ARJ6&gt;=10)*($ARJ$5:$ARJ6&lt;=12)),$ASQ$5:$ASQ6),IF(ARJ6=4,SUMPRODUCT(--(($ARK$5:$ARK6=$ARK6)*($ARJ$5:$ARJ6&gt;=1)*($ARJ$5:$ARJ6&lt;=3)),$ASQ$5:$ASQ6),IF(ARJ6=7,SUMPRODUCT(--(($ARK$5:$ARK6=$ARK6)*($ARJ$5:$ARJ6&gt;=4)*($ARJ$5:$ARJ6&lt;=6)),$ASQ$5:$ASQ6),IF(ARJ6=10,SUMPRODUCT(--(($ARK$5:$ARK6=$ARK6)*($ARJ$5:$ARJ6&gt;=7)*($ARJ$5:$ARJ6&lt;=9)),$ASQ$5:$ASQ6),0)))))</f>
        <v/>
      </c>
      <c r="ASS6" s="12">
        <f>ASS5+ASQ6-ASR6</f>
        <v/>
      </c>
      <c r="AST6" s="12">
        <f>IF(ProviderDelay&gt;=1,ASA5*BlendedProvPayEss+ASB5*BlendedProvPayPrem+ASC5*BlendedProvPayElite+ASD5*BlendedProvPayEss+ASE5*BlendedProvPayPrem+ASF5*BlendedProvPayElite,ASA6*BlendedProvPayEss+ASB6*BlendedProvPayPrem+ASC6*BlendedProvPayElite+ASD6*BlendedProvPayEss+ASE6*BlendedProvPayPrem+ASF6*BlendedProvPayElite)</f>
        <v/>
      </c>
      <c r="ASU6" s="12">
        <f>ASM6*PaymentFee</f>
        <v/>
      </c>
      <c r="ASV6" s="12">
        <f>ASG6*OpsAI</f>
        <v/>
      </c>
      <c r="ASW6" s="12">
        <f>MonthlyFixed</f>
        <v/>
      </c>
      <c r="ASX6" s="12">
        <f>ARQ6*ReferralReward</f>
        <v/>
      </c>
      <c r="ASY6" s="12">
        <f>ARO6</f>
        <v/>
      </c>
      <c r="ASZ6" s="9">
        <f>ASP6-AST6-ASU6-ASV6-ASW6-ASX6-ASY6</f>
        <v/>
      </c>
      <c r="ATA6" s="9">
        <f>ATA5+ASM6-(AST6+ASU6+ASV6+ASW6+ASX6+ASY6+ASR6)</f>
        <v/>
      </c>
      <c r="ATB6" s="12">
        <f>IF(ASG6&gt;0,ASH6/ASG6,0)</f>
        <v/>
      </c>
      <c r="ATC6" s="11">
        <f>IF(ASG5&gt;0,MAX(0,(ASG5+ARR6-ASG6)/ASG5),0)</f>
        <v/>
      </c>
      <c r="ATE6" s="12" t="n">
        <v>2</v>
      </c>
      <c r="ATF6" s="12">
        <f>MOD(ATE6-1+LaunchMonth-1,12)+1</f>
        <v/>
      </c>
      <c r="ATG6" s="12">
        <f>INT((ATE6-1+LaunchMonth-1)/12)+1</f>
        <v/>
      </c>
      <c r="ATH6" s="12">
        <f>VLOOKUP(ATF6,SeasonTable,2,FALSE)</f>
        <v/>
      </c>
      <c r="ATI6" s="12">
        <f>(1+InflationRate)^INT((ATE6-1)/12)</f>
        <v/>
      </c>
      <c r="ATJ6" s="11">
        <f>MonthlyChurn*VLOOKUP(ATF6,ChurnSeasonTable,4,FALSE)</f>
        <v/>
      </c>
      <c r="ATK6" s="12">
        <f>MktFixed1_3</f>
        <v/>
      </c>
      <c r="ATL6" s="12">
        <f>IF(ATK6&gt;0,MAX(1,ROUND(ATK6/'Sens - CAC &amp; Marketing'!$A$15*ATH6,0)),0)</f>
        <v/>
      </c>
      <c r="ATM6" s="12">
        <f>IF(ATL6&gt;0,ROUND(ATL6*ReferralMix/(1-ReferralMix),0),0)</f>
        <v/>
      </c>
      <c r="ATN6" s="12">
        <f>ATL6+ATM6</f>
        <v/>
      </c>
      <c r="ATO6" s="12">
        <f>ROUND(ATN6*(1-AnnualMix),0)</f>
        <v/>
      </c>
      <c r="ATP6" s="12">
        <f>ATN6-ATO6</f>
        <v/>
      </c>
      <c r="ATQ6" s="12">
        <f>ROUND(ATO6*EssentialMix,0)</f>
        <v/>
      </c>
      <c r="ATR6" s="12">
        <f>ROUND(ATO6*PremiumMix,0)</f>
        <v/>
      </c>
      <c r="ATS6" s="12">
        <f>ATO6-ATQ6-ATR6</f>
        <v/>
      </c>
      <c r="ATT6" s="12">
        <f>ROUND(ATP6*EssentialMix,0)</f>
        <v/>
      </c>
      <c r="ATU6" s="12">
        <f>ROUND(ATP6*PremiumMix,0)</f>
        <v/>
      </c>
      <c r="ATV6" s="12">
        <f>ATP6-ATT6-ATU6</f>
        <v/>
      </c>
      <c r="ATW6" s="12">
        <f>ATQ6+ATQ5</f>
        <v/>
      </c>
      <c r="ATX6" s="12">
        <f>ATR6+ATR5</f>
        <v/>
      </c>
      <c r="ATY6" s="12">
        <f>ATS6+ATS5</f>
        <v/>
      </c>
      <c r="ATZ6" s="12">
        <f>SUM(ATT$5:ATT6)</f>
        <v/>
      </c>
      <c r="AUA6" s="12">
        <f>SUM(ATU$5:ATU6)</f>
        <v/>
      </c>
      <c r="AUB6" s="12">
        <f>SUM(ATV$5:ATV6)</f>
        <v/>
      </c>
      <c r="AUC6" s="12">
        <f>ATW6+ATX6+ATY6+ATZ6+AUA6+AUB6</f>
        <v/>
      </c>
      <c r="AUD6" s="9">
        <f>ATW6*BlendedPriceEssMonthly*ATI6+ATX6*BlendedPricePremMonthly*ATI6+ATY6*BlendedPriceEliteMonthly*ATI6+ATZ6*BlendedPriceEssAnnual*ATI6/12+AUA6*BlendedPricePremAnnual*ATI6/12+AUB6*BlendedPriceEliteAnnual*ATI6/12</f>
        <v/>
      </c>
      <c r="AUE6" s="9">
        <f>AUD6*12</f>
        <v/>
      </c>
      <c r="AUF6" s="12">
        <f>ATW6*BlendedPriceEssMonthly*ATI6+ATX6*BlendedPricePremMonthly*ATI6+ATY6*BlendedPriceEliteMonthly*ATI6</f>
        <v/>
      </c>
      <c r="AUG6" s="12">
        <f>ATT6*BlendedPriceEssAnnual*ATI6+ATU6*BlendedPricePremAnnual*ATI6+ATV6*BlendedPriceEliteAnnual*ATI6</f>
        <v/>
      </c>
      <c r="AUH6" s="12">
        <f>0+0+0</f>
        <v/>
      </c>
      <c r="AUI6" s="9">
        <f>AUF6+AUG6+AUH6</f>
        <v/>
      </c>
      <c r="AUJ6" s="12">
        <f>SUM(AUI$5:AUI6)</f>
        <v/>
      </c>
      <c r="AUK6" s="12">
        <f>OR(AUK5,IF(VATAgentMode,SUM($AUI$5:$AUI6)-SUM($AUP$5:$AUP6)&gt;=VATThreshold,SUM($AUI$5:$AUI6)&gt;=VATThreshold))</f>
        <v/>
      </c>
      <c r="AUL6" s="9">
        <f>IF(AUK6,IF(VATAgentMode,AUI6-((AUI6-AUP6)-(AUI6-AUP6)/(1+VATRate)),AUI6/(1+VATRate)),AUI6)</f>
        <v/>
      </c>
      <c r="AUM6" s="12">
        <f>AUI6-AUL6</f>
        <v/>
      </c>
      <c r="AUN6" s="12">
        <f>IF(AUK6=0,0,IF(ATF6=1,SUMPRODUCT(--(($ATG$5:$ATG6=$ATG6-1)*($ATF$5:$ATF6&gt;=10)*($ATF$5:$ATF6&lt;=12)),$AUM$5:$AUM6),IF(ATF6=4,SUMPRODUCT(--(($ATG$5:$ATG6=$ATG6)*($ATF$5:$ATF6&gt;=1)*($ATF$5:$ATF6&lt;=3)),$AUM$5:$AUM6),IF(ATF6=7,SUMPRODUCT(--(($ATG$5:$ATG6=$ATG6)*($ATF$5:$ATF6&gt;=4)*($ATF$5:$ATF6&lt;=6)),$AUM$5:$AUM6),IF(ATF6=10,SUMPRODUCT(--(($ATG$5:$ATG6=$ATG6)*($ATF$5:$ATF6&gt;=7)*($ATF$5:$ATF6&lt;=9)),$AUM$5:$AUM6),0)))))</f>
        <v/>
      </c>
      <c r="AUO6" s="12">
        <f>AUO5+AUM6-AUN6</f>
        <v/>
      </c>
      <c r="AUP6" s="12">
        <f>IF(ProviderDelay&gt;=1,ATW5*BlendedProvPayEss+ATX5*BlendedProvPayPrem+ATY5*BlendedProvPayElite+ATZ5*BlendedProvPayEss+AUA5*BlendedProvPayPrem+AUB5*BlendedProvPayElite,ATW6*BlendedProvPayEss+ATX6*BlendedProvPayPrem+ATY6*BlendedProvPayElite+ATZ6*BlendedProvPayEss+AUA6*BlendedProvPayPrem+AUB6*BlendedProvPayElite)</f>
        <v/>
      </c>
      <c r="AUQ6" s="12">
        <f>AUI6*PaymentFee</f>
        <v/>
      </c>
      <c r="AUR6" s="12">
        <f>AUC6*OpsAI</f>
        <v/>
      </c>
      <c r="AUS6" s="12">
        <f>MonthlyFixed</f>
        <v/>
      </c>
      <c r="AUT6" s="12">
        <f>ATM6*ReferralReward</f>
        <v/>
      </c>
      <c r="AUU6" s="12">
        <f>ATK6</f>
        <v/>
      </c>
      <c r="AUV6" s="9">
        <f>AUL6-AUP6-AUQ6-AUR6-AUS6-AUT6-AUU6</f>
        <v/>
      </c>
      <c r="AUW6" s="9">
        <f>AUW5+AUI6-(AUP6+AUQ6+AUR6+AUS6+AUT6+AUU6+AUN6)</f>
        <v/>
      </c>
      <c r="AUX6" s="12">
        <f>IF(AUC6&gt;0,AUD6/AUC6,0)</f>
        <v/>
      </c>
      <c r="AUY6" s="11">
        <f>IF(AUC5&gt;0,MAX(0,(AUC5+ATN6-AUC6)/AUC5),0)</f>
        <v/>
      </c>
      <c r="AVA6" s="12" t="n">
        <v>2</v>
      </c>
      <c r="AVB6" s="12">
        <f>MOD(AVA6-1+LaunchMonth-1,12)+1</f>
        <v/>
      </c>
      <c r="AVC6" s="12">
        <f>INT((AVA6-1+LaunchMonth-1)/12)+1</f>
        <v/>
      </c>
      <c r="AVD6" s="12">
        <f>VLOOKUP(AVB6,WinterPivotSeasonTable,5,FALSE)</f>
        <v/>
      </c>
      <c r="AVE6" s="12">
        <f>(1+InflationRate)^INT((AVA6-1)/12)</f>
        <v/>
      </c>
      <c r="AVF6" s="11">
        <f>MonthlyChurn*VLOOKUP(AVB6,WinterPivotChurnTable,6,FALSE)</f>
        <v/>
      </c>
      <c r="AVG6" s="12">
        <f>MktFixed1_3</f>
        <v/>
      </c>
      <c r="AVH6" s="12">
        <f>IF(AVG6&gt;0,MAX(1,ROUND(AVG6/CAC*AVD6,0)),0)</f>
        <v/>
      </c>
      <c r="AVI6" s="12">
        <f>IF(AVH6&gt;0,ROUND(AVH6*ReferralMix/(1-ReferralMix),0),0)</f>
        <v/>
      </c>
      <c r="AVJ6" s="12">
        <f>AVH6+AVI6</f>
        <v/>
      </c>
      <c r="AVK6" s="12">
        <f>ROUND(AVJ6*(1-AnnualMix),0)</f>
        <v/>
      </c>
      <c r="AVL6" s="12">
        <f>AVJ6-AVK6</f>
        <v/>
      </c>
      <c r="AVM6" s="12">
        <f>ROUND(AVK6*'Sens - Winter Pivot'!$B$6,0)</f>
        <v/>
      </c>
      <c r="AVN6" s="12">
        <f>ROUND(AVK6*PremiumMix,0)</f>
        <v/>
      </c>
      <c r="AVO6" s="12">
        <f>AVK6-AVM6-AVN6</f>
        <v/>
      </c>
      <c r="AVP6" s="12">
        <f>ROUND(AVL6*'Sens - Winter Pivot'!$B$6,0)</f>
        <v/>
      </c>
      <c r="AVQ6" s="12">
        <f>ROUND(AVL6*PremiumMix,0)</f>
        <v/>
      </c>
      <c r="AVR6" s="12">
        <f>AVL6-AVP6-AVQ6</f>
        <v/>
      </c>
      <c r="AVS6" s="12">
        <f>AVM6+AVM5</f>
        <v/>
      </c>
      <c r="AVT6" s="12">
        <f>AVN6+AVN5</f>
        <v/>
      </c>
      <c r="AVU6" s="12">
        <f>AVO6+AVO5</f>
        <v/>
      </c>
      <c r="AVV6" s="12">
        <f>SUM(AVP$5:AVP6)</f>
        <v/>
      </c>
      <c r="AVW6" s="12">
        <f>SUM(AVQ$5:AVQ6)</f>
        <v/>
      </c>
      <c r="AVX6" s="12">
        <f>SUM(AVR$5:AVR6)</f>
        <v/>
      </c>
      <c r="AVY6" s="12">
        <f>AVS6+AVT6+AVU6+AVV6+AVW6+AVX6</f>
        <v/>
      </c>
      <c r="AVZ6" s="9">
        <f>AVS6*BlendedPriceEssMonthly*AVE6+AVT6*(BlendedPricePremMonthly+'Sens - Winter Pivot'!$B$7)*AVE6+AVU6*BlendedPriceEliteMonthly*AVE6+AVV6*BlendedPriceEssAnnual*AVE6/12+AVW6*(BlendedPricePremAnnual+'Sens - Winter Pivot'!$B$7*12)*AVE6/12+AVX6*BlendedPriceEliteAnnual*AVE6/12</f>
        <v/>
      </c>
      <c r="AWA6" s="9">
        <f>AVZ6*12</f>
        <v/>
      </c>
      <c r="AWB6" s="12">
        <f>AVS6*BlendedPriceEssMonthly*AVE6+AVT6*(BlendedPricePremMonthly+'Sens - Winter Pivot'!$B$7)*AVE6+AVU6*BlendedPriceEliteMonthly*AVE6</f>
        <v/>
      </c>
      <c r="AWC6" s="12">
        <f>AVP6*BlendedPriceEssAnnual*AVE6+AVQ6*(BlendedPricePremAnnual+'Sens - Winter Pivot'!$B$7*12)*AVE6+AVR6*BlendedPriceEliteAnnual*AVE6</f>
        <v/>
      </c>
      <c r="AWD6" s="12">
        <f>0+0+0</f>
        <v/>
      </c>
      <c r="AWE6" s="9">
        <f>AWB6+AWC6+AWD6</f>
        <v/>
      </c>
      <c r="AWF6" s="12">
        <f>SUM(AWE$5:AWE6)</f>
        <v/>
      </c>
      <c r="AWG6" s="12">
        <f>OR(AWG5,IF(VATAgentMode,SUM($AWE$5:$AWE6)-SUM($AWL$5:$AWL6)&gt;=VATThreshold,SUM($AWE$5:$AWE6)&gt;=VATThreshold))</f>
        <v/>
      </c>
      <c r="AWH6" s="9">
        <f>IF(AWG6,IF(VATAgentMode,AWE6-((AWE6-AWL6)-(AWE6-AWL6)/(1+VATRate)),AWE6/(1+VATRate)),AWE6)</f>
        <v/>
      </c>
      <c r="AWI6" s="12">
        <f>AWE6-AWH6</f>
        <v/>
      </c>
      <c r="AWJ6" s="12">
        <f>IF(AWG6=0,0,IF(AVB6=1,SUMPRODUCT(--(($AVC$5:$AVC6=$AVC6-1)*($AVB$5:$AVB6&gt;=10)*($AVB$5:$AVB6&lt;=12)),$AWI$5:$AWI6),IF(AVB6=4,SUMPRODUCT(--(($AVC$5:$AVC6=$AVC6)*($AVB$5:$AVB6&gt;=1)*($AVB$5:$AVB6&lt;=3)),$AWI$5:$AWI6),IF(AVB6=7,SUMPRODUCT(--(($AVC$5:$AVC6=$AVC6)*($AVB$5:$AVB6&gt;=4)*($AVB$5:$AVB6&lt;=6)),$AWI$5:$AWI6),IF(AVB6=10,SUMPRODUCT(--(($AVC$5:$AVC6=$AVC6)*($AVB$5:$AVB6&gt;=7)*($AVB$5:$AVB6&lt;=9)),$AWI$5:$AWI6),0)))))</f>
        <v/>
      </c>
      <c r="AWK6" s="12">
        <f>AWK5+AWI6-AWJ6</f>
        <v/>
      </c>
      <c r="AWL6" s="12">
        <f>IF(ProviderDelay&gt;=1,AVS5*BlendedProvPayEss+AVT5*BlendedProvPayPrem+AVU5*BlendedProvPayElite+AVV5*BlendedProvPayEss+AVW5*BlendedProvPayPrem+AVX5*BlendedProvPayElite,AVS6*BlendedProvPayEss+AVT6*BlendedProvPayPrem+AVU6*BlendedProvPayElite+AVV6*BlendedProvPayEss+AVW6*BlendedProvPayPrem+AVX6*BlendedProvPayElite)</f>
        <v/>
      </c>
      <c r="AWM6" s="12">
        <f>AWE6*PaymentFee</f>
        <v/>
      </c>
      <c r="AWN6" s="12">
        <f>AVY6*OpsAI</f>
        <v/>
      </c>
      <c r="AWO6" s="12">
        <f>MonthlyFixed</f>
        <v/>
      </c>
      <c r="AWP6" s="12">
        <f>AVI6*ReferralReward</f>
        <v/>
      </c>
      <c r="AWQ6" s="12">
        <f>AVG6</f>
        <v/>
      </c>
      <c r="AWR6" s="9">
        <f>AWH6-AWL6-AWM6-AWN6-AWO6-AWP6-AWQ6</f>
        <v/>
      </c>
      <c r="AWS6" s="9">
        <f>AWS5+AWE6-(AWL6+AWM6+AWN6+AWO6+AWP6+AWQ6+AWJ6)</f>
        <v/>
      </c>
      <c r="AWT6" s="12">
        <f>IF(AVY6&gt;0,AVZ6/AVY6,0)</f>
        <v/>
      </c>
      <c r="AWU6" s="11">
        <f>IF(AVY5&gt;0,MAX(0,(AVY5+AVJ6-AVY6)/AVY5),0)</f>
        <v/>
      </c>
    </row>
    <row r="7">
      <c r="A7" s="12" t="n">
        <v>3</v>
      </c>
      <c r="B7" s="12">
        <f>MOD(A7-1+LaunchMonth-1,12)+1</f>
        <v/>
      </c>
      <c r="C7" s="12">
        <f>INT((A7-1+LaunchMonth-1)/12)+1</f>
        <v/>
      </c>
      <c r="D7" s="12">
        <f>VLOOKUP(B7,SeasonTable,2,FALSE)</f>
        <v/>
      </c>
      <c r="E7" s="12">
        <f>(1+InflationRate)^INT((A7-1)/12)</f>
        <v/>
      </c>
      <c r="F7" s="11">
        <f>'Sens - Scenarios'!$B$5*VLOOKUP(B7,ChurnSeasonTable,4,FALSE)</f>
        <v/>
      </c>
      <c r="G7" s="12">
        <f>MktFixed1_3</f>
        <v/>
      </c>
      <c r="H7" s="12">
        <f>IF(G7&gt;0,MAX(1,ROUND(G7/'Sens - Scenarios'!$B$8*D7,0)),0)</f>
        <v/>
      </c>
      <c r="I7" s="12">
        <f>IF(H7&gt;0,ROUND(H7*ReferralMix/(1-ReferralMix),0),0)</f>
        <v/>
      </c>
      <c r="J7" s="12">
        <f>H7+I7</f>
        <v/>
      </c>
      <c r="K7" s="12">
        <f>ROUND(J7*(1-'Sens - Scenarios'!$B$7),0)</f>
        <v/>
      </c>
      <c r="L7" s="12">
        <f>J7-K7</f>
        <v/>
      </c>
      <c r="M7" s="12">
        <f>ROUND(K7*EssentialMix,0)</f>
        <v/>
      </c>
      <c r="N7" s="12">
        <f>ROUND(K7*PremiumMix,0)</f>
        <v/>
      </c>
      <c r="O7" s="12">
        <f>K7-M7-N7</f>
        <v/>
      </c>
      <c r="P7" s="12">
        <f>ROUND(L7*EssentialMix,0)</f>
        <v/>
      </c>
      <c r="Q7" s="12">
        <f>ROUND(L7*PremiumMix,0)</f>
        <v/>
      </c>
      <c r="R7" s="12">
        <f>L7-P7-Q7</f>
        <v/>
      </c>
      <c r="S7" s="12">
        <f>M7+M6+M5</f>
        <v/>
      </c>
      <c r="T7" s="12">
        <f>N7+N6+N5</f>
        <v/>
      </c>
      <c r="U7" s="12">
        <f>O7+O6+O5</f>
        <v/>
      </c>
      <c r="V7" s="12">
        <f>SUM(P$5:P7)</f>
        <v/>
      </c>
      <c r="W7" s="12">
        <f>SUM(Q$5:Q7)</f>
        <v/>
      </c>
      <c r="X7" s="12">
        <f>SUM(R$5:R7)</f>
        <v/>
      </c>
      <c r="Y7" s="12">
        <f>S7+T7+U7+V7+W7+X7</f>
        <v/>
      </c>
      <c r="Z7" s="9">
        <f>S7*BlendedPriceEssMonthly*E7+T7*BlendedPricePremMonthly*E7+U7*BlendedPriceEliteMonthly*E7+V7*BlendedPriceEssAnnual*E7/12+W7*BlendedPricePremAnnual*E7/12+X7*BlendedPriceEliteAnnual*E7/12</f>
        <v/>
      </c>
      <c r="AA7" s="9">
        <f>Z7*12</f>
        <v/>
      </c>
      <c r="AB7" s="12">
        <f>S7*BlendedPriceEssMonthly*E7+T7*BlendedPricePremMonthly*E7+U7*BlendedPriceEliteMonthly*E7</f>
        <v/>
      </c>
      <c r="AC7" s="12">
        <f>P7*BlendedPriceEssAnnual*E7+Q7*BlendedPricePremAnnual*E7+R7*BlendedPriceEliteAnnual*E7</f>
        <v/>
      </c>
      <c r="AD7" s="12">
        <f>0+0+0</f>
        <v/>
      </c>
      <c r="AE7" s="9">
        <f>AB7+AC7+AD7</f>
        <v/>
      </c>
      <c r="AF7" s="12">
        <f>SUM(AE$5:AE7)</f>
        <v/>
      </c>
      <c r="AG7" s="12">
        <f>OR(AG6,IF(VATAgentMode,SUM($AE$5:$AE7)-SUM($AL$5:$AL7)&gt;=VATThreshold,SUM($AE$5:$AE7)&gt;=VATThreshold))</f>
        <v/>
      </c>
      <c r="AH7" s="9">
        <f>IF(AG7,IF(VATAgentMode,AE7-((AE7-AL7)-(AE7-AL7)/(1+VATRate)),AE7/(1+VATRate)),AE7)</f>
        <v/>
      </c>
      <c r="AI7" s="12">
        <f>AE7-AH7</f>
        <v/>
      </c>
      <c r="AJ7" s="12">
        <f>IF(AG7=0,0,IF(B7=1,SUMPRODUCT(--(($C$5:$C7=$C7-1)*($B$5:$B7&gt;=10)*($B$5:$B7&lt;=12)),$AI$5:$AI7),IF(B7=4,SUMPRODUCT(--(($C$5:$C7=$C7)*($B$5:$B7&gt;=1)*($B$5:$B7&lt;=3)),$AI$5:$AI7),IF(B7=7,SUMPRODUCT(--(($C$5:$C7=$C7)*($B$5:$B7&gt;=4)*($B$5:$B7&lt;=6)),$AI$5:$AI7),IF(B7=10,SUMPRODUCT(--(($C$5:$C7=$C7)*($B$5:$B7&gt;=7)*($B$5:$B7&lt;=9)),$AI$5:$AI7),0)))))</f>
        <v/>
      </c>
      <c r="AK7" s="12">
        <f>AK6+AI7-AJ7</f>
        <v/>
      </c>
      <c r="AL7" s="12">
        <f>IF(ProviderDelay&gt;=1,S6*BlendedProvPayEss+T6*BlendedProvPayPrem+U6*BlendedProvPayElite+V6*BlendedProvPayEss+W6*BlendedProvPayPrem+X6*BlendedProvPayElite,S7*BlendedProvPayEss+T7*BlendedProvPayPrem+U7*BlendedProvPayElite+V7*BlendedProvPayEss+W7*BlendedProvPayPrem+X7*BlendedProvPayElite)</f>
        <v/>
      </c>
      <c r="AM7" s="12">
        <f>AE7*PaymentFee</f>
        <v/>
      </c>
      <c r="AN7" s="12">
        <f>Y7*OpsAI</f>
        <v/>
      </c>
      <c r="AO7" s="12">
        <f>MonthlyFixed</f>
        <v/>
      </c>
      <c r="AP7" s="12">
        <f>I7*ReferralReward</f>
        <v/>
      </c>
      <c r="AQ7" s="12">
        <f>G7</f>
        <v/>
      </c>
      <c r="AR7" s="9">
        <f>AH7-AL7-AM7-AN7-AO7-AP7-AQ7</f>
        <v/>
      </c>
      <c r="AS7" s="9">
        <f>AS6+AE7-(AL7+AM7+AN7+AO7+AP7+AQ7+AJ7)</f>
        <v/>
      </c>
      <c r="AT7" s="12">
        <f>IF(Y7&gt;0,Z7/Y7,0)</f>
        <v/>
      </c>
      <c r="AU7" s="11">
        <f>IF(Y6&gt;0,MAX(0,(Y6+J7-Y7)/Y6),0)</f>
        <v/>
      </c>
      <c r="AW7" s="12" t="n">
        <v>3</v>
      </c>
      <c r="AX7" s="12">
        <f>MOD(AW7-1+LaunchMonth-1,12)+1</f>
        <v/>
      </c>
      <c r="AY7" s="12">
        <f>INT((AW7-1+LaunchMonth-1)/12)+1</f>
        <v/>
      </c>
      <c r="AZ7" s="12">
        <f>VLOOKUP(AX7,SeasonTable,2,FALSE)</f>
        <v/>
      </c>
      <c r="BA7" s="12">
        <f>(1+InflationRate)^INT((AW7-1)/12)</f>
        <v/>
      </c>
      <c r="BB7" s="11">
        <f>MonthlyChurn*VLOOKUP(AX7,ChurnSeasonTable,4,FALSE)</f>
        <v/>
      </c>
      <c r="BC7" s="12">
        <f>MktFixed1_3</f>
        <v/>
      </c>
      <c r="BD7" s="12">
        <f>IF(BC7&gt;0,MAX(1,ROUND(BC7/CAC*AZ7,0)),0)</f>
        <v/>
      </c>
      <c r="BE7" s="12">
        <f>IF(BD7&gt;0,ROUND(BD7*ReferralMix/(1-ReferralMix),0),0)</f>
        <v/>
      </c>
      <c r="BF7" s="12">
        <f>BD7+BE7</f>
        <v/>
      </c>
      <c r="BG7" s="12">
        <f>ROUND(BF7*(1-AnnualMix),0)</f>
        <v/>
      </c>
      <c r="BH7" s="12">
        <f>BF7-BG7</f>
        <v/>
      </c>
      <c r="BI7" s="12">
        <f>ROUND(BG7*EssentialMix,0)</f>
        <v/>
      </c>
      <c r="BJ7" s="12">
        <f>ROUND(BG7*PremiumMix,0)</f>
        <v/>
      </c>
      <c r="BK7" s="12">
        <f>BG7-BI7-BJ7</f>
        <v/>
      </c>
      <c r="BL7" s="12">
        <f>ROUND(BH7*EssentialMix,0)</f>
        <v/>
      </c>
      <c r="BM7" s="12">
        <f>ROUND(BH7*PremiumMix,0)</f>
        <v/>
      </c>
      <c r="BN7" s="12">
        <f>BH7-BL7-BM7</f>
        <v/>
      </c>
      <c r="BO7" s="12">
        <f>BI7+BI6+BI5</f>
        <v/>
      </c>
      <c r="BP7" s="12">
        <f>BJ7+BJ6+BJ5</f>
        <v/>
      </c>
      <c r="BQ7" s="12">
        <f>BK7+BK6+BK5</f>
        <v/>
      </c>
      <c r="BR7" s="12">
        <f>SUM(BL$5:BL7)</f>
        <v/>
      </c>
      <c r="BS7" s="12">
        <f>SUM(BM$5:BM7)</f>
        <v/>
      </c>
      <c r="BT7" s="12">
        <f>SUM(BN$5:BN7)</f>
        <v/>
      </c>
      <c r="BU7" s="12">
        <f>BO7+BP7+BQ7+BR7+BS7+BT7</f>
        <v/>
      </c>
      <c r="BV7" s="9">
        <f>BO7*BlendedPriceEssMonthly*BA7+BP7*BlendedPricePremMonthly*BA7+BQ7*BlendedPriceEliteMonthly*BA7+BR7*BlendedPriceEssAnnual*BA7/12+BS7*BlendedPricePremAnnual*BA7/12+BT7*BlendedPriceEliteAnnual*BA7/12</f>
        <v/>
      </c>
      <c r="BW7" s="9">
        <f>BV7*12</f>
        <v/>
      </c>
      <c r="BX7" s="12">
        <f>BO7*BlendedPriceEssMonthly*BA7+BP7*BlendedPricePremMonthly*BA7+BQ7*BlendedPriceEliteMonthly*BA7</f>
        <v/>
      </c>
      <c r="BY7" s="12">
        <f>BL7*BlendedPriceEssAnnual*BA7+BM7*BlendedPricePremAnnual*BA7+BN7*BlendedPriceEliteAnnual*BA7</f>
        <v/>
      </c>
      <c r="BZ7" s="12">
        <f>0+0+0</f>
        <v/>
      </c>
      <c r="CA7" s="9">
        <f>BX7+BY7+BZ7</f>
        <v/>
      </c>
      <c r="CB7" s="12">
        <f>SUM(CA$5:CA7)</f>
        <v/>
      </c>
      <c r="CC7" s="12">
        <f>OR(CC6,IF(VATAgentMode,SUM($CA$5:$CA7)-SUM($CH$5:$CH7)&gt;=VATThreshold,SUM($CA$5:$CA7)&gt;=VATThreshold))</f>
        <v/>
      </c>
      <c r="CD7" s="9">
        <f>IF(CC7,IF(VATAgentMode,CA7-((CA7-CH7)-(CA7-CH7)/(1+VATRate)),CA7/(1+VATRate)),CA7)</f>
        <v/>
      </c>
      <c r="CE7" s="12">
        <f>CA7-CD7</f>
        <v/>
      </c>
      <c r="CF7" s="12">
        <f>IF(CC7=0,0,IF(AX7=1,SUMPRODUCT(--(($AY$5:$AY7=$AY7-1)*($AX$5:$AX7&gt;=10)*($AX$5:$AX7&lt;=12)),$CE$5:$CE7),IF(AX7=4,SUMPRODUCT(--(($AY$5:$AY7=$AY7)*($AX$5:$AX7&gt;=1)*($AX$5:$AX7&lt;=3)),$CE$5:$CE7),IF(AX7=7,SUMPRODUCT(--(($AY$5:$AY7=$AY7)*($AX$5:$AX7&gt;=4)*($AX$5:$AX7&lt;=6)),$CE$5:$CE7),IF(AX7=10,SUMPRODUCT(--(($AY$5:$AY7=$AY7)*($AX$5:$AX7&gt;=7)*($AX$5:$AX7&lt;=9)),$CE$5:$CE7),0)))))</f>
        <v/>
      </c>
      <c r="CG7" s="12">
        <f>CG6+CE7-CF7</f>
        <v/>
      </c>
      <c r="CH7" s="12">
        <f>IF(ProviderDelay&gt;=1,BO6*BlendedProvPayEss+BP6*BlendedProvPayPrem+BQ6*BlendedProvPayElite+BR6*BlendedProvPayEss+BS6*BlendedProvPayPrem+BT6*BlendedProvPayElite,BO7*BlendedProvPayEss+BP7*BlendedProvPayPrem+BQ7*BlendedProvPayElite+BR7*BlendedProvPayEss+BS7*BlendedProvPayPrem+BT7*BlendedProvPayElite)</f>
        <v/>
      </c>
      <c r="CI7" s="12">
        <f>CA7*PaymentFee</f>
        <v/>
      </c>
      <c r="CJ7" s="12">
        <f>BU7*OpsAI</f>
        <v/>
      </c>
      <c r="CK7" s="12">
        <f>MonthlyFixed</f>
        <v/>
      </c>
      <c r="CL7" s="12">
        <f>BE7*ReferralReward</f>
        <v/>
      </c>
      <c r="CM7" s="12">
        <f>BC7</f>
        <v/>
      </c>
      <c r="CN7" s="9">
        <f>CD7-CH7-CI7-CJ7-CK7-CL7-CM7</f>
        <v/>
      </c>
      <c r="CO7" s="9">
        <f>CO6+CA7-(CH7+CI7+CJ7+CK7+CL7+CM7+CF7)</f>
        <v/>
      </c>
      <c r="CP7" s="12">
        <f>IF(BU7&gt;0,BV7/BU7,0)</f>
        <v/>
      </c>
      <c r="CQ7" s="11">
        <f>IF(BU6&gt;0,MAX(0,(BU6+BF7-BU7)/BU6),0)</f>
        <v/>
      </c>
      <c r="CS7" s="12" t="n">
        <v>3</v>
      </c>
      <c r="CT7" s="12">
        <f>MOD(CS7-1+LaunchMonth-1,12)+1</f>
        <v/>
      </c>
      <c r="CU7" s="12">
        <f>INT((CS7-1+LaunchMonth-1)/12)+1</f>
        <v/>
      </c>
      <c r="CV7" s="12">
        <f>VLOOKUP(CT7,SeasonTable,2,FALSE)</f>
        <v/>
      </c>
      <c r="CW7" s="12">
        <f>(1+InflationRate)^INT((CS7-1)/12)</f>
        <v/>
      </c>
      <c r="CX7" s="11">
        <f>'Sens - Scenarios'!$D$5*VLOOKUP(CT7,ChurnSeasonTable,4,FALSE)</f>
        <v/>
      </c>
      <c r="CY7" s="12">
        <f>MktFixed1_3</f>
        <v/>
      </c>
      <c r="CZ7" s="12">
        <f>IF(CY7&gt;0,MAX(1,ROUND(CY7/'Sens - Scenarios'!$D$8*CV7,0)),0)</f>
        <v/>
      </c>
      <c r="DA7" s="12">
        <f>IF(CZ7&gt;0,ROUND(CZ7*ReferralMix/(1-ReferralMix),0),0)</f>
        <v/>
      </c>
      <c r="DB7" s="12">
        <f>CZ7+DA7</f>
        <v/>
      </c>
      <c r="DC7" s="12">
        <f>ROUND(DB7*(1-'Sens - Scenarios'!$D$7),0)</f>
        <v/>
      </c>
      <c r="DD7" s="12">
        <f>DB7-DC7</f>
        <v/>
      </c>
      <c r="DE7" s="12">
        <f>ROUND(DC7*EssentialMix,0)</f>
        <v/>
      </c>
      <c r="DF7" s="12">
        <f>ROUND(DC7*PremiumMix,0)</f>
        <v/>
      </c>
      <c r="DG7" s="12">
        <f>DC7-DE7-DF7</f>
        <v/>
      </c>
      <c r="DH7" s="12">
        <f>ROUND(DD7*EssentialMix,0)</f>
        <v/>
      </c>
      <c r="DI7" s="12">
        <f>ROUND(DD7*PremiumMix,0)</f>
        <v/>
      </c>
      <c r="DJ7" s="12">
        <f>DD7-DH7-DI7</f>
        <v/>
      </c>
      <c r="DK7" s="12">
        <f>DE7+DE6+DE5</f>
        <v/>
      </c>
      <c r="DL7" s="12">
        <f>DF7+DF6+DF5</f>
        <v/>
      </c>
      <c r="DM7" s="12">
        <f>DG7+DG6+DG5</f>
        <v/>
      </c>
      <c r="DN7" s="12">
        <f>SUM(DH$5:DH7)</f>
        <v/>
      </c>
      <c r="DO7" s="12">
        <f>SUM(DI$5:DI7)</f>
        <v/>
      </c>
      <c r="DP7" s="12">
        <f>SUM(DJ$5:DJ7)</f>
        <v/>
      </c>
      <c r="DQ7" s="12">
        <f>DK7+DL7+DM7+DN7+DO7+DP7</f>
        <v/>
      </c>
      <c r="DR7" s="9">
        <f>DK7*BlendedPriceEssMonthly*CW7+DL7*BlendedPricePremMonthly*CW7+DM7*BlendedPriceEliteMonthly*CW7+DN7*BlendedPriceEssAnnual*CW7/12+DO7*BlendedPricePremAnnual*CW7/12+DP7*BlendedPriceEliteAnnual*CW7/12</f>
        <v/>
      </c>
      <c r="DS7" s="9">
        <f>DR7*12</f>
        <v/>
      </c>
      <c r="DT7" s="12">
        <f>DK7*BlendedPriceEssMonthly*CW7+DL7*BlendedPricePremMonthly*CW7+DM7*BlendedPriceEliteMonthly*CW7</f>
        <v/>
      </c>
      <c r="DU7" s="12">
        <f>DH7*BlendedPriceEssAnnual*CW7+DI7*BlendedPricePremAnnual*CW7+DJ7*BlendedPriceEliteAnnual*CW7</f>
        <v/>
      </c>
      <c r="DV7" s="12">
        <f>0+0+0</f>
        <v/>
      </c>
      <c r="DW7" s="9">
        <f>DT7+DU7+DV7</f>
        <v/>
      </c>
      <c r="DX7" s="12">
        <f>SUM(DW$5:DW7)</f>
        <v/>
      </c>
      <c r="DY7" s="12">
        <f>OR(DY6,IF(VATAgentMode,SUM($DW$5:$DW7)-SUM($ED$5:$ED7)&gt;=VATThreshold,SUM($DW$5:$DW7)&gt;=VATThreshold))</f>
        <v/>
      </c>
      <c r="DZ7" s="9">
        <f>IF(DY7,IF(VATAgentMode,DW7-((DW7-ED7)-(DW7-ED7)/(1+VATRate)),DW7/(1+VATRate)),DW7)</f>
        <v/>
      </c>
      <c r="EA7" s="12">
        <f>DW7-DZ7</f>
        <v/>
      </c>
      <c r="EB7" s="12">
        <f>IF(DY7=0,0,IF(CT7=1,SUMPRODUCT(--(($CU$5:$CU7=$CU7-1)*($CT$5:$CT7&gt;=10)*($CT$5:$CT7&lt;=12)),$EA$5:$EA7),IF(CT7=4,SUMPRODUCT(--(($CU$5:$CU7=$CU7)*($CT$5:$CT7&gt;=1)*($CT$5:$CT7&lt;=3)),$EA$5:$EA7),IF(CT7=7,SUMPRODUCT(--(($CU$5:$CU7=$CU7)*($CT$5:$CT7&gt;=4)*($CT$5:$CT7&lt;=6)),$EA$5:$EA7),IF(CT7=10,SUMPRODUCT(--(($CU$5:$CU7=$CU7)*($CT$5:$CT7&gt;=7)*($CT$5:$CT7&lt;=9)),$EA$5:$EA7),0)))))</f>
        <v/>
      </c>
      <c r="EC7" s="12">
        <f>EC6+EA7-EB7</f>
        <v/>
      </c>
      <c r="ED7" s="12">
        <f>IF(ProviderDelay&gt;=1,DK6*BlendedProvPayEss+DL6*BlendedProvPayPrem+DM6*BlendedProvPayElite+DN6*BlendedProvPayEss+DO6*BlendedProvPayPrem+DP6*BlendedProvPayElite,DK7*BlendedProvPayEss+DL7*BlendedProvPayPrem+DM7*BlendedProvPayElite+DN7*BlendedProvPayEss+DO7*BlendedProvPayPrem+DP7*BlendedProvPayElite)</f>
        <v/>
      </c>
      <c r="EE7" s="12">
        <f>DW7*PaymentFee</f>
        <v/>
      </c>
      <c r="EF7" s="12">
        <f>DQ7*OpsAI</f>
        <v/>
      </c>
      <c r="EG7" s="12">
        <f>MonthlyFixed</f>
        <v/>
      </c>
      <c r="EH7" s="12">
        <f>DA7*ReferralReward</f>
        <v/>
      </c>
      <c r="EI7" s="12">
        <f>CY7</f>
        <v/>
      </c>
      <c r="EJ7" s="9">
        <f>DZ7-ED7-EE7-EF7-EG7-EH7-EI7</f>
        <v/>
      </c>
      <c r="EK7" s="9">
        <f>EK6+DW7-(ED7+EE7+EF7+EG7+EH7+EI7+EB7)</f>
        <v/>
      </c>
      <c r="EL7" s="12">
        <f>IF(DQ7&gt;0,DR7/DQ7,0)</f>
        <v/>
      </c>
      <c r="EM7" s="11">
        <f>IF(DQ6&gt;0,MAX(0,(DQ6+DB7-DQ7)/DQ6),0)</f>
        <v/>
      </c>
      <c r="EO7" s="12" t="n">
        <v>3</v>
      </c>
      <c r="EP7" s="12">
        <f>MOD(EO7-1+LaunchMonth-1,12)+1</f>
        <v/>
      </c>
      <c r="EQ7" s="12">
        <f>INT((EO7-1+LaunchMonth-1)/12)+1</f>
        <v/>
      </c>
      <c r="ER7" s="12">
        <f>VLOOKUP(EP7,SeasonTable,2,FALSE)</f>
        <v/>
      </c>
      <c r="ES7" s="12">
        <f>(1+InflationRate)^INT((EO7-1)/12)</f>
        <v/>
      </c>
      <c r="ET7" s="11">
        <f>'Sens - Churn'!$A$13*VLOOKUP(EP7,ChurnSeasonTable,4,FALSE)</f>
        <v/>
      </c>
      <c r="EU7" s="12">
        <f>MktFixed1_3</f>
        <v/>
      </c>
      <c r="EV7" s="12">
        <f>IF(EU7&gt;0,MAX(1,ROUND(EU7/CAC*ER7,0)),0)</f>
        <v/>
      </c>
      <c r="EW7" s="12">
        <f>IF(EV7&gt;0,ROUND(EV7*ReferralMix/(1-ReferralMix),0),0)</f>
        <v/>
      </c>
      <c r="EX7" s="12">
        <f>EV7+EW7</f>
        <v/>
      </c>
      <c r="EY7" s="12">
        <f>ROUND(EX7*(1-AnnualMix),0)</f>
        <v/>
      </c>
      <c r="EZ7" s="12">
        <f>EX7-EY7</f>
        <v/>
      </c>
      <c r="FA7" s="12">
        <f>ROUND(EY7*EssentialMix,0)</f>
        <v/>
      </c>
      <c r="FB7" s="12">
        <f>ROUND(EY7*PremiumMix,0)</f>
        <v/>
      </c>
      <c r="FC7" s="12">
        <f>EY7-FA7-FB7</f>
        <v/>
      </c>
      <c r="FD7" s="12">
        <f>ROUND(EZ7*EssentialMix,0)</f>
        <v/>
      </c>
      <c r="FE7" s="12">
        <f>ROUND(EZ7*PremiumMix,0)</f>
        <v/>
      </c>
      <c r="FF7" s="12">
        <f>EZ7-FD7-FE7</f>
        <v/>
      </c>
      <c r="FG7" s="12">
        <f>FA7+FA6+FA5</f>
        <v/>
      </c>
      <c r="FH7" s="12">
        <f>FB7+FB6+FB5</f>
        <v/>
      </c>
      <c r="FI7" s="12">
        <f>FC7+FC6+FC5</f>
        <v/>
      </c>
      <c r="FJ7" s="12">
        <f>SUM(FD$5:FD7)</f>
        <v/>
      </c>
      <c r="FK7" s="12">
        <f>SUM(FE$5:FE7)</f>
        <v/>
      </c>
      <c r="FL7" s="12">
        <f>SUM(FF$5:FF7)</f>
        <v/>
      </c>
      <c r="FM7" s="12">
        <f>FG7+FH7+FI7+FJ7+FK7+FL7</f>
        <v/>
      </c>
      <c r="FN7" s="9">
        <f>FG7*BlendedPriceEssMonthly*ES7+FH7*BlendedPricePremMonthly*ES7+FI7*BlendedPriceEliteMonthly*ES7+FJ7*BlendedPriceEssAnnual*ES7/12+FK7*BlendedPricePremAnnual*ES7/12+FL7*BlendedPriceEliteAnnual*ES7/12</f>
        <v/>
      </c>
      <c r="FO7" s="9">
        <f>FN7*12</f>
        <v/>
      </c>
      <c r="FP7" s="12">
        <f>FG7*BlendedPriceEssMonthly*ES7+FH7*BlendedPricePremMonthly*ES7+FI7*BlendedPriceEliteMonthly*ES7</f>
        <v/>
      </c>
      <c r="FQ7" s="12">
        <f>FD7*BlendedPriceEssAnnual*ES7+FE7*BlendedPricePremAnnual*ES7+FF7*BlendedPriceEliteAnnual*ES7</f>
        <v/>
      </c>
      <c r="FR7" s="12">
        <f>0+0+0</f>
        <v/>
      </c>
      <c r="FS7" s="9">
        <f>FP7+FQ7+FR7</f>
        <v/>
      </c>
      <c r="FT7" s="12">
        <f>SUM(FS$5:FS7)</f>
        <v/>
      </c>
      <c r="FU7" s="12">
        <f>OR(FU6,IF(VATAgentMode,SUM($FS$5:$FS7)-SUM($FZ$5:$FZ7)&gt;=VATThreshold,SUM($FS$5:$FS7)&gt;=VATThreshold))</f>
        <v/>
      </c>
      <c r="FV7" s="9">
        <f>IF(FU7,IF(VATAgentMode,FS7-((FS7-FZ7)-(FS7-FZ7)/(1+VATRate)),FS7/(1+VATRate)),FS7)</f>
        <v/>
      </c>
      <c r="FW7" s="12">
        <f>FS7-FV7</f>
        <v/>
      </c>
      <c r="FX7" s="12">
        <f>IF(FU7=0,0,IF(EP7=1,SUMPRODUCT(--(($EQ$5:$EQ7=$EQ7-1)*($EP$5:$EP7&gt;=10)*($EP$5:$EP7&lt;=12)),$FW$5:$FW7),IF(EP7=4,SUMPRODUCT(--(($EQ$5:$EQ7=$EQ7)*($EP$5:$EP7&gt;=1)*($EP$5:$EP7&lt;=3)),$FW$5:$FW7),IF(EP7=7,SUMPRODUCT(--(($EQ$5:$EQ7=$EQ7)*($EP$5:$EP7&gt;=4)*($EP$5:$EP7&lt;=6)),$FW$5:$FW7),IF(EP7=10,SUMPRODUCT(--(($EQ$5:$EQ7=$EQ7)*($EP$5:$EP7&gt;=7)*($EP$5:$EP7&lt;=9)),$FW$5:$FW7),0)))))</f>
        <v/>
      </c>
      <c r="FY7" s="12">
        <f>FY6+FW7-FX7</f>
        <v/>
      </c>
      <c r="FZ7" s="12">
        <f>IF(ProviderDelay&gt;=1,FG6*BlendedProvPayEss+FH6*BlendedProvPayPrem+FI6*BlendedProvPayElite+FJ6*BlendedProvPayEss+FK6*BlendedProvPayPrem+FL6*BlendedProvPayElite,FG7*BlendedProvPayEss+FH7*BlendedProvPayPrem+FI7*BlendedProvPayElite+FJ7*BlendedProvPayEss+FK7*BlendedProvPayPrem+FL7*BlendedProvPayElite)</f>
        <v/>
      </c>
      <c r="GA7" s="12">
        <f>FS7*PaymentFee</f>
        <v/>
      </c>
      <c r="GB7" s="12">
        <f>FM7*OpsAI</f>
        <v/>
      </c>
      <c r="GC7" s="12">
        <f>MonthlyFixed</f>
        <v/>
      </c>
      <c r="GD7" s="12">
        <f>EW7*ReferralReward</f>
        <v/>
      </c>
      <c r="GE7" s="12">
        <f>EU7</f>
        <v/>
      </c>
      <c r="GF7" s="9">
        <f>FV7-FZ7-GA7-GB7-GC7-GD7-GE7</f>
        <v/>
      </c>
      <c r="GG7" s="9">
        <f>GG6+FS7-(FZ7+GA7+GB7+GC7+GD7+GE7+FX7)</f>
        <v/>
      </c>
      <c r="GH7" s="12">
        <f>IF(FM7&gt;0,FN7/FM7,0)</f>
        <v/>
      </c>
      <c r="GI7" s="11">
        <f>IF(FM6&gt;0,MAX(0,(FM6+EX7-FM7)/FM6),0)</f>
        <v/>
      </c>
      <c r="GK7" s="12" t="n">
        <v>3</v>
      </c>
      <c r="GL7" s="12">
        <f>MOD(GK7-1+LaunchMonth-1,12)+1</f>
        <v/>
      </c>
      <c r="GM7" s="12">
        <f>INT((GK7-1+LaunchMonth-1)/12)+1</f>
        <v/>
      </c>
      <c r="GN7" s="12">
        <f>VLOOKUP(GL7,SeasonTable,2,FALSE)</f>
        <v/>
      </c>
      <c r="GO7" s="12">
        <f>(1+InflationRate)^INT((GK7-1)/12)</f>
        <v/>
      </c>
      <c r="GP7" s="11">
        <f>'Sens - Churn'!$A$14*VLOOKUP(GL7,ChurnSeasonTable,4,FALSE)</f>
        <v/>
      </c>
      <c r="GQ7" s="12">
        <f>MktFixed1_3</f>
        <v/>
      </c>
      <c r="GR7" s="12">
        <f>IF(GQ7&gt;0,MAX(1,ROUND(GQ7/CAC*GN7,0)),0)</f>
        <v/>
      </c>
      <c r="GS7" s="12">
        <f>IF(GR7&gt;0,ROUND(GR7*ReferralMix/(1-ReferralMix),0),0)</f>
        <v/>
      </c>
      <c r="GT7" s="12">
        <f>GR7+GS7</f>
        <v/>
      </c>
      <c r="GU7" s="12">
        <f>ROUND(GT7*(1-AnnualMix),0)</f>
        <v/>
      </c>
      <c r="GV7" s="12">
        <f>GT7-GU7</f>
        <v/>
      </c>
      <c r="GW7" s="12">
        <f>ROUND(GU7*EssentialMix,0)</f>
        <v/>
      </c>
      <c r="GX7" s="12">
        <f>ROUND(GU7*PremiumMix,0)</f>
        <v/>
      </c>
      <c r="GY7" s="12">
        <f>GU7-GW7-GX7</f>
        <v/>
      </c>
      <c r="GZ7" s="12">
        <f>ROUND(GV7*EssentialMix,0)</f>
        <v/>
      </c>
      <c r="HA7" s="12">
        <f>ROUND(GV7*PremiumMix,0)</f>
        <v/>
      </c>
      <c r="HB7" s="12">
        <f>GV7-GZ7-HA7</f>
        <v/>
      </c>
      <c r="HC7" s="12">
        <f>GW7+GW6+GW5</f>
        <v/>
      </c>
      <c r="HD7" s="12">
        <f>GX7+GX6+GX5</f>
        <v/>
      </c>
      <c r="HE7" s="12">
        <f>GY7+GY6+GY5</f>
        <v/>
      </c>
      <c r="HF7" s="12">
        <f>SUM(GZ$5:GZ7)</f>
        <v/>
      </c>
      <c r="HG7" s="12">
        <f>SUM(HA$5:HA7)</f>
        <v/>
      </c>
      <c r="HH7" s="12">
        <f>SUM(HB$5:HB7)</f>
        <v/>
      </c>
      <c r="HI7" s="12">
        <f>HC7+HD7+HE7+HF7+HG7+HH7</f>
        <v/>
      </c>
      <c r="HJ7" s="9">
        <f>HC7*BlendedPriceEssMonthly*GO7+HD7*BlendedPricePremMonthly*GO7+HE7*BlendedPriceEliteMonthly*GO7+HF7*BlendedPriceEssAnnual*GO7/12+HG7*BlendedPricePremAnnual*GO7/12+HH7*BlendedPriceEliteAnnual*GO7/12</f>
        <v/>
      </c>
      <c r="HK7" s="9">
        <f>HJ7*12</f>
        <v/>
      </c>
      <c r="HL7" s="12">
        <f>HC7*BlendedPriceEssMonthly*GO7+HD7*BlendedPricePremMonthly*GO7+HE7*BlendedPriceEliteMonthly*GO7</f>
        <v/>
      </c>
      <c r="HM7" s="12">
        <f>GZ7*BlendedPriceEssAnnual*GO7+HA7*BlendedPricePremAnnual*GO7+HB7*BlendedPriceEliteAnnual*GO7</f>
        <v/>
      </c>
      <c r="HN7" s="12">
        <f>0+0+0</f>
        <v/>
      </c>
      <c r="HO7" s="9">
        <f>HL7+HM7+HN7</f>
        <v/>
      </c>
      <c r="HP7" s="12">
        <f>SUM(HO$5:HO7)</f>
        <v/>
      </c>
      <c r="HQ7" s="12">
        <f>OR(HQ6,IF(VATAgentMode,SUM($HO$5:$HO7)-SUM($HV$5:$HV7)&gt;=VATThreshold,SUM($HO$5:$HO7)&gt;=VATThreshold))</f>
        <v/>
      </c>
      <c r="HR7" s="9">
        <f>IF(HQ7,IF(VATAgentMode,HO7-((HO7-HV7)-(HO7-HV7)/(1+VATRate)),HO7/(1+VATRate)),HO7)</f>
        <v/>
      </c>
      <c r="HS7" s="12">
        <f>HO7-HR7</f>
        <v/>
      </c>
      <c r="HT7" s="12">
        <f>IF(HQ7=0,0,IF(GL7=1,SUMPRODUCT(--(($GM$5:$GM7=$GM7-1)*($GL$5:$GL7&gt;=10)*($GL$5:$GL7&lt;=12)),$HS$5:$HS7),IF(GL7=4,SUMPRODUCT(--(($GM$5:$GM7=$GM7)*($GL$5:$GL7&gt;=1)*($GL$5:$GL7&lt;=3)),$HS$5:$HS7),IF(GL7=7,SUMPRODUCT(--(($GM$5:$GM7=$GM7)*($GL$5:$GL7&gt;=4)*($GL$5:$GL7&lt;=6)),$HS$5:$HS7),IF(GL7=10,SUMPRODUCT(--(($GM$5:$GM7=$GM7)*($GL$5:$GL7&gt;=7)*($GL$5:$GL7&lt;=9)),$HS$5:$HS7),0)))))</f>
        <v/>
      </c>
      <c r="HU7" s="12">
        <f>HU6+HS7-HT7</f>
        <v/>
      </c>
      <c r="HV7" s="12">
        <f>IF(ProviderDelay&gt;=1,HC6*BlendedProvPayEss+HD6*BlendedProvPayPrem+HE6*BlendedProvPayElite+HF6*BlendedProvPayEss+HG6*BlendedProvPayPrem+HH6*BlendedProvPayElite,HC7*BlendedProvPayEss+HD7*BlendedProvPayPrem+HE7*BlendedProvPayElite+HF7*BlendedProvPayEss+HG7*BlendedProvPayPrem+HH7*BlendedProvPayElite)</f>
        <v/>
      </c>
      <c r="HW7" s="12">
        <f>HO7*PaymentFee</f>
        <v/>
      </c>
      <c r="HX7" s="12">
        <f>HI7*OpsAI</f>
        <v/>
      </c>
      <c r="HY7" s="12">
        <f>MonthlyFixed</f>
        <v/>
      </c>
      <c r="HZ7" s="12">
        <f>GS7*ReferralReward</f>
        <v/>
      </c>
      <c r="IA7" s="12">
        <f>GQ7</f>
        <v/>
      </c>
      <c r="IB7" s="9">
        <f>HR7-HV7-HW7-HX7-HY7-HZ7-IA7</f>
        <v/>
      </c>
      <c r="IC7" s="9">
        <f>IC6+HO7-(HV7+HW7+HX7+HY7+HZ7+IA7+HT7)</f>
        <v/>
      </c>
      <c r="ID7" s="12">
        <f>IF(HI7&gt;0,HJ7/HI7,0)</f>
        <v/>
      </c>
      <c r="IE7" s="11">
        <f>IF(HI6&gt;0,MAX(0,(HI6+GT7-HI7)/HI6),0)</f>
        <v/>
      </c>
      <c r="IG7" s="12" t="n">
        <v>3</v>
      </c>
      <c r="IH7" s="12">
        <f>MOD(IG7-1+LaunchMonth-1,12)+1</f>
        <v/>
      </c>
      <c r="II7" s="12">
        <f>INT((IG7-1+LaunchMonth-1)/12)+1</f>
        <v/>
      </c>
      <c r="IJ7" s="12">
        <f>VLOOKUP(IH7,SeasonTable,2,FALSE)</f>
        <v/>
      </c>
      <c r="IK7" s="12">
        <f>(1+InflationRate)^INT((IG7-1)/12)</f>
        <v/>
      </c>
      <c r="IL7" s="11">
        <f>'Sens - Churn'!$A$15*VLOOKUP(IH7,ChurnSeasonTable,4,FALSE)</f>
        <v/>
      </c>
      <c r="IM7" s="12">
        <f>MktFixed1_3</f>
        <v/>
      </c>
      <c r="IN7" s="12">
        <f>IF(IM7&gt;0,MAX(1,ROUND(IM7/CAC*IJ7,0)),0)</f>
        <v/>
      </c>
      <c r="IO7" s="12">
        <f>IF(IN7&gt;0,ROUND(IN7*ReferralMix/(1-ReferralMix),0),0)</f>
        <v/>
      </c>
      <c r="IP7" s="12">
        <f>IN7+IO7</f>
        <v/>
      </c>
      <c r="IQ7" s="12">
        <f>ROUND(IP7*(1-AnnualMix),0)</f>
        <v/>
      </c>
      <c r="IR7" s="12">
        <f>IP7-IQ7</f>
        <v/>
      </c>
      <c r="IS7" s="12">
        <f>ROUND(IQ7*EssentialMix,0)</f>
        <v/>
      </c>
      <c r="IT7" s="12">
        <f>ROUND(IQ7*PremiumMix,0)</f>
        <v/>
      </c>
      <c r="IU7" s="12">
        <f>IQ7-IS7-IT7</f>
        <v/>
      </c>
      <c r="IV7" s="12">
        <f>ROUND(IR7*EssentialMix,0)</f>
        <v/>
      </c>
      <c r="IW7" s="12">
        <f>ROUND(IR7*PremiumMix,0)</f>
        <v/>
      </c>
      <c r="IX7" s="12">
        <f>IR7-IV7-IW7</f>
        <v/>
      </c>
      <c r="IY7" s="12">
        <f>IS7+IS6+IS5</f>
        <v/>
      </c>
      <c r="IZ7" s="12">
        <f>IT7+IT6+IT5</f>
        <v/>
      </c>
      <c r="JA7" s="12">
        <f>IU7+IU6+IU5</f>
        <v/>
      </c>
      <c r="JB7" s="12">
        <f>SUM(IV$5:IV7)</f>
        <v/>
      </c>
      <c r="JC7" s="12">
        <f>SUM(IW$5:IW7)</f>
        <v/>
      </c>
      <c r="JD7" s="12">
        <f>SUM(IX$5:IX7)</f>
        <v/>
      </c>
      <c r="JE7" s="12">
        <f>IY7+IZ7+JA7+JB7+JC7+JD7</f>
        <v/>
      </c>
      <c r="JF7" s="9">
        <f>IY7*BlendedPriceEssMonthly*IK7+IZ7*BlendedPricePremMonthly*IK7+JA7*BlendedPriceEliteMonthly*IK7+JB7*BlendedPriceEssAnnual*IK7/12+JC7*BlendedPricePremAnnual*IK7/12+JD7*BlendedPriceEliteAnnual*IK7/12</f>
        <v/>
      </c>
      <c r="JG7" s="9">
        <f>JF7*12</f>
        <v/>
      </c>
      <c r="JH7" s="12">
        <f>IY7*BlendedPriceEssMonthly*IK7+IZ7*BlendedPricePremMonthly*IK7+JA7*BlendedPriceEliteMonthly*IK7</f>
        <v/>
      </c>
      <c r="JI7" s="12">
        <f>IV7*BlendedPriceEssAnnual*IK7+IW7*BlendedPricePremAnnual*IK7+IX7*BlendedPriceEliteAnnual*IK7</f>
        <v/>
      </c>
      <c r="JJ7" s="12">
        <f>0+0+0</f>
        <v/>
      </c>
      <c r="JK7" s="9">
        <f>JH7+JI7+JJ7</f>
        <v/>
      </c>
      <c r="JL7" s="12">
        <f>SUM(JK$5:JK7)</f>
        <v/>
      </c>
      <c r="JM7" s="12">
        <f>OR(JM6,IF(VATAgentMode,SUM($JK$5:$JK7)-SUM($JR$5:$JR7)&gt;=VATThreshold,SUM($JK$5:$JK7)&gt;=VATThreshold))</f>
        <v/>
      </c>
      <c r="JN7" s="9">
        <f>IF(JM7,IF(VATAgentMode,JK7-((JK7-JR7)-(JK7-JR7)/(1+VATRate)),JK7/(1+VATRate)),JK7)</f>
        <v/>
      </c>
      <c r="JO7" s="12">
        <f>JK7-JN7</f>
        <v/>
      </c>
      <c r="JP7" s="12">
        <f>IF(JM7=0,0,IF(IH7=1,SUMPRODUCT(--(($II$5:$II7=$II7-1)*($IH$5:$IH7&gt;=10)*($IH$5:$IH7&lt;=12)),$JO$5:$JO7),IF(IH7=4,SUMPRODUCT(--(($II$5:$II7=$II7)*($IH$5:$IH7&gt;=1)*($IH$5:$IH7&lt;=3)),$JO$5:$JO7),IF(IH7=7,SUMPRODUCT(--(($II$5:$II7=$II7)*($IH$5:$IH7&gt;=4)*($IH$5:$IH7&lt;=6)),$JO$5:$JO7),IF(IH7=10,SUMPRODUCT(--(($II$5:$II7=$II7)*($IH$5:$IH7&gt;=7)*($IH$5:$IH7&lt;=9)),$JO$5:$JO7),0)))))</f>
        <v/>
      </c>
      <c r="JQ7" s="12">
        <f>JQ6+JO7-JP7</f>
        <v/>
      </c>
      <c r="JR7" s="12">
        <f>IF(ProviderDelay&gt;=1,IY6*BlendedProvPayEss+IZ6*BlendedProvPayPrem+JA6*BlendedProvPayElite+JB6*BlendedProvPayEss+JC6*BlendedProvPayPrem+JD6*BlendedProvPayElite,IY7*BlendedProvPayEss+IZ7*BlendedProvPayPrem+JA7*BlendedProvPayElite+JB7*BlendedProvPayEss+JC7*BlendedProvPayPrem+JD7*BlendedProvPayElite)</f>
        <v/>
      </c>
      <c r="JS7" s="12">
        <f>JK7*PaymentFee</f>
        <v/>
      </c>
      <c r="JT7" s="12">
        <f>JE7*OpsAI</f>
        <v/>
      </c>
      <c r="JU7" s="12">
        <f>MonthlyFixed</f>
        <v/>
      </c>
      <c r="JV7" s="12">
        <f>IO7*ReferralReward</f>
        <v/>
      </c>
      <c r="JW7" s="12">
        <f>IM7</f>
        <v/>
      </c>
      <c r="JX7" s="9">
        <f>JN7-JR7-JS7-JT7-JU7-JV7-JW7</f>
        <v/>
      </c>
      <c r="JY7" s="9">
        <f>JY6+JK7-(JR7+JS7+JT7+JU7+JV7+JW7+JP7)</f>
        <v/>
      </c>
      <c r="JZ7" s="12">
        <f>IF(JE7&gt;0,JF7/JE7,0)</f>
        <v/>
      </c>
      <c r="KA7" s="11">
        <f>IF(JE6&gt;0,MAX(0,(JE6+IP7-JE7)/JE6),0)</f>
        <v/>
      </c>
      <c r="KC7" s="12" t="n">
        <v>3</v>
      </c>
      <c r="KD7" s="12">
        <f>MOD(KC7-1+LaunchMonth-1,12)+1</f>
        <v/>
      </c>
      <c r="KE7" s="12">
        <f>INT((KC7-1+LaunchMonth-1)/12)+1</f>
        <v/>
      </c>
      <c r="KF7" s="12">
        <f>VLOOKUP(KD7,SeasonTable,2,FALSE)</f>
        <v/>
      </c>
      <c r="KG7" s="12">
        <f>(1+InflationRate)^INT((KC7-1)/12)</f>
        <v/>
      </c>
      <c r="KH7" s="11">
        <f>'Sens - Churn'!$A$16*VLOOKUP(KD7,ChurnSeasonTable,4,FALSE)</f>
        <v/>
      </c>
      <c r="KI7" s="12">
        <f>MktFixed1_3</f>
        <v/>
      </c>
      <c r="KJ7" s="12">
        <f>IF(KI7&gt;0,MAX(1,ROUND(KI7/CAC*KF7,0)),0)</f>
        <v/>
      </c>
      <c r="KK7" s="12">
        <f>IF(KJ7&gt;0,ROUND(KJ7*ReferralMix/(1-ReferralMix),0),0)</f>
        <v/>
      </c>
      <c r="KL7" s="12">
        <f>KJ7+KK7</f>
        <v/>
      </c>
      <c r="KM7" s="12">
        <f>ROUND(KL7*(1-AnnualMix),0)</f>
        <v/>
      </c>
      <c r="KN7" s="12">
        <f>KL7-KM7</f>
        <v/>
      </c>
      <c r="KO7" s="12">
        <f>ROUND(KM7*EssentialMix,0)</f>
        <v/>
      </c>
      <c r="KP7" s="12">
        <f>ROUND(KM7*PremiumMix,0)</f>
        <v/>
      </c>
      <c r="KQ7" s="12">
        <f>KM7-KO7-KP7</f>
        <v/>
      </c>
      <c r="KR7" s="12">
        <f>ROUND(KN7*EssentialMix,0)</f>
        <v/>
      </c>
      <c r="KS7" s="12">
        <f>ROUND(KN7*PremiumMix,0)</f>
        <v/>
      </c>
      <c r="KT7" s="12">
        <f>KN7-KR7-KS7</f>
        <v/>
      </c>
      <c r="KU7" s="12">
        <f>KO7+KO6+KO5</f>
        <v/>
      </c>
      <c r="KV7" s="12">
        <f>KP7+KP6+KP5</f>
        <v/>
      </c>
      <c r="KW7" s="12">
        <f>KQ7+KQ6+KQ5</f>
        <v/>
      </c>
      <c r="KX7" s="12">
        <f>SUM(KR$5:KR7)</f>
        <v/>
      </c>
      <c r="KY7" s="12">
        <f>SUM(KS$5:KS7)</f>
        <v/>
      </c>
      <c r="KZ7" s="12">
        <f>SUM(KT$5:KT7)</f>
        <v/>
      </c>
      <c r="LA7" s="12">
        <f>KU7+KV7+KW7+KX7+KY7+KZ7</f>
        <v/>
      </c>
      <c r="LB7" s="9">
        <f>KU7*BlendedPriceEssMonthly*KG7+KV7*BlendedPricePremMonthly*KG7+KW7*BlendedPriceEliteMonthly*KG7+KX7*BlendedPriceEssAnnual*KG7/12+KY7*BlendedPricePremAnnual*KG7/12+KZ7*BlendedPriceEliteAnnual*KG7/12</f>
        <v/>
      </c>
      <c r="LC7" s="9">
        <f>LB7*12</f>
        <v/>
      </c>
      <c r="LD7" s="12">
        <f>KU7*BlendedPriceEssMonthly*KG7+KV7*BlendedPricePremMonthly*KG7+KW7*BlendedPriceEliteMonthly*KG7</f>
        <v/>
      </c>
      <c r="LE7" s="12">
        <f>KR7*BlendedPriceEssAnnual*KG7+KS7*BlendedPricePremAnnual*KG7+KT7*BlendedPriceEliteAnnual*KG7</f>
        <v/>
      </c>
      <c r="LF7" s="12">
        <f>0+0+0</f>
        <v/>
      </c>
      <c r="LG7" s="9">
        <f>LD7+LE7+LF7</f>
        <v/>
      </c>
      <c r="LH7" s="12">
        <f>SUM(LG$5:LG7)</f>
        <v/>
      </c>
      <c r="LI7" s="12">
        <f>OR(LI6,IF(VATAgentMode,SUM($LG$5:$LG7)-SUM($LN$5:$LN7)&gt;=VATThreshold,SUM($LG$5:$LG7)&gt;=VATThreshold))</f>
        <v/>
      </c>
      <c r="LJ7" s="9">
        <f>IF(LI7,IF(VATAgentMode,LG7-((LG7-LN7)-(LG7-LN7)/(1+VATRate)),LG7/(1+VATRate)),LG7)</f>
        <v/>
      </c>
      <c r="LK7" s="12">
        <f>LG7-LJ7</f>
        <v/>
      </c>
      <c r="LL7" s="12">
        <f>IF(LI7=0,0,IF(KD7=1,SUMPRODUCT(--(($KE$5:$KE7=$KE7-1)*($KD$5:$KD7&gt;=10)*($KD$5:$KD7&lt;=12)),$LK$5:$LK7),IF(KD7=4,SUMPRODUCT(--(($KE$5:$KE7=$KE7)*($KD$5:$KD7&gt;=1)*($KD$5:$KD7&lt;=3)),$LK$5:$LK7),IF(KD7=7,SUMPRODUCT(--(($KE$5:$KE7=$KE7)*($KD$5:$KD7&gt;=4)*($KD$5:$KD7&lt;=6)),$LK$5:$LK7),IF(KD7=10,SUMPRODUCT(--(($KE$5:$KE7=$KE7)*($KD$5:$KD7&gt;=7)*($KD$5:$KD7&lt;=9)),$LK$5:$LK7),0)))))</f>
        <v/>
      </c>
      <c r="LM7" s="12">
        <f>LM6+LK7-LL7</f>
        <v/>
      </c>
      <c r="LN7" s="12">
        <f>IF(ProviderDelay&gt;=1,KU6*BlendedProvPayEss+KV6*BlendedProvPayPrem+KW6*BlendedProvPayElite+KX6*BlendedProvPayEss+KY6*BlendedProvPayPrem+KZ6*BlendedProvPayElite,KU7*BlendedProvPayEss+KV7*BlendedProvPayPrem+KW7*BlendedProvPayElite+KX7*BlendedProvPayEss+KY7*BlendedProvPayPrem+KZ7*BlendedProvPayElite)</f>
        <v/>
      </c>
      <c r="LO7" s="12">
        <f>LG7*PaymentFee</f>
        <v/>
      </c>
      <c r="LP7" s="12">
        <f>LA7*OpsAI</f>
        <v/>
      </c>
      <c r="LQ7" s="12">
        <f>MonthlyFixed</f>
        <v/>
      </c>
      <c r="LR7" s="12">
        <f>KK7*ReferralReward</f>
        <v/>
      </c>
      <c r="LS7" s="12">
        <f>KI7</f>
        <v/>
      </c>
      <c r="LT7" s="9">
        <f>LJ7-LN7-LO7-LP7-LQ7-LR7-LS7</f>
        <v/>
      </c>
      <c r="LU7" s="9">
        <f>LU6+LG7-(LN7+LO7+LP7+LQ7+LR7+LS7+LL7)</f>
        <v/>
      </c>
      <c r="LV7" s="12">
        <f>IF(LA7&gt;0,LB7/LA7,0)</f>
        <v/>
      </c>
      <c r="LW7" s="11">
        <f>IF(LA6&gt;0,MAX(0,(LA6+KL7-LA7)/LA6),0)</f>
        <v/>
      </c>
      <c r="LY7" s="12" t="n">
        <v>3</v>
      </c>
      <c r="LZ7" s="12">
        <f>MOD(LY7-1+LaunchMonth-1,12)+1</f>
        <v/>
      </c>
      <c r="MA7" s="12">
        <f>INT((LY7-1+LaunchMonth-1)/12)+1</f>
        <v/>
      </c>
      <c r="MB7" s="12">
        <f>VLOOKUP(LZ7,SeasonTable,2,FALSE)</f>
        <v/>
      </c>
      <c r="MC7" s="12">
        <f>(1+InflationRate)^INT((LY7-1)/12)</f>
        <v/>
      </c>
      <c r="MD7" s="11">
        <f>'Sens - Churn'!$A$17*VLOOKUP(LZ7,ChurnSeasonTable,4,FALSE)</f>
        <v/>
      </c>
      <c r="ME7" s="12">
        <f>MktFixed1_3</f>
        <v/>
      </c>
      <c r="MF7" s="12">
        <f>IF(ME7&gt;0,MAX(1,ROUND(ME7/CAC*MB7,0)),0)</f>
        <v/>
      </c>
      <c r="MG7" s="12">
        <f>IF(MF7&gt;0,ROUND(MF7*ReferralMix/(1-ReferralMix),0),0)</f>
        <v/>
      </c>
      <c r="MH7" s="12">
        <f>MF7+MG7</f>
        <v/>
      </c>
      <c r="MI7" s="12">
        <f>ROUND(MH7*(1-AnnualMix),0)</f>
        <v/>
      </c>
      <c r="MJ7" s="12">
        <f>MH7-MI7</f>
        <v/>
      </c>
      <c r="MK7" s="12">
        <f>ROUND(MI7*EssentialMix,0)</f>
        <v/>
      </c>
      <c r="ML7" s="12">
        <f>ROUND(MI7*PremiumMix,0)</f>
        <v/>
      </c>
      <c r="MM7" s="12">
        <f>MI7-MK7-ML7</f>
        <v/>
      </c>
      <c r="MN7" s="12">
        <f>ROUND(MJ7*EssentialMix,0)</f>
        <v/>
      </c>
      <c r="MO7" s="12">
        <f>ROUND(MJ7*PremiumMix,0)</f>
        <v/>
      </c>
      <c r="MP7" s="12">
        <f>MJ7-MN7-MO7</f>
        <v/>
      </c>
      <c r="MQ7" s="12">
        <f>MK7+MK6+MK5</f>
        <v/>
      </c>
      <c r="MR7" s="12">
        <f>ML7+ML6+ML5</f>
        <v/>
      </c>
      <c r="MS7" s="12">
        <f>MM7+MM6+MM5</f>
        <v/>
      </c>
      <c r="MT7" s="12">
        <f>SUM(MN$5:MN7)</f>
        <v/>
      </c>
      <c r="MU7" s="12">
        <f>SUM(MO$5:MO7)</f>
        <v/>
      </c>
      <c r="MV7" s="12">
        <f>SUM(MP$5:MP7)</f>
        <v/>
      </c>
      <c r="MW7" s="12">
        <f>MQ7+MR7+MS7+MT7+MU7+MV7</f>
        <v/>
      </c>
      <c r="MX7" s="9">
        <f>MQ7*BlendedPriceEssMonthly*MC7+MR7*BlendedPricePremMonthly*MC7+MS7*BlendedPriceEliteMonthly*MC7+MT7*BlendedPriceEssAnnual*MC7/12+MU7*BlendedPricePremAnnual*MC7/12+MV7*BlendedPriceEliteAnnual*MC7/12</f>
        <v/>
      </c>
      <c r="MY7" s="9">
        <f>MX7*12</f>
        <v/>
      </c>
      <c r="MZ7" s="12">
        <f>MQ7*BlendedPriceEssMonthly*MC7+MR7*BlendedPricePremMonthly*MC7+MS7*BlendedPriceEliteMonthly*MC7</f>
        <v/>
      </c>
      <c r="NA7" s="12">
        <f>MN7*BlendedPriceEssAnnual*MC7+MO7*BlendedPricePremAnnual*MC7+MP7*BlendedPriceEliteAnnual*MC7</f>
        <v/>
      </c>
      <c r="NB7" s="12">
        <f>0+0+0</f>
        <v/>
      </c>
      <c r="NC7" s="9">
        <f>MZ7+NA7+NB7</f>
        <v/>
      </c>
      <c r="ND7" s="12">
        <f>SUM(NC$5:NC7)</f>
        <v/>
      </c>
      <c r="NE7" s="12">
        <f>OR(NE6,IF(VATAgentMode,SUM($NC$5:$NC7)-SUM($NJ$5:$NJ7)&gt;=VATThreshold,SUM($NC$5:$NC7)&gt;=VATThreshold))</f>
        <v/>
      </c>
      <c r="NF7" s="9">
        <f>IF(NE7,IF(VATAgentMode,NC7-((NC7-NJ7)-(NC7-NJ7)/(1+VATRate)),NC7/(1+VATRate)),NC7)</f>
        <v/>
      </c>
      <c r="NG7" s="12">
        <f>NC7-NF7</f>
        <v/>
      </c>
      <c r="NH7" s="12">
        <f>IF(NE7=0,0,IF(LZ7=1,SUMPRODUCT(--(($MA$5:$MA7=$MA7-1)*($LZ$5:$LZ7&gt;=10)*($LZ$5:$LZ7&lt;=12)),$NG$5:$NG7),IF(LZ7=4,SUMPRODUCT(--(($MA$5:$MA7=$MA7)*($LZ$5:$LZ7&gt;=1)*($LZ$5:$LZ7&lt;=3)),$NG$5:$NG7),IF(LZ7=7,SUMPRODUCT(--(($MA$5:$MA7=$MA7)*($LZ$5:$LZ7&gt;=4)*($LZ$5:$LZ7&lt;=6)),$NG$5:$NG7),IF(LZ7=10,SUMPRODUCT(--(($MA$5:$MA7=$MA7)*($LZ$5:$LZ7&gt;=7)*($LZ$5:$LZ7&lt;=9)),$NG$5:$NG7),0)))))</f>
        <v/>
      </c>
      <c r="NI7" s="12">
        <f>NI6+NG7-NH7</f>
        <v/>
      </c>
      <c r="NJ7" s="12">
        <f>IF(ProviderDelay&gt;=1,MQ6*BlendedProvPayEss+MR6*BlendedProvPayPrem+MS6*BlendedProvPayElite+MT6*BlendedProvPayEss+MU6*BlendedProvPayPrem+MV6*BlendedProvPayElite,MQ7*BlendedProvPayEss+MR7*BlendedProvPayPrem+MS7*BlendedProvPayElite+MT7*BlendedProvPayEss+MU7*BlendedProvPayPrem+MV7*BlendedProvPayElite)</f>
        <v/>
      </c>
      <c r="NK7" s="12">
        <f>NC7*PaymentFee</f>
        <v/>
      </c>
      <c r="NL7" s="12">
        <f>MW7*OpsAI</f>
        <v/>
      </c>
      <c r="NM7" s="12">
        <f>MonthlyFixed</f>
        <v/>
      </c>
      <c r="NN7" s="12">
        <f>MG7*ReferralReward</f>
        <v/>
      </c>
      <c r="NO7" s="12">
        <f>ME7</f>
        <v/>
      </c>
      <c r="NP7" s="9">
        <f>NF7-NJ7-NK7-NL7-NM7-NN7-NO7</f>
        <v/>
      </c>
      <c r="NQ7" s="9">
        <f>NQ6+NC7-(NJ7+NK7+NL7+NM7+NN7+NO7+NH7)</f>
        <v/>
      </c>
      <c r="NR7" s="12">
        <f>IF(MW7&gt;0,MX7/MW7,0)</f>
        <v/>
      </c>
      <c r="NS7" s="11">
        <f>IF(MW6&gt;0,MAX(0,(MW6+MH7-MW7)/MW6),0)</f>
        <v/>
      </c>
      <c r="NU7" s="12" t="n">
        <v>3</v>
      </c>
      <c r="NV7" s="12">
        <f>MOD(NU7-1+LaunchMonth-1,12)+1</f>
        <v/>
      </c>
      <c r="NW7" s="12">
        <f>INT((NU7-1+LaunchMonth-1)/12)+1</f>
        <v/>
      </c>
      <c r="NX7" s="12">
        <f>VLOOKUP(NV7,SeasonTable,2,FALSE)</f>
        <v/>
      </c>
      <c r="NY7" s="12">
        <f>(1+InflationRate)^INT((NU7-1)/12)</f>
        <v/>
      </c>
      <c r="NZ7" s="11">
        <f>'Sens - Churn'!$A$18*VLOOKUP(NV7,ChurnSeasonTable,4,FALSE)</f>
        <v/>
      </c>
      <c r="OA7" s="12">
        <f>MktFixed1_3</f>
        <v/>
      </c>
      <c r="OB7" s="12">
        <f>IF(OA7&gt;0,MAX(1,ROUND(OA7/CAC*NX7,0)),0)</f>
        <v/>
      </c>
      <c r="OC7" s="12">
        <f>IF(OB7&gt;0,ROUND(OB7*ReferralMix/(1-ReferralMix),0),0)</f>
        <v/>
      </c>
      <c r="OD7" s="12">
        <f>OB7+OC7</f>
        <v/>
      </c>
      <c r="OE7" s="12">
        <f>ROUND(OD7*(1-AnnualMix),0)</f>
        <v/>
      </c>
      <c r="OF7" s="12">
        <f>OD7-OE7</f>
        <v/>
      </c>
      <c r="OG7" s="12">
        <f>ROUND(OE7*EssentialMix,0)</f>
        <v/>
      </c>
      <c r="OH7" s="12">
        <f>ROUND(OE7*PremiumMix,0)</f>
        <v/>
      </c>
      <c r="OI7" s="12">
        <f>OE7-OG7-OH7</f>
        <v/>
      </c>
      <c r="OJ7" s="12">
        <f>ROUND(OF7*EssentialMix,0)</f>
        <v/>
      </c>
      <c r="OK7" s="12">
        <f>ROUND(OF7*PremiumMix,0)</f>
        <v/>
      </c>
      <c r="OL7" s="12">
        <f>OF7-OJ7-OK7</f>
        <v/>
      </c>
      <c r="OM7" s="12">
        <f>OG7+OG6+OG5</f>
        <v/>
      </c>
      <c r="ON7" s="12">
        <f>OH7+OH6+OH5</f>
        <v/>
      </c>
      <c r="OO7" s="12">
        <f>OI7+OI6+OI5</f>
        <v/>
      </c>
      <c r="OP7" s="12">
        <f>SUM(OJ$5:OJ7)</f>
        <v/>
      </c>
      <c r="OQ7" s="12">
        <f>SUM(OK$5:OK7)</f>
        <v/>
      </c>
      <c r="OR7" s="12">
        <f>SUM(OL$5:OL7)</f>
        <v/>
      </c>
      <c r="OS7" s="12">
        <f>OM7+ON7+OO7+OP7+OQ7+OR7</f>
        <v/>
      </c>
      <c r="OT7" s="9">
        <f>OM7*BlendedPriceEssMonthly*NY7+ON7*BlendedPricePremMonthly*NY7+OO7*BlendedPriceEliteMonthly*NY7+OP7*BlendedPriceEssAnnual*NY7/12+OQ7*BlendedPricePremAnnual*NY7/12+OR7*BlendedPriceEliteAnnual*NY7/12</f>
        <v/>
      </c>
      <c r="OU7" s="9">
        <f>OT7*12</f>
        <v/>
      </c>
      <c r="OV7" s="12">
        <f>OM7*BlendedPriceEssMonthly*NY7+ON7*BlendedPricePremMonthly*NY7+OO7*BlendedPriceEliteMonthly*NY7</f>
        <v/>
      </c>
      <c r="OW7" s="12">
        <f>OJ7*BlendedPriceEssAnnual*NY7+OK7*BlendedPricePremAnnual*NY7+OL7*BlendedPriceEliteAnnual*NY7</f>
        <v/>
      </c>
      <c r="OX7" s="12">
        <f>0+0+0</f>
        <v/>
      </c>
      <c r="OY7" s="9">
        <f>OV7+OW7+OX7</f>
        <v/>
      </c>
      <c r="OZ7" s="12">
        <f>SUM(OY$5:OY7)</f>
        <v/>
      </c>
      <c r="PA7" s="12">
        <f>OR(PA6,IF(VATAgentMode,SUM($OY$5:$OY7)-SUM($PF$5:$PF7)&gt;=VATThreshold,SUM($OY$5:$OY7)&gt;=VATThreshold))</f>
        <v/>
      </c>
      <c r="PB7" s="9">
        <f>IF(PA7,IF(VATAgentMode,OY7-((OY7-PF7)-(OY7-PF7)/(1+VATRate)),OY7/(1+VATRate)),OY7)</f>
        <v/>
      </c>
      <c r="PC7" s="12">
        <f>OY7-PB7</f>
        <v/>
      </c>
      <c r="PD7" s="12">
        <f>IF(PA7=0,0,IF(NV7=1,SUMPRODUCT(--(($NW$5:$NW7=$NW7-1)*($NV$5:$NV7&gt;=10)*($NV$5:$NV7&lt;=12)),$PC$5:$PC7),IF(NV7=4,SUMPRODUCT(--(($NW$5:$NW7=$NW7)*($NV$5:$NV7&gt;=1)*($NV$5:$NV7&lt;=3)),$PC$5:$PC7),IF(NV7=7,SUMPRODUCT(--(($NW$5:$NW7=$NW7)*($NV$5:$NV7&gt;=4)*($NV$5:$NV7&lt;=6)),$PC$5:$PC7),IF(NV7=10,SUMPRODUCT(--(($NW$5:$NW7=$NW7)*($NV$5:$NV7&gt;=7)*($NV$5:$NV7&lt;=9)),$PC$5:$PC7),0)))))</f>
        <v/>
      </c>
      <c r="PE7" s="12">
        <f>PE6+PC7-PD7</f>
        <v/>
      </c>
      <c r="PF7" s="12">
        <f>IF(ProviderDelay&gt;=1,OM6*BlendedProvPayEss+ON6*BlendedProvPayPrem+OO6*BlendedProvPayElite+OP6*BlendedProvPayEss+OQ6*BlendedProvPayPrem+OR6*BlendedProvPayElite,OM7*BlendedProvPayEss+ON7*BlendedProvPayPrem+OO7*BlendedProvPayElite+OP7*BlendedProvPayEss+OQ7*BlendedProvPayPrem+OR7*BlendedProvPayElite)</f>
        <v/>
      </c>
      <c r="PG7" s="12">
        <f>OY7*PaymentFee</f>
        <v/>
      </c>
      <c r="PH7" s="12">
        <f>OS7*OpsAI</f>
        <v/>
      </c>
      <c r="PI7" s="12">
        <f>MonthlyFixed</f>
        <v/>
      </c>
      <c r="PJ7" s="12">
        <f>OC7*ReferralReward</f>
        <v/>
      </c>
      <c r="PK7" s="12">
        <f>OA7</f>
        <v/>
      </c>
      <c r="PL7" s="9">
        <f>PB7-PF7-PG7-PH7-PI7-PJ7-PK7</f>
        <v/>
      </c>
      <c r="PM7" s="9">
        <f>PM6+OY7-(PF7+PG7+PH7+PI7+PJ7+PK7+PD7)</f>
        <v/>
      </c>
      <c r="PN7" s="12">
        <f>IF(OS7&gt;0,OT7/OS7,0)</f>
        <v/>
      </c>
      <c r="PO7" s="11">
        <f>IF(OS6&gt;0,MAX(0,(OS6+OD7-OS7)/OS6),0)</f>
        <v/>
      </c>
      <c r="PQ7" s="12" t="n">
        <v>3</v>
      </c>
      <c r="PR7" s="12">
        <f>MOD(PQ7-1+LaunchMonth-1,12)+1</f>
        <v/>
      </c>
      <c r="PS7" s="12">
        <f>INT((PQ7-1+LaunchMonth-1)/12)+1</f>
        <v/>
      </c>
      <c r="PT7" s="12">
        <f>VLOOKUP(PR7,SeasonTable,2,FALSE)</f>
        <v/>
      </c>
      <c r="PU7" s="12">
        <f>(1+InflationRate)^INT((PQ7-1)/12)</f>
        <v/>
      </c>
      <c r="PV7" s="11">
        <f>'Sens - Churn'!$A$19*VLOOKUP(PR7,ChurnSeasonTable,4,FALSE)</f>
        <v/>
      </c>
      <c r="PW7" s="12">
        <f>MktFixed1_3</f>
        <v/>
      </c>
      <c r="PX7" s="12">
        <f>IF(PW7&gt;0,MAX(1,ROUND(PW7/CAC*PT7,0)),0)</f>
        <v/>
      </c>
      <c r="PY7" s="12">
        <f>IF(PX7&gt;0,ROUND(PX7*ReferralMix/(1-ReferralMix),0),0)</f>
        <v/>
      </c>
      <c r="PZ7" s="12">
        <f>PX7+PY7</f>
        <v/>
      </c>
      <c r="QA7" s="12">
        <f>ROUND(PZ7*(1-AnnualMix),0)</f>
        <v/>
      </c>
      <c r="QB7" s="12">
        <f>PZ7-QA7</f>
        <v/>
      </c>
      <c r="QC7" s="12">
        <f>ROUND(QA7*EssentialMix,0)</f>
        <v/>
      </c>
      <c r="QD7" s="12">
        <f>ROUND(QA7*PremiumMix,0)</f>
        <v/>
      </c>
      <c r="QE7" s="12">
        <f>QA7-QC7-QD7</f>
        <v/>
      </c>
      <c r="QF7" s="12">
        <f>ROUND(QB7*EssentialMix,0)</f>
        <v/>
      </c>
      <c r="QG7" s="12">
        <f>ROUND(QB7*PremiumMix,0)</f>
        <v/>
      </c>
      <c r="QH7" s="12">
        <f>QB7-QF7-QG7</f>
        <v/>
      </c>
      <c r="QI7" s="12">
        <f>QC7+QC6+QC5</f>
        <v/>
      </c>
      <c r="QJ7" s="12">
        <f>QD7+QD6+QD5</f>
        <v/>
      </c>
      <c r="QK7" s="12">
        <f>QE7+QE6+QE5</f>
        <v/>
      </c>
      <c r="QL7" s="12">
        <f>SUM(QF$5:QF7)</f>
        <v/>
      </c>
      <c r="QM7" s="12">
        <f>SUM(QG$5:QG7)</f>
        <v/>
      </c>
      <c r="QN7" s="12">
        <f>SUM(QH$5:QH7)</f>
        <v/>
      </c>
      <c r="QO7" s="12">
        <f>QI7+QJ7+QK7+QL7+QM7+QN7</f>
        <v/>
      </c>
      <c r="QP7" s="9">
        <f>QI7*BlendedPriceEssMonthly*PU7+QJ7*BlendedPricePremMonthly*PU7+QK7*BlendedPriceEliteMonthly*PU7+QL7*BlendedPriceEssAnnual*PU7/12+QM7*BlendedPricePremAnnual*PU7/12+QN7*BlendedPriceEliteAnnual*PU7/12</f>
        <v/>
      </c>
      <c r="QQ7" s="9">
        <f>QP7*12</f>
        <v/>
      </c>
      <c r="QR7" s="12">
        <f>QI7*BlendedPriceEssMonthly*PU7+QJ7*BlendedPricePremMonthly*PU7+QK7*BlendedPriceEliteMonthly*PU7</f>
        <v/>
      </c>
      <c r="QS7" s="12">
        <f>QF7*BlendedPriceEssAnnual*PU7+QG7*BlendedPricePremAnnual*PU7+QH7*BlendedPriceEliteAnnual*PU7</f>
        <v/>
      </c>
      <c r="QT7" s="12">
        <f>0+0+0</f>
        <v/>
      </c>
      <c r="QU7" s="9">
        <f>QR7+QS7+QT7</f>
        <v/>
      </c>
      <c r="QV7" s="12">
        <f>SUM(QU$5:QU7)</f>
        <v/>
      </c>
      <c r="QW7" s="12">
        <f>OR(QW6,IF(VATAgentMode,SUM($QU$5:$QU7)-SUM($RB$5:$RB7)&gt;=VATThreshold,SUM($QU$5:$QU7)&gt;=VATThreshold))</f>
        <v/>
      </c>
      <c r="QX7" s="9">
        <f>IF(QW7,IF(VATAgentMode,QU7-((QU7-RB7)-(QU7-RB7)/(1+VATRate)),QU7/(1+VATRate)),QU7)</f>
        <v/>
      </c>
      <c r="QY7" s="12">
        <f>QU7-QX7</f>
        <v/>
      </c>
      <c r="QZ7" s="12">
        <f>IF(QW7=0,0,IF(PR7=1,SUMPRODUCT(--(($PS$5:$PS7=$PS7-1)*($PR$5:$PR7&gt;=10)*($PR$5:$PR7&lt;=12)),$QY$5:$QY7),IF(PR7=4,SUMPRODUCT(--(($PS$5:$PS7=$PS7)*($PR$5:$PR7&gt;=1)*($PR$5:$PR7&lt;=3)),$QY$5:$QY7),IF(PR7=7,SUMPRODUCT(--(($PS$5:$PS7=$PS7)*($PR$5:$PR7&gt;=4)*($PR$5:$PR7&lt;=6)),$QY$5:$QY7),IF(PR7=10,SUMPRODUCT(--(($PS$5:$PS7=$PS7)*($PR$5:$PR7&gt;=7)*($PR$5:$PR7&lt;=9)),$QY$5:$QY7),0)))))</f>
        <v/>
      </c>
      <c r="RA7" s="12">
        <f>RA6+QY7-QZ7</f>
        <v/>
      </c>
      <c r="RB7" s="12">
        <f>IF(ProviderDelay&gt;=1,QI6*BlendedProvPayEss+QJ6*BlendedProvPayPrem+QK6*BlendedProvPayElite+QL6*BlendedProvPayEss+QM6*BlendedProvPayPrem+QN6*BlendedProvPayElite,QI7*BlendedProvPayEss+QJ7*BlendedProvPayPrem+QK7*BlendedProvPayElite+QL7*BlendedProvPayEss+QM7*BlendedProvPayPrem+QN7*BlendedProvPayElite)</f>
        <v/>
      </c>
      <c r="RC7" s="12">
        <f>QU7*PaymentFee</f>
        <v/>
      </c>
      <c r="RD7" s="12">
        <f>QO7*OpsAI</f>
        <v/>
      </c>
      <c r="RE7" s="12">
        <f>MonthlyFixed</f>
        <v/>
      </c>
      <c r="RF7" s="12">
        <f>PY7*ReferralReward</f>
        <v/>
      </c>
      <c r="RG7" s="12">
        <f>PW7</f>
        <v/>
      </c>
      <c r="RH7" s="9">
        <f>QX7-RB7-RC7-RD7-RE7-RF7-RG7</f>
        <v/>
      </c>
      <c r="RI7" s="9">
        <f>RI6+QU7-(RB7+RC7+RD7+RE7+RF7+RG7+QZ7)</f>
        <v/>
      </c>
      <c r="RJ7" s="12">
        <f>IF(QO7&gt;0,QP7/QO7,0)</f>
        <v/>
      </c>
      <c r="RK7" s="11">
        <f>IF(QO6&gt;0,MAX(0,(QO6+PZ7-QO7)/QO6),0)</f>
        <v/>
      </c>
      <c r="RM7" s="12" t="n">
        <v>3</v>
      </c>
      <c r="RN7" s="12">
        <f>MOD(RM7-1+LaunchMonth-1,12)+1</f>
        <v/>
      </c>
      <c r="RO7" s="12">
        <f>INT((RM7-1+LaunchMonth-1)/12)+1</f>
        <v/>
      </c>
      <c r="RP7" s="12">
        <f>VLOOKUP(RN7,SeasonTable,2,FALSE)</f>
        <v/>
      </c>
      <c r="RQ7" s="12">
        <f>(1+InflationRate)^INT((RM7-1)/12)</f>
        <v/>
      </c>
      <c r="RR7" s="11">
        <f>'Sens - Churn'!$A$20*VLOOKUP(RN7,ChurnSeasonTable,4,FALSE)</f>
        <v/>
      </c>
      <c r="RS7" s="12">
        <f>MktFixed1_3</f>
        <v/>
      </c>
      <c r="RT7" s="12">
        <f>IF(RS7&gt;0,MAX(1,ROUND(RS7/CAC*RP7,0)),0)</f>
        <v/>
      </c>
      <c r="RU7" s="12">
        <f>IF(RT7&gt;0,ROUND(RT7*ReferralMix/(1-ReferralMix),0),0)</f>
        <v/>
      </c>
      <c r="RV7" s="12">
        <f>RT7+RU7</f>
        <v/>
      </c>
      <c r="RW7" s="12">
        <f>ROUND(RV7*(1-AnnualMix),0)</f>
        <v/>
      </c>
      <c r="RX7" s="12">
        <f>RV7-RW7</f>
        <v/>
      </c>
      <c r="RY7" s="12">
        <f>ROUND(RW7*EssentialMix,0)</f>
        <v/>
      </c>
      <c r="RZ7" s="12">
        <f>ROUND(RW7*PremiumMix,0)</f>
        <v/>
      </c>
      <c r="SA7" s="12">
        <f>RW7-RY7-RZ7</f>
        <v/>
      </c>
      <c r="SB7" s="12">
        <f>ROUND(RX7*EssentialMix,0)</f>
        <v/>
      </c>
      <c r="SC7" s="12">
        <f>ROUND(RX7*PremiumMix,0)</f>
        <v/>
      </c>
      <c r="SD7" s="12">
        <f>RX7-SB7-SC7</f>
        <v/>
      </c>
      <c r="SE7" s="12">
        <f>RY7+RY6+RY5</f>
        <v/>
      </c>
      <c r="SF7" s="12">
        <f>RZ7+RZ6+RZ5</f>
        <v/>
      </c>
      <c r="SG7" s="12">
        <f>SA7+SA6+SA5</f>
        <v/>
      </c>
      <c r="SH7" s="12">
        <f>SUM(SB$5:SB7)</f>
        <v/>
      </c>
      <c r="SI7" s="12">
        <f>SUM(SC$5:SC7)</f>
        <v/>
      </c>
      <c r="SJ7" s="12">
        <f>SUM(SD$5:SD7)</f>
        <v/>
      </c>
      <c r="SK7" s="12">
        <f>SE7+SF7+SG7+SH7+SI7+SJ7</f>
        <v/>
      </c>
      <c r="SL7" s="9">
        <f>SE7*BlendedPriceEssMonthly*RQ7+SF7*BlendedPricePremMonthly*RQ7+SG7*BlendedPriceEliteMonthly*RQ7+SH7*BlendedPriceEssAnnual*RQ7/12+SI7*BlendedPricePremAnnual*RQ7/12+SJ7*BlendedPriceEliteAnnual*RQ7/12</f>
        <v/>
      </c>
      <c r="SM7" s="9">
        <f>SL7*12</f>
        <v/>
      </c>
      <c r="SN7" s="12">
        <f>SE7*BlendedPriceEssMonthly*RQ7+SF7*BlendedPricePremMonthly*RQ7+SG7*BlendedPriceEliteMonthly*RQ7</f>
        <v/>
      </c>
      <c r="SO7" s="12">
        <f>SB7*BlendedPriceEssAnnual*RQ7+SC7*BlendedPricePremAnnual*RQ7+SD7*BlendedPriceEliteAnnual*RQ7</f>
        <v/>
      </c>
      <c r="SP7" s="12">
        <f>0+0+0</f>
        <v/>
      </c>
      <c r="SQ7" s="9">
        <f>SN7+SO7+SP7</f>
        <v/>
      </c>
      <c r="SR7" s="12">
        <f>SUM(SQ$5:SQ7)</f>
        <v/>
      </c>
      <c r="SS7" s="12">
        <f>OR(SS6,IF(VATAgentMode,SUM($SQ$5:$SQ7)-SUM($SX$5:$SX7)&gt;=VATThreshold,SUM($SQ$5:$SQ7)&gt;=VATThreshold))</f>
        <v/>
      </c>
      <c r="ST7" s="9">
        <f>IF(SS7,IF(VATAgentMode,SQ7-((SQ7-SX7)-(SQ7-SX7)/(1+VATRate)),SQ7/(1+VATRate)),SQ7)</f>
        <v/>
      </c>
      <c r="SU7" s="12">
        <f>SQ7-ST7</f>
        <v/>
      </c>
      <c r="SV7" s="12">
        <f>IF(SS7=0,0,IF(RN7=1,SUMPRODUCT(--(($RO$5:$RO7=$RO7-1)*($RN$5:$RN7&gt;=10)*($RN$5:$RN7&lt;=12)),$SU$5:$SU7),IF(RN7=4,SUMPRODUCT(--(($RO$5:$RO7=$RO7)*($RN$5:$RN7&gt;=1)*($RN$5:$RN7&lt;=3)),$SU$5:$SU7),IF(RN7=7,SUMPRODUCT(--(($RO$5:$RO7=$RO7)*($RN$5:$RN7&gt;=4)*($RN$5:$RN7&lt;=6)),$SU$5:$SU7),IF(RN7=10,SUMPRODUCT(--(($RO$5:$RO7=$RO7)*($RN$5:$RN7&gt;=7)*($RN$5:$RN7&lt;=9)),$SU$5:$SU7),0)))))</f>
        <v/>
      </c>
      <c r="SW7" s="12">
        <f>SW6+SU7-SV7</f>
        <v/>
      </c>
      <c r="SX7" s="12">
        <f>IF(ProviderDelay&gt;=1,SE6*BlendedProvPayEss+SF6*BlendedProvPayPrem+SG6*BlendedProvPayElite+SH6*BlendedProvPayEss+SI6*BlendedProvPayPrem+SJ6*BlendedProvPayElite,SE7*BlendedProvPayEss+SF7*BlendedProvPayPrem+SG7*BlendedProvPayElite+SH7*BlendedProvPayEss+SI7*BlendedProvPayPrem+SJ7*BlendedProvPayElite)</f>
        <v/>
      </c>
      <c r="SY7" s="12">
        <f>SQ7*PaymentFee</f>
        <v/>
      </c>
      <c r="SZ7" s="12">
        <f>SK7*OpsAI</f>
        <v/>
      </c>
      <c r="TA7" s="12">
        <f>MonthlyFixed</f>
        <v/>
      </c>
      <c r="TB7" s="12">
        <f>RU7*ReferralReward</f>
        <v/>
      </c>
      <c r="TC7" s="12">
        <f>RS7</f>
        <v/>
      </c>
      <c r="TD7" s="9">
        <f>ST7-SX7-SY7-SZ7-TA7-TB7-TC7</f>
        <v/>
      </c>
      <c r="TE7" s="9">
        <f>TE6+SQ7-(SX7+SY7+SZ7+TA7+TB7+TC7+SV7)</f>
        <v/>
      </c>
      <c r="TF7" s="12">
        <f>IF(SK7&gt;0,SL7/SK7,0)</f>
        <v/>
      </c>
      <c r="TG7" s="11">
        <f>IF(SK6&gt;0,MAX(0,(SK6+RV7-SK7)/SK6),0)</f>
        <v/>
      </c>
      <c r="TI7" s="12" t="n">
        <v>3</v>
      </c>
      <c r="TJ7" s="12">
        <f>MOD(TI7-1+LaunchMonth-1,12)+1</f>
        <v/>
      </c>
      <c r="TK7" s="12">
        <f>INT((TI7-1+LaunchMonth-1)/12)+1</f>
        <v/>
      </c>
      <c r="TL7" s="12">
        <f>VLOOKUP(TJ7,SeasonTable,2,FALSE)</f>
        <v/>
      </c>
      <c r="TM7" s="12">
        <f>(1+InflationRate)^INT((TI7-1)/12)</f>
        <v/>
      </c>
      <c r="TN7" s="11">
        <f>'Sens - Churn'!$A$21*VLOOKUP(TJ7,ChurnSeasonTable,4,FALSE)</f>
        <v/>
      </c>
      <c r="TO7" s="12">
        <f>MktFixed1_3</f>
        <v/>
      </c>
      <c r="TP7" s="12">
        <f>IF(TO7&gt;0,MAX(1,ROUND(TO7/CAC*TL7,0)),0)</f>
        <v/>
      </c>
      <c r="TQ7" s="12">
        <f>IF(TP7&gt;0,ROUND(TP7*ReferralMix/(1-ReferralMix),0),0)</f>
        <v/>
      </c>
      <c r="TR7" s="12">
        <f>TP7+TQ7</f>
        <v/>
      </c>
      <c r="TS7" s="12">
        <f>ROUND(TR7*(1-AnnualMix),0)</f>
        <v/>
      </c>
      <c r="TT7" s="12">
        <f>TR7-TS7</f>
        <v/>
      </c>
      <c r="TU7" s="12">
        <f>ROUND(TS7*EssentialMix,0)</f>
        <v/>
      </c>
      <c r="TV7" s="12">
        <f>ROUND(TS7*PremiumMix,0)</f>
        <v/>
      </c>
      <c r="TW7" s="12">
        <f>TS7-TU7-TV7</f>
        <v/>
      </c>
      <c r="TX7" s="12">
        <f>ROUND(TT7*EssentialMix,0)</f>
        <v/>
      </c>
      <c r="TY7" s="12">
        <f>ROUND(TT7*PremiumMix,0)</f>
        <v/>
      </c>
      <c r="TZ7" s="12">
        <f>TT7-TX7-TY7</f>
        <v/>
      </c>
      <c r="UA7" s="12">
        <f>TU7+TU6+TU5</f>
        <v/>
      </c>
      <c r="UB7" s="12">
        <f>TV7+TV6+TV5</f>
        <v/>
      </c>
      <c r="UC7" s="12">
        <f>TW7+TW6+TW5</f>
        <v/>
      </c>
      <c r="UD7" s="12">
        <f>SUM(TX$5:TX7)</f>
        <v/>
      </c>
      <c r="UE7" s="12">
        <f>SUM(TY$5:TY7)</f>
        <v/>
      </c>
      <c r="UF7" s="12">
        <f>SUM(TZ$5:TZ7)</f>
        <v/>
      </c>
      <c r="UG7" s="12">
        <f>UA7+UB7+UC7+UD7+UE7+UF7</f>
        <v/>
      </c>
      <c r="UH7" s="9">
        <f>UA7*BlendedPriceEssMonthly*TM7+UB7*BlendedPricePremMonthly*TM7+UC7*BlendedPriceEliteMonthly*TM7+UD7*BlendedPriceEssAnnual*TM7/12+UE7*BlendedPricePremAnnual*TM7/12+UF7*BlendedPriceEliteAnnual*TM7/12</f>
        <v/>
      </c>
      <c r="UI7" s="9">
        <f>UH7*12</f>
        <v/>
      </c>
      <c r="UJ7" s="12">
        <f>UA7*BlendedPriceEssMonthly*TM7+UB7*BlendedPricePremMonthly*TM7+UC7*BlendedPriceEliteMonthly*TM7</f>
        <v/>
      </c>
      <c r="UK7" s="12">
        <f>TX7*BlendedPriceEssAnnual*TM7+TY7*BlendedPricePremAnnual*TM7+TZ7*BlendedPriceEliteAnnual*TM7</f>
        <v/>
      </c>
      <c r="UL7" s="12">
        <f>0+0+0</f>
        <v/>
      </c>
      <c r="UM7" s="9">
        <f>UJ7+UK7+UL7</f>
        <v/>
      </c>
      <c r="UN7" s="12">
        <f>SUM(UM$5:UM7)</f>
        <v/>
      </c>
      <c r="UO7" s="12">
        <f>OR(UO6,IF(VATAgentMode,SUM($UM$5:$UM7)-SUM($UT$5:$UT7)&gt;=VATThreshold,SUM($UM$5:$UM7)&gt;=VATThreshold))</f>
        <v/>
      </c>
      <c r="UP7" s="9">
        <f>IF(UO7,IF(VATAgentMode,UM7-((UM7-UT7)-(UM7-UT7)/(1+VATRate)),UM7/(1+VATRate)),UM7)</f>
        <v/>
      </c>
      <c r="UQ7" s="12">
        <f>UM7-UP7</f>
        <v/>
      </c>
      <c r="UR7" s="12">
        <f>IF(UO7=0,0,IF(TJ7=1,SUMPRODUCT(--(($TK$5:$TK7=$TK7-1)*($TJ$5:$TJ7&gt;=10)*($TJ$5:$TJ7&lt;=12)),$UQ$5:$UQ7),IF(TJ7=4,SUMPRODUCT(--(($TK$5:$TK7=$TK7)*($TJ$5:$TJ7&gt;=1)*($TJ$5:$TJ7&lt;=3)),$UQ$5:$UQ7),IF(TJ7=7,SUMPRODUCT(--(($TK$5:$TK7=$TK7)*($TJ$5:$TJ7&gt;=4)*($TJ$5:$TJ7&lt;=6)),$UQ$5:$UQ7),IF(TJ7=10,SUMPRODUCT(--(($TK$5:$TK7=$TK7)*($TJ$5:$TJ7&gt;=7)*($TJ$5:$TJ7&lt;=9)),$UQ$5:$UQ7),0)))))</f>
        <v/>
      </c>
      <c r="US7" s="12">
        <f>US6+UQ7-UR7</f>
        <v/>
      </c>
      <c r="UT7" s="12">
        <f>IF(ProviderDelay&gt;=1,UA6*BlendedProvPayEss+UB6*BlendedProvPayPrem+UC6*BlendedProvPayElite+UD6*BlendedProvPayEss+UE6*BlendedProvPayPrem+UF6*BlendedProvPayElite,UA7*BlendedProvPayEss+UB7*BlendedProvPayPrem+UC7*BlendedProvPayElite+UD7*BlendedProvPayEss+UE7*BlendedProvPayPrem+UF7*BlendedProvPayElite)</f>
        <v/>
      </c>
      <c r="UU7" s="12">
        <f>UM7*PaymentFee</f>
        <v/>
      </c>
      <c r="UV7" s="12">
        <f>UG7*OpsAI</f>
        <v/>
      </c>
      <c r="UW7" s="12">
        <f>MonthlyFixed</f>
        <v/>
      </c>
      <c r="UX7" s="12">
        <f>TQ7*ReferralReward</f>
        <v/>
      </c>
      <c r="UY7" s="12">
        <f>TO7</f>
        <v/>
      </c>
      <c r="UZ7" s="9">
        <f>UP7-UT7-UU7-UV7-UW7-UX7-UY7</f>
        <v/>
      </c>
      <c r="VA7" s="9">
        <f>VA6+UM7-(UT7+UU7+UV7+UW7+UX7+UY7+UR7)</f>
        <v/>
      </c>
      <c r="VB7" s="12">
        <f>IF(UG7&gt;0,UH7/UG7,0)</f>
        <v/>
      </c>
      <c r="VC7" s="11">
        <f>IF(UG6&gt;0,MAX(0,(UG6+TR7-UG7)/UG6),0)</f>
        <v/>
      </c>
      <c r="VE7" s="12" t="n">
        <v>3</v>
      </c>
      <c r="VF7" s="12">
        <f>MOD(VE7-1+LaunchMonth-1,12)+1</f>
        <v/>
      </c>
      <c r="VG7" s="12">
        <f>INT((VE7-1+LaunchMonth-1)/12)+1</f>
        <v/>
      </c>
      <c r="VH7" s="12">
        <f>VLOOKUP(VF7,SeasonTable,2,FALSE)</f>
        <v/>
      </c>
      <c r="VI7" s="12">
        <f>(1+InflationRate)^INT((VE7-1)/12)</f>
        <v/>
      </c>
      <c r="VJ7" s="11">
        <f>MonthlyChurn*VLOOKUP(VF7,ChurnSeasonTable,4,FALSE)</f>
        <v/>
      </c>
      <c r="VK7" s="12">
        <f>MktFixed1_3</f>
        <v/>
      </c>
      <c r="VL7" s="12">
        <f>IF(VK7&gt;0,MAX(1,ROUND(VK7/CAC*VH7,0)),0)</f>
        <v/>
      </c>
      <c r="VM7" s="12">
        <f>IF(VL7&gt;0,ROUND(VL7*ReferralMix/(1-ReferralMix),0),0)</f>
        <v/>
      </c>
      <c r="VN7" s="12">
        <f>VL7+VM7</f>
        <v/>
      </c>
      <c r="VO7" s="12">
        <f>ROUND(VN7*(1-'Sens - Annual Mix'!$A$9),0)</f>
        <v/>
      </c>
      <c r="VP7" s="12">
        <f>VN7-VO7</f>
        <v/>
      </c>
      <c r="VQ7" s="12">
        <f>ROUND(VO7*EssentialMix,0)</f>
        <v/>
      </c>
      <c r="VR7" s="12">
        <f>ROUND(VO7*PremiumMix,0)</f>
        <v/>
      </c>
      <c r="VS7" s="12">
        <f>VO7-VQ7-VR7</f>
        <v/>
      </c>
      <c r="VT7" s="12">
        <f>ROUND(VP7*EssentialMix,0)</f>
        <v/>
      </c>
      <c r="VU7" s="12">
        <f>ROUND(VP7*PremiumMix,0)</f>
        <v/>
      </c>
      <c r="VV7" s="12">
        <f>VP7-VT7-VU7</f>
        <v/>
      </c>
      <c r="VW7" s="12">
        <f>VQ7+VQ6+VQ5</f>
        <v/>
      </c>
      <c r="VX7" s="12">
        <f>VR7+VR6+VR5</f>
        <v/>
      </c>
      <c r="VY7" s="12">
        <f>VS7+VS6+VS5</f>
        <v/>
      </c>
      <c r="VZ7" s="12">
        <f>SUM(VT$5:VT7)</f>
        <v/>
      </c>
      <c r="WA7" s="12">
        <f>SUM(VU$5:VU7)</f>
        <v/>
      </c>
      <c r="WB7" s="12">
        <f>SUM(VV$5:VV7)</f>
        <v/>
      </c>
      <c r="WC7" s="12">
        <f>VW7+VX7+VY7+VZ7+WA7+WB7</f>
        <v/>
      </c>
      <c r="WD7" s="9">
        <f>VW7*BlendedPriceEssMonthly*VI7+VX7*BlendedPricePremMonthly*VI7+VY7*BlendedPriceEliteMonthly*VI7+VZ7*BlendedPriceEssAnnual*VI7/12+WA7*BlendedPricePremAnnual*VI7/12+WB7*BlendedPriceEliteAnnual*VI7/12</f>
        <v/>
      </c>
      <c r="WE7" s="9">
        <f>WD7*12</f>
        <v/>
      </c>
      <c r="WF7" s="12">
        <f>VW7*BlendedPriceEssMonthly*VI7+VX7*BlendedPricePremMonthly*VI7+VY7*BlendedPriceEliteMonthly*VI7</f>
        <v/>
      </c>
      <c r="WG7" s="12">
        <f>VT7*BlendedPriceEssAnnual*VI7+VU7*BlendedPricePremAnnual*VI7+VV7*BlendedPriceEliteAnnual*VI7</f>
        <v/>
      </c>
      <c r="WH7" s="12">
        <f>0+0+0</f>
        <v/>
      </c>
      <c r="WI7" s="9">
        <f>WF7+WG7+WH7</f>
        <v/>
      </c>
      <c r="WJ7" s="12">
        <f>SUM(WI$5:WI7)</f>
        <v/>
      </c>
      <c r="WK7" s="12">
        <f>OR(WK6,IF(VATAgentMode,SUM($WI$5:$WI7)-SUM($WP$5:$WP7)&gt;=VATThreshold,SUM($WI$5:$WI7)&gt;=VATThreshold))</f>
        <v/>
      </c>
      <c r="WL7" s="9">
        <f>IF(WK7,IF(VATAgentMode,WI7-((WI7-WP7)-(WI7-WP7)/(1+VATRate)),WI7/(1+VATRate)),WI7)</f>
        <v/>
      </c>
      <c r="WM7" s="12">
        <f>WI7-WL7</f>
        <v/>
      </c>
      <c r="WN7" s="12">
        <f>IF(WK7=0,0,IF(VF7=1,SUMPRODUCT(--(($VG$5:$VG7=$VG7-1)*($VF$5:$VF7&gt;=10)*($VF$5:$VF7&lt;=12)),$WM$5:$WM7),IF(VF7=4,SUMPRODUCT(--(($VG$5:$VG7=$VG7)*($VF$5:$VF7&gt;=1)*($VF$5:$VF7&lt;=3)),$WM$5:$WM7),IF(VF7=7,SUMPRODUCT(--(($VG$5:$VG7=$VG7)*($VF$5:$VF7&gt;=4)*($VF$5:$VF7&lt;=6)),$WM$5:$WM7),IF(VF7=10,SUMPRODUCT(--(($VG$5:$VG7=$VG7)*($VF$5:$VF7&gt;=7)*($VF$5:$VF7&lt;=9)),$WM$5:$WM7),0)))))</f>
        <v/>
      </c>
      <c r="WO7" s="12">
        <f>WO6+WM7-WN7</f>
        <v/>
      </c>
      <c r="WP7" s="12">
        <f>IF(ProviderDelay&gt;=1,VW6*BlendedProvPayEss+VX6*BlendedProvPayPrem+VY6*BlendedProvPayElite+VZ6*BlendedProvPayEss+WA6*BlendedProvPayPrem+WB6*BlendedProvPayElite,VW7*BlendedProvPayEss+VX7*BlendedProvPayPrem+VY7*BlendedProvPayElite+VZ7*BlendedProvPayEss+WA7*BlendedProvPayPrem+WB7*BlendedProvPayElite)</f>
        <v/>
      </c>
      <c r="WQ7" s="12">
        <f>WI7*PaymentFee</f>
        <v/>
      </c>
      <c r="WR7" s="12">
        <f>WC7*OpsAI</f>
        <v/>
      </c>
      <c r="WS7" s="12">
        <f>MonthlyFixed</f>
        <v/>
      </c>
      <c r="WT7" s="12">
        <f>VM7*ReferralReward</f>
        <v/>
      </c>
      <c r="WU7" s="12">
        <f>VK7</f>
        <v/>
      </c>
      <c r="WV7" s="9">
        <f>WL7-WP7-WQ7-WR7-WS7-WT7-WU7</f>
        <v/>
      </c>
      <c r="WW7" s="9">
        <f>WW6+WI7-(WP7+WQ7+WR7+WS7+WT7+WU7+WN7)</f>
        <v/>
      </c>
      <c r="WX7" s="12">
        <f>IF(WC7&gt;0,WD7/WC7,0)</f>
        <v/>
      </c>
      <c r="WY7" s="11">
        <f>IF(WC6&gt;0,MAX(0,(WC6+VN7-WC7)/WC6),0)</f>
        <v/>
      </c>
      <c r="XA7" s="12" t="n">
        <v>3</v>
      </c>
      <c r="XB7" s="12">
        <f>MOD(XA7-1+LaunchMonth-1,12)+1</f>
        <v/>
      </c>
      <c r="XC7" s="12">
        <f>INT((XA7-1+LaunchMonth-1)/12)+1</f>
        <v/>
      </c>
      <c r="XD7" s="12">
        <f>VLOOKUP(XB7,SeasonTable,2,FALSE)</f>
        <v/>
      </c>
      <c r="XE7" s="12">
        <f>(1+InflationRate)^INT((XA7-1)/12)</f>
        <v/>
      </c>
      <c r="XF7" s="11">
        <f>MonthlyChurn*VLOOKUP(XB7,ChurnSeasonTable,4,FALSE)</f>
        <v/>
      </c>
      <c r="XG7" s="12">
        <f>MktFixed1_3</f>
        <v/>
      </c>
      <c r="XH7" s="12">
        <f>IF(XG7&gt;0,MAX(1,ROUND(XG7/CAC*XD7,0)),0)</f>
        <v/>
      </c>
      <c r="XI7" s="12">
        <f>IF(XH7&gt;0,ROUND(XH7*ReferralMix/(1-ReferralMix),0),0)</f>
        <v/>
      </c>
      <c r="XJ7" s="12">
        <f>XH7+XI7</f>
        <v/>
      </c>
      <c r="XK7" s="12">
        <f>ROUND(XJ7*(1-'Sens - Annual Mix'!$A$10),0)</f>
        <v/>
      </c>
      <c r="XL7" s="12">
        <f>XJ7-XK7</f>
        <v/>
      </c>
      <c r="XM7" s="12">
        <f>ROUND(XK7*EssentialMix,0)</f>
        <v/>
      </c>
      <c r="XN7" s="12">
        <f>ROUND(XK7*PremiumMix,0)</f>
        <v/>
      </c>
      <c r="XO7" s="12">
        <f>XK7-XM7-XN7</f>
        <v/>
      </c>
      <c r="XP7" s="12">
        <f>ROUND(XL7*EssentialMix,0)</f>
        <v/>
      </c>
      <c r="XQ7" s="12">
        <f>ROUND(XL7*PremiumMix,0)</f>
        <v/>
      </c>
      <c r="XR7" s="12">
        <f>XL7-XP7-XQ7</f>
        <v/>
      </c>
      <c r="XS7" s="12">
        <f>XM7+XM6+XM5</f>
        <v/>
      </c>
      <c r="XT7" s="12">
        <f>XN7+XN6+XN5</f>
        <v/>
      </c>
      <c r="XU7" s="12">
        <f>XO7+XO6+XO5</f>
        <v/>
      </c>
      <c r="XV7" s="12">
        <f>SUM(XP$5:XP7)</f>
        <v/>
      </c>
      <c r="XW7" s="12">
        <f>SUM(XQ$5:XQ7)</f>
        <v/>
      </c>
      <c r="XX7" s="12">
        <f>SUM(XR$5:XR7)</f>
        <v/>
      </c>
      <c r="XY7" s="12">
        <f>XS7+XT7+XU7+XV7+XW7+XX7</f>
        <v/>
      </c>
      <c r="XZ7" s="9">
        <f>XS7*BlendedPriceEssMonthly*XE7+XT7*BlendedPricePremMonthly*XE7+XU7*BlendedPriceEliteMonthly*XE7+XV7*BlendedPriceEssAnnual*XE7/12+XW7*BlendedPricePremAnnual*XE7/12+XX7*BlendedPriceEliteAnnual*XE7/12</f>
        <v/>
      </c>
      <c r="YA7" s="9">
        <f>XZ7*12</f>
        <v/>
      </c>
      <c r="YB7" s="12">
        <f>XS7*BlendedPriceEssMonthly*XE7+XT7*BlendedPricePremMonthly*XE7+XU7*BlendedPriceEliteMonthly*XE7</f>
        <v/>
      </c>
      <c r="YC7" s="12">
        <f>XP7*BlendedPriceEssAnnual*XE7+XQ7*BlendedPricePremAnnual*XE7+XR7*BlendedPriceEliteAnnual*XE7</f>
        <v/>
      </c>
      <c r="YD7" s="12">
        <f>0+0+0</f>
        <v/>
      </c>
      <c r="YE7" s="9">
        <f>YB7+YC7+YD7</f>
        <v/>
      </c>
      <c r="YF7" s="12">
        <f>SUM(YE$5:YE7)</f>
        <v/>
      </c>
      <c r="YG7" s="12">
        <f>OR(YG6,IF(VATAgentMode,SUM($YE$5:$YE7)-SUM($YL$5:$YL7)&gt;=VATThreshold,SUM($YE$5:$YE7)&gt;=VATThreshold))</f>
        <v/>
      </c>
      <c r="YH7" s="9">
        <f>IF(YG7,IF(VATAgentMode,YE7-((YE7-YL7)-(YE7-YL7)/(1+VATRate)),YE7/(1+VATRate)),YE7)</f>
        <v/>
      </c>
      <c r="YI7" s="12">
        <f>YE7-YH7</f>
        <v/>
      </c>
      <c r="YJ7" s="12">
        <f>IF(YG7=0,0,IF(XB7=1,SUMPRODUCT(--(($XC$5:$XC7=$XC7-1)*($XB$5:$XB7&gt;=10)*($XB$5:$XB7&lt;=12)),$YI$5:$YI7),IF(XB7=4,SUMPRODUCT(--(($XC$5:$XC7=$XC7)*($XB$5:$XB7&gt;=1)*($XB$5:$XB7&lt;=3)),$YI$5:$YI7),IF(XB7=7,SUMPRODUCT(--(($XC$5:$XC7=$XC7)*($XB$5:$XB7&gt;=4)*($XB$5:$XB7&lt;=6)),$YI$5:$YI7),IF(XB7=10,SUMPRODUCT(--(($XC$5:$XC7=$XC7)*($XB$5:$XB7&gt;=7)*($XB$5:$XB7&lt;=9)),$YI$5:$YI7),0)))))</f>
        <v/>
      </c>
      <c r="YK7" s="12">
        <f>YK6+YI7-YJ7</f>
        <v/>
      </c>
      <c r="YL7" s="12">
        <f>IF(ProviderDelay&gt;=1,XS6*BlendedProvPayEss+XT6*BlendedProvPayPrem+XU6*BlendedProvPayElite+XV6*BlendedProvPayEss+XW6*BlendedProvPayPrem+XX6*BlendedProvPayElite,XS7*BlendedProvPayEss+XT7*BlendedProvPayPrem+XU7*BlendedProvPayElite+XV7*BlendedProvPayEss+XW7*BlendedProvPayPrem+XX7*BlendedProvPayElite)</f>
        <v/>
      </c>
      <c r="YM7" s="12">
        <f>YE7*PaymentFee</f>
        <v/>
      </c>
      <c r="YN7" s="12">
        <f>XY7*OpsAI</f>
        <v/>
      </c>
      <c r="YO7" s="12">
        <f>MonthlyFixed</f>
        <v/>
      </c>
      <c r="YP7" s="12">
        <f>XI7*ReferralReward</f>
        <v/>
      </c>
      <c r="YQ7" s="12">
        <f>XG7</f>
        <v/>
      </c>
      <c r="YR7" s="9">
        <f>YH7-YL7-YM7-YN7-YO7-YP7-YQ7</f>
        <v/>
      </c>
      <c r="YS7" s="9">
        <f>YS6+YE7-(YL7+YM7+YN7+YO7+YP7+YQ7+YJ7)</f>
        <v/>
      </c>
      <c r="YT7" s="12">
        <f>IF(XY7&gt;0,XZ7/XY7,0)</f>
        <v/>
      </c>
      <c r="YU7" s="11">
        <f>IF(XY6&gt;0,MAX(0,(XY6+XJ7-XY7)/XY6),0)</f>
        <v/>
      </c>
      <c r="YW7" s="12" t="n">
        <v>3</v>
      </c>
      <c r="YX7" s="12">
        <f>MOD(YW7-1+LaunchMonth-1,12)+1</f>
        <v/>
      </c>
      <c r="YY7" s="12">
        <f>INT((YW7-1+LaunchMonth-1)/12)+1</f>
        <v/>
      </c>
      <c r="YZ7" s="12">
        <f>VLOOKUP(YX7,SeasonTable,2,FALSE)</f>
        <v/>
      </c>
      <c r="ZA7" s="12">
        <f>(1+InflationRate)^INT((YW7-1)/12)</f>
        <v/>
      </c>
      <c r="ZB7" s="11">
        <f>MonthlyChurn*VLOOKUP(YX7,ChurnSeasonTable,4,FALSE)</f>
        <v/>
      </c>
      <c r="ZC7" s="12">
        <f>MktFixed1_3</f>
        <v/>
      </c>
      <c r="ZD7" s="12">
        <f>IF(ZC7&gt;0,MAX(1,ROUND(ZC7/CAC*YZ7,0)),0)</f>
        <v/>
      </c>
      <c r="ZE7" s="12">
        <f>IF(ZD7&gt;0,ROUND(ZD7*ReferralMix/(1-ReferralMix),0),0)</f>
        <v/>
      </c>
      <c r="ZF7" s="12">
        <f>ZD7+ZE7</f>
        <v/>
      </c>
      <c r="ZG7" s="12">
        <f>ROUND(ZF7*(1-'Sens - Annual Mix'!$A$11),0)</f>
        <v/>
      </c>
      <c r="ZH7" s="12">
        <f>ZF7-ZG7</f>
        <v/>
      </c>
      <c r="ZI7" s="12">
        <f>ROUND(ZG7*EssentialMix,0)</f>
        <v/>
      </c>
      <c r="ZJ7" s="12">
        <f>ROUND(ZG7*PremiumMix,0)</f>
        <v/>
      </c>
      <c r="ZK7" s="12">
        <f>ZG7-ZI7-ZJ7</f>
        <v/>
      </c>
      <c r="ZL7" s="12">
        <f>ROUND(ZH7*EssentialMix,0)</f>
        <v/>
      </c>
      <c r="ZM7" s="12">
        <f>ROUND(ZH7*PremiumMix,0)</f>
        <v/>
      </c>
      <c r="ZN7" s="12">
        <f>ZH7-ZL7-ZM7</f>
        <v/>
      </c>
      <c r="ZO7" s="12">
        <f>ZI7+ZI6+ZI5</f>
        <v/>
      </c>
      <c r="ZP7" s="12">
        <f>ZJ7+ZJ6+ZJ5</f>
        <v/>
      </c>
      <c r="ZQ7" s="12">
        <f>ZK7+ZK6+ZK5</f>
        <v/>
      </c>
      <c r="ZR7" s="12">
        <f>SUM(ZL$5:ZL7)</f>
        <v/>
      </c>
      <c r="ZS7" s="12">
        <f>SUM(ZM$5:ZM7)</f>
        <v/>
      </c>
      <c r="ZT7" s="12">
        <f>SUM(ZN$5:ZN7)</f>
        <v/>
      </c>
      <c r="ZU7" s="12">
        <f>ZO7+ZP7+ZQ7+ZR7+ZS7+ZT7</f>
        <v/>
      </c>
      <c r="ZV7" s="9">
        <f>ZO7*BlendedPriceEssMonthly*ZA7+ZP7*BlendedPricePremMonthly*ZA7+ZQ7*BlendedPriceEliteMonthly*ZA7+ZR7*BlendedPriceEssAnnual*ZA7/12+ZS7*BlendedPricePremAnnual*ZA7/12+ZT7*BlendedPriceEliteAnnual*ZA7/12</f>
        <v/>
      </c>
      <c r="ZW7" s="9">
        <f>ZV7*12</f>
        <v/>
      </c>
      <c r="ZX7" s="12">
        <f>ZO7*BlendedPriceEssMonthly*ZA7+ZP7*BlendedPricePremMonthly*ZA7+ZQ7*BlendedPriceEliteMonthly*ZA7</f>
        <v/>
      </c>
      <c r="ZY7" s="12">
        <f>ZL7*BlendedPriceEssAnnual*ZA7+ZM7*BlendedPricePremAnnual*ZA7+ZN7*BlendedPriceEliteAnnual*ZA7</f>
        <v/>
      </c>
      <c r="ZZ7" s="12">
        <f>0+0+0</f>
        <v/>
      </c>
      <c r="AAA7" s="9">
        <f>ZX7+ZY7+ZZ7</f>
        <v/>
      </c>
      <c r="AAB7" s="12">
        <f>SUM(AAA$5:AAA7)</f>
        <v/>
      </c>
      <c r="AAC7" s="12">
        <f>OR(AAC6,IF(VATAgentMode,SUM($AAA$5:$AAA7)-SUM($AAH$5:$AAH7)&gt;=VATThreshold,SUM($AAA$5:$AAA7)&gt;=VATThreshold))</f>
        <v/>
      </c>
      <c r="AAD7" s="9">
        <f>IF(AAC7,IF(VATAgentMode,AAA7-((AAA7-AAH7)-(AAA7-AAH7)/(1+VATRate)),AAA7/(1+VATRate)),AAA7)</f>
        <v/>
      </c>
      <c r="AAE7" s="12">
        <f>AAA7-AAD7</f>
        <v/>
      </c>
      <c r="AAF7" s="12">
        <f>IF(AAC7=0,0,IF(YX7=1,SUMPRODUCT(--(($YY$5:$YY7=$YY7-1)*($YX$5:$YX7&gt;=10)*($YX$5:$YX7&lt;=12)),$AAE$5:$AAE7),IF(YX7=4,SUMPRODUCT(--(($YY$5:$YY7=$YY7)*($YX$5:$YX7&gt;=1)*($YX$5:$YX7&lt;=3)),$AAE$5:$AAE7),IF(YX7=7,SUMPRODUCT(--(($YY$5:$YY7=$YY7)*($YX$5:$YX7&gt;=4)*($YX$5:$YX7&lt;=6)),$AAE$5:$AAE7),IF(YX7=10,SUMPRODUCT(--(($YY$5:$YY7=$YY7)*($YX$5:$YX7&gt;=7)*($YX$5:$YX7&lt;=9)),$AAE$5:$AAE7),0)))))</f>
        <v/>
      </c>
      <c r="AAG7" s="12">
        <f>AAG6+AAE7-AAF7</f>
        <v/>
      </c>
      <c r="AAH7" s="12">
        <f>IF(ProviderDelay&gt;=1,ZO6*BlendedProvPayEss+ZP6*BlendedProvPayPrem+ZQ6*BlendedProvPayElite+ZR6*BlendedProvPayEss+ZS6*BlendedProvPayPrem+ZT6*BlendedProvPayElite,ZO7*BlendedProvPayEss+ZP7*BlendedProvPayPrem+ZQ7*BlendedProvPayElite+ZR7*BlendedProvPayEss+ZS7*BlendedProvPayPrem+ZT7*BlendedProvPayElite)</f>
        <v/>
      </c>
      <c r="AAI7" s="12">
        <f>AAA7*PaymentFee</f>
        <v/>
      </c>
      <c r="AAJ7" s="12">
        <f>ZU7*OpsAI</f>
        <v/>
      </c>
      <c r="AAK7" s="12">
        <f>MonthlyFixed</f>
        <v/>
      </c>
      <c r="AAL7" s="12">
        <f>ZE7*ReferralReward</f>
        <v/>
      </c>
      <c r="AAM7" s="12">
        <f>ZC7</f>
        <v/>
      </c>
      <c r="AAN7" s="9">
        <f>AAD7-AAH7-AAI7-AAJ7-AAK7-AAL7-AAM7</f>
        <v/>
      </c>
      <c r="AAO7" s="9">
        <f>AAO6+AAA7-(AAH7+AAI7+AAJ7+AAK7+AAL7+AAM7+AAF7)</f>
        <v/>
      </c>
      <c r="AAP7" s="12">
        <f>IF(ZU7&gt;0,ZV7/ZU7,0)</f>
        <v/>
      </c>
      <c r="AAQ7" s="11">
        <f>IF(ZU6&gt;0,MAX(0,(ZU6+ZF7-ZU7)/ZU6),0)</f>
        <v/>
      </c>
      <c r="AAS7" s="12" t="n">
        <v>3</v>
      </c>
      <c r="AAT7" s="12">
        <f>MOD(AAS7-1+LaunchMonth-1,12)+1</f>
        <v/>
      </c>
      <c r="AAU7" s="12">
        <f>INT((AAS7-1+LaunchMonth-1)/12)+1</f>
        <v/>
      </c>
      <c r="AAV7" s="12">
        <f>VLOOKUP(AAT7,SeasonTable,2,FALSE)</f>
        <v/>
      </c>
      <c r="AAW7" s="12">
        <f>(1+InflationRate)^INT((AAS7-1)/12)</f>
        <v/>
      </c>
      <c r="AAX7" s="11">
        <f>MonthlyChurn*VLOOKUP(AAT7,ChurnSeasonTable,4,FALSE)</f>
        <v/>
      </c>
      <c r="AAY7" s="12">
        <f>MktFixed1_3</f>
        <v/>
      </c>
      <c r="AAZ7" s="12">
        <f>IF(AAY7&gt;0,MAX(1,ROUND(AAY7/CAC*AAV7,0)),0)</f>
        <v/>
      </c>
      <c r="ABA7" s="12">
        <f>IF(AAZ7&gt;0,ROUND(AAZ7*ReferralMix/(1-ReferralMix),0),0)</f>
        <v/>
      </c>
      <c r="ABB7" s="12">
        <f>AAZ7+ABA7</f>
        <v/>
      </c>
      <c r="ABC7" s="12">
        <f>ROUND(ABB7*(1-'Sens - Annual Mix'!$A$12),0)</f>
        <v/>
      </c>
      <c r="ABD7" s="12">
        <f>ABB7-ABC7</f>
        <v/>
      </c>
      <c r="ABE7" s="12">
        <f>ROUND(ABC7*EssentialMix,0)</f>
        <v/>
      </c>
      <c r="ABF7" s="12">
        <f>ROUND(ABC7*PremiumMix,0)</f>
        <v/>
      </c>
      <c r="ABG7" s="12">
        <f>ABC7-ABE7-ABF7</f>
        <v/>
      </c>
      <c r="ABH7" s="12">
        <f>ROUND(ABD7*EssentialMix,0)</f>
        <v/>
      </c>
      <c r="ABI7" s="12">
        <f>ROUND(ABD7*PremiumMix,0)</f>
        <v/>
      </c>
      <c r="ABJ7" s="12">
        <f>ABD7-ABH7-ABI7</f>
        <v/>
      </c>
      <c r="ABK7" s="12">
        <f>ABE7+ABE6+ABE5</f>
        <v/>
      </c>
      <c r="ABL7" s="12">
        <f>ABF7+ABF6+ABF5</f>
        <v/>
      </c>
      <c r="ABM7" s="12">
        <f>ABG7+ABG6+ABG5</f>
        <v/>
      </c>
      <c r="ABN7" s="12">
        <f>SUM(ABH$5:ABH7)</f>
        <v/>
      </c>
      <c r="ABO7" s="12">
        <f>SUM(ABI$5:ABI7)</f>
        <v/>
      </c>
      <c r="ABP7" s="12">
        <f>SUM(ABJ$5:ABJ7)</f>
        <v/>
      </c>
      <c r="ABQ7" s="12">
        <f>ABK7+ABL7+ABM7+ABN7+ABO7+ABP7</f>
        <v/>
      </c>
      <c r="ABR7" s="9">
        <f>ABK7*BlendedPriceEssMonthly*AAW7+ABL7*BlendedPricePremMonthly*AAW7+ABM7*BlendedPriceEliteMonthly*AAW7+ABN7*BlendedPriceEssAnnual*AAW7/12+ABO7*BlendedPricePremAnnual*AAW7/12+ABP7*BlendedPriceEliteAnnual*AAW7/12</f>
        <v/>
      </c>
      <c r="ABS7" s="9">
        <f>ABR7*12</f>
        <v/>
      </c>
      <c r="ABT7" s="12">
        <f>ABK7*BlendedPriceEssMonthly*AAW7+ABL7*BlendedPricePremMonthly*AAW7+ABM7*BlendedPriceEliteMonthly*AAW7</f>
        <v/>
      </c>
      <c r="ABU7" s="12">
        <f>ABH7*BlendedPriceEssAnnual*AAW7+ABI7*BlendedPricePremAnnual*AAW7+ABJ7*BlendedPriceEliteAnnual*AAW7</f>
        <v/>
      </c>
      <c r="ABV7" s="12">
        <f>0+0+0</f>
        <v/>
      </c>
      <c r="ABW7" s="9">
        <f>ABT7+ABU7+ABV7</f>
        <v/>
      </c>
      <c r="ABX7" s="12">
        <f>SUM(ABW$5:ABW7)</f>
        <v/>
      </c>
      <c r="ABY7" s="12">
        <f>OR(ABY6,IF(VATAgentMode,SUM($ABW$5:$ABW7)-SUM($ACD$5:$ACD7)&gt;=VATThreshold,SUM($ABW$5:$ABW7)&gt;=VATThreshold))</f>
        <v/>
      </c>
      <c r="ABZ7" s="9">
        <f>IF(ABY7,IF(VATAgentMode,ABW7-((ABW7-ACD7)-(ABW7-ACD7)/(1+VATRate)),ABW7/(1+VATRate)),ABW7)</f>
        <v/>
      </c>
      <c r="ACA7" s="12">
        <f>ABW7-ABZ7</f>
        <v/>
      </c>
      <c r="ACB7" s="12">
        <f>IF(ABY7=0,0,IF(AAT7=1,SUMPRODUCT(--(($AAU$5:$AAU7=$AAU7-1)*($AAT$5:$AAT7&gt;=10)*($AAT$5:$AAT7&lt;=12)),$ACA$5:$ACA7),IF(AAT7=4,SUMPRODUCT(--(($AAU$5:$AAU7=$AAU7)*($AAT$5:$AAT7&gt;=1)*($AAT$5:$AAT7&lt;=3)),$ACA$5:$ACA7),IF(AAT7=7,SUMPRODUCT(--(($AAU$5:$AAU7=$AAU7)*($AAT$5:$AAT7&gt;=4)*($AAT$5:$AAT7&lt;=6)),$ACA$5:$ACA7),IF(AAT7=10,SUMPRODUCT(--(($AAU$5:$AAU7=$AAU7)*($AAT$5:$AAT7&gt;=7)*($AAT$5:$AAT7&lt;=9)),$ACA$5:$ACA7),0)))))</f>
        <v/>
      </c>
      <c r="ACC7" s="12">
        <f>ACC6+ACA7-ACB7</f>
        <v/>
      </c>
      <c r="ACD7" s="12">
        <f>IF(ProviderDelay&gt;=1,ABK6*BlendedProvPayEss+ABL6*BlendedProvPayPrem+ABM6*BlendedProvPayElite+ABN6*BlendedProvPayEss+ABO6*BlendedProvPayPrem+ABP6*BlendedProvPayElite,ABK7*BlendedProvPayEss+ABL7*BlendedProvPayPrem+ABM7*BlendedProvPayElite+ABN7*BlendedProvPayEss+ABO7*BlendedProvPayPrem+ABP7*BlendedProvPayElite)</f>
        <v/>
      </c>
      <c r="ACE7" s="12">
        <f>ABW7*PaymentFee</f>
        <v/>
      </c>
      <c r="ACF7" s="12">
        <f>ABQ7*OpsAI</f>
        <v/>
      </c>
      <c r="ACG7" s="12">
        <f>MonthlyFixed</f>
        <v/>
      </c>
      <c r="ACH7" s="12">
        <f>ABA7*ReferralReward</f>
        <v/>
      </c>
      <c r="ACI7" s="12">
        <f>AAY7</f>
        <v/>
      </c>
      <c r="ACJ7" s="9">
        <f>ABZ7-ACD7-ACE7-ACF7-ACG7-ACH7-ACI7</f>
        <v/>
      </c>
      <c r="ACK7" s="9">
        <f>ACK6+ABW7-(ACD7+ACE7+ACF7+ACG7+ACH7+ACI7+ACB7)</f>
        <v/>
      </c>
      <c r="ACL7" s="12">
        <f>IF(ABQ7&gt;0,ABR7/ABQ7,0)</f>
        <v/>
      </c>
      <c r="ACM7" s="11">
        <f>IF(ABQ6&gt;0,MAX(0,(ABQ6+ABB7-ABQ7)/ABQ6),0)</f>
        <v/>
      </c>
      <c r="ACO7" s="12" t="n">
        <v>3</v>
      </c>
      <c r="ACP7" s="12">
        <f>MOD(ACO7-1+LaunchMonth-1,12)+1</f>
        <v/>
      </c>
      <c r="ACQ7" s="12">
        <f>INT((ACO7-1+LaunchMonth-1)/12)+1</f>
        <v/>
      </c>
      <c r="ACR7" s="12">
        <f>VLOOKUP(ACP7,SeasonTable,2,FALSE)</f>
        <v/>
      </c>
      <c r="ACS7" s="12">
        <f>(1+InflationRate)^INT((ACO7-1)/12)</f>
        <v/>
      </c>
      <c r="ACT7" s="11">
        <f>MonthlyChurn*VLOOKUP(ACP7,ChurnSeasonTable,4,FALSE)</f>
        <v/>
      </c>
      <c r="ACU7" s="12">
        <f>MktFixed1_3</f>
        <v/>
      </c>
      <c r="ACV7" s="12">
        <f>IF(ACU7&gt;0,MAX(1,ROUND(ACU7/CAC*ACR7,0)),0)</f>
        <v/>
      </c>
      <c r="ACW7" s="12">
        <f>IF(ACV7&gt;0,ROUND(ACV7*ReferralMix/(1-ReferralMix),0),0)</f>
        <v/>
      </c>
      <c r="ACX7" s="12">
        <f>ACV7+ACW7</f>
        <v/>
      </c>
      <c r="ACY7" s="12">
        <f>ROUND(ACX7*(1-'Sens - Annual Mix'!$A$13),0)</f>
        <v/>
      </c>
      <c r="ACZ7" s="12">
        <f>ACX7-ACY7</f>
        <v/>
      </c>
      <c r="ADA7" s="12">
        <f>ROUND(ACY7*EssentialMix,0)</f>
        <v/>
      </c>
      <c r="ADB7" s="12">
        <f>ROUND(ACY7*PremiumMix,0)</f>
        <v/>
      </c>
      <c r="ADC7" s="12">
        <f>ACY7-ADA7-ADB7</f>
        <v/>
      </c>
      <c r="ADD7" s="12">
        <f>ROUND(ACZ7*EssentialMix,0)</f>
        <v/>
      </c>
      <c r="ADE7" s="12">
        <f>ROUND(ACZ7*PremiumMix,0)</f>
        <v/>
      </c>
      <c r="ADF7" s="12">
        <f>ACZ7-ADD7-ADE7</f>
        <v/>
      </c>
      <c r="ADG7" s="12">
        <f>ADA7+ADA6+ADA5</f>
        <v/>
      </c>
      <c r="ADH7" s="12">
        <f>ADB7+ADB6+ADB5</f>
        <v/>
      </c>
      <c r="ADI7" s="12">
        <f>ADC7+ADC6+ADC5</f>
        <v/>
      </c>
      <c r="ADJ7" s="12">
        <f>SUM(ADD$5:ADD7)</f>
        <v/>
      </c>
      <c r="ADK7" s="12">
        <f>SUM(ADE$5:ADE7)</f>
        <v/>
      </c>
      <c r="ADL7" s="12">
        <f>SUM(ADF$5:ADF7)</f>
        <v/>
      </c>
      <c r="ADM7" s="12">
        <f>ADG7+ADH7+ADI7+ADJ7+ADK7+ADL7</f>
        <v/>
      </c>
      <c r="ADN7" s="9">
        <f>ADG7*BlendedPriceEssMonthly*ACS7+ADH7*BlendedPricePremMonthly*ACS7+ADI7*BlendedPriceEliteMonthly*ACS7+ADJ7*BlendedPriceEssAnnual*ACS7/12+ADK7*BlendedPricePremAnnual*ACS7/12+ADL7*BlendedPriceEliteAnnual*ACS7/12</f>
        <v/>
      </c>
      <c r="ADO7" s="9">
        <f>ADN7*12</f>
        <v/>
      </c>
      <c r="ADP7" s="12">
        <f>ADG7*BlendedPriceEssMonthly*ACS7+ADH7*BlendedPricePremMonthly*ACS7+ADI7*BlendedPriceEliteMonthly*ACS7</f>
        <v/>
      </c>
      <c r="ADQ7" s="12">
        <f>ADD7*BlendedPriceEssAnnual*ACS7+ADE7*BlendedPricePremAnnual*ACS7+ADF7*BlendedPriceEliteAnnual*ACS7</f>
        <v/>
      </c>
      <c r="ADR7" s="12">
        <f>0+0+0</f>
        <v/>
      </c>
      <c r="ADS7" s="9">
        <f>ADP7+ADQ7+ADR7</f>
        <v/>
      </c>
      <c r="ADT7" s="12">
        <f>SUM(ADS$5:ADS7)</f>
        <v/>
      </c>
      <c r="ADU7" s="12">
        <f>OR(ADU6,IF(VATAgentMode,SUM($ADS$5:$ADS7)-SUM($ADZ$5:$ADZ7)&gt;=VATThreshold,SUM($ADS$5:$ADS7)&gt;=VATThreshold))</f>
        <v/>
      </c>
      <c r="ADV7" s="9">
        <f>IF(ADU7,IF(VATAgentMode,ADS7-((ADS7-ADZ7)-(ADS7-ADZ7)/(1+VATRate)),ADS7/(1+VATRate)),ADS7)</f>
        <v/>
      </c>
      <c r="ADW7" s="12">
        <f>ADS7-ADV7</f>
        <v/>
      </c>
      <c r="ADX7" s="12">
        <f>IF(ADU7=0,0,IF(ACP7=1,SUMPRODUCT(--(($ACQ$5:$ACQ7=$ACQ7-1)*($ACP$5:$ACP7&gt;=10)*($ACP$5:$ACP7&lt;=12)),$ADW$5:$ADW7),IF(ACP7=4,SUMPRODUCT(--(($ACQ$5:$ACQ7=$ACQ7)*($ACP$5:$ACP7&gt;=1)*($ACP$5:$ACP7&lt;=3)),$ADW$5:$ADW7),IF(ACP7=7,SUMPRODUCT(--(($ACQ$5:$ACQ7=$ACQ7)*($ACP$5:$ACP7&gt;=4)*($ACP$5:$ACP7&lt;=6)),$ADW$5:$ADW7),IF(ACP7=10,SUMPRODUCT(--(($ACQ$5:$ACQ7=$ACQ7)*($ACP$5:$ACP7&gt;=7)*($ACP$5:$ACP7&lt;=9)),$ADW$5:$ADW7),0)))))</f>
        <v/>
      </c>
      <c r="ADY7" s="12">
        <f>ADY6+ADW7-ADX7</f>
        <v/>
      </c>
      <c r="ADZ7" s="12">
        <f>IF(ProviderDelay&gt;=1,ADG6*BlendedProvPayEss+ADH6*BlendedProvPayPrem+ADI6*BlendedProvPayElite+ADJ6*BlendedProvPayEss+ADK6*BlendedProvPayPrem+ADL6*BlendedProvPayElite,ADG7*BlendedProvPayEss+ADH7*BlendedProvPayPrem+ADI7*BlendedProvPayElite+ADJ7*BlendedProvPayEss+ADK7*BlendedProvPayPrem+ADL7*BlendedProvPayElite)</f>
        <v/>
      </c>
      <c r="AEA7" s="12">
        <f>ADS7*PaymentFee</f>
        <v/>
      </c>
      <c r="AEB7" s="12">
        <f>ADM7*OpsAI</f>
        <v/>
      </c>
      <c r="AEC7" s="12">
        <f>MonthlyFixed</f>
        <v/>
      </c>
      <c r="AED7" s="12">
        <f>ACW7*ReferralReward</f>
        <v/>
      </c>
      <c r="AEE7" s="12">
        <f>ACU7</f>
        <v/>
      </c>
      <c r="AEF7" s="9">
        <f>ADV7-ADZ7-AEA7-AEB7-AEC7-AED7-AEE7</f>
        <v/>
      </c>
      <c r="AEG7" s="9">
        <f>AEG6+ADS7-(ADZ7+AEA7+AEB7+AEC7+AED7+AEE7+ADX7)</f>
        <v/>
      </c>
      <c r="AEH7" s="12">
        <f>IF(ADM7&gt;0,ADN7/ADM7,0)</f>
        <v/>
      </c>
      <c r="AEI7" s="11">
        <f>IF(ADM6&gt;0,MAX(0,(ADM6+ACX7-ADM7)/ADM6),0)</f>
        <v/>
      </c>
      <c r="AEK7" s="12" t="n">
        <v>3</v>
      </c>
      <c r="AEL7" s="12">
        <f>MOD(AEK7-1+LaunchMonth-1,12)+1</f>
        <v/>
      </c>
      <c r="AEM7" s="12">
        <f>INT((AEK7-1+LaunchMonth-1)/12)+1</f>
        <v/>
      </c>
      <c r="AEN7" s="12">
        <f>VLOOKUP(AEL7,SeasonTable,2,FALSE)</f>
        <v/>
      </c>
      <c r="AEO7" s="12">
        <f>(1+InflationRate)^INT((AEK7-1)/12)</f>
        <v/>
      </c>
      <c r="AEP7" s="11">
        <f>MonthlyChurn*VLOOKUP(AEL7,ChurnSeasonTable,4,FALSE)</f>
        <v/>
      </c>
      <c r="AEQ7" s="12">
        <f>MktFixed1_3</f>
        <v/>
      </c>
      <c r="AER7" s="12">
        <f>IF(AEQ7&gt;0,MAX(1,ROUND(AEQ7/CAC*AEN7,0)),0)</f>
        <v/>
      </c>
      <c r="AES7" s="12">
        <f>IF(AER7&gt;0,ROUND(AER7*ReferralMix/(1-ReferralMix),0),0)</f>
        <v/>
      </c>
      <c r="AET7" s="12">
        <f>AER7+AES7</f>
        <v/>
      </c>
      <c r="AEU7" s="12">
        <f>ROUND(AET7*(1-'Sens - Annual Mix'!$A$14),0)</f>
        <v/>
      </c>
      <c r="AEV7" s="12">
        <f>AET7-AEU7</f>
        <v/>
      </c>
      <c r="AEW7" s="12">
        <f>ROUND(AEU7*EssentialMix,0)</f>
        <v/>
      </c>
      <c r="AEX7" s="12">
        <f>ROUND(AEU7*PremiumMix,0)</f>
        <v/>
      </c>
      <c r="AEY7" s="12">
        <f>AEU7-AEW7-AEX7</f>
        <v/>
      </c>
      <c r="AEZ7" s="12">
        <f>ROUND(AEV7*EssentialMix,0)</f>
        <v/>
      </c>
      <c r="AFA7" s="12">
        <f>ROUND(AEV7*PremiumMix,0)</f>
        <v/>
      </c>
      <c r="AFB7" s="12">
        <f>AEV7-AEZ7-AFA7</f>
        <v/>
      </c>
      <c r="AFC7" s="12">
        <f>AEW7+AEW6+AEW5</f>
        <v/>
      </c>
      <c r="AFD7" s="12">
        <f>AEX7+AEX6+AEX5</f>
        <v/>
      </c>
      <c r="AFE7" s="12">
        <f>AEY7+AEY6+AEY5</f>
        <v/>
      </c>
      <c r="AFF7" s="12">
        <f>SUM(AEZ$5:AEZ7)</f>
        <v/>
      </c>
      <c r="AFG7" s="12">
        <f>SUM(AFA$5:AFA7)</f>
        <v/>
      </c>
      <c r="AFH7" s="12">
        <f>SUM(AFB$5:AFB7)</f>
        <v/>
      </c>
      <c r="AFI7" s="12">
        <f>AFC7+AFD7+AFE7+AFF7+AFG7+AFH7</f>
        <v/>
      </c>
      <c r="AFJ7" s="9">
        <f>AFC7*BlendedPriceEssMonthly*AEO7+AFD7*BlendedPricePremMonthly*AEO7+AFE7*BlendedPriceEliteMonthly*AEO7+AFF7*BlendedPriceEssAnnual*AEO7/12+AFG7*BlendedPricePremAnnual*AEO7/12+AFH7*BlendedPriceEliteAnnual*AEO7/12</f>
        <v/>
      </c>
      <c r="AFK7" s="9">
        <f>AFJ7*12</f>
        <v/>
      </c>
      <c r="AFL7" s="12">
        <f>AFC7*BlendedPriceEssMonthly*AEO7+AFD7*BlendedPricePremMonthly*AEO7+AFE7*BlendedPriceEliteMonthly*AEO7</f>
        <v/>
      </c>
      <c r="AFM7" s="12">
        <f>AEZ7*BlendedPriceEssAnnual*AEO7+AFA7*BlendedPricePremAnnual*AEO7+AFB7*BlendedPriceEliteAnnual*AEO7</f>
        <v/>
      </c>
      <c r="AFN7" s="12">
        <f>0+0+0</f>
        <v/>
      </c>
      <c r="AFO7" s="9">
        <f>AFL7+AFM7+AFN7</f>
        <v/>
      </c>
      <c r="AFP7" s="12">
        <f>SUM(AFO$5:AFO7)</f>
        <v/>
      </c>
      <c r="AFQ7" s="12">
        <f>OR(AFQ6,IF(VATAgentMode,SUM($AFO$5:$AFO7)-SUM($AFV$5:$AFV7)&gt;=VATThreshold,SUM($AFO$5:$AFO7)&gt;=VATThreshold))</f>
        <v/>
      </c>
      <c r="AFR7" s="9">
        <f>IF(AFQ7,IF(VATAgentMode,AFO7-((AFO7-AFV7)-(AFO7-AFV7)/(1+VATRate)),AFO7/(1+VATRate)),AFO7)</f>
        <v/>
      </c>
      <c r="AFS7" s="12">
        <f>AFO7-AFR7</f>
        <v/>
      </c>
      <c r="AFT7" s="12">
        <f>IF(AFQ7=0,0,IF(AEL7=1,SUMPRODUCT(--(($AEM$5:$AEM7=$AEM7-1)*($AEL$5:$AEL7&gt;=10)*($AEL$5:$AEL7&lt;=12)),$AFS$5:$AFS7),IF(AEL7=4,SUMPRODUCT(--(($AEM$5:$AEM7=$AEM7)*($AEL$5:$AEL7&gt;=1)*($AEL$5:$AEL7&lt;=3)),$AFS$5:$AFS7),IF(AEL7=7,SUMPRODUCT(--(($AEM$5:$AEM7=$AEM7)*($AEL$5:$AEL7&gt;=4)*($AEL$5:$AEL7&lt;=6)),$AFS$5:$AFS7),IF(AEL7=10,SUMPRODUCT(--(($AEM$5:$AEM7=$AEM7)*($AEL$5:$AEL7&gt;=7)*($AEL$5:$AEL7&lt;=9)),$AFS$5:$AFS7),0)))))</f>
        <v/>
      </c>
      <c r="AFU7" s="12">
        <f>AFU6+AFS7-AFT7</f>
        <v/>
      </c>
      <c r="AFV7" s="12">
        <f>IF(ProviderDelay&gt;=1,AFC6*BlendedProvPayEss+AFD6*BlendedProvPayPrem+AFE6*BlendedProvPayElite+AFF6*BlendedProvPayEss+AFG6*BlendedProvPayPrem+AFH6*BlendedProvPayElite,AFC7*BlendedProvPayEss+AFD7*BlendedProvPayPrem+AFE7*BlendedProvPayElite+AFF7*BlendedProvPayEss+AFG7*BlendedProvPayPrem+AFH7*BlendedProvPayElite)</f>
        <v/>
      </c>
      <c r="AFW7" s="12">
        <f>AFO7*PaymentFee</f>
        <v/>
      </c>
      <c r="AFX7" s="12">
        <f>AFI7*OpsAI</f>
        <v/>
      </c>
      <c r="AFY7" s="12">
        <f>MonthlyFixed</f>
        <v/>
      </c>
      <c r="AFZ7" s="12">
        <f>AES7*ReferralReward</f>
        <v/>
      </c>
      <c r="AGA7" s="12">
        <f>AEQ7</f>
        <v/>
      </c>
      <c r="AGB7" s="9">
        <f>AFR7-AFV7-AFW7-AFX7-AFY7-AFZ7-AGA7</f>
        <v/>
      </c>
      <c r="AGC7" s="9">
        <f>AGC6+AFO7-(AFV7+AFW7+AFX7+AFY7+AFZ7+AGA7+AFT7)</f>
        <v/>
      </c>
      <c r="AGD7" s="12">
        <f>IF(AFI7&gt;0,AFJ7/AFI7,0)</f>
        <v/>
      </c>
      <c r="AGE7" s="11">
        <f>IF(AFI6&gt;0,MAX(0,(AFI6+AET7-AFI7)/AFI6),0)</f>
        <v/>
      </c>
      <c r="AGG7" s="12" t="n">
        <v>3</v>
      </c>
      <c r="AGH7" s="12">
        <f>MOD(AGG7-1+LaunchMonth-1,12)+1</f>
        <v/>
      </c>
      <c r="AGI7" s="12">
        <f>INT((AGG7-1+LaunchMonth-1)/12)+1</f>
        <v/>
      </c>
      <c r="AGJ7" s="12">
        <f>VLOOKUP(AGH7,SeasonTable,2,FALSE)</f>
        <v/>
      </c>
      <c r="AGK7" s="12">
        <f>(1+InflationRate)^INT((AGG7-1)/12)</f>
        <v/>
      </c>
      <c r="AGL7" s="11">
        <f>MonthlyChurn*VLOOKUP(AGH7,ChurnSeasonTable,4,FALSE)</f>
        <v/>
      </c>
      <c r="AGM7" s="12">
        <f>MktFixed1_3</f>
        <v/>
      </c>
      <c r="AGN7" s="12">
        <f>IF(AGM7&gt;0,MAX(1,ROUND(AGM7/CAC*AGJ7,0)),0)</f>
        <v/>
      </c>
      <c r="AGO7" s="12">
        <f>IF(AGN7&gt;0,ROUND(AGN7*ReferralMix/(1-ReferralMix),0),0)</f>
        <v/>
      </c>
      <c r="AGP7" s="12">
        <f>AGN7+AGO7</f>
        <v/>
      </c>
      <c r="AGQ7" s="12">
        <f>ROUND(AGP7*(1-'Sens - Annual Mix'!$A$15),0)</f>
        <v/>
      </c>
      <c r="AGR7" s="12">
        <f>AGP7-AGQ7</f>
        <v/>
      </c>
      <c r="AGS7" s="12">
        <f>ROUND(AGQ7*EssentialMix,0)</f>
        <v/>
      </c>
      <c r="AGT7" s="12">
        <f>ROUND(AGQ7*PremiumMix,0)</f>
        <v/>
      </c>
      <c r="AGU7" s="12">
        <f>AGQ7-AGS7-AGT7</f>
        <v/>
      </c>
      <c r="AGV7" s="12">
        <f>ROUND(AGR7*EssentialMix,0)</f>
        <v/>
      </c>
      <c r="AGW7" s="12">
        <f>ROUND(AGR7*PremiumMix,0)</f>
        <v/>
      </c>
      <c r="AGX7" s="12">
        <f>AGR7-AGV7-AGW7</f>
        <v/>
      </c>
      <c r="AGY7" s="12">
        <f>AGS7+AGS6+AGS5</f>
        <v/>
      </c>
      <c r="AGZ7" s="12">
        <f>AGT7+AGT6+AGT5</f>
        <v/>
      </c>
      <c r="AHA7" s="12">
        <f>AGU7+AGU6+AGU5</f>
        <v/>
      </c>
      <c r="AHB7" s="12">
        <f>SUM(AGV$5:AGV7)</f>
        <v/>
      </c>
      <c r="AHC7" s="12">
        <f>SUM(AGW$5:AGW7)</f>
        <v/>
      </c>
      <c r="AHD7" s="12">
        <f>SUM(AGX$5:AGX7)</f>
        <v/>
      </c>
      <c r="AHE7" s="12">
        <f>AGY7+AGZ7+AHA7+AHB7+AHC7+AHD7</f>
        <v/>
      </c>
      <c r="AHF7" s="9">
        <f>AGY7*BlendedPriceEssMonthly*AGK7+AGZ7*BlendedPricePremMonthly*AGK7+AHA7*BlendedPriceEliteMonthly*AGK7+AHB7*BlendedPriceEssAnnual*AGK7/12+AHC7*BlendedPricePremAnnual*AGK7/12+AHD7*BlendedPriceEliteAnnual*AGK7/12</f>
        <v/>
      </c>
      <c r="AHG7" s="9">
        <f>AHF7*12</f>
        <v/>
      </c>
      <c r="AHH7" s="12">
        <f>AGY7*BlendedPriceEssMonthly*AGK7+AGZ7*BlendedPricePremMonthly*AGK7+AHA7*BlendedPriceEliteMonthly*AGK7</f>
        <v/>
      </c>
      <c r="AHI7" s="12">
        <f>AGV7*BlendedPriceEssAnnual*AGK7+AGW7*BlendedPricePremAnnual*AGK7+AGX7*BlendedPriceEliteAnnual*AGK7</f>
        <v/>
      </c>
      <c r="AHJ7" s="12">
        <f>0+0+0</f>
        <v/>
      </c>
      <c r="AHK7" s="9">
        <f>AHH7+AHI7+AHJ7</f>
        <v/>
      </c>
      <c r="AHL7" s="12">
        <f>SUM(AHK$5:AHK7)</f>
        <v/>
      </c>
      <c r="AHM7" s="12">
        <f>OR(AHM6,IF(VATAgentMode,SUM($AHK$5:$AHK7)-SUM($AHR$5:$AHR7)&gt;=VATThreshold,SUM($AHK$5:$AHK7)&gt;=VATThreshold))</f>
        <v/>
      </c>
      <c r="AHN7" s="9">
        <f>IF(AHM7,IF(VATAgentMode,AHK7-((AHK7-AHR7)-(AHK7-AHR7)/(1+VATRate)),AHK7/(1+VATRate)),AHK7)</f>
        <v/>
      </c>
      <c r="AHO7" s="12">
        <f>AHK7-AHN7</f>
        <v/>
      </c>
      <c r="AHP7" s="12">
        <f>IF(AHM7=0,0,IF(AGH7=1,SUMPRODUCT(--(($AGI$5:$AGI7=$AGI7-1)*($AGH$5:$AGH7&gt;=10)*($AGH$5:$AGH7&lt;=12)),$AHO$5:$AHO7),IF(AGH7=4,SUMPRODUCT(--(($AGI$5:$AGI7=$AGI7)*($AGH$5:$AGH7&gt;=1)*($AGH$5:$AGH7&lt;=3)),$AHO$5:$AHO7),IF(AGH7=7,SUMPRODUCT(--(($AGI$5:$AGI7=$AGI7)*($AGH$5:$AGH7&gt;=4)*($AGH$5:$AGH7&lt;=6)),$AHO$5:$AHO7),IF(AGH7=10,SUMPRODUCT(--(($AGI$5:$AGI7=$AGI7)*($AGH$5:$AGH7&gt;=7)*($AGH$5:$AGH7&lt;=9)),$AHO$5:$AHO7),0)))))</f>
        <v/>
      </c>
      <c r="AHQ7" s="12">
        <f>AHQ6+AHO7-AHP7</f>
        <v/>
      </c>
      <c r="AHR7" s="12">
        <f>IF(ProviderDelay&gt;=1,AGY6*BlendedProvPayEss+AGZ6*BlendedProvPayPrem+AHA6*BlendedProvPayElite+AHB6*BlendedProvPayEss+AHC6*BlendedProvPayPrem+AHD6*BlendedProvPayElite,AGY7*BlendedProvPayEss+AGZ7*BlendedProvPayPrem+AHA7*BlendedProvPayElite+AHB7*BlendedProvPayEss+AHC7*BlendedProvPayPrem+AHD7*BlendedProvPayElite)</f>
        <v/>
      </c>
      <c r="AHS7" s="12">
        <f>AHK7*PaymentFee</f>
        <v/>
      </c>
      <c r="AHT7" s="12">
        <f>AHE7*OpsAI</f>
        <v/>
      </c>
      <c r="AHU7" s="12">
        <f>MonthlyFixed</f>
        <v/>
      </c>
      <c r="AHV7" s="12">
        <f>AGO7*ReferralReward</f>
        <v/>
      </c>
      <c r="AHW7" s="12">
        <f>AGM7</f>
        <v/>
      </c>
      <c r="AHX7" s="9">
        <f>AHN7-AHR7-AHS7-AHT7-AHU7-AHV7-AHW7</f>
        <v/>
      </c>
      <c r="AHY7" s="9">
        <f>AHY6+AHK7-(AHR7+AHS7+AHT7+AHU7+AHV7+AHW7+AHP7)</f>
        <v/>
      </c>
      <c r="AHZ7" s="12">
        <f>IF(AHE7&gt;0,AHF7/AHE7,0)</f>
        <v/>
      </c>
      <c r="AIA7" s="11">
        <f>IF(AHE6&gt;0,MAX(0,(AHE6+AGP7-AHE7)/AHE6),0)</f>
        <v/>
      </c>
      <c r="AIC7" s="12" t="n">
        <v>3</v>
      </c>
      <c r="AID7" s="12">
        <f>MOD(AIC7-1+LaunchMonth-1,12)+1</f>
        <v/>
      </c>
      <c r="AIE7" s="12">
        <f>INT((AIC7-1+LaunchMonth-1)/12)+1</f>
        <v/>
      </c>
      <c r="AIF7" s="12">
        <f>VLOOKUP(AID7,SeasonTable,2,FALSE)</f>
        <v/>
      </c>
      <c r="AIG7" s="12">
        <f>(1+InflationRate)^INT((AIC7-1)/12)</f>
        <v/>
      </c>
      <c r="AIH7" s="11">
        <f>MonthlyChurn*VLOOKUP(AID7,ChurnSeasonTable,4,FALSE)</f>
        <v/>
      </c>
      <c r="AII7" s="12">
        <f>MktFixed1_3</f>
        <v/>
      </c>
      <c r="AIJ7" s="12">
        <f>IF(AII7&gt;0,MAX(1,ROUND(AII7/'Sens - CAC &amp; Marketing'!$A$9*AIF7,0)),0)</f>
        <v/>
      </c>
      <c r="AIK7" s="12">
        <f>IF(AIJ7&gt;0,ROUND(AIJ7*ReferralMix/(1-ReferralMix),0),0)</f>
        <v/>
      </c>
      <c r="AIL7" s="12">
        <f>AIJ7+AIK7</f>
        <v/>
      </c>
      <c r="AIM7" s="12">
        <f>ROUND(AIL7*(1-AnnualMix),0)</f>
        <v/>
      </c>
      <c r="AIN7" s="12">
        <f>AIL7-AIM7</f>
        <v/>
      </c>
      <c r="AIO7" s="12">
        <f>ROUND(AIM7*EssentialMix,0)</f>
        <v/>
      </c>
      <c r="AIP7" s="12">
        <f>ROUND(AIM7*PremiumMix,0)</f>
        <v/>
      </c>
      <c r="AIQ7" s="12">
        <f>AIM7-AIO7-AIP7</f>
        <v/>
      </c>
      <c r="AIR7" s="12">
        <f>ROUND(AIN7*EssentialMix,0)</f>
        <v/>
      </c>
      <c r="AIS7" s="12">
        <f>ROUND(AIN7*PremiumMix,0)</f>
        <v/>
      </c>
      <c r="AIT7" s="12">
        <f>AIN7-AIR7-AIS7</f>
        <v/>
      </c>
      <c r="AIU7" s="12">
        <f>AIO7+AIO6+AIO5</f>
        <v/>
      </c>
      <c r="AIV7" s="12">
        <f>AIP7+AIP6+AIP5</f>
        <v/>
      </c>
      <c r="AIW7" s="12">
        <f>AIQ7+AIQ6+AIQ5</f>
        <v/>
      </c>
      <c r="AIX7" s="12">
        <f>SUM(AIR$5:AIR7)</f>
        <v/>
      </c>
      <c r="AIY7" s="12">
        <f>SUM(AIS$5:AIS7)</f>
        <v/>
      </c>
      <c r="AIZ7" s="12">
        <f>SUM(AIT$5:AIT7)</f>
        <v/>
      </c>
      <c r="AJA7" s="12">
        <f>AIU7+AIV7+AIW7+AIX7+AIY7+AIZ7</f>
        <v/>
      </c>
      <c r="AJB7" s="9">
        <f>AIU7*BlendedPriceEssMonthly*AIG7+AIV7*BlendedPricePremMonthly*AIG7+AIW7*BlendedPriceEliteMonthly*AIG7+AIX7*BlendedPriceEssAnnual*AIG7/12+AIY7*BlendedPricePremAnnual*AIG7/12+AIZ7*BlendedPriceEliteAnnual*AIG7/12</f>
        <v/>
      </c>
      <c r="AJC7" s="9">
        <f>AJB7*12</f>
        <v/>
      </c>
      <c r="AJD7" s="12">
        <f>AIU7*BlendedPriceEssMonthly*AIG7+AIV7*BlendedPricePremMonthly*AIG7+AIW7*BlendedPriceEliteMonthly*AIG7</f>
        <v/>
      </c>
      <c r="AJE7" s="12">
        <f>AIR7*BlendedPriceEssAnnual*AIG7+AIS7*BlendedPricePremAnnual*AIG7+AIT7*BlendedPriceEliteAnnual*AIG7</f>
        <v/>
      </c>
      <c r="AJF7" s="12">
        <f>0+0+0</f>
        <v/>
      </c>
      <c r="AJG7" s="9">
        <f>AJD7+AJE7+AJF7</f>
        <v/>
      </c>
      <c r="AJH7" s="12">
        <f>SUM(AJG$5:AJG7)</f>
        <v/>
      </c>
      <c r="AJI7" s="12">
        <f>OR(AJI6,IF(VATAgentMode,SUM($AJG$5:$AJG7)-SUM($AJN$5:$AJN7)&gt;=VATThreshold,SUM($AJG$5:$AJG7)&gt;=VATThreshold))</f>
        <v/>
      </c>
      <c r="AJJ7" s="9">
        <f>IF(AJI7,IF(VATAgentMode,AJG7-((AJG7-AJN7)-(AJG7-AJN7)/(1+VATRate)),AJG7/(1+VATRate)),AJG7)</f>
        <v/>
      </c>
      <c r="AJK7" s="12">
        <f>AJG7-AJJ7</f>
        <v/>
      </c>
      <c r="AJL7" s="12">
        <f>IF(AJI7=0,0,IF(AID7=1,SUMPRODUCT(--(($AIE$5:$AIE7=$AIE7-1)*($AID$5:$AID7&gt;=10)*($AID$5:$AID7&lt;=12)),$AJK$5:$AJK7),IF(AID7=4,SUMPRODUCT(--(($AIE$5:$AIE7=$AIE7)*($AID$5:$AID7&gt;=1)*($AID$5:$AID7&lt;=3)),$AJK$5:$AJK7),IF(AID7=7,SUMPRODUCT(--(($AIE$5:$AIE7=$AIE7)*($AID$5:$AID7&gt;=4)*($AID$5:$AID7&lt;=6)),$AJK$5:$AJK7),IF(AID7=10,SUMPRODUCT(--(($AIE$5:$AIE7=$AIE7)*($AID$5:$AID7&gt;=7)*($AID$5:$AID7&lt;=9)),$AJK$5:$AJK7),0)))))</f>
        <v/>
      </c>
      <c r="AJM7" s="12">
        <f>AJM6+AJK7-AJL7</f>
        <v/>
      </c>
      <c r="AJN7" s="12">
        <f>IF(ProviderDelay&gt;=1,AIU6*BlendedProvPayEss+AIV6*BlendedProvPayPrem+AIW6*BlendedProvPayElite+AIX6*BlendedProvPayEss+AIY6*BlendedProvPayPrem+AIZ6*BlendedProvPayElite,AIU7*BlendedProvPayEss+AIV7*BlendedProvPayPrem+AIW7*BlendedProvPayElite+AIX7*BlendedProvPayEss+AIY7*BlendedProvPayPrem+AIZ7*BlendedProvPayElite)</f>
        <v/>
      </c>
      <c r="AJO7" s="12">
        <f>AJG7*PaymentFee</f>
        <v/>
      </c>
      <c r="AJP7" s="12">
        <f>AJA7*OpsAI</f>
        <v/>
      </c>
      <c r="AJQ7" s="12">
        <f>MonthlyFixed</f>
        <v/>
      </c>
      <c r="AJR7" s="12">
        <f>AIK7*ReferralReward</f>
        <v/>
      </c>
      <c r="AJS7" s="12">
        <f>AII7</f>
        <v/>
      </c>
      <c r="AJT7" s="9">
        <f>AJJ7-AJN7-AJO7-AJP7-AJQ7-AJR7-AJS7</f>
        <v/>
      </c>
      <c r="AJU7" s="9">
        <f>AJU6+AJG7-(AJN7+AJO7+AJP7+AJQ7+AJR7+AJS7+AJL7)</f>
        <v/>
      </c>
      <c r="AJV7" s="12">
        <f>IF(AJA7&gt;0,AJB7/AJA7,0)</f>
        <v/>
      </c>
      <c r="AJW7" s="11">
        <f>IF(AJA6&gt;0,MAX(0,(AJA6+AIL7-AJA7)/AJA6),0)</f>
        <v/>
      </c>
      <c r="AJY7" s="12" t="n">
        <v>3</v>
      </c>
      <c r="AJZ7" s="12">
        <f>MOD(AJY7-1+LaunchMonth-1,12)+1</f>
        <v/>
      </c>
      <c r="AKA7" s="12">
        <f>INT((AJY7-1+LaunchMonth-1)/12)+1</f>
        <v/>
      </c>
      <c r="AKB7" s="12">
        <f>VLOOKUP(AJZ7,SeasonTable,2,FALSE)</f>
        <v/>
      </c>
      <c r="AKC7" s="12">
        <f>(1+InflationRate)^INT((AJY7-1)/12)</f>
        <v/>
      </c>
      <c r="AKD7" s="11">
        <f>MonthlyChurn*VLOOKUP(AJZ7,ChurnSeasonTable,4,FALSE)</f>
        <v/>
      </c>
      <c r="AKE7" s="12">
        <f>MktFixed1_3</f>
        <v/>
      </c>
      <c r="AKF7" s="12">
        <f>IF(AKE7&gt;0,MAX(1,ROUND(AKE7/'Sens - CAC &amp; Marketing'!$A$10*AKB7,0)),0)</f>
        <v/>
      </c>
      <c r="AKG7" s="12">
        <f>IF(AKF7&gt;0,ROUND(AKF7*ReferralMix/(1-ReferralMix),0),0)</f>
        <v/>
      </c>
      <c r="AKH7" s="12">
        <f>AKF7+AKG7</f>
        <v/>
      </c>
      <c r="AKI7" s="12">
        <f>ROUND(AKH7*(1-AnnualMix),0)</f>
        <v/>
      </c>
      <c r="AKJ7" s="12">
        <f>AKH7-AKI7</f>
        <v/>
      </c>
      <c r="AKK7" s="12">
        <f>ROUND(AKI7*EssentialMix,0)</f>
        <v/>
      </c>
      <c r="AKL7" s="12">
        <f>ROUND(AKI7*PremiumMix,0)</f>
        <v/>
      </c>
      <c r="AKM7" s="12">
        <f>AKI7-AKK7-AKL7</f>
        <v/>
      </c>
      <c r="AKN7" s="12">
        <f>ROUND(AKJ7*EssentialMix,0)</f>
        <v/>
      </c>
      <c r="AKO7" s="12">
        <f>ROUND(AKJ7*PremiumMix,0)</f>
        <v/>
      </c>
      <c r="AKP7" s="12">
        <f>AKJ7-AKN7-AKO7</f>
        <v/>
      </c>
      <c r="AKQ7" s="12">
        <f>AKK7+AKK6+AKK5</f>
        <v/>
      </c>
      <c r="AKR7" s="12">
        <f>AKL7+AKL6+AKL5</f>
        <v/>
      </c>
      <c r="AKS7" s="12">
        <f>AKM7+AKM6+AKM5</f>
        <v/>
      </c>
      <c r="AKT7" s="12">
        <f>SUM(AKN$5:AKN7)</f>
        <v/>
      </c>
      <c r="AKU7" s="12">
        <f>SUM(AKO$5:AKO7)</f>
        <v/>
      </c>
      <c r="AKV7" s="12">
        <f>SUM(AKP$5:AKP7)</f>
        <v/>
      </c>
      <c r="AKW7" s="12">
        <f>AKQ7+AKR7+AKS7+AKT7+AKU7+AKV7</f>
        <v/>
      </c>
      <c r="AKX7" s="9">
        <f>AKQ7*BlendedPriceEssMonthly*AKC7+AKR7*BlendedPricePremMonthly*AKC7+AKS7*BlendedPriceEliteMonthly*AKC7+AKT7*BlendedPriceEssAnnual*AKC7/12+AKU7*BlendedPricePremAnnual*AKC7/12+AKV7*BlendedPriceEliteAnnual*AKC7/12</f>
        <v/>
      </c>
      <c r="AKY7" s="9">
        <f>AKX7*12</f>
        <v/>
      </c>
      <c r="AKZ7" s="12">
        <f>AKQ7*BlendedPriceEssMonthly*AKC7+AKR7*BlendedPricePremMonthly*AKC7+AKS7*BlendedPriceEliteMonthly*AKC7</f>
        <v/>
      </c>
      <c r="ALA7" s="12">
        <f>AKN7*BlendedPriceEssAnnual*AKC7+AKO7*BlendedPricePremAnnual*AKC7+AKP7*BlendedPriceEliteAnnual*AKC7</f>
        <v/>
      </c>
      <c r="ALB7" s="12">
        <f>0+0+0</f>
        <v/>
      </c>
      <c r="ALC7" s="9">
        <f>AKZ7+ALA7+ALB7</f>
        <v/>
      </c>
      <c r="ALD7" s="12">
        <f>SUM(ALC$5:ALC7)</f>
        <v/>
      </c>
      <c r="ALE7" s="12">
        <f>OR(ALE6,IF(VATAgentMode,SUM($ALC$5:$ALC7)-SUM($ALJ$5:$ALJ7)&gt;=VATThreshold,SUM($ALC$5:$ALC7)&gt;=VATThreshold))</f>
        <v/>
      </c>
      <c r="ALF7" s="9">
        <f>IF(ALE7,IF(VATAgentMode,ALC7-((ALC7-ALJ7)-(ALC7-ALJ7)/(1+VATRate)),ALC7/(1+VATRate)),ALC7)</f>
        <v/>
      </c>
      <c r="ALG7" s="12">
        <f>ALC7-ALF7</f>
        <v/>
      </c>
      <c r="ALH7" s="12">
        <f>IF(ALE7=0,0,IF(AJZ7=1,SUMPRODUCT(--(($AKA$5:$AKA7=$AKA7-1)*($AJZ$5:$AJZ7&gt;=10)*($AJZ$5:$AJZ7&lt;=12)),$ALG$5:$ALG7),IF(AJZ7=4,SUMPRODUCT(--(($AKA$5:$AKA7=$AKA7)*($AJZ$5:$AJZ7&gt;=1)*($AJZ$5:$AJZ7&lt;=3)),$ALG$5:$ALG7),IF(AJZ7=7,SUMPRODUCT(--(($AKA$5:$AKA7=$AKA7)*($AJZ$5:$AJZ7&gt;=4)*($AJZ$5:$AJZ7&lt;=6)),$ALG$5:$ALG7),IF(AJZ7=10,SUMPRODUCT(--(($AKA$5:$AKA7=$AKA7)*($AJZ$5:$AJZ7&gt;=7)*($AJZ$5:$AJZ7&lt;=9)),$ALG$5:$ALG7),0)))))</f>
        <v/>
      </c>
      <c r="ALI7" s="12">
        <f>ALI6+ALG7-ALH7</f>
        <v/>
      </c>
      <c r="ALJ7" s="12">
        <f>IF(ProviderDelay&gt;=1,AKQ6*BlendedProvPayEss+AKR6*BlendedProvPayPrem+AKS6*BlendedProvPayElite+AKT6*BlendedProvPayEss+AKU6*BlendedProvPayPrem+AKV6*BlendedProvPayElite,AKQ7*BlendedProvPayEss+AKR7*BlendedProvPayPrem+AKS7*BlendedProvPayElite+AKT7*BlendedProvPayEss+AKU7*BlendedProvPayPrem+AKV7*BlendedProvPayElite)</f>
        <v/>
      </c>
      <c r="ALK7" s="12">
        <f>ALC7*PaymentFee</f>
        <v/>
      </c>
      <c r="ALL7" s="12">
        <f>AKW7*OpsAI</f>
        <v/>
      </c>
      <c r="ALM7" s="12">
        <f>MonthlyFixed</f>
        <v/>
      </c>
      <c r="ALN7" s="12">
        <f>AKG7*ReferralReward</f>
        <v/>
      </c>
      <c r="ALO7" s="12">
        <f>AKE7</f>
        <v/>
      </c>
      <c r="ALP7" s="9">
        <f>ALF7-ALJ7-ALK7-ALL7-ALM7-ALN7-ALO7</f>
        <v/>
      </c>
      <c r="ALQ7" s="9">
        <f>ALQ6+ALC7-(ALJ7+ALK7+ALL7+ALM7+ALN7+ALO7+ALH7)</f>
        <v/>
      </c>
      <c r="ALR7" s="12">
        <f>IF(AKW7&gt;0,AKX7/AKW7,0)</f>
        <v/>
      </c>
      <c r="ALS7" s="11">
        <f>IF(AKW6&gt;0,MAX(0,(AKW6+AKH7-AKW7)/AKW6),0)</f>
        <v/>
      </c>
      <c r="ALU7" s="12" t="n">
        <v>3</v>
      </c>
      <c r="ALV7" s="12">
        <f>MOD(ALU7-1+LaunchMonth-1,12)+1</f>
        <v/>
      </c>
      <c r="ALW7" s="12">
        <f>INT((ALU7-1+LaunchMonth-1)/12)+1</f>
        <v/>
      </c>
      <c r="ALX7" s="12">
        <f>VLOOKUP(ALV7,SeasonTable,2,FALSE)</f>
        <v/>
      </c>
      <c r="ALY7" s="12">
        <f>(1+InflationRate)^INT((ALU7-1)/12)</f>
        <v/>
      </c>
      <c r="ALZ7" s="11">
        <f>MonthlyChurn*VLOOKUP(ALV7,ChurnSeasonTable,4,FALSE)</f>
        <v/>
      </c>
      <c r="AMA7" s="12">
        <f>MktFixed1_3</f>
        <v/>
      </c>
      <c r="AMB7" s="12">
        <f>IF(AMA7&gt;0,MAX(1,ROUND(AMA7/'Sens - CAC &amp; Marketing'!$A$11*ALX7,0)),0)</f>
        <v/>
      </c>
      <c r="AMC7" s="12">
        <f>IF(AMB7&gt;0,ROUND(AMB7*ReferralMix/(1-ReferralMix),0),0)</f>
        <v/>
      </c>
      <c r="AMD7" s="12">
        <f>AMB7+AMC7</f>
        <v/>
      </c>
      <c r="AME7" s="12">
        <f>ROUND(AMD7*(1-AnnualMix),0)</f>
        <v/>
      </c>
      <c r="AMF7" s="12">
        <f>AMD7-AME7</f>
        <v/>
      </c>
      <c r="AMG7" s="12">
        <f>ROUND(AME7*EssentialMix,0)</f>
        <v/>
      </c>
      <c r="AMH7" s="12">
        <f>ROUND(AME7*PremiumMix,0)</f>
        <v/>
      </c>
      <c r="AMI7" s="12">
        <f>AME7-AMG7-AMH7</f>
        <v/>
      </c>
      <c r="AMJ7" s="12">
        <f>ROUND(AMF7*EssentialMix,0)</f>
        <v/>
      </c>
      <c r="AMK7" s="12">
        <f>ROUND(AMF7*PremiumMix,0)</f>
        <v/>
      </c>
      <c r="AML7" s="12">
        <f>AMF7-AMJ7-AMK7</f>
        <v/>
      </c>
      <c r="AMM7" s="12">
        <f>AMG7+AMG6+AMG5</f>
        <v/>
      </c>
      <c r="AMN7" s="12">
        <f>AMH7+AMH6+AMH5</f>
        <v/>
      </c>
      <c r="AMO7" s="12">
        <f>AMI7+AMI6+AMI5</f>
        <v/>
      </c>
      <c r="AMP7" s="12">
        <f>SUM(AMJ$5:AMJ7)</f>
        <v/>
      </c>
      <c r="AMQ7" s="12">
        <f>SUM(AMK$5:AMK7)</f>
        <v/>
      </c>
      <c r="AMR7" s="12">
        <f>SUM(AML$5:AML7)</f>
        <v/>
      </c>
      <c r="AMS7" s="12">
        <f>AMM7+AMN7+AMO7+AMP7+AMQ7+AMR7</f>
        <v/>
      </c>
      <c r="AMT7" s="9">
        <f>AMM7*BlendedPriceEssMonthly*ALY7+AMN7*BlendedPricePremMonthly*ALY7+AMO7*BlendedPriceEliteMonthly*ALY7+AMP7*BlendedPriceEssAnnual*ALY7/12+AMQ7*BlendedPricePremAnnual*ALY7/12+AMR7*BlendedPriceEliteAnnual*ALY7/12</f>
        <v/>
      </c>
      <c r="AMU7" s="9">
        <f>AMT7*12</f>
        <v/>
      </c>
      <c r="AMV7" s="12">
        <f>AMM7*BlendedPriceEssMonthly*ALY7+AMN7*BlendedPricePremMonthly*ALY7+AMO7*BlendedPriceEliteMonthly*ALY7</f>
        <v/>
      </c>
      <c r="AMW7" s="12">
        <f>AMJ7*BlendedPriceEssAnnual*ALY7+AMK7*BlendedPricePremAnnual*ALY7+AML7*BlendedPriceEliteAnnual*ALY7</f>
        <v/>
      </c>
      <c r="AMX7" s="12">
        <f>0+0+0</f>
        <v/>
      </c>
      <c r="AMY7" s="9">
        <f>AMV7+AMW7+AMX7</f>
        <v/>
      </c>
      <c r="AMZ7" s="12">
        <f>SUM(AMY$5:AMY7)</f>
        <v/>
      </c>
      <c r="ANA7" s="12">
        <f>OR(ANA6,IF(VATAgentMode,SUM($AMY$5:$AMY7)-SUM($ANF$5:$ANF7)&gt;=VATThreshold,SUM($AMY$5:$AMY7)&gt;=VATThreshold))</f>
        <v/>
      </c>
      <c r="ANB7" s="9">
        <f>IF(ANA7,IF(VATAgentMode,AMY7-((AMY7-ANF7)-(AMY7-ANF7)/(1+VATRate)),AMY7/(1+VATRate)),AMY7)</f>
        <v/>
      </c>
      <c r="ANC7" s="12">
        <f>AMY7-ANB7</f>
        <v/>
      </c>
      <c r="AND7" s="12">
        <f>IF(ANA7=0,0,IF(ALV7=1,SUMPRODUCT(--(($ALW$5:$ALW7=$ALW7-1)*($ALV$5:$ALV7&gt;=10)*($ALV$5:$ALV7&lt;=12)),$ANC$5:$ANC7),IF(ALV7=4,SUMPRODUCT(--(($ALW$5:$ALW7=$ALW7)*($ALV$5:$ALV7&gt;=1)*($ALV$5:$ALV7&lt;=3)),$ANC$5:$ANC7),IF(ALV7=7,SUMPRODUCT(--(($ALW$5:$ALW7=$ALW7)*($ALV$5:$ALV7&gt;=4)*($ALV$5:$ALV7&lt;=6)),$ANC$5:$ANC7),IF(ALV7=10,SUMPRODUCT(--(($ALW$5:$ALW7=$ALW7)*($ALV$5:$ALV7&gt;=7)*($ALV$5:$ALV7&lt;=9)),$ANC$5:$ANC7),0)))))</f>
        <v/>
      </c>
      <c r="ANE7" s="12">
        <f>ANE6+ANC7-AND7</f>
        <v/>
      </c>
      <c r="ANF7" s="12">
        <f>IF(ProviderDelay&gt;=1,AMM6*BlendedProvPayEss+AMN6*BlendedProvPayPrem+AMO6*BlendedProvPayElite+AMP6*BlendedProvPayEss+AMQ6*BlendedProvPayPrem+AMR6*BlendedProvPayElite,AMM7*BlendedProvPayEss+AMN7*BlendedProvPayPrem+AMO7*BlendedProvPayElite+AMP7*BlendedProvPayEss+AMQ7*BlendedProvPayPrem+AMR7*BlendedProvPayElite)</f>
        <v/>
      </c>
      <c r="ANG7" s="12">
        <f>AMY7*PaymentFee</f>
        <v/>
      </c>
      <c r="ANH7" s="12">
        <f>AMS7*OpsAI</f>
        <v/>
      </c>
      <c r="ANI7" s="12">
        <f>MonthlyFixed</f>
        <v/>
      </c>
      <c r="ANJ7" s="12">
        <f>AMC7*ReferralReward</f>
        <v/>
      </c>
      <c r="ANK7" s="12">
        <f>AMA7</f>
        <v/>
      </c>
      <c r="ANL7" s="9">
        <f>ANB7-ANF7-ANG7-ANH7-ANI7-ANJ7-ANK7</f>
        <v/>
      </c>
      <c r="ANM7" s="9">
        <f>ANM6+AMY7-(ANF7+ANG7+ANH7+ANI7+ANJ7+ANK7+AND7)</f>
        <v/>
      </c>
      <c r="ANN7" s="12">
        <f>IF(AMS7&gt;0,AMT7/AMS7,0)</f>
        <v/>
      </c>
      <c r="ANO7" s="11">
        <f>IF(AMS6&gt;0,MAX(0,(AMS6+AMD7-AMS7)/AMS6),0)</f>
        <v/>
      </c>
      <c r="ANQ7" s="12" t="n">
        <v>3</v>
      </c>
      <c r="ANR7" s="12">
        <f>MOD(ANQ7-1+LaunchMonth-1,12)+1</f>
        <v/>
      </c>
      <c r="ANS7" s="12">
        <f>INT((ANQ7-1+LaunchMonth-1)/12)+1</f>
        <v/>
      </c>
      <c r="ANT7" s="12">
        <f>VLOOKUP(ANR7,SeasonTable,2,FALSE)</f>
        <v/>
      </c>
      <c r="ANU7" s="12">
        <f>(1+InflationRate)^INT((ANQ7-1)/12)</f>
        <v/>
      </c>
      <c r="ANV7" s="11">
        <f>MonthlyChurn*VLOOKUP(ANR7,ChurnSeasonTable,4,FALSE)</f>
        <v/>
      </c>
      <c r="ANW7" s="12">
        <f>MktFixed1_3</f>
        <v/>
      </c>
      <c r="ANX7" s="12">
        <f>IF(ANW7&gt;0,MAX(1,ROUND(ANW7/'Sens - CAC &amp; Marketing'!$A$12*ANT7,0)),0)</f>
        <v/>
      </c>
      <c r="ANY7" s="12">
        <f>IF(ANX7&gt;0,ROUND(ANX7*ReferralMix/(1-ReferralMix),0),0)</f>
        <v/>
      </c>
      <c r="ANZ7" s="12">
        <f>ANX7+ANY7</f>
        <v/>
      </c>
      <c r="AOA7" s="12">
        <f>ROUND(ANZ7*(1-AnnualMix),0)</f>
        <v/>
      </c>
      <c r="AOB7" s="12">
        <f>ANZ7-AOA7</f>
        <v/>
      </c>
      <c r="AOC7" s="12">
        <f>ROUND(AOA7*EssentialMix,0)</f>
        <v/>
      </c>
      <c r="AOD7" s="12">
        <f>ROUND(AOA7*PremiumMix,0)</f>
        <v/>
      </c>
      <c r="AOE7" s="12">
        <f>AOA7-AOC7-AOD7</f>
        <v/>
      </c>
      <c r="AOF7" s="12">
        <f>ROUND(AOB7*EssentialMix,0)</f>
        <v/>
      </c>
      <c r="AOG7" s="12">
        <f>ROUND(AOB7*PremiumMix,0)</f>
        <v/>
      </c>
      <c r="AOH7" s="12">
        <f>AOB7-AOF7-AOG7</f>
        <v/>
      </c>
      <c r="AOI7" s="12">
        <f>AOC7+AOC6+AOC5</f>
        <v/>
      </c>
      <c r="AOJ7" s="12">
        <f>AOD7+AOD6+AOD5</f>
        <v/>
      </c>
      <c r="AOK7" s="12">
        <f>AOE7+AOE6+AOE5</f>
        <v/>
      </c>
      <c r="AOL7" s="12">
        <f>SUM(AOF$5:AOF7)</f>
        <v/>
      </c>
      <c r="AOM7" s="12">
        <f>SUM(AOG$5:AOG7)</f>
        <v/>
      </c>
      <c r="AON7" s="12">
        <f>SUM(AOH$5:AOH7)</f>
        <v/>
      </c>
      <c r="AOO7" s="12">
        <f>AOI7+AOJ7+AOK7+AOL7+AOM7+AON7</f>
        <v/>
      </c>
      <c r="AOP7" s="9">
        <f>AOI7*BlendedPriceEssMonthly*ANU7+AOJ7*BlendedPricePremMonthly*ANU7+AOK7*BlendedPriceEliteMonthly*ANU7+AOL7*BlendedPriceEssAnnual*ANU7/12+AOM7*BlendedPricePremAnnual*ANU7/12+AON7*BlendedPriceEliteAnnual*ANU7/12</f>
        <v/>
      </c>
      <c r="AOQ7" s="9">
        <f>AOP7*12</f>
        <v/>
      </c>
      <c r="AOR7" s="12">
        <f>AOI7*BlendedPriceEssMonthly*ANU7+AOJ7*BlendedPricePremMonthly*ANU7+AOK7*BlendedPriceEliteMonthly*ANU7</f>
        <v/>
      </c>
      <c r="AOS7" s="12">
        <f>AOF7*BlendedPriceEssAnnual*ANU7+AOG7*BlendedPricePremAnnual*ANU7+AOH7*BlendedPriceEliteAnnual*ANU7</f>
        <v/>
      </c>
      <c r="AOT7" s="12">
        <f>0+0+0</f>
        <v/>
      </c>
      <c r="AOU7" s="9">
        <f>AOR7+AOS7+AOT7</f>
        <v/>
      </c>
      <c r="AOV7" s="12">
        <f>SUM(AOU$5:AOU7)</f>
        <v/>
      </c>
      <c r="AOW7" s="12">
        <f>OR(AOW6,IF(VATAgentMode,SUM($AOU$5:$AOU7)-SUM($APB$5:$APB7)&gt;=VATThreshold,SUM($AOU$5:$AOU7)&gt;=VATThreshold))</f>
        <v/>
      </c>
      <c r="AOX7" s="9">
        <f>IF(AOW7,IF(VATAgentMode,AOU7-((AOU7-APB7)-(AOU7-APB7)/(1+VATRate)),AOU7/(1+VATRate)),AOU7)</f>
        <v/>
      </c>
      <c r="AOY7" s="12">
        <f>AOU7-AOX7</f>
        <v/>
      </c>
      <c r="AOZ7" s="12">
        <f>IF(AOW7=0,0,IF(ANR7=1,SUMPRODUCT(--(($ANS$5:$ANS7=$ANS7-1)*($ANR$5:$ANR7&gt;=10)*($ANR$5:$ANR7&lt;=12)),$AOY$5:$AOY7),IF(ANR7=4,SUMPRODUCT(--(($ANS$5:$ANS7=$ANS7)*($ANR$5:$ANR7&gt;=1)*($ANR$5:$ANR7&lt;=3)),$AOY$5:$AOY7),IF(ANR7=7,SUMPRODUCT(--(($ANS$5:$ANS7=$ANS7)*($ANR$5:$ANR7&gt;=4)*($ANR$5:$ANR7&lt;=6)),$AOY$5:$AOY7),IF(ANR7=10,SUMPRODUCT(--(($ANS$5:$ANS7=$ANS7)*($ANR$5:$ANR7&gt;=7)*($ANR$5:$ANR7&lt;=9)),$AOY$5:$AOY7),0)))))</f>
        <v/>
      </c>
      <c r="APA7" s="12">
        <f>APA6+AOY7-AOZ7</f>
        <v/>
      </c>
      <c r="APB7" s="12">
        <f>IF(ProviderDelay&gt;=1,AOI6*BlendedProvPayEss+AOJ6*BlendedProvPayPrem+AOK6*BlendedProvPayElite+AOL6*BlendedProvPayEss+AOM6*BlendedProvPayPrem+AON6*BlendedProvPayElite,AOI7*BlendedProvPayEss+AOJ7*BlendedProvPayPrem+AOK7*BlendedProvPayElite+AOL7*BlendedProvPayEss+AOM7*BlendedProvPayPrem+AON7*BlendedProvPayElite)</f>
        <v/>
      </c>
      <c r="APC7" s="12">
        <f>AOU7*PaymentFee</f>
        <v/>
      </c>
      <c r="APD7" s="12">
        <f>AOO7*OpsAI</f>
        <v/>
      </c>
      <c r="APE7" s="12">
        <f>MonthlyFixed</f>
        <v/>
      </c>
      <c r="APF7" s="12">
        <f>ANY7*ReferralReward</f>
        <v/>
      </c>
      <c r="APG7" s="12">
        <f>ANW7</f>
        <v/>
      </c>
      <c r="APH7" s="9">
        <f>AOX7-APB7-APC7-APD7-APE7-APF7-APG7</f>
        <v/>
      </c>
      <c r="API7" s="9">
        <f>API6+AOU7-(APB7+APC7+APD7+APE7+APF7+APG7+AOZ7)</f>
        <v/>
      </c>
      <c r="APJ7" s="12">
        <f>IF(AOO7&gt;0,AOP7/AOO7,0)</f>
        <v/>
      </c>
      <c r="APK7" s="11">
        <f>IF(AOO6&gt;0,MAX(0,(AOO6+ANZ7-AOO7)/AOO6),0)</f>
        <v/>
      </c>
      <c r="APM7" s="12" t="n">
        <v>3</v>
      </c>
      <c r="APN7" s="12">
        <f>MOD(APM7-1+LaunchMonth-1,12)+1</f>
        <v/>
      </c>
      <c r="APO7" s="12">
        <f>INT((APM7-1+LaunchMonth-1)/12)+1</f>
        <v/>
      </c>
      <c r="APP7" s="12">
        <f>VLOOKUP(APN7,SeasonTable,2,FALSE)</f>
        <v/>
      </c>
      <c r="APQ7" s="12">
        <f>(1+InflationRate)^INT((APM7-1)/12)</f>
        <v/>
      </c>
      <c r="APR7" s="11">
        <f>MonthlyChurn*VLOOKUP(APN7,ChurnSeasonTable,4,FALSE)</f>
        <v/>
      </c>
      <c r="APS7" s="12">
        <f>MktFixed1_3</f>
        <v/>
      </c>
      <c r="APT7" s="12">
        <f>IF(APS7&gt;0,MAX(1,ROUND(APS7/'Sens - CAC &amp; Marketing'!$A$13*APP7,0)),0)</f>
        <v/>
      </c>
      <c r="APU7" s="12">
        <f>IF(APT7&gt;0,ROUND(APT7*ReferralMix/(1-ReferralMix),0),0)</f>
        <v/>
      </c>
      <c r="APV7" s="12">
        <f>APT7+APU7</f>
        <v/>
      </c>
      <c r="APW7" s="12">
        <f>ROUND(APV7*(1-AnnualMix),0)</f>
        <v/>
      </c>
      <c r="APX7" s="12">
        <f>APV7-APW7</f>
        <v/>
      </c>
      <c r="APY7" s="12">
        <f>ROUND(APW7*EssentialMix,0)</f>
        <v/>
      </c>
      <c r="APZ7" s="12">
        <f>ROUND(APW7*PremiumMix,0)</f>
        <v/>
      </c>
      <c r="AQA7" s="12">
        <f>APW7-APY7-APZ7</f>
        <v/>
      </c>
      <c r="AQB7" s="12">
        <f>ROUND(APX7*EssentialMix,0)</f>
        <v/>
      </c>
      <c r="AQC7" s="12">
        <f>ROUND(APX7*PremiumMix,0)</f>
        <v/>
      </c>
      <c r="AQD7" s="12">
        <f>APX7-AQB7-AQC7</f>
        <v/>
      </c>
      <c r="AQE7" s="12">
        <f>APY7+APY6+APY5</f>
        <v/>
      </c>
      <c r="AQF7" s="12">
        <f>APZ7+APZ6+APZ5</f>
        <v/>
      </c>
      <c r="AQG7" s="12">
        <f>AQA7+AQA6+AQA5</f>
        <v/>
      </c>
      <c r="AQH7" s="12">
        <f>SUM(AQB$5:AQB7)</f>
        <v/>
      </c>
      <c r="AQI7" s="12">
        <f>SUM(AQC$5:AQC7)</f>
        <v/>
      </c>
      <c r="AQJ7" s="12">
        <f>SUM(AQD$5:AQD7)</f>
        <v/>
      </c>
      <c r="AQK7" s="12">
        <f>AQE7+AQF7+AQG7+AQH7+AQI7+AQJ7</f>
        <v/>
      </c>
      <c r="AQL7" s="9">
        <f>AQE7*BlendedPriceEssMonthly*APQ7+AQF7*BlendedPricePremMonthly*APQ7+AQG7*BlendedPriceEliteMonthly*APQ7+AQH7*BlendedPriceEssAnnual*APQ7/12+AQI7*BlendedPricePremAnnual*APQ7/12+AQJ7*BlendedPriceEliteAnnual*APQ7/12</f>
        <v/>
      </c>
      <c r="AQM7" s="9">
        <f>AQL7*12</f>
        <v/>
      </c>
      <c r="AQN7" s="12">
        <f>AQE7*BlendedPriceEssMonthly*APQ7+AQF7*BlendedPricePremMonthly*APQ7+AQG7*BlendedPriceEliteMonthly*APQ7</f>
        <v/>
      </c>
      <c r="AQO7" s="12">
        <f>AQB7*BlendedPriceEssAnnual*APQ7+AQC7*BlendedPricePremAnnual*APQ7+AQD7*BlendedPriceEliteAnnual*APQ7</f>
        <v/>
      </c>
      <c r="AQP7" s="12">
        <f>0+0+0</f>
        <v/>
      </c>
      <c r="AQQ7" s="9">
        <f>AQN7+AQO7+AQP7</f>
        <v/>
      </c>
      <c r="AQR7" s="12">
        <f>SUM(AQQ$5:AQQ7)</f>
        <v/>
      </c>
      <c r="AQS7" s="12">
        <f>OR(AQS6,IF(VATAgentMode,SUM($AQQ$5:$AQQ7)-SUM($AQX$5:$AQX7)&gt;=VATThreshold,SUM($AQQ$5:$AQQ7)&gt;=VATThreshold))</f>
        <v/>
      </c>
      <c r="AQT7" s="9">
        <f>IF(AQS7,IF(VATAgentMode,AQQ7-((AQQ7-AQX7)-(AQQ7-AQX7)/(1+VATRate)),AQQ7/(1+VATRate)),AQQ7)</f>
        <v/>
      </c>
      <c r="AQU7" s="12">
        <f>AQQ7-AQT7</f>
        <v/>
      </c>
      <c r="AQV7" s="12">
        <f>IF(AQS7=0,0,IF(APN7=1,SUMPRODUCT(--(($APO$5:$APO7=$APO7-1)*($APN$5:$APN7&gt;=10)*($APN$5:$APN7&lt;=12)),$AQU$5:$AQU7),IF(APN7=4,SUMPRODUCT(--(($APO$5:$APO7=$APO7)*($APN$5:$APN7&gt;=1)*($APN$5:$APN7&lt;=3)),$AQU$5:$AQU7),IF(APN7=7,SUMPRODUCT(--(($APO$5:$APO7=$APO7)*($APN$5:$APN7&gt;=4)*($APN$5:$APN7&lt;=6)),$AQU$5:$AQU7),IF(APN7=10,SUMPRODUCT(--(($APO$5:$APO7=$APO7)*($APN$5:$APN7&gt;=7)*($APN$5:$APN7&lt;=9)),$AQU$5:$AQU7),0)))))</f>
        <v/>
      </c>
      <c r="AQW7" s="12">
        <f>AQW6+AQU7-AQV7</f>
        <v/>
      </c>
      <c r="AQX7" s="12">
        <f>IF(ProviderDelay&gt;=1,AQE6*BlendedProvPayEss+AQF6*BlendedProvPayPrem+AQG6*BlendedProvPayElite+AQH6*BlendedProvPayEss+AQI6*BlendedProvPayPrem+AQJ6*BlendedProvPayElite,AQE7*BlendedProvPayEss+AQF7*BlendedProvPayPrem+AQG7*BlendedProvPayElite+AQH7*BlendedProvPayEss+AQI7*BlendedProvPayPrem+AQJ7*BlendedProvPayElite)</f>
        <v/>
      </c>
      <c r="AQY7" s="12">
        <f>AQQ7*PaymentFee</f>
        <v/>
      </c>
      <c r="AQZ7" s="12">
        <f>AQK7*OpsAI</f>
        <v/>
      </c>
      <c r="ARA7" s="12">
        <f>MonthlyFixed</f>
        <v/>
      </c>
      <c r="ARB7" s="12">
        <f>APU7*ReferralReward</f>
        <v/>
      </c>
      <c r="ARC7" s="12">
        <f>APS7</f>
        <v/>
      </c>
      <c r="ARD7" s="9">
        <f>AQT7-AQX7-AQY7-AQZ7-ARA7-ARB7-ARC7</f>
        <v/>
      </c>
      <c r="ARE7" s="9">
        <f>ARE6+AQQ7-(AQX7+AQY7+AQZ7+ARA7+ARB7+ARC7+AQV7)</f>
        <v/>
      </c>
      <c r="ARF7" s="12">
        <f>IF(AQK7&gt;0,AQL7/AQK7,0)</f>
        <v/>
      </c>
      <c r="ARG7" s="11">
        <f>IF(AQK6&gt;0,MAX(0,(AQK6+APV7-AQK7)/AQK6),0)</f>
        <v/>
      </c>
      <c r="ARI7" s="12" t="n">
        <v>3</v>
      </c>
      <c r="ARJ7" s="12">
        <f>MOD(ARI7-1+LaunchMonth-1,12)+1</f>
        <v/>
      </c>
      <c r="ARK7" s="12">
        <f>INT((ARI7-1+LaunchMonth-1)/12)+1</f>
        <v/>
      </c>
      <c r="ARL7" s="12">
        <f>VLOOKUP(ARJ7,SeasonTable,2,FALSE)</f>
        <v/>
      </c>
      <c r="ARM7" s="12">
        <f>(1+InflationRate)^INT((ARI7-1)/12)</f>
        <v/>
      </c>
      <c r="ARN7" s="11">
        <f>MonthlyChurn*VLOOKUP(ARJ7,ChurnSeasonTable,4,FALSE)</f>
        <v/>
      </c>
      <c r="ARO7" s="12">
        <f>MktFixed1_3</f>
        <v/>
      </c>
      <c r="ARP7" s="12">
        <f>IF(ARO7&gt;0,MAX(1,ROUND(ARO7/'Sens - CAC &amp; Marketing'!$A$14*ARL7,0)),0)</f>
        <v/>
      </c>
      <c r="ARQ7" s="12">
        <f>IF(ARP7&gt;0,ROUND(ARP7*ReferralMix/(1-ReferralMix),0),0)</f>
        <v/>
      </c>
      <c r="ARR7" s="12">
        <f>ARP7+ARQ7</f>
        <v/>
      </c>
      <c r="ARS7" s="12">
        <f>ROUND(ARR7*(1-AnnualMix),0)</f>
        <v/>
      </c>
      <c r="ART7" s="12">
        <f>ARR7-ARS7</f>
        <v/>
      </c>
      <c r="ARU7" s="12">
        <f>ROUND(ARS7*EssentialMix,0)</f>
        <v/>
      </c>
      <c r="ARV7" s="12">
        <f>ROUND(ARS7*PremiumMix,0)</f>
        <v/>
      </c>
      <c r="ARW7" s="12">
        <f>ARS7-ARU7-ARV7</f>
        <v/>
      </c>
      <c r="ARX7" s="12">
        <f>ROUND(ART7*EssentialMix,0)</f>
        <v/>
      </c>
      <c r="ARY7" s="12">
        <f>ROUND(ART7*PremiumMix,0)</f>
        <v/>
      </c>
      <c r="ARZ7" s="12">
        <f>ART7-ARX7-ARY7</f>
        <v/>
      </c>
      <c r="ASA7" s="12">
        <f>ARU7+ARU6+ARU5</f>
        <v/>
      </c>
      <c r="ASB7" s="12">
        <f>ARV7+ARV6+ARV5</f>
        <v/>
      </c>
      <c r="ASC7" s="12">
        <f>ARW7+ARW6+ARW5</f>
        <v/>
      </c>
      <c r="ASD7" s="12">
        <f>SUM(ARX$5:ARX7)</f>
        <v/>
      </c>
      <c r="ASE7" s="12">
        <f>SUM(ARY$5:ARY7)</f>
        <v/>
      </c>
      <c r="ASF7" s="12">
        <f>SUM(ARZ$5:ARZ7)</f>
        <v/>
      </c>
      <c r="ASG7" s="12">
        <f>ASA7+ASB7+ASC7+ASD7+ASE7+ASF7</f>
        <v/>
      </c>
      <c r="ASH7" s="9">
        <f>ASA7*BlendedPriceEssMonthly*ARM7+ASB7*BlendedPricePremMonthly*ARM7+ASC7*BlendedPriceEliteMonthly*ARM7+ASD7*BlendedPriceEssAnnual*ARM7/12+ASE7*BlendedPricePremAnnual*ARM7/12+ASF7*BlendedPriceEliteAnnual*ARM7/12</f>
        <v/>
      </c>
      <c r="ASI7" s="9">
        <f>ASH7*12</f>
        <v/>
      </c>
      <c r="ASJ7" s="12">
        <f>ASA7*BlendedPriceEssMonthly*ARM7+ASB7*BlendedPricePremMonthly*ARM7+ASC7*BlendedPriceEliteMonthly*ARM7</f>
        <v/>
      </c>
      <c r="ASK7" s="12">
        <f>ARX7*BlendedPriceEssAnnual*ARM7+ARY7*BlendedPricePremAnnual*ARM7+ARZ7*BlendedPriceEliteAnnual*ARM7</f>
        <v/>
      </c>
      <c r="ASL7" s="12">
        <f>0+0+0</f>
        <v/>
      </c>
      <c r="ASM7" s="9">
        <f>ASJ7+ASK7+ASL7</f>
        <v/>
      </c>
      <c r="ASN7" s="12">
        <f>SUM(ASM$5:ASM7)</f>
        <v/>
      </c>
      <c r="ASO7" s="12">
        <f>OR(ASO6,IF(VATAgentMode,SUM($ASM$5:$ASM7)-SUM($AST$5:$AST7)&gt;=VATThreshold,SUM($ASM$5:$ASM7)&gt;=VATThreshold))</f>
        <v/>
      </c>
      <c r="ASP7" s="9">
        <f>IF(ASO7,IF(VATAgentMode,ASM7-((ASM7-AST7)-(ASM7-AST7)/(1+VATRate)),ASM7/(1+VATRate)),ASM7)</f>
        <v/>
      </c>
      <c r="ASQ7" s="12">
        <f>ASM7-ASP7</f>
        <v/>
      </c>
      <c r="ASR7" s="12">
        <f>IF(ASO7=0,0,IF(ARJ7=1,SUMPRODUCT(--(($ARK$5:$ARK7=$ARK7-1)*($ARJ$5:$ARJ7&gt;=10)*($ARJ$5:$ARJ7&lt;=12)),$ASQ$5:$ASQ7),IF(ARJ7=4,SUMPRODUCT(--(($ARK$5:$ARK7=$ARK7)*($ARJ$5:$ARJ7&gt;=1)*($ARJ$5:$ARJ7&lt;=3)),$ASQ$5:$ASQ7),IF(ARJ7=7,SUMPRODUCT(--(($ARK$5:$ARK7=$ARK7)*($ARJ$5:$ARJ7&gt;=4)*($ARJ$5:$ARJ7&lt;=6)),$ASQ$5:$ASQ7),IF(ARJ7=10,SUMPRODUCT(--(($ARK$5:$ARK7=$ARK7)*($ARJ$5:$ARJ7&gt;=7)*($ARJ$5:$ARJ7&lt;=9)),$ASQ$5:$ASQ7),0)))))</f>
        <v/>
      </c>
      <c r="ASS7" s="12">
        <f>ASS6+ASQ7-ASR7</f>
        <v/>
      </c>
      <c r="AST7" s="12">
        <f>IF(ProviderDelay&gt;=1,ASA6*BlendedProvPayEss+ASB6*BlendedProvPayPrem+ASC6*BlendedProvPayElite+ASD6*BlendedProvPayEss+ASE6*BlendedProvPayPrem+ASF6*BlendedProvPayElite,ASA7*BlendedProvPayEss+ASB7*BlendedProvPayPrem+ASC7*BlendedProvPayElite+ASD7*BlendedProvPayEss+ASE7*BlendedProvPayPrem+ASF7*BlendedProvPayElite)</f>
        <v/>
      </c>
      <c r="ASU7" s="12">
        <f>ASM7*PaymentFee</f>
        <v/>
      </c>
      <c r="ASV7" s="12">
        <f>ASG7*OpsAI</f>
        <v/>
      </c>
      <c r="ASW7" s="12">
        <f>MonthlyFixed</f>
        <v/>
      </c>
      <c r="ASX7" s="12">
        <f>ARQ7*ReferralReward</f>
        <v/>
      </c>
      <c r="ASY7" s="12">
        <f>ARO7</f>
        <v/>
      </c>
      <c r="ASZ7" s="9">
        <f>ASP7-AST7-ASU7-ASV7-ASW7-ASX7-ASY7</f>
        <v/>
      </c>
      <c r="ATA7" s="9">
        <f>ATA6+ASM7-(AST7+ASU7+ASV7+ASW7+ASX7+ASY7+ASR7)</f>
        <v/>
      </c>
      <c r="ATB7" s="12">
        <f>IF(ASG7&gt;0,ASH7/ASG7,0)</f>
        <v/>
      </c>
      <c r="ATC7" s="11">
        <f>IF(ASG6&gt;0,MAX(0,(ASG6+ARR7-ASG7)/ASG6),0)</f>
        <v/>
      </c>
      <c r="ATE7" s="12" t="n">
        <v>3</v>
      </c>
      <c r="ATF7" s="12">
        <f>MOD(ATE7-1+LaunchMonth-1,12)+1</f>
        <v/>
      </c>
      <c r="ATG7" s="12">
        <f>INT((ATE7-1+LaunchMonth-1)/12)+1</f>
        <v/>
      </c>
      <c r="ATH7" s="12">
        <f>VLOOKUP(ATF7,SeasonTable,2,FALSE)</f>
        <v/>
      </c>
      <c r="ATI7" s="12">
        <f>(1+InflationRate)^INT((ATE7-1)/12)</f>
        <v/>
      </c>
      <c r="ATJ7" s="11">
        <f>MonthlyChurn*VLOOKUP(ATF7,ChurnSeasonTable,4,FALSE)</f>
        <v/>
      </c>
      <c r="ATK7" s="12">
        <f>MktFixed1_3</f>
        <v/>
      </c>
      <c r="ATL7" s="12">
        <f>IF(ATK7&gt;0,MAX(1,ROUND(ATK7/'Sens - CAC &amp; Marketing'!$A$15*ATH7,0)),0)</f>
        <v/>
      </c>
      <c r="ATM7" s="12">
        <f>IF(ATL7&gt;0,ROUND(ATL7*ReferralMix/(1-ReferralMix),0),0)</f>
        <v/>
      </c>
      <c r="ATN7" s="12">
        <f>ATL7+ATM7</f>
        <v/>
      </c>
      <c r="ATO7" s="12">
        <f>ROUND(ATN7*(1-AnnualMix),0)</f>
        <v/>
      </c>
      <c r="ATP7" s="12">
        <f>ATN7-ATO7</f>
        <v/>
      </c>
      <c r="ATQ7" s="12">
        <f>ROUND(ATO7*EssentialMix,0)</f>
        <v/>
      </c>
      <c r="ATR7" s="12">
        <f>ROUND(ATO7*PremiumMix,0)</f>
        <v/>
      </c>
      <c r="ATS7" s="12">
        <f>ATO7-ATQ7-ATR7</f>
        <v/>
      </c>
      <c r="ATT7" s="12">
        <f>ROUND(ATP7*EssentialMix,0)</f>
        <v/>
      </c>
      <c r="ATU7" s="12">
        <f>ROUND(ATP7*PremiumMix,0)</f>
        <v/>
      </c>
      <c r="ATV7" s="12">
        <f>ATP7-ATT7-ATU7</f>
        <v/>
      </c>
      <c r="ATW7" s="12">
        <f>ATQ7+ATQ6+ATQ5</f>
        <v/>
      </c>
      <c r="ATX7" s="12">
        <f>ATR7+ATR6+ATR5</f>
        <v/>
      </c>
      <c r="ATY7" s="12">
        <f>ATS7+ATS6+ATS5</f>
        <v/>
      </c>
      <c r="ATZ7" s="12">
        <f>SUM(ATT$5:ATT7)</f>
        <v/>
      </c>
      <c r="AUA7" s="12">
        <f>SUM(ATU$5:ATU7)</f>
        <v/>
      </c>
      <c r="AUB7" s="12">
        <f>SUM(ATV$5:ATV7)</f>
        <v/>
      </c>
      <c r="AUC7" s="12">
        <f>ATW7+ATX7+ATY7+ATZ7+AUA7+AUB7</f>
        <v/>
      </c>
      <c r="AUD7" s="9">
        <f>ATW7*BlendedPriceEssMonthly*ATI7+ATX7*BlendedPricePremMonthly*ATI7+ATY7*BlendedPriceEliteMonthly*ATI7+ATZ7*BlendedPriceEssAnnual*ATI7/12+AUA7*BlendedPricePremAnnual*ATI7/12+AUB7*BlendedPriceEliteAnnual*ATI7/12</f>
        <v/>
      </c>
      <c r="AUE7" s="9">
        <f>AUD7*12</f>
        <v/>
      </c>
      <c r="AUF7" s="12">
        <f>ATW7*BlendedPriceEssMonthly*ATI7+ATX7*BlendedPricePremMonthly*ATI7+ATY7*BlendedPriceEliteMonthly*ATI7</f>
        <v/>
      </c>
      <c r="AUG7" s="12">
        <f>ATT7*BlendedPriceEssAnnual*ATI7+ATU7*BlendedPricePremAnnual*ATI7+ATV7*BlendedPriceEliteAnnual*ATI7</f>
        <v/>
      </c>
      <c r="AUH7" s="12">
        <f>0+0+0</f>
        <v/>
      </c>
      <c r="AUI7" s="9">
        <f>AUF7+AUG7+AUH7</f>
        <v/>
      </c>
      <c r="AUJ7" s="12">
        <f>SUM(AUI$5:AUI7)</f>
        <v/>
      </c>
      <c r="AUK7" s="12">
        <f>OR(AUK6,IF(VATAgentMode,SUM($AUI$5:$AUI7)-SUM($AUP$5:$AUP7)&gt;=VATThreshold,SUM($AUI$5:$AUI7)&gt;=VATThreshold))</f>
        <v/>
      </c>
      <c r="AUL7" s="9">
        <f>IF(AUK7,IF(VATAgentMode,AUI7-((AUI7-AUP7)-(AUI7-AUP7)/(1+VATRate)),AUI7/(1+VATRate)),AUI7)</f>
        <v/>
      </c>
      <c r="AUM7" s="12">
        <f>AUI7-AUL7</f>
        <v/>
      </c>
      <c r="AUN7" s="12">
        <f>IF(AUK7=0,0,IF(ATF7=1,SUMPRODUCT(--(($ATG$5:$ATG7=$ATG7-1)*($ATF$5:$ATF7&gt;=10)*($ATF$5:$ATF7&lt;=12)),$AUM$5:$AUM7),IF(ATF7=4,SUMPRODUCT(--(($ATG$5:$ATG7=$ATG7)*($ATF$5:$ATF7&gt;=1)*($ATF$5:$ATF7&lt;=3)),$AUM$5:$AUM7),IF(ATF7=7,SUMPRODUCT(--(($ATG$5:$ATG7=$ATG7)*($ATF$5:$ATF7&gt;=4)*($ATF$5:$ATF7&lt;=6)),$AUM$5:$AUM7),IF(ATF7=10,SUMPRODUCT(--(($ATG$5:$ATG7=$ATG7)*($ATF$5:$ATF7&gt;=7)*($ATF$5:$ATF7&lt;=9)),$AUM$5:$AUM7),0)))))</f>
        <v/>
      </c>
      <c r="AUO7" s="12">
        <f>AUO6+AUM7-AUN7</f>
        <v/>
      </c>
      <c r="AUP7" s="12">
        <f>IF(ProviderDelay&gt;=1,ATW6*BlendedProvPayEss+ATX6*BlendedProvPayPrem+ATY6*BlendedProvPayElite+ATZ6*BlendedProvPayEss+AUA6*BlendedProvPayPrem+AUB6*BlendedProvPayElite,ATW7*BlendedProvPayEss+ATX7*BlendedProvPayPrem+ATY7*BlendedProvPayElite+ATZ7*BlendedProvPayEss+AUA7*BlendedProvPayPrem+AUB7*BlendedProvPayElite)</f>
        <v/>
      </c>
      <c r="AUQ7" s="12">
        <f>AUI7*PaymentFee</f>
        <v/>
      </c>
      <c r="AUR7" s="12">
        <f>AUC7*OpsAI</f>
        <v/>
      </c>
      <c r="AUS7" s="12">
        <f>MonthlyFixed</f>
        <v/>
      </c>
      <c r="AUT7" s="12">
        <f>ATM7*ReferralReward</f>
        <v/>
      </c>
      <c r="AUU7" s="12">
        <f>ATK7</f>
        <v/>
      </c>
      <c r="AUV7" s="9">
        <f>AUL7-AUP7-AUQ7-AUR7-AUS7-AUT7-AUU7</f>
        <v/>
      </c>
      <c r="AUW7" s="9">
        <f>AUW6+AUI7-(AUP7+AUQ7+AUR7+AUS7+AUT7+AUU7+AUN7)</f>
        <v/>
      </c>
      <c r="AUX7" s="12">
        <f>IF(AUC7&gt;0,AUD7/AUC7,0)</f>
        <v/>
      </c>
      <c r="AUY7" s="11">
        <f>IF(AUC6&gt;0,MAX(0,(AUC6+ATN7-AUC7)/AUC6),0)</f>
        <v/>
      </c>
      <c r="AVA7" s="12" t="n">
        <v>3</v>
      </c>
      <c r="AVB7" s="12">
        <f>MOD(AVA7-1+LaunchMonth-1,12)+1</f>
        <v/>
      </c>
      <c r="AVC7" s="12">
        <f>INT((AVA7-1+LaunchMonth-1)/12)+1</f>
        <v/>
      </c>
      <c r="AVD7" s="12">
        <f>VLOOKUP(AVB7,WinterPivotSeasonTable,5,FALSE)</f>
        <v/>
      </c>
      <c r="AVE7" s="12">
        <f>(1+InflationRate)^INT((AVA7-1)/12)</f>
        <v/>
      </c>
      <c r="AVF7" s="11">
        <f>MonthlyChurn*VLOOKUP(AVB7,WinterPivotChurnTable,6,FALSE)</f>
        <v/>
      </c>
      <c r="AVG7" s="12">
        <f>MktFixed1_3</f>
        <v/>
      </c>
      <c r="AVH7" s="12">
        <f>IF(AVG7&gt;0,MAX(1,ROUND(AVG7/CAC*AVD7,0)),0)</f>
        <v/>
      </c>
      <c r="AVI7" s="12">
        <f>IF(AVH7&gt;0,ROUND(AVH7*ReferralMix/(1-ReferralMix),0),0)</f>
        <v/>
      </c>
      <c r="AVJ7" s="12">
        <f>AVH7+AVI7</f>
        <v/>
      </c>
      <c r="AVK7" s="12">
        <f>ROUND(AVJ7*(1-AnnualMix),0)</f>
        <v/>
      </c>
      <c r="AVL7" s="12">
        <f>AVJ7-AVK7</f>
        <v/>
      </c>
      <c r="AVM7" s="12">
        <f>ROUND(AVK7*'Sens - Winter Pivot'!$B$6,0)</f>
        <v/>
      </c>
      <c r="AVN7" s="12">
        <f>ROUND(AVK7*PremiumMix,0)</f>
        <v/>
      </c>
      <c r="AVO7" s="12">
        <f>AVK7-AVM7-AVN7</f>
        <v/>
      </c>
      <c r="AVP7" s="12">
        <f>ROUND(AVL7*'Sens - Winter Pivot'!$B$6,0)</f>
        <v/>
      </c>
      <c r="AVQ7" s="12">
        <f>ROUND(AVL7*PremiumMix,0)</f>
        <v/>
      </c>
      <c r="AVR7" s="12">
        <f>AVL7-AVP7-AVQ7</f>
        <v/>
      </c>
      <c r="AVS7" s="12">
        <f>AVM7+AVM6+AVM5</f>
        <v/>
      </c>
      <c r="AVT7" s="12">
        <f>AVN7+AVN6+AVN5</f>
        <v/>
      </c>
      <c r="AVU7" s="12">
        <f>AVO7+AVO6+AVO5</f>
        <v/>
      </c>
      <c r="AVV7" s="12">
        <f>SUM(AVP$5:AVP7)</f>
        <v/>
      </c>
      <c r="AVW7" s="12">
        <f>SUM(AVQ$5:AVQ7)</f>
        <v/>
      </c>
      <c r="AVX7" s="12">
        <f>SUM(AVR$5:AVR7)</f>
        <v/>
      </c>
      <c r="AVY7" s="12">
        <f>AVS7+AVT7+AVU7+AVV7+AVW7+AVX7</f>
        <v/>
      </c>
      <c r="AVZ7" s="9">
        <f>AVS7*BlendedPriceEssMonthly*AVE7+AVT7*(BlendedPricePremMonthly+'Sens - Winter Pivot'!$B$7)*AVE7+AVU7*BlendedPriceEliteMonthly*AVE7+AVV7*BlendedPriceEssAnnual*AVE7/12+AVW7*(BlendedPricePremAnnual+'Sens - Winter Pivot'!$B$7*12)*AVE7/12+AVX7*BlendedPriceEliteAnnual*AVE7/12</f>
        <v/>
      </c>
      <c r="AWA7" s="9">
        <f>AVZ7*12</f>
        <v/>
      </c>
      <c r="AWB7" s="12">
        <f>AVS7*BlendedPriceEssMonthly*AVE7+AVT7*(BlendedPricePremMonthly+'Sens - Winter Pivot'!$B$7)*AVE7+AVU7*BlendedPriceEliteMonthly*AVE7</f>
        <v/>
      </c>
      <c r="AWC7" s="12">
        <f>AVP7*BlendedPriceEssAnnual*AVE7+AVQ7*(BlendedPricePremAnnual+'Sens - Winter Pivot'!$B$7*12)*AVE7+AVR7*BlendedPriceEliteAnnual*AVE7</f>
        <v/>
      </c>
      <c r="AWD7" s="12">
        <f>0+0+0</f>
        <v/>
      </c>
      <c r="AWE7" s="9">
        <f>AWB7+AWC7+AWD7</f>
        <v/>
      </c>
      <c r="AWF7" s="12">
        <f>SUM(AWE$5:AWE7)</f>
        <v/>
      </c>
      <c r="AWG7" s="12">
        <f>OR(AWG6,IF(VATAgentMode,SUM($AWE$5:$AWE7)-SUM($AWL$5:$AWL7)&gt;=VATThreshold,SUM($AWE$5:$AWE7)&gt;=VATThreshold))</f>
        <v/>
      </c>
      <c r="AWH7" s="9">
        <f>IF(AWG7,IF(VATAgentMode,AWE7-((AWE7-AWL7)-(AWE7-AWL7)/(1+VATRate)),AWE7/(1+VATRate)),AWE7)</f>
        <v/>
      </c>
      <c r="AWI7" s="12">
        <f>AWE7-AWH7</f>
        <v/>
      </c>
      <c r="AWJ7" s="12">
        <f>IF(AWG7=0,0,IF(AVB7=1,SUMPRODUCT(--(($AVC$5:$AVC7=$AVC7-1)*($AVB$5:$AVB7&gt;=10)*($AVB$5:$AVB7&lt;=12)),$AWI$5:$AWI7),IF(AVB7=4,SUMPRODUCT(--(($AVC$5:$AVC7=$AVC7)*($AVB$5:$AVB7&gt;=1)*($AVB$5:$AVB7&lt;=3)),$AWI$5:$AWI7),IF(AVB7=7,SUMPRODUCT(--(($AVC$5:$AVC7=$AVC7)*($AVB$5:$AVB7&gt;=4)*($AVB$5:$AVB7&lt;=6)),$AWI$5:$AWI7),IF(AVB7=10,SUMPRODUCT(--(($AVC$5:$AVC7=$AVC7)*($AVB$5:$AVB7&gt;=7)*($AVB$5:$AVB7&lt;=9)),$AWI$5:$AWI7),0)))))</f>
        <v/>
      </c>
      <c r="AWK7" s="12">
        <f>AWK6+AWI7-AWJ7</f>
        <v/>
      </c>
      <c r="AWL7" s="12">
        <f>IF(ProviderDelay&gt;=1,AVS6*BlendedProvPayEss+AVT6*BlendedProvPayPrem+AVU6*BlendedProvPayElite+AVV6*BlendedProvPayEss+AVW6*BlendedProvPayPrem+AVX6*BlendedProvPayElite,AVS7*BlendedProvPayEss+AVT7*BlendedProvPayPrem+AVU7*BlendedProvPayElite+AVV7*BlendedProvPayEss+AVW7*BlendedProvPayPrem+AVX7*BlendedProvPayElite)</f>
        <v/>
      </c>
      <c r="AWM7" s="12">
        <f>AWE7*PaymentFee</f>
        <v/>
      </c>
      <c r="AWN7" s="12">
        <f>AVY7*OpsAI</f>
        <v/>
      </c>
      <c r="AWO7" s="12">
        <f>MonthlyFixed</f>
        <v/>
      </c>
      <c r="AWP7" s="12">
        <f>AVI7*ReferralReward</f>
        <v/>
      </c>
      <c r="AWQ7" s="12">
        <f>AVG7</f>
        <v/>
      </c>
      <c r="AWR7" s="9">
        <f>AWH7-AWL7-AWM7-AWN7-AWO7-AWP7-AWQ7</f>
        <v/>
      </c>
      <c r="AWS7" s="9">
        <f>AWS6+AWE7-(AWL7+AWM7+AWN7+AWO7+AWP7+AWQ7+AWJ7)</f>
        <v/>
      </c>
      <c r="AWT7" s="12">
        <f>IF(AVY7&gt;0,AVZ7/AVY7,0)</f>
        <v/>
      </c>
      <c r="AWU7" s="11">
        <f>IF(AVY6&gt;0,MAX(0,(AVY6+AVJ7-AVY7)/AVY6),0)</f>
        <v/>
      </c>
    </row>
    <row r="8">
      <c r="A8" s="12" t="n">
        <v>4</v>
      </c>
      <c r="B8" s="12">
        <f>MOD(A8-1+LaunchMonth-1,12)+1</f>
        <v/>
      </c>
      <c r="C8" s="12">
        <f>INT((A8-1+LaunchMonth-1)/12)+1</f>
        <v/>
      </c>
      <c r="D8" s="12">
        <f>VLOOKUP(B8,SeasonTable,2,FALSE)</f>
        <v/>
      </c>
      <c r="E8" s="12">
        <f>(1+InflationRate)^INT((A8-1)/12)</f>
        <v/>
      </c>
      <c r="F8" s="11">
        <f>'Sens - Scenarios'!$B$5*VLOOKUP(B8,ChurnSeasonTable,4,FALSE)</f>
        <v/>
      </c>
      <c r="G8" s="12">
        <f>MIN(MktFixed4_6,MAX(0,AS7-CashBuffer))</f>
        <v/>
      </c>
      <c r="H8" s="12">
        <f>IF(G8&gt;0,MAX(1,ROUND(G8/'Sens - Scenarios'!$B$8*D8,0)),0)</f>
        <v/>
      </c>
      <c r="I8" s="12">
        <f>IF(H8&gt;0,ROUND(H8*ReferralMix/(1-ReferralMix),0),0)</f>
        <v/>
      </c>
      <c r="J8" s="12">
        <f>H8+I8</f>
        <v/>
      </c>
      <c r="K8" s="12">
        <f>ROUND(J8*(1-'Sens - Scenarios'!$B$7),0)</f>
        <v/>
      </c>
      <c r="L8" s="12">
        <f>J8-K8</f>
        <v/>
      </c>
      <c r="M8" s="12">
        <f>ROUND(K8*EssentialMix,0)</f>
        <v/>
      </c>
      <c r="N8" s="12">
        <f>ROUND(K8*PremiumMix,0)</f>
        <v/>
      </c>
      <c r="O8" s="12">
        <f>K8-M8-N8</f>
        <v/>
      </c>
      <c r="P8" s="12">
        <f>ROUND(L8*EssentialMix,0)</f>
        <v/>
      </c>
      <c r="Q8" s="12">
        <f>ROUND(L8*PremiumMix,0)</f>
        <v/>
      </c>
      <c r="R8" s="12">
        <f>L8-P8-Q8</f>
        <v/>
      </c>
      <c r="S8" s="12">
        <f>M8+M7+M6+MAX(0,S7-M7-M6)*(1-F8)</f>
        <v/>
      </c>
      <c r="T8" s="12">
        <f>N8+N7+N6+MAX(0,T7-N7-N6)*(1-F8)</f>
        <v/>
      </c>
      <c r="U8" s="12">
        <f>O8+O7+O6+MAX(0,U7-O7-O6)*(1-F8)</f>
        <v/>
      </c>
      <c r="V8" s="12">
        <f>SUM(P$5:P8)</f>
        <v/>
      </c>
      <c r="W8" s="12">
        <f>SUM(Q$5:Q8)</f>
        <v/>
      </c>
      <c r="X8" s="12">
        <f>SUM(R$5:R8)</f>
        <v/>
      </c>
      <c r="Y8" s="12">
        <f>S8+T8+U8+V8+W8+X8</f>
        <v/>
      </c>
      <c r="Z8" s="9">
        <f>S8*BlendedPriceEssMonthly*E8+T8*BlendedPricePremMonthly*E8+U8*BlendedPriceEliteMonthly*E8+V8*BlendedPriceEssAnnual*E8/12+W8*BlendedPricePremAnnual*E8/12+X8*BlendedPriceEliteAnnual*E8/12</f>
        <v/>
      </c>
      <c r="AA8" s="9">
        <f>Z8*12</f>
        <v/>
      </c>
      <c r="AB8" s="12">
        <f>S8*BlendedPriceEssMonthly*E8+T8*BlendedPricePremMonthly*E8+U8*BlendedPriceEliteMonthly*E8</f>
        <v/>
      </c>
      <c r="AC8" s="12">
        <f>P8*BlendedPriceEssAnnual*E8+Q8*BlendedPricePremAnnual*E8+R8*BlendedPriceEliteAnnual*E8</f>
        <v/>
      </c>
      <c r="AD8" s="12">
        <f>0+0+0</f>
        <v/>
      </c>
      <c r="AE8" s="9">
        <f>AB8+AC8+AD8</f>
        <v/>
      </c>
      <c r="AF8" s="12">
        <f>SUM(AE$5:AE8)</f>
        <v/>
      </c>
      <c r="AG8" s="12">
        <f>OR(AG7,IF(VATAgentMode,SUM($AE$5:$AE8)-SUM($AL$5:$AL8)&gt;=VATThreshold,SUM($AE$5:$AE8)&gt;=VATThreshold))</f>
        <v/>
      </c>
      <c r="AH8" s="9">
        <f>IF(AG8,IF(VATAgentMode,AE8-((AE8-AL8)-(AE8-AL8)/(1+VATRate)),AE8/(1+VATRate)),AE8)</f>
        <v/>
      </c>
      <c r="AI8" s="12">
        <f>AE8-AH8</f>
        <v/>
      </c>
      <c r="AJ8" s="12">
        <f>IF(AG8=0,0,IF(B8=1,SUMPRODUCT(--(($C$5:$C8=$C8-1)*($B$5:$B8&gt;=10)*($B$5:$B8&lt;=12)),$AI$5:$AI8),IF(B8=4,SUMPRODUCT(--(($C$5:$C8=$C8)*($B$5:$B8&gt;=1)*($B$5:$B8&lt;=3)),$AI$5:$AI8),IF(B8=7,SUMPRODUCT(--(($C$5:$C8=$C8)*($B$5:$B8&gt;=4)*($B$5:$B8&lt;=6)),$AI$5:$AI8),IF(B8=10,SUMPRODUCT(--(($C$5:$C8=$C8)*($B$5:$B8&gt;=7)*($B$5:$B8&lt;=9)),$AI$5:$AI8),0)))))</f>
        <v/>
      </c>
      <c r="AK8" s="12">
        <f>AK7+AI8-AJ8</f>
        <v/>
      </c>
      <c r="AL8" s="12">
        <f>IF(ProviderDelay&gt;=1,S7*BlendedProvPayEss+T7*BlendedProvPayPrem+U7*BlendedProvPayElite+V7*BlendedProvPayEss+W7*BlendedProvPayPrem+X7*BlendedProvPayElite,S8*BlendedProvPayEss+T8*BlendedProvPayPrem+U8*BlendedProvPayElite+V8*BlendedProvPayEss+W8*BlendedProvPayPrem+X8*BlendedProvPayElite)</f>
        <v/>
      </c>
      <c r="AM8" s="12">
        <f>AE8*PaymentFee</f>
        <v/>
      </c>
      <c r="AN8" s="12">
        <f>Y8*OpsAI</f>
        <v/>
      </c>
      <c r="AO8" s="12">
        <f>MonthlyFixed</f>
        <v/>
      </c>
      <c r="AP8" s="12">
        <f>I8*ReferralReward</f>
        <v/>
      </c>
      <c r="AQ8" s="12">
        <f>G8</f>
        <v/>
      </c>
      <c r="AR8" s="9">
        <f>AH8-AL8-AM8-AN8-AO8-AP8-AQ8</f>
        <v/>
      </c>
      <c r="AS8" s="9">
        <f>AS7+AE8-(AL8+AM8+AN8+AO8+AP8+AQ8+AJ8)</f>
        <v/>
      </c>
      <c r="AT8" s="12">
        <f>IF(Y8&gt;0,Z8/Y8,0)</f>
        <v/>
      </c>
      <c r="AU8" s="11">
        <f>IF(Y7&gt;0,MAX(0,(Y7+J8-Y8)/Y7),0)</f>
        <v/>
      </c>
      <c r="AW8" s="12" t="n">
        <v>4</v>
      </c>
      <c r="AX8" s="12">
        <f>MOD(AW8-1+LaunchMonth-1,12)+1</f>
        <v/>
      </c>
      <c r="AY8" s="12">
        <f>INT((AW8-1+LaunchMonth-1)/12)+1</f>
        <v/>
      </c>
      <c r="AZ8" s="12">
        <f>VLOOKUP(AX8,SeasonTable,2,FALSE)</f>
        <v/>
      </c>
      <c r="BA8" s="12">
        <f>(1+InflationRate)^INT((AW8-1)/12)</f>
        <v/>
      </c>
      <c r="BB8" s="11">
        <f>MonthlyChurn*VLOOKUP(AX8,ChurnSeasonTable,4,FALSE)</f>
        <v/>
      </c>
      <c r="BC8" s="12">
        <f>MIN(MktFixed4_6,MAX(0,CO7-CashBuffer))</f>
        <v/>
      </c>
      <c r="BD8" s="12">
        <f>IF(BC8&gt;0,MAX(1,ROUND(BC8/CAC*AZ8,0)),0)</f>
        <v/>
      </c>
      <c r="BE8" s="12">
        <f>IF(BD8&gt;0,ROUND(BD8*ReferralMix/(1-ReferralMix),0),0)</f>
        <v/>
      </c>
      <c r="BF8" s="12">
        <f>BD8+BE8</f>
        <v/>
      </c>
      <c r="BG8" s="12">
        <f>ROUND(BF8*(1-AnnualMix),0)</f>
        <v/>
      </c>
      <c r="BH8" s="12">
        <f>BF8-BG8</f>
        <v/>
      </c>
      <c r="BI8" s="12">
        <f>ROUND(BG8*EssentialMix,0)</f>
        <v/>
      </c>
      <c r="BJ8" s="12">
        <f>ROUND(BG8*PremiumMix,0)</f>
        <v/>
      </c>
      <c r="BK8" s="12">
        <f>BG8-BI8-BJ8</f>
        <v/>
      </c>
      <c r="BL8" s="12">
        <f>ROUND(BH8*EssentialMix,0)</f>
        <v/>
      </c>
      <c r="BM8" s="12">
        <f>ROUND(BH8*PremiumMix,0)</f>
        <v/>
      </c>
      <c r="BN8" s="12">
        <f>BH8-BL8-BM8</f>
        <v/>
      </c>
      <c r="BO8" s="12">
        <f>BI8+BI7+BI6+MAX(0,BO7-BI7-BI6)*(1-BB8)</f>
        <v/>
      </c>
      <c r="BP8" s="12">
        <f>BJ8+BJ7+BJ6+MAX(0,BP7-BJ7-BJ6)*(1-BB8)</f>
        <v/>
      </c>
      <c r="BQ8" s="12">
        <f>BK8+BK7+BK6+MAX(0,BQ7-BK7-BK6)*(1-BB8)</f>
        <v/>
      </c>
      <c r="BR8" s="12">
        <f>SUM(BL$5:BL8)</f>
        <v/>
      </c>
      <c r="BS8" s="12">
        <f>SUM(BM$5:BM8)</f>
        <v/>
      </c>
      <c r="BT8" s="12">
        <f>SUM(BN$5:BN8)</f>
        <v/>
      </c>
      <c r="BU8" s="12">
        <f>BO8+BP8+BQ8+BR8+BS8+BT8</f>
        <v/>
      </c>
      <c r="BV8" s="9">
        <f>BO8*BlendedPriceEssMonthly*BA8+BP8*BlendedPricePremMonthly*BA8+BQ8*BlendedPriceEliteMonthly*BA8+BR8*BlendedPriceEssAnnual*BA8/12+BS8*BlendedPricePremAnnual*BA8/12+BT8*BlendedPriceEliteAnnual*BA8/12</f>
        <v/>
      </c>
      <c r="BW8" s="9">
        <f>BV8*12</f>
        <v/>
      </c>
      <c r="BX8" s="12">
        <f>BO8*BlendedPriceEssMonthly*BA8+BP8*BlendedPricePremMonthly*BA8+BQ8*BlendedPriceEliteMonthly*BA8</f>
        <v/>
      </c>
      <c r="BY8" s="12">
        <f>BL8*BlendedPriceEssAnnual*BA8+BM8*BlendedPricePremAnnual*BA8+BN8*BlendedPriceEliteAnnual*BA8</f>
        <v/>
      </c>
      <c r="BZ8" s="12">
        <f>0+0+0</f>
        <v/>
      </c>
      <c r="CA8" s="9">
        <f>BX8+BY8+BZ8</f>
        <v/>
      </c>
      <c r="CB8" s="12">
        <f>SUM(CA$5:CA8)</f>
        <v/>
      </c>
      <c r="CC8" s="12">
        <f>OR(CC7,IF(VATAgentMode,SUM($CA$5:$CA8)-SUM($CH$5:$CH8)&gt;=VATThreshold,SUM($CA$5:$CA8)&gt;=VATThreshold))</f>
        <v/>
      </c>
      <c r="CD8" s="9">
        <f>IF(CC8,IF(VATAgentMode,CA8-((CA8-CH8)-(CA8-CH8)/(1+VATRate)),CA8/(1+VATRate)),CA8)</f>
        <v/>
      </c>
      <c r="CE8" s="12">
        <f>CA8-CD8</f>
        <v/>
      </c>
      <c r="CF8" s="12">
        <f>IF(CC8=0,0,IF(AX8=1,SUMPRODUCT(--(($AY$5:$AY8=$AY8-1)*($AX$5:$AX8&gt;=10)*($AX$5:$AX8&lt;=12)),$CE$5:$CE8),IF(AX8=4,SUMPRODUCT(--(($AY$5:$AY8=$AY8)*($AX$5:$AX8&gt;=1)*($AX$5:$AX8&lt;=3)),$CE$5:$CE8),IF(AX8=7,SUMPRODUCT(--(($AY$5:$AY8=$AY8)*($AX$5:$AX8&gt;=4)*($AX$5:$AX8&lt;=6)),$CE$5:$CE8),IF(AX8=10,SUMPRODUCT(--(($AY$5:$AY8=$AY8)*($AX$5:$AX8&gt;=7)*($AX$5:$AX8&lt;=9)),$CE$5:$CE8),0)))))</f>
        <v/>
      </c>
      <c r="CG8" s="12">
        <f>CG7+CE8-CF8</f>
        <v/>
      </c>
      <c r="CH8" s="12">
        <f>IF(ProviderDelay&gt;=1,BO7*BlendedProvPayEss+BP7*BlendedProvPayPrem+BQ7*BlendedProvPayElite+BR7*BlendedProvPayEss+BS7*BlendedProvPayPrem+BT7*BlendedProvPayElite,BO8*BlendedProvPayEss+BP8*BlendedProvPayPrem+BQ8*BlendedProvPayElite+BR8*BlendedProvPayEss+BS8*BlendedProvPayPrem+BT8*BlendedProvPayElite)</f>
        <v/>
      </c>
      <c r="CI8" s="12">
        <f>CA8*PaymentFee</f>
        <v/>
      </c>
      <c r="CJ8" s="12">
        <f>BU8*OpsAI</f>
        <v/>
      </c>
      <c r="CK8" s="12">
        <f>MonthlyFixed</f>
        <v/>
      </c>
      <c r="CL8" s="12">
        <f>BE8*ReferralReward</f>
        <v/>
      </c>
      <c r="CM8" s="12">
        <f>BC8</f>
        <v/>
      </c>
      <c r="CN8" s="9">
        <f>CD8-CH8-CI8-CJ8-CK8-CL8-CM8</f>
        <v/>
      </c>
      <c r="CO8" s="9">
        <f>CO7+CA8-(CH8+CI8+CJ8+CK8+CL8+CM8+CF8)</f>
        <v/>
      </c>
      <c r="CP8" s="12">
        <f>IF(BU8&gt;0,BV8/BU8,0)</f>
        <v/>
      </c>
      <c r="CQ8" s="11">
        <f>IF(BU7&gt;0,MAX(0,(BU7+BF8-BU8)/BU7),0)</f>
        <v/>
      </c>
      <c r="CS8" s="12" t="n">
        <v>4</v>
      </c>
      <c r="CT8" s="12">
        <f>MOD(CS8-1+LaunchMonth-1,12)+1</f>
        <v/>
      </c>
      <c r="CU8" s="12">
        <f>INT((CS8-1+LaunchMonth-1)/12)+1</f>
        <v/>
      </c>
      <c r="CV8" s="12">
        <f>VLOOKUP(CT8,SeasonTable,2,FALSE)</f>
        <v/>
      </c>
      <c r="CW8" s="12">
        <f>(1+InflationRate)^INT((CS8-1)/12)</f>
        <v/>
      </c>
      <c r="CX8" s="11">
        <f>'Sens - Scenarios'!$D$5*VLOOKUP(CT8,ChurnSeasonTable,4,FALSE)</f>
        <v/>
      </c>
      <c r="CY8" s="12">
        <f>MIN(MktFixed4_6,MAX(0,EK7-CashBuffer))</f>
        <v/>
      </c>
      <c r="CZ8" s="12">
        <f>IF(CY8&gt;0,MAX(1,ROUND(CY8/'Sens - Scenarios'!$D$8*CV8,0)),0)</f>
        <v/>
      </c>
      <c r="DA8" s="12">
        <f>IF(CZ8&gt;0,ROUND(CZ8*ReferralMix/(1-ReferralMix),0),0)</f>
        <v/>
      </c>
      <c r="DB8" s="12">
        <f>CZ8+DA8</f>
        <v/>
      </c>
      <c r="DC8" s="12">
        <f>ROUND(DB8*(1-'Sens - Scenarios'!$D$7),0)</f>
        <v/>
      </c>
      <c r="DD8" s="12">
        <f>DB8-DC8</f>
        <v/>
      </c>
      <c r="DE8" s="12">
        <f>ROUND(DC8*EssentialMix,0)</f>
        <v/>
      </c>
      <c r="DF8" s="12">
        <f>ROUND(DC8*PremiumMix,0)</f>
        <v/>
      </c>
      <c r="DG8" s="12">
        <f>DC8-DE8-DF8</f>
        <v/>
      </c>
      <c r="DH8" s="12">
        <f>ROUND(DD8*EssentialMix,0)</f>
        <v/>
      </c>
      <c r="DI8" s="12">
        <f>ROUND(DD8*PremiumMix,0)</f>
        <v/>
      </c>
      <c r="DJ8" s="12">
        <f>DD8-DH8-DI8</f>
        <v/>
      </c>
      <c r="DK8" s="12">
        <f>DE8+DE7+DE6+MAX(0,DK7-DE7-DE6)*(1-CX8)</f>
        <v/>
      </c>
      <c r="DL8" s="12">
        <f>DF8+DF7+DF6+MAX(0,DL7-DF7-DF6)*(1-CX8)</f>
        <v/>
      </c>
      <c r="DM8" s="12">
        <f>DG8+DG7+DG6+MAX(0,DM7-DG7-DG6)*(1-CX8)</f>
        <v/>
      </c>
      <c r="DN8" s="12">
        <f>SUM(DH$5:DH8)</f>
        <v/>
      </c>
      <c r="DO8" s="12">
        <f>SUM(DI$5:DI8)</f>
        <v/>
      </c>
      <c r="DP8" s="12">
        <f>SUM(DJ$5:DJ8)</f>
        <v/>
      </c>
      <c r="DQ8" s="12">
        <f>DK8+DL8+DM8+DN8+DO8+DP8</f>
        <v/>
      </c>
      <c r="DR8" s="9">
        <f>DK8*BlendedPriceEssMonthly*CW8+DL8*BlendedPricePremMonthly*CW8+DM8*BlendedPriceEliteMonthly*CW8+DN8*BlendedPriceEssAnnual*CW8/12+DO8*BlendedPricePremAnnual*CW8/12+DP8*BlendedPriceEliteAnnual*CW8/12</f>
        <v/>
      </c>
      <c r="DS8" s="9">
        <f>DR8*12</f>
        <v/>
      </c>
      <c r="DT8" s="12">
        <f>DK8*BlendedPriceEssMonthly*CW8+DL8*BlendedPricePremMonthly*CW8+DM8*BlendedPriceEliteMonthly*CW8</f>
        <v/>
      </c>
      <c r="DU8" s="12">
        <f>DH8*BlendedPriceEssAnnual*CW8+DI8*BlendedPricePremAnnual*CW8+DJ8*BlendedPriceEliteAnnual*CW8</f>
        <v/>
      </c>
      <c r="DV8" s="12">
        <f>0+0+0</f>
        <v/>
      </c>
      <c r="DW8" s="9">
        <f>DT8+DU8+DV8</f>
        <v/>
      </c>
      <c r="DX8" s="12">
        <f>SUM(DW$5:DW8)</f>
        <v/>
      </c>
      <c r="DY8" s="12">
        <f>OR(DY7,IF(VATAgentMode,SUM($DW$5:$DW8)-SUM($ED$5:$ED8)&gt;=VATThreshold,SUM($DW$5:$DW8)&gt;=VATThreshold))</f>
        <v/>
      </c>
      <c r="DZ8" s="9">
        <f>IF(DY8,IF(VATAgentMode,DW8-((DW8-ED8)-(DW8-ED8)/(1+VATRate)),DW8/(1+VATRate)),DW8)</f>
        <v/>
      </c>
      <c r="EA8" s="12">
        <f>DW8-DZ8</f>
        <v/>
      </c>
      <c r="EB8" s="12">
        <f>IF(DY8=0,0,IF(CT8=1,SUMPRODUCT(--(($CU$5:$CU8=$CU8-1)*($CT$5:$CT8&gt;=10)*($CT$5:$CT8&lt;=12)),$EA$5:$EA8),IF(CT8=4,SUMPRODUCT(--(($CU$5:$CU8=$CU8)*($CT$5:$CT8&gt;=1)*($CT$5:$CT8&lt;=3)),$EA$5:$EA8),IF(CT8=7,SUMPRODUCT(--(($CU$5:$CU8=$CU8)*($CT$5:$CT8&gt;=4)*($CT$5:$CT8&lt;=6)),$EA$5:$EA8),IF(CT8=10,SUMPRODUCT(--(($CU$5:$CU8=$CU8)*($CT$5:$CT8&gt;=7)*($CT$5:$CT8&lt;=9)),$EA$5:$EA8),0)))))</f>
        <v/>
      </c>
      <c r="EC8" s="12">
        <f>EC7+EA8-EB8</f>
        <v/>
      </c>
      <c r="ED8" s="12">
        <f>IF(ProviderDelay&gt;=1,DK7*BlendedProvPayEss+DL7*BlendedProvPayPrem+DM7*BlendedProvPayElite+DN7*BlendedProvPayEss+DO7*BlendedProvPayPrem+DP7*BlendedProvPayElite,DK8*BlendedProvPayEss+DL8*BlendedProvPayPrem+DM8*BlendedProvPayElite+DN8*BlendedProvPayEss+DO8*BlendedProvPayPrem+DP8*BlendedProvPayElite)</f>
        <v/>
      </c>
      <c r="EE8" s="12">
        <f>DW8*PaymentFee</f>
        <v/>
      </c>
      <c r="EF8" s="12">
        <f>DQ8*OpsAI</f>
        <v/>
      </c>
      <c r="EG8" s="12">
        <f>MonthlyFixed</f>
        <v/>
      </c>
      <c r="EH8" s="12">
        <f>DA8*ReferralReward</f>
        <v/>
      </c>
      <c r="EI8" s="12">
        <f>CY8</f>
        <v/>
      </c>
      <c r="EJ8" s="9">
        <f>DZ8-ED8-EE8-EF8-EG8-EH8-EI8</f>
        <v/>
      </c>
      <c r="EK8" s="9">
        <f>EK7+DW8-(ED8+EE8+EF8+EG8+EH8+EI8+EB8)</f>
        <v/>
      </c>
      <c r="EL8" s="12">
        <f>IF(DQ8&gt;0,DR8/DQ8,0)</f>
        <v/>
      </c>
      <c r="EM8" s="11">
        <f>IF(DQ7&gt;0,MAX(0,(DQ7+DB8-DQ8)/DQ7),0)</f>
        <v/>
      </c>
      <c r="EO8" s="12" t="n">
        <v>4</v>
      </c>
      <c r="EP8" s="12">
        <f>MOD(EO8-1+LaunchMonth-1,12)+1</f>
        <v/>
      </c>
      <c r="EQ8" s="12">
        <f>INT((EO8-1+LaunchMonth-1)/12)+1</f>
        <v/>
      </c>
      <c r="ER8" s="12">
        <f>VLOOKUP(EP8,SeasonTable,2,FALSE)</f>
        <v/>
      </c>
      <c r="ES8" s="12">
        <f>(1+InflationRate)^INT((EO8-1)/12)</f>
        <v/>
      </c>
      <c r="ET8" s="11">
        <f>'Sens - Churn'!$A$13*VLOOKUP(EP8,ChurnSeasonTable,4,FALSE)</f>
        <v/>
      </c>
      <c r="EU8" s="12">
        <f>MIN(MktFixed4_6,MAX(0,GG7-CashBuffer))</f>
        <v/>
      </c>
      <c r="EV8" s="12">
        <f>IF(EU8&gt;0,MAX(1,ROUND(EU8/CAC*ER8,0)),0)</f>
        <v/>
      </c>
      <c r="EW8" s="12">
        <f>IF(EV8&gt;0,ROUND(EV8*ReferralMix/(1-ReferralMix),0),0)</f>
        <v/>
      </c>
      <c r="EX8" s="12">
        <f>EV8+EW8</f>
        <v/>
      </c>
      <c r="EY8" s="12">
        <f>ROUND(EX8*(1-AnnualMix),0)</f>
        <v/>
      </c>
      <c r="EZ8" s="12">
        <f>EX8-EY8</f>
        <v/>
      </c>
      <c r="FA8" s="12">
        <f>ROUND(EY8*EssentialMix,0)</f>
        <v/>
      </c>
      <c r="FB8" s="12">
        <f>ROUND(EY8*PremiumMix,0)</f>
        <v/>
      </c>
      <c r="FC8" s="12">
        <f>EY8-FA8-FB8</f>
        <v/>
      </c>
      <c r="FD8" s="12">
        <f>ROUND(EZ8*EssentialMix,0)</f>
        <v/>
      </c>
      <c r="FE8" s="12">
        <f>ROUND(EZ8*PremiumMix,0)</f>
        <v/>
      </c>
      <c r="FF8" s="12">
        <f>EZ8-FD8-FE8</f>
        <v/>
      </c>
      <c r="FG8" s="12">
        <f>FA8+FA7+FA6+MAX(0,FG7-FA7-FA6)*(1-ET8)</f>
        <v/>
      </c>
      <c r="FH8" s="12">
        <f>FB8+FB7+FB6+MAX(0,FH7-FB7-FB6)*(1-ET8)</f>
        <v/>
      </c>
      <c r="FI8" s="12">
        <f>FC8+FC7+FC6+MAX(0,FI7-FC7-FC6)*(1-ET8)</f>
        <v/>
      </c>
      <c r="FJ8" s="12">
        <f>SUM(FD$5:FD8)</f>
        <v/>
      </c>
      <c r="FK8" s="12">
        <f>SUM(FE$5:FE8)</f>
        <v/>
      </c>
      <c r="FL8" s="12">
        <f>SUM(FF$5:FF8)</f>
        <v/>
      </c>
      <c r="FM8" s="12">
        <f>FG8+FH8+FI8+FJ8+FK8+FL8</f>
        <v/>
      </c>
      <c r="FN8" s="9">
        <f>FG8*BlendedPriceEssMonthly*ES8+FH8*BlendedPricePremMonthly*ES8+FI8*BlendedPriceEliteMonthly*ES8+FJ8*BlendedPriceEssAnnual*ES8/12+FK8*BlendedPricePremAnnual*ES8/12+FL8*BlendedPriceEliteAnnual*ES8/12</f>
        <v/>
      </c>
      <c r="FO8" s="9">
        <f>FN8*12</f>
        <v/>
      </c>
      <c r="FP8" s="12">
        <f>FG8*BlendedPriceEssMonthly*ES8+FH8*BlendedPricePremMonthly*ES8+FI8*BlendedPriceEliteMonthly*ES8</f>
        <v/>
      </c>
      <c r="FQ8" s="12">
        <f>FD8*BlendedPriceEssAnnual*ES8+FE8*BlendedPricePremAnnual*ES8+FF8*BlendedPriceEliteAnnual*ES8</f>
        <v/>
      </c>
      <c r="FR8" s="12">
        <f>0+0+0</f>
        <v/>
      </c>
      <c r="FS8" s="9">
        <f>FP8+FQ8+FR8</f>
        <v/>
      </c>
      <c r="FT8" s="12">
        <f>SUM(FS$5:FS8)</f>
        <v/>
      </c>
      <c r="FU8" s="12">
        <f>OR(FU7,IF(VATAgentMode,SUM($FS$5:$FS8)-SUM($FZ$5:$FZ8)&gt;=VATThreshold,SUM($FS$5:$FS8)&gt;=VATThreshold))</f>
        <v/>
      </c>
      <c r="FV8" s="9">
        <f>IF(FU8,IF(VATAgentMode,FS8-((FS8-FZ8)-(FS8-FZ8)/(1+VATRate)),FS8/(1+VATRate)),FS8)</f>
        <v/>
      </c>
      <c r="FW8" s="12">
        <f>FS8-FV8</f>
        <v/>
      </c>
      <c r="FX8" s="12">
        <f>IF(FU8=0,0,IF(EP8=1,SUMPRODUCT(--(($EQ$5:$EQ8=$EQ8-1)*($EP$5:$EP8&gt;=10)*($EP$5:$EP8&lt;=12)),$FW$5:$FW8),IF(EP8=4,SUMPRODUCT(--(($EQ$5:$EQ8=$EQ8)*($EP$5:$EP8&gt;=1)*($EP$5:$EP8&lt;=3)),$FW$5:$FW8),IF(EP8=7,SUMPRODUCT(--(($EQ$5:$EQ8=$EQ8)*($EP$5:$EP8&gt;=4)*($EP$5:$EP8&lt;=6)),$FW$5:$FW8),IF(EP8=10,SUMPRODUCT(--(($EQ$5:$EQ8=$EQ8)*($EP$5:$EP8&gt;=7)*($EP$5:$EP8&lt;=9)),$FW$5:$FW8),0)))))</f>
        <v/>
      </c>
      <c r="FY8" s="12">
        <f>FY7+FW8-FX8</f>
        <v/>
      </c>
      <c r="FZ8" s="12">
        <f>IF(ProviderDelay&gt;=1,FG7*BlendedProvPayEss+FH7*BlendedProvPayPrem+FI7*BlendedProvPayElite+FJ7*BlendedProvPayEss+FK7*BlendedProvPayPrem+FL7*BlendedProvPayElite,FG8*BlendedProvPayEss+FH8*BlendedProvPayPrem+FI8*BlendedProvPayElite+FJ8*BlendedProvPayEss+FK8*BlendedProvPayPrem+FL8*BlendedProvPayElite)</f>
        <v/>
      </c>
      <c r="GA8" s="12">
        <f>FS8*PaymentFee</f>
        <v/>
      </c>
      <c r="GB8" s="12">
        <f>FM8*OpsAI</f>
        <v/>
      </c>
      <c r="GC8" s="12">
        <f>MonthlyFixed</f>
        <v/>
      </c>
      <c r="GD8" s="12">
        <f>EW8*ReferralReward</f>
        <v/>
      </c>
      <c r="GE8" s="12">
        <f>EU8</f>
        <v/>
      </c>
      <c r="GF8" s="9">
        <f>FV8-FZ8-GA8-GB8-GC8-GD8-GE8</f>
        <v/>
      </c>
      <c r="GG8" s="9">
        <f>GG7+FS8-(FZ8+GA8+GB8+GC8+GD8+GE8+FX8)</f>
        <v/>
      </c>
      <c r="GH8" s="12">
        <f>IF(FM8&gt;0,FN8/FM8,0)</f>
        <v/>
      </c>
      <c r="GI8" s="11">
        <f>IF(FM7&gt;0,MAX(0,(FM7+EX8-FM8)/FM7),0)</f>
        <v/>
      </c>
      <c r="GK8" s="12" t="n">
        <v>4</v>
      </c>
      <c r="GL8" s="12">
        <f>MOD(GK8-1+LaunchMonth-1,12)+1</f>
        <v/>
      </c>
      <c r="GM8" s="12">
        <f>INT((GK8-1+LaunchMonth-1)/12)+1</f>
        <v/>
      </c>
      <c r="GN8" s="12">
        <f>VLOOKUP(GL8,SeasonTable,2,FALSE)</f>
        <v/>
      </c>
      <c r="GO8" s="12">
        <f>(1+InflationRate)^INT((GK8-1)/12)</f>
        <v/>
      </c>
      <c r="GP8" s="11">
        <f>'Sens - Churn'!$A$14*VLOOKUP(GL8,ChurnSeasonTable,4,FALSE)</f>
        <v/>
      </c>
      <c r="GQ8" s="12">
        <f>MIN(MktFixed4_6,MAX(0,IC7-CashBuffer))</f>
        <v/>
      </c>
      <c r="GR8" s="12">
        <f>IF(GQ8&gt;0,MAX(1,ROUND(GQ8/CAC*GN8,0)),0)</f>
        <v/>
      </c>
      <c r="GS8" s="12">
        <f>IF(GR8&gt;0,ROUND(GR8*ReferralMix/(1-ReferralMix),0),0)</f>
        <v/>
      </c>
      <c r="GT8" s="12">
        <f>GR8+GS8</f>
        <v/>
      </c>
      <c r="GU8" s="12">
        <f>ROUND(GT8*(1-AnnualMix),0)</f>
        <v/>
      </c>
      <c r="GV8" s="12">
        <f>GT8-GU8</f>
        <v/>
      </c>
      <c r="GW8" s="12">
        <f>ROUND(GU8*EssentialMix,0)</f>
        <v/>
      </c>
      <c r="GX8" s="12">
        <f>ROUND(GU8*PremiumMix,0)</f>
        <v/>
      </c>
      <c r="GY8" s="12">
        <f>GU8-GW8-GX8</f>
        <v/>
      </c>
      <c r="GZ8" s="12">
        <f>ROUND(GV8*EssentialMix,0)</f>
        <v/>
      </c>
      <c r="HA8" s="12">
        <f>ROUND(GV8*PremiumMix,0)</f>
        <v/>
      </c>
      <c r="HB8" s="12">
        <f>GV8-GZ8-HA8</f>
        <v/>
      </c>
      <c r="HC8" s="12">
        <f>GW8+GW7+GW6+MAX(0,HC7-GW7-GW6)*(1-GP8)</f>
        <v/>
      </c>
      <c r="HD8" s="12">
        <f>GX8+GX7+GX6+MAX(0,HD7-GX7-GX6)*(1-GP8)</f>
        <v/>
      </c>
      <c r="HE8" s="12">
        <f>GY8+GY7+GY6+MAX(0,HE7-GY7-GY6)*(1-GP8)</f>
        <v/>
      </c>
      <c r="HF8" s="12">
        <f>SUM(GZ$5:GZ8)</f>
        <v/>
      </c>
      <c r="HG8" s="12">
        <f>SUM(HA$5:HA8)</f>
        <v/>
      </c>
      <c r="HH8" s="12">
        <f>SUM(HB$5:HB8)</f>
        <v/>
      </c>
      <c r="HI8" s="12">
        <f>HC8+HD8+HE8+HF8+HG8+HH8</f>
        <v/>
      </c>
      <c r="HJ8" s="9">
        <f>HC8*BlendedPriceEssMonthly*GO8+HD8*BlendedPricePremMonthly*GO8+HE8*BlendedPriceEliteMonthly*GO8+HF8*BlendedPriceEssAnnual*GO8/12+HG8*BlendedPricePremAnnual*GO8/12+HH8*BlendedPriceEliteAnnual*GO8/12</f>
        <v/>
      </c>
      <c r="HK8" s="9">
        <f>HJ8*12</f>
        <v/>
      </c>
      <c r="HL8" s="12">
        <f>HC8*BlendedPriceEssMonthly*GO8+HD8*BlendedPricePremMonthly*GO8+HE8*BlendedPriceEliteMonthly*GO8</f>
        <v/>
      </c>
      <c r="HM8" s="12">
        <f>GZ8*BlendedPriceEssAnnual*GO8+HA8*BlendedPricePremAnnual*GO8+HB8*BlendedPriceEliteAnnual*GO8</f>
        <v/>
      </c>
      <c r="HN8" s="12">
        <f>0+0+0</f>
        <v/>
      </c>
      <c r="HO8" s="9">
        <f>HL8+HM8+HN8</f>
        <v/>
      </c>
      <c r="HP8" s="12">
        <f>SUM(HO$5:HO8)</f>
        <v/>
      </c>
      <c r="HQ8" s="12">
        <f>OR(HQ7,IF(VATAgentMode,SUM($HO$5:$HO8)-SUM($HV$5:$HV8)&gt;=VATThreshold,SUM($HO$5:$HO8)&gt;=VATThreshold))</f>
        <v/>
      </c>
      <c r="HR8" s="9">
        <f>IF(HQ8,IF(VATAgentMode,HO8-((HO8-HV8)-(HO8-HV8)/(1+VATRate)),HO8/(1+VATRate)),HO8)</f>
        <v/>
      </c>
      <c r="HS8" s="12">
        <f>HO8-HR8</f>
        <v/>
      </c>
      <c r="HT8" s="12">
        <f>IF(HQ8=0,0,IF(GL8=1,SUMPRODUCT(--(($GM$5:$GM8=$GM8-1)*($GL$5:$GL8&gt;=10)*($GL$5:$GL8&lt;=12)),$HS$5:$HS8),IF(GL8=4,SUMPRODUCT(--(($GM$5:$GM8=$GM8)*($GL$5:$GL8&gt;=1)*($GL$5:$GL8&lt;=3)),$HS$5:$HS8),IF(GL8=7,SUMPRODUCT(--(($GM$5:$GM8=$GM8)*($GL$5:$GL8&gt;=4)*($GL$5:$GL8&lt;=6)),$HS$5:$HS8),IF(GL8=10,SUMPRODUCT(--(($GM$5:$GM8=$GM8)*($GL$5:$GL8&gt;=7)*($GL$5:$GL8&lt;=9)),$HS$5:$HS8),0)))))</f>
        <v/>
      </c>
      <c r="HU8" s="12">
        <f>HU7+HS8-HT8</f>
        <v/>
      </c>
      <c r="HV8" s="12">
        <f>IF(ProviderDelay&gt;=1,HC7*BlendedProvPayEss+HD7*BlendedProvPayPrem+HE7*BlendedProvPayElite+HF7*BlendedProvPayEss+HG7*BlendedProvPayPrem+HH7*BlendedProvPayElite,HC8*BlendedProvPayEss+HD8*BlendedProvPayPrem+HE8*BlendedProvPayElite+HF8*BlendedProvPayEss+HG8*BlendedProvPayPrem+HH8*BlendedProvPayElite)</f>
        <v/>
      </c>
      <c r="HW8" s="12">
        <f>HO8*PaymentFee</f>
        <v/>
      </c>
      <c r="HX8" s="12">
        <f>HI8*OpsAI</f>
        <v/>
      </c>
      <c r="HY8" s="12">
        <f>MonthlyFixed</f>
        <v/>
      </c>
      <c r="HZ8" s="12">
        <f>GS8*ReferralReward</f>
        <v/>
      </c>
      <c r="IA8" s="12">
        <f>GQ8</f>
        <v/>
      </c>
      <c r="IB8" s="9">
        <f>HR8-HV8-HW8-HX8-HY8-HZ8-IA8</f>
        <v/>
      </c>
      <c r="IC8" s="9">
        <f>IC7+HO8-(HV8+HW8+HX8+HY8+HZ8+IA8+HT8)</f>
        <v/>
      </c>
      <c r="ID8" s="12">
        <f>IF(HI8&gt;0,HJ8/HI8,0)</f>
        <v/>
      </c>
      <c r="IE8" s="11">
        <f>IF(HI7&gt;0,MAX(0,(HI7+GT8-HI8)/HI7),0)</f>
        <v/>
      </c>
      <c r="IG8" s="12" t="n">
        <v>4</v>
      </c>
      <c r="IH8" s="12">
        <f>MOD(IG8-1+LaunchMonth-1,12)+1</f>
        <v/>
      </c>
      <c r="II8" s="12">
        <f>INT((IG8-1+LaunchMonth-1)/12)+1</f>
        <v/>
      </c>
      <c r="IJ8" s="12">
        <f>VLOOKUP(IH8,SeasonTable,2,FALSE)</f>
        <v/>
      </c>
      <c r="IK8" s="12">
        <f>(1+InflationRate)^INT((IG8-1)/12)</f>
        <v/>
      </c>
      <c r="IL8" s="11">
        <f>'Sens - Churn'!$A$15*VLOOKUP(IH8,ChurnSeasonTable,4,FALSE)</f>
        <v/>
      </c>
      <c r="IM8" s="12">
        <f>MIN(MktFixed4_6,MAX(0,JY7-CashBuffer))</f>
        <v/>
      </c>
      <c r="IN8" s="12">
        <f>IF(IM8&gt;0,MAX(1,ROUND(IM8/CAC*IJ8,0)),0)</f>
        <v/>
      </c>
      <c r="IO8" s="12">
        <f>IF(IN8&gt;0,ROUND(IN8*ReferralMix/(1-ReferralMix),0),0)</f>
        <v/>
      </c>
      <c r="IP8" s="12">
        <f>IN8+IO8</f>
        <v/>
      </c>
      <c r="IQ8" s="12">
        <f>ROUND(IP8*(1-AnnualMix),0)</f>
        <v/>
      </c>
      <c r="IR8" s="12">
        <f>IP8-IQ8</f>
        <v/>
      </c>
      <c r="IS8" s="12">
        <f>ROUND(IQ8*EssentialMix,0)</f>
        <v/>
      </c>
      <c r="IT8" s="12">
        <f>ROUND(IQ8*PremiumMix,0)</f>
        <v/>
      </c>
      <c r="IU8" s="12">
        <f>IQ8-IS8-IT8</f>
        <v/>
      </c>
      <c r="IV8" s="12">
        <f>ROUND(IR8*EssentialMix,0)</f>
        <v/>
      </c>
      <c r="IW8" s="12">
        <f>ROUND(IR8*PremiumMix,0)</f>
        <v/>
      </c>
      <c r="IX8" s="12">
        <f>IR8-IV8-IW8</f>
        <v/>
      </c>
      <c r="IY8" s="12">
        <f>IS8+IS7+IS6+MAX(0,IY7-IS7-IS6)*(1-IL8)</f>
        <v/>
      </c>
      <c r="IZ8" s="12">
        <f>IT8+IT7+IT6+MAX(0,IZ7-IT7-IT6)*(1-IL8)</f>
        <v/>
      </c>
      <c r="JA8" s="12">
        <f>IU8+IU7+IU6+MAX(0,JA7-IU7-IU6)*(1-IL8)</f>
        <v/>
      </c>
      <c r="JB8" s="12">
        <f>SUM(IV$5:IV8)</f>
        <v/>
      </c>
      <c r="JC8" s="12">
        <f>SUM(IW$5:IW8)</f>
        <v/>
      </c>
      <c r="JD8" s="12">
        <f>SUM(IX$5:IX8)</f>
        <v/>
      </c>
      <c r="JE8" s="12">
        <f>IY8+IZ8+JA8+JB8+JC8+JD8</f>
        <v/>
      </c>
      <c r="JF8" s="9">
        <f>IY8*BlendedPriceEssMonthly*IK8+IZ8*BlendedPricePremMonthly*IK8+JA8*BlendedPriceEliteMonthly*IK8+JB8*BlendedPriceEssAnnual*IK8/12+JC8*BlendedPricePremAnnual*IK8/12+JD8*BlendedPriceEliteAnnual*IK8/12</f>
        <v/>
      </c>
      <c r="JG8" s="9">
        <f>JF8*12</f>
        <v/>
      </c>
      <c r="JH8" s="12">
        <f>IY8*BlendedPriceEssMonthly*IK8+IZ8*BlendedPricePremMonthly*IK8+JA8*BlendedPriceEliteMonthly*IK8</f>
        <v/>
      </c>
      <c r="JI8" s="12">
        <f>IV8*BlendedPriceEssAnnual*IK8+IW8*BlendedPricePremAnnual*IK8+IX8*BlendedPriceEliteAnnual*IK8</f>
        <v/>
      </c>
      <c r="JJ8" s="12">
        <f>0+0+0</f>
        <v/>
      </c>
      <c r="JK8" s="9">
        <f>JH8+JI8+JJ8</f>
        <v/>
      </c>
      <c r="JL8" s="12">
        <f>SUM(JK$5:JK8)</f>
        <v/>
      </c>
      <c r="JM8" s="12">
        <f>OR(JM7,IF(VATAgentMode,SUM($JK$5:$JK8)-SUM($JR$5:$JR8)&gt;=VATThreshold,SUM($JK$5:$JK8)&gt;=VATThreshold))</f>
        <v/>
      </c>
      <c r="JN8" s="9">
        <f>IF(JM8,IF(VATAgentMode,JK8-((JK8-JR8)-(JK8-JR8)/(1+VATRate)),JK8/(1+VATRate)),JK8)</f>
        <v/>
      </c>
      <c r="JO8" s="12">
        <f>JK8-JN8</f>
        <v/>
      </c>
      <c r="JP8" s="12">
        <f>IF(JM8=0,0,IF(IH8=1,SUMPRODUCT(--(($II$5:$II8=$II8-1)*($IH$5:$IH8&gt;=10)*($IH$5:$IH8&lt;=12)),$JO$5:$JO8),IF(IH8=4,SUMPRODUCT(--(($II$5:$II8=$II8)*($IH$5:$IH8&gt;=1)*($IH$5:$IH8&lt;=3)),$JO$5:$JO8),IF(IH8=7,SUMPRODUCT(--(($II$5:$II8=$II8)*($IH$5:$IH8&gt;=4)*($IH$5:$IH8&lt;=6)),$JO$5:$JO8),IF(IH8=10,SUMPRODUCT(--(($II$5:$II8=$II8)*($IH$5:$IH8&gt;=7)*($IH$5:$IH8&lt;=9)),$JO$5:$JO8),0)))))</f>
        <v/>
      </c>
      <c r="JQ8" s="12">
        <f>JQ7+JO8-JP8</f>
        <v/>
      </c>
      <c r="JR8" s="12">
        <f>IF(ProviderDelay&gt;=1,IY7*BlendedProvPayEss+IZ7*BlendedProvPayPrem+JA7*BlendedProvPayElite+JB7*BlendedProvPayEss+JC7*BlendedProvPayPrem+JD7*BlendedProvPayElite,IY8*BlendedProvPayEss+IZ8*BlendedProvPayPrem+JA8*BlendedProvPayElite+JB8*BlendedProvPayEss+JC8*BlendedProvPayPrem+JD8*BlendedProvPayElite)</f>
        <v/>
      </c>
      <c r="JS8" s="12">
        <f>JK8*PaymentFee</f>
        <v/>
      </c>
      <c r="JT8" s="12">
        <f>JE8*OpsAI</f>
        <v/>
      </c>
      <c r="JU8" s="12">
        <f>MonthlyFixed</f>
        <v/>
      </c>
      <c r="JV8" s="12">
        <f>IO8*ReferralReward</f>
        <v/>
      </c>
      <c r="JW8" s="12">
        <f>IM8</f>
        <v/>
      </c>
      <c r="JX8" s="9">
        <f>JN8-JR8-JS8-JT8-JU8-JV8-JW8</f>
        <v/>
      </c>
      <c r="JY8" s="9">
        <f>JY7+JK8-(JR8+JS8+JT8+JU8+JV8+JW8+JP8)</f>
        <v/>
      </c>
      <c r="JZ8" s="12">
        <f>IF(JE8&gt;0,JF8/JE8,0)</f>
        <v/>
      </c>
      <c r="KA8" s="11">
        <f>IF(JE7&gt;0,MAX(0,(JE7+IP8-JE8)/JE7),0)</f>
        <v/>
      </c>
      <c r="KC8" s="12" t="n">
        <v>4</v>
      </c>
      <c r="KD8" s="12">
        <f>MOD(KC8-1+LaunchMonth-1,12)+1</f>
        <v/>
      </c>
      <c r="KE8" s="12">
        <f>INT((KC8-1+LaunchMonth-1)/12)+1</f>
        <v/>
      </c>
      <c r="KF8" s="12">
        <f>VLOOKUP(KD8,SeasonTable,2,FALSE)</f>
        <v/>
      </c>
      <c r="KG8" s="12">
        <f>(1+InflationRate)^INT((KC8-1)/12)</f>
        <v/>
      </c>
      <c r="KH8" s="11">
        <f>'Sens - Churn'!$A$16*VLOOKUP(KD8,ChurnSeasonTable,4,FALSE)</f>
        <v/>
      </c>
      <c r="KI8" s="12">
        <f>MIN(MktFixed4_6,MAX(0,LU7-CashBuffer))</f>
        <v/>
      </c>
      <c r="KJ8" s="12">
        <f>IF(KI8&gt;0,MAX(1,ROUND(KI8/CAC*KF8,0)),0)</f>
        <v/>
      </c>
      <c r="KK8" s="12">
        <f>IF(KJ8&gt;0,ROUND(KJ8*ReferralMix/(1-ReferralMix),0),0)</f>
        <v/>
      </c>
      <c r="KL8" s="12">
        <f>KJ8+KK8</f>
        <v/>
      </c>
      <c r="KM8" s="12">
        <f>ROUND(KL8*(1-AnnualMix),0)</f>
        <v/>
      </c>
      <c r="KN8" s="12">
        <f>KL8-KM8</f>
        <v/>
      </c>
      <c r="KO8" s="12">
        <f>ROUND(KM8*EssentialMix,0)</f>
        <v/>
      </c>
      <c r="KP8" s="12">
        <f>ROUND(KM8*PremiumMix,0)</f>
        <v/>
      </c>
      <c r="KQ8" s="12">
        <f>KM8-KO8-KP8</f>
        <v/>
      </c>
      <c r="KR8" s="12">
        <f>ROUND(KN8*EssentialMix,0)</f>
        <v/>
      </c>
      <c r="KS8" s="12">
        <f>ROUND(KN8*PremiumMix,0)</f>
        <v/>
      </c>
      <c r="KT8" s="12">
        <f>KN8-KR8-KS8</f>
        <v/>
      </c>
      <c r="KU8" s="12">
        <f>KO8+KO7+KO6+MAX(0,KU7-KO7-KO6)*(1-KH8)</f>
        <v/>
      </c>
      <c r="KV8" s="12">
        <f>KP8+KP7+KP6+MAX(0,KV7-KP7-KP6)*(1-KH8)</f>
        <v/>
      </c>
      <c r="KW8" s="12">
        <f>KQ8+KQ7+KQ6+MAX(0,KW7-KQ7-KQ6)*(1-KH8)</f>
        <v/>
      </c>
      <c r="KX8" s="12">
        <f>SUM(KR$5:KR8)</f>
        <v/>
      </c>
      <c r="KY8" s="12">
        <f>SUM(KS$5:KS8)</f>
        <v/>
      </c>
      <c r="KZ8" s="12">
        <f>SUM(KT$5:KT8)</f>
        <v/>
      </c>
      <c r="LA8" s="12">
        <f>KU8+KV8+KW8+KX8+KY8+KZ8</f>
        <v/>
      </c>
      <c r="LB8" s="9">
        <f>KU8*BlendedPriceEssMonthly*KG8+KV8*BlendedPricePremMonthly*KG8+KW8*BlendedPriceEliteMonthly*KG8+KX8*BlendedPriceEssAnnual*KG8/12+KY8*BlendedPricePremAnnual*KG8/12+KZ8*BlendedPriceEliteAnnual*KG8/12</f>
        <v/>
      </c>
      <c r="LC8" s="9">
        <f>LB8*12</f>
        <v/>
      </c>
      <c r="LD8" s="12">
        <f>KU8*BlendedPriceEssMonthly*KG8+KV8*BlendedPricePremMonthly*KG8+KW8*BlendedPriceEliteMonthly*KG8</f>
        <v/>
      </c>
      <c r="LE8" s="12">
        <f>KR8*BlendedPriceEssAnnual*KG8+KS8*BlendedPricePremAnnual*KG8+KT8*BlendedPriceEliteAnnual*KG8</f>
        <v/>
      </c>
      <c r="LF8" s="12">
        <f>0+0+0</f>
        <v/>
      </c>
      <c r="LG8" s="9">
        <f>LD8+LE8+LF8</f>
        <v/>
      </c>
      <c r="LH8" s="12">
        <f>SUM(LG$5:LG8)</f>
        <v/>
      </c>
      <c r="LI8" s="12">
        <f>OR(LI7,IF(VATAgentMode,SUM($LG$5:$LG8)-SUM($LN$5:$LN8)&gt;=VATThreshold,SUM($LG$5:$LG8)&gt;=VATThreshold))</f>
        <v/>
      </c>
      <c r="LJ8" s="9">
        <f>IF(LI8,IF(VATAgentMode,LG8-((LG8-LN8)-(LG8-LN8)/(1+VATRate)),LG8/(1+VATRate)),LG8)</f>
        <v/>
      </c>
      <c r="LK8" s="12">
        <f>LG8-LJ8</f>
        <v/>
      </c>
      <c r="LL8" s="12">
        <f>IF(LI8=0,0,IF(KD8=1,SUMPRODUCT(--(($KE$5:$KE8=$KE8-1)*($KD$5:$KD8&gt;=10)*($KD$5:$KD8&lt;=12)),$LK$5:$LK8),IF(KD8=4,SUMPRODUCT(--(($KE$5:$KE8=$KE8)*($KD$5:$KD8&gt;=1)*($KD$5:$KD8&lt;=3)),$LK$5:$LK8),IF(KD8=7,SUMPRODUCT(--(($KE$5:$KE8=$KE8)*($KD$5:$KD8&gt;=4)*($KD$5:$KD8&lt;=6)),$LK$5:$LK8),IF(KD8=10,SUMPRODUCT(--(($KE$5:$KE8=$KE8)*($KD$5:$KD8&gt;=7)*($KD$5:$KD8&lt;=9)),$LK$5:$LK8),0)))))</f>
        <v/>
      </c>
      <c r="LM8" s="12">
        <f>LM7+LK8-LL8</f>
        <v/>
      </c>
      <c r="LN8" s="12">
        <f>IF(ProviderDelay&gt;=1,KU7*BlendedProvPayEss+KV7*BlendedProvPayPrem+KW7*BlendedProvPayElite+KX7*BlendedProvPayEss+KY7*BlendedProvPayPrem+KZ7*BlendedProvPayElite,KU8*BlendedProvPayEss+KV8*BlendedProvPayPrem+KW8*BlendedProvPayElite+KX8*BlendedProvPayEss+KY8*BlendedProvPayPrem+KZ8*BlendedProvPayElite)</f>
        <v/>
      </c>
      <c r="LO8" s="12">
        <f>LG8*PaymentFee</f>
        <v/>
      </c>
      <c r="LP8" s="12">
        <f>LA8*OpsAI</f>
        <v/>
      </c>
      <c r="LQ8" s="12">
        <f>MonthlyFixed</f>
        <v/>
      </c>
      <c r="LR8" s="12">
        <f>KK8*ReferralReward</f>
        <v/>
      </c>
      <c r="LS8" s="12">
        <f>KI8</f>
        <v/>
      </c>
      <c r="LT8" s="9">
        <f>LJ8-LN8-LO8-LP8-LQ8-LR8-LS8</f>
        <v/>
      </c>
      <c r="LU8" s="9">
        <f>LU7+LG8-(LN8+LO8+LP8+LQ8+LR8+LS8+LL8)</f>
        <v/>
      </c>
      <c r="LV8" s="12">
        <f>IF(LA8&gt;0,LB8/LA8,0)</f>
        <v/>
      </c>
      <c r="LW8" s="11">
        <f>IF(LA7&gt;0,MAX(0,(LA7+KL8-LA8)/LA7),0)</f>
        <v/>
      </c>
      <c r="LY8" s="12" t="n">
        <v>4</v>
      </c>
      <c r="LZ8" s="12">
        <f>MOD(LY8-1+LaunchMonth-1,12)+1</f>
        <v/>
      </c>
      <c r="MA8" s="12">
        <f>INT((LY8-1+LaunchMonth-1)/12)+1</f>
        <v/>
      </c>
      <c r="MB8" s="12">
        <f>VLOOKUP(LZ8,SeasonTable,2,FALSE)</f>
        <v/>
      </c>
      <c r="MC8" s="12">
        <f>(1+InflationRate)^INT((LY8-1)/12)</f>
        <v/>
      </c>
      <c r="MD8" s="11">
        <f>'Sens - Churn'!$A$17*VLOOKUP(LZ8,ChurnSeasonTable,4,FALSE)</f>
        <v/>
      </c>
      <c r="ME8" s="12">
        <f>MIN(MktFixed4_6,MAX(0,NQ7-CashBuffer))</f>
        <v/>
      </c>
      <c r="MF8" s="12">
        <f>IF(ME8&gt;0,MAX(1,ROUND(ME8/CAC*MB8,0)),0)</f>
        <v/>
      </c>
      <c r="MG8" s="12">
        <f>IF(MF8&gt;0,ROUND(MF8*ReferralMix/(1-ReferralMix),0),0)</f>
        <v/>
      </c>
      <c r="MH8" s="12">
        <f>MF8+MG8</f>
        <v/>
      </c>
      <c r="MI8" s="12">
        <f>ROUND(MH8*(1-AnnualMix),0)</f>
        <v/>
      </c>
      <c r="MJ8" s="12">
        <f>MH8-MI8</f>
        <v/>
      </c>
      <c r="MK8" s="12">
        <f>ROUND(MI8*EssentialMix,0)</f>
        <v/>
      </c>
      <c r="ML8" s="12">
        <f>ROUND(MI8*PremiumMix,0)</f>
        <v/>
      </c>
      <c r="MM8" s="12">
        <f>MI8-MK8-ML8</f>
        <v/>
      </c>
      <c r="MN8" s="12">
        <f>ROUND(MJ8*EssentialMix,0)</f>
        <v/>
      </c>
      <c r="MO8" s="12">
        <f>ROUND(MJ8*PremiumMix,0)</f>
        <v/>
      </c>
      <c r="MP8" s="12">
        <f>MJ8-MN8-MO8</f>
        <v/>
      </c>
      <c r="MQ8" s="12">
        <f>MK8+MK7+MK6+MAX(0,MQ7-MK7-MK6)*(1-MD8)</f>
        <v/>
      </c>
      <c r="MR8" s="12">
        <f>ML8+ML7+ML6+MAX(0,MR7-ML7-ML6)*(1-MD8)</f>
        <v/>
      </c>
      <c r="MS8" s="12">
        <f>MM8+MM7+MM6+MAX(0,MS7-MM7-MM6)*(1-MD8)</f>
        <v/>
      </c>
      <c r="MT8" s="12">
        <f>SUM(MN$5:MN8)</f>
        <v/>
      </c>
      <c r="MU8" s="12">
        <f>SUM(MO$5:MO8)</f>
        <v/>
      </c>
      <c r="MV8" s="12">
        <f>SUM(MP$5:MP8)</f>
        <v/>
      </c>
      <c r="MW8" s="12">
        <f>MQ8+MR8+MS8+MT8+MU8+MV8</f>
        <v/>
      </c>
      <c r="MX8" s="9">
        <f>MQ8*BlendedPriceEssMonthly*MC8+MR8*BlendedPricePremMonthly*MC8+MS8*BlendedPriceEliteMonthly*MC8+MT8*BlendedPriceEssAnnual*MC8/12+MU8*BlendedPricePremAnnual*MC8/12+MV8*BlendedPriceEliteAnnual*MC8/12</f>
        <v/>
      </c>
      <c r="MY8" s="9">
        <f>MX8*12</f>
        <v/>
      </c>
      <c r="MZ8" s="12">
        <f>MQ8*BlendedPriceEssMonthly*MC8+MR8*BlendedPricePremMonthly*MC8+MS8*BlendedPriceEliteMonthly*MC8</f>
        <v/>
      </c>
      <c r="NA8" s="12">
        <f>MN8*BlendedPriceEssAnnual*MC8+MO8*BlendedPricePremAnnual*MC8+MP8*BlendedPriceEliteAnnual*MC8</f>
        <v/>
      </c>
      <c r="NB8" s="12">
        <f>0+0+0</f>
        <v/>
      </c>
      <c r="NC8" s="9">
        <f>MZ8+NA8+NB8</f>
        <v/>
      </c>
      <c r="ND8" s="12">
        <f>SUM(NC$5:NC8)</f>
        <v/>
      </c>
      <c r="NE8" s="12">
        <f>OR(NE7,IF(VATAgentMode,SUM($NC$5:$NC8)-SUM($NJ$5:$NJ8)&gt;=VATThreshold,SUM($NC$5:$NC8)&gt;=VATThreshold))</f>
        <v/>
      </c>
      <c r="NF8" s="9">
        <f>IF(NE8,IF(VATAgentMode,NC8-((NC8-NJ8)-(NC8-NJ8)/(1+VATRate)),NC8/(1+VATRate)),NC8)</f>
        <v/>
      </c>
      <c r="NG8" s="12">
        <f>NC8-NF8</f>
        <v/>
      </c>
      <c r="NH8" s="12">
        <f>IF(NE8=0,0,IF(LZ8=1,SUMPRODUCT(--(($MA$5:$MA8=$MA8-1)*($LZ$5:$LZ8&gt;=10)*($LZ$5:$LZ8&lt;=12)),$NG$5:$NG8),IF(LZ8=4,SUMPRODUCT(--(($MA$5:$MA8=$MA8)*($LZ$5:$LZ8&gt;=1)*($LZ$5:$LZ8&lt;=3)),$NG$5:$NG8),IF(LZ8=7,SUMPRODUCT(--(($MA$5:$MA8=$MA8)*($LZ$5:$LZ8&gt;=4)*($LZ$5:$LZ8&lt;=6)),$NG$5:$NG8),IF(LZ8=10,SUMPRODUCT(--(($MA$5:$MA8=$MA8)*($LZ$5:$LZ8&gt;=7)*($LZ$5:$LZ8&lt;=9)),$NG$5:$NG8),0)))))</f>
        <v/>
      </c>
      <c r="NI8" s="12">
        <f>NI7+NG8-NH8</f>
        <v/>
      </c>
      <c r="NJ8" s="12">
        <f>IF(ProviderDelay&gt;=1,MQ7*BlendedProvPayEss+MR7*BlendedProvPayPrem+MS7*BlendedProvPayElite+MT7*BlendedProvPayEss+MU7*BlendedProvPayPrem+MV7*BlendedProvPayElite,MQ8*BlendedProvPayEss+MR8*BlendedProvPayPrem+MS8*BlendedProvPayElite+MT8*BlendedProvPayEss+MU8*BlendedProvPayPrem+MV8*BlendedProvPayElite)</f>
        <v/>
      </c>
      <c r="NK8" s="12">
        <f>NC8*PaymentFee</f>
        <v/>
      </c>
      <c r="NL8" s="12">
        <f>MW8*OpsAI</f>
        <v/>
      </c>
      <c r="NM8" s="12">
        <f>MonthlyFixed</f>
        <v/>
      </c>
      <c r="NN8" s="12">
        <f>MG8*ReferralReward</f>
        <v/>
      </c>
      <c r="NO8" s="12">
        <f>ME8</f>
        <v/>
      </c>
      <c r="NP8" s="9">
        <f>NF8-NJ8-NK8-NL8-NM8-NN8-NO8</f>
        <v/>
      </c>
      <c r="NQ8" s="9">
        <f>NQ7+NC8-(NJ8+NK8+NL8+NM8+NN8+NO8+NH8)</f>
        <v/>
      </c>
      <c r="NR8" s="12">
        <f>IF(MW8&gt;0,MX8/MW8,0)</f>
        <v/>
      </c>
      <c r="NS8" s="11">
        <f>IF(MW7&gt;0,MAX(0,(MW7+MH8-MW8)/MW7),0)</f>
        <v/>
      </c>
      <c r="NU8" s="12" t="n">
        <v>4</v>
      </c>
      <c r="NV8" s="12">
        <f>MOD(NU8-1+LaunchMonth-1,12)+1</f>
        <v/>
      </c>
      <c r="NW8" s="12">
        <f>INT((NU8-1+LaunchMonth-1)/12)+1</f>
        <v/>
      </c>
      <c r="NX8" s="12">
        <f>VLOOKUP(NV8,SeasonTable,2,FALSE)</f>
        <v/>
      </c>
      <c r="NY8" s="12">
        <f>(1+InflationRate)^INT((NU8-1)/12)</f>
        <v/>
      </c>
      <c r="NZ8" s="11">
        <f>'Sens - Churn'!$A$18*VLOOKUP(NV8,ChurnSeasonTable,4,FALSE)</f>
        <v/>
      </c>
      <c r="OA8" s="12">
        <f>MIN(MktFixed4_6,MAX(0,PM7-CashBuffer))</f>
        <v/>
      </c>
      <c r="OB8" s="12">
        <f>IF(OA8&gt;0,MAX(1,ROUND(OA8/CAC*NX8,0)),0)</f>
        <v/>
      </c>
      <c r="OC8" s="12">
        <f>IF(OB8&gt;0,ROUND(OB8*ReferralMix/(1-ReferralMix),0),0)</f>
        <v/>
      </c>
      <c r="OD8" s="12">
        <f>OB8+OC8</f>
        <v/>
      </c>
      <c r="OE8" s="12">
        <f>ROUND(OD8*(1-AnnualMix),0)</f>
        <v/>
      </c>
      <c r="OF8" s="12">
        <f>OD8-OE8</f>
        <v/>
      </c>
      <c r="OG8" s="12">
        <f>ROUND(OE8*EssentialMix,0)</f>
        <v/>
      </c>
      <c r="OH8" s="12">
        <f>ROUND(OE8*PremiumMix,0)</f>
        <v/>
      </c>
      <c r="OI8" s="12">
        <f>OE8-OG8-OH8</f>
        <v/>
      </c>
      <c r="OJ8" s="12">
        <f>ROUND(OF8*EssentialMix,0)</f>
        <v/>
      </c>
      <c r="OK8" s="12">
        <f>ROUND(OF8*PremiumMix,0)</f>
        <v/>
      </c>
      <c r="OL8" s="12">
        <f>OF8-OJ8-OK8</f>
        <v/>
      </c>
      <c r="OM8" s="12">
        <f>OG8+OG7+OG6+MAX(0,OM7-OG7-OG6)*(1-NZ8)</f>
        <v/>
      </c>
      <c r="ON8" s="12">
        <f>OH8+OH7+OH6+MAX(0,ON7-OH7-OH6)*(1-NZ8)</f>
        <v/>
      </c>
      <c r="OO8" s="12">
        <f>OI8+OI7+OI6+MAX(0,OO7-OI7-OI6)*(1-NZ8)</f>
        <v/>
      </c>
      <c r="OP8" s="12">
        <f>SUM(OJ$5:OJ8)</f>
        <v/>
      </c>
      <c r="OQ8" s="12">
        <f>SUM(OK$5:OK8)</f>
        <v/>
      </c>
      <c r="OR8" s="12">
        <f>SUM(OL$5:OL8)</f>
        <v/>
      </c>
      <c r="OS8" s="12">
        <f>OM8+ON8+OO8+OP8+OQ8+OR8</f>
        <v/>
      </c>
      <c r="OT8" s="9">
        <f>OM8*BlendedPriceEssMonthly*NY8+ON8*BlendedPricePremMonthly*NY8+OO8*BlendedPriceEliteMonthly*NY8+OP8*BlendedPriceEssAnnual*NY8/12+OQ8*BlendedPricePremAnnual*NY8/12+OR8*BlendedPriceEliteAnnual*NY8/12</f>
        <v/>
      </c>
      <c r="OU8" s="9">
        <f>OT8*12</f>
        <v/>
      </c>
      <c r="OV8" s="12">
        <f>OM8*BlendedPriceEssMonthly*NY8+ON8*BlendedPricePremMonthly*NY8+OO8*BlendedPriceEliteMonthly*NY8</f>
        <v/>
      </c>
      <c r="OW8" s="12">
        <f>OJ8*BlendedPriceEssAnnual*NY8+OK8*BlendedPricePremAnnual*NY8+OL8*BlendedPriceEliteAnnual*NY8</f>
        <v/>
      </c>
      <c r="OX8" s="12">
        <f>0+0+0</f>
        <v/>
      </c>
      <c r="OY8" s="9">
        <f>OV8+OW8+OX8</f>
        <v/>
      </c>
      <c r="OZ8" s="12">
        <f>SUM(OY$5:OY8)</f>
        <v/>
      </c>
      <c r="PA8" s="12">
        <f>OR(PA7,IF(VATAgentMode,SUM($OY$5:$OY8)-SUM($PF$5:$PF8)&gt;=VATThreshold,SUM($OY$5:$OY8)&gt;=VATThreshold))</f>
        <v/>
      </c>
      <c r="PB8" s="9">
        <f>IF(PA8,IF(VATAgentMode,OY8-((OY8-PF8)-(OY8-PF8)/(1+VATRate)),OY8/(1+VATRate)),OY8)</f>
        <v/>
      </c>
      <c r="PC8" s="12">
        <f>OY8-PB8</f>
        <v/>
      </c>
      <c r="PD8" s="12">
        <f>IF(PA8=0,0,IF(NV8=1,SUMPRODUCT(--(($NW$5:$NW8=$NW8-1)*($NV$5:$NV8&gt;=10)*($NV$5:$NV8&lt;=12)),$PC$5:$PC8),IF(NV8=4,SUMPRODUCT(--(($NW$5:$NW8=$NW8)*($NV$5:$NV8&gt;=1)*($NV$5:$NV8&lt;=3)),$PC$5:$PC8),IF(NV8=7,SUMPRODUCT(--(($NW$5:$NW8=$NW8)*($NV$5:$NV8&gt;=4)*($NV$5:$NV8&lt;=6)),$PC$5:$PC8),IF(NV8=10,SUMPRODUCT(--(($NW$5:$NW8=$NW8)*($NV$5:$NV8&gt;=7)*($NV$5:$NV8&lt;=9)),$PC$5:$PC8),0)))))</f>
        <v/>
      </c>
      <c r="PE8" s="12">
        <f>PE7+PC8-PD8</f>
        <v/>
      </c>
      <c r="PF8" s="12">
        <f>IF(ProviderDelay&gt;=1,OM7*BlendedProvPayEss+ON7*BlendedProvPayPrem+OO7*BlendedProvPayElite+OP7*BlendedProvPayEss+OQ7*BlendedProvPayPrem+OR7*BlendedProvPayElite,OM8*BlendedProvPayEss+ON8*BlendedProvPayPrem+OO8*BlendedProvPayElite+OP8*BlendedProvPayEss+OQ8*BlendedProvPayPrem+OR8*BlendedProvPayElite)</f>
        <v/>
      </c>
      <c r="PG8" s="12">
        <f>OY8*PaymentFee</f>
        <v/>
      </c>
      <c r="PH8" s="12">
        <f>OS8*OpsAI</f>
        <v/>
      </c>
      <c r="PI8" s="12">
        <f>MonthlyFixed</f>
        <v/>
      </c>
      <c r="PJ8" s="12">
        <f>OC8*ReferralReward</f>
        <v/>
      </c>
      <c r="PK8" s="12">
        <f>OA8</f>
        <v/>
      </c>
      <c r="PL8" s="9">
        <f>PB8-PF8-PG8-PH8-PI8-PJ8-PK8</f>
        <v/>
      </c>
      <c r="PM8" s="9">
        <f>PM7+OY8-(PF8+PG8+PH8+PI8+PJ8+PK8+PD8)</f>
        <v/>
      </c>
      <c r="PN8" s="12">
        <f>IF(OS8&gt;0,OT8/OS8,0)</f>
        <v/>
      </c>
      <c r="PO8" s="11">
        <f>IF(OS7&gt;0,MAX(0,(OS7+OD8-OS8)/OS7),0)</f>
        <v/>
      </c>
      <c r="PQ8" s="12" t="n">
        <v>4</v>
      </c>
      <c r="PR8" s="12">
        <f>MOD(PQ8-1+LaunchMonth-1,12)+1</f>
        <v/>
      </c>
      <c r="PS8" s="12">
        <f>INT((PQ8-1+LaunchMonth-1)/12)+1</f>
        <v/>
      </c>
      <c r="PT8" s="12">
        <f>VLOOKUP(PR8,SeasonTable,2,FALSE)</f>
        <v/>
      </c>
      <c r="PU8" s="12">
        <f>(1+InflationRate)^INT((PQ8-1)/12)</f>
        <v/>
      </c>
      <c r="PV8" s="11">
        <f>'Sens - Churn'!$A$19*VLOOKUP(PR8,ChurnSeasonTable,4,FALSE)</f>
        <v/>
      </c>
      <c r="PW8" s="12">
        <f>MIN(MktFixed4_6,MAX(0,RI7-CashBuffer))</f>
        <v/>
      </c>
      <c r="PX8" s="12">
        <f>IF(PW8&gt;0,MAX(1,ROUND(PW8/CAC*PT8,0)),0)</f>
        <v/>
      </c>
      <c r="PY8" s="12">
        <f>IF(PX8&gt;0,ROUND(PX8*ReferralMix/(1-ReferralMix),0),0)</f>
        <v/>
      </c>
      <c r="PZ8" s="12">
        <f>PX8+PY8</f>
        <v/>
      </c>
      <c r="QA8" s="12">
        <f>ROUND(PZ8*(1-AnnualMix),0)</f>
        <v/>
      </c>
      <c r="QB8" s="12">
        <f>PZ8-QA8</f>
        <v/>
      </c>
      <c r="QC8" s="12">
        <f>ROUND(QA8*EssentialMix,0)</f>
        <v/>
      </c>
      <c r="QD8" s="12">
        <f>ROUND(QA8*PremiumMix,0)</f>
        <v/>
      </c>
      <c r="QE8" s="12">
        <f>QA8-QC8-QD8</f>
        <v/>
      </c>
      <c r="QF8" s="12">
        <f>ROUND(QB8*EssentialMix,0)</f>
        <v/>
      </c>
      <c r="QG8" s="12">
        <f>ROUND(QB8*PremiumMix,0)</f>
        <v/>
      </c>
      <c r="QH8" s="12">
        <f>QB8-QF8-QG8</f>
        <v/>
      </c>
      <c r="QI8" s="12">
        <f>QC8+QC7+QC6+MAX(0,QI7-QC7-QC6)*(1-PV8)</f>
        <v/>
      </c>
      <c r="QJ8" s="12">
        <f>QD8+QD7+QD6+MAX(0,QJ7-QD7-QD6)*(1-PV8)</f>
        <v/>
      </c>
      <c r="QK8" s="12">
        <f>QE8+QE7+QE6+MAX(0,QK7-QE7-QE6)*(1-PV8)</f>
        <v/>
      </c>
      <c r="QL8" s="12">
        <f>SUM(QF$5:QF8)</f>
        <v/>
      </c>
      <c r="QM8" s="12">
        <f>SUM(QG$5:QG8)</f>
        <v/>
      </c>
      <c r="QN8" s="12">
        <f>SUM(QH$5:QH8)</f>
        <v/>
      </c>
      <c r="QO8" s="12">
        <f>QI8+QJ8+QK8+QL8+QM8+QN8</f>
        <v/>
      </c>
      <c r="QP8" s="9">
        <f>QI8*BlendedPriceEssMonthly*PU8+QJ8*BlendedPricePremMonthly*PU8+QK8*BlendedPriceEliteMonthly*PU8+QL8*BlendedPriceEssAnnual*PU8/12+QM8*BlendedPricePremAnnual*PU8/12+QN8*BlendedPriceEliteAnnual*PU8/12</f>
        <v/>
      </c>
      <c r="QQ8" s="9">
        <f>QP8*12</f>
        <v/>
      </c>
      <c r="QR8" s="12">
        <f>QI8*BlendedPriceEssMonthly*PU8+QJ8*BlendedPricePremMonthly*PU8+QK8*BlendedPriceEliteMonthly*PU8</f>
        <v/>
      </c>
      <c r="QS8" s="12">
        <f>QF8*BlendedPriceEssAnnual*PU8+QG8*BlendedPricePremAnnual*PU8+QH8*BlendedPriceEliteAnnual*PU8</f>
        <v/>
      </c>
      <c r="QT8" s="12">
        <f>0+0+0</f>
        <v/>
      </c>
      <c r="QU8" s="9">
        <f>QR8+QS8+QT8</f>
        <v/>
      </c>
      <c r="QV8" s="12">
        <f>SUM(QU$5:QU8)</f>
        <v/>
      </c>
      <c r="QW8" s="12">
        <f>OR(QW7,IF(VATAgentMode,SUM($QU$5:$QU8)-SUM($RB$5:$RB8)&gt;=VATThreshold,SUM($QU$5:$QU8)&gt;=VATThreshold))</f>
        <v/>
      </c>
      <c r="QX8" s="9">
        <f>IF(QW8,IF(VATAgentMode,QU8-((QU8-RB8)-(QU8-RB8)/(1+VATRate)),QU8/(1+VATRate)),QU8)</f>
        <v/>
      </c>
      <c r="QY8" s="12">
        <f>QU8-QX8</f>
        <v/>
      </c>
      <c r="QZ8" s="12">
        <f>IF(QW8=0,0,IF(PR8=1,SUMPRODUCT(--(($PS$5:$PS8=$PS8-1)*($PR$5:$PR8&gt;=10)*($PR$5:$PR8&lt;=12)),$QY$5:$QY8),IF(PR8=4,SUMPRODUCT(--(($PS$5:$PS8=$PS8)*($PR$5:$PR8&gt;=1)*($PR$5:$PR8&lt;=3)),$QY$5:$QY8),IF(PR8=7,SUMPRODUCT(--(($PS$5:$PS8=$PS8)*($PR$5:$PR8&gt;=4)*($PR$5:$PR8&lt;=6)),$QY$5:$QY8),IF(PR8=10,SUMPRODUCT(--(($PS$5:$PS8=$PS8)*($PR$5:$PR8&gt;=7)*($PR$5:$PR8&lt;=9)),$QY$5:$QY8),0)))))</f>
        <v/>
      </c>
      <c r="RA8" s="12">
        <f>RA7+QY8-QZ8</f>
        <v/>
      </c>
      <c r="RB8" s="12">
        <f>IF(ProviderDelay&gt;=1,QI7*BlendedProvPayEss+QJ7*BlendedProvPayPrem+QK7*BlendedProvPayElite+QL7*BlendedProvPayEss+QM7*BlendedProvPayPrem+QN7*BlendedProvPayElite,QI8*BlendedProvPayEss+QJ8*BlendedProvPayPrem+QK8*BlendedProvPayElite+QL8*BlendedProvPayEss+QM8*BlendedProvPayPrem+QN8*BlendedProvPayElite)</f>
        <v/>
      </c>
      <c r="RC8" s="12">
        <f>QU8*PaymentFee</f>
        <v/>
      </c>
      <c r="RD8" s="12">
        <f>QO8*OpsAI</f>
        <v/>
      </c>
      <c r="RE8" s="12">
        <f>MonthlyFixed</f>
        <v/>
      </c>
      <c r="RF8" s="12">
        <f>PY8*ReferralReward</f>
        <v/>
      </c>
      <c r="RG8" s="12">
        <f>PW8</f>
        <v/>
      </c>
      <c r="RH8" s="9">
        <f>QX8-RB8-RC8-RD8-RE8-RF8-RG8</f>
        <v/>
      </c>
      <c r="RI8" s="9">
        <f>RI7+QU8-(RB8+RC8+RD8+RE8+RF8+RG8+QZ8)</f>
        <v/>
      </c>
      <c r="RJ8" s="12">
        <f>IF(QO8&gt;0,QP8/QO8,0)</f>
        <v/>
      </c>
      <c r="RK8" s="11">
        <f>IF(QO7&gt;0,MAX(0,(QO7+PZ8-QO8)/QO7),0)</f>
        <v/>
      </c>
      <c r="RM8" s="12" t="n">
        <v>4</v>
      </c>
      <c r="RN8" s="12">
        <f>MOD(RM8-1+LaunchMonth-1,12)+1</f>
        <v/>
      </c>
      <c r="RO8" s="12">
        <f>INT((RM8-1+LaunchMonth-1)/12)+1</f>
        <v/>
      </c>
      <c r="RP8" s="12">
        <f>VLOOKUP(RN8,SeasonTable,2,FALSE)</f>
        <v/>
      </c>
      <c r="RQ8" s="12">
        <f>(1+InflationRate)^INT((RM8-1)/12)</f>
        <v/>
      </c>
      <c r="RR8" s="11">
        <f>'Sens - Churn'!$A$20*VLOOKUP(RN8,ChurnSeasonTable,4,FALSE)</f>
        <v/>
      </c>
      <c r="RS8" s="12">
        <f>MIN(MktFixed4_6,MAX(0,TE7-CashBuffer))</f>
        <v/>
      </c>
      <c r="RT8" s="12">
        <f>IF(RS8&gt;0,MAX(1,ROUND(RS8/CAC*RP8,0)),0)</f>
        <v/>
      </c>
      <c r="RU8" s="12">
        <f>IF(RT8&gt;0,ROUND(RT8*ReferralMix/(1-ReferralMix),0),0)</f>
        <v/>
      </c>
      <c r="RV8" s="12">
        <f>RT8+RU8</f>
        <v/>
      </c>
      <c r="RW8" s="12">
        <f>ROUND(RV8*(1-AnnualMix),0)</f>
        <v/>
      </c>
      <c r="RX8" s="12">
        <f>RV8-RW8</f>
        <v/>
      </c>
      <c r="RY8" s="12">
        <f>ROUND(RW8*EssentialMix,0)</f>
        <v/>
      </c>
      <c r="RZ8" s="12">
        <f>ROUND(RW8*PremiumMix,0)</f>
        <v/>
      </c>
      <c r="SA8" s="12">
        <f>RW8-RY8-RZ8</f>
        <v/>
      </c>
      <c r="SB8" s="12">
        <f>ROUND(RX8*EssentialMix,0)</f>
        <v/>
      </c>
      <c r="SC8" s="12">
        <f>ROUND(RX8*PremiumMix,0)</f>
        <v/>
      </c>
      <c r="SD8" s="12">
        <f>RX8-SB8-SC8</f>
        <v/>
      </c>
      <c r="SE8" s="12">
        <f>RY8+RY7+RY6+MAX(0,SE7-RY7-RY6)*(1-RR8)</f>
        <v/>
      </c>
      <c r="SF8" s="12">
        <f>RZ8+RZ7+RZ6+MAX(0,SF7-RZ7-RZ6)*(1-RR8)</f>
        <v/>
      </c>
      <c r="SG8" s="12">
        <f>SA8+SA7+SA6+MAX(0,SG7-SA7-SA6)*(1-RR8)</f>
        <v/>
      </c>
      <c r="SH8" s="12">
        <f>SUM(SB$5:SB8)</f>
        <v/>
      </c>
      <c r="SI8" s="12">
        <f>SUM(SC$5:SC8)</f>
        <v/>
      </c>
      <c r="SJ8" s="12">
        <f>SUM(SD$5:SD8)</f>
        <v/>
      </c>
      <c r="SK8" s="12">
        <f>SE8+SF8+SG8+SH8+SI8+SJ8</f>
        <v/>
      </c>
      <c r="SL8" s="9">
        <f>SE8*BlendedPriceEssMonthly*RQ8+SF8*BlendedPricePremMonthly*RQ8+SG8*BlendedPriceEliteMonthly*RQ8+SH8*BlendedPriceEssAnnual*RQ8/12+SI8*BlendedPricePremAnnual*RQ8/12+SJ8*BlendedPriceEliteAnnual*RQ8/12</f>
        <v/>
      </c>
      <c r="SM8" s="9">
        <f>SL8*12</f>
        <v/>
      </c>
      <c r="SN8" s="12">
        <f>SE8*BlendedPriceEssMonthly*RQ8+SF8*BlendedPricePremMonthly*RQ8+SG8*BlendedPriceEliteMonthly*RQ8</f>
        <v/>
      </c>
      <c r="SO8" s="12">
        <f>SB8*BlendedPriceEssAnnual*RQ8+SC8*BlendedPricePremAnnual*RQ8+SD8*BlendedPriceEliteAnnual*RQ8</f>
        <v/>
      </c>
      <c r="SP8" s="12">
        <f>0+0+0</f>
        <v/>
      </c>
      <c r="SQ8" s="9">
        <f>SN8+SO8+SP8</f>
        <v/>
      </c>
      <c r="SR8" s="12">
        <f>SUM(SQ$5:SQ8)</f>
        <v/>
      </c>
      <c r="SS8" s="12">
        <f>OR(SS7,IF(VATAgentMode,SUM($SQ$5:$SQ8)-SUM($SX$5:$SX8)&gt;=VATThreshold,SUM($SQ$5:$SQ8)&gt;=VATThreshold))</f>
        <v/>
      </c>
      <c r="ST8" s="9">
        <f>IF(SS8,IF(VATAgentMode,SQ8-((SQ8-SX8)-(SQ8-SX8)/(1+VATRate)),SQ8/(1+VATRate)),SQ8)</f>
        <v/>
      </c>
      <c r="SU8" s="12">
        <f>SQ8-ST8</f>
        <v/>
      </c>
      <c r="SV8" s="12">
        <f>IF(SS8=0,0,IF(RN8=1,SUMPRODUCT(--(($RO$5:$RO8=$RO8-1)*($RN$5:$RN8&gt;=10)*($RN$5:$RN8&lt;=12)),$SU$5:$SU8),IF(RN8=4,SUMPRODUCT(--(($RO$5:$RO8=$RO8)*($RN$5:$RN8&gt;=1)*($RN$5:$RN8&lt;=3)),$SU$5:$SU8),IF(RN8=7,SUMPRODUCT(--(($RO$5:$RO8=$RO8)*($RN$5:$RN8&gt;=4)*($RN$5:$RN8&lt;=6)),$SU$5:$SU8),IF(RN8=10,SUMPRODUCT(--(($RO$5:$RO8=$RO8)*($RN$5:$RN8&gt;=7)*($RN$5:$RN8&lt;=9)),$SU$5:$SU8),0)))))</f>
        <v/>
      </c>
      <c r="SW8" s="12">
        <f>SW7+SU8-SV8</f>
        <v/>
      </c>
      <c r="SX8" s="12">
        <f>IF(ProviderDelay&gt;=1,SE7*BlendedProvPayEss+SF7*BlendedProvPayPrem+SG7*BlendedProvPayElite+SH7*BlendedProvPayEss+SI7*BlendedProvPayPrem+SJ7*BlendedProvPayElite,SE8*BlendedProvPayEss+SF8*BlendedProvPayPrem+SG8*BlendedProvPayElite+SH8*BlendedProvPayEss+SI8*BlendedProvPayPrem+SJ8*BlendedProvPayElite)</f>
        <v/>
      </c>
      <c r="SY8" s="12">
        <f>SQ8*PaymentFee</f>
        <v/>
      </c>
      <c r="SZ8" s="12">
        <f>SK8*OpsAI</f>
        <v/>
      </c>
      <c r="TA8" s="12">
        <f>MonthlyFixed</f>
        <v/>
      </c>
      <c r="TB8" s="12">
        <f>RU8*ReferralReward</f>
        <v/>
      </c>
      <c r="TC8" s="12">
        <f>RS8</f>
        <v/>
      </c>
      <c r="TD8" s="9">
        <f>ST8-SX8-SY8-SZ8-TA8-TB8-TC8</f>
        <v/>
      </c>
      <c r="TE8" s="9">
        <f>TE7+SQ8-(SX8+SY8+SZ8+TA8+TB8+TC8+SV8)</f>
        <v/>
      </c>
      <c r="TF8" s="12">
        <f>IF(SK8&gt;0,SL8/SK8,0)</f>
        <v/>
      </c>
      <c r="TG8" s="11">
        <f>IF(SK7&gt;0,MAX(0,(SK7+RV8-SK8)/SK7),0)</f>
        <v/>
      </c>
      <c r="TI8" s="12" t="n">
        <v>4</v>
      </c>
      <c r="TJ8" s="12">
        <f>MOD(TI8-1+LaunchMonth-1,12)+1</f>
        <v/>
      </c>
      <c r="TK8" s="12">
        <f>INT((TI8-1+LaunchMonth-1)/12)+1</f>
        <v/>
      </c>
      <c r="TL8" s="12">
        <f>VLOOKUP(TJ8,SeasonTable,2,FALSE)</f>
        <v/>
      </c>
      <c r="TM8" s="12">
        <f>(1+InflationRate)^INT((TI8-1)/12)</f>
        <v/>
      </c>
      <c r="TN8" s="11">
        <f>'Sens - Churn'!$A$21*VLOOKUP(TJ8,ChurnSeasonTable,4,FALSE)</f>
        <v/>
      </c>
      <c r="TO8" s="12">
        <f>MIN(MktFixed4_6,MAX(0,VA7-CashBuffer))</f>
        <v/>
      </c>
      <c r="TP8" s="12">
        <f>IF(TO8&gt;0,MAX(1,ROUND(TO8/CAC*TL8,0)),0)</f>
        <v/>
      </c>
      <c r="TQ8" s="12">
        <f>IF(TP8&gt;0,ROUND(TP8*ReferralMix/(1-ReferralMix),0),0)</f>
        <v/>
      </c>
      <c r="TR8" s="12">
        <f>TP8+TQ8</f>
        <v/>
      </c>
      <c r="TS8" s="12">
        <f>ROUND(TR8*(1-AnnualMix),0)</f>
        <v/>
      </c>
      <c r="TT8" s="12">
        <f>TR8-TS8</f>
        <v/>
      </c>
      <c r="TU8" s="12">
        <f>ROUND(TS8*EssentialMix,0)</f>
        <v/>
      </c>
      <c r="TV8" s="12">
        <f>ROUND(TS8*PremiumMix,0)</f>
        <v/>
      </c>
      <c r="TW8" s="12">
        <f>TS8-TU8-TV8</f>
        <v/>
      </c>
      <c r="TX8" s="12">
        <f>ROUND(TT8*EssentialMix,0)</f>
        <v/>
      </c>
      <c r="TY8" s="12">
        <f>ROUND(TT8*PremiumMix,0)</f>
        <v/>
      </c>
      <c r="TZ8" s="12">
        <f>TT8-TX8-TY8</f>
        <v/>
      </c>
      <c r="UA8" s="12">
        <f>TU8+TU7+TU6+MAX(0,UA7-TU7-TU6)*(1-TN8)</f>
        <v/>
      </c>
      <c r="UB8" s="12">
        <f>TV8+TV7+TV6+MAX(0,UB7-TV7-TV6)*(1-TN8)</f>
        <v/>
      </c>
      <c r="UC8" s="12">
        <f>TW8+TW7+TW6+MAX(0,UC7-TW7-TW6)*(1-TN8)</f>
        <v/>
      </c>
      <c r="UD8" s="12">
        <f>SUM(TX$5:TX8)</f>
        <v/>
      </c>
      <c r="UE8" s="12">
        <f>SUM(TY$5:TY8)</f>
        <v/>
      </c>
      <c r="UF8" s="12">
        <f>SUM(TZ$5:TZ8)</f>
        <v/>
      </c>
      <c r="UG8" s="12">
        <f>UA8+UB8+UC8+UD8+UE8+UF8</f>
        <v/>
      </c>
      <c r="UH8" s="9">
        <f>UA8*BlendedPriceEssMonthly*TM8+UB8*BlendedPricePremMonthly*TM8+UC8*BlendedPriceEliteMonthly*TM8+UD8*BlendedPriceEssAnnual*TM8/12+UE8*BlendedPricePremAnnual*TM8/12+UF8*BlendedPriceEliteAnnual*TM8/12</f>
        <v/>
      </c>
      <c r="UI8" s="9">
        <f>UH8*12</f>
        <v/>
      </c>
      <c r="UJ8" s="12">
        <f>UA8*BlendedPriceEssMonthly*TM8+UB8*BlendedPricePremMonthly*TM8+UC8*BlendedPriceEliteMonthly*TM8</f>
        <v/>
      </c>
      <c r="UK8" s="12">
        <f>TX8*BlendedPriceEssAnnual*TM8+TY8*BlendedPricePremAnnual*TM8+TZ8*BlendedPriceEliteAnnual*TM8</f>
        <v/>
      </c>
      <c r="UL8" s="12">
        <f>0+0+0</f>
        <v/>
      </c>
      <c r="UM8" s="9">
        <f>UJ8+UK8+UL8</f>
        <v/>
      </c>
      <c r="UN8" s="12">
        <f>SUM(UM$5:UM8)</f>
        <v/>
      </c>
      <c r="UO8" s="12">
        <f>OR(UO7,IF(VATAgentMode,SUM($UM$5:$UM8)-SUM($UT$5:$UT8)&gt;=VATThreshold,SUM($UM$5:$UM8)&gt;=VATThreshold))</f>
        <v/>
      </c>
      <c r="UP8" s="9">
        <f>IF(UO8,IF(VATAgentMode,UM8-((UM8-UT8)-(UM8-UT8)/(1+VATRate)),UM8/(1+VATRate)),UM8)</f>
        <v/>
      </c>
      <c r="UQ8" s="12">
        <f>UM8-UP8</f>
        <v/>
      </c>
      <c r="UR8" s="12">
        <f>IF(UO8=0,0,IF(TJ8=1,SUMPRODUCT(--(($TK$5:$TK8=$TK8-1)*($TJ$5:$TJ8&gt;=10)*($TJ$5:$TJ8&lt;=12)),$UQ$5:$UQ8),IF(TJ8=4,SUMPRODUCT(--(($TK$5:$TK8=$TK8)*($TJ$5:$TJ8&gt;=1)*($TJ$5:$TJ8&lt;=3)),$UQ$5:$UQ8),IF(TJ8=7,SUMPRODUCT(--(($TK$5:$TK8=$TK8)*($TJ$5:$TJ8&gt;=4)*($TJ$5:$TJ8&lt;=6)),$UQ$5:$UQ8),IF(TJ8=10,SUMPRODUCT(--(($TK$5:$TK8=$TK8)*($TJ$5:$TJ8&gt;=7)*($TJ$5:$TJ8&lt;=9)),$UQ$5:$UQ8),0)))))</f>
        <v/>
      </c>
      <c r="US8" s="12">
        <f>US7+UQ8-UR8</f>
        <v/>
      </c>
      <c r="UT8" s="12">
        <f>IF(ProviderDelay&gt;=1,UA7*BlendedProvPayEss+UB7*BlendedProvPayPrem+UC7*BlendedProvPayElite+UD7*BlendedProvPayEss+UE7*BlendedProvPayPrem+UF7*BlendedProvPayElite,UA8*BlendedProvPayEss+UB8*BlendedProvPayPrem+UC8*BlendedProvPayElite+UD8*BlendedProvPayEss+UE8*BlendedProvPayPrem+UF8*BlendedProvPayElite)</f>
        <v/>
      </c>
      <c r="UU8" s="12">
        <f>UM8*PaymentFee</f>
        <v/>
      </c>
      <c r="UV8" s="12">
        <f>UG8*OpsAI</f>
        <v/>
      </c>
      <c r="UW8" s="12">
        <f>MonthlyFixed</f>
        <v/>
      </c>
      <c r="UX8" s="12">
        <f>TQ8*ReferralReward</f>
        <v/>
      </c>
      <c r="UY8" s="12">
        <f>TO8</f>
        <v/>
      </c>
      <c r="UZ8" s="9">
        <f>UP8-UT8-UU8-UV8-UW8-UX8-UY8</f>
        <v/>
      </c>
      <c r="VA8" s="9">
        <f>VA7+UM8-(UT8+UU8+UV8+UW8+UX8+UY8+UR8)</f>
        <v/>
      </c>
      <c r="VB8" s="12">
        <f>IF(UG8&gt;0,UH8/UG8,0)</f>
        <v/>
      </c>
      <c r="VC8" s="11">
        <f>IF(UG7&gt;0,MAX(0,(UG7+TR8-UG8)/UG7),0)</f>
        <v/>
      </c>
      <c r="VE8" s="12" t="n">
        <v>4</v>
      </c>
      <c r="VF8" s="12">
        <f>MOD(VE8-1+LaunchMonth-1,12)+1</f>
        <v/>
      </c>
      <c r="VG8" s="12">
        <f>INT((VE8-1+LaunchMonth-1)/12)+1</f>
        <v/>
      </c>
      <c r="VH8" s="12">
        <f>VLOOKUP(VF8,SeasonTable,2,FALSE)</f>
        <v/>
      </c>
      <c r="VI8" s="12">
        <f>(1+InflationRate)^INT((VE8-1)/12)</f>
        <v/>
      </c>
      <c r="VJ8" s="11">
        <f>MonthlyChurn*VLOOKUP(VF8,ChurnSeasonTable,4,FALSE)</f>
        <v/>
      </c>
      <c r="VK8" s="12">
        <f>MIN(MktFixed4_6,MAX(0,WW7-CashBuffer))</f>
        <v/>
      </c>
      <c r="VL8" s="12">
        <f>IF(VK8&gt;0,MAX(1,ROUND(VK8/CAC*VH8,0)),0)</f>
        <v/>
      </c>
      <c r="VM8" s="12">
        <f>IF(VL8&gt;0,ROUND(VL8*ReferralMix/(1-ReferralMix),0),0)</f>
        <v/>
      </c>
      <c r="VN8" s="12">
        <f>VL8+VM8</f>
        <v/>
      </c>
      <c r="VO8" s="12">
        <f>ROUND(VN8*(1-'Sens - Annual Mix'!$A$9),0)</f>
        <v/>
      </c>
      <c r="VP8" s="12">
        <f>VN8-VO8</f>
        <v/>
      </c>
      <c r="VQ8" s="12">
        <f>ROUND(VO8*EssentialMix,0)</f>
        <v/>
      </c>
      <c r="VR8" s="12">
        <f>ROUND(VO8*PremiumMix,0)</f>
        <v/>
      </c>
      <c r="VS8" s="12">
        <f>VO8-VQ8-VR8</f>
        <v/>
      </c>
      <c r="VT8" s="12">
        <f>ROUND(VP8*EssentialMix,0)</f>
        <v/>
      </c>
      <c r="VU8" s="12">
        <f>ROUND(VP8*PremiumMix,0)</f>
        <v/>
      </c>
      <c r="VV8" s="12">
        <f>VP8-VT8-VU8</f>
        <v/>
      </c>
      <c r="VW8" s="12">
        <f>VQ8+VQ7+VQ6+MAX(0,VW7-VQ7-VQ6)*(1-VJ8)</f>
        <v/>
      </c>
      <c r="VX8" s="12">
        <f>VR8+VR7+VR6+MAX(0,VX7-VR7-VR6)*(1-VJ8)</f>
        <v/>
      </c>
      <c r="VY8" s="12">
        <f>VS8+VS7+VS6+MAX(0,VY7-VS7-VS6)*(1-VJ8)</f>
        <v/>
      </c>
      <c r="VZ8" s="12">
        <f>SUM(VT$5:VT8)</f>
        <v/>
      </c>
      <c r="WA8" s="12">
        <f>SUM(VU$5:VU8)</f>
        <v/>
      </c>
      <c r="WB8" s="12">
        <f>SUM(VV$5:VV8)</f>
        <v/>
      </c>
      <c r="WC8" s="12">
        <f>VW8+VX8+VY8+VZ8+WA8+WB8</f>
        <v/>
      </c>
      <c r="WD8" s="9">
        <f>VW8*BlendedPriceEssMonthly*VI8+VX8*BlendedPricePremMonthly*VI8+VY8*BlendedPriceEliteMonthly*VI8+VZ8*BlendedPriceEssAnnual*VI8/12+WA8*BlendedPricePremAnnual*VI8/12+WB8*BlendedPriceEliteAnnual*VI8/12</f>
        <v/>
      </c>
      <c r="WE8" s="9">
        <f>WD8*12</f>
        <v/>
      </c>
      <c r="WF8" s="12">
        <f>VW8*BlendedPriceEssMonthly*VI8+VX8*BlendedPricePremMonthly*VI8+VY8*BlendedPriceEliteMonthly*VI8</f>
        <v/>
      </c>
      <c r="WG8" s="12">
        <f>VT8*BlendedPriceEssAnnual*VI8+VU8*BlendedPricePremAnnual*VI8+VV8*BlendedPriceEliteAnnual*VI8</f>
        <v/>
      </c>
      <c r="WH8" s="12">
        <f>0+0+0</f>
        <v/>
      </c>
      <c r="WI8" s="9">
        <f>WF8+WG8+WH8</f>
        <v/>
      </c>
      <c r="WJ8" s="12">
        <f>SUM(WI$5:WI8)</f>
        <v/>
      </c>
      <c r="WK8" s="12">
        <f>OR(WK7,IF(VATAgentMode,SUM($WI$5:$WI8)-SUM($WP$5:$WP8)&gt;=VATThreshold,SUM($WI$5:$WI8)&gt;=VATThreshold))</f>
        <v/>
      </c>
      <c r="WL8" s="9">
        <f>IF(WK8,IF(VATAgentMode,WI8-((WI8-WP8)-(WI8-WP8)/(1+VATRate)),WI8/(1+VATRate)),WI8)</f>
        <v/>
      </c>
      <c r="WM8" s="12">
        <f>WI8-WL8</f>
        <v/>
      </c>
      <c r="WN8" s="12">
        <f>IF(WK8=0,0,IF(VF8=1,SUMPRODUCT(--(($VG$5:$VG8=$VG8-1)*($VF$5:$VF8&gt;=10)*($VF$5:$VF8&lt;=12)),$WM$5:$WM8),IF(VF8=4,SUMPRODUCT(--(($VG$5:$VG8=$VG8)*($VF$5:$VF8&gt;=1)*($VF$5:$VF8&lt;=3)),$WM$5:$WM8),IF(VF8=7,SUMPRODUCT(--(($VG$5:$VG8=$VG8)*($VF$5:$VF8&gt;=4)*($VF$5:$VF8&lt;=6)),$WM$5:$WM8),IF(VF8=10,SUMPRODUCT(--(($VG$5:$VG8=$VG8)*($VF$5:$VF8&gt;=7)*($VF$5:$VF8&lt;=9)),$WM$5:$WM8),0)))))</f>
        <v/>
      </c>
      <c r="WO8" s="12">
        <f>WO7+WM8-WN8</f>
        <v/>
      </c>
      <c r="WP8" s="12">
        <f>IF(ProviderDelay&gt;=1,VW7*BlendedProvPayEss+VX7*BlendedProvPayPrem+VY7*BlendedProvPayElite+VZ7*BlendedProvPayEss+WA7*BlendedProvPayPrem+WB7*BlendedProvPayElite,VW8*BlendedProvPayEss+VX8*BlendedProvPayPrem+VY8*BlendedProvPayElite+VZ8*BlendedProvPayEss+WA8*BlendedProvPayPrem+WB8*BlendedProvPayElite)</f>
        <v/>
      </c>
      <c r="WQ8" s="12">
        <f>WI8*PaymentFee</f>
        <v/>
      </c>
      <c r="WR8" s="12">
        <f>WC8*OpsAI</f>
        <v/>
      </c>
      <c r="WS8" s="12">
        <f>MonthlyFixed</f>
        <v/>
      </c>
      <c r="WT8" s="12">
        <f>VM8*ReferralReward</f>
        <v/>
      </c>
      <c r="WU8" s="12">
        <f>VK8</f>
        <v/>
      </c>
      <c r="WV8" s="9">
        <f>WL8-WP8-WQ8-WR8-WS8-WT8-WU8</f>
        <v/>
      </c>
      <c r="WW8" s="9">
        <f>WW7+WI8-(WP8+WQ8+WR8+WS8+WT8+WU8+WN8)</f>
        <v/>
      </c>
      <c r="WX8" s="12">
        <f>IF(WC8&gt;0,WD8/WC8,0)</f>
        <v/>
      </c>
      <c r="WY8" s="11">
        <f>IF(WC7&gt;0,MAX(0,(WC7+VN8-WC8)/WC7),0)</f>
        <v/>
      </c>
      <c r="XA8" s="12" t="n">
        <v>4</v>
      </c>
      <c r="XB8" s="12">
        <f>MOD(XA8-1+LaunchMonth-1,12)+1</f>
        <v/>
      </c>
      <c r="XC8" s="12">
        <f>INT((XA8-1+LaunchMonth-1)/12)+1</f>
        <v/>
      </c>
      <c r="XD8" s="12">
        <f>VLOOKUP(XB8,SeasonTable,2,FALSE)</f>
        <v/>
      </c>
      <c r="XE8" s="12">
        <f>(1+InflationRate)^INT((XA8-1)/12)</f>
        <v/>
      </c>
      <c r="XF8" s="11">
        <f>MonthlyChurn*VLOOKUP(XB8,ChurnSeasonTable,4,FALSE)</f>
        <v/>
      </c>
      <c r="XG8" s="12">
        <f>MIN(MktFixed4_6,MAX(0,YS7-CashBuffer))</f>
        <v/>
      </c>
      <c r="XH8" s="12">
        <f>IF(XG8&gt;0,MAX(1,ROUND(XG8/CAC*XD8,0)),0)</f>
        <v/>
      </c>
      <c r="XI8" s="12">
        <f>IF(XH8&gt;0,ROUND(XH8*ReferralMix/(1-ReferralMix),0),0)</f>
        <v/>
      </c>
      <c r="XJ8" s="12">
        <f>XH8+XI8</f>
        <v/>
      </c>
      <c r="XK8" s="12">
        <f>ROUND(XJ8*(1-'Sens - Annual Mix'!$A$10),0)</f>
        <v/>
      </c>
      <c r="XL8" s="12">
        <f>XJ8-XK8</f>
        <v/>
      </c>
      <c r="XM8" s="12">
        <f>ROUND(XK8*EssentialMix,0)</f>
        <v/>
      </c>
      <c r="XN8" s="12">
        <f>ROUND(XK8*PremiumMix,0)</f>
        <v/>
      </c>
      <c r="XO8" s="12">
        <f>XK8-XM8-XN8</f>
        <v/>
      </c>
      <c r="XP8" s="12">
        <f>ROUND(XL8*EssentialMix,0)</f>
        <v/>
      </c>
      <c r="XQ8" s="12">
        <f>ROUND(XL8*PremiumMix,0)</f>
        <v/>
      </c>
      <c r="XR8" s="12">
        <f>XL8-XP8-XQ8</f>
        <v/>
      </c>
      <c r="XS8" s="12">
        <f>XM8+XM7+XM6+MAX(0,XS7-XM7-XM6)*(1-XF8)</f>
        <v/>
      </c>
      <c r="XT8" s="12">
        <f>XN8+XN7+XN6+MAX(0,XT7-XN7-XN6)*(1-XF8)</f>
        <v/>
      </c>
      <c r="XU8" s="12">
        <f>XO8+XO7+XO6+MAX(0,XU7-XO7-XO6)*(1-XF8)</f>
        <v/>
      </c>
      <c r="XV8" s="12">
        <f>SUM(XP$5:XP8)</f>
        <v/>
      </c>
      <c r="XW8" s="12">
        <f>SUM(XQ$5:XQ8)</f>
        <v/>
      </c>
      <c r="XX8" s="12">
        <f>SUM(XR$5:XR8)</f>
        <v/>
      </c>
      <c r="XY8" s="12">
        <f>XS8+XT8+XU8+XV8+XW8+XX8</f>
        <v/>
      </c>
      <c r="XZ8" s="9">
        <f>XS8*BlendedPriceEssMonthly*XE8+XT8*BlendedPricePremMonthly*XE8+XU8*BlendedPriceEliteMonthly*XE8+XV8*BlendedPriceEssAnnual*XE8/12+XW8*BlendedPricePremAnnual*XE8/12+XX8*BlendedPriceEliteAnnual*XE8/12</f>
        <v/>
      </c>
      <c r="YA8" s="9">
        <f>XZ8*12</f>
        <v/>
      </c>
      <c r="YB8" s="12">
        <f>XS8*BlendedPriceEssMonthly*XE8+XT8*BlendedPricePremMonthly*XE8+XU8*BlendedPriceEliteMonthly*XE8</f>
        <v/>
      </c>
      <c r="YC8" s="12">
        <f>XP8*BlendedPriceEssAnnual*XE8+XQ8*BlendedPricePremAnnual*XE8+XR8*BlendedPriceEliteAnnual*XE8</f>
        <v/>
      </c>
      <c r="YD8" s="12">
        <f>0+0+0</f>
        <v/>
      </c>
      <c r="YE8" s="9">
        <f>YB8+YC8+YD8</f>
        <v/>
      </c>
      <c r="YF8" s="12">
        <f>SUM(YE$5:YE8)</f>
        <v/>
      </c>
      <c r="YG8" s="12">
        <f>OR(YG7,IF(VATAgentMode,SUM($YE$5:$YE8)-SUM($YL$5:$YL8)&gt;=VATThreshold,SUM($YE$5:$YE8)&gt;=VATThreshold))</f>
        <v/>
      </c>
      <c r="YH8" s="9">
        <f>IF(YG8,IF(VATAgentMode,YE8-((YE8-YL8)-(YE8-YL8)/(1+VATRate)),YE8/(1+VATRate)),YE8)</f>
        <v/>
      </c>
      <c r="YI8" s="12">
        <f>YE8-YH8</f>
        <v/>
      </c>
      <c r="YJ8" s="12">
        <f>IF(YG8=0,0,IF(XB8=1,SUMPRODUCT(--(($XC$5:$XC8=$XC8-1)*($XB$5:$XB8&gt;=10)*($XB$5:$XB8&lt;=12)),$YI$5:$YI8),IF(XB8=4,SUMPRODUCT(--(($XC$5:$XC8=$XC8)*($XB$5:$XB8&gt;=1)*($XB$5:$XB8&lt;=3)),$YI$5:$YI8),IF(XB8=7,SUMPRODUCT(--(($XC$5:$XC8=$XC8)*($XB$5:$XB8&gt;=4)*($XB$5:$XB8&lt;=6)),$YI$5:$YI8),IF(XB8=10,SUMPRODUCT(--(($XC$5:$XC8=$XC8)*($XB$5:$XB8&gt;=7)*($XB$5:$XB8&lt;=9)),$YI$5:$YI8),0)))))</f>
        <v/>
      </c>
      <c r="YK8" s="12">
        <f>YK7+YI8-YJ8</f>
        <v/>
      </c>
      <c r="YL8" s="12">
        <f>IF(ProviderDelay&gt;=1,XS7*BlendedProvPayEss+XT7*BlendedProvPayPrem+XU7*BlendedProvPayElite+XV7*BlendedProvPayEss+XW7*BlendedProvPayPrem+XX7*BlendedProvPayElite,XS8*BlendedProvPayEss+XT8*BlendedProvPayPrem+XU8*BlendedProvPayElite+XV8*BlendedProvPayEss+XW8*BlendedProvPayPrem+XX8*BlendedProvPayElite)</f>
        <v/>
      </c>
      <c r="YM8" s="12">
        <f>YE8*PaymentFee</f>
        <v/>
      </c>
      <c r="YN8" s="12">
        <f>XY8*OpsAI</f>
        <v/>
      </c>
      <c r="YO8" s="12">
        <f>MonthlyFixed</f>
        <v/>
      </c>
      <c r="YP8" s="12">
        <f>XI8*ReferralReward</f>
        <v/>
      </c>
      <c r="YQ8" s="12">
        <f>XG8</f>
        <v/>
      </c>
      <c r="YR8" s="9">
        <f>YH8-YL8-YM8-YN8-YO8-YP8-YQ8</f>
        <v/>
      </c>
      <c r="YS8" s="9">
        <f>YS7+YE8-(YL8+YM8+YN8+YO8+YP8+YQ8+YJ8)</f>
        <v/>
      </c>
      <c r="YT8" s="12">
        <f>IF(XY8&gt;0,XZ8/XY8,0)</f>
        <v/>
      </c>
      <c r="YU8" s="11">
        <f>IF(XY7&gt;0,MAX(0,(XY7+XJ8-XY8)/XY7),0)</f>
        <v/>
      </c>
      <c r="YW8" s="12" t="n">
        <v>4</v>
      </c>
      <c r="YX8" s="12">
        <f>MOD(YW8-1+LaunchMonth-1,12)+1</f>
        <v/>
      </c>
      <c r="YY8" s="12">
        <f>INT((YW8-1+LaunchMonth-1)/12)+1</f>
        <v/>
      </c>
      <c r="YZ8" s="12">
        <f>VLOOKUP(YX8,SeasonTable,2,FALSE)</f>
        <v/>
      </c>
      <c r="ZA8" s="12">
        <f>(1+InflationRate)^INT((YW8-1)/12)</f>
        <v/>
      </c>
      <c r="ZB8" s="11">
        <f>MonthlyChurn*VLOOKUP(YX8,ChurnSeasonTable,4,FALSE)</f>
        <v/>
      </c>
      <c r="ZC8" s="12">
        <f>MIN(MktFixed4_6,MAX(0,AAO7-CashBuffer))</f>
        <v/>
      </c>
      <c r="ZD8" s="12">
        <f>IF(ZC8&gt;0,MAX(1,ROUND(ZC8/CAC*YZ8,0)),0)</f>
        <v/>
      </c>
      <c r="ZE8" s="12">
        <f>IF(ZD8&gt;0,ROUND(ZD8*ReferralMix/(1-ReferralMix),0),0)</f>
        <v/>
      </c>
      <c r="ZF8" s="12">
        <f>ZD8+ZE8</f>
        <v/>
      </c>
      <c r="ZG8" s="12">
        <f>ROUND(ZF8*(1-'Sens - Annual Mix'!$A$11),0)</f>
        <v/>
      </c>
      <c r="ZH8" s="12">
        <f>ZF8-ZG8</f>
        <v/>
      </c>
      <c r="ZI8" s="12">
        <f>ROUND(ZG8*EssentialMix,0)</f>
        <v/>
      </c>
      <c r="ZJ8" s="12">
        <f>ROUND(ZG8*PremiumMix,0)</f>
        <v/>
      </c>
      <c r="ZK8" s="12">
        <f>ZG8-ZI8-ZJ8</f>
        <v/>
      </c>
      <c r="ZL8" s="12">
        <f>ROUND(ZH8*EssentialMix,0)</f>
        <v/>
      </c>
      <c r="ZM8" s="12">
        <f>ROUND(ZH8*PremiumMix,0)</f>
        <v/>
      </c>
      <c r="ZN8" s="12">
        <f>ZH8-ZL8-ZM8</f>
        <v/>
      </c>
      <c r="ZO8" s="12">
        <f>ZI8+ZI7+ZI6+MAX(0,ZO7-ZI7-ZI6)*(1-ZB8)</f>
        <v/>
      </c>
      <c r="ZP8" s="12">
        <f>ZJ8+ZJ7+ZJ6+MAX(0,ZP7-ZJ7-ZJ6)*(1-ZB8)</f>
        <v/>
      </c>
      <c r="ZQ8" s="12">
        <f>ZK8+ZK7+ZK6+MAX(0,ZQ7-ZK7-ZK6)*(1-ZB8)</f>
        <v/>
      </c>
      <c r="ZR8" s="12">
        <f>SUM(ZL$5:ZL8)</f>
        <v/>
      </c>
      <c r="ZS8" s="12">
        <f>SUM(ZM$5:ZM8)</f>
        <v/>
      </c>
      <c r="ZT8" s="12">
        <f>SUM(ZN$5:ZN8)</f>
        <v/>
      </c>
      <c r="ZU8" s="12">
        <f>ZO8+ZP8+ZQ8+ZR8+ZS8+ZT8</f>
        <v/>
      </c>
      <c r="ZV8" s="9">
        <f>ZO8*BlendedPriceEssMonthly*ZA8+ZP8*BlendedPricePremMonthly*ZA8+ZQ8*BlendedPriceEliteMonthly*ZA8+ZR8*BlendedPriceEssAnnual*ZA8/12+ZS8*BlendedPricePremAnnual*ZA8/12+ZT8*BlendedPriceEliteAnnual*ZA8/12</f>
        <v/>
      </c>
      <c r="ZW8" s="9">
        <f>ZV8*12</f>
        <v/>
      </c>
      <c r="ZX8" s="12">
        <f>ZO8*BlendedPriceEssMonthly*ZA8+ZP8*BlendedPricePremMonthly*ZA8+ZQ8*BlendedPriceEliteMonthly*ZA8</f>
        <v/>
      </c>
      <c r="ZY8" s="12">
        <f>ZL8*BlendedPriceEssAnnual*ZA8+ZM8*BlendedPricePremAnnual*ZA8+ZN8*BlendedPriceEliteAnnual*ZA8</f>
        <v/>
      </c>
      <c r="ZZ8" s="12">
        <f>0+0+0</f>
        <v/>
      </c>
      <c r="AAA8" s="9">
        <f>ZX8+ZY8+ZZ8</f>
        <v/>
      </c>
      <c r="AAB8" s="12">
        <f>SUM(AAA$5:AAA8)</f>
        <v/>
      </c>
      <c r="AAC8" s="12">
        <f>OR(AAC7,IF(VATAgentMode,SUM($AAA$5:$AAA8)-SUM($AAH$5:$AAH8)&gt;=VATThreshold,SUM($AAA$5:$AAA8)&gt;=VATThreshold))</f>
        <v/>
      </c>
      <c r="AAD8" s="9">
        <f>IF(AAC8,IF(VATAgentMode,AAA8-((AAA8-AAH8)-(AAA8-AAH8)/(1+VATRate)),AAA8/(1+VATRate)),AAA8)</f>
        <v/>
      </c>
      <c r="AAE8" s="12">
        <f>AAA8-AAD8</f>
        <v/>
      </c>
      <c r="AAF8" s="12">
        <f>IF(AAC8=0,0,IF(YX8=1,SUMPRODUCT(--(($YY$5:$YY8=$YY8-1)*($YX$5:$YX8&gt;=10)*($YX$5:$YX8&lt;=12)),$AAE$5:$AAE8),IF(YX8=4,SUMPRODUCT(--(($YY$5:$YY8=$YY8)*($YX$5:$YX8&gt;=1)*($YX$5:$YX8&lt;=3)),$AAE$5:$AAE8),IF(YX8=7,SUMPRODUCT(--(($YY$5:$YY8=$YY8)*($YX$5:$YX8&gt;=4)*($YX$5:$YX8&lt;=6)),$AAE$5:$AAE8),IF(YX8=10,SUMPRODUCT(--(($YY$5:$YY8=$YY8)*($YX$5:$YX8&gt;=7)*($YX$5:$YX8&lt;=9)),$AAE$5:$AAE8),0)))))</f>
        <v/>
      </c>
      <c r="AAG8" s="12">
        <f>AAG7+AAE8-AAF8</f>
        <v/>
      </c>
      <c r="AAH8" s="12">
        <f>IF(ProviderDelay&gt;=1,ZO7*BlendedProvPayEss+ZP7*BlendedProvPayPrem+ZQ7*BlendedProvPayElite+ZR7*BlendedProvPayEss+ZS7*BlendedProvPayPrem+ZT7*BlendedProvPayElite,ZO8*BlendedProvPayEss+ZP8*BlendedProvPayPrem+ZQ8*BlendedProvPayElite+ZR8*BlendedProvPayEss+ZS8*BlendedProvPayPrem+ZT8*BlendedProvPayElite)</f>
        <v/>
      </c>
      <c r="AAI8" s="12">
        <f>AAA8*PaymentFee</f>
        <v/>
      </c>
      <c r="AAJ8" s="12">
        <f>ZU8*OpsAI</f>
        <v/>
      </c>
      <c r="AAK8" s="12">
        <f>MonthlyFixed</f>
        <v/>
      </c>
      <c r="AAL8" s="12">
        <f>ZE8*ReferralReward</f>
        <v/>
      </c>
      <c r="AAM8" s="12">
        <f>ZC8</f>
        <v/>
      </c>
      <c r="AAN8" s="9">
        <f>AAD8-AAH8-AAI8-AAJ8-AAK8-AAL8-AAM8</f>
        <v/>
      </c>
      <c r="AAO8" s="9">
        <f>AAO7+AAA8-(AAH8+AAI8+AAJ8+AAK8+AAL8+AAM8+AAF8)</f>
        <v/>
      </c>
      <c r="AAP8" s="12">
        <f>IF(ZU8&gt;0,ZV8/ZU8,0)</f>
        <v/>
      </c>
      <c r="AAQ8" s="11">
        <f>IF(ZU7&gt;0,MAX(0,(ZU7+ZF8-ZU8)/ZU7),0)</f>
        <v/>
      </c>
      <c r="AAS8" s="12" t="n">
        <v>4</v>
      </c>
      <c r="AAT8" s="12">
        <f>MOD(AAS8-1+LaunchMonth-1,12)+1</f>
        <v/>
      </c>
      <c r="AAU8" s="12">
        <f>INT((AAS8-1+LaunchMonth-1)/12)+1</f>
        <v/>
      </c>
      <c r="AAV8" s="12">
        <f>VLOOKUP(AAT8,SeasonTable,2,FALSE)</f>
        <v/>
      </c>
      <c r="AAW8" s="12">
        <f>(1+InflationRate)^INT((AAS8-1)/12)</f>
        <v/>
      </c>
      <c r="AAX8" s="11">
        <f>MonthlyChurn*VLOOKUP(AAT8,ChurnSeasonTable,4,FALSE)</f>
        <v/>
      </c>
      <c r="AAY8" s="12">
        <f>MIN(MktFixed4_6,MAX(0,ACK7-CashBuffer))</f>
        <v/>
      </c>
      <c r="AAZ8" s="12">
        <f>IF(AAY8&gt;0,MAX(1,ROUND(AAY8/CAC*AAV8,0)),0)</f>
        <v/>
      </c>
      <c r="ABA8" s="12">
        <f>IF(AAZ8&gt;0,ROUND(AAZ8*ReferralMix/(1-ReferralMix),0),0)</f>
        <v/>
      </c>
      <c r="ABB8" s="12">
        <f>AAZ8+ABA8</f>
        <v/>
      </c>
      <c r="ABC8" s="12">
        <f>ROUND(ABB8*(1-'Sens - Annual Mix'!$A$12),0)</f>
        <v/>
      </c>
      <c r="ABD8" s="12">
        <f>ABB8-ABC8</f>
        <v/>
      </c>
      <c r="ABE8" s="12">
        <f>ROUND(ABC8*EssentialMix,0)</f>
        <v/>
      </c>
      <c r="ABF8" s="12">
        <f>ROUND(ABC8*PremiumMix,0)</f>
        <v/>
      </c>
      <c r="ABG8" s="12">
        <f>ABC8-ABE8-ABF8</f>
        <v/>
      </c>
      <c r="ABH8" s="12">
        <f>ROUND(ABD8*EssentialMix,0)</f>
        <v/>
      </c>
      <c r="ABI8" s="12">
        <f>ROUND(ABD8*PremiumMix,0)</f>
        <v/>
      </c>
      <c r="ABJ8" s="12">
        <f>ABD8-ABH8-ABI8</f>
        <v/>
      </c>
      <c r="ABK8" s="12">
        <f>ABE8+ABE7+ABE6+MAX(0,ABK7-ABE7-ABE6)*(1-AAX8)</f>
        <v/>
      </c>
      <c r="ABL8" s="12">
        <f>ABF8+ABF7+ABF6+MAX(0,ABL7-ABF7-ABF6)*(1-AAX8)</f>
        <v/>
      </c>
      <c r="ABM8" s="12">
        <f>ABG8+ABG7+ABG6+MAX(0,ABM7-ABG7-ABG6)*(1-AAX8)</f>
        <v/>
      </c>
      <c r="ABN8" s="12">
        <f>SUM(ABH$5:ABH8)</f>
        <v/>
      </c>
      <c r="ABO8" s="12">
        <f>SUM(ABI$5:ABI8)</f>
        <v/>
      </c>
      <c r="ABP8" s="12">
        <f>SUM(ABJ$5:ABJ8)</f>
        <v/>
      </c>
      <c r="ABQ8" s="12">
        <f>ABK8+ABL8+ABM8+ABN8+ABO8+ABP8</f>
        <v/>
      </c>
      <c r="ABR8" s="9">
        <f>ABK8*BlendedPriceEssMonthly*AAW8+ABL8*BlendedPricePremMonthly*AAW8+ABM8*BlendedPriceEliteMonthly*AAW8+ABN8*BlendedPriceEssAnnual*AAW8/12+ABO8*BlendedPricePremAnnual*AAW8/12+ABP8*BlendedPriceEliteAnnual*AAW8/12</f>
        <v/>
      </c>
      <c r="ABS8" s="9">
        <f>ABR8*12</f>
        <v/>
      </c>
      <c r="ABT8" s="12">
        <f>ABK8*BlendedPriceEssMonthly*AAW8+ABL8*BlendedPricePremMonthly*AAW8+ABM8*BlendedPriceEliteMonthly*AAW8</f>
        <v/>
      </c>
      <c r="ABU8" s="12">
        <f>ABH8*BlendedPriceEssAnnual*AAW8+ABI8*BlendedPricePremAnnual*AAW8+ABJ8*BlendedPriceEliteAnnual*AAW8</f>
        <v/>
      </c>
      <c r="ABV8" s="12">
        <f>0+0+0</f>
        <v/>
      </c>
      <c r="ABW8" s="9">
        <f>ABT8+ABU8+ABV8</f>
        <v/>
      </c>
      <c r="ABX8" s="12">
        <f>SUM(ABW$5:ABW8)</f>
        <v/>
      </c>
      <c r="ABY8" s="12">
        <f>OR(ABY7,IF(VATAgentMode,SUM($ABW$5:$ABW8)-SUM($ACD$5:$ACD8)&gt;=VATThreshold,SUM($ABW$5:$ABW8)&gt;=VATThreshold))</f>
        <v/>
      </c>
      <c r="ABZ8" s="9">
        <f>IF(ABY8,IF(VATAgentMode,ABW8-((ABW8-ACD8)-(ABW8-ACD8)/(1+VATRate)),ABW8/(1+VATRate)),ABW8)</f>
        <v/>
      </c>
      <c r="ACA8" s="12">
        <f>ABW8-ABZ8</f>
        <v/>
      </c>
      <c r="ACB8" s="12">
        <f>IF(ABY8=0,0,IF(AAT8=1,SUMPRODUCT(--(($AAU$5:$AAU8=$AAU8-1)*($AAT$5:$AAT8&gt;=10)*($AAT$5:$AAT8&lt;=12)),$ACA$5:$ACA8),IF(AAT8=4,SUMPRODUCT(--(($AAU$5:$AAU8=$AAU8)*($AAT$5:$AAT8&gt;=1)*($AAT$5:$AAT8&lt;=3)),$ACA$5:$ACA8),IF(AAT8=7,SUMPRODUCT(--(($AAU$5:$AAU8=$AAU8)*($AAT$5:$AAT8&gt;=4)*($AAT$5:$AAT8&lt;=6)),$ACA$5:$ACA8),IF(AAT8=10,SUMPRODUCT(--(($AAU$5:$AAU8=$AAU8)*($AAT$5:$AAT8&gt;=7)*($AAT$5:$AAT8&lt;=9)),$ACA$5:$ACA8),0)))))</f>
        <v/>
      </c>
      <c r="ACC8" s="12">
        <f>ACC7+ACA8-ACB8</f>
        <v/>
      </c>
      <c r="ACD8" s="12">
        <f>IF(ProviderDelay&gt;=1,ABK7*BlendedProvPayEss+ABL7*BlendedProvPayPrem+ABM7*BlendedProvPayElite+ABN7*BlendedProvPayEss+ABO7*BlendedProvPayPrem+ABP7*BlendedProvPayElite,ABK8*BlendedProvPayEss+ABL8*BlendedProvPayPrem+ABM8*BlendedProvPayElite+ABN8*BlendedProvPayEss+ABO8*BlendedProvPayPrem+ABP8*BlendedProvPayElite)</f>
        <v/>
      </c>
      <c r="ACE8" s="12">
        <f>ABW8*PaymentFee</f>
        <v/>
      </c>
      <c r="ACF8" s="12">
        <f>ABQ8*OpsAI</f>
        <v/>
      </c>
      <c r="ACG8" s="12">
        <f>MonthlyFixed</f>
        <v/>
      </c>
      <c r="ACH8" s="12">
        <f>ABA8*ReferralReward</f>
        <v/>
      </c>
      <c r="ACI8" s="12">
        <f>AAY8</f>
        <v/>
      </c>
      <c r="ACJ8" s="9">
        <f>ABZ8-ACD8-ACE8-ACF8-ACG8-ACH8-ACI8</f>
        <v/>
      </c>
      <c r="ACK8" s="9">
        <f>ACK7+ABW8-(ACD8+ACE8+ACF8+ACG8+ACH8+ACI8+ACB8)</f>
        <v/>
      </c>
      <c r="ACL8" s="12">
        <f>IF(ABQ8&gt;0,ABR8/ABQ8,0)</f>
        <v/>
      </c>
      <c r="ACM8" s="11">
        <f>IF(ABQ7&gt;0,MAX(0,(ABQ7+ABB8-ABQ8)/ABQ7),0)</f>
        <v/>
      </c>
      <c r="ACO8" s="12" t="n">
        <v>4</v>
      </c>
      <c r="ACP8" s="12">
        <f>MOD(ACO8-1+LaunchMonth-1,12)+1</f>
        <v/>
      </c>
      <c r="ACQ8" s="12">
        <f>INT((ACO8-1+LaunchMonth-1)/12)+1</f>
        <v/>
      </c>
      <c r="ACR8" s="12">
        <f>VLOOKUP(ACP8,SeasonTable,2,FALSE)</f>
        <v/>
      </c>
      <c r="ACS8" s="12">
        <f>(1+InflationRate)^INT((ACO8-1)/12)</f>
        <v/>
      </c>
      <c r="ACT8" s="11">
        <f>MonthlyChurn*VLOOKUP(ACP8,ChurnSeasonTable,4,FALSE)</f>
        <v/>
      </c>
      <c r="ACU8" s="12">
        <f>MIN(MktFixed4_6,MAX(0,AEG7-CashBuffer))</f>
        <v/>
      </c>
      <c r="ACV8" s="12">
        <f>IF(ACU8&gt;0,MAX(1,ROUND(ACU8/CAC*ACR8,0)),0)</f>
        <v/>
      </c>
      <c r="ACW8" s="12">
        <f>IF(ACV8&gt;0,ROUND(ACV8*ReferralMix/(1-ReferralMix),0),0)</f>
        <v/>
      </c>
      <c r="ACX8" s="12">
        <f>ACV8+ACW8</f>
        <v/>
      </c>
      <c r="ACY8" s="12">
        <f>ROUND(ACX8*(1-'Sens - Annual Mix'!$A$13),0)</f>
        <v/>
      </c>
      <c r="ACZ8" s="12">
        <f>ACX8-ACY8</f>
        <v/>
      </c>
      <c r="ADA8" s="12">
        <f>ROUND(ACY8*EssentialMix,0)</f>
        <v/>
      </c>
      <c r="ADB8" s="12">
        <f>ROUND(ACY8*PremiumMix,0)</f>
        <v/>
      </c>
      <c r="ADC8" s="12">
        <f>ACY8-ADA8-ADB8</f>
        <v/>
      </c>
      <c r="ADD8" s="12">
        <f>ROUND(ACZ8*EssentialMix,0)</f>
        <v/>
      </c>
      <c r="ADE8" s="12">
        <f>ROUND(ACZ8*PremiumMix,0)</f>
        <v/>
      </c>
      <c r="ADF8" s="12">
        <f>ACZ8-ADD8-ADE8</f>
        <v/>
      </c>
      <c r="ADG8" s="12">
        <f>ADA8+ADA7+ADA6+MAX(0,ADG7-ADA7-ADA6)*(1-ACT8)</f>
        <v/>
      </c>
      <c r="ADH8" s="12">
        <f>ADB8+ADB7+ADB6+MAX(0,ADH7-ADB7-ADB6)*(1-ACT8)</f>
        <v/>
      </c>
      <c r="ADI8" s="12">
        <f>ADC8+ADC7+ADC6+MAX(0,ADI7-ADC7-ADC6)*(1-ACT8)</f>
        <v/>
      </c>
      <c r="ADJ8" s="12">
        <f>SUM(ADD$5:ADD8)</f>
        <v/>
      </c>
      <c r="ADK8" s="12">
        <f>SUM(ADE$5:ADE8)</f>
        <v/>
      </c>
      <c r="ADL8" s="12">
        <f>SUM(ADF$5:ADF8)</f>
        <v/>
      </c>
      <c r="ADM8" s="12">
        <f>ADG8+ADH8+ADI8+ADJ8+ADK8+ADL8</f>
        <v/>
      </c>
      <c r="ADN8" s="9">
        <f>ADG8*BlendedPriceEssMonthly*ACS8+ADH8*BlendedPricePremMonthly*ACS8+ADI8*BlendedPriceEliteMonthly*ACS8+ADJ8*BlendedPriceEssAnnual*ACS8/12+ADK8*BlendedPricePremAnnual*ACS8/12+ADL8*BlendedPriceEliteAnnual*ACS8/12</f>
        <v/>
      </c>
      <c r="ADO8" s="9">
        <f>ADN8*12</f>
        <v/>
      </c>
      <c r="ADP8" s="12">
        <f>ADG8*BlendedPriceEssMonthly*ACS8+ADH8*BlendedPricePremMonthly*ACS8+ADI8*BlendedPriceEliteMonthly*ACS8</f>
        <v/>
      </c>
      <c r="ADQ8" s="12">
        <f>ADD8*BlendedPriceEssAnnual*ACS8+ADE8*BlendedPricePremAnnual*ACS8+ADF8*BlendedPriceEliteAnnual*ACS8</f>
        <v/>
      </c>
      <c r="ADR8" s="12">
        <f>0+0+0</f>
        <v/>
      </c>
      <c r="ADS8" s="9">
        <f>ADP8+ADQ8+ADR8</f>
        <v/>
      </c>
      <c r="ADT8" s="12">
        <f>SUM(ADS$5:ADS8)</f>
        <v/>
      </c>
      <c r="ADU8" s="12">
        <f>OR(ADU7,IF(VATAgentMode,SUM($ADS$5:$ADS8)-SUM($ADZ$5:$ADZ8)&gt;=VATThreshold,SUM($ADS$5:$ADS8)&gt;=VATThreshold))</f>
        <v/>
      </c>
      <c r="ADV8" s="9">
        <f>IF(ADU8,IF(VATAgentMode,ADS8-((ADS8-ADZ8)-(ADS8-ADZ8)/(1+VATRate)),ADS8/(1+VATRate)),ADS8)</f>
        <v/>
      </c>
      <c r="ADW8" s="12">
        <f>ADS8-ADV8</f>
        <v/>
      </c>
      <c r="ADX8" s="12">
        <f>IF(ADU8=0,0,IF(ACP8=1,SUMPRODUCT(--(($ACQ$5:$ACQ8=$ACQ8-1)*($ACP$5:$ACP8&gt;=10)*($ACP$5:$ACP8&lt;=12)),$ADW$5:$ADW8),IF(ACP8=4,SUMPRODUCT(--(($ACQ$5:$ACQ8=$ACQ8)*($ACP$5:$ACP8&gt;=1)*($ACP$5:$ACP8&lt;=3)),$ADW$5:$ADW8),IF(ACP8=7,SUMPRODUCT(--(($ACQ$5:$ACQ8=$ACQ8)*($ACP$5:$ACP8&gt;=4)*($ACP$5:$ACP8&lt;=6)),$ADW$5:$ADW8),IF(ACP8=10,SUMPRODUCT(--(($ACQ$5:$ACQ8=$ACQ8)*($ACP$5:$ACP8&gt;=7)*($ACP$5:$ACP8&lt;=9)),$ADW$5:$ADW8),0)))))</f>
        <v/>
      </c>
      <c r="ADY8" s="12">
        <f>ADY7+ADW8-ADX8</f>
        <v/>
      </c>
      <c r="ADZ8" s="12">
        <f>IF(ProviderDelay&gt;=1,ADG7*BlendedProvPayEss+ADH7*BlendedProvPayPrem+ADI7*BlendedProvPayElite+ADJ7*BlendedProvPayEss+ADK7*BlendedProvPayPrem+ADL7*BlendedProvPayElite,ADG8*BlendedProvPayEss+ADH8*BlendedProvPayPrem+ADI8*BlendedProvPayElite+ADJ8*BlendedProvPayEss+ADK8*BlendedProvPayPrem+ADL8*BlendedProvPayElite)</f>
        <v/>
      </c>
      <c r="AEA8" s="12">
        <f>ADS8*PaymentFee</f>
        <v/>
      </c>
      <c r="AEB8" s="12">
        <f>ADM8*OpsAI</f>
        <v/>
      </c>
      <c r="AEC8" s="12">
        <f>MonthlyFixed</f>
        <v/>
      </c>
      <c r="AED8" s="12">
        <f>ACW8*ReferralReward</f>
        <v/>
      </c>
      <c r="AEE8" s="12">
        <f>ACU8</f>
        <v/>
      </c>
      <c r="AEF8" s="9">
        <f>ADV8-ADZ8-AEA8-AEB8-AEC8-AED8-AEE8</f>
        <v/>
      </c>
      <c r="AEG8" s="9">
        <f>AEG7+ADS8-(ADZ8+AEA8+AEB8+AEC8+AED8+AEE8+ADX8)</f>
        <v/>
      </c>
      <c r="AEH8" s="12">
        <f>IF(ADM8&gt;0,ADN8/ADM8,0)</f>
        <v/>
      </c>
      <c r="AEI8" s="11">
        <f>IF(ADM7&gt;0,MAX(0,(ADM7+ACX8-ADM8)/ADM7),0)</f>
        <v/>
      </c>
      <c r="AEK8" s="12" t="n">
        <v>4</v>
      </c>
      <c r="AEL8" s="12">
        <f>MOD(AEK8-1+LaunchMonth-1,12)+1</f>
        <v/>
      </c>
      <c r="AEM8" s="12">
        <f>INT((AEK8-1+LaunchMonth-1)/12)+1</f>
        <v/>
      </c>
      <c r="AEN8" s="12">
        <f>VLOOKUP(AEL8,SeasonTable,2,FALSE)</f>
        <v/>
      </c>
      <c r="AEO8" s="12">
        <f>(1+InflationRate)^INT((AEK8-1)/12)</f>
        <v/>
      </c>
      <c r="AEP8" s="11">
        <f>MonthlyChurn*VLOOKUP(AEL8,ChurnSeasonTable,4,FALSE)</f>
        <v/>
      </c>
      <c r="AEQ8" s="12">
        <f>MIN(MktFixed4_6,MAX(0,AGC7-CashBuffer))</f>
        <v/>
      </c>
      <c r="AER8" s="12">
        <f>IF(AEQ8&gt;0,MAX(1,ROUND(AEQ8/CAC*AEN8,0)),0)</f>
        <v/>
      </c>
      <c r="AES8" s="12">
        <f>IF(AER8&gt;0,ROUND(AER8*ReferralMix/(1-ReferralMix),0),0)</f>
        <v/>
      </c>
      <c r="AET8" s="12">
        <f>AER8+AES8</f>
        <v/>
      </c>
      <c r="AEU8" s="12">
        <f>ROUND(AET8*(1-'Sens - Annual Mix'!$A$14),0)</f>
        <v/>
      </c>
      <c r="AEV8" s="12">
        <f>AET8-AEU8</f>
        <v/>
      </c>
      <c r="AEW8" s="12">
        <f>ROUND(AEU8*EssentialMix,0)</f>
        <v/>
      </c>
      <c r="AEX8" s="12">
        <f>ROUND(AEU8*PremiumMix,0)</f>
        <v/>
      </c>
      <c r="AEY8" s="12">
        <f>AEU8-AEW8-AEX8</f>
        <v/>
      </c>
      <c r="AEZ8" s="12">
        <f>ROUND(AEV8*EssentialMix,0)</f>
        <v/>
      </c>
      <c r="AFA8" s="12">
        <f>ROUND(AEV8*PremiumMix,0)</f>
        <v/>
      </c>
      <c r="AFB8" s="12">
        <f>AEV8-AEZ8-AFA8</f>
        <v/>
      </c>
      <c r="AFC8" s="12">
        <f>AEW8+AEW7+AEW6+MAX(0,AFC7-AEW7-AEW6)*(1-AEP8)</f>
        <v/>
      </c>
      <c r="AFD8" s="12">
        <f>AEX8+AEX7+AEX6+MAX(0,AFD7-AEX7-AEX6)*(1-AEP8)</f>
        <v/>
      </c>
      <c r="AFE8" s="12">
        <f>AEY8+AEY7+AEY6+MAX(0,AFE7-AEY7-AEY6)*(1-AEP8)</f>
        <v/>
      </c>
      <c r="AFF8" s="12">
        <f>SUM(AEZ$5:AEZ8)</f>
        <v/>
      </c>
      <c r="AFG8" s="12">
        <f>SUM(AFA$5:AFA8)</f>
        <v/>
      </c>
      <c r="AFH8" s="12">
        <f>SUM(AFB$5:AFB8)</f>
        <v/>
      </c>
      <c r="AFI8" s="12">
        <f>AFC8+AFD8+AFE8+AFF8+AFG8+AFH8</f>
        <v/>
      </c>
      <c r="AFJ8" s="9">
        <f>AFC8*BlendedPriceEssMonthly*AEO8+AFD8*BlendedPricePremMonthly*AEO8+AFE8*BlendedPriceEliteMonthly*AEO8+AFF8*BlendedPriceEssAnnual*AEO8/12+AFG8*BlendedPricePremAnnual*AEO8/12+AFH8*BlendedPriceEliteAnnual*AEO8/12</f>
        <v/>
      </c>
      <c r="AFK8" s="9">
        <f>AFJ8*12</f>
        <v/>
      </c>
      <c r="AFL8" s="12">
        <f>AFC8*BlendedPriceEssMonthly*AEO8+AFD8*BlendedPricePremMonthly*AEO8+AFE8*BlendedPriceEliteMonthly*AEO8</f>
        <v/>
      </c>
      <c r="AFM8" s="12">
        <f>AEZ8*BlendedPriceEssAnnual*AEO8+AFA8*BlendedPricePremAnnual*AEO8+AFB8*BlendedPriceEliteAnnual*AEO8</f>
        <v/>
      </c>
      <c r="AFN8" s="12">
        <f>0+0+0</f>
        <v/>
      </c>
      <c r="AFO8" s="9">
        <f>AFL8+AFM8+AFN8</f>
        <v/>
      </c>
      <c r="AFP8" s="12">
        <f>SUM(AFO$5:AFO8)</f>
        <v/>
      </c>
      <c r="AFQ8" s="12">
        <f>OR(AFQ7,IF(VATAgentMode,SUM($AFO$5:$AFO8)-SUM($AFV$5:$AFV8)&gt;=VATThreshold,SUM($AFO$5:$AFO8)&gt;=VATThreshold))</f>
        <v/>
      </c>
      <c r="AFR8" s="9">
        <f>IF(AFQ8,IF(VATAgentMode,AFO8-((AFO8-AFV8)-(AFO8-AFV8)/(1+VATRate)),AFO8/(1+VATRate)),AFO8)</f>
        <v/>
      </c>
      <c r="AFS8" s="12">
        <f>AFO8-AFR8</f>
        <v/>
      </c>
      <c r="AFT8" s="12">
        <f>IF(AFQ8=0,0,IF(AEL8=1,SUMPRODUCT(--(($AEM$5:$AEM8=$AEM8-1)*($AEL$5:$AEL8&gt;=10)*($AEL$5:$AEL8&lt;=12)),$AFS$5:$AFS8),IF(AEL8=4,SUMPRODUCT(--(($AEM$5:$AEM8=$AEM8)*($AEL$5:$AEL8&gt;=1)*($AEL$5:$AEL8&lt;=3)),$AFS$5:$AFS8),IF(AEL8=7,SUMPRODUCT(--(($AEM$5:$AEM8=$AEM8)*($AEL$5:$AEL8&gt;=4)*($AEL$5:$AEL8&lt;=6)),$AFS$5:$AFS8),IF(AEL8=10,SUMPRODUCT(--(($AEM$5:$AEM8=$AEM8)*($AEL$5:$AEL8&gt;=7)*($AEL$5:$AEL8&lt;=9)),$AFS$5:$AFS8),0)))))</f>
        <v/>
      </c>
      <c r="AFU8" s="12">
        <f>AFU7+AFS8-AFT8</f>
        <v/>
      </c>
      <c r="AFV8" s="12">
        <f>IF(ProviderDelay&gt;=1,AFC7*BlendedProvPayEss+AFD7*BlendedProvPayPrem+AFE7*BlendedProvPayElite+AFF7*BlendedProvPayEss+AFG7*BlendedProvPayPrem+AFH7*BlendedProvPayElite,AFC8*BlendedProvPayEss+AFD8*BlendedProvPayPrem+AFE8*BlendedProvPayElite+AFF8*BlendedProvPayEss+AFG8*BlendedProvPayPrem+AFH8*BlendedProvPayElite)</f>
        <v/>
      </c>
      <c r="AFW8" s="12">
        <f>AFO8*PaymentFee</f>
        <v/>
      </c>
      <c r="AFX8" s="12">
        <f>AFI8*OpsAI</f>
        <v/>
      </c>
      <c r="AFY8" s="12">
        <f>MonthlyFixed</f>
        <v/>
      </c>
      <c r="AFZ8" s="12">
        <f>AES8*ReferralReward</f>
        <v/>
      </c>
      <c r="AGA8" s="12">
        <f>AEQ8</f>
        <v/>
      </c>
      <c r="AGB8" s="9">
        <f>AFR8-AFV8-AFW8-AFX8-AFY8-AFZ8-AGA8</f>
        <v/>
      </c>
      <c r="AGC8" s="9">
        <f>AGC7+AFO8-(AFV8+AFW8+AFX8+AFY8+AFZ8+AGA8+AFT8)</f>
        <v/>
      </c>
      <c r="AGD8" s="12">
        <f>IF(AFI8&gt;0,AFJ8/AFI8,0)</f>
        <v/>
      </c>
      <c r="AGE8" s="11">
        <f>IF(AFI7&gt;0,MAX(0,(AFI7+AET8-AFI8)/AFI7),0)</f>
        <v/>
      </c>
      <c r="AGG8" s="12" t="n">
        <v>4</v>
      </c>
      <c r="AGH8" s="12">
        <f>MOD(AGG8-1+LaunchMonth-1,12)+1</f>
        <v/>
      </c>
      <c r="AGI8" s="12">
        <f>INT((AGG8-1+LaunchMonth-1)/12)+1</f>
        <v/>
      </c>
      <c r="AGJ8" s="12">
        <f>VLOOKUP(AGH8,SeasonTable,2,FALSE)</f>
        <v/>
      </c>
      <c r="AGK8" s="12">
        <f>(1+InflationRate)^INT((AGG8-1)/12)</f>
        <v/>
      </c>
      <c r="AGL8" s="11">
        <f>MonthlyChurn*VLOOKUP(AGH8,ChurnSeasonTable,4,FALSE)</f>
        <v/>
      </c>
      <c r="AGM8" s="12">
        <f>MIN(MktFixed4_6,MAX(0,AHY7-CashBuffer))</f>
        <v/>
      </c>
      <c r="AGN8" s="12">
        <f>IF(AGM8&gt;0,MAX(1,ROUND(AGM8/CAC*AGJ8,0)),0)</f>
        <v/>
      </c>
      <c r="AGO8" s="12">
        <f>IF(AGN8&gt;0,ROUND(AGN8*ReferralMix/(1-ReferralMix),0),0)</f>
        <v/>
      </c>
      <c r="AGP8" s="12">
        <f>AGN8+AGO8</f>
        <v/>
      </c>
      <c r="AGQ8" s="12">
        <f>ROUND(AGP8*(1-'Sens - Annual Mix'!$A$15),0)</f>
        <v/>
      </c>
      <c r="AGR8" s="12">
        <f>AGP8-AGQ8</f>
        <v/>
      </c>
      <c r="AGS8" s="12">
        <f>ROUND(AGQ8*EssentialMix,0)</f>
        <v/>
      </c>
      <c r="AGT8" s="12">
        <f>ROUND(AGQ8*PremiumMix,0)</f>
        <v/>
      </c>
      <c r="AGU8" s="12">
        <f>AGQ8-AGS8-AGT8</f>
        <v/>
      </c>
      <c r="AGV8" s="12">
        <f>ROUND(AGR8*EssentialMix,0)</f>
        <v/>
      </c>
      <c r="AGW8" s="12">
        <f>ROUND(AGR8*PremiumMix,0)</f>
        <v/>
      </c>
      <c r="AGX8" s="12">
        <f>AGR8-AGV8-AGW8</f>
        <v/>
      </c>
      <c r="AGY8" s="12">
        <f>AGS8+AGS7+AGS6+MAX(0,AGY7-AGS7-AGS6)*(1-AGL8)</f>
        <v/>
      </c>
      <c r="AGZ8" s="12">
        <f>AGT8+AGT7+AGT6+MAX(0,AGZ7-AGT7-AGT6)*(1-AGL8)</f>
        <v/>
      </c>
      <c r="AHA8" s="12">
        <f>AGU8+AGU7+AGU6+MAX(0,AHA7-AGU7-AGU6)*(1-AGL8)</f>
        <v/>
      </c>
      <c r="AHB8" s="12">
        <f>SUM(AGV$5:AGV8)</f>
        <v/>
      </c>
      <c r="AHC8" s="12">
        <f>SUM(AGW$5:AGW8)</f>
        <v/>
      </c>
      <c r="AHD8" s="12">
        <f>SUM(AGX$5:AGX8)</f>
        <v/>
      </c>
      <c r="AHE8" s="12">
        <f>AGY8+AGZ8+AHA8+AHB8+AHC8+AHD8</f>
        <v/>
      </c>
      <c r="AHF8" s="9">
        <f>AGY8*BlendedPriceEssMonthly*AGK8+AGZ8*BlendedPricePremMonthly*AGK8+AHA8*BlendedPriceEliteMonthly*AGK8+AHB8*BlendedPriceEssAnnual*AGK8/12+AHC8*BlendedPricePremAnnual*AGK8/12+AHD8*BlendedPriceEliteAnnual*AGK8/12</f>
        <v/>
      </c>
      <c r="AHG8" s="9">
        <f>AHF8*12</f>
        <v/>
      </c>
      <c r="AHH8" s="12">
        <f>AGY8*BlendedPriceEssMonthly*AGK8+AGZ8*BlendedPricePremMonthly*AGK8+AHA8*BlendedPriceEliteMonthly*AGK8</f>
        <v/>
      </c>
      <c r="AHI8" s="12">
        <f>AGV8*BlendedPriceEssAnnual*AGK8+AGW8*BlendedPricePremAnnual*AGK8+AGX8*BlendedPriceEliteAnnual*AGK8</f>
        <v/>
      </c>
      <c r="AHJ8" s="12">
        <f>0+0+0</f>
        <v/>
      </c>
      <c r="AHK8" s="9">
        <f>AHH8+AHI8+AHJ8</f>
        <v/>
      </c>
      <c r="AHL8" s="12">
        <f>SUM(AHK$5:AHK8)</f>
        <v/>
      </c>
      <c r="AHM8" s="12">
        <f>OR(AHM7,IF(VATAgentMode,SUM($AHK$5:$AHK8)-SUM($AHR$5:$AHR8)&gt;=VATThreshold,SUM($AHK$5:$AHK8)&gt;=VATThreshold))</f>
        <v/>
      </c>
      <c r="AHN8" s="9">
        <f>IF(AHM8,IF(VATAgentMode,AHK8-((AHK8-AHR8)-(AHK8-AHR8)/(1+VATRate)),AHK8/(1+VATRate)),AHK8)</f>
        <v/>
      </c>
      <c r="AHO8" s="12">
        <f>AHK8-AHN8</f>
        <v/>
      </c>
      <c r="AHP8" s="12">
        <f>IF(AHM8=0,0,IF(AGH8=1,SUMPRODUCT(--(($AGI$5:$AGI8=$AGI8-1)*($AGH$5:$AGH8&gt;=10)*($AGH$5:$AGH8&lt;=12)),$AHO$5:$AHO8),IF(AGH8=4,SUMPRODUCT(--(($AGI$5:$AGI8=$AGI8)*($AGH$5:$AGH8&gt;=1)*($AGH$5:$AGH8&lt;=3)),$AHO$5:$AHO8),IF(AGH8=7,SUMPRODUCT(--(($AGI$5:$AGI8=$AGI8)*($AGH$5:$AGH8&gt;=4)*($AGH$5:$AGH8&lt;=6)),$AHO$5:$AHO8),IF(AGH8=10,SUMPRODUCT(--(($AGI$5:$AGI8=$AGI8)*($AGH$5:$AGH8&gt;=7)*($AGH$5:$AGH8&lt;=9)),$AHO$5:$AHO8),0)))))</f>
        <v/>
      </c>
      <c r="AHQ8" s="12">
        <f>AHQ7+AHO8-AHP8</f>
        <v/>
      </c>
      <c r="AHR8" s="12">
        <f>IF(ProviderDelay&gt;=1,AGY7*BlendedProvPayEss+AGZ7*BlendedProvPayPrem+AHA7*BlendedProvPayElite+AHB7*BlendedProvPayEss+AHC7*BlendedProvPayPrem+AHD7*BlendedProvPayElite,AGY8*BlendedProvPayEss+AGZ8*BlendedProvPayPrem+AHA8*BlendedProvPayElite+AHB8*BlendedProvPayEss+AHC8*BlendedProvPayPrem+AHD8*BlendedProvPayElite)</f>
        <v/>
      </c>
      <c r="AHS8" s="12">
        <f>AHK8*PaymentFee</f>
        <v/>
      </c>
      <c r="AHT8" s="12">
        <f>AHE8*OpsAI</f>
        <v/>
      </c>
      <c r="AHU8" s="12">
        <f>MonthlyFixed</f>
        <v/>
      </c>
      <c r="AHV8" s="12">
        <f>AGO8*ReferralReward</f>
        <v/>
      </c>
      <c r="AHW8" s="12">
        <f>AGM8</f>
        <v/>
      </c>
      <c r="AHX8" s="9">
        <f>AHN8-AHR8-AHS8-AHT8-AHU8-AHV8-AHW8</f>
        <v/>
      </c>
      <c r="AHY8" s="9">
        <f>AHY7+AHK8-(AHR8+AHS8+AHT8+AHU8+AHV8+AHW8+AHP8)</f>
        <v/>
      </c>
      <c r="AHZ8" s="12">
        <f>IF(AHE8&gt;0,AHF8/AHE8,0)</f>
        <v/>
      </c>
      <c r="AIA8" s="11">
        <f>IF(AHE7&gt;0,MAX(0,(AHE7+AGP8-AHE8)/AHE7),0)</f>
        <v/>
      </c>
      <c r="AIC8" s="12" t="n">
        <v>4</v>
      </c>
      <c r="AID8" s="12">
        <f>MOD(AIC8-1+LaunchMonth-1,12)+1</f>
        <v/>
      </c>
      <c r="AIE8" s="12">
        <f>INT((AIC8-1+LaunchMonth-1)/12)+1</f>
        <v/>
      </c>
      <c r="AIF8" s="12">
        <f>VLOOKUP(AID8,SeasonTable,2,FALSE)</f>
        <v/>
      </c>
      <c r="AIG8" s="12">
        <f>(1+InflationRate)^INT((AIC8-1)/12)</f>
        <v/>
      </c>
      <c r="AIH8" s="11">
        <f>MonthlyChurn*VLOOKUP(AID8,ChurnSeasonTable,4,FALSE)</f>
        <v/>
      </c>
      <c r="AII8" s="12">
        <f>MIN(MktFixed4_6,MAX(0,AJU7-CashBuffer))</f>
        <v/>
      </c>
      <c r="AIJ8" s="12">
        <f>IF(AII8&gt;0,MAX(1,ROUND(AII8/'Sens - CAC &amp; Marketing'!$A$9*AIF8,0)),0)</f>
        <v/>
      </c>
      <c r="AIK8" s="12">
        <f>IF(AIJ8&gt;0,ROUND(AIJ8*ReferralMix/(1-ReferralMix),0),0)</f>
        <v/>
      </c>
      <c r="AIL8" s="12">
        <f>AIJ8+AIK8</f>
        <v/>
      </c>
      <c r="AIM8" s="12">
        <f>ROUND(AIL8*(1-AnnualMix),0)</f>
        <v/>
      </c>
      <c r="AIN8" s="12">
        <f>AIL8-AIM8</f>
        <v/>
      </c>
      <c r="AIO8" s="12">
        <f>ROUND(AIM8*EssentialMix,0)</f>
        <v/>
      </c>
      <c r="AIP8" s="12">
        <f>ROUND(AIM8*PremiumMix,0)</f>
        <v/>
      </c>
      <c r="AIQ8" s="12">
        <f>AIM8-AIO8-AIP8</f>
        <v/>
      </c>
      <c r="AIR8" s="12">
        <f>ROUND(AIN8*EssentialMix,0)</f>
        <v/>
      </c>
      <c r="AIS8" s="12">
        <f>ROUND(AIN8*PremiumMix,0)</f>
        <v/>
      </c>
      <c r="AIT8" s="12">
        <f>AIN8-AIR8-AIS8</f>
        <v/>
      </c>
      <c r="AIU8" s="12">
        <f>AIO8+AIO7+AIO6+MAX(0,AIU7-AIO7-AIO6)*(1-AIH8)</f>
        <v/>
      </c>
      <c r="AIV8" s="12">
        <f>AIP8+AIP7+AIP6+MAX(0,AIV7-AIP7-AIP6)*(1-AIH8)</f>
        <v/>
      </c>
      <c r="AIW8" s="12">
        <f>AIQ8+AIQ7+AIQ6+MAX(0,AIW7-AIQ7-AIQ6)*(1-AIH8)</f>
        <v/>
      </c>
      <c r="AIX8" s="12">
        <f>SUM(AIR$5:AIR8)</f>
        <v/>
      </c>
      <c r="AIY8" s="12">
        <f>SUM(AIS$5:AIS8)</f>
        <v/>
      </c>
      <c r="AIZ8" s="12">
        <f>SUM(AIT$5:AIT8)</f>
        <v/>
      </c>
      <c r="AJA8" s="12">
        <f>AIU8+AIV8+AIW8+AIX8+AIY8+AIZ8</f>
        <v/>
      </c>
      <c r="AJB8" s="9">
        <f>AIU8*BlendedPriceEssMonthly*AIG8+AIV8*BlendedPricePremMonthly*AIG8+AIW8*BlendedPriceEliteMonthly*AIG8+AIX8*BlendedPriceEssAnnual*AIG8/12+AIY8*BlendedPricePremAnnual*AIG8/12+AIZ8*BlendedPriceEliteAnnual*AIG8/12</f>
        <v/>
      </c>
      <c r="AJC8" s="9">
        <f>AJB8*12</f>
        <v/>
      </c>
      <c r="AJD8" s="12">
        <f>AIU8*BlendedPriceEssMonthly*AIG8+AIV8*BlendedPricePremMonthly*AIG8+AIW8*BlendedPriceEliteMonthly*AIG8</f>
        <v/>
      </c>
      <c r="AJE8" s="12">
        <f>AIR8*BlendedPriceEssAnnual*AIG8+AIS8*BlendedPricePremAnnual*AIG8+AIT8*BlendedPriceEliteAnnual*AIG8</f>
        <v/>
      </c>
      <c r="AJF8" s="12">
        <f>0+0+0</f>
        <v/>
      </c>
      <c r="AJG8" s="9">
        <f>AJD8+AJE8+AJF8</f>
        <v/>
      </c>
      <c r="AJH8" s="12">
        <f>SUM(AJG$5:AJG8)</f>
        <v/>
      </c>
      <c r="AJI8" s="12">
        <f>OR(AJI7,IF(VATAgentMode,SUM($AJG$5:$AJG8)-SUM($AJN$5:$AJN8)&gt;=VATThreshold,SUM($AJG$5:$AJG8)&gt;=VATThreshold))</f>
        <v/>
      </c>
      <c r="AJJ8" s="9">
        <f>IF(AJI8,IF(VATAgentMode,AJG8-((AJG8-AJN8)-(AJG8-AJN8)/(1+VATRate)),AJG8/(1+VATRate)),AJG8)</f>
        <v/>
      </c>
      <c r="AJK8" s="12">
        <f>AJG8-AJJ8</f>
        <v/>
      </c>
      <c r="AJL8" s="12">
        <f>IF(AJI8=0,0,IF(AID8=1,SUMPRODUCT(--(($AIE$5:$AIE8=$AIE8-1)*($AID$5:$AID8&gt;=10)*($AID$5:$AID8&lt;=12)),$AJK$5:$AJK8),IF(AID8=4,SUMPRODUCT(--(($AIE$5:$AIE8=$AIE8)*($AID$5:$AID8&gt;=1)*($AID$5:$AID8&lt;=3)),$AJK$5:$AJK8),IF(AID8=7,SUMPRODUCT(--(($AIE$5:$AIE8=$AIE8)*($AID$5:$AID8&gt;=4)*($AID$5:$AID8&lt;=6)),$AJK$5:$AJK8),IF(AID8=10,SUMPRODUCT(--(($AIE$5:$AIE8=$AIE8)*($AID$5:$AID8&gt;=7)*($AID$5:$AID8&lt;=9)),$AJK$5:$AJK8),0)))))</f>
        <v/>
      </c>
      <c r="AJM8" s="12">
        <f>AJM7+AJK8-AJL8</f>
        <v/>
      </c>
      <c r="AJN8" s="12">
        <f>IF(ProviderDelay&gt;=1,AIU7*BlendedProvPayEss+AIV7*BlendedProvPayPrem+AIW7*BlendedProvPayElite+AIX7*BlendedProvPayEss+AIY7*BlendedProvPayPrem+AIZ7*BlendedProvPayElite,AIU8*BlendedProvPayEss+AIV8*BlendedProvPayPrem+AIW8*BlendedProvPayElite+AIX8*BlendedProvPayEss+AIY8*BlendedProvPayPrem+AIZ8*BlendedProvPayElite)</f>
        <v/>
      </c>
      <c r="AJO8" s="12">
        <f>AJG8*PaymentFee</f>
        <v/>
      </c>
      <c r="AJP8" s="12">
        <f>AJA8*OpsAI</f>
        <v/>
      </c>
      <c r="AJQ8" s="12">
        <f>MonthlyFixed</f>
        <v/>
      </c>
      <c r="AJR8" s="12">
        <f>AIK8*ReferralReward</f>
        <v/>
      </c>
      <c r="AJS8" s="12">
        <f>AII8</f>
        <v/>
      </c>
      <c r="AJT8" s="9">
        <f>AJJ8-AJN8-AJO8-AJP8-AJQ8-AJR8-AJS8</f>
        <v/>
      </c>
      <c r="AJU8" s="9">
        <f>AJU7+AJG8-(AJN8+AJO8+AJP8+AJQ8+AJR8+AJS8+AJL8)</f>
        <v/>
      </c>
      <c r="AJV8" s="12">
        <f>IF(AJA8&gt;0,AJB8/AJA8,0)</f>
        <v/>
      </c>
      <c r="AJW8" s="11">
        <f>IF(AJA7&gt;0,MAX(0,(AJA7+AIL8-AJA8)/AJA7),0)</f>
        <v/>
      </c>
      <c r="AJY8" s="12" t="n">
        <v>4</v>
      </c>
      <c r="AJZ8" s="12">
        <f>MOD(AJY8-1+LaunchMonth-1,12)+1</f>
        <v/>
      </c>
      <c r="AKA8" s="12">
        <f>INT((AJY8-1+LaunchMonth-1)/12)+1</f>
        <v/>
      </c>
      <c r="AKB8" s="12">
        <f>VLOOKUP(AJZ8,SeasonTable,2,FALSE)</f>
        <v/>
      </c>
      <c r="AKC8" s="12">
        <f>(1+InflationRate)^INT((AJY8-1)/12)</f>
        <v/>
      </c>
      <c r="AKD8" s="11">
        <f>MonthlyChurn*VLOOKUP(AJZ8,ChurnSeasonTable,4,FALSE)</f>
        <v/>
      </c>
      <c r="AKE8" s="12">
        <f>MIN(MktFixed4_6,MAX(0,ALQ7-CashBuffer))</f>
        <v/>
      </c>
      <c r="AKF8" s="12">
        <f>IF(AKE8&gt;0,MAX(1,ROUND(AKE8/'Sens - CAC &amp; Marketing'!$A$10*AKB8,0)),0)</f>
        <v/>
      </c>
      <c r="AKG8" s="12">
        <f>IF(AKF8&gt;0,ROUND(AKF8*ReferralMix/(1-ReferralMix),0),0)</f>
        <v/>
      </c>
      <c r="AKH8" s="12">
        <f>AKF8+AKG8</f>
        <v/>
      </c>
      <c r="AKI8" s="12">
        <f>ROUND(AKH8*(1-AnnualMix),0)</f>
        <v/>
      </c>
      <c r="AKJ8" s="12">
        <f>AKH8-AKI8</f>
        <v/>
      </c>
      <c r="AKK8" s="12">
        <f>ROUND(AKI8*EssentialMix,0)</f>
        <v/>
      </c>
      <c r="AKL8" s="12">
        <f>ROUND(AKI8*PremiumMix,0)</f>
        <v/>
      </c>
      <c r="AKM8" s="12">
        <f>AKI8-AKK8-AKL8</f>
        <v/>
      </c>
      <c r="AKN8" s="12">
        <f>ROUND(AKJ8*EssentialMix,0)</f>
        <v/>
      </c>
      <c r="AKO8" s="12">
        <f>ROUND(AKJ8*PremiumMix,0)</f>
        <v/>
      </c>
      <c r="AKP8" s="12">
        <f>AKJ8-AKN8-AKO8</f>
        <v/>
      </c>
      <c r="AKQ8" s="12">
        <f>AKK8+AKK7+AKK6+MAX(0,AKQ7-AKK7-AKK6)*(1-AKD8)</f>
        <v/>
      </c>
      <c r="AKR8" s="12">
        <f>AKL8+AKL7+AKL6+MAX(0,AKR7-AKL7-AKL6)*(1-AKD8)</f>
        <v/>
      </c>
      <c r="AKS8" s="12">
        <f>AKM8+AKM7+AKM6+MAX(0,AKS7-AKM7-AKM6)*(1-AKD8)</f>
        <v/>
      </c>
      <c r="AKT8" s="12">
        <f>SUM(AKN$5:AKN8)</f>
        <v/>
      </c>
      <c r="AKU8" s="12">
        <f>SUM(AKO$5:AKO8)</f>
        <v/>
      </c>
      <c r="AKV8" s="12">
        <f>SUM(AKP$5:AKP8)</f>
        <v/>
      </c>
      <c r="AKW8" s="12">
        <f>AKQ8+AKR8+AKS8+AKT8+AKU8+AKV8</f>
        <v/>
      </c>
      <c r="AKX8" s="9">
        <f>AKQ8*BlendedPriceEssMonthly*AKC8+AKR8*BlendedPricePremMonthly*AKC8+AKS8*BlendedPriceEliteMonthly*AKC8+AKT8*BlendedPriceEssAnnual*AKC8/12+AKU8*BlendedPricePremAnnual*AKC8/12+AKV8*BlendedPriceEliteAnnual*AKC8/12</f>
        <v/>
      </c>
      <c r="AKY8" s="9">
        <f>AKX8*12</f>
        <v/>
      </c>
      <c r="AKZ8" s="12">
        <f>AKQ8*BlendedPriceEssMonthly*AKC8+AKR8*BlendedPricePremMonthly*AKC8+AKS8*BlendedPriceEliteMonthly*AKC8</f>
        <v/>
      </c>
      <c r="ALA8" s="12">
        <f>AKN8*BlendedPriceEssAnnual*AKC8+AKO8*BlendedPricePremAnnual*AKC8+AKP8*BlendedPriceEliteAnnual*AKC8</f>
        <v/>
      </c>
      <c r="ALB8" s="12">
        <f>0+0+0</f>
        <v/>
      </c>
      <c r="ALC8" s="9">
        <f>AKZ8+ALA8+ALB8</f>
        <v/>
      </c>
      <c r="ALD8" s="12">
        <f>SUM(ALC$5:ALC8)</f>
        <v/>
      </c>
      <c r="ALE8" s="12">
        <f>OR(ALE7,IF(VATAgentMode,SUM($ALC$5:$ALC8)-SUM($ALJ$5:$ALJ8)&gt;=VATThreshold,SUM($ALC$5:$ALC8)&gt;=VATThreshold))</f>
        <v/>
      </c>
      <c r="ALF8" s="9">
        <f>IF(ALE8,IF(VATAgentMode,ALC8-((ALC8-ALJ8)-(ALC8-ALJ8)/(1+VATRate)),ALC8/(1+VATRate)),ALC8)</f>
        <v/>
      </c>
      <c r="ALG8" s="12">
        <f>ALC8-ALF8</f>
        <v/>
      </c>
      <c r="ALH8" s="12">
        <f>IF(ALE8=0,0,IF(AJZ8=1,SUMPRODUCT(--(($AKA$5:$AKA8=$AKA8-1)*($AJZ$5:$AJZ8&gt;=10)*($AJZ$5:$AJZ8&lt;=12)),$ALG$5:$ALG8),IF(AJZ8=4,SUMPRODUCT(--(($AKA$5:$AKA8=$AKA8)*($AJZ$5:$AJZ8&gt;=1)*($AJZ$5:$AJZ8&lt;=3)),$ALG$5:$ALG8),IF(AJZ8=7,SUMPRODUCT(--(($AKA$5:$AKA8=$AKA8)*($AJZ$5:$AJZ8&gt;=4)*($AJZ$5:$AJZ8&lt;=6)),$ALG$5:$ALG8),IF(AJZ8=10,SUMPRODUCT(--(($AKA$5:$AKA8=$AKA8)*($AJZ$5:$AJZ8&gt;=7)*($AJZ$5:$AJZ8&lt;=9)),$ALG$5:$ALG8),0)))))</f>
        <v/>
      </c>
      <c r="ALI8" s="12">
        <f>ALI7+ALG8-ALH8</f>
        <v/>
      </c>
      <c r="ALJ8" s="12">
        <f>IF(ProviderDelay&gt;=1,AKQ7*BlendedProvPayEss+AKR7*BlendedProvPayPrem+AKS7*BlendedProvPayElite+AKT7*BlendedProvPayEss+AKU7*BlendedProvPayPrem+AKV7*BlendedProvPayElite,AKQ8*BlendedProvPayEss+AKR8*BlendedProvPayPrem+AKS8*BlendedProvPayElite+AKT8*BlendedProvPayEss+AKU8*BlendedProvPayPrem+AKV8*BlendedProvPayElite)</f>
        <v/>
      </c>
      <c r="ALK8" s="12">
        <f>ALC8*PaymentFee</f>
        <v/>
      </c>
      <c r="ALL8" s="12">
        <f>AKW8*OpsAI</f>
        <v/>
      </c>
      <c r="ALM8" s="12">
        <f>MonthlyFixed</f>
        <v/>
      </c>
      <c r="ALN8" s="12">
        <f>AKG8*ReferralReward</f>
        <v/>
      </c>
      <c r="ALO8" s="12">
        <f>AKE8</f>
        <v/>
      </c>
      <c r="ALP8" s="9">
        <f>ALF8-ALJ8-ALK8-ALL8-ALM8-ALN8-ALO8</f>
        <v/>
      </c>
      <c r="ALQ8" s="9">
        <f>ALQ7+ALC8-(ALJ8+ALK8+ALL8+ALM8+ALN8+ALO8+ALH8)</f>
        <v/>
      </c>
      <c r="ALR8" s="12">
        <f>IF(AKW8&gt;0,AKX8/AKW8,0)</f>
        <v/>
      </c>
      <c r="ALS8" s="11">
        <f>IF(AKW7&gt;0,MAX(0,(AKW7+AKH8-AKW8)/AKW7),0)</f>
        <v/>
      </c>
      <c r="ALU8" s="12" t="n">
        <v>4</v>
      </c>
      <c r="ALV8" s="12">
        <f>MOD(ALU8-1+LaunchMonth-1,12)+1</f>
        <v/>
      </c>
      <c r="ALW8" s="12">
        <f>INT((ALU8-1+LaunchMonth-1)/12)+1</f>
        <v/>
      </c>
      <c r="ALX8" s="12">
        <f>VLOOKUP(ALV8,SeasonTable,2,FALSE)</f>
        <v/>
      </c>
      <c r="ALY8" s="12">
        <f>(1+InflationRate)^INT((ALU8-1)/12)</f>
        <v/>
      </c>
      <c r="ALZ8" s="11">
        <f>MonthlyChurn*VLOOKUP(ALV8,ChurnSeasonTable,4,FALSE)</f>
        <v/>
      </c>
      <c r="AMA8" s="12">
        <f>MIN(MktFixed4_6,MAX(0,ANM7-CashBuffer))</f>
        <v/>
      </c>
      <c r="AMB8" s="12">
        <f>IF(AMA8&gt;0,MAX(1,ROUND(AMA8/'Sens - CAC &amp; Marketing'!$A$11*ALX8,0)),0)</f>
        <v/>
      </c>
      <c r="AMC8" s="12">
        <f>IF(AMB8&gt;0,ROUND(AMB8*ReferralMix/(1-ReferralMix),0),0)</f>
        <v/>
      </c>
      <c r="AMD8" s="12">
        <f>AMB8+AMC8</f>
        <v/>
      </c>
      <c r="AME8" s="12">
        <f>ROUND(AMD8*(1-AnnualMix),0)</f>
        <v/>
      </c>
      <c r="AMF8" s="12">
        <f>AMD8-AME8</f>
        <v/>
      </c>
      <c r="AMG8" s="12">
        <f>ROUND(AME8*EssentialMix,0)</f>
        <v/>
      </c>
      <c r="AMH8" s="12">
        <f>ROUND(AME8*PremiumMix,0)</f>
        <v/>
      </c>
      <c r="AMI8" s="12">
        <f>AME8-AMG8-AMH8</f>
        <v/>
      </c>
      <c r="AMJ8" s="12">
        <f>ROUND(AMF8*EssentialMix,0)</f>
        <v/>
      </c>
      <c r="AMK8" s="12">
        <f>ROUND(AMF8*PremiumMix,0)</f>
        <v/>
      </c>
      <c r="AML8" s="12">
        <f>AMF8-AMJ8-AMK8</f>
        <v/>
      </c>
      <c r="AMM8" s="12">
        <f>AMG8+AMG7+AMG6+MAX(0,AMM7-AMG7-AMG6)*(1-ALZ8)</f>
        <v/>
      </c>
      <c r="AMN8" s="12">
        <f>AMH8+AMH7+AMH6+MAX(0,AMN7-AMH7-AMH6)*(1-ALZ8)</f>
        <v/>
      </c>
      <c r="AMO8" s="12">
        <f>AMI8+AMI7+AMI6+MAX(0,AMO7-AMI7-AMI6)*(1-ALZ8)</f>
        <v/>
      </c>
      <c r="AMP8" s="12">
        <f>SUM(AMJ$5:AMJ8)</f>
        <v/>
      </c>
      <c r="AMQ8" s="12">
        <f>SUM(AMK$5:AMK8)</f>
        <v/>
      </c>
      <c r="AMR8" s="12">
        <f>SUM(AML$5:AML8)</f>
        <v/>
      </c>
      <c r="AMS8" s="12">
        <f>AMM8+AMN8+AMO8+AMP8+AMQ8+AMR8</f>
        <v/>
      </c>
      <c r="AMT8" s="9">
        <f>AMM8*BlendedPriceEssMonthly*ALY8+AMN8*BlendedPricePremMonthly*ALY8+AMO8*BlendedPriceEliteMonthly*ALY8+AMP8*BlendedPriceEssAnnual*ALY8/12+AMQ8*BlendedPricePremAnnual*ALY8/12+AMR8*BlendedPriceEliteAnnual*ALY8/12</f>
        <v/>
      </c>
      <c r="AMU8" s="9">
        <f>AMT8*12</f>
        <v/>
      </c>
      <c r="AMV8" s="12">
        <f>AMM8*BlendedPriceEssMonthly*ALY8+AMN8*BlendedPricePremMonthly*ALY8+AMO8*BlendedPriceEliteMonthly*ALY8</f>
        <v/>
      </c>
      <c r="AMW8" s="12">
        <f>AMJ8*BlendedPriceEssAnnual*ALY8+AMK8*BlendedPricePremAnnual*ALY8+AML8*BlendedPriceEliteAnnual*ALY8</f>
        <v/>
      </c>
      <c r="AMX8" s="12">
        <f>0+0+0</f>
        <v/>
      </c>
      <c r="AMY8" s="9">
        <f>AMV8+AMW8+AMX8</f>
        <v/>
      </c>
      <c r="AMZ8" s="12">
        <f>SUM(AMY$5:AMY8)</f>
        <v/>
      </c>
      <c r="ANA8" s="12">
        <f>OR(ANA7,IF(VATAgentMode,SUM($AMY$5:$AMY8)-SUM($ANF$5:$ANF8)&gt;=VATThreshold,SUM($AMY$5:$AMY8)&gt;=VATThreshold))</f>
        <v/>
      </c>
      <c r="ANB8" s="9">
        <f>IF(ANA8,IF(VATAgentMode,AMY8-((AMY8-ANF8)-(AMY8-ANF8)/(1+VATRate)),AMY8/(1+VATRate)),AMY8)</f>
        <v/>
      </c>
      <c r="ANC8" s="12">
        <f>AMY8-ANB8</f>
        <v/>
      </c>
      <c r="AND8" s="12">
        <f>IF(ANA8=0,0,IF(ALV8=1,SUMPRODUCT(--(($ALW$5:$ALW8=$ALW8-1)*($ALV$5:$ALV8&gt;=10)*($ALV$5:$ALV8&lt;=12)),$ANC$5:$ANC8),IF(ALV8=4,SUMPRODUCT(--(($ALW$5:$ALW8=$ALW8)*($ALV$5:$ALV8&gt;=1)*($ALV$5:$ALV8&lt;=3)),$ANC$5:$ANC8),IF(ALV8=7,SUMPRODUCT(--(($ALW$5:$ALW8=$ALW8)*($ALV$5:$ALV8&gt;=4)*($ALV$5:$ALV8&lt;=6)),$ANC$5:$ANC8),IF(ALV8=10,SUMPRODUCT(--(($ALW$5:$ALW8=$ALW8)*($ALV$5:$ALV8&gt;=7)*($ALV$5:$ALV8&lt;=9)),$ANC$5:$ANC8),0)))))</f>
        <v/>
      </c>
      <c r="ANE8" s="12">
        <f>ANE7+ANC8-AND8</f>
        <v/>
      </c>
      <c r="ANF8" s="12">
        <f>IF(ProviderDelay&gt;=1,AMM7*BlendedProvPayEss+AMN7*BlendedProvPayPrem+AMO7*BlendedProvPayElite+AMP7*BlendedProvPayEss+AMQ7*BlendedProvPayPrem+AMR7*BlendedProvPayElite,AMM8*BlendedProvPayEss+AMN8*BlendedProvPayPrem+AMO8*BlendedProvPayElite+AMP8*BlendedProvPayEss+AMQ8*BlendedProvPayPrem+AMR8*BlendedProvPayElite)</f>
        <v/>
      </c>
      <c r="ANG8" s="12">
        <f>AMY8*PaymentFee</f>
        <v/>
      </c>
      <c r="ANH8" s="12">
        <f>AMS8*OpsAI</f>
        <v/>
      </c>
      <c r="ANI8" s="12">
        <f>MonthlyFixed</f>
        <v/>
      </c>
      <c r="ANJ8" s="12">
        <f>AMC8*ReferralReward</f>
        <v/>
      </c>
      <c r="ANK8" s="12">
        <f>AMA8</f>
        <v/>
      </c>
      <c r="ANL8" s="9">
        <f>ANB8-ANF8-ANG8-ANH8-ANI8-ANJ8-ANK8</f>
        <v/>
      </c>
      <c r="ANM8" s="9">
        <f>ANM7+AMY8-(ANF8+ANG8+ANH8+ANI8+ANJ8+ANK8+AND8)</f>
        <v/>
      </c>
      <c r="ANN8" s="12">
        <f>IF(AMS8&gt;0,AMT8/AMS8,0)</f>
        <v/>
      </c>
      <c r="ANO8" s="11">
        <f>IF(AMS7&gt;0,MAX(0,(AMS7+AMD8-AMS8)/AMS7),0)</f>
        <v/>
      </c>
      <c r="ANQ8" s="12" t="n">
        <v>4</v>
      </c>
      <c r="ANR8" s="12">
        <f>MOD(ANQ8-1+LaunchMonth-1,12)+1</f>
        <v/>
      </c>
      <c r="ANS8" s="12">
        <f>INT((ANQ8-1+LaunchMonth-1)/12)+1</f>
        <v/>
      </c>
      <c r="ANT8" s="12">
        <f>VLOOKUP(ANR8,SeasonTable,2,FALSE)</f>
        <v/>
      </c>
      <c r="ANU8" s="12">
        <f>(1+InflationRate)^INT((ANQ8-1)/12)</f>
        <v/>
      </c>
      <c r="ANV8" s="11">
        <f>MonthlyChurn*VLOOKUP(ANR8,ChurnSeasonTable,4,FALSE)</f>
        <v/>
      </c>
      <c r="ANW8" s="12">
        <f>MIN(MktFixed4_6,MAX(0,API7-CashBuffer))</f>
        <v/>
      </c>
      <c r="ANX8" s="12">
        <f>IF(ANW8&gt;0,MAX(1,ROUND(ANW8/'Sens - CAC &amp; Marketing'!$A$12*ANT8,0)),0)</f>
        <v/>
      </c>
      <c r="ANY8" s="12">
        <f>IF(ANX8&gt;0,ROUND(ANX8*ReferralMix/(1-ReferralMix),0),0)</f>
        <v/>
      </c>
      <c r="ANZ8" s="12">
        <f>ANX8+ANY8</f>
        <v/>
      </c>
      <c r="AOA8" s="12">
        <f>ROUND(ANZ8*(1-AnnualMix),0)</f>
        <v/>
      </c>
      <c r="AOB8" s="12">
        <f>ANZ8-AOA8</f>
        <v/>
      </c>
      <c r="AOC8" s="12">
        <f>ROUND(AOA8*EssentialMix,0)</f>
        <v/>
      </c>
      <c r="AOD8" s="12">
        <f>ROUND(AOA8*PremiumMix,0)</f>
        <v/>
      </c>
      <c r="AOE8" s="12">
        <f>AOA8-AOC8-AOD8</f>
        <v/>
      </c>
      <c r="AOF8" s="12">
        <f>ROUND(AOB8*EssentialMix,0)</f>
        <v/>
      </c>
      <c r="AOG8" s="12">
        <f>ROUND(AOB8*PremiumMix,0)</f>
        <v/>
      </c>
      <c r="AOH8" s="12">
        <f>AOB8-AOF8-AOG8</f>
        <v/>
      </c>
      <c r="AOI8" s="12">
        <f>AOC8+AOC7+AOC6+MAX(0,AOI7-AOC7-AOC6)*(1-ANV8)</f>
        <v/>
      </c>
      <c r="AOJ8" s="12">
        <f>AOD8+AOD7+AOD6+MAX(0,AOJ7-AOD7-AOD6)*(1-ANV8)</f>
        <v/>
      </c>
      <c r="AOK8" s="12">
        <f>AOE8+AOE7+AOE6+MAX(0,AOK7-AOE7-AOE6)*(1-ANV8)</f>
        <v/>
      </c>
      <c r="AOL8" s="12">
        <f>SUM(AOF$5:AOF8)</f>
        <v/>
      </c>
      <c r="AOM8" s="12">
        <f>SUM(AOG$5:AOG8)</f>
        <v/>
      </c>
      <c r="AON8" s="12">
        <f>SUM(AOH$5:AOH8)</f>
        <v/>
      </c>
      <c r="AOO8" s="12">
        <f>AOI8+AOJ8+AOK8+AOL8+AOM8+AON8</f>
        <v/>
      </c>
      <c r="AOP8" s="9">
        <f>AOI8*BlendedPriceEssMonthly*ANU8+AOJ8*BlendedPricePremMonthly*ANU8+AOK8*BlendedPriceEliteMonthly*ANU8+AOL8*BlendedPriceEssAnnual*ANU8/12+AOM8*BlendedPricePremAnnual*ANU8/12+AON8*BlendedPriceEliteAnnual*ANU8/12</f>
        <v/>
      </c>
      <c r="AOQ8" s="9">
        <f>AOP8*12</f>
        <v/>
      </c>
      <c r="AOR8" s="12">
        <f>AOI8*BlendedPriceEssMonthly*ANU8+AOJ8*BlendedPricePremMonthly*ANU8+AOK8*BlendedPriceEliteMonthly*ANU8</f>
        <v/>
      </c>
      <c r="AOS8" s="12">
        <f>AOF8*BlendedPriceEssAnnual*ANU8+AOG8*BlendedPricePremAnnual*ANU8+AOH8*BlendedPriceEliteAnnual*ANU8</f>
        <v/>
      </c>
      <c r="AOT8" s="12">
        <f>0+0+0</f>
        <v/>
      </c>
      <c r="AOU8" s="9">
        <f>AOR8+AOS8+AOT8</f>
        <v/>
      </c>
      <c r="AOV8" s="12">
        <f>SUM(AOU$5:AOU8)</f>
        <v/>
      </c>
      <c r="AOW8" s="12">
        <f>OR(AOW7,IF(VATAgentMode,SUM($AOU$5:$AOU8)-SUM($APB$5:$APB8)&gt;=VATThreshold,SUM($AOU$5:$AOU8)&gt;=VATThreshold))</f>
        <v/>
      </c>
      <c r="AOX8" s="9">
        <f>IF(AOW8,IF(VATAgentMode,AOU8-((AOU8-APB8)-(AOU8-APB8)/(1+VATRate)),AOU8/(1+VATRate)),AOU8)</f>
        <v/>
      </c>
      <c r="AOY8" s="12">
        <f>AOU8-AOX8</f>
        <v/>
      </c>
      <c r="AOZ8" s="12">
        <f>IF(AOW8=0,0,IF(ANR8=1,SUMPRODUCT(--(($ANS$5:$ANS8=$ANS8-1)*($ANR$5:$ANR8&gt;=10)*($ANR$5:$ANR8&lt;=12)),$AOY$5:$AOY8),IF(ANR8=4,SUMPRODUCT(--(($ANS$5:$ANS8=$ANS8)*($ANR$5:$ANR8&gt;=1)*($ANR$5:$ANR8&lt;=3)),$AOY$5:$AOY8),IF(ANR8=7,SUMPRODUCT(--(($ANS$5:$ANS8=$ANS8)*($ANR$5:$ANR8&gt;=4)*($ANR$5:$ANR8&lt;=6)),$AOY$5:$AOY8),IF(ANR8=10,SUMPRODUCT(--(($ANS$5:$ANS8=$ANS8)*($ANR$5:$ANR8&gt;=7)*($ANR$5:$ANR8&lt;=9)),$AOY$5:$AOY8),0)))))</f>
        <v/>
      </c>
      <c r="APA8" s="12">
        <f>APA7+AOY8-AOZ8</f>
        <v/>
      </c>
      <c r="APB8" s="12">
        <f>IF(ProviderDelay&gt;=1,AOI7*BlendedProvPayEss+AOJ7*BlendedProvPayPrem+AOK7*BlendedProvPayElite+AOL7*BlendedProvPayEss+AOM7*BlendedProvPayPrem+AON7*BlendedProvPayElite,AOI8*BlendedProvPayEss+AOJ8*BlendedProvPayPrem+AOK8*BlendedProvPayElite+AOL8*BlendedProvPayEss+AOM8*BlendedProvPayPrem+AON8*BlendedProvPayElite)</f>
        <v/>
      </c>
      <c r="APC8" s="12">
        <f>AOU8*PaymentFee</f>
        <v/>
      </c>
      <c r="APD8" s="12">
        <f>AOO8*OpsAI</f>
        <v/>
      </c>
      <c r="APE8" s="12">
        <f>MonthlyFixed</f>
        <v/>
      </c>
      <c r="APF8" s="12">
        <f>ANY8*ReferralReward</f>
        <v/>
      </c>
      <c r="APG8" s="12">
        <f>ANW8</f>
        <v/>
      </c>
      <c r="APH8" s="9">
        <f>AOX8-APB8-APC8-APD8-APE8-APF8-APG8</f>
        <v/>
      </c>
      <c r="API8" s="9">
        <f>API7+AOU8-(APB8+APC8+APD8+APE8+APF8+APG8+AOZ8)</f>
        <v/>
      </c>
      <c r="APJ8" s="12">
        <f>IF(AOO8&gt;0,AOP8/AOO8,0)</f>
        <v/>
      </c>
      <c r="APK8" s="11">
        <f>IF(AOO7&gt;0,MAX(0,(AOO7+ANZ8-AOO8)/AOO7),0)</f>
        <v/>
      </c>
      <c r="APM8" s="12" t="n">
        <v>4</v>
      </c>
      <c r="APN8" s="12">
        <f>MOD(APM8-1+LaunchMonth-1,12)+1</f>
        <v/>
      </c>
      <c r="APO8" s="12">
        <f>INT((APM8-1+LaunchMonth-1)/12)+1</f>
        <v/>
      </c>
      <c r="APP8" s="12">
        <f>VLOOKUP(APN8,SeasonTable,2,FALSE)</f>
        <v/>
      </c>
      <c r="APQ8" s="12">
        <f>(1+InflationRate)^INT((APM8-1)/12)</f>
        <v/>
      </c>
      <c r="APR8" s="11">
        <f>MonthlyChurn*VLOOKUP(APN8,ChurnSeasonTable,4,FALSE)</f>
        <v/>
      </c>
      <c r="APS8" s="12">
        <f>MIN(MktFixed4_6,MAX(0,ARE7-CashBuffer))</f>
        <v/>
      </c>
      <c r="APT8" s="12">
        <f>IF(APS8&gt;0,MAX(1,ROUND(APS8/'Sens - CAC &amp; Marketing'!$A$13*APP8,0)),0)</f>
        <v/>
      </c>
      <c r="APU8" s="12">
        <f>IF(APT8&gt;0,ROUND(APT8*ReferralMix/(1-ReferralMix),0),0)</f>
        <v/>
      </c>
      <c r="APV8" s="12">
        <f>APT8+APU8</f>
        <v/>
      </c>
      <c r="APW8" s="12">
        <f>ROUND(APV8*(1-AnnualMix),0)</f>
        <v/>
      </c>
      <c r="APX8" s="12">
        <f>APV8-APW8</f>
        <v/>
      </c>
      <c r="APY8" s="12">
        <f>ROUND(APW8*EssentialMix,0)</f>
        <v/>
      </c>
      <c r="APZ8" s="12">
        <f>ROUND(APW8*PremiumMix,0)</f>
        <v/>
      </c>
      <c r="AQA8" s="12">
        <f>APW8-APY8-APZ8</f>
        <v/>
      </c>
      <c r="AQB8" s="12">
        <f>ROUND(APX8*EssentialMix,0)</f>
        <v/>
      </c>
      <c r="AQC8" s="12">
        <f>ROUND(APX8*PremiumMix,0)</f>
        <v/>
      </c>
      <c r="AQD8" s="12">
        <f>APX8-AQB8-AQC8</f>
        <v/>
      </c>
      <c r="AQE8" s="12">
        <f>APY8+APY7+APY6+MAX(0,AQE7-APY7-APY6)*(1-APR8)</f>
        <v/>
      </c>
      <c r="AQF8" s="12">
        <f>APZ8+APZ7+APZ6+MAX(0,AQF7-APZ7-APZ6)*(1-APR8)</f>
        <v/>
      </c>
      <c r="AQG8" s="12">
        <f>AQA8+AQA7+AQA6+MAX(0,AQG7-AQA7-AQA6)*(1-APR8)</f>
        <v/>
      </c>
      <c r="AQH8" s="12">
        <f>SUM(AQB$5:AQB8)</f>
        <v/>
      </c>
      <c r="AQI8" s="12">
        <f>SUM(AQC$5:AQC8)</f>
        <v/>
      </c>
      <c r="AQJ8" s="12">
        <f>SUM(AQD$5:AQD8)</f>
        <v/>
      </c>
      <c r="AQK8" s="12">
        <f>AQE8+AQF8+AQG8+AQH8+AQI8+AQJ8</f>
        <v/>
      </c>
      <c r="AQL8" s="9">
        <f>AQE8*BlendedPriceEssMonthly*APQ8+AQF8*BlendedPricePremMonthly*APQ8+AQG8*BlendedPriceEliteMonthly*APQ8+AQH8*BlendedPriceEssAnnual*APQ8/12+AQI8*BlendedPricePremAnnual*APQ8/12+AQJ8*BlendedPriceEliteAnnual*APQ8/12</f>
        <v/>
      </c>
      <c r="AQM8" s="9">
        <f>AQL8*12</f>
        <v/>
      </c>
      <c r="AQN8" s="12">
        <f>AQE8*BlendedPriceEssMonthly*APQ8+AQF8*BlendedPricePremMonthly*APQ8+AQG8*BlendedPriceEliteMonthly*APQ8</f>
        <v/>
      </c>
      <c r="AQO8" s="12">
        <f>AQB8*BlendedPriceEssAnnual*APQ8+AQC8*BlendedPricePremAnnual*APQ8+AQD8*BlendedPriceEliteAnnual*APQ8</f>
        <v/>
      </c>
      <c r="AQP8" s="12">
        <f>0+0+0</f>
        <v/>
      </c>
      <c r="AQQ8" s="9">
        <f>AQN8+AQO8+AQP8</f>
        <v/>
      </c>
      <c r="AQR8" s="12">
        <f>SUM(AQQ$5:AQQ8)</f>
        <v/>
      </c>
      <c r="AQS8" s="12">
        <f>OR(AQS7,IF(VATAgentMode,SUM($AQQ$5:$AQQ8)-SUM($AQX$5:$AQX8)&gt;=VATThreshold,SUM($AQQ$5:$AQQ8)&gt;=VATThreshold))</f>
        <v/>
      </c>
      <c r="AQT8" s="9">
        <f>IF(AQS8,IF(VATAgentMode,AQQ8-((AQQ8-AQX8)-(AQQ8-AQX8)/(1+VATRate)),AQQ8/(1+VATRate)),AQQ8)</f>
        <v/>
      </c>
      <c r="AQU8" s="12">
        <f>AQQ8-AQT8</f>
        <v/>
      </c>
      <c r="AQV8" s="12">
        <f>IF(AQS8=0,0,IF(APN8=1,SUMPRODUCT(--(($APO$5:$APO8=$APO8-1)*($APN$5:$APN8&gt;=10)*($APN$5:$APN8&lt;=12)),$AQU$5:$AQU8),IF(APN8=4,SUMPRODUCT(--(($APO$5:$APO8=$APO8)*($APN$5:$APN8&gt;=1)*($APN$5:$APN8&lt;=3)),$AQU$5:$AQU8),IF(APN8=7,SUMPRODUCT(--(($APO$5:$APO8=$APO8)*($APN$5:$APN8&gt;=4)*($APN$5:$APN8&lt;=6)),$AQU$5:$AQU8),IF(APN8=10,SUMPRODUCT(--(($APO$5:$APO8=$APO8)*($APN$5:$APN8&gt;=7)*($APN$5:$APN8&lt;=9)),$AQU$5:$AQU8),0)))))</f>
        <v/>
      </c>
      <c r="AQW8" s="12">
        <f>AQW7+AQU8-AQV8</f>
        <v/>
      </c>
      <c r="AQX8" s="12">
        <f>IF(ProviderDelay&gt;=1,AQE7*BlendedProvPayEss+AQF7*BlendedProvPayPrem+AQG7*BlendedProvPayElite+AQH7*BlendedProvPayEss+AQI7*BlendedProvPayPrem+AQJ7*BlendedProvPayElite,AQE8*BlendedProvPayEss+AQF8*BlendedProvPayPrem+AQG8*BlendedProvPayElite+AQH8*BlendedProvPayEss+AQI8*BlendedProvPayPrem+AQJ8*BlendedProvPayElite)</f>
        <v/>
      </c>
      <c r="AQY8" s="12">
        <f>AQQ8*PaymentFee</f>
        <v/>
      </c>
      <c r="AQZ8" s="12">
        <f>AQK8*OpsAI</f>
        <v/>
      </c>
      <c r="ARA8" s="12">
        <f>MonthlyFixed</f>
        <v/>
      </c>
      <c r="ARB8" s="12">
        <f>APU8*ReferralReward</f>
        <v/>
      </c>
      <c r="ARC8" s="12">
        <f>APS8</f>
        <v/>
      </c>
      <c r="ARD8" s="9">
        <f>AQT8-AQX8-AQY8-AQZ8-ARA8-ARB8-ARC8</f>
        <v/>
      </c>
      <c r="ARE8" s="9">
        <f>ARE7+AQQ8-(AQX8+AQY8+AQZ8+ARA8+ARB8+ARC8+AQV8)</f>
        <v/>
      </c>
      <c r="ARF8" s="12">
        <f>IF(AQK8&gt;0,AQL8/AQK8,0)</f>
        <v/>
      </c>
      <c r="ARG8" s="11">
        <f>IF(AQK7&gt;0,MAX(0,(AQK7+APV8-AQK8)/AQK7),0)</f>
        <v/>
      </c>
      <c r="ARI8" s="12" t="n">
        <v>4</v>
      </c>
      <c r="ARJ8" s="12">
        <f>MOD(ARI8-1+LaunchMonth-1,12)+1</f>
        <v/>
      </c>
      <c r="ARK8" s="12">
        <f>INT((ARI8-1+LaunchMonth-1)/12)+1</f>
        <v/>
      </c>
      <c r="ARL8" s="12">
        <f>VLOOKUP(ARJ8,SeasonTable,2,FALSE)</f>
        <v/>
      </c>
      <c r="ARM8" s="12">
        <f>(1+InflationRate)^INT((ARI8-1)/12)</f>
        <v/>
      </c>
      <c r="ARN8" s="11">
        <f>MonthlyChurn*VLOOKUP(ARJ8,ChurnSeasonTable,4,FALSE)</f>
        <v/>
      </c>
      <c r="ARO8" s="12">
        <f>MIN(MktFixed4_6,MAX(0,ATA7-CashBuffer))</f>
        <v/>
      </c>
      <c r="ARP8" s="12">
        <f>IF(ARO8&gt;0,MAX(1,ROUND(ARO8/'Sens - CAC &amp; Marketing'!$A$14*ARL8,0)),0)</f>
        <v/>
      </c>
      <c r="ARQ8" s="12">
        <f>IF(ARP8&gt;0,ROUND(ARP8*ReferralMix/(1-ReferralMix),0),0)</f>
        <v/>
      </c>
      <c r="ARR8" s="12">
        <f>ARP8+ARQ8</f>
        <v/>
      </c>
      <c r="ARS8" s="12">
        <f>ROUND(ARR8*(1-AnnualMix),0)</f>
        <v/>
      </c>
      <c r="ART8" s="12">
        <f>ARR8-ARS8</f>
        <v/>
      </c>
      <c r="ARU8" s="12">
        <f>ROUND(ARS8*EssentialMix,0)</f>
        <v/>
      </c>
      <c r="ARV8" s="12">
        <f>ROUND(ARS8*PremiumMix,0)</f>
        <v/>
      </c>
      <c r="ARW8" s="12">
        <f>ARS8-ARU8-ARV8</f>
        <v/>
      </c>
      <c r="ARX8" s="12">
        <f>ROUND(ART8*EssentialMix,0)</f>
        <v/>
      </c>
      <c r="ARY8" s="12">
        <f>ROUND(ART8*PremiumMix,0)</f>
        <v/>
      </c>
      <c r="ARZ8" s="12">
        <f>ART8-ARX8-ARY8</f>
        <v/>
      </c>
      <c r="ASA8" s="12">
        <f>ARU8+ARU7+ARU6+MAX(0,ASA7-ARU7-ARU6)*(1-ARN8)</f>
        <v/>
      </c>
      <c r="ASB8" s="12">
        <f>ARV8+ARV7+ARV6+MAX(0,ASB7-ARV7-ARV6)*(1-ARN8)</f>
        <v/>
      </c>
      <c r="ASC8" s="12">
        <f>ARW8+ARW7+ARW6+MAX(0,ASC7-ARW7-ARW6)*(1-ARN8)</f>
        <v/>
      </c>
      <c r="ASD8" s="12">
        <f>SUM(ARX$5:ARX8)</f>
        <v/>
      </c>
      <c r="ASE8" s="12">
        <f>SUM(ARY$5:ARY8)</f>
        <v/>
      </c>
      <c r="ASF8" s="12">
        <f>SUM(ARZ$5:ARZ8)</f>
        <v/>
      </c>
      <c r="ASG8" s="12">
        <f>ASA8+ASB8+ASC8+ASD8+ASE8+ASF8</f>
        <v/>
      </c>
      <c r="ASH8" s="9">
        <f>ASA8*BlendedPriceEssMonthly*ARM8+ASB8*BlendedPricePremMonthly*ARM8+ASC8*BlendedPriceEliteMonthly*ARM8+ASD8*BlendedPriceEssAnnual*ARM8/12+ASE8*BlendedPricePremAnnual*ARM8/12+ASF8*BlendedPriceEliteAnnual*ARM8/12</f>
        <v/>
      </c>
      <c r="ASI8" s="9">
        <f>ASH8*12</f>
        <v/>
      </c>
      <c r="ASJ8" s="12">
        <f>ASA8*BlendedPriceEssMonthly*ARM8+ASB8*BlendedPricePremMonthly*ARM8+ASC8*BlendedPriceEliteMonthly*ARM8</f>
        <v/>
      </c>
      <c r="ASK8" s="12">
        <f>ARX8*BlendedPriceEssAnnual*ARM8+ARY8*BlendedPricePremAnnual*ARM8+ARZ8*BlendedPriceEliteAnnual*ARM8</f>
        <v/>
      </c>
      <c r="ASL8" s="12">
        <f>0+0+0</f>
        <v/>
      </c>
      <c r="ASM8" s="9">
        <f>ASJ8+ASK8+ASL8</f>
        <v/>
      </c>
      <c r="ASN8" s="12">
        <f>SUM(ASM$5:ASM8)</f>
        <v/>
      </c>
      <c r="ASO8" s="12">
        <f>OR(ASO7,IF(VATAgentMode,SUM($ASM$5:$ASM8)-SUM($AST$5:$AST8)&gt;=VATThreshold,SUM($ASM$5:$ASM8)&gt;=VATThreshold))</f>
        <v/>
      </c>
      <c r="ASP8" s="9">
        <f>IF(ASO8,IF(VATAgentMode,ASM8-((ASM8-AST8)-(ASM8-AST8)/(1+VATRate)),ASM8/(1+VATRate)),ASM8)</f>
        <v/>
      </c>
      <c r="ASQ8" s="12">
        <f>ASM8-ASP8</f>
        <v/>
      </c>
      <c r="ASR8" s="12">
        <f>IF(ASO8=0,0,IF(ARJ8=1,SUMPRODUCT(--(($ARK$5:$ARK8=$ARK8-1)*($ARJ$5:$ARJ8&gt;=10)*($ARJ$5:$ARJ8&lt;=12)),$ASQ$5:$ASQ8),IF(ARJ8=4,SUMPRODUCT(--(($ARK$5:$ARK8=$ARK8)*($ARJ$5:$ARJ8&gt;=1)*($ARJ$5:$ARJ8&lt;=3)),$ASQ$5:$ASQ8),IF(ARJ8=7,SUMPRODUCT(--(($ARK$5:$ARK8=$ARK8)*($ARJ$5:$ARJ8&gt;=4)*($ARJ$5:$ARJ8&lt;=6)),$ASQ$5:$ASQ8),IF(ARJ8=10,SUMPRODUCT(--(($ARK$5:$ARK8=$ARK8)*($ARJ$5:$ARJ8&gt;=7)*($ARJ$5:$ARJ8&lt;=9)),$ASQ$5:$ASQ8),0)))))</f>
        <v/>
      </c>
      <c r="ASS8" s="12">
        <f>ASS7+ASQ8-ASR8</f>
        <v/>
      </c>
      <c r="AST8" s="12">
        <f>IF(ProviderDelay&gt;=1,ASA7*BlendedProvPayEss+ASB7*BlendedProvPayPrem+ASC7*BlendedProvPayElite+ASD7*BlendedProvPayEss+ASE7*BlendedProvPayPrem+ASF7*BlendedProvPayElite,ASA8*BlendedProvPayEss+ASB8*BlendedProvPayPrem+ASC8*BlendedProvPayElite+ASD8*BlendedProvPayEss+ASE8*BlendedProvPayPrem+ASF8*BlendedProvPayElite)</f>
        <v/>
      </c>
      <c r="ASU8" s="12">
        <f>ASM8*PaymentFee</f>
        <v/>
      </c>
      <c r="ASV8" s="12">
        <f>ASG8*OpsAI</f>
        <v/>
      </c>
      <c r="ASW8" s="12">
        <f>MonthlyFixed</f>
        <v/>
      </c>
      <c r="ASX8" s="12">
        <f>ARQ8*ReferralReward</f>
        <v/>
      </c>
      <c r="ASY8" s="12">
        <f>ARO8</f>
        <v/>
      </c>
      <c r="ASZ8" s="9">
        <f>ASP8-AST8-ASU8-ASV8-ASW8-ASX8-ASY8</f>
        <v/>
      </c>
      <c r="ATA8" s="9">
        <f>ATA7+ASM8-(AST8+ASU8+ASV8+ASW8+ASX8+ASY8+ASR8)</f>
        <v/>
      </c>
      <c r="ATB8" s="12">
        <f>IF(ASG8&gt;0,ASH8/ASG8,0)</f>
        <v/>
      </c>
      <c r="ATC8" s="11">
        <f>IF(ASG7&gt;0,MAX(0,(ASG7+ARR8-ASG8)/ASG7),0)</f>
        <v/>
      </c>
      <c r="ATE8" s="12" t="n">
        <v>4</v>
      </c>
      <c r="ATF8" s="12">
        <f>MOD(ATE8-1+LaunchMonth-1,12)+1</f>
        <v/>
      </c>
      <c r="ATG8" s="12">
        <f>INT((ATE8-1+LaunchMonth-1)/12)+1</f>
        <v/>
      </c>
      <c r="ATH8" s="12">
        <f>VLOOKUP(ATF8,SeasonTable,2,FALSE)</f>
        <v/>
      </c>
      <c r="ATI8" s="12">
        <f>(1+InflationRate)^INT((ATE8-1)/12)</f>
        <v/>
      </c>
      <c r="ATJ8" s="11">
        <f>MonthlyChurn*VLOOKUP(ATF8,ChurnSeasonTable,4,FALSE)</f>
        <v/>
      </c>
      <c r="ATK8" s="12">
        <f>MIN(MktFixed4_6,MAX(0,AUW7-CashBuffer))</f>
        <v/>
      </c>
      <c r="ATL8" s="12">
        <f>IF(ATK8&gt;0,MAX(1,ROUND(ATK8/'Sens - CAC &amp; Marketing'!$A$15*ATH8,0)),0)</f>
        <v/>
      </c>
      <c r="ATM8" s="12">
        <f>IF(ATL8&gt;0,ROUND(ATL8*ReferralMix/(1-ReferralMix),0),0)</f>
        <v/>
      </c>
      <c r="ATN8" s="12">
        <f>ATL8+ATM8</f>
        <v/>
      </c>
      <c r="ATO8" s="12">
        <f>ROUND(ATN8*(1-AnnualMix),0)</f>
        <v/>
      </c>
      <c r="ATP8" s="12">
        <f>ATN8-ATO8</f>
        <v/>
      </c>
      <c r="ATQ8" s="12">
        <f>ROUND(ATO8*EssentialMix,0)</f>
        <v/>
      </c>
      <c r="ATR8" s="12">
        <f>ROUND(ATO8*PremiumMix,0)</f>
        <v/>
      </c>
      <c r="ATS8" s="12">
        <f>ATO8-ATQ8-ATR8</f>
        <v/>
      </c>
      <c r="ATT8" s="12">
        <f>ROUND(ATP8*EssentialMix,0)</f>
        <v/>
      </c>
      <c r="ATU8" s="12">
        <f>ROUND(ATP8*PremiumMix,0)</f>
        <v/>
      </c>
      <c r="ATV8" s="12">
        <f>ATP8-ATT8-ATU8</f>
        <v/>
      </c>
      <c r="ATW8" s="12">
        <f>ATQ8+ATQ7+ATQ6+MAX(0,ATW7-ATQ7-ATQ6)*(1-ATJ8)</f>
        <v/>
      </c>
      <c r="ATX8" s="12">
        <f>ATR8+ATR7+ATR6+MAX(0,ATX7-ATR7-ATR6)*(1-ATJ8)</f>
        <v/>
      </c>
      <c r="ATY8" s="12">
        <f>ATS8+ATS7+ATS6+MAX(0,ATY7-ATS7-ATS6)*(1-ATJ8)</f>
        <v/>
      </c>
      <c r="ATZ8" s="12">
        <f>SUM(ATT$5:ATT8)</f>
        <v/>
      </c>
      <c r="AUA8" s="12">
        <f>SUM(ATU$5:ATU8)</f>
        <v/>
      </c>
      <c r="AUB8" s="12">
        <f>SUM(ATV$5:ATV8)</f>
        <v/>
      </c>
      <c r="AUC8" s="12">
        <f>ATW8+ATX8+ATY8+ATZ8+AUA8+AUB8</f>
        <v/>
      </c>
      <c r="AUD8" s="9">
        <f>ATW8*BlendedPriceEssMonthly*ATI8+ATX8*BlendedPricePremMonthly*ATI8+ATY8*BlendedPriceEliteMonthly*ATI8+ATZ8*BlendedPriceEssAnnual*ATI8/12+AUA8*BlendedPricePremAnnual*ATI8/12+AUB8*BlendedPriceEliteAnnual*ATI8/12</f>
        <v/>
      </c>
      <c r="AUE8" s="9">
        <f>AUD8*12</f>
        <v/>
      </c>
      <c r="AUF8" s="12">
        <f>ATW8*BlendedPriceEssMonthly*ATI8+ATX8*BlendedPricePremMonthly*ATI8+ATY8*BlendedPriceEliteMonthly*ATI8</f>
        <v/>
      </c>
      <c r="AUG8" s="12">
        <f>ATT8*BlendedPriceEssAnnual*ATI8+ATU8*BlendedPricePremAnnual*ATI8+ATV8*BlendedPriceEliteAnnual*ATI8</f>
        <v/>
      </c>
      <c r="AUH8" s="12">
        <f>0+0+0</f>
        <v/>
      </c>
      <c r="AUI8" s="9">
        <f>AUF8+AUG8+AUH8</f>
        <v/>
      </c>
      <c r="AUJ8" s="12">
        <f>SUM(AUI$5:AUI8)</f>
        <v/>
      </c>
      <c r="AUK8" s="12">
        <f>OR(AUK7,IF(VATAgentMode,SUM($AUI$5:$AUI8)-SUM($AUP$5:$AUP8)&gt;=VATThreshold,SUM($AUI$5:$AUI8)&gt;=VATThreshold))</f>
        <v/>
      </c>
      <c r="AUL8" s="9">
        <f>IF(AUK8,IF(VATAgentMode,AUI8-((AUI8-AUP8)-(AUI8-AUP8)/(1+VATRate)),AUI8/(1+VATRate)),AUI8)</f>
        <v/>
      </c>
      <c r="AUM8" s="12">
        <f>AUI8-AUL8</f>
        <v/>
      </c>
      <c r="AUN8" s="12">
        <f>IF(AUK8=0,0,IF(ATF8=1,SUMPRODUCT(--(($ATG$5:$ATG8=$ATG8-1)*($ATF$5:$ATF8&gt;=10)*($ATF$5:$ATF8&lt;=12)),$AUM$5:$AUM8),IF(ATF8=4,SUMPRODUCT(--(($ATG$5:$ATG8=$ATG8)*($ATF$5:$ATF8&gt;=1)*($ATF$5:$ATF8&lt;=3)),$AUM$5:$AUM8),IF(ATF8=7,SUMPRODUCT(--(($ATG$5:$ATG8=$ATG8)*($ATF$5:$ATF8&gt;=4)*($ATF$5:$ATF8&lt;=6)),$AUM$5:$AUM8),IF(ATF8=10,SUMPRODUCT(--(($ATG$5:$ATG8=$ATG8)*($ATF$5:$ATF8&gt;=7)*($ATF$5:$ATF8&lt;=9)),$AUM$5:$AUM8),0)))))</f>
        <v/>
      </c>
      <c r="AUO8" s="12">
        <f>AUO7+AUM8-AUN8</f>
        <v/>
      </c>
      <c r="AUP8" s="12">
        <f>IF(ProviderDelay&gt;=1,ATW7*BlendedProvPayEss+ATX7*BlendedProvPayPrem+ATY7*BlendedProvPayElite+ATZ7*BlendedProvPayEss+AUA7*BlendedProvPayPrem+AUB7*BlendedProvPayElite,ATW8*BlendedProvPayEss+ATX8*BlendedProvPayPrem+ATY8*BlendedProvPayElite+ATZ8*BlendedProvPayEss+AUA8*BlendedProvPayPrem+AUB8*BlendedProvPayElite)</f>
        <v/>
      </c>
      <c r="AUQ8" s="12">
        <f>AUI8*PaymentFee</f>
        <v/>
      </c>
      <c r="AUR8" s="12">
        <f>AUC8*OpsAI</f>
        <v/>
      </c>
      <c r="AUS8" s="12">
        <f>MonthlyFixed</f>
        <v/>
      </c>
      <c r="AUT8" s="12">
        <f>ATM8*ReferralReward</f>
        <v/>
      </c>
      <c r="AUU8" s="12">
        <f>ATK8</f>
        <v/>
      </c>
      <c r="AUV8" s="9">
        <f>AUL8-AUP8-AUQ8-AUR8-AUS8-AUT8-AUU8</f>
        <v/>
      </c>
      <c r="AUW8" s="9">
        <f>AUW7+AUI8-(AUP8+AUQ8+AUR8+AUS8+AUT8+AUU8+AUN8)</f>
        <v/>
      </c>
      <c r="AUX8" s="12">
        <f>IF(AUC8&gt;0,AUD8/AUC8,0)</f>
        <v/>
      </c>
      <c r="AUY8" s="11">
        <f>IF(AUC7&gt;0,MAX(0,(AUC7+ATN8-AUC8)/AUC7),0)</f>
        <v/>
      </c>
      <c r="AVA8" s="12" t="n">
        <v>4</v>
      </c>
      <c r="AVB8" s="12">
        <f>MOD(AVA8-1+LaunchMonth-1,12)+1</f>
        <v/>
      </c>
      <c r="AVC8" s="12">
        <f>INT((AVA8-1+LaunchMonth-1)/12)+1</f>
        <v/>
      </c>
      <c r="AVD8" s="12">
        <f>VLOOKUP(AVB8,WinterPivotSeasonTable,5,FALSE)</f>
        <v/>
      </c>
      <c r="AVE8" s="12">
        <f>(1+InflationRate)^INT((AVA8-1)/12)</f>
        <v/>
      </c>
      <c r="AVF8" s="11">
        <f>MonthlyChurn*VLOOKUP(AVB8,WinterPivotChurnTable,6,FALSE)</f>
        <v/>
      </c>
      <c r="AVG8" s="12">
        <f>MIN(MktFixed4_6,MAX(0,AWS7-CashBuffer))</f>
        <v/>
      </c>
      <c r="AVH8" s="12">
        <f>IF(AVG8&gt;0,MAX(1,ROUND(AVG8/CAC*AVD8,0)),0)</f>
        <v/>
      </c>
      <c r="AVI8" s="12">
        <f>IF(AVH8&gt;0,ROUND(AVH8*ReferralMix/(1-ReferralMix),0),0)</f>
        <v/>
      </c>
      <c r="AVJ8" s="12">
        <f>AVH8+AVI8</f>
        <v/>
      </c>
      <c r="AVK8" s="12">
        <f>ROUND(AVJ8*(1-AnnualMix),0)</f>
        <v/>
      </c>
      <c r="AVL8" s="12">
        <f>AVJ8-AVK8</f>
        <v/>
      </c>
      <c r="AVM8" s="12">
        <f>ROUND(AVK8*'Sens - Winter Pivot'!$B$6,0)</f>
        <v/>
      </c>
      <c r="AVN8" s="12">
        <f>ROUND(AVK8*PremiumMix,0)</f>
        <v/>
      </c>
      <c r="AVO8" s="12">
        <f>AVK8-AVM8-AVN8</f>
        <v/>
      </c>
      <c r="AVP8" s="12">
        <f>ROUND(AVL8*'Sens - Winter Pivot'!$B$6,0)</f>
        <v/>
      </c>
      <c r="AVQ8" s="12">
        <f>ROUND(AVL8*PremiumMix,0)</f>
        <v/>
      </c>
      <c r="AVR8" s="12">
        <f>AVL8-AVP8-AVQ8</f>
        <v/>
      </c>
      <c r="AVS8" s="12">
        <f>AVM8+AVM7+AVM6+MAX(0,AVS7-AVM7-AVM6)*(1-AVF8)</f>
        <v/>
      </c>
      <c r="AVT8" s="12">
        <f>AVN8+AVN7+AVN6+MAX(0,AVT7-AVN7-AVN6)*(1-AVF8)</f>
        <v/>
      </c>
      <c r="AVU8" s="12">
        <f>AVO8+AVO7+AVO6+MAX(0,AVU7-AVO7-AVO6)*(1-AVF8)</f>
        <v/>
      </c>
      <c r="AVV8" s="12">
        <f>SUM(AVP$5:AVP8)</f>
        <v/>
      </c>
      <c r="AVW8" s="12">
        <f>SUM(AVQ$5:AVQ8)</f>
        <v/>
      </c>
      <c r="AVX8" s="12">
        <f>SUM(AVR$5:AVR8)</f>
        <v/>
      </c>
      <c r="AVY8" s="12">
        <f>AVS8+AVT8+AVU8+AVV8+AVW8+AVX8</f>
        <v/>
      </c>
      <c r="AVZ8" s="9">
        <f>AVS8*BlendedPriceEssMonthly*AVE8+AVT8*(BlendedPricePremMonthly+'Sens - Winter Pivot'!$B$7)*AVE8+AVU8*BlendedPriceEliteMonthly*AVE8+AVV8*BlendedPriceEssAnnual*AVE8/12+AVW8*(BlendedPricePremAnnual+'Sens - Winter Pivot'!$B$7*12)*AVE8/12+AVX8*BlendedPriceEliteAnnual*AVE8/12</f>
        <v/>
      </c>
      <c r="AWA8" s="9">
        <f>AVZ8*12</f>
        <v/>
      </c>
      <c r="AWB8" s="12">
        <f>AVS8*BlendedPriceEssMonthly*AVE8+AVT8*(BlendedPricePremMonthly+'Sens - Winter Pivot'!$B$7)*AVE8+AVU8*BlendedPriceEliteMonthly*AVE8</f>
        <v/>
      </c>
      <c r="AWC8" s="12">
        <f>AVP8*BlendedPriceEssAnnual*AVE8+AVQ8*(BlendedPricePremAnnual+'Sens - Winter Pivot'!$B$7*12)*AVE8+AVR8*BlendedPriceEliteAnnual*AVE8</f>
        <v/>
      </c>
      <c r="AWD8" s="12">
        <f>0+0+0</f>
        <v/>
      </c>
      <c r="AWE8" s="9">
        <f>AWB8+AWC8+AWD8</f>
        <v/>
      </c>
      <c r="AWF8" s="12">
        <f>SUM(AWE$5:AWE8)</f>
        <v/>
      </c>
      <c r="AWG8" s="12">
        <f>OR(AWG7,IF(VATAgentMode,SUM($AWE$5:$AWE8)-SUM($AWL$5:$AWL8)&gt;=VATThreshold,SUM($AWE$5:$AWE8)&gt;=VATThreshold))</f>
        <v/>
      </c>
      <c r="AWH8" s="9">
        <f>IF(AWG8,IF(VATAgentMode,AWE8-((AWE8-AWL8)-(AWE8-AWL8)/(1+VATRate)),AWE8/(1+VATRate)),AWE8)</f>
        <v/>
      </c>
      <c r="AWI8" s="12">
        <f>AWE8-AWH8</f>
        <v/>
      </c>
      <c r="AWJ8" s="12">
        <f>IF(AWG8=0,0,IF(AVB8=1,SUMPRODUCT(--(($AVC$5:$AVC8=$AVC8-1)*($AVB$5:$AVB8&gt;=10)*($AVB$5:$AVB8&lt;=12)),$AWI$5:$AWI8),IF(AVB8=4,SUMPRODUCT(--(($AVC$5:$AVC8=$AVC8)*($AVB$5:$AVB8&gt;=1)*($AVB$5:$AVB8&lt;=3)),$AWI$5:$AWI8),IF(AVB8=7,SUMPRODUCT(--(($AVC$5:$AVC8=$AVC8)*($AVB$5:$AVB8&gt;=4)*($AVB$5:$AVB8&lt;=6)),$AWI$5:$AWI8),IF(AVB8=10,SUMPRODUCT(--(($AVC$5:$AVC8=$AVC8)*($AVB$5:$AVB8&gt;=7)*($AVB$5:$AVB8&lt;=9)),$AWI$5:$AWI8),0)))))</f>
        <v/>
      </c>
      <c r="AWK8" s="12">
        <f>AWK7+AWI8-AWJ8</f>
        <v/>
      </c>
      <c r="AWL8" s="12">
        <f>IF(ProviderDelay&gt;=1,AVS7*BlendedProvPayEss+AVT7*BlendedProvPayPrem+AVU7*BlendedProvPayElite+AVV7*BlendedProvPayEss+AVW7*BlendedProvPayPrem+AVX7*BlendedProvPayElite,AVS8*BlendedProvPayEss+AVT8*BlendedProvPayPrem+AVU8*BlendedProvPayElite+AVV8*BlendedProvPayEss+AVW8*BlendedProvPayPrem+AVX8*BlendedProvPayElite)</f>
        <v/>
      </c>
      <c r="AWM8" s="12">
        <f>AWE8*PaymentFee</f>
        <v/>
      </c>
      <c r="AWN8" s="12">
        <f>AVY8*OpsAI</f>
        <v/>
      </c>
      <c r="AWO8" s="12">
        <f>MonthlyFixed</f>
        <v/>
      </c>
      <c r="AWP8" s="12">
        <f>AVI8*ReferralReward</f>
        <v/>
      </c>
      <c r="AWQ8" s="12">
        <f>AVG8</f>
        <v/>
      </c>
      <c r="AWR8" s="9">
        <f>AWH8-AWL8-AWM8-AWN8-AWO8-AWP8-AWQ8</f>
        <v/>
      </c>
      <c r="AWS8" s="9">
        <f>AWS7+AWE8-(AWL8+AWM8+AWN8+AWO8+AWP8+AWQ8+AWJ8)</f>
        <v/>
      </c>
      <c r="AWT8" s="12">
        <f>IF(AVY8&gt;0,AVZ8/AVY8,0)</f>
        <v/>
      </c>
      <c r="AWU8" s="11">
        <f>IF(AVY7&gt;0,MAX(0,(AVY7+AVJ8-AVY8)/AVY7),0)</f>
        <v/>
      </c>
    </row>
    <row r="9">
      <c r="A9" s="12" t="n">
        <v>5</v>
      </c>
      <c r="B9" s="12">
        <f>MOD(A9-1+LaunchMonth-1,12)+1</f>
        <v/>
      </c>
      <c r="C9" s="12">
        <f>INT((A9-1+LaunchMonth-1)/12)+1</f>
        <v/>
      </c>
      <c r="D9" s="12">
        <f>VLOOKUP(B9,SeasonTable,2,FALSE)</f>
        <v/>
      </c>
      <c r="E9" s="12">
        <f>(1+InflationRate)^INT((A9-1)/12)</f>
        <v/>
      </c>
      <c r="F9" s="11">
        <f>'Sens - Scenarios'!$B$5*VLOOKUP(B9,ChurnSeasonTable,4,FALSE)</f>
        <v/>
      </c>
      <c r="G9" s="12">
        <f>MIN(MktFixed4_6,MAX(0,AS8-CashBuffer))</f>
        <v/>
      </c>
      <c r="H9" s="12">
        <f>IF(G9&gt;0,MAX(1,ROUND(G9/'Sens - Scenarios'!$B$8*D9,0)),0)</f>
        <v/>
      </c>
      <c r="I9" s="12">
        <f>IF(H9&gt;0,ROUND(H9*ReferralMix/(1-ReferralMix),0),0)</f>
        <v/>
      </c>
      <c r="J9" s="12">
        <f>H9+I9</f>
        <v/>
      </c>
      <c r="K9" s="12">
        <f>ROUND(J9*(1-'Sens - Scenarios'!$B$7),0)</f>
        <v/>
      </c>
      <c r="L9" s="12">
        <f>J9-K9</f>
        <v/>
      </c>
      <c r="M9" s="12">
        <f>ROUND(K9*EssentialMix,0)</f>
        <v/>
      </c>
      <c r="N9" s="12">
        <f>ROUND(K9*PremiumMix,0)</f>
        <v/>
      </c>
      <c r="O9" s="12">
        <f>K9-M9-N9</f>
        <v/>
      </c>
      <c r="P9" s="12">
        <f>ROUND(L9*EssentialMix,0)</f>
        <v/>
      </c>
      <c r="Q9" s="12">
        <f>ROUND(L9*PremiumMix,0)</f>
        <v/>
      </c>
      <c r="R9" s="12">
        <f>L9-P9-Q9</f>
        <v/>
      </c>
      <c r="S9" s="12">
        <f>M9+M8+M7+MAX(0,S8-M8-M7)*(1-F9)</f>
        <v/>
      </c>
      <c r="T9" s="12">
        <f>N9+N8+N7+MAX(0,T8-N8-N7)*(1-F9)</f>
        <v/>
      </c>
      <c r="U9" s="12">
        <f>O9+O8+O7+MAX(0,U8-O8-O7)*(1-F9)</f>
        <v/>
      </c>
      <c r="V9" s="12">
        <f>SUM(P$5:P9)</f>
        <v/>
      </c>
      <c r="W9" s="12">
        <f>SUM(Q$5:Q9)</f>
        <v/>
      </c>
      <c r="X9" s="12">
        <f>SUM(R$5:R9)</f>
        <v/>
      </c>
      <c r="Y9" s="12">
        <f>S9+T9+U9+V9+W9+X9</f>
        <v/>
      </c>
      <c r="Z9" s="9">
        <f>S9*BlendedPriceEssMonthly*E9+T9*BlendedPricePremMonthly*E9+U9*BlendedPriceEliteMonthly*E9+V9*BlendedPriceEssAnnual*E9/12+W9*BlendedPricePremAnnual*E9/12+X9*BlendedPriceEliteAnnual*E9/12</f>
        <v/>
      </c>
      <c r="AA9" s="9">
        <f>Z9*12</f>
        <v/>
      </c>
      <c r="AB9" s="12">
        <f>S9*BlendedPriceEssMonthly*E9+T9*BlendedPricePremMonthly*E9+U9*BlendedPriceEliteMonthly*E9</f>
        <v/>
      </c>
      <c r="AC9" s="12">
        <f>P9*BlendedPriceEssAnnual*E9+Q9*BlendedPricePremAnnual*E9+R9*BlendedPriceEliteAnnual*E9</f>
        <v/>
      </c>
      <c r="AD9" s="12">
        <f>0+0+0</f>
        <v/>
      </c>
      <c r="AE9" s="9">
        <f>AB9+AC9+AD9</f>
        <v/>
      </c>
      <c r="AF9" s="12">
        <f>SUM(AE$5:AE9)</f>
        <v/>
      </c>
      <c r="AG9" s="12">
        <f>OR(AG8,IF(VATAgentMode,SUM($AE$5:$AE9)-SUM($AL$5:$AL9)&gt;=VATThreshold,SUM($AE$5:$AE9)&gt;=VATThreshold))</f>
        <v/>
      </c>
      <c r="AH9" s="9">
        <f>IF(AG9,IF(VATAgentMode,AE9-((AE9-AL9)-(AE9-AL9)/(1+VATRate)),AE9/(1+VATRate)),AE9)</f>
        <v/>
      </c>
      <c r="AI9" s="12">
        <f>AE9-AH9</f>
        <v/>
      </c>
      <c r="AJ9" s="12">
        <f>IF(AG9=0,0,IF(B9=1,SUMPRODUCT(--(($C$5:$C9=$C9-1)*($B$5:$B9&gt;=10)*($B$5:$B9&lt;=12)),$AI$5:$AI9),IF(B9=4,SUMPRODUCT(--(($C$5:$C9=$C9)*($B$5:$B9&gt;=1)*($B$5:$B9&lt;=3)),$AI$5:$AI9),IF(B9=7,SUMPRODUCT(--(($C$5:$C9=$C9)*($B$5:$B9&gt;=4)*($B$5:$B9&lt;=6)),$AI$5:$AI9),IF(B9=10,SUMPRODUCT(--(($C$5:$C9=$C9)*($B$5:$B9&gt;=7)*($B$5:$B9&lt;=9)),$AI$5:$AI9),0)))))</f>
        <v/>
      </c>
      <c r="AK9" s="12">
        <f>AK8+AI9-AJ9</f>
        <v/>
      </c>
      <c r="AL9" s="12">
        <f>IF(ProviderDelay&gt;=1,S8*BlendedProvPayEss+T8*BlendedProvPayPrem+U8*BlendedProvPayElite+V8*BlendedProvPayEss+W8*BlendedProvPayPrem+X8*BlendedProvPayElite,S9*BlendedProvPayEss+T9*BlendedProvPayPrem+U9*BlendedProvPayElite+V9*BlendedProvPayEss+W9*BlendedProvPayPrem+X9*BlendedProvPayElite)</f>
        <v/>
      </c>
      <c r="AM9" s="12">
        <f>AE9*PaymentFee</f>
        <v/>
      </c>
      <c r="AN9" s="12">
        <f>Y9*OpsAI</f>
        <v/>
      </c>
      <c r="AO9" s="12">
        <f>MonthlyFixed</f>
        <v/>
      </c>
      <c r="AP9" s="12">
        <f>I9*ReferralReward</f>
        <v/>
      </c>
      <c r="AQ9" s="12">
        <f>G9</f>
        <v/>
      </c>
      <c r="AR9" s="9">
        <f>AH9-AL9-AM9-AN9-AO9-AP9-AQ9</f>
        <v/>
      </c>
      <c r="AS9" s="9">
        <f>AS8+AE9-(AL9+AM9+AN9+AO9+AP9+AQ9+AJ9)</f>
        <v/>
      </c>
      <c r="AT9" s="12">
        <f>IF(Y9&gt;0,Z9/Y9,0)</f>
        <v/>
      </c>
      <c r="AU9" s="11">
        <f>IF(Y8&gt;0,MAX(0,(Y8+J9-Y9)/Y8),0)</f>
        <v/>
      </c>
      <c r="AW9" s="12" t="n">
        <v>5</v>
      </c>
      <c r="AX9" s="12">
        <f>MOD(AW9-1+LaunchMonth-1,12)+1</f>
        <v/>
      </c>
      <c r="AY9" s="12">
        <f>INT((AW9-1+LaunchMonth-1)/12)+1</f>
        <v/>
      </c>
      <c r="AZ9" s="12">
        <f>VLOOKUP(AX9,SeasonTable,2,FALSE)</f>
        <v/>
      </c>
      <c r="BA9" s="12">
        <f>(1+InflationRate)^INT((AW9-1)/12)</f>
        <v/>
      </c>
      <c r="BB9" s="11">
        <f>MonthlyChurn*VLOOKUP(AX9,ChurnSeasonTable,4,FALSE)</f>
        <v/>
      </c>
      <c r="BC9" s="12">
        <f>MIN(MktFixed4_6,MAX(0,CO8-CashBuffer))</f>
        <v/>
      </c>
      <c r="BD9" s="12">
        <f>IF(BC9&gt;0,MAX(1,ROUND(BC9/CAC*AZ9,0)),0)</f>
        <v/>
      </c>
      <c r="BE9" s="12">
        <f>IF(BD9&gt;0,ROUND(BD9*ReferralMix/(1-ReferralMix),0),0)</f>
        <v/>
      </c>
      <c r="BF9" s="12">
        <f>BD9+BE9</f>
        <v/>
      </c>
      <c r="BG9" s="12">
        <f>ROUND(BF9*(1-AnnualMix),0)</f>
        <v/>
      </c>
      <c r="BH9" s="12">
        <f>BF9-BG9</f>
        <v/>
      </c>
      <c r="BI9" s="12">
        <f>ROUND(BG9*EssentialMix,0)</f>
        <v/>
      </c>
      <c r="BJ9" s="12">
        <f>ROUND(BG9*PremiumMix,0)</f>
        <v/>
      </c>
      <c r="BK9" s="12">
        <f>BG9-BI9-BJ9</f>
        <v/>
      </c>
      <c r="BL9" s="12">
        <f>ROUND(BH9*EssentialMix,0)</f>
        <v/>
      </c>
      <c r="BM9" s="12">
        <f>ROUND(BH9*PremiumMix,0)</f>
        <v/>
      </c>
      <c r="BN9" s="12">
        <f>BH9-BL9-BM9</f>
        <v/>
      </c>
      <c r="BO9" s="12">
        <f>BI9+BI8+BI7+MAX(0,BO8-BI8-BI7)*(1-BB9)</f>
        <v/>
      </c>
      <c r="BP9" s="12">
        <f>BJ9+BJ8+BJ7+MAX(0,BP8-BJ8-BJ7)*(1-BB9)</f>
        <v/>
      </c>
      <c r="BQ9" s="12">
        <f>BK9+BK8+BK7+MAX(0,BQ8-BK8-BK7)*(1-BB9)</f>
        <v/>
      </c>
      <c r="BR9" s="12">
        <f>SUM(BL$5:BL9)</f>
        <v/>
      </c>
      <c r="BS9" s="12">
        <f>SUM(BM$5:BM9)</f>
        <v/>
      </c>
      <c r="BT9" s="12">
        <f>SUM(BN$5:BN9)</f>
        <v/>
      </c>
      <c r="BU9" s="12">
        <f>BO9+BP9+BQ9+BR9+BS9+BT9</f>
        <v/>
      </c>
      <c r="BV9" s="9">
        <f>BO9*BlendedPriceEssMonthly*BA9+BP9*BlendedPricePremMonthly*BA9+BQ9*BlendedPriceEliteMonthly*BA9+BR9*BlendedPriceEssAnnual*BA9/12+BS9*BlendedPricePremAnnual*BA9/12+BT9*BlendedPriceEliteAnnual*BA9/12</f>
        <v/>
      </c>
      <c r="BW9" s="9">
        <f>BV9*12</f>
        <v/>
      </c>
      <c r="BX9" s="12">
        <f>BO9*BlendedPriceEssMonthly*BA9+BP9*BlendedPricePremMonthly*BA9+BQ9*BlendedPriceEliteMonthly*BA9</f>
        <v/>
      </c>
      <c r="BY9" s="12">
        <f>BL9*BlendedPriceEssAnnual*BA9+BM9*BlendedPricePremAnnual*BA9+BN9*BlendedPriceEliteAnnual*BA9</f>
        <v/>
      </c>
      <c r="BZ9" s="12">
        <f>0+0+0</f>
        <v/>
      </c>
      <c r="CA9" s="9">
        <f>BX9+BY9+BZ9</f>
        <v/>
      </c>
      <c r="CB9" s="12">
        <f>SUM(CA$5:CA9)</f>
        <v/>
      </c>
      <c r="CC9" s="12">
        <f>OR(CC8,IF(VATAgentMode,SUM($CA$5:$CA9)-SUM($CH$5:$CH9)&gt;=VATThreshold,SUM($CA$5:$CA9)&gt;=VATThreshold))</f>
        <v/>
      </c>
      <c r="CD9" s="9">
        <f>IF(CC9,IF(VATAgentMode,CA9-((CA9-CH9)-(CA9-CH9)/(1+VATRate)),CA9/(1+VATRate)),CA9)</f>
        <v/>
      </c>
      <c r="CE9" s="12">
        <f>CA9-CD9</f>
        <v/>
      </c>
      <c r="CF9" s="12">
        <f>IF(CC9=0,0,IF(AX9=1,SUMPRODUCT(--(($AY$5:$AY9=$AY9-1)*($AX$5:$AX9&gt;=10)*($AX$5:$AX9&lt;=12)),$CE$5:$CE9),IF(AX9=4,SUMPRODUCT(--(($AY$5:$AY9=$AY9)*($AX$5:$AX9&gt;=1)*($AX$5:$AX9&lt;=3)),$CE$5:$CE9),IF(AX9=7,SUMPRODUCT(--(($AY$5:$AY9=$AY9)*($AX$5:$AX9&gt;=4)*($AX$5:$AX9&lt;=6)),$CE$5:$CE9),IF(AX9=10,SUMPRODUCT(--(($AY$5:$AY9=$AY9)*($AX$5:$AX9&gt;=7)*($AX$5:$AX9&lt;=9)),$CE$5:$CE9),0)))))</f>
        <v/>
      </c>
      <c r="CG9" s="12">
        <f>CG8+CE9-CF9</f>
        <v/>
      </c>
      <c r="CH9" s="12">
        <f>IF(ProviderDelay&gt;=1,BO8*BlendedProvPayEss+BP8*BlendedProvPayPrem+BQ8*BlendedProvPayElite+BR8*BlendedProvPayEss+BS8*BlendedProvPayPrem+BT8*BlendedProvPayElite,BO9*BlendedProvPayEss+BP9*BlendedProvPayPrem+BQ9*BlendedProvPayElite+BR9*BlendedProvPayEss+BS9*BlendedProvPayPrem+BT9*BlendedProvPayElite)</f>
        <v/>
      </c>
      <c r="CI9" s="12">
        <f>CA9*PaymentFee</f>
        <v/>
      </c>
      <c r="CJ9" s="12">
        <f>BU9*OpsAI</f>
        <v/>
      </c>
      <c r="CK9" s="12">
        <f>MonthlyFixed</f>
        <v/>
      </c>
      <c r="CL9" s="12">
        <f>BE9*ReferralReward</f>
        <v/>
      </c>
      <c r="CM9" s="12">
        <f>BC9</f>
        <v/>
      </c>
      <c r="CN9" s="9">
        <f>CD9-CH9-CI9-CJ9-CK9-CL9-CM9</f>
        <v/>
      </c>
      <c r="CO9" s="9">
        <f>CO8+CA9-(CH9+CI9+CJ9+CK9+CL9+CM9+CF9)</f>
        <v/>
      </c>
      <c r="CP9" s="12">
        <f>IF(BU9&gt;0,BV9/BU9,0)</f>
        <v/>
      </c>
      <c r="CQ9" s="11">
        <f>IF(BU8&gt;0,MAX(0,(BU8+BF9-BU9)/BU8),0)</f>
        <v/>
      </c>
      <c r="CS9" s="12" t="n">
        <v>5</v>
      </c>
      <c r="CT9" s="12">
        <f>MOD(CS9-1+LaunchMonth-1,12)+1</f>
        <v/>
      </c>
      <c r="CU9" s="12">
        <f>INT((CS9-1+LaunchMonth-1)/12)+1</f>
        <v/>
      </c>
      <c r="CV9" s="12">
        <f>VLOOKUP(CT9,SeasonTable,2,FALSE)</f>
        <v/>
      </c>
      <c r="CW9" s="12">
        <f>(1+InflationRate)^INT((CS9-1)/12)</f>
        <v/>
      </c>
      <c r="CX9" s="11">
        <f>'Sens - Scenarios'!$D$5*VLOOKUP(CT9,ChurnSeasonTable,4,FALSE)</f>
        <v/>
      </c>
      <c r="CY9" s="12">
        <f>MIN(MktFixed4_6,MAX(0,EK8-CashBuffer))</f>
        <v/>
      </c>
      <c r="CZ9" s="12">
        <f>IF(CY9&gt;0,MAX(1,ROUND(CY9/'Sens - Scenarios'!$D$8*CV9,0)),0)</f>
        <v/>
      </c>
      <c r="DA9" s="12">
        <f>IF(CZ9&gt;0,ROUND(CZ9*ReferralMix/(1-ReferralMix),0),0)</f>
        <v/>
      </c>
      <c r="DB9" s="12">
        <f>CZ9+DA9</f>
        <v/>
      </c>
      <c r="DC9" s="12">
        <f>ROUND(DB9*(1-'Sens - Scenarios'!$D$7),0)</f>
        <v/>
      </c>
      <c r="DD9" s="12">
        <f>DB9-DC9</f>
        <v/>
      </c>
      <c r="DE9" s="12">
        <f>ROUND(DC9*EssentialMix,0)</f>
        <v/>
      </c>
      <c r="DF9" s="12">
        <f>ROUND(DC9*PremiumMix,0)</f>
        <v/>
      </c>
      <c r="DG9" s="12">
        <f>DC9-DE9-DF9</f>
        <v/>
      </c>
      <c r="DH9" s="12">
        <f>ROUND(DD9*EssentialMix,0)</f>
        <v/>
      </c>
      <c r="DI9" s="12">
        <f>ROUND(DD9*PremiumMix,0)</f>
        <v/>
      </c>
      <c r="DJ9" s="12">
        <f>DD9-DH9-DI9</f>
        <v/>
      </c>
      <c r="DK9" s="12">
        <f>DE9+DE8+DE7+MAX(0,DK8-DE8-DE7)*(1-CX9)</f>
        <v/>
      </c>
      <c r="DL9" s="12">
        <f>DF9+DF8+DF7+MAX(0,DL8-DF8-DF7)*(1-CX9)</f>
        <v/>
      </c>
      <c r="DM9" s="12">
        <f>DG9+DG8+DG7+MAX(0,DM8-DG8-DG7)*(1-CX9)</f>
        <v/>
      </c>
      <c r="DN9" s="12">
        <f>SUM(DH$5:DH9)</f>
        <v/>
      </c>
      <c r="DO9" s="12">
        <f>SUM(DI$5:DI9)</f>
        <v/>
      </c>
      <c r="DP9" s="12">
        <f>SUM(DJ$5:DJ9)</f>
        <v/>
      </c>
      <c r="DQ9" s="12">
        <f>DK9+DL9+DM9+DN9+DO9+DP9</f>
        <v/>
      </c>
      <c r="DR9" s="9">
        <f>DK9*BlendedPriceEssMonthly*CW9+DL9*BlendedPricePremMonthly*CW9+DM9*BlendedPriceEliteMonthly*CW9+DN9*BlendedPriceEssAnnual*CW9/12+DO9*BlendedPricePremAnnual*CW9/12+DP9*BlendedPriceEliteAnnual*CW9/12</f>
        <v/>
      </c>
      <c r="DS9" s="9">
        <f>DR9*12</f>
        <v/>
      </c>
      <c r="DT9" s="12">
        <f>DK9*BlendedPriceEssMonthly*CW9+DL9*BlendedPricePremMonthly*CW9+DM9*BlendedPriceEliteMonthly*CW9</f>
        <v/>
      </c>
      <c r="DU9" s="12">
        <f>DH9*BlendedPriceEssAnnual*CW9+DI9*BlendedPricePremAnnual*CW9+DJ9*BlendedPriceEliteAnnual*CW9</f>
        <v/>
      </c>
      <c r="DV9" s="12">
        <f>0+0+0</f>
        <v/>
      </c>
      <c r="DW9" s="9">
        <f>DT9+DU9+DV9</f>
        <v/>
      </c>
      <c r="DX9" s="12">
        <f>SUM(DW$5:DW9)</f>
        <v/>
      </c>
      <c r="DY9" s="12">
        <f>OR(DY8,IF(VATAgentMode,SUM($DW$5:$DW9)-SUM($ED$5:$ED9)&gt;=VATThreshold,SUM($DW$5:$DW9)&gt;=VATThreshold))</f>
        <v/>
      </c>
      <c r="DZ9" s="9">
        <f>IF(DY9,IF(VATAgentMode,DW9-((DW9-ED9)-(DW9-ED9)/(1+VATRate)),DW9/(1+VATRate)),DW9)</f>
        <v/>
      </c>
      <c r="EA9" s="12">
        <f>DW9-DZ9</f>
        <v/>
      </c>
      <c r="EB9" s="12">
        <f>IF(DY9=0,0,IF(CT9=1,SUMPRODUCT(--(($CU$5:$CU9=$CU9-1)*($CT$5:$CT9&gt;=10)*($CT$5:$CT9&lt;=12)),$EA$5:$EA9),IF(CT9=4,SUMPRODUCT(--(($CU$5:$CU9=$CU9)*($CT$5:$CT9&gt;=1)*($CT$5:$CT9&lt;=3)),$EA$5:$EA9),IF(CT9=7,SUMPRODUCT(--(($CU$5:$CU9=$CU9)*($CT$5:$CT9&gt;=4)*($CT$5:$CT9&lt;=6)),$EA$5:$EA9),IF(CT9=10,SUMPRODUCT(--(($CU$5:$CU9=$CU9)*($CT$5:$CT9&gt;=7)*($CT$5:$CT9&lt;=9)),$EA$5:$EA9),0)))))</f>
        <v/>
      </c>
      <c r="EC9" s="12">
        <f>EC8+EA9-EB9</f>
        <v/>
      </c>
      <c r="ED9" s="12">
        <f>IF(ProviderDelay&gt;=1,DK8*BlendedProvPayEss+DL8*BlendedProvPayPrem+DM8*BlendedProvPayElite+DN8*BlendedProvPayEss+DO8*BlendedProvPayPrem+DP8*BlendedProvPayElite,DK9*BlendedProvPayEss+DL9*BlendedProvPayPrem+DM9*BlendedProvPayElite+DN9*BlendedProvPayEss+DO9*BlendedProvPayPrem+DP9*BlendedProvPayElite)</f>
        <v/>
      </c>
      <c r="EE9" s="12">
        <f>DW9*PaymentFee</f>
        <v/>
      </c>
      <c r="EF9" s="12">
        <f>DQ9*OpsAI</f>
        <v/>
      </c>
      <c r="EG9" s="12">
        <f>MonthlyFixed</f>
        <v/>
      </c>
      <c r="EH9" s="12">
        <f>DA9*ReferralReward</f>
        <v/>
      </c>
      <c r="EI9" s="12">
        <f>CY9</f>
        <v/>
      </c>
      <c r="EJ9" s="9">
        <f>DZ9-ED9-EE9-EF9-EG9-EH9-EI9</f>
        <v/>
      </c>
      <c r="EK9" s="9">
        <f>EK8+DW9-(ED9+EE9+EF9+EG9+EH9+EI9+EB9)</f>
        <v/>
      </c>
      <c r="EL9" s="12">
        <f>IF(DQ9&gt;0,DR9/DQ9,0)</f>
        <v/>
      </c>
      <c r="EM9" s="11">
        <f>IF(DQ8&gt;0,MAX(0,(DQ8+DB9-DQ9)/DQ8),0)</f>
        <v/>
      </c>
      <c r="EO9" s="12" t="n">
        <v>5</v>
      </c>
      <c r="EP9" s="12">
        <f>MOD(EO9-1+LaunchMonth-1,12)+1</f>
        <v/>
      </c>
      <c r="EQ9" s="12">
        <f>INT((EO9-1+LaunchMonth-1)/12)+1</f>
        <v/>
      </c>
      <c r="ER9" s="12">
        <f>VLOOKUP(EP9,SeasonTable,2,FALSE)</f>
        <v/>
      </c>
      <c r="ES9" s="12">
        <f>(1+InflationRate)^INT((EO9-1)/12)</f>
        <v/>
      </c>
      <c r="ET9" s="11">
        <f>'Sens - Churn'!$A$13*VLOOKUP(EP9,ChurnSeasonTable,4,FALSE)</f>
        <v/>
      </c>
      <c r="EU9" s="12">
        <f>MIN(MktFixed4_6,MAX(0,GG8-CashBuffer))</f>
        <v/>
      </c>
      <c r="EV9" s="12">
        <f>IF(EU9&gt;0,MAX(1,ROUND(EU9/CAC*ER9,0)),0)</f>
        <v/>
      </c>
      <c r="EW9" s="12">
        <f>IF(EV9&gt;0,ROUND(EV9*ReferralMix/(1-ReferralMix),0),0)</f>
        <v/>
      </c>
      <c r="EX9" s="12">
        <f>EV9+EW9</f>
        <v/>
      </c>
      <c r="EY9" s="12">
        <f>ROUND(EX9*(1-AnnualMix),0)</f>
        <v/>
      </c>
      <c r="EZ9" s="12">
        <f>EX9-EY9</f>
        <v/>
      </c>
      <c r="FA9" s="12">
        <f>ROUND(EY9*EssentialMix,0)</f>
        <v/>
      </c>
      <c r="FB9" s="12">
        <f>ROUND(EY9*PremiumMix,0)</f>
        <v/>
      </c>
      <c r="FC9" s="12">
        <f>EY9-FA9-FB9</f>
        <v/>
      </c>
      <c r="FD9" s="12">
        <f>ROUND(EZ9*EssentialMix,0)</f>
        <v/>
      </c>
      <c r="FE9" s="12">
        <f>ROUND(EZ9*PremiumMix,0)</f>
        <v/>
      </c>
      <c r="FF9" s="12">
        <f>EZ9-FD9-FE9</f>
        <v/>
      </c>
      <c r="FG9" s="12">
        <f>FA9+FA8+FA7+MAX(0,FG8-FA8-FA7)*(1-ET9)</f>
        <v/>
      </c>
      <c r="FH9" s="12">
        <f>FB9+FB8+FB7+MAX(0,FH8-FB8-FB7)*(1-ET9)</f>
        <v/>
      </c>
      <c r="FI9" s="12">
        <f>FC9+FC8+FC7+MAX(0,FI8-FC8-FC7)*(1-ET9)</f>
        <v/>
      </c>
      <c r="FJ9" s="12">
        <f>SUM(FD$5:FD9)</f>
        <v/>
      </c>
      <c r="FK9" s="12">
        <f>SUM(FE$5:FE9)</f>
        <v/>
      </c>
      <c r="FL9" s="12">
        <f>SUM(FF$5:FF9)</f>
        <v/>
      </c>
      <c r="FM9" s="12">
        <f>FG9+FH9+FI9+FJ9+FK9+FL9</f>
        <v/>
      </c>
      <c r="FN9" s="9">
        <f>FG9*BlendedPriceEssMonthly*ES9+FH9*BlendedPricePremMonthly*ES9+FI9*BlendedPriceEliteMonthly*ES9+FJ9*BlendedPriceEssAnnual*ES9/12+FK9*BlendedPricePremAnnual*ES9/12+FL9*BlendedPriceEliteAnnual*ES9/12</f>
        <v/>
      </c>
      <c r="FO9" s="9">
        <f>FN9*12</f>
        <v/>
      </c>
      <c r="FP9" s="12">
        <f>FG9*BlendedPriceEssMonthly*ES9+FH9*BlendedPricePremMonthly*ES9+FI9*BlendedPriceEliteMonthly*ES9</f>
        <v/>
      </c>
      <c r="FQ9" s="12">
        <f>FD9*BlendedPriceEssAnnual*ES9+FE9*BlendedPricePremAnnual*ES9+FF9*BlendedPriceEliteAnnual*ES9</f>
        <v/>
      </c>
      <c r="FR9" s="12">
        <f>0+0+0</f>
        <v/>
      </c>
      <c r="FS9" s="9">
        <f>FP9+FQ9+FR9</f>
        <v/>
      </c>
      <c r="FT9" s="12">
        <f>SUM(FS$5:FS9)</f>
        <v/>
      </c>
      <c r="FU9" s="12">
        <f>OR(FU8,IF(VATAgentMode,SUM($FS$5:$FS9)-SUM($FZ$5:$FZ9)&gt;=VATThreshold,SUM($FS$5:$FS9)&gt;=VATThreshold))</f>
        <v/>
      </c>
      <c r="FV9" s="9">
        <f>IF(FU9,IF(VATAgentMode,FS9-((FS9-FZ9)-(FS9-FZ9)/(1+VATRate)),FS9/(1+VATRate)),FS9)</f>
        <v/>
      </c>
      <c r="FW9" s="12">
        <f>FS9-FV9</f>
        <v/>
      </c>
      <c r="FX9" s="12">
        <f>IF(FU9=0,0,IF(EP9=1,SUMPRODUCT(--(($EQ$5:$EQ9=$EQ9-1)*($EP$5:$EP9&gt;=10)*($EP$5:$EP9&lt;=12)),$FW$5:$FW9),IF(EP9=4,SUMPRODUCT(--(($EQ$5:$EQ9=$EQ9)*($EP$5:$EP9&gt;=1)*($EP$5:$EP9&lt;=3)),$FW$5:$FW9),IF(EP9=7,SUMPRODUCT(--(($EQ$5:$EQ9=$EQ9)*($EP$5:$EP9&gt;=4)*($EP$5:$EP9&lt;=6)),$FW$5:$FW9),IF(EP9=10,SUMPRODUCT(--(($EQ$5:$EQ9=$EQ9)*($EP$5:$EP9&gt;=7)*($EP$5:$EP9&lt;=9)),$FW$5:$FW9),0)))))</f>
        <v/>
      </c>
      <c r="FY9" s="12">
        <f>FY8+FW9-FX9</f>
        <v/>
      </c>
      <c r="FZ9" s="12">
        <f>IF(ProviderDelay&gt;=1,FG8*BlendedProvPayEss+FH8*BlendedProvPayPrem+FI8*BlendedProvPayElite+FJ8*BlendedProvPayEss+FK8*BlendedProvPayPrem+FL8*BlendedProvPayElite,FG9*BlendedProvPayEss+FH9*BlendedProvPayPrem+FI9*BlendedProvPayElite+FJ9*BlendedProvPayEss+FK9*BlendedProvPayPrem+FL9*BlendedProvPayElite)</f>
        <v/>
      </c>
      <c r="GA9" s="12">
        <f>FS9*PaymentFee</f>
        <v/>
      </c>
      <c r="GB9" s="12">
        <f>FM9*OpsAI</f>
        <v/>
      </c>
      <c r="GC9" s="12">
        <f>MonthlyFixed</f>
        <v/>
      </c>
      <c r="GD9" s="12">
        <f>EW9*ReferralReward</f>
        <v/>
      </c>
      <c r="GE9" s="12">
        <f>EU9</f>
        <v/>
      </c>
      <c r="GF9" s="9">
        <f>FV9-FZ9-GA9-GB9-GC9-GD9-GE9</f>
        <v/>
      </c>
      <c r="GG9" s="9">
        <f>GG8+FS9-(FZ9+GA9+GB9+GC9+GD9+GE9+FX9)</f>
        <v/>
      </c>
      <c r="GH9" s="12">
        <f>IF(FM9&gt;0,FN9/FM9,0)</f>
        <v/>
      </c>
      <c r="GI9" s="11">
        <f>IF(FM8&gt;0,MAX(0,(FM8+EX9-FM9)/FM8),0)</f>
        <v/>
      </c>
      <c r="GK9" s="12" t="n">
        <v>5</v>
      </c>
      <c r="GL9" s="12">
        <f>MOD(GK9-1+LaunchMonth-1,12)+1</f>
        <v/>
      </c>
      <c r="GM9" s="12">
        <f>INT((GK9-1+LaunchMonth-1)/12)+1</f>
        <v/>
      </c>
      <c r="GN9" s="12">
        <f>VLOOKUP(GL9,SeasonTable,2,FALSE)</f>
        <v/>
      </c>
      <c r="GO9" s="12">
        <f>(1+InflationRate)^INT((GK9-1)/12)</f>
        <v/>
      </c>
      <c r="GP9" s="11">
        <f>'Sens - Churn'!$A$14*VLOOKUP(GL9,ChurnSeasonTable,4,FALSE)</f>
        <v/>
      </c>
      <c r="GQ9" s="12">
        <f>MIN(MktFixed4_6,MAX(0,IC8-CashBuffer))</f>
        <v/>
      </c>
      <c r="GR9" s="12">
        <f>IF(GQ9&gt;0,MAX(1,ROUND(GQ9/CAC*GN9,0)),0)</f>
        <v/>
      </c>
      <c r="GS9" s="12">
        <f>IF(GR9&gt;0,ROUND(GR9*ReferralMix/(1-ReferralMix),0),0)</f>
        <v/>
      </c>
      <c r="GT9" s="12">
        <f>GR9+GS9</f>
        <v/>
      </c>
      <c r="GU9" s="12">
        <f>ROUND(GT9*(1-AnnualMix),0)</f>
        <v/>
      </c>
      <c r="GV9" s="12">
        <f>GT9-GU9</f>
        <v/>
      </c>
      <c r="GW9" s="12">
        <f>ROUND(GU9*EssentialMix,0)</f>
        <v/>
      </c>
      <c r="GX9" s="12">
        <f>ROUND(GU9*PremiumMix,0)</f>
        <v/>
      </c>
      <c r="GY9" s="12">
        <f>GU9-GW9-GX9</f>
        <v/>
      </c>
      <c r="GZ9" s="12">
        <f>ROUND(GV9*EssentialMix,0)</f>
        <v/>
      </c>
      <c r="HA9" s="12">
        <f>ROUND(GV9*PremiumMix,0)</f>
        <v/>
      </c>
      <c r="HB9" s="12">
        <f>GV9-GZ9-HA9</f>
        <v/>
      </c>
      <c r="HC9" s="12">
        <f>GW9+GW8+GW7+MAX(0,HC8-GW8-GW7)*(1-GP9)</f>
        <v/>
      </c>
      <c r="HD9" s="12">
        <f>GX9+GX8+GX7+MAX(0,HD8-GX8-GX7)*(1-GP9)</f>
        <v/>
      </c>
      <c r="HE9" s="12">
        <f>GY9+GY8+GY7+MAX(0,HE8-GY8-GY7)*(1-GP9)</f>
        <v/>
      </c>
      <c r="HF9" s="12">
        <f>SUM(GZ$5:GZ9)</f>
        <v/>
      </c>
      <c r="HG9" s="12">
        <f>SUM(HA$5:HA9)</f>
        <v/>
      </c>
      <c r="HH9" s="12">
        <f>SUM(HB$5:HB9)</f>
        <v/>
      </c>
      <c r="HI9" s="12">
        <f>HC9+HD9+HE9+HF9+HG9+HH9</f>
        <v/>
      </c>
      <c r="HJ9" s="9">
        <f>HC9*BlendedPriceEssMonthly*GO9+HD9*BlendedPricePremMonthly*GO9+HE9*BlendedPriceEliteMonthly*GO9+HF9*BlendedPriceEssAnnual*GO9/12+HG9*BlendedPricePremAnnual*GO9/12+HH9*BlendedPriceEliteAnnual*GO9/12</f>
        <v/>
      </c>
      <c r="HK9" s="9">
        <f>HJ9*12</f>
        <v/>
      </c>
      <c r="HL9" s="12">
        <f>HC9*BlendedPriceEssMonthly*GO9+HD9*BlendedPricePremMonthly*GO9+HE9*BlendedPriceEliteMonthly*GO9</f>
        <v/>
      </c>
      <c r="HM9" s="12">
        <f>GZ9*BlendedPriceEssAnnual*GO9+HA9*BlendedPricePremAnnual*GO9+HB9*BlendedPriceEliteAnnual*GO9</f>
        <v/>
      </c>
      <c r="HN9" s="12">
        <f>0+0+0</f>
        <v/>
      </c>
      <c r="HO9" s="9">
        <f>HL9+HM9+HN9</f>
        <v/>
      </c>
      <c r="HP9" s="12">
        <f>SUM(HO$5:HO9)</f>
        <v/>
      </c>
      <c r="HQ9" s="12">
        <f>OR(HQ8,IF(VATAgentMode,SUM($HO$5:$HO9)-SUM($HV$5:$HV9)&gt;=VATThreshold,SUM($HO$5:$HO9)&gt;=VATThreshold))</f>
        <v/>
      </c>
      <c r="HR9" s="9">
        <f>IF(HQ9,IF(VATAgentMode,HO9-((HO9-HV9)-(HO9-HV9)/(1+VATRate)),HO9/(1+VATRate)),HO9)</f>
        <v/>
      </c>
      <c r="HS9" s="12">
        <f>HO9-HR9</f>
        <v/>
      </c>
      <c r="HT9" s="12">
        <f>IF(HQ9=0,0,IF(GL9=1,SUMPRODUCT(--(($GM$5:$GM9=$GM9-1)*($GL$5:$GL9&gt;=10)*($GL$5:$GL9&lt;=12)),$HS$5:$HS9),IF(GL9=4,SUMPRODUCT(--(($GM$5:$GM9=$GM9)*($GL$5:$GL9&gt;=1)*($GL$5:$GL9&lt;=3)),$HS$5:$HS9),IF(GL9=7,SUMPRODUCT(--(($GM$5:$GM9=$GM9)*($GL$5:$GL9&gt;=4)*($GL$5:$GL9&lt;=6)),$HS$5:$HS9),IF(GL9=10,SUMPRODUCT(--(($GM$5:$GM9=$GM9)*($GL$5:$GL9&gt;=7)*($GL$5:$GL9&lt;=9)),$HS$5:$HS9),0)))))</f>
        <v/>
      </c>
      <c r="HU9" s="12">
        <f>HU8+HS9-HT9</f>
        <v/>
      </c>
      <c r="HV9" s="12">
        <f>IF(ProviderDelay&gt;=1,HC8*BlendedProvPayEss+HD8*BlendedProvPayPrem+HE8*BlendedProvPayElite+HF8*BlendedProvPayEss+HG8*BlendedProvPayPrem+HH8*BlendedProvPayElite,HC9*BlendedProvPayEss+HD9*BlendedProvPayPrem+HE9*BlendedProvPayElite+HF9*BlendedProvPayEss+HG9*BlendedProvPayPrem+HH9*BlendedProvPayElite)</f>
        <v/>
      </c>
      <c r="HW9" s="12">
        <f>HO9*PaymentFee</f>
        <v/>
      </c>
      <c r="HX9" s="12">
        <f>HI9*OpsAI</f>
        <v/>
      </c>
      <c r="HY9" s="12">
        <f>MonthlyFixed</f>
        <v/>
      </c>
      <c r="HZ9" s="12">
        <f>GS9*ReferralReward</f>
        <v/>
      </c>
      <c r="IA9" s="12">
        <f>GQ9</f>
        <v/>
      </c>
      <c r="IB9" s="9">
        <f>HR9-HV9-HW9-HX9-HY9-HZ9-IA9</f>
        <v/>
      </c>
      <c r="IC9" s="9">
        <f>IC8+HO9-(HV9+HW9+HX9+HY9+HZ9+IA9+HT9)</f>
        <v/>
      </c>
      <c r="ID9" s="12">
        <f>IF(HI9&gt;0,HJ9/HI9,0)</f>
        <v/>
      </c>
      <c r="IE9" s="11">
        <f>IF(HI8&gt;0,MAX(0,(HI8+GT9-HI9)/HI8),0)</f>
        <v/>
      </c>
      <c r="IG9" s="12" t="n">
        <v>5</v>
      </c>
      <c r="IH9" s="12">
        <f>MOD(IG9-1+LaunchMonth-1,12)+1</f>
        <v/>
      </c>
      <c r="II9" s="12">
        <f>INT((IG9-1+LaunchMonth-1)/12)+1</f>
        <v/>
      </c>
      <c r="IJ9" s="12">
        <f>VLOOKUP(IH9,SeasonTable,2,FALSE)</f>
        <v/>
      </c>
      <c r="IK9" s="12">
        <f>(1+InflationRate)^INT((IG9-1)/12)</f>
        <v/>
      </c>
      <c r="IL9" s="11">
        <f>'Sens - Churn'!$A$15*VLOOKUP(IH9,ChurnSeasonTable,4,FALSE)</f>
        <v/>
      </c>
      <c r="IM9" s="12">
        <f>MIN(MktFixed4_6,MAX(0,JY8-CashBuffer))</f>
        <v/>
      </c>
      <c r="IN9" s="12">
        <f>IF(IM9&gt;0,MAX(1,ROUND(IM9/CAC*IJ9,0)),0)</f>
        <v/>
      </c>
      <c r="IO9" s="12">
        <f>IF(IN9&gt;0,ROUND(IN9*ReferralMix/(1-ReferralMix),0),0)</f>
        <v/>
      </c>
      <c r="IP9" s="12">
        <f>IN9+IO9</f>
        <v/>
      </c>
      <c r="IQ9" s="12">
        <f>ROUND(IP9*(1-AnnualMix),0)</f>
        <v/>
      </c>
      <c r="IR9" s="12">
        <f>IP9-IQ9</f>
        <v/>
      </c>
      <c r="IS9" s="12">
        <f>ROUND(IQ9*EssentialMix,0)</f>
        <v/>
      </c>
      <c r="IT9" s="12">
        <f>ROUND(IQ9*PremiumMix,0)</f>
        <v/>
      </c>
      <c r="IU9" s="12">
        <f>IQ9-IS9-IT9</f>
        <v/>
      </c>
      <c r="IV9" s="12">
        <f>ROUND(IR9*EssentialMix,0)</f>
        <v/>
      </c>
      <c r="IW9" s="12">
        <f>ROUND(IR9*PremiumMix,0)</f>
        <v/>
      </c>
      <c r="IX9" s="12">
        <f>IR9-IV9-IW9</f>
        <v/>
      </c>
      <c r="IY9" s="12">
        <f>IS9+IS8+IS7+MAX(0,IY8-IS8-IS7)*(1-IL9)</f>
        <v/>
      </c>
      <c r="IZ9" s="12">
        <f>IT9+IT8+IT7+MAX(0,IZ8-IT8-IT7)*(1-IL9)</f>
        <v/>
      </c>
      <c r="JA9" s="12">
        <f>IU9+IU8+IU7+MAX(0,JA8-IU8-IU7)*(1-IL9)</f>
        <v/>
      </c>
      <c r="JB9" s="12">
        <f>SUM(IV$5:IV9)</f>
        <v/>
      </c>
      <c r="JC9" s="12">
        <f>SUM(IW$5:IW9)</f>
        <v/>
      </c>
      <c r="JD9" s="12">
        <f>SUM(IX$5:IX9)</f>
        <v/>
      </c>
      <c r="JE9" s="12">
        <f>IY9+IZ9+JA9+JB9+JC9+JD9</f>
        <v/>
      </c>
      <c r="JF9" s="9">
        <f>IY9*BlendedPriceEssMonthly*IK9+IZ9*BlendedPricePremMonthly*IK9+JA9*BlendedPriceEliteMonthly*IK9+JB9*BlendedPriceEssAnnual*IK9/12+JC9*BlendedPricePremAnnual*IK9/12+JD9*BlendedPriceEliteAnnual*IK9/12</f>
        <v/>
      </c>
      <c r="JG9" s="9">
        <f>JF9*12</f>
        <v/>
      </c>
      <c r="JH9" s="12">
        <f>IY9*BlendedPriceEssMonthly*IK9+IZ9*BlendedPricePremMonthly*IK9+JA9*BlendedPriceEliteMonthly*IK9</f>
        <v/>
      </c>
      <c r="JI9" s="12">
        <f>IV9*BlendedPriceEssAnnual*IK9+IW9*BlendedPricePremAnnual*IK9+IX9*BlendedPriceEliteAnnual*IK9</f>
        <v/>
      </c>
      <c r="JJ9" s="12">
        <f>0+0+0</f>
        <v/>
      </c>
      <c r="JK9" s="9">
        <f>JH9+JI9+JJ9</f>
        <v/>
      </c>
      <c r="JL9" s="12">
        <f>SUM(JK$5:JK9)</f>
        <v/>
      </c>
      <c r="JM9" s="12">
        <f>OR(JM8,IF(VATAgentMode,SUM($JK$5:$JK9)-SUM($JR$5:$JR9)&gt;=VATThreshold,SUM($JK$5:$JK9)&gt;=VATThreshold))</f>
        <v/>
      </c>
      <c r="JN9" s="9">
        <f>IF(JM9,IF(VATAgentMode,JK9-((JK9-JR9)-(JK9-JR9)/(1+VATRate)),JK9/(1+VATRate)),JK9)</f>
        <v/>
      </c>
      <c r="JO9" s="12">
        <f>JK9-JN9</f>
        <v/>
      </c>
      <c r="JP9" s="12">
        <f>IF(JM9=0,0,IF(IH9=1,SUMPRODUCT(--(($II$5:$II9=$II9-1)*($IH$5:$IH9&gt;=10)*($IH$5:$IH9&lt;=12)),$JO$5:$JO9),IF(IH9=4,SUMPRODUCT(--(($II$5:$II9=$II9)*($IH$5:$IH9&gt;=1)*($IH$5:$IH9&lt;=3)),$JO$5:$JO9),IF(IH9=7,SUMPRODUCT(--(($II$5:$II9=$II9)*($IH$5:$IH9&gt;=4)*($IH$5:$IH9&lt;=6)),$JO$5:$JO9),IF(IH9=10,SUMPRODUCT(--(($II$5:$II9=$II9)*($IH$5:$IH9&gt;=7)*($IH$5:$IH9&lt;=9)),$JO$5:$JO9),0)))))</f>
        <v/>
      </c>
      <c r="JQ9" s="12">
        <f>JQ8+JO9-JP9</f>
        <v/>
      </c>
      <c r="JR9" s="12">
        <f>IF(ProviderDelay&gt;=1,IY8*BlendedProvPayEss+IZ8*BlendedProvPayPrem+JA8*BlendedProvPayElite+JB8*BlendedProvPayEss+JC8*BlendedProvPayPrem+JD8*BlendedProvPayElite,IY9*BlendedProvPayEss+IZ9*BlendedProvPayPrem+JA9*BlendedProvPayElite+JB9*BlendedProvPayEss+JC9*BlendedProvPayPrem+JD9*BlendedProvPayElite)</f>
        <v/>
      </c>
      <c r="JS9" s="12">
        <f>JK9*PaymentFee</f>
        <v/>
      </c>
      <c r="JT9" s="12">
        <f>JE9*OpsAI</f>
        <v/>
      </c>
      <c r="JU9" s="12">
        <f>MonthlyFixed</f>
        <v/>
      </c>
      <c r="JV9" s="12">
        <f>IO9*ReferralReward</f>
        <v/>
      </c>
      <c r="JW9" s="12">
        <f>IM9</f>
        <v/>
      </c>
      <c r="JX9" s="9">
        <f>JN9-JR9-JS9-JT9-JU9-JV9-JW9</f>
        <v/>
      </c>
      <c r="JY9" s="9">
        <f>JY8+JK9-(JR9+JS9+JT9+JU9+JV9+JW9+JP9)</f>
        <v/>
      </c>
      <c r="JZ9" s="12">
        <f>IF(JE9&gt;0,JF9/JE9,0)</f>
        <v/>
      </c>
      <c r="KA9" s="11">
        <f>IF(JE8&gt;0,MAX(0,(JE8+IP9-JE9)/JE8),0)</f>
        <v/>
      </c>
      <c r="KC9" s="12" t="n">
        <v>5</v>
      </c>
      <c r="KD9" s="12">
        <f>MOD(KC9-1+LaunchMonth-1,12)+1</f>
        <v/>
      </c>
      <c r="KE9" s="12">
        <f>INT((KC9-1+LaunchMonth-1)/12)+1</f>
        <v/>
      </c>
      <c r="KF9" s="12">
        <f>VLOOKUP(KD9,SeasonTable,2,FALSE)</f>
        <v/>
      </c>
      <c r="KG9" s="12">
        <f>(1+InflationRate)^INT((KC9-1)/12)</f>
        <v/>
      </c>
      <c r="KH9" s="11">
        <f>'Sens - Churn'!$A$16*VLOOKUP(KD9,ChurnSeasonTable,4,FALSE)</f>
        <v/>
      </c>
      <c r="KI9" s="12">
        <f>MIN(MktFixed4_6,MAX(0,LU8-CashBuffer))</f>
        <v/>
      </c>
      <c r="KJ9" s="12">
        <f>IF(KI9&gt;0,MAX(1,ROUND(KI9/CAC*KF9,0)),0)</f>
        <v/>
      </c>
      <c r="KK9" s="12">
        <f>IF(KJ9&gt;0,ROUND(KJ9*ReferralMix/(1-ReferralMix),0),0)</f>
        <v/>
      </c>
      <c r="KL9" s="12">
        <f>KJ9+KK9</f>
        <v/>
      </c>
      <c r="KM9" s="12">
        <f>ROUND(KL9*(1-AnnualMix),0)</f>
        <v/>
      </c>
      <c r="KN9" s="12">
        <f>KL9-KM9</f>
        <v/>
      </c>
      <c r="KO9" s="12">
        <f>ROUND(KM9*EssentialMix,0)</f>
        <v/>
      </c>
      <c r="KP9" s="12">
        <f>ROUND(KM9*PremiumMix,0)</f>
        <v/>
      </c>
      <c r="KQ9" s="12">
        <f>KM9-KO9-KP9</f>
        <v/>
      </c>
      <c r="KR9" s="12">
        <f>ROUND(KN9*EssentialMix,0)</f>
        <v/>
      </c>
      <c r="KS9" s="12">
        <f>ROUND(KN9*PremiumMix,0)</f>
        <v/>
      </c>
      <c r="KT9" s="12">
        <f>KN9-KR9-KS9</f>
        <v/>
      </c>
      <c r="KU9" s="12">
        <f>KO9+KO8+KO7+MAX(0,KU8-KO8-KO7)*(1-KH9)</f>
        <v/>
      </c>
      <c r="KV9" s="12">
        <f>KP9+KP8+KP7+MAX(0,KV8-KP8-KP7)*(1-KH9)</f>
        <v/>
      </c>
      <c r="KW9" s="12">
        <f>KQ9+KQ8+KQ7+MAX(0,KW8-KQ8-KQ7)*(1-KH9)</f>
        <v/>
      </c>
      <c r="KX9" s="12">
        <f>SUM(KR$5:KR9)</f>
        <v/>
      </c>
      <c r="KY9" s="12">
        <f>SUM(KS$5:KS9)</f>
        <v/>
      </c>
      <c r="KZ9" s="12">
        <f>SUM(KT$5:KT9)</f>
        <v/>
      </c>
      <c r="LA9" s="12">
        <f>KU9+KV9+KW9+KX9+KY9+KZ9</f>
        <v/>
      </c>
      <c r="LB9" s="9">
        <f>KU9*BlendedPriceEssMonthly*KG9+KV9*BlendedPricePremMonthly*KG9+KW9*BlendedPriceEliteMonthly*KG9+KX9*BlendedPriceEssAnnual*KG9/12+KY9*BlendedPricePremAnnual*KG9/12+KZ9*BlendedPriceEliteAnnual*KG9/12</f>
        <v/>
      </c>
      <c r="LC9" s="9">
        <f>LB9*12</f>
        <v/>
      </c>
      <c r="LD9" s="12">
        <f>KU9*BlendedPriceEssMonthly*KG9+KV9*BlendedPricePremMonthly*KG9+KW9*BlendedPriceEliteMonthly*KG9</f>
        <v/>
      </c>
      <c r="LE9" s="12">
        <f>KR9*BlendedPriceEssAnnual*KG9+KS9*BlendedPricePremAnnual*KG9+KT9*BlendedPriceEliteAnnual*KG9</f>
        <v/>
      </c>
      <c r="LF9" s="12">
        <f>0+0+0</f>
        <v/>
      </c>
      <c r="LG9" s="9">
        <f>LD9+LE9+LF9</f>
        <v/>
      </c>
      <c r="LH9" s="12">
        <f>SUM(LG$5:LG9)</f>
        <v/>
      </c>
      <c r="LI9" s="12">
        <f>OR(LI8,IF(VATAgentMode,SUM($LG$5:$LG9)-SUM($LN$5:$LN9)&gt;=VATThreshold,SUM($LG$5:$LG9)&gt;=VATThreshold))</f>
        <v/>
      </c>
      <c r="LJ9" s="9">
        <f>IF(LI9,IF(VATAgentMode,LG9-((LG9-LN9)-(LG9-LN9)/(1+VATRate)),LG9/(1+VATRate)),LG9)</f>
        <v/>
      </c>
      <c r="LK9" s="12">
        <f>LG9-LJ9</f>
        <v/>
      </c>
      <c r="LL9" s="12">
        <f>IF(LI9=0,0,IF(KD9=1,SUMPRODUCT(--(($KE$5:$KE9=$KE9-1)*($KD$5:$KD9&gt;=10)*($KD$5:$KD9&lt;=12)),$LK$5:$LK9),IF(KD9=4,SUMPRODUCT(--(($KE$5:$KE9=$KE9)*($KD$5:$KD9&gt;=1)*($KD$5:$KD9&lt;=3)),$LK$5:$LK9),IF(KD9=7,SUMPRODUCT(--(($KE$5:$KE9=$KE9)*($KD$5:$KD9&gt;=4)*($KD$5:$KD9&lt;=6)),$LK$5:$LK9),IF(KD9=10,SUMPRODUCT(--(($KE$5:$KE9=$KE9)*($KD$5:$KD9&gt;=7)*($KD$5:$KD9&lt;=9)),$LK$5:$LK9),0)))))</f>
        <v/>
      </c>
      <c r="LM9" s="12">
        <f>LM8+LK9-LL9</f>
        <v/>
      </c>
      <c r="LN9" s="12">
        <f>IF(ProviderDelay&gt;=1,KU8*BlendedProvPayEss+KV8*BlendedProvPayPrem+KW8*BlendedProvPayElite+KX8*BlendedProvPayEss+KY8*BlendedProvPayPrem+KZ8*BlendedProvPayElite,KU9*BlendedProvPayEss+KV9*BlendedProvPayPrem+KW9*BlendedProvPayElite+KX9*BlendedProvPayEss+KY9*BlendedProvPayPrem+KZ9*BlendedProvPayElite)</f>
        <v/>
      </c>
      <c r="LO9" s="12">
        <f>LG9*PaymentFee</f>
        <v/>
      </c>
      <c r="LP9" s="12">
        <f>LA9*OpsAI</f>
        <v/>
      </c>
      <c r="LQ9" s="12">
        <f>MonthlyFixed</f>
        <v/>
      </c>
      <c r="LR9" s="12">
        <f>KK9*ReferralReward</f>
        <v/>
      </c>
      <c r="LS9" s="12">
        <f>KI9</f>
        <v/>
      </c>
      <c r="LT9" s="9">
        <f>LJ9-LN9-LO9-LP9-LQ9-LR9-LS9</f>
        <v/>
      </c>
      <c r="LU9" s="9">
        <f>LU8+LG9-(LN9+LO9+LP9+LQ9+LR9+LS9+LL9)</f>
        <v/>
      </c>
      <c r="LV9" s="12">
        <f>IF(LA9&gt;0,LB9/LA9,0)</f>
        <v/>
      </c>
      <c r="LW9" s="11">
        <f>IF(LA8&gt;0,MAX(0,(LA8+KL9-LA9)/LA8),0)</f>
        <v/>
      </c>
      <c r="LY9" s="12" t="n">
        <v>5</v>
      </c>
      <c r="LZ9" s="12">
        <f>MOD(LY9-1+LaunchMonth-1,12)+1</f>
        <v/>
      </c>
      <c r="MA9" s="12">
        <f>INT((LY9-1+LaunchMonth-1)/12)+1</f>
        <v/>
      </c>
      <c r="MB9" s="12">
        <f>VLOOKUP(LZ9,SeasonTable,2,FALSE)</f>
        <v/>
      </c>
      <c r="MC9" s="12">
        <f>(1+InflationRate)^INT((LY9-1)/12)</f>
        <v/>
      </c>
      <c r="MD9" s="11">
        <f>'Sens - Churn'!$A$17*VLOOKUP(LZ9,ChurnSeasonTable,4,FALSE)</f>
        <v/>
      </c>
      <c r="ME9" s="12">
        <f>MIN(MktFixed4_6,MAX(0,NQ8-CashBuffer))</f>
        <v/>
      </c>
      <c r="MF9" s="12">
        <f>IF(ME9&gt;0,MAX(1,ROUND(ME9/CAC*MB9,0)),0)</f>
        <v/>
      </c>
      <c r="MG9" s="12">
        <f>IF(MF9&gt;0,ROUND(MF9*ReferralMix/(1-ReferralMix),0),0)</f>
        <v/>
      </c>
      <c r="MH9" s="12">
        <f>MF9+MG9</f>
        <v/>
      </c>
      <c r="MI9" s="12">
        <f>ROUND(MH9*(1-AnnualMix),0)</f>
        <v/>
      </c>
      <c r="MJ9" s="12">
        <f>MH9-MI9</f>
        <v/>
      </c>
      <c r="MK9" s="12">
        <f>ROUND(MI9*EssentialMix,0)</f>
        <v/>
      </c>
      <c r="ML9" s="12">
        <f>ROUND(MI9*PremiumMix,0)</f>
        <v/>
      </c>
      <c r="MM9" s="12">
        <f>MI9-MK9-ML9</f>
        <v/>
      </c>
      <c r="MN9" s="12">
        <f>ROUND(MJ9*EssentialMix,0)</f>
        <v/>
      </c>
      <c r="MO9" s="12">
        <f>ROUND(MJ9*PremiumMix,0)</f>
        <v/>
      </c>
      <c r="MP9" s="12">
        <f>MJ9-MN9-MO9</f>
        <v/>
      </c>
      <c r="MQ9" s="12">
        <f>MK9+MK8+MK7+MAX(0,MQ8-MK8-MK7)*(1-MD9)</f>
        <v/>
      </c>
      <c r="MR9" s="12">
        <f>ML9+ML8+ML7+MAX(0,MR8-ML8-ML7)*(1-MD9)</f>
        <v/>
      </c>
      <c r="MS9" s="12">
        <f>MM9+MM8+MM7+MAX(0,MS8-MM8-MM7)*(1-MD9)</f>
        <v/>
      </c>
      <c r="MT9" s="12">
        <f>SUM(MN$5:MN9)</f>
        <v/>
      </c>
      <c r="MU9" s="12">
        <f>SUM(MO$5:MO9)</f>
        <v/>
      </c>
      <c r="MV9" s="12">
        <f>SUM(MP$5:MP9)</f>
        <v/>
      </c>
      <c r="MW9" s="12">
        <f>MQ9+MR9+MS9+MT9+MU9+MV9</f>
        <v/>
      </c>
      <c r="MX9" s="9">
        <f>MQ9*BlendedPriceEssMonthly*MC9+MR9*BlendedPricePremMonthly*MC9+MS9*BlendedPriceEliteMonthly*MC9+MT9*BlendedPriceEssAnnual*MC9/12+MU9*BlendedPricePremAnnual*MC9/12+MV9*BlendedPriceEliteAnnual*MC9/12</f>
        <v/>
      </c>
      <c r="MY9" s="9">
        <f>MX9*12</f>
        <v/>
      </c>
      <c r="MZ9" s="12">
        <f>MQ9*BlendedPriceEssMonthly*MC9+MR9*BlendedPricePremMonthly*MC9+MS9*BlendedPriceEliteMonthly*MC9</f>
        <v/>
      </c>
      <c r="NA9" s="12">
        <f>MN9*BlendedPriceEssAnnual*MC9+MO9*BlendedPricePremAnnual*MC9+MP9*BlendedPriceEliteAnnual*MC9</f>
        <v/>
      </c>
      <c r="NB9" s="12">
        <f>0+0+0</f>
        <v/>
      </c>
      <c r="NC9" s="9">
        <f>MZ9+NA9+NB9</f>
        <v/>
      </c>
      <c r="ND9" s="12">
        <f>SUM(NC$5:NC9)</f>
        <v/>
      </c>
      <c r="NE9" s="12">
        <f>OR(NE8,IF(VATAgentMode,SUM($NC$5:$NC9)-SUM($NJ$5:$NJ9)&gt;=VATThreshold,SUM($NC$5:$NC9)&gt;=VATThreshold))</f>
        <v/>
      </c>
      <c r="NF9" s="9">
        <f>IF(NE9,IF(VATAgentMode,NC9-((NC9-NJ9)-(NC9-NJ9)/(1+VATRate)),NC9/(1+VATRate)),NC9)</f>
        <v/>
      </c>
      <c r="NG9" s="12">
        <f>NC9-NF9</f>
        <v/>
      </c>
      <c r="NH9" s="12">
        <f>IF(NE9=0,0,IF(LZ9=1,SUMPRODUCT(--(($MA$5:$MA9=$MA9-1)*($LZ$5:$LZ9&gt;=10)*($LZ$5:$LZ9&lt;=12)),$NG$5:$NG9),IF(LZ9=4,SUMPRODUCT(--(($MA$5:$MA9=$MA9)*($LZ$5:$LZ9&gt;=1)*($LZ$5:$LZ9&lt;=3)),$NG$5:$NG9),IF(LZ9=7,SUMPRODUCT(--(($MA$5:$MA9=$MA9)*($LZ$5:$LZ9&gt;=4)*($LZ$5:$LZ9&lt;=6)),$NG$5:$NG9),IF(LZ9=10,SUMPRODUCT(--(($MA$5:$MA9=$MA9)*($LZ$5:$LZ9&gt;=7)*($LZ$5:$LZ9&lt;=9)),$NG$5:$NG9),0)))))</f>
        <v/>
      </c>
      <c r="NI9" s="12">
        <f>NI8+NG9-NH9</f>
        <v/>
      </c>
      <c r="NJ9" s="12">
        <f>IF(ProviderDelay&gt;=1,MQ8*BlendedProvPayEss+MR8*BlendedProvPayPrem+MS8*BlendedProvPayElite+MT8*BlendedProvPayEss+MU8*BlendedProvPayPrem+MV8*BlendedProvPayElite,MQ9*BlendedProvPayEss+MR9*BlendedProvPayPrem+MS9*BlendedProvPayElite+MT9*BlendedProvPayEss+MU9*BlendedProvPayPrem+MV9*BlendedProvPayElite)</f>
        <v/>
      </c>
      <c r="NK9" s="12">
        <f>NC9*PaymentFee</f>
        <v/>
      </c>
      <c r="NL9" s="12">
        <f>MW9*OpsAI</f>
        <v/>
      </c>
      <c r="NM9" s="12">
        <f>MonthlyFixed</f>
        <v/>
      </c>
      <c r="NN9" s="12">
        <f>MG9*ReferralReward</f>
        <v/>
      </c>
      <c r="NO9" s="12">
        <f>ME9</f>
        <v/>
      </c>
      <c r="NP9" s="9">
        <f>NF9-NJ9-NK9-NL9-NM9-NN9-NO9</f>
        <v/>
      </c>
      <c r="NQ9" s="9">
        <f>NQ8+NC9-(NJ9+NK9+NL9+NM9+NN9+NO9+NH9)</f>
        <v/>
      </c>
      <c r="NR9" s="12">
        <f>IF(MW9&gt;0,MX9/MW9,0)</f>
        <v/>
      </c>
      <c r="NS9" s="11">
        <f>IF(MW8&gt;0,MAX(0,(MW8+MH9-MW9)/MW8),0)</f>
        <v/>
      </c>
      <c r="NU9" s="12" t="n">
        <v>5</v>
      </c>
      <c r="NV9" s="12">
        <f>MOD(NU9-1+LaunchMonth-1,12)+1</f>
        <v/>
      </c>
      <c r="NW9" s="12">
        <f>INT((NU9-1+LaunchMonth-1)/12)+1</f>
        <v/>
      </c>
      <c r="NX9" s="12">
        <f>VLOOKUP(NV9,SeasonTable,2,FALSE)</f>
        <v/>
      </c>
      <c r="NY9" s="12">
        <f>(1+InflationRate)^INT((NU9-1)/12)</f>
        <v/>
      </c>
      <c r="NZ9" s="11">
        <f>'Sens - Churn'!$A$18*VLOOKUP(NV9,ChurnSeasonTable,4,FALSE)</f>
        <v/>
      </c>
      <c r="OA9" s="12">
        <f>MIN(MktFixed4_6,MAX(0,PM8-CashBuffer))</f>
        <v/>
      </c>
      <c r="OB9" s="12">
        <f>IF(OA9&gt;0,MAX(1,ROUND(OA9/CAC*NX9,0)),0)</f>
        <v/>
      </c>
      <c r="OC9" s="12">
        <f>IF(OB9&gt;0,ROUND(OB9*ReferralMix/(1-ReferralMix),0),0)</f>
        <v/>
      </c>
      <c r="OD9" s="12">
        <f>OB9+OC9</f>
        <v/>
      </c>
      <c r="OE9" s="12">
        <f>ROUND(OD9*(1-AnnualMix),0)</f>
        <v/>
      </c>
      <c r="OF9" s="12">
        <f>OD9-OE9</f>
        <v/>
      </c>
      <c r="OG9" s="12">
        <f>ROUND(OE9*EssentialMix,0)</f>
        <v/>
      </c>
      <c r="OH9" s="12">
        <f>ROUND(OE9*PremiumMix,0)</f>
        <v/>
      </c>
      <c r="OI9" s="12">
        <f>OE9-OG9-OH9</f>
        <v/>
      </c>
      <c r="OJ9" s="12">
        <f>ROUND(OF9*EssentialMix,0)</f>
        <v/>
      </c>
      <c r="OK9" s="12">
        <f>ROUND(OF9*PremiumMix,0)</f>
        <v/>
      </c>
      <c r="OL9" s="12">
        <f>OF9-OJ9-OK9</f>
        <v/>
      </c>
      <c r="OM9" s="12">
        <f>OG9+OG8+OG7+MAX(0,OM8-OG8-OG7)*(1-NZ9)</f>
        <v/>
      </c>
      <c r="ON9" s="12">
        <f>OH9+OH8+OH7+MAX(0,ON8-OH8-OH7)*(1-NZ9)</f>
        <v/>
      </c>
      <c r="OO9" s="12">
        <f>OI9+OI8+OI7+MAX(0,OO8-OI8-OI7)*(1-NZ9)</f>
        <v/>
      </c>
      <c r="OP9" s="12">
        <f>SUM(OJ$5:OJ9)</f>
        <v/>
      </c>
      <c r="OQ9" s="12">
        <f>SUM(OK$5:OK9)</f>
        <v/>
      </c>
      <c r="OR9" s="12">
        <f>SUM(OL$5:OL9)</f>
        <v/>
      </c>
      <c r="OS9" s="12">
        <f>OM9+ON9+OO9+OP9+OQ9+OR9</f>
        <v/>
      </c>
      <c r="OT9" s="9">
        <f>OM9*BlendedPriceEssMonthly*NY9+ON9*BlendedPricePremMonthly*NY9+OO9*BlendedPriceEliteMonthly*NY9+OP9*BlendedPriceEssAnnual*NY9/12+OQ9*BlendedPricePremAnnual*NY9/12+OR9*BlendedPriceEliteAnnual*NY9/12</f>
        <v/>
      </c>
      <c r="OU9" s="9">
        <f>OT9*12</f>
        <v/>
      </c>
      <c r="OV9" s="12">
        <f>OM9*BlendedPriceEssMonthly*NY9+ON9*BlendedPricePremMonthly*NY9+OO9*BlendedPriceEliteMonthly*NY9</f>
        <v/>
      </c>
      <c r="OW9" s="12">
        <f>OJ9*BlendedPriceEssAnnual*NY9+OK9*BlendedPricePremAnnual*NY9+OL9*BlendedPriceEliteAnnual*NY9</f>
        <v/>
      </c>
      <c r="OX9" s="12">
        <f>0+0+0</f>
        <v/>
      </c>
      <c r="OY9" s="9">
        <f>OV9+OW9+OX9</f>
        <v/>
      </c>
      <c r="OZ9" s="12">
        <f>SUM(OY$5:OY9)</f>
        <v/>
      </c>
      <c r="PA9" s="12">
        <f>OR(PA8,IF(VATAgentMode,SUM($OY$5:$OY9)-SUM($PF$5:$PF9)&gt;=VATThreshold,SUM($OY$5:$OY9)&gt;=VATThreshold))</f>
        <v/>
      </c>
      <c r="PB9" s="9">
        <f>IF(PA9,IF(VATAgentMode,OY9-((OY9-PF9)-(OY9-PF9)/(1+VATRate)),OY9/(1+VATRate)),OY9)</f>
        <v/>
      </c>
      <c r="PC9" s="12">
        <f>OY9-PB9</f>
        <v/>
      </c>
      <c r="PD9" s="12">
        <f>IF(PA9=0,0,IF(NV9=1,SUMPRODUCT(--(($NW$5:$NW9=$NW9-1)*($NV$5:$NV9&gt;=10)*($NV$5:$NV9&lt;=12)),$PC$5:$PC9),IF(NV9=4,SUMPRODUCT(--(($NW$5:$NW9=$NW9)*($NV$5:$NV9&gt;=1)*($NV$5:$NV9&lt;=3)),$PC$5:$PC9),IF(NV9=7,SUMPRODUCT(--(($NW$5:$NW9=$NW9)*($NV$5:$NV9&gt;=4)*($NV$5:$NV9&lt;=6)),$PC$5:$PC9),IF(NV9=10,SUMPRODUCT(--(($NW$5:$NW9=$NW9)*($NV$5:$NV9&gt;=7)*($NV$5:$NV9&lt;=9)),$PC$5:$PC9),0)))))</f>
        <v/>
      </c>
      <c r="PE9" s="12">
        <f>PE8+PC9-PD9</f>
        <v/>
      </c>
      <c r="PF9" s="12">
        <f>IF(ProviderDelay&gt;=1,OM8*BlendedProvPayEss+ON8*BlendedProvPayPrem+OO8*BlendedProvPayElite+OP8*BlendedProvPayEss+OQ8*BlendedProvPayPrem+OR8*BlendedProvPayElite,OM9*BlendedProvPayEss+ON9*BlendedProvPayPrem+OO9*BlendedProvPayElite+OP9*BlendedProvPayEss+OQ9*BlendedProvPayPrem+OR9*BlendedProvPayElite)</f>
        <v/>
      </c>
      <c r="PG9" s="12">
        <f>OY9*PaymentFee</f>
        <v/>
      </c>
      <c r="PH9" s="12">
        <f>OS9*OpsAI</f>
        <v/>
      </c>
      <c r="PI9" s="12">
        <f>MonthlyFixed</f>
        <v/>
      </c>
      <c r="PJ9" s="12">
        <f>OC9*ReferralReward</f>
        <v/>
      </c>
      <c r="PK9" s="12">
        <f>OA9</f>
        <v/>
      </c>
      <c r="PL9" s="9">
        <f>PB9-PF9-PG9-PH9-PI9-PJ9-PK9</f>
        <v/>
      </c>
      <c r="PM9" s="9">
        <f>PM8+OY9-(PF9+PG9+PH9+PI9+PJ9+PK9+PD9)</f>
        <v/>
      </c>
      <c r="PN9" s="12">
        <f>IF(OS9&gt;0,OT9/OS9,0)</f>
        <v/>
      </c>
      <c r="PO9" s="11">
        <f>IF(OS8&gt;0,MAX(0,(OS8+OD9-OS9)/OS8),0)</f>
        <v/>
      </c>
      <c r="PQ9" s="12" t="n">
        <v>5</v>
      </c>
      <c r="PR9" s="12">
        <f>MOD(PQ9-1+LaunchMonth-1,12)+1</f>
        <v/>
      </c>
      <c r="PS9" s="12">
        <f>INT((PQ9-1+LaunchMonth-1)/12)+1</f>
        <v/>
      </c>
      <c r="PT9" s="12">
        <f>VLOOKUP(PR9,SeasonTable,2,FALSE)</f>
        <v/>
      </c>
      <c r="PU9" s="12">
        <f>(1+InflationRate)^INT((PQ9-1)/12)</f>
        <v/>
      </c>
      <c r="PV9" s="11">
        <f>'Sens - Churn'!$A$19*VLOOKUP(PR9,ChurnSeasonTable,4,FALSE)</f>
        <v/>
      </c>
      <c r="PW9" s="12">
        <f>MIN(MktFixed4_6,MAX(0,RI8-CashBuffer))</f>
        <v/>
      </c>
      <c r="PX9" s="12">
        <f>IF(PW9&gt;0,MAX(1,ROUND(PW9/CAC*PT9,0)),0)</f>
        <v/>
      </c>
      <c r="PY9" s="12">
        <f>IF(PX9&gt;0,ROUND(PX9*ReferralMix/(1-ReferralMix),0),0)</f>
        <v/>
      </c>
      <c r="PZ9" s="12">
        <f>PX9+PY9</f>
        <v/>
      </c>
      <c r="QA9" s="12">
        <f>ROUND(PZ9*(1-AnnualMix),0)</f>
        <v/>
      </c>
      <c r="QB9" s="12">
        <f>PZ9-QA9</f>
        <v/>
      </c>
      <c r="QC9" s="12">
        <f>ROUND(QA9*EssentialMix,0)</f>
        <v/>
      </c>
      <c r="QD9" s="12">
        <f>ROUND(QA9*PremiumMix,0)</f>
        <v/>
      </c>
      <c r="QE9" s="12">
        <f>QA9-QC9-QD9</f>
        <v/>
      </c>
      <c r="QF9" s="12">
        <f>ROUND(QB9*EssentialMix,0)</f>
        <v/>
      </c>
      <c r="QG9" s="12">
        <f>ROUND(QB9*PremiumMix,0)</f>
        <v/>
      </c>
      <c r="QH9" s="12">
        <f>QB9-QF9-QG9</f>
        <v/>
      </c>
      <c r="QI9" s="12">
        <f>QC9+QC8+QC7+MAX(0,QI8-QC8-QC7)*(1-PV9)</f>
        <v/>
      </c>
      <c r="QJ9" s="12">
        <f>QD9+QD8+QD7+MAX(0,QJ8-QD8-QD7)*(1-PV9)</f>
        <v/>
      </c>
      <c r="QK9" s="12">
        <f>QE9+QE8+QE7+MAX(0,QK8-QE8-QE7)*(1-PV9)</f>
        <v/>
      </c>
      <c r="QL9" s="12">
        <f>SUM(QF$5:QF9)</f>
        <v/>
      </c>
      <c r="QM9" s="12">
        <f>SUM(QG$5:QG9)</f>
        <v/>
      </c>
      <c r="QN9" s="12">
        <f>SUM(QH$5:QH9)</f>
        <v/>
      </c>
      <c r="QO9" s="12">
        <f>QI9+QJ9+QK9+QL9+QM9+QN9</f>
        <v/>
      </c>
      <c r="QP9" s="9">
        <f>QI9*BlendedPriceEssMonthly*PU9+QJ9*BlendedPricePremMonthly*PU9+QK9*BlendedPriceEliteMonthly*PU9+QL9*BlendedPriceEssAnnual*PU9/12+QM9*BlendedPricePremAnnual*PU9/12+QN9*BlendedPriceEliteAnnual*PU9/12</f>
        <v/>
      </c>
      <c r="QQ9" s="9">
        <f>QP9*12</f>
        <v/>
      </c>
      <c r="QR9" s="12">
        <f>QI9*BlendedPriceEssMonthly*PU9+QJ9*BlendedPricePremMonthly*PU9+QK9*BlendedPriceEliteMonthly*PU9</f>
        <v/>
      </c>
      <c r="QS9" s="12">
        <f>QF9*BlendedPriceEssAnnual*PU9+QG9*BlendedPricePremAnnual*PU9+QH9*BlendedPriceEliteAnnual*PU9</f>
        <v/>
      </c>
      <c r="QT9" s="12">
        <f>0+0+0</f>
        <v/>
      </c>
      <c r="QU9" s="9">
        <f>QR9+QS9+QT9</f>
        <v/>
      </c>
      <c r="QV9" s="12">
        <f>SUM(QU$5:QU9)</f>
        <v/>
      </c>
      <c r="QW9" s="12">
        <f>OR(QW8,IF(VATAgentMode,SUM($QU$5:$QU9)-SUM($RB$5:$RB9)&gt;=VATThreshold,SUM($QU$5:$QU9)&gt;=VATThreshold))</f>
        <v/>
      </c>
      <c r="QX9" s="9">
        <f>IF(QW9,IF(VATAgentMode,QU9-((QU9-RB9)-(QU9-RB9)/(1+VATRate)),QU9/(1+VATRate)),QU9)</f>
        <v/>
      </c>
      <c r="QY9" s="12">
        <f>QU9-QX9</f>
        <v/>
      </c>
      <c r="QZ9" s="12">
        <f>IF(QW9=0,0,IF(PR9=1,SUMPRODUCT(--(($PS$5:$PS9=$PS9-1)*($PR$5:$PR9&gt;=10)*($PR$5:$PR9&lt;=12)),$QY$5:$QY9),IF(PR9=4,SUMPRODUCT(--(($PS$5:$PS9=$PS9)*($PR$5:$PR9&gt;=1)*($PR$5:$PR9&lt;=3)),$QY$5:$QY9),IF(PR9=7,SUMPRODUCT(--(($PS$5:$PS9=$PS9)*($PR$5:$PR9&gt;=4)*($PR$5:$PR9&lt;=6)),$QY$5:$QY9),IF(PR9=10,SUMPRODUCT(--(($PS$5:$PS9=$PS9)*($PR$5:$PR9&gt;=7)*($PR$5:$PR9&lt;=9)),$QY$5:$QY9),0)))))</f>
        <v/>
      </c>
      <c r="RA9" s="12">
        <f>RA8+QY9-QZ9</f>
        <v/>
      </c>
      <c r="RB9" s="12">
        <f>IF(ProviderDelay&gt;=1,QI8*BlendedProvPayEss+QJ8*BlendedProvPayPrem+QK8*BlendedProvPayElite+QL8*BlendedProvPayEss+QM8*BlendedProvPayPrem+QN8*BlendedProvPayElite,QI9*BlendedProvPayEss+QJ9*BlendedProvPayPrem+QK9*BlendedProvPayElite+QL9*BlendedProvPayEss+QM9*BlendedProvPayPrem+QN9*BlendedProvPayElite)</f>
        <v/>
      </c>
      <c r="RC9" s="12">
        <f>QU9*PaymentFee</f>
        <v/>
      </c>
      <c r="RD9" s="12">
        <f>QO9*OpsAI</f>
        <v/>
      </c>
      <c r="RE9" s="12">
        <f>MonthlyFixed</f>
        <v/>
      </c>
      <c r="RF9" s="12">
        <f>PY9*ReferralReward</f>
        <v/>
      </c>
      <c r="RG9" s="12">
        <f>PW9</f>
        <v/>
      </c>
      <c r="RH9" s="9">
        <f>QX9-RB9-RC9-RD9-RE9-RF9-RG9</f>
        <v/>
      </c>
      <c r="RI9" s="9">
        <f>RI8+QU9-(RB9+RC9+RD9+RE9+RF9+RG9+QZ9)</f>
        <v/>
      </c>
      <c r="RJ9" s="12">
        <f>IF(QO9&gt;0,QP9/QO9,0)</f>
        <v/>
      </c>
      <c r="RK9" s="11">
        <f>IF(QO8&gt;0,MAX(0,(QO8+PZ9-QO9)/QO8),0)</f>
        <v/>
      </c>
      <c r="RM9" s="12" t="n">
        <v>5</v>
      </c>
      <c r="RN9" s="12">
        <f>MOD(RM9-1+LaunchMonth-1,12)+1</f>
        <v/>
      </c>
      <c r="RO9" s="12">
        <f>INT((RM9-1+LaunchMonth-1)/12)+1</f>
        <v/>
      </c>
      <c r="RP9" s="12">
        <f>VLOOKUP(RN9,SeasonTable,2,FALSE)</f>
        <v/>
      </c>
      <c r="RQ9" s="12">
        <f>(1+InflationRate)^INT((RM9-1)/12)</f>
        <v/>
      </c>
      <c r="RR9" s="11">
        <f>'Sens - Churn'!$A$20*VLOOKUP(RN9,ChurnSeasonTable,4,FALSE)</f>
        <v/>
      </c>
      <c r="RS9" s="12">
        <f>MIN(MktFixed4_6,MAX(0,TE8-CashBuffer))</f>
        <v/>
      </c>
      <c r="RT9" s="12">
        <f>IF(RS9&gt;0,MAX(1,ROUND(RS9/CAC*RP9,0)),0)</f>
        <v/>
      </c>
      <c r="RU9" s="12">
        <f>IF(RT9&gt;0,ROUND(RT9*ReferralMix/(1-ReferralMix),0),0)</f>
        <v/>
      </c>
      <c r="RV9" s="12">
        <f>RT9+RU9</f>
        <v/>
      </c>
      <c r="RW9" s="12">
        <f>ROUND(RV9*(1-AnnualMix),0)</f>
        <v/>
      </c>
      <c r="RX9" s="12">
        <f>RV9-RW9</f>
        <v/>
      </c>
      <c r="RY9" s="12">
        <f>ROUND(RW9*EssentialMix,0)</f>
        <v/>
      </c>
      <c r="RZ9" s="12">
        <f>ROUND(RW9*PremiumMix,0)</f>
        <v/>
      </c>
      <c r="SA9" s="12">
        <f>RW9-RY9-RZ9</f>
        <v/>
      </c>
      <c r="SB9" s="12">
        <f>ROUND(RX9*EssentialMix,0)</f>
        <v/>
      </c>
      <c r="SC9" s="12">
        <f>ROUND(RX9*PremiumMix,0)</f>
        <v/>
      </c>
      <c r="SD9" s="12">
        <f>RX9-SB9-SC9</f>
        <v/>
      </c>
      <c r="SE9" s="12">
        <f>RY9+RY8+RY7+MAX(0,SE8-RY8-RY7)*(1-RR9)</f>
        <v/>
      </c>
      <c r="SF9" s="12">
        <f>RZ9+RZ8+RZ7+MAX(0,SF8-RZ8-RZ7)*(1-RR9)</f>
        <v/>
      </c>
      <c r="SG9" s="12">
        <f>SA9+SA8+SA7+MAX(0,SG8-SA8-SA7)*(1-RR9)</f>
        <v/>
      </c>
      <c r="SH9" s="12">
        <f>SUM(SB$5:SB9)</f>
        <v/>
      </c>
      <c r="SI9" s="12">
        <f>SUM(SC$5:SC9)</f>
        <v/>
      </c>
      <c r="SJ9" s="12">
        <f>SUM(SD$5:SD9)</f>
        <v/>
      </c>
      <c r="SK9" s="12">
        <f>SE9+SF9+SG9+SH9+SI9+SJ9</f>
        <v/>
      </c>
      <c r="SL9" s="9">
        <f>SE9*BlendedPriceEssMonthly*RQ9+SF9*BlendedPricePremMonthly*RQ9+SG9*BlendedPriceEliteMonthly*RQ9+SH9*BlendedPriceEssAnnual*RQ9/12+SI9*BlendedPricePremAnnual*RQ9/12+SJ9*BlendedPriceEliteAnnual*RQ9/12</f>
        <v/>
      </c>
      <c r="SM9" s="9">
        <f>SL9*12</f>
        <v/>
      </c>
      <c r="SN9" s="12">
        <f>SE9*BlendedPriceEssMonthly*RQ9+SF9*BlendedPricePremMonthly*RQ9+SG9*BlendedPriceEliteMonthly*RQ9</f>
        <v/>
      </c>
      <c r="SO9" s="12">
        <f>SB9*BlendedPriceEssAnnual*RQ9+SC9*BlendedPricePremAnnual*RQ9+SD9*BlendedPriceEliteAnnual*RQ9</f>
        <v/>
      </c>
      <c r="SP9" s="12">
        <f>0+0+0</f>
        <v/>
      </c>
      <c r="SQ9" s="9">
        <f>SN9+SO9+SP9</f>
        <v/>
      </c>
      <c r="SR9" s="12">
        <f>SUM(SQ$5:SQ9)</f>
        <v/>
      </c>
      <c r="SS9" s="12">
        <f>OR(SS8,IF(VATAgentMode,SUM($SQ$5:$SQ9)-SUM($SX$5:$SX9)&gt;=VATThreshold,SUM($SQ$5:$SQ9)&gt;=VATThreshold))</f>
        <v/>
      </c>
      <c r="ST9" s="9">
        <f>IF(SS9,IF(VATAgentMode,SQ9-((SQ9-SX9)-(SQ9-SX9)/(1+VATRate)),SQ9/(1+VATRate)),SQ9)</f>
        <v/>
      </c>
      <c r="SU9" s="12">
        <f>SQ9-ST9</f>
        <v/>
      </c>
      <c r="SV9" s="12">
        <f>IF(SS9=0,0,IF(RN9=1,SUMPRODUCT(--(($RO$5:$RO9=$RO9-1)*($RN$5:$RN9&gt;=10)*($RN$5:$RN9&lt;=12)),$SU$5:$SU9),IF(RN9=4,SUMPRODUCT(--(($RO$5:$RO9=$RO9)*($RN$5:$RN9&gt;=1)*($RN$5:$RN9&lt;=3)),$SU$5:$SU9),IF(RN9=7,SUMPRODUCT(--(($RO$5:$RO9=$RO9)*($RN$5:$RN9&gt;=4)*($RN$5:$RN9&lt;=6)),$SU$5:$SU9),IF(RN9=10,SUMPRODUCT(--(($RO$5:$RO9=$RO9)*($RN$5:$RN9&gt;=7)*($RN$5:$RN9&lt;=9)),$SU$5:$SU9),0)))))</f>
        <v/>
      </c>
      <c r="SW9" s="12">
        <f>SW8+SU9-SV9</f>
        <v/>
      </c>
      <c r="SX9" s="12">
        <f>IF(ProviderDelay&gt;=1,SE8*BlendedProvPayEss+SF8*BlendedProvPayPrem+SG8*BlendedProvPayElite+SH8*BlendedProvPayEss+SI8*BlendedProvPayPrem+SJ8*BlendedProvPayElite,SE9*BlendedProvPayEss+SF9*BlendedProvPayPrem+SG9*BlendedProvPayElite+SH9*BlendedProvPayEss+SI9*BlendedProvPayPrem+SJ9*BlendedProvPayElite)</f>
        <v/>
      </c>
      <c r="SY9" s="12">
        <f>SQ9*PaymentFee</f>
        <v/>
      </c>
      <c r="SZ9" s="12">
        <f>SK9*OpsAI</f>
        <v/>
      </c>
      <c r="TA9" s="12">
        <f>MonthlyFixed</f>
        <v/>
      </c>
      <c r="TB9" s="12">
        <f>RU9*ReferralReward</f>
        <v/>
      </c>
      <c r="TC9" s="12">
        <f>RS9</f>
        <v/>
      </c>
      <c r="TD9" s="9">
        <f>ST9-SX9-SY9-SZ9-TA9-TB9-TC9</f>
        <v/>
      </c>
      <c r="TE9" s="9">
        <f>TE8+SQ9-(SX9+SY9+SZ9+TA9+TB9+TC9+SV9)</f>
        <v/>
      </c>
      <c r="TF9" s="12">
        <f>IF(SK9&gt;0,SL9/SK9,0)</f>
        <v/>
      </c>
      <c r="TG9" s="11">
        <f>IF(SK8&gt;0,MAX(0,(SK8+RV9-SK9)/SK8),0)</f>
        <v/>
      </c>
      <c r="TI9" s="12" t="n">
        <v>5</v>
      </c>
      <c r="TJ9" s="12">
        <f>MOD(TI9-1+LaunchMonth-1,12)+1</f>
        <v/>
      </c>
      <c r="TK9" s="12">
        <f>INT((TI9-1+LaunchMonth-1)/12)+1</f>
        <v/>
      </c>
      <c r="TL9" s="12">
        <f>VLOOKUP(TJ9,SeasonTable,2,FALSE)</f>
        <v/>
      </c>
      <c r="TM9" s="12">
        <f>(1+InflationRate)^INT((TI9-1)/12)</f>
        <v/>
      </c>
      <c r="TN9" s="11">
        <f>'Sens - Churn'!$A$21*VLOOKUP(TJ9,ChurnSeasonTable,4,FALSE)</f>
        <v/>
      </c>
      <c r="TO9" s="12">
        <f>MIN(MktFixed4_6,MAX(0,VA8-CashBuffer))</f>
        <v/>
      </c>
      <c r="TP9" s="12">
        <f>IF(TO9&gt;0,MAX(1,ROUND(TO9/CAC*TL9,0)),0)</f>
        <v/>
      </c>
      <c r="TQ9" s="12">
        <f>IF(TP9&gt;0,ROUND(TP9*ReferralMix/(1-ReferralMix),0),0)</f>
        <v/>
      </c>
      <c r="TR9" s="12">
        <f>TP9+TQ9</f>
        <v/>
      </c>
      <c r="TS9" s="12">
        <f>ROUND(TR9*(1-AnnualMix),0)</f>
        <v/>
      </c>
      <c r="TT9" s="12">
        <f>TR9-TS9</f>
        <v/>
      </c>
      <c r="TU9" s="12">
        <f>ROUND(TS9*EssentialMix,0)</f>
        <v/>
      </c>
      <c r="TV9" s="12">
        <f>ROUND(TS9*PremiumMix,0)</f>
        <v/>
      </c>
      <c r="TW9" s="12">
        <f>TS9-TU9-TV9</f>
        <v/>
      </c>
      <c r="TX9" s="12">
        <f>ROUND(TT9*EssentialMix,0)</f>
        <v/>
      </c>
      <c r="TY9" s="12">
        <f>ROUND(TT9*PremiumMix,0)</f>
        <v/>
      </c>
      <c r="TZ9" s="12">
        <f>TT9-TX9-TY9</f>
        <v/>
      </c>
      <c r="UA9" s="12">
        <f>TU9+TU8+TU7+MAX(0,UA8-TU8-TU7)*(1-TN9)</f>
        <v/>
      </c>
      <c r="UB9" s="12">
        <f>TV9+TV8+TV7+MAX(0,UB8-TV8-TV7)*(1-TN9)</f>
        <v/>
      </c>
      <c r="UC9" s="12">
        <f>TW9+TW8+TW7+MAX(0,UC8-TW8-TW7)*(1-TN9)</f>
        <v/>
      </c>
      <c r="UD9" s="12">
        <f>SUM(TX$5:TX9)</f>
        <v/>
      </c>
      <c r="UE9" s="12">
        <f>SUM(TY$5:TY9)</f>
        <v/>
      </c>
      <c r="UF9" s="12">
        <f>SUM(TZ$5:TZ9)</f>
        <v/>
      </c>
      <c r="UG9" s="12">
        <f>UA9+UB9+UC9+UD9+UE9+UF9</f>
        <v/>
      </c>
      <c r="UH9" s="9">
        <f>UA9*BlendedPriceEssMonthly*TM9+UB9*BlendedPricePremMonthly*TM9+UC9*BlendedPriceEliteMonthly*TM9+UD9*BlendedPriceEssAnnual*TM9/12+UE9*BlendedPricePremAnnual*TM9/12+UF9*BlendedPriceEliteAnnual*TM9/12</f>
        <v/>
      </c>
      <c r="UI9" s="9">
        <f>UH9*12</f>
        <v/>
      </c>
      <c r="UJ9" s="12">
        <f>UA9*BlendedPriceEssMonthly*TM9+UB9*BlendedPricePremMonthly*TM9+UC9*BlendedPriceEliteMonthly*TM9</f>
        <v/>
      </c>
      <c r="UK9" s="12">
        <f>TX9*BlendedPriceEssAnnual*TM9+TY9*BlendedPricePremAnnual*TM9+TZ9*BlendedPriceEliteAnnual*TM9</f>
        <v/>
      </c>
      <c r="UL9" s="12">
        <f>0+0+0</f>
        <v/>
      </c>
      <c r="UM9" s="9">
        <f>UJ9+UK9+UL9</f>
        <v/>
      </c>
      <c r="UN9" s="12">
        <f>SUM(UM$5:UM9)</f>
        <v/>
      </c>
      <c r="UO9" s="12">
        <f>OR(UO8,IF(VATAgentMode,SUM($UM$5:$UM9)-SUM($UT$5:$UT9)&gt;=VATThreshold,SUM($UM$5:$UM9)&gt;=VATThreshold))</f>
        <v/>
      </c>
      <c r="UP9" s="9">
        <f>IF(UO9,IF(VATAgentMode,UM9-((UM9-UT9)-(UM9-UT9)/(1+VATRate)),UM9/(1+VATRate)),UM9)</f>
        <v/>
      </c>
      <c r="UQ9" s="12">
        <f>UM9-UP9</f>
        <v/>
      </c>
      <c r="UR9" s="12">
        <f>IF(UO9=0,0,IF(TJ9=1,SUMPRODUCT(--(($TK$5:$TK9=$TK9-1)*($TJ$5:$TJ9&gt;=10)*($TJ$5:$TJ9&lt;=12)),$UQ$5:$UQ9),IF(TJ9=4,SUMPRODUCT(--(($TK$5:$TK9=$TK9)*($TJ$5:$TJ9&gt;=1)*($TJ$5:$TJ9&lt;=3)),$UQ$5:$UQ9),IF(TJ9=7,SUMPRODUCT(--(($TK$5:$TK9=$TK9)*($TJ$5:$TJ9&gt;=4)*($TJ$5:$TJ9&lt;=6)),$UQ$5:$UQ9),IF(TJ9=10,SUMPRODUCT(--(($TK$5:$TK9=$TK9)*($TJ$5:$TJ9&gt;=7)*($TJ$5:$TJ9&lt;=9)),$UQ$5:$UQ9),0)))))</f>
        <v/>
      </c>
      <c r="US9" s="12">
        <f>US8+UQ9-UR9</f>
        <v/>
      </c>
      <c r="UT9" s="12">
        <f>IF(ProviderDelay&gt;=1,UA8*BlendedProvPayEss+UB8*BlendedProvPayPrem+UC8*BlendedProvPayElite+UD8*BlendedProvPayEss+UE8*BlendedProvPayPrem+UF8*BlendedProvPayElite,UA9*BlendedProvPayEss+UB9*BlendedProvPayPrem+UC9*BlendedProvPayElite+UD9*BlendedProvPayEss+UE9*BlendedProvPayPrem+UF9*BlendedProvPayElite)</f>
        <v/>
      </c>
      <c r="UU9" s="12">
        <f>UM9*PaymentFee</f>
        <v/>
      </c>
      <c r="UV9" s="12">
        <f>UG9*OpsAI</f>
        <v/>
      </c>
      <c r="UW9" s="12">
        <f>MonthlyFixed</f>
        <v/>
      </c>
      <c r="UX9" s="12">
        <f>TQ9*ReferralReward</f>
        <v/>
      </c>
      <c r="UY9" s="12">
        <f>TO9</f>
        <v/>
      </c>
      <c r="UZ9" s="9">
        <f>UP9-UT9-UU9-UV9-UW9-UX9-UY9</f>
        <v/>
      </c>
      <c r="VA9" s="9">
        <f>VA8+UM9-(UT9+UU9+UV9+UW9+UX9+UY9+UR9)</f>
        <v/>
      </c>
      <c r="VB9" s="12">
        <f>IF(UG9&gt;0,UH9/UG9,0)</f>
        <v/>
      </c>
      <c r="VC9" s="11">
        <f>IF(UG8&gt;0,MAX(0,(UG8+TR9-UG9)/UG8),0)</f>
        <v/>
      </c>
      <c r="VE9" s="12" t="n">
        <v>5</v>
      </c>
      <c r="VF9" s="12">
        <f>MOD(VE9-1+LaunchMonth-1,12)+1</f>
        <v/>
      </c>
      <c r="VG9" s="12">
        <f>INT((VE9-1+LaunchMonth-1)/12)+1</f>
        <v/>
      </c>
      <c r="VH9" s="12">
        <f>VLOOKUP(VF9,SeasonTable,2,FALSE)</f>
        <v/>
      </c>
      <c r="VI9" s="12">
        <f>(1+InflationRate)^INT((VE9-1)/12)</f>
        <v/>
      </c>
      <c r="VJ9" s="11">
        <f>MonthlyChurn*VLOOKUP(VF9,ChurnSeasonTable,4,FALSE)</f>
        <v/>
      </c>
      <c r="VK9" s="12">
        <f>MIN(MktFixed4_6,MAX(0,WW8-CashBuffer))</f>
        <v/>
      </c>
      <c r="VL9" s="12">
        <f>IF(VK9&gt;0,MAX(1,ROUND(VK9/CAC*VH9,0)),0)</f>
        <v/>
      </c>
      <c r="VM9" s="12">
        <f>IF(VL9&gt;0,ROUND(VL9*ReferralMix/(1-ReferralMix),0),0)</f>
        <v/>
      </c>
      <c r="VN9" s="12">
        <f>VL9+VM9</f>
        <v/>
      </c>
      <c r="VO9" s="12">
        <f>ROUND(VN9*(1-'Sens - Annual Mix'!$A$9),0)</f>
        <v/>
      </c>
      <c r="VP9" s="12">
        <f>VN9-VO9</f>
        <v/>
      </c>
      <c r="VQ9" s="12">
        <f>ROUND(VO9*EssentialMix,0)</f>
        <v/>
      </c>
      <c r="VR9" s="12">
        <f>ROUND(VO9*PremiumMix,0)</f>
        <v/>
      </c>
      <c r="VS9" s="12">
        <f>VO9-VQ9-VR9</f>
        <v/>
      </c>
      <c r="VT9" s="12">
        <f>ROUND(VP9*EssentialMix,0)</f>
        <v/>
      </c>
      <c r="VU9" s="12">
        <f>ROUND(VP9*PremiumMix,0)</f>
        <v/>
      </c>
      <c r="VV9" s="12">
        <f>VP9-VT9-VU9</f>
        <v/>
      </c>
      <c r="VW9" s="12">
        <f>VQ9+VQ8+VQ7+MAX(0,VW8-VQ8-VQ7)*(1-VJ9)</f>
        <v/>
      </c>
      <c r="VX9" s="12">
        <f>VR9+VR8+VR7+MAX(0,VX8-VR8-VR7)*(1-VJ9)</f>
        <v/>
      </c>
      <c r="VY9" s="12">
        <f>VS9+VS8+VS7+MAX(0,VY8-VS8-VS7)*(1-VJ9)</f>
        <v/>
      </c>
      <c r="VZ9" s="12">
        <f>SUM(VT$5:VT9)</f>
        <v/>
      </c>
      <c r="WA9" s="12">
        <f>SUM(VU$5:VU9)</f>
        <v/>
      </c>
      <c r="WB9" s="12">
        <f>SUM(VV$5:VV9)</f>
        <v/>
      </c>
      <c r="WC9" s="12">
        <f>VW9+VX9+VY9+VZ9+WA9+WB9</f>
        <v/>
      </c>
      <c r="WD9" s="9">
        <f>VW9*BlendedPriceEssMonthly*VI9+VX9*BlendedPricePremMonthly*VI9+VY9*BlendedPriceEliteMonthly*VI9+VZ9*BlendedPriceEssAnnual*VI9/12+WA9*BlendedPricePremAnnual*VI9/12+WB9*BlendedPriceEliteAnnual*VI9/12</f>
        <v/>
      </c>
      <c r="WE9" s="9">
        <f>WD9*12</f>
        <v/>
      </c>
      <c r="WF9" s="12">
        <f>VW9*BlendedPriceEssMonthly*VI9+VX9*BlendedPricePremMonthly*VI9+VY9*BlendedPriceEliteMonthly*VI9</f>
        <v/>
      </c>
      <c r="WG9" s="12">
        <f>VT9*BlendedPriceEssAnnual*VI9+VU9*BlendedPricePremAnnual*VI9+VV9*BlendedPriceEliteAnnual*VI9</f>
        <v/>
      </c>
      <c r="WH9" s="12">
        <f>0+0+0</f>
        <v/>
      </c>
      <c r="WI9" s="9">
        <f>WF9+WG9+WH9</f>
        <v/>
      </c>
      <c r="WJ9" s="12">
        <f>SUM(WI$5:WI9)</f>
        <v/>
      </c>
      <c r="WK9" s="12">
        <f>OR(WK8,IF(VATAgentMode,SUM($WI$5:$WI9)-SUM($WP$5:$WP9)&gt;=VATThreshold,SUM($WI$5:$WI9)&gt;=VATThreshold))</f>
        <v/>
      </c>
      <c r="WL9" s="9">
        <f>IF(WK9,IF(VATAgentMode,WI9-((WI9-WP9)-(WI9-WP9)/(1+VATRate)),WI9/(1+VATRate)),WI9)</f>
        <v/>
      </c>
      <c r="WM9" s="12">
        <f>WI9-WL9</f>
        <v/>
      </c>
      <c r="WN9" s="12">
        <f>IF(WK9=0,0,IF(VF9=1,SUMPRODUCT(--(($VG$5:$VG9=$VG9-1)*($VF$5:$VF9&gt;=10)*($VF$5:$VF9&lt;=12)),$WM$5:$WM9),IF(VF9=4,SUMPRODUCT(--(($VG$5:$VG9=$VG9)*($VF$5:$VF9&gt;=1)*($VF$5:$VF9&lt;=3)),$WM$5:$WM9),IF(VF9=7,SUMPRODUCT(--(($VG$5:$VG9=$VG9)*($VF$5:$VF9&gt;=4)*($VF$5:$VF9&lt;=6)),$WM$5:$WM9),IF(VF9=10,SUMPRODUCT(--(($VG$5:$VG9=$VG9)*($VF$5:$VF9&gt;=7)*($VF$5:$VF9&lt;=9)),$WM$5:$WM9),0)))))</f>
        <v/>
      </c>
      <c r="WO9" s="12">
        <f>WO8+WM9-WN9</f>
        <v/>
      </c>
      <c r="WP9" s="12">
        <f>IF(ProviderDelay&gt;=1,VW8*BlendedProvPayEss+VX8*BlendedProvPayPrem+VY8*BlendedProvPayElite+VZ8*BlendedProvPayEss+WA8*BlendedProvPayPrem+WB8*BlendedProvPayElite,VW9*BlendedProvPayEss+VX9*BlendedProvPayPrem+VY9*BlendedProvPayElite+VZ9*BlendedProvPayEss+WA9*BlendedProvPayPrem+WB9*BlendedProvPayElite)</f>
        <v/>
      </c>
      <c r="WQ9" s="12">
        <f>WI9*PaymentFee</f>
        <v/>
      </c>
      <c r="WR9" s="12">
        <f>WC9*OpsAI</f>
        <v/>
      </c>
      <c r="WS9" s="12">
        <f>MonthlyFixed</f>
        <v/>
      </c>
      <c r="WT9" s="12">
        <f>VM9*ReferralReward</f>
        <v/>
      </c>
      <c r="WU9" s="12">
        <f>VK9</f>
        <v/>
      </c>
      <c r="WV9" s="9">
        <f>WL9-WP9-WQ9-WR9-WS9-WT9-WU9</f>
        <v/>
      </c>
      <c r="WW9" s="9">
        <f>WW8+WI9-(WP9+WQ9+WR9+WS9+WT9+WU9+WN9)</f>
        <v/>
      </c>
      <c r="WX9" s="12">
        <f>IF(WC9&gt;0,WD9/WC9,0)</f>
        <v/>
      </c>
      <c r="WY9" s="11">
        <f>IF(WC8&gt;0,MAX(0,(WC8+VN9-WC9)/WC8),0)</f>
        <v/>
      </c>
      <c r="XA9" s="12" t="n">
        <v>5</v>
      </c>
      <c r="XB9" s="12">
        <f>MOD(XA9-1+LaunchMonth-1,12)+1</f>
        <v/>
      </c>
      <c r="XC9" s="12">
        <f>INT((XA9-1+LaunchMonth-1)/12)+1</f>
        <v/>
      </c>
      <c r="XD9" s="12">
        <f>VLOOKUP(XB9,SeasonTable,2,FALSE)</f>
        <v/>
      </c>
      <c r="XE9" s="12">
        <f>(1+InflationRate)^INT((XA9-1)/12)</f>
        <v/>
      </c>
      <c r="XF9" s="11">
        <f>MonthlyChurn*VLOOKUP(XB9,ChurnSeasonTable,4,FALSE)</f>
        <v/>
      </c>
      <c r="XG9" s="12">
        <f>MIN(MktFixed4_6,MAX(0,YS8-CashBuffer))</f>
        <v/>
      </c>
      <c r="XH9" s="12">
        <f>IF(XG9&gt;0,MAX(1,ROUND(XG9/CAC*XD9,0)),0)</f>
        <v/>
      </c>
      <c r="XI9" s="12">
        <f>IF(XH9&gt;0,ROUND(XH9*ReferralMix/(1-ReferralMix),0),0)</f>
        <v/>
      </c>
      <c r="XJ9" s="12">
        <f>XH9+XI9</f>
        <v/>
      </c>
      <c r="XK9" s="12">
        <f>ROUND(XJ9*(1-'Sens - Annual Mix'!$A$10),0)</f>
        <v/>
      </c>
      <c r="XL9" s="12">
        <f>XJ9-XK9</f>
        <v/>
      </c>
      <c r="XM9" s="12">
        <f>ROUND(XK9*EssentialMix,0)</f>
        <v/>
      </c>
      <c r="XN9" s="12">
        <f>ROUND(XK9*PremiumMix,0)</f>
        <v/>
      </c>
      <c r="XO9" s="12">
        <f>XK9-XM9-XN9</f>
        <v/>
      </c>
      <c r="XP9" s="12">
        <f>ROUND(XL9*EssentialMix,0)</f>
        <v/>
      </c>
      <c r="XQ9" s="12">
        <f>ROUND(XL9*PremiumMix,0)</f>
        <v/>
      </c>
      <c r="XR9" s="12">
        <f>XL9-XP9-XQ9</f>
        <v/>
      </c>
      <c r="XS9" s="12">
        <f>XM9+XM8+XM7+MAX(0,XS8-XM8-XM7)*(1-XF9)</f>
        <v/>
      </c>
      <c r="XT9" s="12">
        <f>XN9+XN8+XN7+MAX(0,XT8-XN8-XN7)*(1-XF9)</f>
        <v/>
      </c>
      <c r="XU9" s="12">
        <f>XO9+XO8+XO7+MAX(0,XU8-XO8-XO7)*(1-XF9)</f>
        <v/>
      </c>
      <c r="XV9" s="12">
        <f>SUM(XP$5:XP9)</f>
        <v/>
      </c>
      <c r="XW9" s="12">
        <f>SUM(XQ$5:XQ9)</f>
        <v/>
      </c>
      <c r="XX9" s="12">
        <f>SUM(XR$5:XR9)</f>
        <v/>
      </c>
      <c r="XY9" s="12">
        <f>XS9+XT9+XU9+XV9+XW9+XX9</f>
        <v/>
      </c>
      <c r="XZ9" s="9">
        <f>XS9*BlendedPriceEssMonthly*XE9+XT9*BlendedPricePremMonthly*XE9+XU9*BlendedPriceEliteMonthly*XE9+XV9*BlendedPriceEssAnnual*XE9/12+XW9*BlendedPricePremAnnual*XE9/12+XX9*BlendedPriceEliteAnnual*XE9/12</f>
        <v/>
      </c>
      <c r="YA9" s="9">
        <f>XZ9*12</f>
        <v/>
      </c>
      <c r="YB9" s="12">
        <f>XS9*BlendedPriceEssMonthly*XE9+XT9*BlendedPricePremMonthly*XE9+XU9*BlendedPriceEliteMonthly*XE9</f>
        <v/>
      </c>
      <c r="YC9" s="12">
        <f>XP9*BlendedPriceEssAnnual*XE9+XQ9*BlendedPricePremAnnual*XE9+XR9*BlendedPriceEliteAnnual*XE9</f>
        <v/>
      </c>
      <c r="YD9" s="12">
        <f>0+0+0</f>
        <v/>
      </c>
      <c r="YE9" s="9">
        <f>YB9+YC9+YD9</f>
        <v/>
      </c>
      <c r="YF9" s="12">
        <f>SUM(YE$5:YE9)</f>
        <v/>
      </c>
      <c r="YG9" s="12">
        <f>OR(YG8,IF(VATAgentMode,SUM($YE$5:$YE9)-SUM($YL$5:$YL9)&gt;=VATThreshold,SUM($YE$5:$YE9)&gt;=VATThreshold))</f>
        <v/>
      </c>
      <c r="YH9" s="9">
        <f>IF(YG9,IF(VATAgentMode,YE9-((YE9-YL9)-(YE9-YL9)/(1+VATRate)),YE9/(1+VATRate)),YE9)</f>
        <v/>
      </c>
      <c r="YI9" s="12">
        <f>YE9-YH9</f>
        <v/>
      </c>
      <c r="YJ9" s="12">
        <f>IF(YG9=0,0,IF(XB9=1,SUMPRODUCT(--(($XC$5:$XC9=$XC9-1)*($XB$5:$XB9&gt;=10)*($XB$5:$XB9&lt;=12)),$YI$5:$YI9),IF(XB9=4,SUMPRODUCT(--(($XC$5:$XC9=$XC9)*($XB$5:$XB9&gt;=1)*($XB$5:$XB9&lt;=3)),$YI$5:$YI9),IF(XB9=7,SUMPRODUCT(--(($XC$5:$XC9=$XC9)*($XB$5:$XB9&gt;=4)*($XB$5:$XB9&lt;=6)),$YI$5:$YI9),IF(XB9=10,SUMPRODUCT(--(($XC$5:$XC9=$XC9)*($XB$5:$XB9&gt;=7)*($XB$5:$XB9&lt;=9)),$YI$5:$YI9),0)))))</f>
        <v/>
      </c>
      <c r="YK9" s="12">
        <f>YK8+YI9-YJ9</f>
        <v/>
      </c>
      <c r="YL9" s="12">
        <f>IF(ProviderDelay&gt;=1,XS8*BlendedProvPayEss+XT8*BlendedProvPayPrem+XU8*BlendedProvPayElite+XV8*BlendedProvPayEss+XW8*BlendedProvPayPrem+XX8*BlendedProvPayElite,XS9*BlendedProvPayEss+XT9*BlendedProvPayPrem+XU9*BlendedProvPayElite+XV9*BlendedProvPayEss+XW9*BlendedProvPayPrem+XX9*BlendedProvPayElite)</f>
        <v/>
      </c>
      <c r="YM9" s="12">
        <f>YE9*PaymentFee</f>
        <v/>
      </c>
      <c r="YN9" s="12">
        <f>XY9*OpsAI</f>
        <v/>
      </c>
      <c r="YO9" s="12">
        <f>MonthlyFixed</f>
        <v/>
      </c>
      <c r="YP9" s="12">
        <f>XI9*ReferralReward</f>
        <v/>
      </c>
      <c r="YQ9" s="12">
        <f>XG9</f>
        <v/>
      </c>
      <c r="YR9" s="9">
        <f>YH9-YL9-YM9-YN9-YO9-YP9-YQ9</f>
        <v/>
      </c>
      <c r="YS9" s="9">
        <f>YS8+YE9-(YL9+YM9+YN9+YO9+YP9+YQ9+YJ9)</f>
        <v/>
      </c>
      <c r="YT9" s="12">
        <f>IF(XY9&gt;0,XZ9/XY9,0)</f>
        <v/>
      </c>
      <c r="YU9" s="11">
        <f>IF(XY8&gt;0,MAX(0,(XY8+XJ9-XY9)/XY8),0)</f>
        <v/>
      </c>
      <c r="YW9" s="12" t="n">
        <v>5</v>
      </c>
      <c r="YX9" s="12">
        <f>MOD(YW9-1+LaunchMonth-1,12)+1</f>
        <v/>
      </c>
      <c r="YY9" s="12">
        <f>INT((YW9-1+LaunchMonth-1)/12)+1</f>
        <v/>
      </c>
      <c r="YZ9" s="12">
        <f>VLOOKUP(YX9,SeasonTable,2,FALSE)</f>
        <v/>
      </c>
      <c r="ZA9" s="12">
        <f>(1+InflationRate)^INT((YW9-1)/12)</f>
        <v/>
      </c>
      <c r="ZB9" s="11">
        <f>MonthlyChurn*VLOOKUP(YX9,ChurnSeasonTable,4,FALSE)</f>
        <v/>
      </c>
      <c r="ZC9" s="12">
        <f>MIN(MktFixed4_6,MAX(0,AAO8-CashBuffer))</f>
        <v/>
      </c>
      <c r="ZD9" s="12">
        <f>IF(ZC9&gt;0,MAX(1,ROUND(ZC9/CAC*YZ9,0)),0)</f>
        <v/>
      </c>
      <c r="ZE9" s="12">
        <f>IF(ZD9&gt;0,ROUND(ZD9*ReferralMix/(1-ReferralMix),0),0)</f>
        <v/>
      </c>
      <c r="ZF9" s="12">
        <f>ZD9+ZE9</f>
        <v/>
      </c>
      <c r="ZG9" s="12">
        <f>ROUND(ZF9*(1-'Sens - Annual Mix'!$A$11),0)</f>
        <v/>
      </c>
      <c r="ZH9" s="12">
        <f>ZF9-ZG9</f>
        <v/>
      </c>
      <c r="ZI9" s="12">
        <f>ROUND(ZG9*EssentialMix,0)</f>
        <v/>
      </c>
      <c r="ZJ9" s="12">
        <f>ROUND(ZG9*PremiumMix,0)</f>
        <v/>
      </c>
      <c r="ZK9" s="12">
        <f>ZG9-ZI9-ZJ9</f>
        <v/>
      </c>
      <c r="ZL9" s="12">
        <f>ROUND(ZH9*EssentialMix,0)</f>
        <v/>
      </c>
      <c r="ZM9" s="12">
        <f>ROUND(ZH9*PremiumMix,0)</f>
        <v/>
      </c>
      <c r="ZN9" s="12">
        <f>ZH9-ZL9-ZM9</f>
        <v/>
      </c>
      <c r="ZO9" s="12">
        <f>ZI9+ZI8+ZI7+MAX(0,ZO8-ZI8-ZI7)*(1-ZB9)</f>
        <v/>
      </c>
      <c r="ZP9" s="12">
        <f>ZJ9+ZJ8+ZJ7+MAX(0,ZP8-ZJ8-ZJ7)*(1-ZB9)</f>
        <v/>
      </c>
      <c r="ZQ9" s="12">
        <f>ZK9+ZK8+ZK7+MAX(0,ZQ8-ZK8-ZK7)*(1-ZB9)</f>
        <v/>
      </c>
      <c r="ZR9" s="12">
        <f>SUM(ZL$5:ZL9)</f>
        <v/>
      </c>
      <c r="ZS9" s="12">
        <f>SUM(ZM$5:ZM9)</f>
        <v/>
      </c>
      <c r="ZT9" s="12">
        <f>SUM(ZN$5:ZN9)</f>
        <v/>
      </c>
      <c r="ZU9" s="12">
        <f>ZO9+ZP9+ZQ9+ZR9+ZS9+ZT9</f>
        <v/>
      </c>
      <c r="ZV9" s="9">
        <f>ZO9*BlendedPriceEssMonthly*ZA9+ZP9*BlendedPricePremMonthly*ZA9+ZQ9*BlendedPriceEliteMonthly*ZA9+ZR9*BlendedPriceEssAnnual*ZA9/12+ZS9*BlendedPricePremAnnual*ZA9/12+ZT9*BlendedPriceEliteAnnual*ZA9/12</f>
        <v/>
      </c>
      <c r="ZW9" s="9">
        <f>ZV9*12</f>
        <v/>
      </c>
      <c r="ZX9" s="12">
        <f>ZO9*BlendedPriceEssMonthly*ZA9+ZP9*BlendedPricePremMonthly*ZA9+ZQ9*BlendedPriceEliteMonthly*ZA9</f>
        <v/>
      </c>
      <c r="ZY9" s="12">
        <f>ZL9*BlendedPriceEssAnnual*ZA9+ZM9*BlendedPricePremAnnual*ZA9+ZN9*BlendedPriceEliteAnnual*ZA9</f>
        <v/>
      </c>
      <c r="ZZ9" s="12">
        <f>0+0+0</f>
        <v/>
      </c>
      <c r="AAA9" s="9">
        <f>ZX9+ZY9+ZZ9</f>
        <v/>
      </c>
      <c r="AAB9" s="12">
        <f>SUM(AAA$5:AAA9)</f>
        <v/>
      </c>
      <c r="AAC9" s="12">
        <f>OR(AAC8,IF(VATAgentMode,SUM($AAA$5:$AAA9)-SUM($AAH$5:$AAH9)&gt;=VATThreshold,SUM($AAA$5:$AAA9)&gt;=VATThreshold))</f>
        <v/>
      </c>
      <c r="AAD9" s="9">
        <f>IF(AAC9,IF(VATAgentMode,AAA9-((AAA9-AAH9)-(AAA9-AAH9)/(1+VATRate)),AAA9/(1+VATRate)),AAA9)</f>
        <v/>
      </c>
      <c r="AAE9" s="12">
        <f>AAA9-AAD9</f>
        <v/>
      </c>
      <c r="AAF9" s="12">
        <f>IF(AAC9=0,0,IF(YX9=1,SUMPRODUCT(--(($YY$5:$YY9=$YY9-1)*($YX$5:$YX9&gt;=10)*($YX$5:$YX9&lt;=12)),$AAE$5:$AAE9),IF(YX9=4,SUMPRODUCT(--(($YY$5:$YY9=$YY9)*($YX$5:$YX9&gt;=1)*($YX$5:$YX9&lt;=3)),$AAE$5:$AAE9),IF(YX9=7,SUMPRODUCT(--(($YY$5:$YY9=$YY9)*($YX$5:$YX9&gt;=4)*($YX$5:$YX9&lt;=6)),$AAE$5:$AAE9),IF(YX9=10,SUMPRODUCT(--(($YY$5:$YY9=$YY9)*($YX$5:$YX9&gt;=7)*($YX$5:$YX9&lt;=9)),$AAE$5:$AAE9),0)))))</f>
        <v/>
      </c>
      <c r="AAG9" s="12">
        <f>AAG8+AAE9-AAF9</f>
        <v/>
      </c>
      <c r="AAH9" s="12">
        <f>IF(ProviderDelay&gt;=1,ZO8*BlendedProvPayEss+ZP8*BlendedProvPayPrem+ZQ8*BlendedProvPayElite+ZR8*BlendedProvPayEss+ZS8*BlendedProvPayPrem+ZT8*BlendedProvPayElite,ZO9*BlendedProvPayEss+ZP9*BlendedProvPayPrem+ZQ9*BlendedProvPayElite+ZR9*BlendedProvPayEss+ZS9*BlendedProvPayPrem+ZT9*BlendedProvPayElite)</f>
        <v/>
      </c>
      <c r="AAI9" s="12">
        <f>AAA9*PaymentFee</f>
        <v/>
      </c>
      <c r="AAJ9" s="12">
        <f>ZU9*OpsAI</f>
        <v/>
      </c>
      <c r="AAK9" s="12">
        <f>MonthlyFixed</f>
        <v/>
      </c>
      <c r="AAL9" s="12">
        <f>ZE9*ReferralReward</f>
        <v/>
      </c>
      <c r="AAM9" s="12">
        <f>ZC9</f>
        <v/>
      </c>
      <c r="AAN9" s="9">
        <f>AAD9-AAH9-AAI9-AAJ9-AAK9-AAL9-AAM9</f>
        <v/>
      </c>
      <c r="AAO9" s="9">
        <f>AAO8+AAA9-(AAH9+AAI9+AAJ9+AAK9+AAL9+AAM9+AAF9)</f>
        <v/>
      </c>
      <c r="AAP9" s="12">
        <f>IF(ZU9&gt;0,ZV9/ZU9,0)</f>
        <v/>
      </c>
      <c r="AAQ9" s="11">
        <f>IF(ZU8&gt;0,MAX(0,(ZU8+ZF9-ZU9)/ZU8),0)</f>
        <v/>
      </c>
      <c r="AAS9" s="12" t="n">
        <v>5</v>
      </c>
      <c r="AAT9" s="12">
        <f>MOD(AAS9-1+LaunchMonth-1,12)+1</f>
        <v/>
      </c>
      <c r="AAU9" s="12">
        <f>INT((AAS9-1+LaunchMonth-1)/12)+1</f>
        <v/>
      </c>
      <c r="AAV9" s="12">
        <f>VLOOKUP(AAT9,SeasonTable,2,FALSE)</f>
        <v/>
      </c>
      <c r="AAW9" s="12">
        <f>(1+InflationRate)^INT((AAS9-1)/12)</f>
        <v/>
      </c>
      <c r="AAX9" s="11">
        <f>MonthlyChurn*VLOOKUP(AAT9,ChurnSeasonTable,4,FALSE)</f>
        <v/>
      </c>
      <c r="AAY9" s="12">
        <f>MIN(MktFixed4_6,MAX(0,ACK8-CashBuffer))</f>
        <v/>
      </c>
      <c r="AAZ9" s="12">
        <f>IF(AAY9&gt;0,MAX(1,ROUND(AAY9/CAC*AAV9,0)),0)</f>
        <v/>
      </c>
      <c r="ABA9" s="12">
        <f>IF(AAZ9&gt;0,ROUND(AAZ9*ReferralMix/(1-ReferralMix),0),0)</f>
        <v/>
      </c>
      <c r="ABB9" s="12">
        <f>AAZ9+ABA9</f>
        <v/>
      </c>
      <c r="ABC9" s="12">
        <f>ROUND(ABB9*(1-'Sens - Annual Mix'!$A$12),0)</f>
        <v/>
      </c>
      <c r="ABD9" s="12">
        <f>ABB9-ABC9</f>
        <v/>
      </c>
      <c r="ABE9" s="12">
        <f>ROUND(ABC9*EssentialMix,0)</f>
        <v/>
      </c>
      <c r="ABF9" s="12">
        <f>ROUND(ABC9*PremiumMix,0)</f>
        <v/>
      </c>
      <c r="ABG9" s="12">
        <f>ABC9-ABE9-ABF9</f>
        <v/>
      </c>
      <c r="ABH9" s="12">
        <f>ROUND(ABD9*EssentialMix,0)</f>
        <v/>
      </c>
      <c r="ABI9" s="12">
        <f>ROUND(ABD9*PremiumMix,0)</f>
        <v/>
      </c>
      <c r="ABJ9" s="12">
        <f>ABD9-ABH9-ABI9</f>
        <v/>
      </c>
      <c r="ABK9" s="12">
        <f>ABE9+ABE8+ABE7+MAX(0,ABK8-ABE8-ABE7)*(1-AAX9)</f>
        <v/>
      </c>
      <c r="ABL9" s="12">
        <f>ABF9+ABF8+ABF7+MAX(0,ABL8-ABF8-ABF7)*(1-AAX9)</f>
        <v/>
      </c>
      <c r="ABM9" s="12">
        <f>ABG9+ABG8+ABG7+MAX(0,ABM8-ABG8-ABG7)*(1-AAX9)</f>
        <v/>
      </c>
      <c r="ABN9" s="12">
        <f>SUM(ABH$5:ABH9)</f>
        <v/>
      </c>
      <c r="ABO9" s="12">
        <f>SUM(ABI$5:ABI9)</f>
        <v/>
      </c>
      <c r="ABP9" s="12">
        <f>SUM(ABJ$5:ABJ9)</f>
        <v/>
      </c>
      <c r="ABQ9" s="12">
        <f>ABK9+ABL9+ABM9+ABN9+ABO9+ABP9</f>
        <v/>
      </c>
      <c r="ABR9" s="9">
        <f>ABK9*BlendedPriceEssMonthly*AAW9+ABL9*BlendedPricePremMonthly*AAW9+ABM9*BlendedPriceEliteMonthly*AAW9+ABN9*BlendedPriceEssAnnual*AAW9/12+ABO9*BlendedPricePremAnnual*AAW9/12+ABP9*BlendedPriceEliteAnnual*AAW9/12</f>
        <v/>
      </c>
      <c r="ABS9" s="9">
        <f>ABR9*12</f>
        <v/>
      </c>
      <c r="ABT9" s="12">
        <f>ABK9*BlendedPriceEssMonthly*AAW9+ABL9*BlendedPricePremMonthly*AAW9+ABM9*BlendedPriceEliteMonthly*AAW9</f>
        <v/>
      </c>
      <c r="ABU9" s="12">
        <f>ABH9*BlendedPriceEssAnnual*AAW9+ABI9*BlendedPricePremAnnual*AAW9+ABJ9*BlendedPriceEliteAnnual*AAW9</f>
        <v/>
      </c>
      <c r="ABV9" s="12">
        <f>0+0+0</f>
        <v/>
      </c>
      <c r="ABW9" s="9">
        <f>ABT9+ABU9+ABV9</f>
        <v/>
      </c>
      <c r="ABX9" s="12">
        <f>SUM(ABW$5:ABW9)</f>
        <v/>
      </c>
      <c r="ABY9" s="12">
        <f>OR(ABY8,IF(VATAgentMode,SUM($ABW$5:$ABW9)-SUM($ACD$5:$ACD9)&gt;=VATThreshold,SUM($ABW$5:$ABW9)&gt;=VATThreshold))</f>
        <v/>
      </c>
      <c r="ABZ9" s="9">
        <f>IF(ABY9,IF(VATAgentMode,ABW9-((ABW9-ACD9)-(ABW9-ACD9)/(1+VATRate)),ABW9/(1+VATRate)),ABW9)</f>
        <v/>
      </c>
      <c r="ACA9" s="12">
        <f>ABW9-ABZ9</f>
        <v/>
      </c>
      <c r="ACB9" s="12">
        <f>IF(ABY9=0,0,IF(AAT9=1,SUMPRODUCT(--(($AAU$5:$AAU9=$AAU9-1)*($AAT$5:$AAT9&gt;=10)*($AAT$5:$AAT9&lt;=12)),$ACA$5:$ACA9),IF(AAT9=4,SUMPRODUCT(--(($AAU$5:$AAU9=$AAU9)*($AAT$5:$AAT9&gt;=1)*($AAT$5:$AAT9&lt;=3)),$ACA$5:$ACA9),IF(AAT9=7,SUMPRODUCT(--(($AAU$5:$AAU9=$AAU9)*($AAT$5:$AAT9&gt;=4)*($AAT$5:$AAT9&lt;=6)),$ACA$5:$ACA9),IF(AAT9=10,SUMPRODUCT(--(($AAU$5:$AAU9=$AAU9)*($AAT$5:$AAT9&gt;=7)*($AAT$5:$AAT9&lt;=9)),$ACA$5:$ACA9),0)))))</f>
        <v/>
      </c>
      <c r="ACC9" s="12">
        <f>ACC8+ACA9-ACB9</f>
        <v/>
      </c>
      <c r="ACD9" s="12">
        <f>IF(ProviderDelay&gt;=1,ABK8*BlendedProvPayEss+ABL8*BlendedProvPayPrem+ABM8*BlendedProvPayElite+ABN8*BlendedProvPayEss+ABO8*BlendedProvPayPrem+ABP8*BlendedProvPayElite,ABK9*BlendedProvPayEss+ABL9*BlendedProvPayPrem+ABM9*BlendedProvPayElite+ABN9*BlendedProvPayEss+ABO9*BlendedProvPayPrem+ABP9*BlendedProvPayElite)</f>
        <v/>
      </c>
      <c r="ACE9" s="12">
        <f>ABW9*PaymentFee</f>
        <v/>
      </c>
      <c r="ACF9" s="12">
        <f>ABQ9*OpsAI</f>
        <v/>
      </c>
      <c r="ACG9" s="12">
        <f>MonthlyFixed</f>
        <v/>
      </c>
      <c r="ACH9" s="12">
        <f>ABA9*ReferralReward</f>
        <v/>
      </c>
      <c r="ACI9" s="12">
        <f>AAY9</f>
        <v/>
      </c>
      <c r="ACJ9" s="9">
        <f>ABZ9-ACD9-ACE9-ACF9-ACG9-ACH9-ACI9</f>
        <v/>
      </c>
      <c r="ACK9" s="9">
        <f>ACK8+ABW9-(ACD9+ACE9+ACF9+ACG9+ACH9+ACI9+ACB9)</f>
        <v/>
      </c>
      <c r="ACL9" s="12">
        <f>IF(ABQ9&gt;0,ABR9/ABQ9,0)</f>
        <v/>
      </c>
      <c r="ACM9" s="11">
        <f>IF(ABQ8&gt;0,MAX(0,(ABQ8+ABB9-ABQ9)/ABQ8),0)</f>
        <v/>
      </c>
      <c r="ACO9" s="12" t="n">
        <v>5</v>
      </c>
      <c r="ACP9" s="12">
        <f>MOD(ACO9-1+LaunchMonth-1,12)+1</f>
        <v/>
      </c>
      <c r="ACQ9" s="12">
        <f>INT((ACO9-1+LaunchMonth-1)/12)+1</f>
        <v/>
      </c>
      <c r="ACR9" s="12">
        <f>VLOOKUP(ACP9,SeasonTable,2,FALSE)</f>
        <v/>
      </c>
      <c r="ACS9" s="12">
        <f>(1+InflationRate)^INT((ACO9-1)/12)</f>
        <v/>
      </c>
      <c r="ACT9" s="11">
        <f>MonthlyChurn*VLOOKUP(ACP9,ChurnSeasonTable,4,FALSE)</f>
        <v/>
      </c>
      <c r="ACU9" s="12">
        <f>MIN(MktFixed4_6,MAX(0,AEG8-CashBuffer))</f>
        <v/>
      </c>
      <c r="ACV9" s="12">
        <f>IF(ACU9&gt;0,MAX(1,ROUND(ACU9/CAC*ACR9,0)),0)</f>
        <v/>
      </c>
      <c r="ACW9" s="12">
        <f>IF(ACV9&gt;0,ROUND(ACV9*ReferralMix/(1-ReferralMix),0),0)</f>
        <v/>
      </c>
      <c r="ACX9" s="12">
        <f>ACV9+ACW9</f>
        <v/>
      </c>
      <c r="ACY9" s="12">
        <f>ROUND(ACX9*(1-'Sens - Annual Mix'!$A$13),0)</f>
        <v/>
      </c>
      <c r="ACZ9" s="12">
        <f>ACX9-ACY9</f>
        <v/>
      </c>
      <c r="ADA9" s="12">
        <f>ROUND(ACY9*EssentialMix,0)</f>
        <v/>
      </c>
      <c r="ADB9" s="12">
        <f>ROUND(ACY9*PremiumMix,0)</f>
        <v/>
      </c>
      <c r="ADC9" s="12">
        <f>ACY9-ADA9-ADB9</f>
        <v/>
      </c>
      <c r="ADD9" s="12">
        <f>ROUND(ACZ9*EssentialMix,0)</f>
        <v/>
      </c>
      <c r="ADE9" s="12">
        <f>ROUND(ACZ9*PremiumMix,0)</f>
        <v/>
      </c>
      <c r="ADF9" s="12">
        <f>ACZ9-ADD9-ADE9</f>
        <v/>
      </c>
      <c r="ADG9" s="12">
        <f>ADA9+ADA8+ADA7+MAX(0,ADG8-ADA8-ADA7)*(1-ACT9)</f>
        <v/>
      </c>
      <c r="ADH9" s="12">
        <f>ADB9+ADB8+ADB7+MAX(0,ADH8-ADB8-ADB7)*(1-ACT9)</f>
        <v/>
      </c>
      <c r="ADI9" s="12">
        <f>ADC9+ADC8+ADC7+MAX(0,ADI8-ADC8-ADC7)*(1-ACT9)</f>
        <v/>
      </c>
      <c r="ADJ9" s="12">
        <f>SUM(ADD$5:ADD9)</f>
        <v/>
      </c>
      <c r="ADK9" s="12">
        <f>SUM(ADE$5:ADE9)</f>
        <v/>
      </c>
      <c r="ADL9" s="12">
        <f>SUM(ADF$5:ADF9)</f>
        <v/>
      </c>
      <c r="ADM9" s="12">
        <f>ADG9+ADH9+ADI9+ADJ9+ADK9+ADL9</f>
        <v/>
      </c>
      <c r="ADN9" s="9">
        <f>ADG9*BlendedPriceEssMonthly*ACS9+ADH9*BlendedPricePremMonthly*ACS9+ADI9*BlendedPriceEliteMonthly*ACS9+ADJ9*BlendedPriceEssAnnual*ACS9/12+ADK9*BlendedPricePremAnnual*ACS9/12+ADL9*BlendedPriceEliteAnnual*ACS9/12</f>
        <v/>
      </c>
      <c r="ADO9" s="9">
        <f>ADN9*12</f>
        <v/>
      </c>
      <c r="ADP9" s="12">
        <f>ADG9*BlendedPriceEssMonthly*ACS9+ADH9*BlendedPricePremMonthly*ACS9+ADI9*BlendedPriceEliteMonthly*ACS9</f>
        <v/>
      </c>
      <c r="ADQ9" s="12">
        <f>ADD9*BlendedPriceEssAnnual*ACS9+ADE9*BlendedPricePremAnnual*ACS9+ADF9*BlendedPriceEliteAnnual*ACS9</f>
        <v/>
      </c>
      <c r="ADR9" s="12">
        <f>0+0+0</f>
        <v/>
      </c>
      <c r="ADS9" s="9">
        <f>ADP9+ADQ9+ADR9</f>
        <v/>
      </c>
      <c r="ADT9" s="12">
        <f>SUM(ADS$5:ADS9)</f>
        <v/>
      </c>
      <c r="ADU9" s="12">
        <f>OR(ADU8,IF(VATAgentMode,SUM($ADS$5:$ADS9)-SUM($ADZ$5:$ADZ9)&gt;=VATThreshold,SUM($ADS$5:$ADS9)&gt;=VATThreshold))</f>
        <v/>
      </c>
      <c r="ADV9" s="9">
        <f>IF(ADU9,IF(VATAgentMode,ADS9-((ADS9-ADZ9)-(ADS9-ADZ9)/(1+VATRate)),ADS9/(1+VATRate)),ADS9)</f>
        <v/>
      </c>
      <c r="ADW9" s="12">
        <f>ADS9-ADV9</f>
        <v/>
      </c>
      <c r="ADX9" s="12">
        <f>IF(ADU9=0,0,IF(ACP9=1,SUMPRODUCT(--(($ACQ$5:$ACQ9=$ACQ9-1)*($ACP$5:$ACP9&gt;=10)*($ACP$5:$ACP9&lt;=12)),$ADW$5:$ADW9),IF(ACP9=4,SUMPRODUCT(--(($ACQ$5:$ACQ9=$ACQ9)*($ACP$5:$ACP9&gt;=1)*($ACP$5:$ACP9&lt;=3)),$ADW$5:$ADW9),IF(ACP9=7,SUMPRODUCT(--(($ACQ$5:$ACQ9=$ACQ9)*($ACP$5:$ACP9&gt;=4)*($ACP$5:$ACP9&lt;=6)),$ADW$5:$ADW9),IF(ACP9=10,SUMPRODUCT(--(($ACQ$5:$ACQ9=$ACQ9)*($ACP$5:$ACP9&gt;=7)*($ACP$5:$ACP9&lt;=9)),$ADW$5:$ADW9),0)))))</f>
        <v/>
      </c>
      <c r="ADY9" s="12">
        <f>ADY8+ADW9-ADX9</f>
        <v/>
      </c>
      <c r="ADZ9" s="12">
        <f>IF(ProviderDelay&gt;=1,ADG8*BlendedProvPayEss+ADH8*BlendedProvPayPrem+ADI8*BlendedProvPayElite+ADJ8*BlendedProvPayEss+ADK8*BlendedProvPayPrem+ADL8*BlendedProvPayElite,ADG9*BlendedProvPayEss+ADH9*BlendedProvPayPrem+ADI9*BlendedProvPayElite+ADJ9*BlendedProvPayEss+ADK9*BlendedProvPayPrem+ADL9*BlendedProvPayElite)</f>
        <v/>
      </c>
      <c r="AEA9" s="12">
        <f>ADS9*PaymentFee</f>
        <v/>
      </c>
      <c r="AEB9" s="12">
        <f>ADM9*OpsAI</f>
        <v/>
      </c>
      <c r="AEC9" s="12">
        <f>MonthlyFixed</f>
        <v/>
      </c>
      <c r="AED9" s="12">
        <f>ACW9*ReferralReward</f>
        <v/>
      </c>
      <c r="AEE9" s="12">
        <f>ACU9</f>
        <v/>
      </c>
      <c r="AEF9" s="9">
        <f>ADV9-ADZ9-AEA9-AEB9-AEC9-AED9-AEE9</f>
        <v/>
      </c>
      <c r="AEG9" s="9">
        <f>AEG8+ADS9-(ADZ9+AEA9+AEB9+AEC9+AED9+AEE9+ADX9)</f>
        <v/>
      </c>
      <c r="AEH9" s="12">
        <f>IF(ADM9&gt;0,ADN9/ADM9,0)</f>
        <v/>
      </c>
      <c r="AEI9" s="11">
        <f>IF(ADM8&gt;0,MAX(0,(ADM8+ACX9-ADM9)/ADM8),0)</f>
        <v/>
      </c>
      <c r="AEK9" s="12" t="n">
        <v>5</v>
      </c>
      <c r="AEL9" s="12">
        <f>MOD(AEK9-1+LaunchMonth-1,12)+1</f>
        <v/>
      </c>
      <c r="AEM9" s="12">
        <f>INT((AEK9-1+LaunchMonth-1)/12)+1</f>
        <v/>
      </c>
      <c r="AEN9" s="12">
        <f>VLOOKUP(AEL9,SeasonTable,2,FALSE)</f>
        <v/>
      </c>
      <c r="AEO9" s="12">
        <f>(1+InflationRate)^INT((AEK9-1)/12)</f>
        <v/>
      </c>
      <c r="AEP9" s="11">
        <f>MonthlyChurn*VLOOKUP(AEL9,ChurnSeasonTable,4,FALSE)</f>
        <v/>
      </c>
      <c r="AEQ9" s="12">
        <f>MIN(MktFixed4_6,MAX(0,AGC8-CashBuffer))</f>
        <v/>
      </c>
      <c r="AER9" s="12">
        <f>IF(AEQ9&gt;0,MAX(1,ROUND(AEQ9/CAC*AEN9,0)),0)</f>
        <v/>
      </c>
      <c r="AES9" s="12">
        <f>IF(AER9&gt;0,ROUND(AER9*ReferralMix/(1-ReferralMix),0),0)</f>
        <v/>
      </c>
      <c r="AET9" s="12">
        <f>AER9+AES9</f>
        <v/>
      </c>
      <c r="AEU9" s="12">
        <f>ROUND(AET9*(1-'Sens - Annual Mix'!$A$14),0)</f>
        <v/>
      </c>
      <c r="AEV9" s="12">
        <f>AET9-AEU9</f>
        <v/>
      </c>
      <c r="AEW9" s="12">
        <f>ROUND(AEU9*EssentialMix,0)</f>
        <v/>
      </c>
      <c r="AEX9" s="12">
        <f>ROUND(AEU9*PremiumMix,0)</f>
        <v/>
      </c>
      <c r="AEY9" s="12">
        <f>AEU9-AEW9-AEX9</f>
        <v/>
      </c>
      <c r="AEZ9" s="12">
        <f>ROUND(AEV9*EssentialMix,0)</f>
        <v/>
      </c>
      <c r="AFA9" s="12">
        <f>ROUND(AEV9*PremiumMix,0)</f>
        <v/>
      </c>
      <c r="AFB9" s="12">
        <f>AEV9-AEZ9-AFA9</f>
        <v/>
      </c>
      <c r="AFC9" s="12">
        <f>AEW9+AEW8+AEW7+MAX(0,AFC8-AEW8-AEW7)*(1-AEP9)</f>
        <v/>
      </c>
      <c r="AFD9" s="12">
        <f>AEX9+AEX8+AEX7+MAX(0,AFD8-AEX8-AEX7)*(1-AEP9)</f>
        <v/>
      </c>
      <c r="AFE9" s="12">
        <f>AEY9+AEY8+AEY7+MAX(0,AFE8-AEY8-AEY7)*(1-AEP9)</f>
        <v/>
      </c>
      <c r="AFF9" s="12">
        <f>SUM(AEZ$5:AEZ9)</f>
        <v/>
      </c>
      <c r="AFG9" s="12">
        <f>SUM(AFA$5:AFA9)</f>
        <v/>
      </c>
      <c r="AFH9" s="12">
        <f>SUM(AFB$5:AFB9)</f>
        <v/>
      </c>
      <c r="AFI9" s="12">
        <f>AFC9+AFD9+AFE9+AFF9+AFG9+AFH9</f>
        <v/>
      </c>
      <c r="AFJ9" s="9">
        <f>AFC9*BlendedPriceEssMonthly*AEO9+AFD9*BlendedPricePremMonthly*AEO9+AFE9*BlendedPriceEliteMonthly*AEO9+AFF9*BlendedPriceEssAnnual*AEO9/12+AFG9*BlendedPricePremAnnual*AEO9/12+AFH9*BlendedPriceEliteAnnual*AEO9/12</f>
        <v/>
      </c>
      <c r="AFK9" s="9">
        <f>AFJ9*12</f>
        <v/>
      </c>
      <c r="AFL9" s="12">
        <f>AFC9*BlendedPriceEssMonthly*AEO9+AFD9*BlendedPricePremMonthly*AEO9+AFE9*BlendedPriceEliteMonthly*AEO9</f>
        <v/>
      </c>
      <c r="AFM9" s="12">
        <f>AEZ9*BlendedPriceEssAnnual*AEO9+AFA9*BlendedPricePremAnnual*AEO9+AFB9*BlendedPriceEliteAnnual*AEO9</f>
        <v/>
      </c>
      <c r="AFN9" s="12">
        <f>0+0+0</f>
        <v/>
      </c>
      <c r="AFO9" s="9">
        <f>AFL9+AFM9+AFN9</f>
        <v/>
      </c>
      <c r="AFP9" s="12">
        <f>SUM(AFO$5:AFO9)</f>
        <v/>
      </c>
      <c r="AFQ9" s="12">
        <f>OR(AFQ8,IF(VATAgentMode,SUM($AFO$5:$AFO9)-SUM($AFV$5:$AFV9)&gt;=VATThreshold,SUM($AFO$5:$AFO9)&gt;=VATThreshold))</f>
        <v/>
      </c>
      <c r="AFR9" s="9">
        <f>IF(AFQ9,IF(VATAgentMode,AFO9-((AFO9-AFV9)-(AFO9-AFV9)/(1+VATRate)),AFO9/(1+VATRate)),AFO9)</f>
        <v/>
      </c>
      <c r="AFS9" s="12">
        <f>AFO9-AFR9</f>
        <v/>
      </c>
      <c r="AFT9" s="12">
        <f>IF(AFQ9=0,0,IF(AEL9=1,SUMPRODUCT(--(($AEM$5:$AEM9=$AEM9-1)*($AEL$5:$AEL9&gt;=10)*($AEL$5:$AEL9&lt;=12)),$AFS$5:$AFS9),IF(AEL9=4,SUMPRODUCT(--(($AEM$5:$AEM9=$AEM9)*($AEL$5:$AEL9&gt;=1)*($AEL$5:$AEL9&lt;=3)),$AFS$5:$AFS9),IF(AEL9=7,SUMPRODUCT(--(($AEM$5:$AEM9=$AEM9)*($AEL$5:$AEL9&gt;=4)*($AEL$5:$AEL9&lt;=6)),$AFS$5:$AFS9),IF(AEL9=10,SUMPRODUCT(--(($AEM$5:$AEM9=$AEM9)*($AEL$5:$AEL9&gt;=7)*($AEL$5:$AEL9&lt;=9)),$AFS$5:$AFS9),0)))))</f>
        <v/>
      </c>
      <c r="AFU9" s="12">
        <f>AFU8+AFS9-AFT9</f>
        <v/>
      </c>
      <c r="AFV9" s="12">
        <f>IF(ProviderDelay&gt;=1,AFC8*BlendedProvPayEss+AFD8*BlendedProvPayPrem+AFE8*BlendedProvPayElite+AFF8*BlendedProvPayEss+AFG8*BlendedProvPayPrem+AFH8*BlendedProvPayElite,AFC9*BlendedProvPayEss+AFD9*BlendedProvPayPrem+AFE9*BlendedProvPayElite+AFF9*BlendedProvPayEss+AFG9*BlendedProvPayPrem+AFH9*BlendedProvPayElite)</f>
        <v/>
      </c>
      <c r="AFW9" s="12">
        <f>AFO9*PaymentFee</f>
        <v/>
      </c>
      <c r="AFX9" s="12">
        <f>AFI9*OpsAI</f>
        <v/>
      </c>
      <c r="AFY9" s="12">
        <f>MonthlyFixed</f>
        <v/>
      </c>
      <c r="AFZ9" s="12">
        <f>AES9*ReferralReward</f>
        <v/>
      </c>
      <c r="AGA9" s="12">
        <f>AEQ9</f>
        <v/>
      </c>
      <c r="AGB9" s="9">
        <f>AFR9-AFV9-AFW9-AFX9-AFY9-AFZ9-AGA9</f>
        <v/>
      </c>
      <c r="AGC9" s="9">
        <f>AGC8+AFO9-(AFV9+AFW9+AFX9+AFY9+AFZ9+AGA9+AFT9)</f>
        <v/>
      </c>
      <c r="AGD9" s="12">
        <f>IF(AFI9&gt;0,AFJ9/AFI9,0)</f>
        <v/>
      </c>
      <c r="AGE9" s="11">
        <f>IF(AFI8&gt;0,MAX(0,(AFI8+AET9-AFI9)/AFI8),0)</f>
        <v/>
      </c>
      <c r="AGG9" s="12" t="n">
        <v>5</v>
      </c>
      <c r="AGH9" s="12">
        <f>MOD(AGG9-1+LaunchMonth-1,12)+1</f>
        <v/>
      </c>
      <c r="AGI9" s="12">
        <f>INT((AGG9-1+LaunchMonth-1)/12)+1</f>
        <v/>
      </c>
      <c r="AGJ9" s="12">
        <f>VLOOKUP(AGH9,SeasonTable,2,FALSE)</f>
        <v/>
      </c>
      <c r="AGK9" s="12">
        <f>(1+InflationRate)^INT((AGG9-1)/12)</f>
        <v/>
      </c>
      <c r="AGL9" s="11">
        <f>MonthlyChurn*VLOOKUP(AGH9,ChurnSeasonTable,4,FALSE)</f>
        <v/>
      </c>
      <c r="AGM9" s="12">
        <f>MIN(MktFixed4_6,MAX(0,AHY8-CashBuffer))</f>
        <v/>
      </c>
      <c r="AGN9" s="12">
        <f>IF(AGM9&gt;0,MAX(1,ROUND(AGM9/CAC*AGJ9,0)),0)</f>
        <v/>
      </c>
      <c r="AGO9" s="12">
        <f>IF(AGN9&gt;0,ROUND(AGN9*ReferralMix/(1-ReferralMix),0),0)</f>
        <v/>
      </c>
      <c r="AGP9" s="12">
        <f>AGN9+AGO9</f>
        <v/>
      </c>
      <c r="AGQ9" s="12">
        <f>ROUND(AGP9*(1-'Sens - Annual Mix'!$A$15),0)</f>
        <v/>
      </c>
      <c r="AGR9" s="12">
        <f>AGP9-AGQ9</f>
        <v/>
      </c>
      <c r="AGS9" s="12">
        <f>ROUND(AGQ9*EssentialMix,0)</f>
        <v/>
      </c>
      <c r="AGT9" s="12">
        <f>ROUND(AGQ9*PremiumMix,0)</f>
        <v/>
      </c>
      <c r="AGU9" s="12">
        <f>AGQ9-AGS9-AGT9</f>
        <v/>
      </c>
      <c r="AGV9" s="12">
        <f>ROUND(AGR9*EssentialMix,0)</f>
        <v/>
      </c>
      <c r="AGW9" s="12">
        <f>ROUND(AGR9*PremiumMix,0)</f>
        <v/>
      </c>
      <c r="AGX9" s="12">
        <f>AGR9-AGV9-AGW9</f>
        <v/>
      </c>
      <c r="AGY9" s="12">
        <f>AGS9+AGS8+AGS7+MAX(0,AGY8-AGS8-AGS7)*(1-AGL9)</f>
        <v/>
      </c>
      <c r="AGZ9" s="12">
        <f>AGT9+AGT8+AGT7+MAX(0,AGZ8-AGT8-AGT7)*(1-AGL9)</f>
        <v/>
      </c>
      <c r="AHA9" s="12">
        <f>AGU9+AGU8+AGU7+MAX(0,AHA8-AGU8-AGU7)*(1-AGL9)</f>
        <v/>
      </c>
      <c r="AHB9" s="12">
        <f>SUM(AGV$5:AGV9)</f>
        <v/>
      </c>
      <c r="AHC9" s="12">
        <f>SUM(AGW$5:AGW9)</f>
        <v/>
      </c>
      <c r="AHD9" s="12">
        <f>SUM(AGX$5:AGX9)</f>
        <v/>
      </c>
      <c r="AHE9" s="12">
        <f>AGY9+AGZ9+AHA9+AHB9+AHC9+AHD9</f>
        <v/>
      </c>
      <c r="AHF9" s="9">
        <f>AGY9*BlendedPriceEssMonthly*AGK9+AGZ9*BlendedPricePremMonthly*AGK9+AHA9*BlendedPriceEliteMonthly*AGK9+AHB9*BlendedPriceEssAnnual*AGK9/12+AHC9*BlendedPricePremAnnual*AGK9/12+AHD9*BlendedPriceEliteAnnual*AGK9/12</f>
        <v/>
      </c>
      <c r="AHG9" s="9">
        <f>AHF9*12</f>
        <v/>
      </c>
      <c r="AHH9" s="12">
        <f>AGY9*BlendedPriceEssMonthly*AGK9+AGZ9*BlendedPricePremMonthly*AGK9+AHA9*BlendedPriceEliteMonthly*AGK9</f>
        <v/>
      </c>
      <c r="AHI9" s="12">
        <f>AGV9*BlendedPriceEssAnnual*AGK9+AGW9*BlendedPricePremAnnual*AGK9+AGX9*BlendedPriceEliteAnnual*AGK9</f>
        <v/>
      </c>
      <c r="AHJ9" s="12">
        <f>0+0+0</f>
        <v/>
      </c>
      <c r="AHK9" s="9">
        <f>AHH9+AHI9+AHJ9</f>
        <v/>
      </c>
      <c r="AHL9" s="12">
        <f>SUM(AHK$5:AHK9)</f>
        <v/>
      </c>
      <c r="AHM9" s="12">
        <f>OR(AHM8,IF(VATAgentMode,SUM($AHK$5:$AHK9)-SUM($AHR$5:$AHR9)&gt;=VATThreshold,SUM($AHK$5:$AHK9)&gt;=VATThreshold))</f>
        <v/>
      </c>
      <c r="AHN9" s="9">
        <f>IF(AHM9,IF(VATAgentMode,AHK9-((AHK9-AHR9)-(AHK9-AHR9)/(1+VATRate)),AHK9/(1+VATRate)),AHK9)</f>
        <v/>
      </c>
      <c r="AHO9" s="12">
        <f>AHK9-AHN9</f>
        <v/>
      </c>
      <c r="AHP9" s="12">
        <f>IF(AHM9=0,0,IF(AGH9=1,SUMPRODUCT(--(($AGI$5:$AGI9=$AGI9-1)*($AGH$5:$AGH9&gt;=10)*($AGH$5:$AGH9&lt;=12)),$AHO$5:$AHO9),IF(AGH9=4,SUMPRODUCT(--(($AGI$5:$AGI9=$AGI9)*($AGH$5:$AGH9&gt;=1)*($AGH$5:$AGH9&lt;=3)),$AHO$5:$AHO9),IF(AGH9=7,SUMPRODUCT(--(($AGI$5:$AGI9=$AGI9)*($AGH$5:$AGH9&gt;=4)*($AGH$5:$AGH9&lt;=6)),$AHO$5:$AHO9),IF(AGH9=10,SUMPRODUCT(--(($AGI$5:$AGI9=$AGI9)*($AGH$5:$AGH9&gt;=7)*($AGH$5:$AGH9&lt;=9)),$AHO$5:$AHO9),0)))))</f>
        <v/>
      </c>
      <c r="AHQ9" s="12">
        <f>AHQ8+AHO9-AHP9</f>
        <v/>
      </c>
      <c r="AHR9" s="12">
        <f>IF(ProviderDelay&gt;=1,AGY8*BlendedProvPayEss+AGZ8*BlendedProvPayPrem+AHA8*BlendedProvPayElite+AHB8*BlendedProvPayEss+AHC8*BlendedProvPayPrem+AHD8*BlendedProvPayElite,AGY9*BlendedProvPayEss+AGZ9*BlendedProvPayPrem+AHA9*BlendedProvPayElite+AHB9*BlendedProvPayEss+AHC9*BlendedProvPayPrem+AHD9*BlendedProvPayElite)</f>
        <v/>
      </c>
      <c r="AHS9" s="12">
        <f>AHK9*PaymentFee</f>
        <v/>
      </c>
      <c r="AHT9" s="12">
        <f>AHE9*OpsAI</f>
        <v/>
      </c>
      <c r="AHU9" s="12">
        <f>MonthlyFixed</f>
        <v/>
      </c>
      <c r="AHV9" s="12">
        <f>AGO9*ReferralReward</f>
        <v/>
      </c>
      <c r="AHW9" s="12">
        <f>AGM9</f>
        <v/>
      </c>
      <c r="AHX9" s="9">
        <f>AHN9-AHR9-AHS9-AHT9-AHU9-AHV9-AHW9</f>
        <v/>
      </c>
      <c r="AHY9" s="9">
        <f>AHY8+AHK9-(AHR9+AHS9+AHT9+AHU9+AHV9+AHW9+AHP9)</f>
        <v/>
      </c>
      <c r="AHZ9" s="12">
        <f>IF(AHE9&gt;0,AHF9/AHE9,0)</f>
        <v/>
      </c>
      <c r="AIA9" s="11">
        <f>IF(AHE8&gt;0,MAX(0,(AHE8+AGP9-AHE9)/AHE8),0)</f>
        <v/>
      </c>
      <c r="AIC9" s="12" t="n">
        <v>5</v>
      </c>
      <c r="AID9" s="12">
        <f>MOD(AIC9-1+LaunchMonth-1,12)+1</f>
        <v/>
      </c>
      <c r="AIE9" s="12">
        <f>INT((AIC9-1+LaunchMonth-1)/12)+1</f>
        <v/>
      </c>
      <c r="AIF9" s="12">
        <f>VLOOKUP(AID9,SeasonTable,2,FALSE)</f>
        <v/>
      </c>
      <c r="AIG9" s="12">
        <f>(1+InflationRate)^INT((AIC9-1)/12)</f>
        <v/>
      </c>
      <c r="AIH9" s="11">
        <f>MonthlyChurn*VLOOKUP(AID9,ChurnSeasonTable,4,FALSE)</f>
        <v/>
      </c>
      <c r="AII9" s="12">
        <f>MIN(MktFixed4_6,MAX(0,AJU8-CashBuffer))</f>
        <v/>
      </c>
      <c r="AIJ9" s="12">
        <f>IF(AII9&gt;0,MAX(1,ROUND(AII9/'Sens - CAC &amp; Marketing'!$A$9*AIF9,0)),0)</f>
        <v/>
      </c>
      <c r="AIK9" s="12">
        <f>IF(AIJ9&gt;0,ROUND(AIJ9*ReferralMix/(1-ReferralMix),0),0)</f>
        <v/>
      </c>
      <c r="AIL9" s="12">
        <f>AIJ9+AIK9</f>
        <v/>
      </c>
      <c r="AIM9" s="12">
        <f>ROUND(AIL9*(1-AnnualMix),0)</f>
        <v/>
      </c>
      <c r="AIN9" s="12">
        <f>AIL9-AIM9</f>
        <v/>
      </c>
      <c r="AIO9" s="12">
        <f>ROUND(AIM9*EssentialMix,0)</f>
        <v/>
      </c>
      <c r="AIP9" s="12">
        <f>ROUND(AIM9*PremiumMix,0)</f>
        <v/>
      </c>
      <c r="AIQ9" s="12">
        <f>AIM9-AIO9-AIP9</f>
        <v/>
      </c>
      <c r="AIR9" s="12">
        <f>ROUND(AIN9*EssentialMix,0)</f>
        <v/>
      </c>
      <c r="AIS9" s="12">
        <f>ROUND(AIN9*PremiumMix,0)</f>
        <v/>
      </c>
      <c r="AIT9" s="12">
        <f>AIN9-AIR9-AIS9</f>
        <v/>
      </c>
      <c r="AIU9" s="12">
        <f>AIO9+AIO8+AIO7+MAX(0,AIU8-AIO8-AIO7)*(1-AIH9)</f>
        <v/>
      </c>
      <c r="AIV9" s="12">
        <f>AIP9+AIP8+AIP7+MAX(0,AIV8-AIP8-AIP7)*(1-AIH9)</f>
        <v/>
      </c>
      <c r="AIW9" s="12">
        <f>AIQ9+AIQ8+AIQ7+MAX(0,AIW8-AIQ8-AIQ7)*(1-AIH9)</f>
        <v/>
      </c>
      <c r="AIX9" s="12">
        <f>SUM(AIR$5:AIR9)</f>
        <v/>
      </c>
      <c r="AIY9" s="12">
        <f>SUM(AIS$5:AIS9)</f>
        <v/>
      </c>
      <c r="AIZ9" s="12">
        <f>SUM(AIT$5:AIT9)</f>
        <v/>
      </c>
      <c r="AJA9" s="12">
        <f>AIU9+AIV9+AIW9+AIX9+AIY9+AIZ9</f>
        <v/>
      </c>
      <c r="AJB9" s="9">
        <f>AIU9*BlendedPriceEssMonthly*AIG9+AIV9*BlendedPricePremMonthly*AIG9+AIW9*BlendedPriceEliteMonthly*AIG9+AIX9*BlendedPriceEssAnnual*AIG9/12+AIY9*BlendedPricePremAnnual*AIG9/12+AIZ9*BlendedPriceEliteAnnual*AIG9/12</f>
        <v/>
      </c>
      <c r="AJC9" s="9">
        <f>AJB9*12</f>
        <v/>
      </c>
      <c r="AJD9" s="12">
        <f>AIU9*BlendedPriceEssMonthly*AIG9+AIV9*BlendedPricePremMonthly*AIG9+AIW9*BlendedPriceEliteMonthly*AIG9</f>
        <v/>
      </c>
      <c r="AJE9" s="12">
        <f>AIR9*BlendedPriceEssAnnual*AIG9+AIS9*BlendedPricePremAnnual*AIG9+AIT9*BlendedPriceEliteAnnual*AIG9</f>
        <v/>
      </c>
      <c r="AJF9" s="12">
        <f>0+0+0</f>
        <v/>
      </c>
      <c r="AJG9" s="9">
        <f>AJD9+AJE9+AJF9</f>
        <v/>
      </c>
      <c r="AJH9" s="12">
        <f>SUM(AJG$5:AJG9)</f>
        <v/>
      </c>
      <c r="AJI9" s="12">
        <f>OR(AJI8,IF(VATAgentMode,SUM($AJG$5:$AJG9)-SUM($AJN$5:$AJN9)&gt;=VATThreshold,SUM($AJG$5:$AJG9)&gt;=VATThreshold))</f>
        <v/>
      </c>
      <c r="AJJ9" s="9">
        <f>IF(AJI9,IF(VATAgentMode,AJG9-((AJG9-AJN9)-(AJG9-AJN9)/(1+VATRate)),AJG9/(1+VATRate)),AJG9)</f>
        <v/>
      </c>
      <c r="AJK9" s="12">
        <f>AJG9-AJJ9</f>
        <v/>
      </c>
      <c r="AJL9" s="12">
        <f>IF(AJI9=0,0,IF(AID9=1,SUMPRODUCT(--(($AIE$5:$AIE9=$AIE9-1)*($AID$5:$AID9&gt;=10)*($AID$5:$AID9&lt;=12)),$AJK$5:$AJK9),IF(AID9=4,SUMPRODUCT(--(($AIE$5:$AIE9=$AIE9)*($AID$5:$AID9&gt;=1)*($AID$5:$AID9&lt;=3)),$AJK$5:$AJK9),IF(AID9=7,SUMPRODUCT(--(($AIE$5:$AIE9=$AIE9)*($AID$5:$AID9&gt;=4)*($AID$5:$AID9&lt;=6)),$AJK$5:$AJK9),IF(AID9=10,SUMPRODUCT(--(($AIE$5:$AIE9=$AIE9)*($AID$5:$AID9&gt;=7)*($AID$5:$AID9&lt;=9)),$AJK$5:$AJK9),0)))))</f>
        <v/>
      </c>
      <c r="AJM9" s="12">
        <f>AJM8+AJK9-AJL9</f>
        <v/>
      </c>
      <c r="AJN9" s="12">
        <f>IF(ProviderDelay&gt;=1,AIU8*BlendedProvPayEss+AIV8*BlendedProvPayPrem+AIW8*BlendedProvPayElite+AIX8*BlendedProvPayEss+AIY8*BlendedProvPayPrem+AIZ8*BlendedProvPayElite,AIU9*BlendedProvPayEss+AIV9*BlendedProvPayPrem+AIW9*BlendedProvPayElite+AIX9*BlendedProvPayEss+AIY9*BlendedProvPayPrem+AIZ9*BlendedProvPayElite)</f>
        <v/>
      </c>
      <c r="AJO9" s="12">
        <f>AJG9*PaymentFee</f>
        <v/>
      </c>
      <c r="AJP9" s="12">
        <f>AJA9*OpsAI</f>
        <v/>
      </c>
      <c r="AJQ9" s="12">
        <f>MonthlyFixed</f>
        <v/>
      </c>
      <c r="AJR9" s="12">
        <f>AIK9*ReferralReward</f>
        <v/>
      </c>
      <c r="AJS9" s="12">
        <f>AII9</f>
        <v/>
      </c>
      <c r="AJT9" s="9">
        <f>AJJ9-AJN9-AJO9-AJP9-AJQ9-AJR9-AJS9</f>
        <v/>
      </c>
      <c r="AJU9" s="9">
        <f>AJU8+AJG9-(AJN9+AJO9+AJP9+AJQ9+AJR9+AJS9+AJL9)</f>
        <v/>
      </c>
      <c r="AJV9" s="12">
        <f>IF(AJA9&gt;0,AJB9/AJA9,0)</f>
        <v/>
      </c>
      <c r="AJW9" s="11">
        <f>IF(AJA8&gt;0,MAX(0,(AJA8+AIL9-AJA9)/AJA8),0)</f>
        <v/>
      </c>
      <c r="AJY9" s="12" t="n">
        <v>5</v>
      </c>
      <c r="AJZ9" s="12">
        <f>MOD(AJY9-1+LaunchMonth-1,12)+1</f>
        <v/>
      </c>
      <c r="AKA9" s="12">
        <f>INT((AJY9-1+LaunchMonth-1)/12)+1</f>
        <v/>
      </c>
      <c r="AKB9" s="12">
        <f>VLOOKUP(AJZ9,SeasonTable,2,FALSE)</f>
        <v/>
      </c>
      <c r="AKC9" s="12">
        <f>(1+InflationRate)^INT((AJY9-1)/12)</f>
        <v/>
      </c>
      <c r="AKD9" s="11">
        <f>MonthlyChurn*VLOOKUP(AJZ9,ChurnSeasonTable,4,FALSE)</f>
        <v/>
      </c>
      <c r="AKE9" s="12">
        <f>MIN(MktFixed4_6,MAX(0,ALQ8-CashBuffer))</f>
        <v/>
      </c>
      <c r="AKF9" s="12">
        <f>IF(AKE9&gt;0,MAX(1,ROUND(AKE9/'Sens - CAC &amp; Marketing'!$A$10*AKB9,0)),0)</f>
        <v/>
      </c>
      <c r="AKG9" s="12">
        <f>IF(AKF9&gt;0,ROUND(AKF9*ReferralMix/(1-ReferralMix),0),0)</f>
        <v/>
      </c>
      <c r="AKH9" s="12">
        <f>AKF9+AKG9</f>
        <v/>
      </c>
      <c r="AKI9" s="12">
        <f>ROUND(AKH9*(1-AnnualMix),0)</f>
        <v/>
      </c>
      <c r="AKJ9" s="12">
        <f>AKH9-AKI9</f>
        <v/>
      </c>
      <c r="AKK9" s="12">
        <f>ROUND(AKI9*EssentialMix,0)</f>
        <v/>
      </c>
      <c r="AKL9" s="12">
        <f>ROUND(AKI9*PremiumMix,0)</f>
        <v/>
      </c>
      <c r="AKM9" s="12">
        <f>AKI9-AKK9-AKL9</f>
        <v/>
      </c>
      <c r="AKN9" s="12">
        <f>ROUND(AKJ9*EssentialMix,0)</f>
        <v/>
      </c>
      <c r="AKO9" s="12">
        <f>ROUND(AKJ9*PremiumMix,0)</f>
        <v/>
      </c>
      <c r="AKP9" s="12">
        <f>AKJ9-AKN9-AKO9</f>
        <v/>
      </c>
      <c r="AKQ9" s="12">
        <f>AKK9+AKK8+AKK7+MAX(0,AKQ8-AKK8-AKK7)*(1-AKD9)</f>
        <v/>
      </c>
      <c r="AKR9" s="12">
        <f>AKL9+AKL8+AKL7+MAX(0,AKR8-AKL8-AKL7)*(1-AKD9)</f>
        <v/>
      </c>
      <c r="AKS9" s="12">
        <f>AKM9+AKM8+AKM7+MAX(0,AKS8-AKM8-AKM7)*(1-AKD9)</f>
        <v/>
      </c>
      <c r="AKT9" s="12">
        <f>SUM(AKN$5:AKN9)</f>
        <v/>
      </c>
      <c r="AKU9" s="12">
        <f>SUM(AKO$5:AKO9)</f>
        <v/>
      </c>
      <c r="AKV9" s="12">
        <f>SUM(AKP$5:AKP9)</f>
        <v/>
      </c>
      <c r="AKW9" s="12">
        <f>AKQ9+AKR9+AKS9+AKT9+AKU9+AKV9</f>
        <v/>
      </c>
      <c r="AKX9" s="9">
        <f>AKQ9*BlendedPriceEssMonthly*AKC9+AKR9*BlendedPricePremMonthly*AKC9+AKS9*BlendedPriceEliteMonthly*AKC9+AKT9*BlendedPriceEssAnnual*AKC9/12+AKU9*BlendedPricePremAnnual*AKC9/12+AKV9*BlendedPriceEliteAnnual*AKC9/12</f>
        <v/>
      </c>
      <c r="AKY9" s="9">
        <f>AKX9*12</f>
        <v/>
      </c>
      <c r="AKZ9" s="12">
        <f>AKQ9*BlendedPriceEssMonthly*AKC9+AKR9*BlendedPricePremMonthly*AKC9+AKS9*BlendedPriceEliteMonthly*AKC9</f>
        <v/>
      </c>
      <c r="ALA9" s="12">
        <f>AKN9*BlendedPriceEssAnnual*AKC9+AKO9*BlendedPricePremAnnual*AKC9+AKP9*BlendedPriceEliteAnnual*AKC9</f>
        <v/>
      </c>
      <c r="ALB9" s="12">
        <f>0+0+0</f>
        <v/>
      </c>
      <c r="ALC9" s="9">
        <f>AKZ9+ALA9+ALB9</f>
        <v/>
      </c>
      <c r="ALD9" s="12">
        <f>SUM(ALC$5:ALC9)</f>
        <v/>
      </c>
      <c r="ALE9" s="12">
        <f>OR(ALE8,IF(VATAgentMode,SUM($ALC$5:$ALC9)-SUM($ALJ$5:$ALJ9)&gt;=VATThreshold,SUM($ALC$5:$ALC9)&gt;=VATThreshold))</f>
        <v/>
      </c>
      <c r="ALF9" s="9">
        <f>IF(ALE9,IF(VATAgentMode,ALC9-((ALC9-ALJ9)-(ALC9-ALJ9)/(1+VATRate)),ALC9/(1+VATRate)),ALC9)</f>
        <v/>
      </c>
      <c r="ALG9" s="12">
        <f>ALC9-ALF9</f>
        <v/>
      </c>
      <c r="ALH9" s="12">
        <f>IF(ALE9=0,0,IF(AJZ9=1,SUMPRODUCT(--(($AKA$5:$AKA9=$AKA9-1)*($AJZ$5:$AJZ9&gt;=10)*($AJZ$5:$AJZ9&lt;=12)),$ALG$5:$ALG9),IF(AJZ9=4,SUMPRODUCT(--(($AKA$5:$AKA9=$AKA9)*($AJZ$5:$AJZ9&gt;=1)*($AJZ$5:$AJZ9&lt;=3)),$ALG$5:$ALG9),IF(AJZ9=7,SUMPRODUCT(--(($AKA$5:$AKA9=$AKA9)*($AJZ$5:$AJZ9&gt;=4)*($AJZ$5:$AJZ9&lt;=6)),$ALG$5:$ALG9),IF(AJZ9=10,SUMPRODUCT(--(($AKA$5:$AKA9=$AKA9)*($AJZ$5:$AJZ9&gt;=7)*($AJZ$5:$AJZ9&lt;=9)),$ALG$5:$ALG9),0)))))</f>
        <v/>
      </c>
      <c r="ALI9" s="12">
        <f>ALI8+ALG9-ALH9</f>
        <v/>
      </c>
      <c r="ALJ9" s="12">
        <f>IF(ProviderDelay&gt;=1,AKQ8*BlendedProvPayEss+AKR8*BlendedProvPayPrem+AKS8*BlendedProvPayElite+AKT8*BlendedProvPayEss+AKU8*BlendedProvPayPrem+AKV8*BlendedProvPayElite,AKQ9*BlendedProvPayEss+AKR9*BlendedProvPayPrem+AKS9*BlendedProvPayElite+AKT9*BlendedProvPayEss+AKU9*BlendedProvPayPrem+AKV9*BlendedProvPayElite)</f>
        <v/>
      </c>
      <c r="ALK9" s="12">
        <f>ALC9*PaymentFee</f>
        <v/>
      </c>
      <c r="ALL9" s="12">
        <f>AKW9*OpsAI</f>
        <v/>
      </c>
      <c r="ALM9" s="12">
        <f>MonthlyFixed</f>
        <v/>
      </c>
      <c r="ALN9" s="12">
        <f>AKG9*ReferralReward</f>
        <v/>
      </c>
      <c r="ALO9" s="12">
        <f>AKE9</f>
        <v/>
      </c>
      <c r="ALP9" s="9">
        <f>ALF9-ALJ9-ALK9-ALL9-ALM9-ALN9-ALO9</f>
        <v/>
      </c>
      <c r="ALQ9" s="9">
        <f>ALQ8+ALC9-(ALJ9+ALK9+ALL9+ALM9+ALN9+ALO9+ALH9)</f>
        <v/>
      </c>
      <c r="ALR9" s="12">
        <f>IF(AKW9&gt;0,AKX9/AKW9,0)</f>
        <v/>
      </c>
      <c r="ALS9" s="11">
        <f>IF(AKW8&gt;0,MAX(0,(AKW8+AKH9-AKW9)/AKW8),0)</f>
        <v/>
      </c>
      <c r="ALU9" s="12" t="n">
        <v>5</v>
      </c>
      <c r="ALV9" s="12">
        <f>MOD(ALU9-1+LaunchMonth-1,12)+1</f>
        <v/>
      </c>
      <c r="ALW9" s="12">
        <f>INT((ALU9-1+LaunchMonth-1)/12)+1</f>
        <v/>
      </c>
      <c r="ALX9" s="12">
        <f>VLOOKUP(ALV9,SeasonTable,2,FALSE)</f>
        <v/>
      </c>
      <c r="ALY9" s="12">
        <f>(1+InflationRate)^INT((ALU9-1)/12)</f>
        <v/>
      </c>
      <c r="ALZ9" s="11">
        <f>MonthlyChurn*VLOOKUP(ALV9,ChurnSeasonTable,4,FALSE)</f>
        <v/>
      </c>
      <c r="AMA9" s="12">
        <f>MIN(MktFixed4_6,MAX(0,ANM8-CashBuffer))</f>
        <v/>
      </c>
      <c r="AMB9" s="12">
        <f>IF(AMA9&gt;0,MAX(1,ROUND(AMA9/'Sens - CAC &amp; Marketing'!$A$11*ALX9,0)),0)</f>
        <v/>
      </c>
      <c r="AMC9" s="12">
        <f>IF(AMB9&gt;0,ROUND(AMB9*ReferralMix/(1-ReferralMix),0),0)</f>
        <v/>
      </c>
      <c r="AMD9" s="12">
        <f>AMB9+AMC9</f>
        <v/>
      </c>
      <c r="AME9" s="12">
        <f>ROUND(AMD9*(1-AnnualMix),0)</f>
        <v/>
      </c>
      <c r="AMF9" s="12">
        <f>AMD9-AME9</f>
        <v/>
      </c>
      <c r="AMG9" s="12">
        <f>ROUND(AME9*EssentialMix,0)</f>
        <v/>
      </c>
      <c r="AMH9" s="12">
        <f>ROUND(AME9*PremiumMix,0)</f>
        <v/>
      </c>
      <c r="AMI9" s="12">
        <f>AME9-AMG9-AMH9</f>
        <v/>
      </c>
      <c r="AMJ9" s="12">
        <f>ROUND(AMF9*EssentialMix,0)</f>
        <v/>
      </c>
      <c r="AMK9" s="12">
        <f>ROUND(AMF9*PremiumMix,0)</f>
        <v/>
      </c>
      <c r="AML9" s="12">
        <f>AMF9-AMJ9-AMK9</f>
        <v/>
      </c>
      <c r="AMM9" s="12">
        <f>AMG9+AMG8+AMG7+MAX(0,AMM8-AMG8-AMG7)*(1-ALZ9)</f>
        <v/>
      </c>
      <c r="AMN9" s="12">
        <f>AMH9+AMH8+AMH7+MAX(0,AMN8-AMH8-AMH7)*(1-ALZ9)</f>
        <v/>
      </c>
      <c r="AMO9" s="12">
        <f>AMI9+AMI8+AMI7+MAX(0,AMO8-AMI8-AMI7)*(1-ALZ9)</f>
        <v/>
      </c>
      <c r="AMP9" s="12">
        <f>SUM(AMJ$5:AMJ9)</f>
        <v/>
      </c>
      <c r="AMQ9" s="12">
        <f>SUM(AMK$5:AMK9)</f>
        <v/>
      </c>
      <c r="AMR9" s="12">
        <f>SUM(AML$5:AML9)</f>
        <v/>
      </c>
      <c r="AMS9" s="12">
        <f>AMM9+AMN9+AMO9+AMP9+AMQ9+AMR9</f>
        <v/>
      </c>
      <c r="AMT9" s="9">
        <f>AMM9*BlendedPriceEssMonthly*ALY9+AMN9*BlendedPricePremMonthly*ALY9+AMO9*BlendedPriceEliteMonthly*ALY9+AMP9*BlendedPriceEssAnnual*ALY9/12+AMQ9*BlendedPricePremAnnual*ALY9/12+AMR9*BlendedPriceEliteAnnual*ALY9/12</f>
        <v/>
      </c>
      <c r="AMU9" s="9">
        <f>AMT9*12</f>
        <v/>
      </c>
      <c r="AMV9" s="12">
        <f>AMM9*BlendedPriceEssMonthly*ALY9+AMN9*BlendedPricePremMonthly*ALY9+AMO9*BlendedPriceEliteMonthly*ALY9</f>
        <v/>
      </c>
      <c r="AMW9" s="12">
        <f>AMJ9*BlendedPriceEssAnnual*ALY9+AMK9*BlendedPricePremAnnual*ALY9+AML9*BlendedPriceEliteAnnual*ALY9</f>
        <v/>
      </c>
      <c r="AMX9" s="12">
        <f>0+0+0</f>
        <v/>
      </c>
      <c r="AMY9" s="9">
        <f>AMV9+AMW9+AMX9</f>
        <v/>
      </c>
      <c r="AMZ9" s="12">
        <f>SUM(AMY$5:AMY9)</f>
        <v/>
      </c>
      <c r="ANA9" s="12">
        <f>OR(ANA8,IF(VATAgentMode,SUM($AMY$5:$AMY9)-SUM($ANF$5:$ANF9)&gt;=VATThreshold,SUM($AMY$5:$AMY9)&gt;=VATThreshold))</f>
        <v/>
      </c>
      <c r="ANB9" s="9">
        <f>IF(ANA9,IF(VATAgentMode,AMY9-((AMY9-ANF9)-(AMY9-ANF9)/(1+VATRate)),AMY9/(1+VATRate)),AMY9)</f>
        <v/>
      </c>
      <c r="ANC9" s="12">
        <f>AMY9-ANB9</f>
        <v/>
      </c>
      <c r="AND9" s="12">
        <f>IF(ANA9=0,0,IF(ALV9=1,SUMPRODUCT(--(($ALW$5:$ALW9=$ALW9-1)*($ALV$5:$ALV9&gt;=10)*($ALV$5:$ALV9&lt;=12)),$ANC$5:$ANC9),IF(ALV9=4,SUMPRODUCT(--(($ALW$5:$ALW9=$ALW9)*($ALV$5:$ALV9&gt;=1)*($ALV$5:$ALV9&lt;=3)),$ANC$5:$ANC9),IF(ALV9=7,SUMPRODUCT(--(($ALW$5:$ALW9=$ALW9)*($ALV$5:$ALV9&gt;=4)*($ALV$5:$ALV9&lt;=6)),$ANC$5:$ANC9),IF(ALV9=10,SUMPRODUCT(--(($ALW$5:$ALW9=$ALW9)*($ALV$5:$ALV9&gt;=7)*($ALV$5:$ALV9&lt;=9)),$ANC$5:$ANC9),0)))))</f>
        <v/>
      </c>
      <c r="ANE9" s="12">
        <f>ANE8+ANC9-AND9</f>
        <v/>
      </c>
      <c r="ANF9" s="12">
        <f>IF(ProviderDelay&gt;=1,AMM8*BlendedProvPayEss+AMN8*BlendedProvPayPrem+AMO8*BlendedProvPayElite+AMP8*BlendedProvPayEss+AMQ8*BlendedProvPayPrem+AMR8*BlendedProvPayElite,AMM9*BlendedProvPayEss+AMN9*BlendedProvPayPrem+AMO9*BlendedProvPayElite+AMP9*BlendedProvPayEss+AMQ9*BlendedProvPayPrem+AMR9*BlendedProvPayElite)</f>
        <v/>
      </c>
      <c r="ANG9" s="12">
        <f>AMY9*PaymentFee</f>
        <v/>
      </c>
      <c r="ANH9" s="12">
        <f>AMS9*OpsAI</f>
        <v/>
      </c>
      <c r="ANI9" s="12">
        <f>MonthlyFixed</f>
        <v/>
      </c>
      <c r="ANJ9" s="12">
        <f>AMC9*ReferralReward</f>
        <v/>
      </c>
      <c r="ANK9" s="12">
        <f>AMA9</f>
        <v/>
      </c>
      <c r="ANL9" s="9">
        <f>ANB9-ANF9-ANG9-ANH9-ANI9-ANJ9-ANK9</f>
        <v/>
      </c>
      <c r="ANM9" s="9">
        <f>ANM8+AMY9-(ANF9+ANG9+ANH9+ANI9+ANJ9+ANK9+AND9)</f>
        <v/>
      </c>
      <c r="ANN9" s="12">
        <f>IF(AMS9&gt;0,AMT9/AMS9,0)</f>
        <v/>
      </c>
      <c r="ANO9" s="11">
        <f>IF(AMS8&gt;0,MAX(0,(AMS8+AMD9-AMS9)/AMS8),0)</f>
        <v/>
      </c>
      <c r="ANQ9" s="12" t="n">
        <v>5</v>
      </c>
      <c r="ANR9" s="12">
        <f>MOD(ANQ9-1+LaunchMonth-1,12)+1</f>
        <v/>
      </c>
      <c r="ANS9" s="12">
        <f>INT((ANQ9-1+LaunchMonth-1)/12)+1</f>
        <v/>
      </c>
      <c r="ANT9" s="12">
        <f>VLOOKUP(ANR9,SeasonTable,2,FALSE)</f>
        <v/>
      </c>
      <c r="ANU9" s="12">
        <f>(1+InflationRate)^INT((ANQ9-1)/12)</f>
        <v/>
      </c>
      <c r="ANV9" s="11">
        <f>MonthlyChurn*VLOOKUP(ANR9,ChurnSeasonTable,4,FALSE)</f>
        <v/>
      </c>
      <c r="ANW9" s="12">
        <f>MIN(MktFixed4_6,MAX(0,API8-CashBuffer))</f>
        <v/>
      </c>
      <c r="ANX9" s="12">
        <f>IF(ANW9&gt;0,MAX(1,ROUND(ANW9/'Sens - CAC &amp; Marketing'!$A$12*ANT9,0)),0)</f>
        <v/>
      </c>
      <c r="ANY9" s="12">
        <f>IF(ANX9&gt;0,ROUND(ANX9*ReferralMix/(1-ReferralMix),0),0)</f>
        <v/>
      </c>
      <c r="ANZ9" s="12">
        <f>ANX9+ANY9</f>
        <v/>
      </c>
      <c r="AOA9" s="12">
        <f>ROUND(ANZ9*(1-AnnualMix),0)</f>
        <v/>
      </c>
      <c r="AOB9" s="12">
        <f>ANZ9-AOA9</f>
        <v/>
      </c>
      <c r="AOC9" s="12">
        <f>ROUND(AOA9*EssentialMix,0)</f>
        <v/>
      </c>
      <c r="AOD9" s="12">
        <f>ROUND(AOA9*PremiumMix,0)</f>
        <v/>
      </c>
      <c r="AOE9" s="12">
        <f>AOA9-AOC9-AOD9</f>
        <v/>
      </c>
      <c r="AOF9" s="12">
        <f>ROUND(AOB9*EssentialMix,0)</f>
        <v/>
      </c>
      <c r="AOG9" s="12">
        <f>ROUND(AOB9*PremiumMix,0)</f>
        <v/>
      </c>
      <c r="AOH9" s="12">
        <f>AOB9-AOF9-AOG9</f>
        <v/>
      </c>
      <c r="AOI9" s="12">
        <f>AOC9+AOC8+AOC7+MAX(0,AOI8-AOC8-AOC7)*(1-ANV9)</f>
        <v/>
      </c>
      <c r="AOJ9" s="12">
        <f>AOD9+AOD8+AOD7+MAX(0,AOJ8-AOD8-AOD7)*(1-ANV9)</f>
        <v/>
      </c>
      <c r="AOK9" s="12">
        <f>AOE9+AOE8+AOE7+MAX(0,AOK8-AOE8-AOE7)*(1-ANV9)</f>
        <v/>
      </c>
      <c r="AOL9" s="12">
        <f>SUM(AOF$5:AOF9)</f>
        <v/>
      </c>
      <c r="AOM9" s="12">
        <f>SUM(AOG$5:AOG9)</f>
        <v/>
      </c>
      <c r="AON9" s="12">
        <f>SUM(AOH$5:AOH9)</f>
        <v/>
      </c>
      <c r="AOO9" s="12">
        <f>AOI9+AOJ9+AOK9+AOL9+AOM9+AON9</f>
        <v/>
      </c>
      <c r="AOP9" s="9">
        <f>AOI9*BlendedPriceEssMonthly*ANU9+AOJ9*BlendedPricePremMonthly*ANU9+AOK9*BlendedPriceEliteMonthly*ANU9+AOL9*BlendedPriceEssAnnual*ANU9/12+AOM9*BlendedPricePremAnnual*ANU9/12+AON9*BlendedPriceEliteAnnual*ANU9/12</f>
        <v/>
      </c>
      <c r="AOQ9" s="9">
        <f>AOP9*12</f>
        <v/>
      </c>
      <c r="AOR9" s="12">
        <f>AOI9*BlendedPriceEssMonthly*ANU9+AOJ9*BlendedPricePremMonthly*ANU9+AOK9*BlendedPriceEliteMonthly*ANU9</f>
        <v/>
      </c>
      <c r="AOS9" s="12">
        <f>AOF9*BlendedPriceEssAnnual*ANU9+AOG9*BlendedPricePremAnnual*ANU9+AOH9*BlendedPriceEliteAnnual*ANU9</f>
        <v/>
      </c>
      <c r="AOT9" s="12">
        <f>0+0+0</f>
        <v/>
      </c>
      <c r="AOU9" s="9">
        <f>AOR9+AOS9+AOT9</f>
        <v/>
      </c>
      <c r="AOV9" s="12">
        <f>SUM(AOU$5:AOU9)</f>
        <v/>
      </c>
      <c r="AOW9" s="12">
        <f>OR(AOW8,IF(VATAgentMode,SUM($AOU$5:$AOU9)-SUM($APB$5:$APB9)&gt;=VATThreshold,SUM($AOU$5:$AOU9)&gt;=VATThreshold))</f>
        <v/>
      </c>
      <c r="AOX9" s="9">
        <f>IF(AOW9,IF(VATAgentMode,AOU9-((AOU9-APB9)-(AOU9-APB9)/(1+VATRate)),AOU9/(1+VATRate)),AOU9)</f>
        <v/>
      </c>
      <c r="AOY9" s="12">
        <f>AOU9-AOX9</f>
        <v/>
      </c>
      <c r="AOZ9" s="12">
        <f>IF(AOW9=0,0,IF(ANR9=1,SUMPRODUCT(--(($ANS$5:$ANS9=$ANS9-1)*($ANR$5:$ANR9&gt;=10)*($ANR$5:$ANR9&lt;=12)),$AOY$5:$AOY9),IF(ANR9=4,SUMPRODUCT(--(($ANS$5:$ANS9=$ANS9)*($ANR$5:$ANR9&gt;=1)*($ANR$5:$ANR9&lt;=3)),$AOY$5:$AOY9),IF(ANR9=7,SUMPRODUCT(--(($ANS$5:$ANS9=$ANS9)*($ANR$5:$ANR9&gt;=4)*($ANR$5:$ANR9&lt;=6)),$AOY$5:$AOY9),IF(ANR9=10,SUMPRODUCT(--(($ANS$5:$ANS9=$ANS9)*($ANR$5:$ANR9&gt;=7)*($ANR$5:$ANR9&lt;=9)),$AOY$5:$AOY9),0)))))</f>
        <v/>
      </c>
      <c r="APA9" s="12">
        <f>APA8+AOY9-AOZ9</f>
        <v/>
      </c>
      <c r="APB9" s="12">
        <f>IF(ProviderDelay&gt;=1,AOI8*BlendedProvPayEss+AOJ8*BlendedProvPayPrem+AOK8*BlendedProvPayElite+AOL8*BlendedProvPayEss+AOM8*BlendedProvPayPrem+AON8*BlendedProvPayElite,AOI9*BlendedProvPayEss+AOJ9*BlendedProvPayPrem+AOK9*BlendedProvPayElite+AOL9*BlendedProvPayEss+AOM9*BlendedProvPayPrem+AON9*BlendedProvPayElite)</f>
        <v/>
      </c>
      <c r="APC9" s="12">
        <f>AOU9*PaymentFee</f>
        <v/>
      </c>
      <c r="APD9" s="12">
        <f>AOO9*OpsAI</f>
        <v/>
      </c>
      <c r="APE9" s="12">
        <f>MonthlyFixed</f>
        <v/>
      </c>
      <c r="APF9" s="12">
        <f>ANY9*ReferralReward</f>
        <v/>
      </c>
      <c r="APG9" s="12">
        <f>ANW9</f>
        <v/>
      </c>
      <c r="APH9" s="9">
        <f>AOX9-APB9-APC9-APD9-APE9-APF9-APG9</f>
        <v/>
      </c>
      <c r="API9" s="9">
        <f>API8+AOU9-(APB9+APC9+APD9+APE9+APF9+APG9+AOZ9)</f>
        <v/>
      </c>
      <c r="APJ9" s="12">
        <f>IF(AOO9&gt;0,AOP9/AOO9,0)</f>
        <v/>
      </c>
      <c r="APK9" s="11">
        <f>IF(AOO8&gt;0,MAX(0,(AOO8+ANZ9-AOO9)/AOO8),0)</f>
        <v/>
      </c>
      <c r="APM9" s="12" t="n">
        <v>5</v>
      </c>
      <c r="APN9" s="12">
        <f>MOD(APM9-1+LaunchMonth-1,12)+1</f>
        <v/>
      </c>
      <c r="APO9" s="12">
        <f>INT((APM9-1+LaunchMonth-1)/12)+1</f>
        <v/>
      </c>
      <c r="APP9" s="12">
        <f>VLOOKUP(APN9,SeasonTable,2,FALSE)</f>
        <v/>
      </c>
      <c r="APQ9" s="12">
        <f>(1+InflationRate)^INT((APM9-1)/12)</f>
        <v/>
      </c>
      <c r="APR9" s="11">
        <f>MonthlyChurn*VLOOKUP(APN9,ChurnSeasonTable,4,FALSE)</f>
        <v/>
      </c>
      <c r="APS9" s="12">
        <f>MIN(MktFixed4_6,MAX(0,ARE8-CashBuffer))</f>
        <v/>
      </c>
      <c r="APT9" s="12">
        <f>IF(APS9&gt;0,MAX(1,ROUND(APS9/'Sens - CAC &amp; Marketing'!$A$13*APP9,0)),0)</f>
        <v/>
      </c>
      <c r="APU9" s="12">
        <f>IF(APT9&gt;0,ROUND(APT9*ReferralMix/(1-ReferralMix),0),0)</f>
        <v/>
      </c>
      <c r="APV9" s="12">
        <f>APT9+APU9</f>
        <v/>
      </c>
      <c r="APW9" s="12">
        <f>ROUND(APV9*(1-AnnualMix),0)</f>
        <v/>
      </c>
      <c r="APX9" s="12">
        <f>APV9-APW9</f>
        <v/>
      </c>
      <c r="APY9" s="12">
        <f>ROUND(APW9*EssentialMix,0)</f>
        <v/>
      </c>
      <c r="APZ9" s="12">
        <f>ROUND(APW9*PremiumMix,0)</f>
        <v/>
      </c>
      <c r="AQA9" s="12">
        <f>APW9-APY9-APZ9</f>
        <v/>
      </c>
      <c r="AQB9" s="12">
        <f>ROUND(APX9*EssentialMix,0)</f>
        <v/>
      </c>
      <c r="AQC9" s="12">
        <f>ROUND(APX9*PremiumMix,0)</f>
        <v/>
      </c>
      <c r="AQD9" s="12">
        <f>APX9-AQB9-AQC9</f>
        <v/>
      </c>
      <c r="AQE9" s="12">
        <f>APY9+APY8+APY7+MAX(0,AQE8-APY8-APY7)*(1-APR9)</f>
        <v/>
      </c>
      <c r="AQF9" s="12">
        <f>APZ9+APZ8+APZ7+MAX(0,AQF8-APZ8-APZ7)*(1-APR9)</f>
        <v/>
      </c>
      <c r="AQG9" s="12">
        <f>AQA9+AQA8+AQA7+MAX(0,AQG8-AQA8-AQA7)*(1-APR9)</f>
        <v/>
      </c>
      <c r="AQH9" s="12">
        <f>SUM(AQB$5:AQB9)</f>
        <v/>
      </c>
      <c r="AQI9" s="12">
        <f>SUM(AQC$5:AQC9)</f>
        <v/>
      </c>
      <c r="AQJ9" s="12">
        <f>SUM(AQD$5:AQD9)</f>
        <v/>
      </c>
      <c r="AQK9" s="12">
        <f>AQE9+AQF9+AQG9+AQH9+AQI9+AQJ9</f>
        <v/>
      </c>
      <c r="AQL9" s="9">
        <f>AQE9*BlendedPriceEssMonthly*APQ9+AQF9*BlendedPricePremMonthly*APQ9+AQG9*BlendedPriceEliteMonthly*APQ9+AQH9*BlendedPriceEssAnnual*APQ9/12+AQI9*BlendedPricePremAnnual*APQ9/12+AQJ9*BlendedPriceEliteAnnual*APQ9/12</f>
        <v/>
      </c>
      <c r="AQM9" s="9">
        <f>AQL9*12</f>
        <v/>
      </c>
      <c r="AQN9" s="12">
        <f>AQE9*BlendedPriceEssMonthly*APQ9+AQF9*BlendedPricePremMonthly*APQ9+AQG9*BlendedPriceEliteMonthly*APQ9</f>
        <v/>
      </c>
      <c r="AQO9" s="12">
        <f>AQB9*BlendedPriceEssAnnual*APQ9+AQC9*BlendedPricePremAnnual*APQ9+AQD9*BlendedPriceEliteAnnual*APQ9</f>
        <v/>
      </c>
      <c r="AQP9" s="12">
        <f>0+0+0</f>
        <v/>
      </c>
      <c r="AQQ9" s="9">
        <f>AQN9+AQO9+AQP9</f>
        <v/>
      </c>
      <c r="AQR9" s="12">
        <f>SUM(AQQ$5:AQQ9)</f>
        <v/>
      </c>
      <c r="AQS9" s="12">
        <f>OR(AQS8,IF(VATAgentMode,SUM($AQQ$5:$AQQ9)-SUM($AQX$5:$AQX9)&gt;=VATThreshold,SUM($AQQ$5:$AQQ9)&gt;=VATThreshold))</f>
        <v/>
      </c>
      <c r="AQT9" s="9">
        <f>IF(AQS9,IF(VATAgentMode,AQQ9-((AQQ9-AQX9)-(AQQ9-AQX9)/(1+VATRate)),AQQ9/(1+VATRate)),AQQ9)</f>
        <v/>
      </c>
      <c r="AQU9" s="12">
        <f>AQQ9-AQT9</f>
        <v/>
      </c>
      <c r="AQV9" s="12">
        <f>IF(AQS9=0,0,IF(APN9=1,SUMPRODUCT(--(($APO$5:$APO9=$APO9-1)*($APN$5:$APN9&gt;=10)*($APN$5:$APN9&lt;=12)),$AQU$5:$AQU9),IF(APN9=4,SUMPRODUCT(--(($APO$5:$APO9=$APO9)*($APN$5:$APN9&gt;=1)*($APN$5:$APN9&lt;=3)),$AQU$5:$AQU9),IF(APN9=7,SUMPRODUCT(--(($APO$5:$APO9=$APO9)*($APN$5:$APN9&gt;=4)*($APN$5:$APN9&lt;=6)),$AQU$5:$AQU9),IF(APN9=10,SUMPRODUCT(--(($APO$5:$APO9=$APO9)*($APN$5:$APN9&gt;=7)*($APN$5:$APN9&lt;=9)),$AQU$5:$AQU9),0)))))</f>
        <v/>
      </c>
      <c r="AQW9" s="12">
        <f>AQW8+AQU9-AQV9</f>
        <v/>
      </c>
      <c r="AQX9" s="12">
        <f>IF(ProviderDelay&gt;=1,AQE8*BlendedProvPayEss+AQF8*BlendedProvPayPrem+AQG8*BlendedProvPayElite+AQH8*BlendedProvPayEss+AQI8*BlendedProvPayPrem+AQJ8*BlendedProvPayElite,AQE9*BlendedProvPayEss+AQF9*BlendedProvPayPrem+AQG9*BlendedProvPayElite+AQH9*BlendedProvPayEss+AQI9*BlendedProvPayPrem+AQJ9*BlendedProvPayElite)</f>
        <v/>
      </c>
      <c r="AQY9" s="12">
        <f>AQQ9*PaymentFee</f>
        <v/>
      </c>
      <c r="AQZ9" s="12">
        <f>AQK9*OpsAI</f>
        <v/>
      </c>
      <c r="ARA9" s="12">
        <f>MonthlyFixed</f>
        <v/>
      </c>
      <c r="ARB9" s="12">
        <f>APU9*ReferralReward</f>
        <v/>
      </c>
      <c r="ARC9" s="12">
        <f>APS9</f>
        <v/>
      </c>
      <c r="ARD9" s="9">
        <f>AQT9-AQX9-AQY9-AQZ9-ARA9-ARB9-ARC9</f>
        <v/>
      </c>
      <c r="ARE9" s="9">
        <f>ARE8+AQQ9-(AQX9+AQY9+AQZ9+ARA9+ARB9+ARC9+AQV9)</f>
        <v/>
      </c>
      <c r="ARF9" s="12">
        <f>IF(AQK9&gt;0,AQL9/AQK9,0)</f>
        <v/>
      </c>
      <c r="ARG9" s="11">
        <f>IF(AQK8&gt;0,MAX(0,(AQK8+APV9-AQK9)/AQK8),0)</f>
        <v/>
      </c>
      <c r="ARI9" s="12" t="n">
        <v>5</v>
      </c>
      <c r="ARJ9" s="12">
        <f>MOD(ARI9-1+LaunchMonth-1,12)+1</f>
        <v/>
      </c>
      <c r="ARK9" s="12">
        <f>INT((ARI9-1+LaunchMonth-1)/12)+1</f>
        <v/>
      </c>
      <c r="ARL9" s="12">
        <f>VLOOKUP(ARJ9,SeasonTable,2,FALSE)</f>
        <v/>
      </c>
      <c r="ARM9" s="12">
        <f>(1+InflationRate)^INT((ARI9-1)/12)</f>
        <v/>
      </c>
      <c r="ARN9" s="11">
        <f>MonthlyChurn*VLOOKUP(ARJ9,ChurnSeasonTable,4,FALSE)</f>
        <v/>
      </c>
      <c r="ARO9" s="12">
        <f>MIN(MktFixed4_6,MAX(0,ATA8-CashBuffer))</f>
        <v/>
      </c>
      <c r="ARP9" s="12">
        <f>IF(ARO9&gt;0,MAX(1,ROUND(ARO9/'Sens - CAC &amp; Marketing'!$A$14*ARL9,0)),0)</f>
        <v/>
      </c>
      <c r="ARQ9" s="12">
        <f>IF(ARP9&gt;0,ROUND(ARP9*ReferralMix/(1-ReferralMix),0),0)</f>
        <v/>
      </c>
      <c r="ARR9" s="12">
        <f>ARP9+ARQ9</f>
        <v/>
      </c>
      <c r="ARS9" s="12">
        <f>ROUND(ARR9*(1-AnnualMix),0)</f>
        <v/>
      </c>
      <c r="ART9" s="12">
        <f>ARR9-ARS9</f>
        <v/>
      </c>
      <c r="ARU9" s="12">
        <f>ROUND(ARS9*EssentialMix,0)</f>
        <v/>
      </c>
      <c r="ARV9" s="12">
        <f>ROUND(ARS9*PremiumMix,0)</f>
        <v/>
      </c>
      <c r="ARW9" s="12">
        <f>ARS9-ARU9-ARV9</f>
        <v/>
      </c>
      <c r="ARX9" s="12">
        <f>ROUND(ART9*EssentialMix,0)</f>
        <v/>
      </c>
      <c r="ARY9" s="12">
        <f>ROUND(ART9*PremiumMix,0)</f>
        <v/>
      </c>
      <c r="ARZ9" s="12">
        <f>ART9-ARX9-ARY9</f>
        <v/>
      </c>
      <c r="ASA9" s="12">
        <f>ARU9+ARU8+ARU7+MAX(0,ASA8-ARU8-ARU7)*(1-ARN9)</f>
        <v/>
      </c>
      <c r="ASB9" s="12">
        <f>ARV9+ARV8+ARV7+MAX(0,ASB8-ARV8-ARV7)*(1-ARN9)</f>
        <v/>
      </c>
      <c r="ASC9" s="12">
        <f>ARW9+ARW8+ARW7+MAX(0,ASC8-ARW8-ARW7)*(1-ARN9)</f>
        <v/>
      </c>
      <c r="ASD9" s="12">
        <f>SUM(ARX$5:ARX9)</f>
        <v/>
      </c>
      <c r="ASE9" s="12">
        <f>SUM(ARY$5:ARY9)</f>
        <v/>
      </c>
      <c r="ASF9" s="12">
        <f>SUM(ARZ$5:ARZ9)</f>
        <v/>
      </c>
      <c r="ASG9" s="12">
        <f>ASA9+ASB9+ASC9+ASD9+ASE9+ASF9</f>
        <v/>
      </c>
      <c r="ASH9" s="9">
        <f>ASA9*BlendedPriceEssMonthly*ARM9+ASB9*BlendedPricePremMonthly*ARM9+ASC9*BlendedPriceEliteMonthly*ARM9+ASD9*BlendedPriceEssAnnual*ARM9/12+ASE9*BlendedPricePremAnnual*ARM9/12+ASF9*BlendedPriceEliteAnnual*ARM9/12</f>
        <v/>
      </c>
      <c r="ASI9" s="9">
        <f>ASH9*12</f>
        <v/>
      </c>
      <c r="ASJ9" s="12">
        <f>ASA9*BlendedPriceEssMonthly*ARM9+ASB9*BlendedPricePremMonthly*ARM9+ASC9*BlendedPriceEliteMonthly*ARM9</f>
        <v/>
      </c>
      <c r="ASK9" s="12">
        <f>ARX9*BlendedPriceEssAnnual*ARM9+ARY9*BlendedPricePremAnnual*ARM9+ARZ9*BlendedPriceEliteAnnual*ARM9</f>
        <v/>
      </c>
      <c r="ASL9" s="12">
        <f>0+0+0</f>
        <v/>
      </c>
      <c r="ASM9" s="9">
        <f>ASJ9+ASK9+ASL9</f>
        <v/>
      </c>
      <c r="ASN9" s="12">
        <f>SUM(ASM$5:ASM9)</f>
        <v/>
      </c>
      <c r="ASO9" s="12">
        <f>OR(ASO8,IF(VATAgentMode,SUM($ASM$5:$ASM9)-SUM($AST$5:$AST9)&gt;=VATThreshold,SUM($ASM$5:$ASM9)&gt;=VATThreshold))</f>
        <v/>
      </c>
      <c r="ASP9" s="9">
        <f>IF(ASO9,IF(VATAgentMode,ASM9-((ASM9-AST9)-(ASM9-AST9)/(1+VATRate)),ASM9/(1+VATRate)),ASM9)</f>
        <v/>
      </c>
      <c r="ASQ9" s="12">
        <f>ASM9-ASP9</f>
        <v/>
      </c>
      <c r="ASR9" s="12">
        <f>IF(ASO9=0,0,IF(ARJ9=1,SUMPRODUCT(--(($ARK$5:$ARK9=$ARK9-1)*($ARJ$5:$ARJ9&gt;=10)*($ARJ$5:$ARJ9&lt;=12)),$ASQ$5:$ASQ9),IF(ARJ9=4,SUMPRODUCT(--(($ARK$5:$ARK9=$ARK9)*($ARJ$5:$ARJ9&gt;=1)*($ARJ$5:$ARJ9&lt;=3)),$ASQ$5:$ASQ9),IF(ARJ9=7,SUMPRODUCT(--(($ARK$5:$ARK9=$ARK9)*($ARJ$5:$ARJ9&gt;=4)*($ARJ$5:$ARJ9&lt;=6)),$ASQ$5:$ASQ9),IF(ARJ9=10,SUMPRODUCT(--(($ARK$5:$ARK9=$ARK9)*($ARJ$5:$ARJ9&gt;=7)*($ARJ$5:$ARJ9&lt;=9)),$ASQ$5:$ASQ9),0)))))</f>
        <v/>
      </c>
      <c r="ASS9" s="12">
        <f>ASS8+ASQ9-ASR9</f>
        <v/>
      </c>
      <c r="AST9" s="12">
        <f>IF(ProviderDelay&gt;=1,ASA8*BlendedProvPayEss+ASB8*BlendedProvPayPrem+ASC8*BlendedProvPayElite+ASD8*BlendedProvPayEss+ASE8*BlendedProvPayPrem+ASF8*BlendedProvPayElite,ASA9*BlendedProvPayEss+ASB9*BlendedProvPayPrem+ASC9*BlendedProvPayElite+ASD9*BlendedProvPayEss+ASE9*BlendedProvPayPrem+ASF9*BlendedProvPayElite)</f>
        <v/>
      </c>
      <c r="ASU9" s="12">
        <f>ASM9*PaymentFee</f>
        <v/>
      </c>
      <c r="ASV9" s="12">
        <f>ASG9*OpsAI</f>
        <v/>
      </c>
      <c r="ASW9" s="12">
        <f>MonthlyFixed</f>
        <v/>
      </c>
      <c r="ASX9" s="12">
        <f>ARQ9*ReferralReward</f>
        <v/>
      </c>
      <c r="ASY9" s="12">
        <f>ARO9</f>
        <v/>
      </c>
      <c r="ASZ9" s="9">
        <f>ASP9-AST9-ASU9-ASV9-ASW9-ASX9-ASY9</f>
        <v/>
      </c>
      <c r="ATA9" s="9">
        <f>ATA8+ASM9-(AST9+ASU9+ASV9+ASW9+ASX9+ASY9+ASR9)</f>
        <v/>
      </c>
      <c r="ATB9" s="12">
        <f>IF(ASG9&gt;0,ASH9/ASG9,0)</f>
        <v/>
      </c>
      <c r="ATC9" s="11">
        <f>IF(ASG8&gt;0,MAX(0,(ASG8+ARR9-ASG9)/ASG8),0)</f>
        <v/>
      </c>
      <c r="ATE9" s="12" t="n">
        <v>5</v>
      </c>
      <c r="ATF9" s="12">
        <f>MOD(ATE9-1+LaunchMonth-1,12)+1</f>
        <v/>
      </c>
      <c r="ATG9" s="12">
        <f>INT((ATE9-1+LaunchMonth-1)/12)+1</f>
        <v/>
      </c>
      <c r="ATH9" s="12">
        <f>VLOOKUP(ATF9,SeasonTable,2,FALSE)</f>
        <v/>
      </c>
      <c r="ATI9" s="12">
        <f>(1+InflationRate)^INT((ATE9-1)/12)</f>
        <v/>
      </c>
      <c r="ATJ9" s="11">
        <f>MonthlyChurn*VLOOKUP(ATF9,ChurnSeasonTable,4,FALSE)</f>
        <v/>
      </c>
      <c r="ATK9" s="12">
        <f>MIN(MktFixed4_6,MAX(0,AUW8-CashBuffer))</f>
        <v/>
      </c>
      <c r="ATL9" s="12">
        <f>IF(ATK9&gt;0,MAX(1,ROUND(ATK9/'Sens - CAC &amp; Marketing'!$A$15*ATH9,0)),0)</f>
        <v/>
      </c>
      <c r="ATM9" s="12">
        <f>IF(ATL9&gt;0,ROUND(ATL9*ReferralMix/(1-ReferralMix),0),0)</f>
        <v/>
      </c>
      <c r="ATN9" s="12">
        <f>ATL9+ATM9</f>
        <v/>
      </c>
      <c r="ATO9" s="12">
        <f>ROUND(ATN9*(1-AnnualMix),0)</f>
        <v/>
      </c>
      <c r="ATP9" s="12">
        <f>ATN9-ATO9</f>
        <v/>
      </c>
      <c r="ATQ9" s="12">
        <f>ROUND(ATO9*EssentialMix,0)</f>
        <v/>
      </c>
      <c r="ATR9" s="12">
        <f>ROUND(ATO9*PremiumMix,0)</f>
        <v/>
      </c>
      <c r="ATS9" s="12">
        <f>ATO9-ATQ9-ATR9</f>
        <v/>
      </c>
      <c r="ATT9" s="12">
        <f>ROUND(ATP9*EssentialMix,0)</f>
        <v/>
      </c>
      <c r="ATU9" s="12">
        <f>ROUND(ATP9*PremiumMix,0)</f>
        <v/>
      </c>
      <c r="ATV9" s="12">
        <f>ATP9-ATT9-ATU9</f>
        <v/>
      </c>
      <c r="ATW9" s="12">
        <f>ATQ9+ATQ8+ATQ7+MAX(0,ATW8-ATQ8-ATQ7)*(1-ATJ9)</f>
        <v/>
      </c>
      <c r="ATX9" s="12">
        <f>ATR9+ATR8+ATR7+MAX(0,ATX8-ATR8-ATR7)*(1-ATJ9)</f>
        <v/>
      </c>
      <c r="ATY9" s="12">
        <f>ATS9+ATS8+ATS7+MAX(0,ATY8-ATS8-ATS7)*(1-ATJ9)</f>
        <v/>
      </c>
      <c r="ATZ9" s="12">
        <f>SUM(ATT$5:ATT9)</f>
        <v/>
      </c>
      <c r="AUA9" s="12">
        <f>SUM(ATU$5:ATU9)</f>
        <v/>
      </c>
      <c r="AUB9" s="12">
        <f>SUM(ATV$5:ATV9)</f>
        <v/>
      </c>
      <c r="AUC9" s="12">
        <f>ATW9+ATX9+ATY9+ATZ9+AUA9+AUB9</f>
        <v/>
      </c>
      <c r="AUD9" s="9">
        <f>ATW9*BlendedPriceEssMonthly*ATI9+ATX9*BlendedPricePremMonthly*ATI9+ATY9*BlendedPriceEliteMonthly*ATI9+ATZ9*BlendedPriceEssAnnual*ATI9/12+AUA9*BlendedPricePremAnnual*ATI9/12+AUB9*BlendedPriceEliteAnnual*ATI9/12</f>
        <v/>
      </c>
      <c r="AUE9" s="9">
        <f>AUD9*12</f>
        <v/>
      </c>
      <c r="AUF9" s="12">
        <f>ATW9*BlendedPriceEssMonthly*ATI9+ATX9*BlendedPricePremMonthly*ATI9+ATY9*BlendedPriceEliteMonthly*ATI9</f>
        <v/>
      </c>
      <c r="AUG9" s="12">
        <f>ATT9*BlendedPriceEssAnnual*ATI9+ATU9*BlendedPricePremAnnual*ATI9+ATV9*BlendedPriceEliteAnnual*ATI9</f>
        <v/>
      </c>
      <c r="AUH9" s="12">
        <f>0+0+0</f>
        <v/>
      </c>
      <c r="AUI9" s="9">
        <f>AUF9+AUG9+AUH9</f>
        <v/>
      </c>
      <c r="AUJ9" s="12">
        <f>SUM(AUI$5:AUI9)</f>
        <v/>
      </c>
      <c r="AUK9" s="12">
        <f>OR(AUK8,IF(VATAgentMode,SUM($AUI$5:$AUI9)-SUM($AUP$5:$AUP9)&gt;=VATThreshold,SUM($AUI$5:$AUI9)&gt;=VATThreshold))</f>
        <v/>
      </c>
      <c r="AUL9" s="9">
        <f>IF(AUK9,IF(VATAgentMode,AUI9-((AUI9-AUP9)-(AUI9-AUP9)/(1+VATRate)),AUI9/(1+VATRate)),AUI9)</f>
        <v/>
      </c>
      <c r="AUM9" s="12">
        <f>AUI9-AUL9</f>
        <v/>
      </c>
      <c r="AUN9" s="12">
        <f>IF(AUK9=0,0,IF(ATF9=1,SUMPRODUCT(--(($ATG$5:$ATG9=$ATG9-1)*($ATF$5:$ATF9&gt;=10)*($ATF$5:$ATF9&lt;=12)),$AUM$5:$AUM9),IF(ATF9=4,SUMPRODUCT(--(($ATG$5:$ATG9=$ATG9)*($ATF$5:$ATF9&gt;=1)*($ATF$5:$ATF9&lt;=3)),$AUM$5:$AUM9),IF(ATF9=7,SUMPRODUCT(--(($ATG$5:$ATG9=$ATG9)*($ATF$5:$ATF9&gt;=4)*($ATF$5:$ATF9&lt;=6)),$AUM$5:$AUM9),IF(ATF9=10,SUMPRODUCT(--(($ATG$5:$ATG9=$ATG9)*($ATF$5:$ATF9&gt;=7)*($ATF$5:$ATF9&lt;=9)),$AUM$5:$AUM9),0)))))</f>
        <v/>
      </c>
      <c r="AUO9" s="12">
        <f>AUO8+AUM9-AUN9</f>
        <v/>
      </c>
      <c r="AUP9" s="12">
        <f>IF(ProviderDelay&gt;=1,ATW8*BlendedProvPayEss+ATX8*BlendedProvPayPrem+ATY8*BlendedProvPayElite+ATZ8*BlendedProvPayEss+AUA8*BlendedProvPayPrem+AUB8*BlendedProvPayElite,ATW9*BlendedProvPayEss+ATX9*BlendedProvPayPrem+ATY9*BlendedProvPayElite+ATZ9*BlendedProvPayEss+AUA9*BlendedProvPayPrem+AUB9*BlendedProvPayElite)</f>
        <v/>
      </c>
      <c r="AUQ9" s="12">
        <f>AUI9*PaymentFee</f>
        <v/>
      </c>
      <c r="AUR9" s="12">
        <f>AUC9*OpsAI</f>
        <v/>
      </c>
      <c r="AUS9" s="12">
        <f>MonthlyFixed</f>
        <v/>
      </c>
      <c r="AUT9" s="12">
        <f>ATM9*ReferralReward</f>
        <v/>
      </c>
      <c r="AUU9" s="12">
        <f>ATK9</f>
        <v/>
      </c>
      <c r="AUV9" s="9">
        <f>AUL9-AUP9-AUQ9-AUR9-AUS9-AUT9-AUU9</f>
        <v/>
      </c>
      <c r="AUW9" s="9">
        <f>AUW8+AUI9-(AUP9+AUQ9+AUR9+AUS9+AUT9+AUU9+AUN9)</f>
        <v/>
      </c>
      <c r="AUX9" s="12">
        <f>IF(AUC9&gt;0,AUD9/AUC9,0)</f>
        <v/>
      </c>
      <c r="AUY9" s="11">
        <f>IF(AUC8&gt;0,MAX(0,(AUC8+ATN9-AUC9)/AUC8),0)</f>
        <v/>
      </c>
      <c r="AVA9" s="12" t="n">
        <v>5</v>
      </c>
      <c r="AVB9" s="12">
        <f>MOD(AVA9-1+LaunchMonth-1,12)+1</f>
        <v/>
      </c>
      <c r="AVC9" s="12">
        <f>INT((AVA9-1+LaunchMonth-1)/12)+1</f>
        <v/>
      </c>
      <c r="AVD9" s="12">
        <f>VLOOKUP(AVB9,WinterPivotSeasonTable,5,FALSE)</f>
        <v/>
      </c>
      <c r="AVE9" s="12">
        <f>(1+InflationRate)^INT((AVA9-1)/12)</f>
        <v/>
      </c>
      <c r="AVF9" s="11">
        <f>MonthlyChurn*VLOOKUP(AVB9,WinterPivotChurnTable,6,FALSE)</f>
        <v/>
      </c>
      <c r="AVG9" s="12">
        <f>MIN(MktFixed4_6,MAX(0,AWS8-CashBuffer))</f>
        <v/>
      </c>
      <c r="AVH9" s="12">
        <f>IF(AVG9&gt;0,MAX(1,ROUND(AVG9/CAC*AVD9,0)),0)</f>
        <v/>
      </c>
      <c r="AVI9" s="12">
        <f>IF(AVH9&gt;0,ROUND(AVH9*ReferralMix/(1-ReferralMix),0),0)</f>
        <v/>
      </c>
      <c r="AVJ9" s="12">
        <f>AVH9+AVI9</f>
        <v/>
      </c>
      <c r="AVK9" s="12">
        <f>ROUND(AVJ9*(1-AnnualMix),0)</f>
        <v/>
      </c>
      <c r="AVL9" s="12">
        <f>AVJ9-AVK9</f>
        <v/>
      </c>
      <c r="AVM9" s="12">
        <f>ROUND(AVK9*'Sens - Winter Pivot'!$B$6,0)</f>
        <v/>
      </c>
      <c r="AVN9" s="12">
        <f>ROUND(AVK9*PremiumMix,0)</f>
        <v/>
      </c>
      <c r="AVO9" s="12">
        <f>AVK9-AVM9-AVN9</f>
        <v/>
      </c>
      <c r="AVP9" s="12">
        <f>ROUND(AVL9*'Sens - Winter Pivot'!$B$6,0)</f>
        <v/>
      </c>
      <c r="AVQ9" s="12">
        <f>ROUND(AVL9*PremiumMix,0)</f>
        <v/>
      </c>
      <c r="AVR9" s="12">
        <f>AVL9-AVP9-AVQ9</f>
        <v/>
      </c>
      <c r="AVS9" s="12">
        <f>AVM9+AVM8+AVM7+MAX(0,AVS8-AVM8-AVM7)*(1-AVF9)</f>
        <v/>
      </c>
      <c r="AVT9" s="12">
        <f>AVN9+AVN8+AVN7+MAX(0,AVT8-AVN8-AVN7)*(1-AVF9)</f>
        <v/>
      </c>
      <c r="AVU9" s="12">
        <f>AVO9+AVO8+AVO7+MAX(0,AVU8-AVO8-AVO7)*(1-AVF9)</f>
        <v/>
      </c>
      <c r="AVV9" s="12">
        <f>SUM(AVP$5:AVP9)</f>
        <v/>
      </c>
      <c r="AVW9" s="12">
        <f>SUM(AVQ$5:AVQ9)</f>
        <v/>
      </c>
      <c r="AVX9" s="12">
        <f>SUM(AVR$5:AVR9)</f>
        <v/>
      </c>
      <c r="AVY9" s="12">
        <f>AVS9+AVT9+AVU9+AVV9+AVW9+AVX9</f>
        <v/>
      </c>
      <c r="AVZ9" s="9">
        <f>AVS9*BlendedPriceEssMonthly*AVE9+AVT9*(BlendedPricePremMonthly+'Sens - Winter Pivot'!$B$7)*AVE9+AVU9*BlendedPriceEliteMonthly*AVE9+AVV9*BlendedPriceEssAnnual*AVE9/12+AVW9*(BlendedPricePremAnnual+'Sens - Winter Pivot'!$B$7*12)*AVE9/12+AVX9*BlendedPriceEliteAnnual*AVE9/12</f>
        <v/>
      </c>
      <c r="AWA9" s="9">
        <f>AVZ9*12</f>
        <v/>
      </c>
      <c r="AWB9" s="12">
        <f>AVS9*BlendedPriceEssMonthly*AVE9+AVT9*(BlendedPricePremMonthly+'Sens - Winter Pivot'!$B$7)*AVE9+AVU9*BlendedPriceEliteMonthly*AVE9</f>
        <v/>
      </c>
      <c r="AWC9" s="12">
        <f>AVP9*BlendedPriceEssAnnual*AVE9+AVQ9*(BlendedPricePremAnnual+'Sens - Winter Pivot'!$B$7*12)*AVE9+AVR9*BlendedPriceEliteAnnual*AVE9</f>
        <v/>
      </c>
      <c r="AWD9" s="12">
        <f>0+0+0</f>
        <v/>
      </c>
      <c r="AWE9" s="9">
        <f>AWB9+AWC9+AWD9</f>
        <v/>
      </c>
      <c r="AWF9" s="12">
        <f>SUM(AWE$5:AWE9)</f>
        <v/>
      </c>
      <c r="AWG9" s="12">
        <f>OR(AWG8,IF(VATAgentMode,SUM($AWE$5:$AWE9)-SUM($AWL$5:$AWL9)&gt;=VATThreshold,SUM($AWE$5:$AWE9)&gt;=VATThreshold))</f>
        <v/>
      </c>
      <c r="AWH9" s="9">
        <f>IF(AWG9,IF(VATAgentMode,AWE9-((AWE9-AWL9)-(AWE9-AWL9)/(1+VATRate)),AWE9/(1+VATRate)),AWE9)</f>
        <v/>
      </c>
      <c r="AWI9" s="12">
        <f>AWE9-AWH9</f>
        <v/>
      </c>
      <c r="AWJ9" s="12">
        <f>IF(AWG9=0,0,IF(AVB9=1,SUMPRODUCT(--(($AVC$5:$AVC9=$AVC9-1)*($AVB$5:$AVB9&gt;=10)*($AVB$5:$AVB9&lt;=12)),$AWI$5:$AWI9),IF(AVB9=4,SUMPRODUCT(--(($AVC$5:$AVC9=$AVC9)*($AVB$5:$AVB9&gt;=1)*($AVB$5:$AVB9&lt;=3)),$AWI$5:$AWI9),IF(AVB9=7,SUMPRODUCT(--(($AVC$5:$AVC9=$AVC9)*($AVB$5:$AVB9&gt;=4)*($AVB$5:$AVB9&lt;=6)),$AWI$5:$AWI9),IF(AVB9=10,SUMPRODUCT(--(($AVC$5:$AVC9=$AVC9)*($AVB$5:$AVB9&gt;=7)*($AVB$5:$AVB9&lt;=9)),$AWI$5:$AWI9),0)))))</f>
        <v/>
      </c>
      <c r="AWK9" s="12">
        <f>AWK8+AWI9-AWJ9</f>
        <v/>
      </c>
      <c r="AWL9" s="12">
        <f>IF(ProviderDelay&gt;=1,AVS8*BlendedProvPayEss+AVT8*BlendedProvPayPrem+AVU8*BlendedProvPayElite+AVV8*BlendedProvPayEss+AVW8*BlendedProvPayPrem+AVX8*BlendedProvPayElite,AVS9*BlendedProvPayEss+AVT9*BlendedProvPayPrem+AVU9*BlendedProvPayElite+AVV9*BlendedProvPayEss+AVW9*BlendedProvPayPrem+AVX9*BlendedProvPayElite)</f>
        <v/>
      </c>
      <c r="AWM9" s="12">
        <f>AWE9*PaymentFee</f>
        <v/>
      </c>
      <c r="AWN9" s="12">
        <f>AVY9*OpsAI</f>
        <v/>
      </c>
      <c r="AWO9" s="12">
        <f>MonthlyFixed</f>
        <v/>
      </c>
      <c r="AWP9" s="12">
        <f>AVI9*ReferralReward</f>
        <v/>
      </c>
      <c r="AWQ9" s="12">
        <f>AVG9</f>
        <v/>
      </c>
      <c r="AWR9" s="9">
        <f>AWH9-AWL9-AWM9-AWN9-AWO9-AWP9-AWQ9</f>
        <v/>
      </c>
      <c r="AWS9" s="9">
        <f>AWS8+AWE9-(AWL9+AWM9+AWN9+AWO9+AWP9+AWQ9+AWJ9)</f>
        <v/>
      </c>
      <c r="AWT9" s="12">
        <f>IF(AVY9&gt;0,AVZ9/AVY9,0)</f>
        <v/>
      </c>
      <c r="AWU9" s="11">
        <f>IF(AVY8&gt;0,MAX(0,(AVY8+AVJ9-AVY9)/AVY8),0)</f>
        <v/>
      </c>
    </row>
    <row r="10">
      <c r="A10" s="12" t="n">
        <v>6</v>
      </c>
      <c r="B10" s="12">
        <f>MOD(A10-1+LaunchMonth-1,12)+1</f>
        <v/>
      </c>
      <c r="C10" s="12">
        <f>INT((A10-1+LaunchMonth-1)/12)+1</f>
        <v/>
      </c>
      <c r="D10" s="12">
        <f>VLOOKUP(B10,SeasonTable,2,FALSE)</f>
        <v/>
      </c>
      <c r="E10" s="12">
        <f>(1+InflationRate)^INT((A10-1)/12)</f>
        <v/>
      </c>
      <c r="F10" s="11">
        <f>'Sens - Scenarios'!$B$5*VLOOKUP(B10,ChurnSeasonTable,4,FALSE)</f>
        <v/>
      </c>
      <c r="G10" s="12">
        <f>MIN(MktFixed4_6,MAX(0,AS9-CashBuffer))</f>
        <v/>
      </c>
      <c r="H10" s="12">
        <f>IF(G10&gt;0,MAX(1,ROUND(G10/'Sens - Scenarios'!$B$8*D10,0)),0)</f>
        <v/>
      </c>
      <c r="I10" s="12">
        <f>IF(H10&gt;0,ROUND(H10*ReferralMix/(1-ReferralMix),0),0)</f>
        <v/>
      </c>
      <c r="J10" s="12">
        <f>H10+I10</f>
        <v/>
      </c>
      <c r="K10" s="12">
        <f>ROUND(J10*(1-'Sens - Scenarios'!$B$7),0)</f>
        <v/>
      </c>
      <c r="L10" s="12">
        <f>J10-K10</f>
        <v/>
      </c>
      <c r="M10" s="12">
        <f>ROUND(K10*EssentialMix,0)</f>
        <v/>
      </c>
      <c r="N10" s="12">
        <f>ROUND(K10*PremiumMix,0)</f>
        <v/>
      </c>
      <c r="O10" s="12">
        <f>K10-M10-N10</f>
        <v/>
      </c>
      <c r="P10" s="12">
        <f>ROUND(L10*EssentialMix,0)</f>
        <v/>
      </c>
      <c r="Q10" s="12">
        <f>ROUND(L10*PremiumMix,0)</f>
        <v/>
      </c>
      <c r="R10" s="12">
        <f>L10-P10-Q10</f>
        <v/>
      </c>
      <c r="S10" s="12">
        <f>M10+M9+M8+MAX(0,S9-M9-M8)*(1-F10)</f>
        <v/>
      </c>
      <c r="T10" s="12">
        <f>N10+N9+N8+MAX(0,T9-N9-N8)*(1-F10)</f>
        <v/>
      </c>
      <c r="U10" s="12">
        <f>O10+O9+O8+MAX(0,U9-O9-O8)*(1-F10)</f>
        <v/>
      </c>
      <c r="V10" s="12">
        <f>SUM(P$5:P10)</f>
        <v/>
      </c>
      <c r="W10" s="12">
        <f>SUM(Q$5:Q10)</f>
        <v/>
      </c>
      <c r="X10" s="12">
        <f>SUM(R$5:R10)</f>
        <v/>
      </c>
      <c r="Y10" s="12">
        <f>S10+T10+U10+V10+W10+X10</f>
        <v/>
      </c>
      <c r="Z10" s="9">
        <f>S10*BlendedPriceEssMonthly*E10+T10*BlendedPricePremMonthly*E10+U10*BlendedPriceEliteMonthly*E10+V10*BlendedPriceEssAnnual*E10/12+W10*BlendedPricePremAnnual*E10/12+X10*BlendedPriceEliteAnnual*E10/12</f>
        <v/>
      </c>
      <c r="AA10" s="9">
        <f>Z10*12</f>
        <v/>
      </c>
      <c r="AB10" s="12">
        <f>S10*BlendedPriceEssMonthly*E10+T10*BlendedPricePremMonthly*E10+U10*BlendedPriceEliteMonthly*E10</f>
        <v/>
      </c>
      <c r="AC10" s="12">
        <f>P10*BlendedPriceEssAnnual*E10+Q10*BlendedPricePremAnnual*E10+R10*BlendedPriceEliteAnnual*E10</f>
        <v/>
      </c>
      <c r="AD10" s="12">
        <f>0+0+0</f>
        <v/>
      </c>
      <c r="AE10" s="9">
        <f>AB10+AC10+AD10</f>
        <v/>
      </c>
      <c r="AF10" s="12">
        <f>SUM(AE$5:AE10)</f>
        <v/>
      </c>
      <c r="AG10" s="12">
        <f>OR(AG9,IF(VATAgentMode,SUM($AE$5:$AE10)-SUM($AL$5:$AL10)&gt;=VATThreshold,SUM($AE$5:$AE10)&gt;=VATThreshold))</f>
        <v/>
      </c>
      <c r="AH10" s="9">
        <f>IF(AG10,IF(VATAgentMode,AE10-((AE10-AL10)-(AE10-AL10)/(1+VATRate)),AE10/(1+VATRate)),AE10)</f>
        <v/>
      </c>
      <c r="AI10" s="12">
        <f>AE10-AH10</f>
        <v/>
      </c>
      <c r="AJ10" s="12">
        <f>IF(AG10=0,0,IF(B10=1,SUMPRODUCT(--(($C$5:$C10=$C10-1)*($B$5:$B10&gt;=10)*($B$5:$B10&lt;=12)),$AI$5:$AI10),IF(B10=4,SUMPRODUCT(--(($C$5:$C10=$C10)*($B$5:$B10&gt;=1)*($B$5:$B10&lt;=3)),$AI$5:$AI10),IF(B10=7,SUMPRODUCT(--(($C$5:$C10=$C10)*($B$5:$B10&gt;=4)*($B$5:$B10&lt;=6)),$AI$5:$AI10),IF(B10=10,SUMPRODUCT(--(($C$5:$C10=$C10)*($B$5:$B10&gt;=7)*($B$5:$B10&lt;=9)),$AI$5:$AI10),0)))))</f>
        <v/>
      </c>
      <c r="AK10" s="12">
        <f>AK9+AI10-AJ10</f>
        <v/>
      </c>
      <c r="AL10" s="12">
        <f>IF(ProviderDelay&gt;=1,S9*BlendedProvPayEss+T9*BlendedProvPayPrem+U9*BlendedProvPayElite+V9*BlendedProvPayEss+W9*BlendedProvPayPrem+X9*BlendedProvPayElite,S10*BlendedProvPayEss+T10*BlendedProvPayPrem+U10*BlendedProvPayElite+V10*BlendedProvPayEss+W10*BlendedProvPayPrem+X10*BlendedProvPayElite)</f>
        <v/>
      </c>
      <c r="AM10" s="12">
        <f>AE10*PaymentFee</f>
        <v/>
      </c>
      <c r="AN10" s="12">
        <f>Y10*OpsAI</f>
        <v/>
      </c>
      <c r="AO10" s="12">
        <f>MonthlyFixed</f>
        <v/>
      </c>
      <c r="AP10" s="12">
        <f>I10*ReferralReward</f>
        <v/>
      </c>
      <c r="AQ10" s="12">
        <f>G10</f>
        <v/>
      </c>
      <c r="AR10" s="9">
        <f>AH10-AL10-AM10-AN10-AO10-AP10-AQ10</f>
        <v/>
      </c>
      <c r="AS10" s="9">
        <f>AS9+AE10-(AL10+AM10+AN10+AO10+AP10+AQ10+AJ10)</f>
        <v/>
      </c>
      <c r="AT10" s="12">
        <f>IF(Y10&gt;0,Z10/Y10,0)</f>
        <v/>
      </c>
      <c r="AU10" s="11">
        <f>IF(Y9&gt;0,MAX(0,(Y9+J10-Y10)/Y9),0)</f>
        <v/>
      </c>
      <c r="AW10" s="12" t="n">
        <v>6</v>
      </c>
      <c r="AX10" s="12">
        <f>MOD(AW10-1+LaunchMonth-1,12)+1</f>
        <v/>
      </c>
      <c r="AY10" s="12">
        <f>INT((AW10-1+LaunchMonth-1)/12)+1</f>
        <v/>
      </c>
      <c r="AZ10" s="12">
        <f>VLOOKUP(AX10,SeasonTable,2,FALSE)</f>
        <v/>
      </c>
      <c r="BA10" s="12">
        <f>(1+InflationRate)^INT((AW10-1)/12)</f>
        <v/>
      </c>
      <c r="BB10" s="11">
        <f>MonthlyChurn*VLOOKUP(AX10,ChurnSeasonTable,4,FALSE)</f>
        <v/>
      </c>
      <c r="BC10" s="12">
        <f>MIN(MktFixed4_6,MAX(0,CO9-CashBuffer))</f>
        <v/>
      </c>
      <c r="BD10" s="12">
        <f>IF(BC10&gt;0,MAX(1,ROUND(BC10/CAC*AZ10,0)),0)</f>
        <v/>
      </c>
      <c r="BE10" s="12">
        <f>IF(BD10&gt;0,ROUND(BD10*ReferralMix/(1-ReferralMix),0),0)</f>
        <v/>
      </c>
      <c r="BF10" s="12">
        <f>BD10+BE10</f>
        <v/>
      </c>
      <c r="BG10" s="12">
        <f>ROUND(BF10*(1-AnnualMix),0)</f>
        <v/>
      </c>
      <c r="BH10" s="12">
        <f>BF10-BG10</f>
        <v/>
      </c>
      <c r="BI10" s="12">
        <f>ROUND(BG10*EssentialMix,0)</f>
        <v/>
      </c>
      <c r="BJ10" s="12">
        <f>ROUND(BG10*PremiumMix,0)</f>
        <v/>
      </c>
      <c r="BK10" s="12">
        <f>BG10-BI10-BJ10</f>
        <v/>
      </c>
      <c r="BL10" s="12">
        <f>ROUND(BH10*EssentialMix,0)</f>
        <v/>
      </c>
      <c r="BM10" s="12">
        <f>ROUND(BH10*PremiumMix,0)</f>
        <v/>
      </c>
      <c r="BN10" s="12">
        <f>BH10-BL10-BM10</f>
        <v/>
      </c>
      <c r="BO10" s="12">
        <f>BI10+BI9+BI8+MAX(0,BO9-BI9-BI8)*(1-BB10)</f>
        <v/>
      </c>
      <c r="BP10" s="12">
        <f>BJ10+BJ9+BJ8+MAX(0,BP9-BJ9-BJ8)*(1-BB10)</f>
        <v/>
      </c>
      <c r="BQ10" s="12">
        <f>BK10+BK9+BK8+MAX(0,BQ9-BK9-BK8)*(1-BB10)</f>
        <v/>
      </c>
      <c r="BR10" s="12">
        <f>SUM(BL$5:BL10)</f>
        <v/>
      </c>
      <c r="BS10" s="12">
        <f>SUM(BM$5:BM10)</f>
        <v/>
      </c>
      <c r="BT10" s="12">
        <f>SUM(BN$5:BN10)</f>
        <v/>
      </c>
      <c r="BU10" s="12">
        <f>BO10+BP10+BQ10+BR10+BS10+BT10</f>
        <v/>
      </c>
      <c r="BV10" s="9">
        <f>BO10*BlendedPriceEssMonthly*BA10+BP10*BlendedPricePremMonthly*BA10+BQ10*BlendedPriceEliteMonthly*BA10+BR10*BlendedPriceEssAnnual*BA10/12+BS10*BlendedPricePremAnnual*BA10/12+BT10*BlendedPriceEliteAnnual*BA10/12</f>
        <v/>
      </c>
      <c r="BW10" s="9">
        <f>BV10*12</f>
        <v/>
      </c>
      <c r="BX10" s="12">
        <f>BO10*BlendedPriceEssMonthly*BA10+BP10*BlendedPricePremMonthly*BA10+BQ10*BlendedPriceEliteMonthly*BA10</f>
        <v/>
      </c>
      <c r="BY10" s="12">
        <f>BL10*BlendedPriceEssAnnual*BA10+BM10*BlendedPricePremAnnual*BA10+BN10*BlendedPriceEliteAnnual*BA10</f>
        <v/>
      </c>
      <c r="BZ10" s="12">
        <f>0+0+0</f>
        <v/>
      </c>
      <c r="CA10" s="9">
        <f>BX10+BY10+BZ10</f>
        <v/>
      </c>
      <c r="CB10" s="12">
        <f>SUM(CA$5:CA10)</f>
        <v/>
      </c>
      <c r="CC10" s="12">
        <f>OR(CC9,IF(VATAgentMode,SUM($CA$5:$CA10)-SUM($CH$5:$CH10)&gt;=VATThreshold,SUM($CA$5:$CA10)&gt;=VATThreshold))</f>
        <v/>
      </c>
      <c r="CD10" s="9">
        <f>IF(CC10,IF(VATAgentMode,CA10-((CA10-CH10)-(CA10-CH10)/(1+VATRate)),CA10/(1+VATRate)),CA10)</f>
        <v/>
      </c>
      <c r="CE10" s="12">
        <f>CA10-CD10</f>
        <v/>
      </c>
      <c r="CF10" s="12">
        <f>IF(CC10=0,0,IF(AX10=1,SUMPRODUCT(--(($AY$5:$AY10=$AY10-1)*($AX$5:$AX10&gt;=10)*($AX$5:$AX10&lt;=12)),$CE$5:$CE10),IF(AX10=4,SUMPRODUCT(--(($AY$5:$AY10=$AY10)*($AX$5:$AX10&gt;=1)*($AX$5:$AX10&lt;=3)),$CE$5:$CE10),IF(AX10=7,SUMPRODUCT(--(($AY$5:$AY10=$AY10)*($AX$5:$AX10&gt;=4)*($AX$5:$AX10&lt;=6)),$CE$5:$CE10),IF(AX10=10,SUMPRODUCT(--(($AY$5:$AY10=$AY10)*($AX$5:$AX10&gt;=7)*($AX$5:$AX10&lt;=9)),$CE$5:$CE10),0)))))</f>
        <v/>
      </c>
      <c r="CG10" s="12">
        <f>CG9+CE10-CF10</f>
        <v/>
      </c>
      <c r="CH10" s="12">
        <f>IF(ProviderDelay&gt;=1,BO9*BlendedProvPayEss+BP9*BlendedProvPayPrem+BQ9*BlendedProvPayElite+BR9*BlendedProvPayEss+BS9*BlendedProvPayPrem+BT9*BlendedProvPayElite,BO10*BlendedProvPayEss+BP10*BlendedProvPayPrem+BQ10*BlendedProvPayElite+BR10*BlendedProvPayEss+BS10*BlendedProvPayPrem+BT10*BlendedProvPayElite)</f>
        <v/>
      </c>
      <c r="CI10" s="12">
        <f>CA10*PaymentFee</f>
        <v/>
      </c>
      <c r="CJ10" s="12">
        <f>BU10*OpsAI</f>
        <v/>
      </c>
      <c r="CK10" s="12">
        <f>MonthlyFixed</f>
        <v/>
      </c>
      <c r="CL10" s="12">
        <f>BE10*ReferralReward</f>
        <v/>
      </c>
      <c r="CM10" s="12">
        <f>BC10</f>
        <v/>
      </c>
      <c r="CN10" s="9">
        <f>CD10-CH10-CI10-CJ10-CK10-CL10-CM10</f>
        <v/>
      </c>
      <c r="CO10" s="9">
        <f>CO9+CA10-(CH10+CI10+CJ10+CK10+CL10+CM10+CF10)</f>
        <v/>
      </c>
      <c r="CP10" s="12">
        <f>IF(BU10&gt;0,BV10/BU10,0)</f>
        <v/>
      </c>
      <c r="CQ10" s="11">
        <f>IF(BU9&gt;0,MAX(0,(BU9+BF10-BU10)/BU9),0)</f>
        <v/>
      </c>
      <c r="CS10" s="12" t="n">
        <v>6</v>
      </c>
      <c r="CT10" s="12">
        <f>MOD(CS10-1+LaunchMonth-1,12)+1</f>
        <v/>
      </c>
      <c r="CU10" s="12">
        <f>INT((CS10-1+LaunchMonth-1)/12)+1</f>
        <v/>
      </c>
      <c r="CV10" s="12">
        <f>VLOOKUP(CT10,SeasonTable,2,FALSE)</f>
        <v/>
      </c>
      <c r="CW10" s="12">
        <f>(1+InflationRate)^INT((CS10-1)/12)</f>
        <v/>
      </c>
      <c r="CX10" s="11">
        <f>'Sens - Scenarios'!$D$5*VLOOKUP(CT10,ChurnSeasonTable,4,FALSE)</f>
        <v/>
      </c>
      <c r="CY10" s="12">
        <f>MIN(MktFixed4_6,MAX(0,EK9-CashBuffer))</f>
        <v/>
      </c>
      <c r="CZ10" s="12">
        <f>IF(CY10&gt;0,MAX(1,ROUND(CY10/'Sens - Scenarios'!$D$8*CV10,0)),0)</f>
        <v/>
      </c>
      <c r="DA10" s="12">
        <f>IF(CZ10&gt;0,ROUND(CZ10*ReferralMix/(1-ReferralMix),0),0)</f>
        <v/>
      </c>
      <c r="DB10" s="12">
        <f>CZ10+DA10</f>
        <v/>
      </c>
      <c r="DC10" s="12">
        <f>ROUND(DB10*(1-'Sens - Scenarios'!$D$7),0)</f>
        <v/>
      </c>
      <c r="DD10" s="12">
        <f>DB10-DC10</f>
        <v/>
      </c>
      <c r="DE10" s="12">
        <f>ROUND(DC10*EssentialMix,0)</f>
        <v/>
      </c>
      <c r="DF10" s="12">
        <f>ROUND(DC10*PremiumMix,0)</f>
        <v/>
      </c>
      <c r="DG10" s="12">
        <f>DC10-DE10-DF10</f>
        <v/>
      </c>
      <c r="DH10" s="12">
        <f>ROUND(DD10*EssentialMix,0)</f>
        <v/>
      </c>
      <c r="DI10" s="12">
        <f>ROUND(DD10*PremiumMix,0)</f>
        <v/>
      </c>
      <c r="DJ10" s="12">
        <f>DD10-DH10-DI10</f>
        <v/>
      </c>
      <c r="DK10" s="12">
        <f>DE10+DE9+DE8+MAX(0,DK9-DE9-DE8)*(1-CX10)</f>
        <v/>
      </c>
      <c r="DL10" s="12">
        <f>DF10+DF9+DF8+MAX(0,DL9-DF9-DF8)*(1-CX10)</f>
        <v/>
      </c>
      <c r="DM10" s="12">
        <f>DG10+DG9+DG8+MAX(0,DM9-DG9-DG8)*(1-CX10)</f>
        <v/>
      </c>
      <c r="DN10" s="12">
        <f>SUM(DH$5:DH10)</f>
        <v/>
      </c>
      <c r="DO10" s="12">
        <f>SUM(DI$5:DI10)</f>
        <v/>
      </c>
      <c r="DP10" s="12">
        <f>SUM(DJ$5:DJ10)</f>
        <v/>
      </c>
      <c r="DQ10" s="12">
        <f>DK10+DL10+DM10+DN10+DO10+DP10</f>
        <v/>
      </c>
      <c r="DR10" s="9">
        <f>DK10*BlendedPriceEssMonthly*CW10+DL10*BlendedPricePremMonthly*CW10+DM10*BlendedPriceEliteMonthly*CW10+DN10*BlendedPriceEssAnnual*CW10/12+DO10*BlendedPricePremAnnual*CW10/12+DP10*BlendedPriceEliteAnnual*CW10/12</f>
        <v/>
      </c>
      <c r="DS10" s="9">
        <f>DR10*12</f>
        <v/>
      </c>
      <c r="DT10" s="12">
        <f>DK10*BlendedPriceEssMonthly*CW10+DL10*BlendedPricePremMonthly*CW10+DM10*BlendedPriceEliteMonthly*CW10</f>
        <v/>
      </c>
      <c r="DU10" s="12">
        <f>DH10*BlendedPriceEssAnnual*CW10+DI10*BlendedPricePremAnnual*CW10+DJ10*BlendedPriceEliteAnnual*CW10</f>
        <v/>
      </c>
      <c r="DV10" s="12">
        <f>0+0+0</f>
        <v/>
      </c>
      <c r="DW10" s="9">
        <f>DT10+DU10+DV10</f>
        <v/>
      </c>
      <c r="DX10" s="12">
        <f>SUM(DW$5:DW10)</f>
        <v/>
      </c>
      <c r="DY10" s="12">
        <f>OR(DY9,IF(VATAgentMode,SUM($DW$5:$DW10)-SUM($ED$5:$ED10)&gt;=VATThreshold,SUM($DW$5:$DW10)&gt;=VATThreshold))</f>
        <v/>
      </c>
      <c r="DZ10" s="9">
        <f>IF(DY10,IF(VATAgentMode,DW10-((DW10-ED10)-(DW10-ED10)/(1+VATRate)),DW10/(1+VATRate)),DW10)</f>
        <v/>
      </c>
      <c r="EA10" s="12">
        <f>DW10-DZ10</f>
        <v/>
      </c>
      <c r="EB10" s="12">
        <f>IF(DY10=0,0,IF(CT10=1,SUMPRODUCT(--(($CU$5:$CU10=$CU10-1)*($CT$5:$CT10&gt;=10)*($CT$5:$CT10&lt;=12)),$EA$5:$EA10),IF(CT10=4,SUMPRODUCT(--(($CU$5:$CU10=$CU10)*($CT$5:$CT10&gt;=1)*($CT$5:$CT10&lt;=3)),$EA$5:$EA10),IF(CT10=7,SUMPRODUCT(--(($CU$5:$CU10=$CU10)*($CT$5:$CT10&gt;=4)*($CT$5:$CT10&lt;=6)),$EA$5:$EA10),IF(CT10=10,SUMPRODUCT(--(($CU$5:$CU10=$CU10)*($CT$5:$CT10&gt;=7)*($CT$5:$CT10&lt;=9)),$EA$5:$EA10),0)))))</f>
        <v/>
      </c>
      <c r="EC10" s="12">
        <f>EC9+EA10-EB10</f>
        <v/>
      </c>
      <c r="ED10" s="12">
        <f>IF(ProviderDelay&gt;=1,DK9*BlendedProvPayEss+DL9*BlendedProvPayPrem+DM9*BlendedProvPayElite+DN9*BlendedProvPayEss+DO9*BlendedProvPayPrem+DP9*BlendedProvPayElite,DK10*BlendedProvPayEss+DL10*BlendedProvPayPrem+DM10*BlendedProvPayElite+DN10*BlendedProvPayEss+DO10*BlendedProvPayPrem+DP10*BlendedProvPayElite)</f>
        <v/>
      </c>
      <c r="EE10" s="12">
        <f>DW10*PaymentFee</f>
        <v/>
      </c>
      <c r="EF10" s="12">
        <f>DQ10*OpsAI</f>
        <v/>
      </c>
      <c r="EG10" s="12">
        <f>MonthlyFixed</f>
        <v/>
      </c>
      <c r="EH10" s="12">
        <f>DA10*ReferralReward</f>
        <v/>
      </c>
      <c r="EI10" s="12">
        <f>CY10</f>
        <v/>
      </c>
      <c r="EJ10" s="9">
        <f>DZ10-ED10-EE10-EF10-EG10-EH10-EI10</f>
        <v/>
      </c>
      <c r="EK10" s="9">
        <f>EK9+DW10-(ED10+EE10+EF10+EG10+EH10+EI10+EB10)</f>
        <v/>
      </c>
      <c r="EL10" s="12">
        <f>IF(DQ10&gt;0,DR10/DQ10,0)</f>
        <v/>
      </c>
      <c r="EM10" s="11">
        <f>IF(DQ9&gt;0,MAX(0,(DQ9+DB10-DQ10)/DQ9),0)</f>
        <v/>
      </c>
      <c r="EO10" s="12" t="n">
        <v>6</v>
      </c>
      <c r="EP10" s="12">
        <f>MOD(EO10-1+LaunchMonth-1,12)+1</f>
        <v/>
      </c>
      <c r="EQ10" s="12">
        <f>INT((EO10-1+LaunchMonth-1)/12)+1</f>
        <v/>
      </c>
      <c r="ER10" s="12">
        <f>VLOOKUP(EP10,SeasonTable,2,FALSE)</f>
        <v/>
      </c>
      <c r="ES10" s="12">
        <f>(1+InflationRate)^INT((EO10-1)/12)</f>
        <v/>
      </c>
      <c r="ET10" s="11">
        <f>'Sens - Churn'!$A$13*VLOOKUP(EP10,ChurnSeasonTable,4,FALSE)</f>
        <v/>
      </c>
      <c r="EU10" s="12">
        <f>MIN(MktFixed4_6,MAX(0,GG9-CashBuffer))</f>
        <v/>
      </c>
      <c r="EV10" s="12">
        <f>IF(EU10&gt;0,MAX(1,ROUND(EU10/CAC*ER10,0)),0)</f>
        <v/>
      </c>
      <c r="EW10" s="12">
        <f>IF(EV10&gt;0,ROUND(EV10*ReferralMix/(1-ReferralMix),0),0)</f>
        <v/>
      </c>
      <c r="EX10" s="12">
        <f>EV10+EW10</f>
        <v/>
      </c>
      <c r="EY10" s="12">
        <f>ROUND(EX10*(1-AnnualMix),0)</f>
        <v/>
      </c>
      <c r="EZ10" s="12">
        <f>EX10-EY10</f>
        <v/>
      </c>
      <c r="FA10" s="12">
        <f>ROUND(EY10*EssentialMix,0)</f>
        <v/>
      </c>
      <c r="FB10" s="12">
        <f>ROUND(EY10*PremiumMix,0)</f>
        <v/>
      </c>
      <c r="FC10" s="12">
        <f>EY10-FA10-FB10</f>
        <v/>
      </c>
      <c r="FD10" s="12">
        <f>ROUND(EZ10*EssentialMix,0)</f>
        <v/>
      </c>
      <c r="FE10" s="12">
        <f>ROUND(EZ10*PremiumMix,0)</f>
        <v/>
      </c>
      <c r="FF10" s="12">
        <f>EZ10-FD10-FE10</f>
        <v/>
      </c>
      <c r="FG10" s="12">
        <f>FA10+FA9+FA8+MAX(0,FG9-FA9-FA8)*(1-ET10)</f>
        <v/>
      </c>
      <c r="FH10" s="12">
        <f>FB10+FB9+FB8+MAX(0,FH9-FB9-FB8)*(1-ET10)</f>
        <v/>
      </c>
      <c r="FI10" s="12">
        <f>FC10+FC9+FC8+MAX(0,FI9-FC9-FC8)*(1-ET10)</f>
        <v/>
      </c>
      <c r="FJ10" s="12">
        <f>SUM(FD$5:FD10)</f>
        <v/>
      </c>
      <c r="FK10" s="12">
        <f>SUM(FE$5:FE10)</f>
        <v/>
      </c>
      <c r="FL10" s="12">
        <f>SUM(FF$5:FF10)</f>
        <v/>
      </c>
      <c r="FM10" s="12">
        <f>FG10+FH10+FI10+FJ10+FK10+FL10</f>
        <v/>
      </c>
      <c r="FN10" s="9">
        <f>FG10*BlendedPriceEssMonthly*ES10+FH10*BlendedPricePremMonthly*ES10+FI10*BlendedPriceEliteMonthly*ES10+FJ10*BlendedPriceEssAnnual*ES10/12+FK10*BlendedPricePremAnnual*ES10/12+FL10*BlendedPriceEliteAnnual*ES10/12</f>
        <v/>
      </c>
      <c r="FO10" s="9">
        <f>FN10*12</f>
        <v/>
      </c>
      <c r="FP10" s="12">
        <f>FG10*BlendedPriceEssMonthly*ES10+FH10*BlendedPricePremMonthly*ES10+FI10*BlendedPriceEliteMonthly*ES10</f>
        <v/>
      </c>
      <c r="FQ10" s="12">
        <f>FD10*BlendedPriceEssAnnual*ES10+FE10*BlendedPricePremAnnual*ES10+FF10*BlendedPriceEliteAnnual*ES10</f>
        <v/>
      </c>
      <c r="FR10" s="12">
        <f>0+0+0</f>
        <v/>
      </c>
      <c r="FS10" s="9">
        <f>FP10+FQ10+FR10</f>
        <v/>
      </c>
      <c r="FT10" s="12">
        <f>SUM(FS$5:FS10)</f>
        <v/>
      </c>
      <c r="FU10" s="12">
        <f>OR(FU9,IF(VATAgentMode,SUM($FS$5:$FS10)-SUM($FZ$5:$FZ10)&gt;=VATThreshold,SUM($FS$5:$FS10)&gt;=VATThreshold))</f>
        <v/>
      </c>
      <c r="FV10" s="9">
        <f>IF(FU10,IF(VATAgentMode,FS10-((FS10-FZ10)-(FS10-FZ10)/(1+VATRate)),FS10/(1+VATRate)),FS10)</f>
        <v/>
      </c>
      <c r="FW10" s="12">
        <f>FS10-FV10</f>
        <v/>
      </c>
      <c r="FX10" s="12">
        <f>IF(FU10=0,0,IF(EP10=1,SUMPRODUCT(--(($EQ$5:$EQ10=$EQ10-1)*($EP$5:$EP10&gt;=10)*($EP$5:$EP10&lt;=12)),$FW$5:$FW10),IF(EP10=4,SUMPRODUCT(--(($EQ$5:$EQ10=$EQ10)*($EP$5:$EP10&gt;=1)*($EP$5:$EP10&lt;=3)),$FW$5:$FW10),IF(EP10=7,SUMPRODUCT(--(($EQ$5:$EQ10=$EQ10)*($EP$5:$EP10&gt;=4)*($EP$5:$EP10&lt;=6)),$FW$5:$FW10),IF(EP10=10,SUMPRODUCT(--(($EQ$5:$EQ10=$EQ10)*($EP$5:$EP10&gt;=7)*($EP$5:$EP10&lt;=9)),$FW$5:$FW10),0)))))</f>
        <v/>
      </c>
      <c r="FY10" s="12">
        <f>FY9+FW10-FX10</f>
        <v/>
      </c>
      <c r="FZ10" s="12">
        <f>IF(ProviderDelay&gt;=1,FG9*BlendedProvPayEss+FH9*BlendedProvPayPrem+FI9*BlendedProvPayElite+FJ9*BlendedProvPayEss+FK9*BlendedProvPayPrem+FL9*BlendedProvPayElite,FG10*BlendedProvPayEss+FH10*BlendedProvPayPrem+FI10*BlendedProvPayElite+FJ10*BlendedProvPayEss+FK10*BlendedProvPayPrem+FL10*BlendedProvPayElite)</f>
        <v/>
      </c>
      <c r="GA10" s="12">
        <f>FS10*PaymentFee</f>
        <v/>
      </c>
      <c r="GB10" s="12">
        <f>FM10*OpsAI</f>
        <v/>
      </c>
      <c r="GC10" s="12">
        <f>MonthlyFixed</f>
        <v/>
      </c>
      <c r="GD10" s="12">
        <f>EW10*ReferralReward</f>
        <v/>
      </c>
      <c r="GE10" s="12">
        <f>EU10</f>
        <v/>
      </c>
      <c r="GF10" s="9">
        <f>FV10-FZ10-GA10-GB10-GC10-GD10-GE10</f>
        <v/>
      </c>
      <c r="GG10" s="9">
        <f>GG9+FS10-(FZ10+GA10+GB10+GC10+GD10+GE10+FX10)</f>
        <v/>
      </c>
      <c r="GH10" s="12">
        <f>IF(FM10&gt;0,FN10/FM10,0)</f>
        <v/>
      </c>
      <c r="GI10" s="11">
        <f>IF(FM9&gt;0,MAX(0,(FM9+EX10-FM10)/FM9),0)</f>
        <v/>
      </c>
      <c r="GK10" s="12" t="n">
        <v>6</v>
      </c>
      <c r="GL10" s="12">
        <f>MOD(GK10-1+LaunchMonth-1,12)+1</f>
        <v/>
      </c>
      <c r="GM10" s="12">
        <f>INT((GK10-1+LaunchMonth-1)/12)+1</f>
        <v/>
      </c>
      <c r="GN10" s="12">
        <f>VLOOKUP(GL10,SeasonTable,2,FALSE)</f>
        <v/>
      </c>
      <c r="GO10" s="12">
        <f>(1+InflationRate)^INT((GK10-1)/12)</f>
        <v/>
      </c>
      <c r="GP10" s="11">
        <f>'Sens - Churn'!$A$14*VLOOKUP(GL10,ChurnSeasonTable,4,FALSE)</f>
        <v/>
      </c>
      <c r="GQ10" s="12">
        <f>MIN(MktFixed4_6,MAX(0,IC9-CashBuffer))</f>
        <v/>
      </c>
      <c r="GR10" s="12">
        <f>IF(GQ10&gt;0,MAX(1,ROUND(GQ10/CAC*GN10,0)),0)</f>
        <v/>
      </c>
      <c r="GS10" s="12">
        <f>IF(GR10&gt;0,ROUND(GR10*ReferralMix/(1-ReferralMix),0),0)</f>
        <v/>
      </c>
      <c r="GT10" s="12">
        <f>GR10+GS10</f>
        <v/>
      </c>
      <c r="GU10" s="12">
        <f>ROUND(GT10*(1-AnnualMix),0)</f>
        <v/>
      </c>
      <c r="GV10" s="12">
        <f>GT10-GU10</f>
        <v/>
      </c>
      <c r="GW10" s="12">
        <f>ROUND(GU10*EssentialMix,0)</f>
        <v/>
      </c>
      <c r="GX10" s="12">
        <f>ROUND(GU10*PremiumMix,0)</f>
        <v/>
      </c>
      <c r="GY10" s="12">
        <f>GU10-GW10-GX10</f>
        <v/>
      </c>
      <c r="GZ10" s="12">
        <f>ROUND(GV10*EssentialMix,0)</f>
        <v/>
      </c>
      <c r="HA10" s="12">
        <f>ROUND(GV10*PremiumMix,0)</f>
        <v/>
      </c>
      <c r="HB10" s="12">
        <f>GV10-GZ10-HA10</f>
        <v/>
      </c>
      <c r="HC10" s="12">
        <f>GW10+GW9+GW8+MAX(0,HC9-GW9-GW8)*(1-GP10)</f>
        <v/>
      </c>
      <c r="HD10" s="12">
        <f>GX10+GX9+GX8+MAX(0,HD9-GX9-GX8)*(1-GP10)</f>
        <v/>
      </c>
      <c r="HE10" s="12">
        <f>GY10+GY9+GY8+MAX(0,HE9-GY9-GY8)*(1-GP10)</f>
        <v/>
      </c>
      <c r="HF10" s="12">
        <f>SUM(GZ$5:GZ10)</f>
        <v/>
      </c>
      <c r="HG10" s="12">
        <f>SUM(HA$5:HA10)</f>
        <v/>
      </c>
      <c r="HH10" s="12">
        <f>SUM(HB$5:HB10)</f>
        <v/>
      </c>
      <c r="HI10" s="12">
        <f>HC10+HD10+HE10+HF10+HG10+HH10</f>
        <v/>
      </c>
      <c r="HJ10" s="9">
        <f>HC10*BlendedPriceEssMonthly*GO10+HD10*BlendedPricePremMonthly*GO10+HE10*BlendedPriceEliteMonthly*GO10+HF10*BlendedPriceEssAnnual*GO10/12+HG10*BlendedPricePremAnnual*GO10/12+HH10*BlendedPriceEliteAnnual*GO10/12</f>
        <v/>
      </c>
      <c r="HK10" s="9">
        <f>HJ10*12</f>
        <v/>
      </c>
      <c r="HL10" s="12">
        <f>HC10*BlendedPriceEssMonthly*GO10+HD10*BlendedPricePremMonthly*GO10+HE10*BlendedPriceEliteMonthly*GO10</f>
        <v/>
      </c>
      <c r="HM10" s="12">
        <f>GZ10*BlendedPriceEssAnnual*GO10+HA10*BlendedPricePremAnnual*GO10+HB10*BlendedPriceEliteAnnual*GO10</f>
        <v/>
      </c>
      <c r="HN10" s="12">
        <f>0+0+0</f>
        <v/>
      </c>
      <c r="HO10" s="9">
        <f>HL10+HM10+HN10</f>
        <v/>
      </c>
      <c r="HP10" s="12">
        <f>SUM(HO$5:HO10)</f>
        <v/>
      </c>
      <c r="HQ10" s="12">
        <f>OR(HQ9,IF(VATAgentMode,SUM($HO$5:$HO10)-SUM($HV$5:$HV10)&gt;=VATThreshold,SUM($HO$5:$HO10)&gt;=VATThreshold))</f>
        <v/>
      </c>
      <c r="HR10" s="9">
        <f>IF(HQ10,IF(VATAgentMode,HO10-((HO10-HV10)-(HO10-HV10)/(1+VATRate)),HO10/(1+VATRate)),HO10)</f>
        <v/>
      </c>
      <c r="HS10" s="12">
        <f>HO10-HR10</f>
        <v/>
      </c>
      <c r="HT10" s="12">
        <f>IF(HQ10=0,0,IF(GL10=1,SUMPRODUCT(--(($GM$5:$GM10=$GM10-1)*($GL$5:$GL10&gt;=10)*($GL$5:$GL10&lt;=12)),$HS$5:$HS10),IF(GL10=4,SUMPRODUCT(--(($GM$5:$GM10=$GM10)*($GL$5:$GL10&gt;=1)*($GL$5:$GL10&lt;=3)),$HS$5:$HS10),IF(GL10=7,SUMPRODUCT(--(($GM$5:$GM10=$GM10)*($GL$5:$GL10&gt;=4)*($GL$5:$GL10&lt;=6)),$HS$5:$HS10),IF(GL10=10,SUMPRODUCT(--(($GM$5:$GM10=$GM10)*($GL$5:$GL10&gt;=7)*($GL$5:$GL10&lt;=9)),$HS$5:$HS10),0)))))</f>
        <v/>
      </c>
      <c r="HU10" s="12">
        <f>HU9+HS10-HT10</f>
        <v/>
      </c>
      <c r="HV10" s="12">
        <f>IF(ProviderDelay&gt;=1,HC9*BlendedProvPayEss+HD9*BlendedProvPayPrem+HE9*BlendedProvPayElite+HF9*BlendedProvPayEss+HG9*BlendedProvPayPrem+HH9*BlendedProvPayElite,HC10*BlendedProvPayEss+HD10*BlendedProvPayPrem+HE10*BlendedProvPayElite+HF10*BlendedProvPayEss+HG10*BlendedProvPayPrem+HH10*BlendedProvPayElite)</f>
        <v/>
      </c>
      <c r="HW10" s="12">
        <f>HO10*PaymentFee</f>
        <v/>
      </c>
      <c r="HX10" s="12">
        <f>HI10*OpsAI</f>
        <v/>
      </c>
      <c r="HY10" s="12">
        <f>MonthlyFixed</f>
        <v/>
      </c>
      <c r="HZ10" s="12">
        <f>GS10*ReferralReward</f>
        <v/>
      </c>
      <c r="IA10" s="12">
        <f>GQ10</f>
        <v/>
      </c>
      <c r="IB10" s="9">
        <f>HR10-HV10-HW10-HX10-HY10-HZ10-IA10</f>
        <v/>
      </c>
      <c r="IC10" s="9">
        <f>IC9+HO10-(HV10+HW10+HX10+HY10+HZ10+IA10+HT10)</f>
        <v/>
      </c>
      <c r="ID10" s="12">
        <f>IF(HI10&gt;0,HJ10/HI10,0)</f>
        <v/>
      </c>
      <c r="IE10" s="11">
        <f>IF(HI9&gt;0,MAX(0,(HI9+GT10-HI10)/HI9),0)</f>
        <v/>
      </c>
      <c r="IG10" s="12" t="n">
        <v>6</v>
      </c>
      <c r="IH10" s="12">
        <f>MOD(IG10-1+LaunchMonth-1,12)+1</f>
        <v/>
      </c>
      <c r="II10" s="12">
        <f>INT((IG10-1+LaunchMonth-1)/12)+1</f>
        <v/>
      </c>
      <c r="IJ10" s="12">
        <f>VLOOKUP(IH10,SeasonTable,2,FALSE)</f>
        <v/>
      </c>
      <c r="IK10" s="12">
        <f>(1+InflationRate)^INT((IG10-1)/12)</f>
        <v/>
      </c>
      <c r="IL10" s="11">
        <f>'Sens - Churn'!$A$15*VLOOKUP(IH10,ChurnSeasonTable,4,FALSE)</f>
        <v/>
      </c>
      <c r="IM10" s="12">
        <f>MIN(MktFixed4_6,MAX(0,JY9-CashBuffer))</f>
        <v/>
      </c>
      <c r="IN10" s="12">
        <f>IF(IM10&gt;0,MAX(1,ROUND(IM10/CAC*IJ10,0)),0)</f>
        <v/>
      </c>
      <c r="IO10" s="12">
        <f>IF(IN10&gt;0,ROUND(IN10*ReferralMix/(1-ReferralMix),0),0)</f>
        <v/>
      </c>
      <c r="IP10" s="12">
        <f>IN10+IO10</f>
        <v/>
      </c>
      <c r="IQ10" s="12">
        <f>ROUND(IP10*(1-AnnualMix),0)</f>
        <v/>
      </c>
      <c r="IR10" s="12">
        <f>IP10-IQ10</f>
        <v/>
      </c>
      <c r="IS10" s="12">
        <f>ROUND(IQ10*EssentialMix,0)</f>
        <v/>
      </c>
      <c r="IT10" s="12">
        <f>ROUND(IQ10*PremiumMix,0)</f>
        <v/>
      </c>
      <c r="IU10" s="12">
        <f>IQ10-IS10-IT10</f>
        <v/>
      </c>
      <c r="IV10" s="12">
        <f>ROUND(IR10*EssentialMix,0)</f>
        <v/>
      </c>
      <c r="IW10" s="12">
        <f>ROUND(IR10*PremiumMix,0)</f>
        <v/>
      </c>
      <c r="IX10" s="12">
        <f>IR10-IV10-IW10</f>
        <v/>
      </c>
      <c r="IY10" s="12">
        <f>IS10+IS9+IS8+MAX(0,IY9-IS9-IS8)*(1-IL10)</f>
        <v/>
      </c>
      <c r="IZ10" s="12">
        <f>IT10+IT9+IT8+MAX(0,IZ9-IT9-IT8)*(1-IL10)</f>
        <v/>
      </c>
      <c r="JA10" s="12">
        <f>IU10+IU9+IU8+MAX(0,JA9-IU9-IU8)*(1-IL10)</f>
        <v/>
      </c>
      <c r="JB10" s="12">
        <f>SUM(IV$5:IV10)</f>
        <v/>
      </c>
      <c r="JC10" s="12">
        <f>SUM(IW$5:IW10)</f>
        <v/>
      </c>
      <c r="JD10" s="12">
        <f>SUM(IX$5:IX10)</f>
        <v/>
      </c>
      <c r="JE10" s="12">
        <f>IY10+IZ10+JA10+JB10+JC10+JD10</f>
        <v/>
      </c>
      <c r="JF10" s="9">
        <f>IY10*BlendedPriceEssMonthly*IK10+IZ10*BlendedPricePremMonthly*IK10+JA10*BlendedPriceEliteMonthly*IK10+JB10*BlendedPriceEssAnnual*IK10/12+JC10*BlendedPricePremAnnual*IK10/12+JD10*BlendedPriceEliteAnnual*IK10/12</f>
        <v/>
      </c>
      <c r="JG10" s="9">
        <f>JF10*12</f>
        <v/>
      </c>
      <c r="JH10" s="12">
        <f>IY10*BlendedPriceEssMonthly*IK10+IZ10*BlendedPricePremMonthly*IK10+JA10*BlendedPriceEliteMonthly*IK10</f>
        <v/>
      </c>
      <c r="JI10" s="12">
        <f>IV10*BlendedPriceEssAnnual*IK10+IW10*BlendedPricePremAnnual*IK10+IX10*BlendedPriceEliteAnnual*IK10</f>
        <v/>
      </c>
      <c r="JJ10" s="12">
        <f>0+0+0</f>
        <v/>
      </c>
      <c r="JK10" s="9">
        <f>JH10+JI10+JJ10</f>
        <v/>
      </c>
      <c r="JL10" s="12">
        <f>SUM(JK$5:JK10)</f>
        <v/>
      </c>
      <c r="JM10" s="12">
        <f>OR(JM9,IF(VATAgentMode,SUM($JK$5:$JK10)-SUM($JR$5:$JR10)&gt;=VATThreshold,SUM($JK$5:$JK10)&gt;=VATThreshold))</f>
        <v/>
      </c>
      <c r="JN10" s="9">
        <f>IF(JM10,IF(VATAgentMode,JK10-((JK10-JR10)-(JK10-JR10)/(1+VATRate)),JK10/(1+VATRate)),JK10)</f>
        <v/>
      </c>
      <c r="JO10" s="12">
        <f>JK10-JN10</f>
        <v/>
      </c>
      <c r="JP10" s="12">
        <f>IF(JM10=0,0,IF(IH10=1,SUMPRODUCT(--(($II$5:$II10=$II10-1)*($IH$5:$IH10&gt;=10)*($IH$5:$IH10&lt;=12)),$JO$5:$JO10),IF(IH10=4,SUMPRODUCT(--(($II$5:$II10=$II10)*($IH$5:$IH10&gt;=1)*($IH$5:$IH10&lt;=3)),$JO$5:$JO10),IF(IH10=7,SUMPRODUCT(--(($II$5:$II10=$II10)*($IH$5:$IH10&gt;=4)*($IH$5:$IH10&lt;=6)),$JO$5:$JO10),IF(IH10=10,SUMPRODUCT(--(($II$5:$II10=$II10)*($IH$5:$IH10&gt;=7)*($IH$5:$IH10&lt;=9)),$JO$5:$JO10),0)))))</f>
        <v/>
      </c>
      <c r="JQ10" s="12">
        <f>JQ9+JO10-JP10</f>
        <v/>
      </c>
      <c r="JR10" s="12">
        <f>IF(ProviderDelay&gt;=1,IY9*BlendedProvPayEss+IZ9*BlendedProvPayPrem+JA9*BlendedProvPayElite+JB9*BlendedProvPayEss+JC9*BlendedProvPayPrem+JD9*BlendedProvPayElite,IY10*BlendedProvPayEss+IZ10*BlendedProvPayPrem+JA10*BlendedProvPayElite+JB10*BlendedProvPayEss+JC10*BlendedProvPayPrem+JD10*BlendedProvPayElite)</f>
        <v/>
      </c>
      <c r="JS10" s="12">
        <f>JK10*PaymentFee</f>
        <v/>
      </c>
      <c r="JT10" s="12">
        <f>JE10*OpsAI</f>
        <v/>
      </c>
      <c r="JU10" s="12">
        <f>MonthlyFixed</f>
        <v/>
      </c>
      <c r="JV10" s="12">
        <f>IO10*ReferralReward</f>
        <v/>
      </c>
      <c r="JW10" s="12">
        <f>IM10</f>
        <v/>
      </c>
      <c r="JX10" s="9">
        <f>JN10-JR10-JS10-JT10-JU10-JV10-JW10</f>
        <v/>
      </c>
      <c r="JY10" s="9">
        <f>JY9+JK10-(JR10+JS10+JT10+JU10+JV10+JW10+JP10)</f>
        <v/>
      </c>
      <c r="JZ10" s="12">
        <f>IF(JE10&gt;0,JF10/JE10,0)</f>
        <v/>
      </c>
      <c r="KA10" s="11">
        <f>IF(JE9&gt;0,MAX(0,(JE9+IP10-JE10)/JE9),0)</f>
        <v/>
      </c>
      <c r="KC10" s="12" t="n">
        <v>6</v>
      </c>
      <c r="KD10" s="12">
        <f>MOD(KC10-1+LaunchMonth-1,12)+1</f>
        <v/>
      </c>
      <c r="KE10" s="12">
        <f>INT((KC10-1+LaunchMonth-1)/12)+1</f>
        <v/>
      </c>
      <c r="KF10" s="12">
        <f>VLOOKUP(KD10,SeasonTable,2,FALSE)</f>
        <v/>
      </c>
      <c r="KG10" s="12">
        <f>(1+InflationRate)^INT((KC10-1)/12)</f>
        <v/>
      </c>
      <c r="KH10" s="11">
        <f>'Sens - Churn'!$A$16*VLOOKUP(KD10,ChurnSeasonTable,4,FALSE)</f>
        <v/>
      </c>
      <c r="KI10" s="12">
        <f>MIN(MktFixed4_6,MAX(0,LU9-CashBuffer))</f>
        <v/>
      </c>
      <c r="KJ10" s="12">
        <f>IF(KI10&gt;0,MAX(1,ROUND(KI10/CAC*KF10,0)),0)</f>
        <v/>
      </c>
      <c r="KK10" s="12">
        <f>IF(KJ10&gt;0,ROUND(KJ10*ReferralMix/(1-ReferralMix),0),0)</f>
        <v/>
      </c>
      <c r="KL10" s="12">
        <f>KJ10+KK10</f>
        <v/>
      </c>
      <c r="KM10" s="12">
        <f>ROUND(KL10*(1-AnnualMix),0)</f>
        <v/>
      </c>
      <c r="KN10" s="12">
        <f>KL10-KM10</f>
        <v/>
      </c>
      <c r="KO10" s="12">
        <f>ROUND(KM10*EssentialMix,0)</f>
        <v/>
      </c>
      <c r="KP10" s="12">
        <f>ROUND(KM10*PremiumMix,0)</f>
        <v/>
      </c>
      <c r="KQ10" s="12">
        <f>KM10-KO10-KP10</f>
        <v/>
      </c>
      <c r="KR10" s="12">
        <f>ROUND(KN10*EssentialMix,0)</f>
        <v/>
      </c>
      <c r="KS10" s="12">
        <f>ROUND(KN10*PremiumMix,0)</f>
        <v/>
      </c>
      <c r="KT10" s="12">
        <f>KN10-KR10-KS10</f>
        <v/>
      </c>
      <c r="KU10" s="12">
        <f>KO10+KO9+KO8+MAX(0,KU9-KO9-KO8)*(1-KH10)</f>
        <v/>
      </c>
      <c r="KV10" s="12">
        <f>KP10+KP9+KP8+MAX(0,KV9-KP9-KP8)*(1-KH10)</f>
        <v/>
      </c>
      <c r="KW10" s="12">
        <f>KQ10+KQ9+KQ8+MAX(0,KW9-KQ9-KQ8)*(1-KH10)</f>
        <v/>
      </c>
      <c r="KX10" s="12">
        <f>SUM(KR$5:KR10)</f>
        <v/>
      </c>
      <c r="KY10" s="12">
        <f>SUM(KS$5:KS10)</f>
        <v/>
      </c>
      <c r="KZ10" s="12">
        <f>SUM(KT$5:KT10)</f>
        <v/>
      </c>
      <c r="LA10" s="12">
        <f>KU10+KV10+KW10+KX10+KY10+KZ10</f>
        <v/>
      </c>
      <c r="LB10" s="9">
        <f>KU10*BlendedPriceEssMonthly*KG10+KV10*BlendedPricePremMonthly*KG10+KW10*BlendedPriceEliteMonthly*KG10+KX10*BlendedPriceEssAnnual*KG10/12+KY10*BlendedPricePremAnnual*KG10/12+KZ10*BlendedPriceEliteAnnual*KG10/12</f>
        <v/>
      </c>
      <c r="LC10" s="9">
        <f>LB10*12</f>
        <v/>
      </c>
      <c r="LD10" s="12">
        <f>KU10*BlendedPriceEssMonthly*KG10+KV10*BlendedPricePremMonthly*KG10+KW10*BlendedPriceEliteMonthly*KG10</f>
        <v/>
      </c>
      <c r="LE10" s="12">
        <f>KR10*BlendedPriceEssAnnual*KG10+KS10*BlendedPricePremAnnual*KG10+KT10*BlendedPriceEliteAnnual*KG10</f>
        <v/>
      </c>
      <c r="LF10" s="12">
        <f>0+0+0</f>
        <v/>
      </c>
      <c r="LG10" s="9">
        <f>LD10+LE10+LF10</f>
        <v/>
      </c>
      <c r="LH10" s="12">
        <f>SUM(LG$5:LG10)</f>
        <v/>
      </c>
      <c r="LI10" s="12">
        <f>OR(LI9,IF(VATAgentMode,SUM($LG$5:$LG10)-SUM($LN$5:$LN10)&gt;=VATThreshold,SUM($LG$5:$LG10)&gt;=VATThreshold))</f>
        <v/>
      </c>
      <c r="LJ10" s="9">
        <f>IF(LI10,IF(VATAgentMode,LG10-((LG10-LN10)-(LG10-LN10)/(1+VATRate)),LG10/(1+VATRate)),LG10)</f>
        <v/>
      </c>
      <c r="LK10" s="12">
        <f>LG10-LJ10</f>
        <v/>
      </c>
      <c r="LL10" s="12">
        <f>IF(LI10=0,0,IF(KD10=1,SUMPRODUCT(--(($KE$5:$KE10=$KE10-1)*($KD$5:$KD10&gt;=10)*($KD$5:$KD10&lt;=12)),$LK$5:$LK10),IF(KD10=4,SUMPRODUCT(--(($KE$5:$KE10=$KE10)*($KD$5:$KD10&gt;=1)*($KD$5:$KD10&lt;=3)),$LK$5:$LK10),IF(KD10=7,SUMPRODUCT(--(($KE$5:$KE10=$KE10)*($KD$5:$KD10&gt;=4)*($KD$5:$KD10&lt;=6)),$LK$5:$LK10),IF(KD10=10,SUMPRODUCT(--(($KE$5:$KE10=$KE10)*($KD$5:$KD10&gt;=7)*($KD$5:$KD10&lt;=9)),$LK$5:$LK10),0)))))</f>
        <v/>
      </c>
      <c r="LM10" s="12">
        <f>LM9+LK10-LL10</f>
        <v/>
      </c>
      <c r="LN10" s="12">
        <f>IF(ProviderDelay&gt;=1,KU9*BlendedProvPayEss+KV9*BlendedProvPayPrem+KW9*BlendedProvPayElite+KX9*BlendedProvPayEss+KY9*BlendedProvPayPrem+KZ9*BlendedProvPayElite,KU10*BlendedProvPayEss+KV10*BlendedProvPayPrem+KW10*BlendedProvPayElite+KX10*BlendedProvPayEss+KY10*BlendedProvPayPrem+KZ10*BlendedProvPayElite)</f>
        <v/>
      </c>
      <c r="LO10" s="12">
        <f>LG10*PaymentFee</f>
        <v/>
      </c>
      <c r="LP10" s="12">
        <f>LA10*OpsAI</f>
        <v/>
      </c>
      <c r="LQ10" s="12">
        <f>MonthlyFixed</f>
        <v/>
      </c>
      <c r="LR10" s="12">
        <f>KK10*ReferralReward</f>
        <v/>
      </c>
      <c r="LS10" s="12">
        <f>KI10</f>
        <v/>
      </c>
      <c r="LT10" s="9">
        <f>LJ10-LN10-LO10-LP10-LQ10-LR10-LS10</f>
        <v/>
      </c>
      <c r="LU10" s="9">
        <f>LU9+LG10-(LN10+LO10+LP10+LQ10+LR10+LS10+LL10)</f>
        <v/>
      </c>
      <c r="LV10" s="12">
        <f>IF(LA10&gt;0,LB10/LA10,0)</f>
        <v/>
      </c>
      <c r="LW10" s="11">
        <f>IF(LA9&gt;0,MAX(0,(LA9+KL10-LA10)/LA9),0)</f>
        <v/>
      </c>
      <c r="LY10" s="12" t="n">
        <v>6</v>
      </c>
      <c r="LZ10" s="12">
        <f>MOD(LY10-1+LaunchMonth-1,12)+1</f>
        <v/>
      </c>
      <c r="MA10" s="12">
        <f>INT((LY10-1+LaunchMonth-1)/12)+1</f>
        <v/>
      </c>
      <c r="MB10" s="12">
        <f>VLOOKUP(LZ10,SeasonTable,2,FALSE)</f>
        <v/>
      </c>
      <c r="MC10" s="12">
        <f>(1+InflationRate)^INT((LY10-1)/12)</f>
        <v/>
      </c>
      <c r="MD10" s="11">
        <f>'Sens - Churn'!$A$17*VLOOKUP(LZ10,ChurnSeasonTable,4,FALSE)</f>
        <v/>
      </c>
      <c r="ME10" s="12">
        <f>MIN(MktFixed4_6,MAX(0,NQ9-CashBuffer))</f>
        <v/>
      </c>
      <c r="MF10" s="12">
        <f>IF(ME10&gt;0,MAX(1,ROUND(ME10/CAC*MB10,0)),0)</f>
        <v/>
      </c>
      <c r="MG10" s="12">
        <f>IF(MF10&gt;0,ROUND(MF10*ReferralMix/(1-ReferralMix),0),0)</f>
        <v/>
      </c>
      <c r="MH10" s="12">
        <f>MF10+MG10</f>
        <v/>
      </c>
      <c r="MI10" s="12">
        <f>ROUND(MH10*(1-AnnualMix),0)</f>
        <v/>
      </c>
      <c r="MJ10" s="12">
        <f>MH10-MI10</f>
        <v/>
      </c>
      <c r="MK10" s="12">
        <f>ROUND(MI10*EssentialMix,0)</f>
        <v/>
      </c>
      <c r="ML10" s="12">
        <f>ROUND(MI10*PremiumMix,0)</f>
        <v/>
      </c>
      <c r="MM10" s="12">
        <f>MI10-MK10-ML10</f>
        <v/>
      </c>
      <c r="MN10" s="12">
        <f>ROUND(MJ10*EssentialMix,0)</f>
        <v/>
      </c>
      <c r="MO10" s="12">
        <f>ROUND(MJ10*PremiumMix,0)</f>
        <v/>
      </c>
      <c r="MP10" s="12">
        <f>MJ10-MN10-MO10</f>
        <v/>
      </c>
      <c r="MQ10" s="12">
        <f>MK10+MK9+MK8+MAX(0,MQ9-MK9-MK8)*(1-MD10)</f>
        <v/>
      </c>
      <c r="MR10" s="12">
        <f>ML10+ML9+ML8+MAX(0,MR9-ML9-ML8)*(1-MD10)</f>
        <v/>
      </c>
      <c r="MS10" s="12">
        <f>MM10+MM9+MM8+MAX(0,MS9-MM9-MM8)*(1-MD10)</f>
        <v/>
      </c>
      <c r="MT10" s="12">
        <f>SUM(MN$5:MN10)</f>
        <v/>
      </c>
      <c r="MU10" s="12">
        <f>SUM(MO$5:MO10)</f>
        <v/>
      </c>
      <c r="MV10" s="12">
        <f>SUM(MP$5:MP10)</f>
        <v/>
      </c>
      <c r="MW10" s="12">
        <f>MQ10+MR10+MS10+MT10+MU10+MV10</f>
        <v/>
      </c>
      <c r="MX10" s="9">
        <f>MQ10*BlendedPriceEssMonthly*MC10+MR10*BlendedPricePremMonthly*MC10+MS10*BlendedPriceEliteMonthly*MC10+MT10*BlendedPriceEssAnnual*MC10/12+MU10*BlendedPricePremAnnual*MC10/12+MV10*BlendedPriceEliteAnnual*MC10/12</f>
        <v/>
      </c>
      <c r="MY10" s="9">
        <f>MX10*12</f>
        <v/>
      </c>
      <c r="MZ10" s="12">
        <f>MQ10*BlendedPriceEssMonthly*MC10+MR10*BlendedPricePremMonthly*MC10+MS10*BlendedPriceEliteMonthly*MC10</f>
        <v/>
      </c>
      <c r="NA10" s="12">
        <f>MN10*BlendedPriceEssAnnual*MC10+MO10*BlendedPricePremAnnual*MC10+MP10*BlendedPriceEliteAnnual*MC10</f>
        <v/>
      </c>
      <c r="NB10" s="12">
        <f>0+0+0</f>
        <v/>
      </c>
      <c r="NC10" s="9">
        <f>MZ10+NA10+NB10</f>
        <v/>
      </c>
      <c r="ND10" s="12">
        <f>SUM(NC$5:NC10)</f>
        <v/>
      </c>
      <c r="NE10" s="12">
        <f>OR(NE9,IF(VATAgentMode,SUM($NC$5:$NC10)-SUM($NJ$5:$NJ10)&gt;=VATThreshold,SUM($NC$5:$NC10)&gt;=VATThreshold))</f>
        <v/>
      </c>
      <c r="NF10" s="9">
        <f>IF(NE10,IF(VATAgentMode,NC10-((NC10-NJ10)-(NC10-NJ10)/(1+VATRate)),NC10/(1+VATRate)),NC10)</f>
        <v/>
      </c>
      <c r="NG10" s="12">
        <f>NC10-NF10</f>
        <v/>
      </c>
      <c r="NH10" s="12">
        <f>IF(NE10=0,0,IF(LZ10=1,SUMPRODUCT(--(($MA$5:$MA10=$MA10-1)*($LZ$5:$LZ10&gt;=10)*($LZ$5:$LZ10&lt;=12)),$NG$5:$NG10),IF(LZ10=4,SUMPRODUCT(--(($MA$5:$MA10=$MA10)*($LZ$5:$LZ10&gt;=1)*($LZ$5:$LZ10&lt;=3)),$NG$5:$NG10),IF(LZ10=7,SUMPRODUCT(--(($MA$5:$MA10=$MA10)*($LZ$5:$LZ10&gt;=4)*($LZ$5:$LZ10&lt;=6)),$NG$5:$NG10),IF(LZ10=10,SUMPRODUCT(--(($MA$5:$MA10=$MA10)*($LZ$5:$LZ10&gt;=7)*($LZ$5:$LZ10&lt;=9)),$NG$5:$NG10),0)))))</f>
        <v/>
      </c>
      <c r="NI10" s="12">
        <f>NI9+NG10-NH10</f>
        <v/>
      </c>
      <c r="NJ10" s="12">
        <f>IF(ProviderDelay&gt;=1,MQ9*BlendedProvPayEss+MR9*BlendedProvPayPrem+MS9*BlendedProvPayElite+MT9*BlendedProvPayEss+MU9*BlendedProvPayPrem+MV9*BlendedProvPayElite,MQ10*BlendedProvPayEss+MR10*BlendedProvPayPrem+MS10*BlendedProvPayElite+MT10*BlendedProvPayEss+MU10*BlendedProvPayPrem+MV10*BlendedProvPayElite)</f>
        <v/>
      </c>
      <c r="NK10" s="12">
        <f>NC10*PaymentFee</f>
        <v/>
      </c>
      <c r="NL10" s="12">
        <f>MW10*OpsAI</f>
        <v/>
      </c>
      <c r="NM10" s="12">
        <f>MonthlyFixed</f>
        <v/>
      </c>
      <c r="NN10" s="12">
        <f>MG10*ReferralReward</f>
        <v/>
      </c>
      <c r="NO10" s="12">
        <f>ME10</f>
        <v/>
      </c>
      <c r="NP10" s="9">
        <f>NF10-NJ10-NK10-NL10-NM10-NN10-NO10</f>
        <v/>
      </c>
      <c r="NQ10" s="9">
        <f>NQ9+NC10-(NJ10+NK10+NL10+NM10+NN10+NO10+NH10)</f>
        <v/>
      </c>
      <c r="NR10" s="12">
        <f>IF(MW10&gt;0,MX10/MW10,0)</f>
        <v/>
      </c>
      <c r="NS10" s="11">
        <f>IF(MW9&gt;0,MAX(0,(MW9+MH10-MW10)/MW9),0)</f>
        <v/>
      </c>
      <c r="NU10" s="12" t="n">
        <v>6</v>
      </c>
      <c r="NV10" s="12">
        <f>MOD(NU10-1+LaunchMonth-1,12)+1</f>
        <v/>
      </c>
      <c r="NW10" s="12">
        <f>INT((NU10-1+LaunchMonth-1)/12)+1</f>
        <v/>
      </c>
      <c r="NX10" s="12">
        <f>VLOOKUP(NV10,SeasonTable,2,FALSE)</f>
        <v/>
      </c>
      <c r="NY10" s="12">
        <f>(1+InflationRate)^INT((NU10-1)/12)</f>
        <v/>
      </c>
      <c r="NZ10" s="11">
        <f>'Sens - Churn'!$A$18*VLOOKUP(NV10,ChurnSeasonTable,4,FALSE)</f>
        <v/>
      </c>
      <c r="OA10" s="12">
        <f>MIN(MktFixed4_6,MAX(0,PM9-CashBuffer))</f>
        <v/>
      </c>
      <c r="OB10" s="12">
        <f>IF(OA10&gt;0,MAX(1,ROUND(OA10/CAC*NX10,0)),0)</f>
        <v/>
      </c>
      <c r="OC10" s="12">
        <f>IF(OB10&gt;0,ROUND(OB10*ReferralMix/(1-ReferralMix),0),0)</f>
        <v/>
      </c>
      <c r="OD10" s="12">
        <f>OB10+OC10</f>
        <v/>
      </c>
      <c r="OE10" s="12">
        <f>ROUND(OD10*(1-AnnualMix),0)</f>
        <v/>
      </c>
      <c r="OF10" s="12">
        <f>OD10-OE10</f>
        <v/>
      </c>
      <c r="OG10" s="12">
        <f>ROUND(OE10*EssentialMix,0)</f>
        <v/>
      </c>
      <c r="OH10" s="12">
        <f>ROUND(OE10*PremiumMix,0)</f>
        <v/>
      </c>
      <c r="OI10" s="12">
        <f>OE10-OG10-OH10</f>
        <v/>
      </c>
      <c r="OJ10" s="12">
        <f>ROUND(OF10*EssentialMix,0)</f>
        <v/>
      </c>
      <c r="OK10" s="12">
        <f>ROUND(OF10*PremiumMix,0)</f>
        <v/>
      </c>
      <c r="OL10" s="12">
        <f>OF10-OJ10-OK10</f>
        <v/>
      </c>
      <c r="OM10" s="12">
        <f>OG10+OG9+OG8+MAX(0,OM9-OG9-OG8)*(1-NZ10)</f>
        <v/>
      </c>
      <c r="ON10" s="12">
        <f>OH10+OH9+OH8+MAX(0,ON9-OH9-OH8)*(1-NZ10)</f>
        <v/>
      </c>
      <c r="OO10" s="12">
        <f>OI10+OI9+OI8+MAX(0,OO9-OI9-OI8)*(1-NZ10)</f>
        <v/>
      </c>
      <c r="OP10" s="12">
        <f>SUM(OJ$5:OJ10)</f>
        <v/>
      </c>
      <c r="OQ10" s="12">
        <f>SUM(OK$5:OK10)</f>
        <v/>
      </c>
      <c r="OR10" s="12">
        <f>SUM(OL$5:OL10)</f>
        <v/>
      </c>
      <c r="OS10" s="12">
        <f>OM10+ON10+OO10+OP10+OQ10+OR10</f>
        <v/>
      </c>
      <c r="OT10" s="9">
        <f>OM10*BlendedPriceEssMonthly*NY10+ON10*BlendedPricePremMonthly*NY10+OO10*BlendedPriceEliteMonthly*NY10+OP10*BlendedPriceEssAnnual*NY10/12+OQ10*BlendedPricePremAnnual*NY10/12+OR10*BlendedPriceEliteAnnual*NY10/12</f>
        <v/>
      </c>
      <c r="OU10" s="9">
        <f>OT10*12</f>
        <v/>
      </c>
      <c r="OV10" s="12">
        <f>OM10*BlendedPriceEssMonthly*NY10+ON10*BlendedPricePremMonthly*NY10+OO10*BlendedPriceEliteMonthly*NY10</f>
        <v/>
      </c>
      <c r="OW10" s="12">
        <f>OJ10*BlendedPriceEssAnnual*NY10+OK10*BlendedPricePremAnnual*NY10+OL10*BlendedPriceEliteAnnual*NY10</f>
        <v/>
      </c>
      <c r="OX10" s="12">
        <f>0+0+0</f>
        <v/>
      </c>
      <c r="OY10" s="9">
        <f>OV10+OW10+OX10</f>
        <v/>
      </c>
      <c r="OZ10" s="12">
        <f>SUM(OY$5:OY10)</f>
        <v/>
      </c>
      <c r="PA10" s="12">
        <f>OR(PA9,IF(VATAgentMode,SUM($OY$5:$OY10)-SUM($PF$5:$PF10)&gt;=VATThreshold,SUM($OY$5:$OY10)&gt;=VATThreshold))</f>
        <v/>
      </c>
      <c r="PB10" s="9">
        <f>IF(PA10,IF(VATAgentMode,OY10-((OY10-PF10)-(OY10-PF10)/(1+VATRate)),OY10/(1+VATRate)),OY10)</f>
        <v/>
      </c>
      <c r="PC10" s="12">
        <f>OY10-PB10</f>
        <v/>
      </c>
      <c r="PD10" s="12">
        <f>IF(PA10=0,0,IF(NV10=1,SUMPRODUCT(--(($NW$5:$NW10=$NW10-1)*($NV$5:$NV10&gt;=10)*($NV$5:$NV10&lt;=12)),$PC$5:$PC10),IF(NV10=4,SUMPRODUCT(--(($NW$5:$NW10=$NW10)*($NV$5:$NV10&gt;=1)*($NV$5:$NV10&lt;=3)),$PC$5:$PC10),IF(NV10=7,SUMPRODUCT(--(($NW$5:$NW10=$NW10)*($NV$5:$NV10&gt;=4)*($NV$5:$NV10&lt;=6)),$PC$5:$PC10),IF(NV10=10,SUMPRODUCT(--(($NW$5:$NW10=$NW10)*($NV$5:$NV10&gt;=7)*($NV$5:$NV10&lt;=9)),$PC$5:$PC10),0)))))</f>
        <v/>
      </c>
      <c r="PE10" s="12">
        <f>PE9+PC10-PD10</f>
        <v/>
      </c>
      <c r="PF10" s="12">
        <f>IF(ProviderDelay&gt;=1,OM9*BlendedProvPayEss+ON9*BlendedProvPayPrem+OO9*BlendedProvPayElite+OP9*BlendedProvPayEss+OQ9*BlendedProvPayPrem+OR9*BlendedProvPayElite,OM10*BlendedProvPayEss+ON10*BlendedProvPayPrem+OO10*BlendedProvPayElite+OP10*BlendedProvPayEss+OQ10*BlendedProvPayPrem+OR10*BlendedProvPayElite)</f>
        <v/>
      </c>
      <c r="PG10" s="12">
        <f>OY10*PaymentFee</f>
        <v/>
      </c>
      <c r="PH10" s="12">
        <f>OS10*OpsAI</f>
        <v/>
      </c>
      <c r="PI10" s="12">
        <f>MonthlyFixed</f>
        <v/>
      </c>
      <c r="PJ10" s="12">
        <f>OC10*ReferralReward</f>
        <v/>
      </c>
      <c r="PK10" s="12">
        <f>OA10</f>
        <v/>
      </c>
      <c r="PL10" s="9">
        <f>PB10-PF10-PG10-PH10-PI10-PJ10-PK10</f>
        <v/>
      </c>
      <c r="PM10" s="9">
        <f>PM9+OY10-(PF10+PG10+PH10+PI10+PJ10+PK10+PD10)</f>
        <v/>
      </c>
      <c r="PN10" s="12">
        <f>IF(OS10&gt;0,OT10/OS10,0)</f>
        <v/>
      </c>
      <c r="PO10" s="11">
        <f>IF(OS9&gt;0,MAX(0,(OS9+OD10-OS10)/OS9),0)</f>
        <v/>
      </c>
      <c r="PQ10" s="12" t="n">
        <v>6</v>
      </c>
      <c r="PR10" s="12">
        <f>MOD(PQ10-1+LaunchMonth-1,12)+1</f>
        <v/>
      </c>
      <c r="PS10" s="12">
        <f>INT((PQ10-1+LaunchMonth-1)/12)+1</f>
        <v/>
      </c>
      <c r="PT10" s="12">
        <f>VLOOKUP(PR10,SeasonTable,2,FALSE)</f>
        <v/>
      </c>
      <c r="PU10" s="12">
        <f>(1+InflationRate)^INT((PQ10-1)/12)</f>
        <v/>
      </c>
      <c r="PV10" s="11">
        <f>'Sens - Churn'!$A$19*VLOOKUP(PR10,ChurnSeasonTable,4,FALSE)</f>
        <v/>
      </c>
      <c r="PW10" s="12">
        <f>MIN(MktFixed4_6,MAX(0,RI9-CashBuffer))</f>
        <v/>
      </c>
      <c r="PX10" s="12">
        <f>IF(PW10&gt;0,MAX(1,ROUND(PW10/CAC*PT10,0)),0)</f>
        <v/>
      </c>
      <c r="PY10" s="12">
        <f>IF(PX10&gt;0,ROUND(PX10*ReferralMix/(1-ReferralMix),0),0)</f>
        <v/>
      </c>
      <c r="PZ10" s="12">
        <f>PX10+PY10</f>
        <v/>
      </c>
      <c r="QA10" s="12">
        <f>ROUND(PZ10*(1-AnnualMix),0)</f>
        <v/>
      </c>
      <c r="QB10" s="12">
        <f>PZ10-QA10</f>
        <v/>
      </c>
      <c r="QC10" s="12">
        <f>ROUND(QA10*EssentialMix,0)</f>
        <v/>
      </c>
      <c r="QD10" s="12">
        <f>ROUND(QA10*PremiumMix,0)</f>
        <v/>
      </c>
      <c r="QE10" s="12">
        <f>QA10-QC10-QD10</f>
        <v/>
      </c>
      <c r="QF10" s="12">
        <f>ROUND(QB10*EssentialMix,0)</f>
        <v/>
      </c>
      <c r="QG10" s="12">
        <f>ROUND(QB10*PremiumMix,0)</f>
        <v/>
      </c>
      <c r="QH10" s="12">
        <f>QB10-QF10-QG10</f>
        <v/>
      </c>
      <c r="QI10" s="12">
        <f>QC10+QC9+QC8+MAX(0,QI9-QC9-QC8)*(1-PV10)</f>
        <v/>
      </c>
      <c r="QJ10" s="12">
        <f>QD10+QD9+QD8+MAX(0,QJ9-QD9-QD8)*(1-PV10)</f>
        <v/>
      </c>
      <c r="QK10" s="12">
        <f>QE10+QE9+QE8+MAX(0,QK9-QE9-QE8)*(1-PV10)</f>
        <v/>
      </c>
      <c r="QL10" s="12">
        <f>SUM(QF$5:QF10)</f>
        <v/>
      </c>
      <c r="QM10" s="12">
        <f>SUM(QG$5:QG10)</f>
        <v/>
      </c>
      <c r="QN10" s="12">
        <f>SUM(QH$5:QH10)</f>
        <v/>
      </c>
      <c r="QO10" s="12">
        <f>QI10+QJ10+QK10+QL10+QM10+QN10</f>
        <v/>
      </c>
      <c r="QP10" s="9">
        <f>QI10*BlendedPriceEssMonthly*PU10+QJ10*BlendedPricePremMonthly*PU10+QK10*BlendedPriceEliteMonthly*PU10+QL10*BlendedPriceEssAnnual*PU10/12+QM10*BlendedPricePremAnnual*PU10/12+QN10*BlendedPriceEliteAnnual*PU10/12</f>
        <v/>
      </c>
      <c r="QQ10" s="9">
        <f>QP10*12</f>
        <v/>
      </c>
      <c r="QR10" s="12">
        <f>QI10*BlendedPriceEssMonthly*PU10+QJ10*BlendedPricePremMonthly*PU10+QK10*BlendedPriceEliteMonthly*PU10</f>
        <v/>
      </c>
      <c r="QS10" s="12">
        <f>QF10*BlendedPriceEssAnnual*PU10+QG10*BlendedPricePremAnnual*PU10+QH10*BlendedPriceEliteAnnual*PU10</f>
        <v/>
      </c>
      <c r="QT10" s="12">
        <f>0+0+0</f>
        <v/>
      </c>
      <c r="QU10" s="9">
        <f>QR10+QS10+QT10</f>
        <v/>
      </c>
      <c r="QV10" s="12">
        <f>SUM(QU$5:QU10)</f>
        <v/>
      </c>
      <c r="QW10" s="12">
        <f>OR(QW9,IF(VATAgentMode,SUM($QU$5:$QU10)-SUM($RB$5:$RB10)&gt;=VATThreshold,SUM($QU$5:$QU10)&gt;=VATThreshold))</f>
        <v/>
      </c>
      <c r="QX10" s="9">
        <f>IF(QW10,IF(VATAgentMode,QU10-((QU10-RB10)-(QU10-RB10)/(1+VATRate)),QU10/(1+VATRate)),QU10)</f>
        <v/>
      </c>
      <c r="QY10" s="12">
        <f>QU10-QX10</f>
        <v/>
      </c>
      <c r="QZ10" s="12">
        <f>IF(QW10=0,0,IF(PR10=1,SUMPRODUCT(--(($PS$5:$PS10=$PS10-1)*($PR$5:$PR10&gt;=10)*($PR$5:$PR10&lt;=12)),$QY$5:$QY10),IF(PR10=4,SUMPRODUCT(--(($PS$5:$PS10=$PS10)*($PR$5:$PR10&gt;=1)*($PR$5:$PR10&lt;=3)),$QY$5:$QY10),IF(PR10=7,SUMPRODUCT(--(($PS$5:$PS10=$PS10)*($PR$5:$PR10&gt;=4)*($PR$5:$PR10&lt;=6)),$QY$5:$QY10),IF(PR10=10,SUMPRODUCT(--(($PS$5:$PS10=$PS10)*($PR$5:$PR10&gt;=7)*($PR$5:$PR10&lt;=9)),$QY$5:$QY10),0)))))</f>
        <v/>
      </c>
      <c r="RA10" s="12">
        <f>RA9+QY10-QZ10</f>
        <v/>
      </c>
      <c r="RB10" s="12">
        <f>IF(ProviderDelay&gt;=1,QI9*BlendedProvPayEss+QJ9*BlendedProvPayPrem+QK9*BlendedProvPayElite+QL9*BlendedProvPayEss+QM9*BlendedProvPayPrem+QN9*BlendedProvPayElite,QI10*BlendedProvPayEss+QJ10*BlendedProvPayPrem+QK10*BlendedProvPayElite+QL10*BlendedProvPayEss+QM10*BlendedProvPayPrem+QN10*BlendedProvPayElite)</f>
        <v/>
      </c>
      <c r="RC10" s="12">
        <f>QU10*PaymentFee</f>
        <v/>
      </c>
      <c r="RD10" s="12">
        <f>QO10*OpsAI</f>
        <v/>
      </c>
      <c r="RE10" s="12">
        <f>MonthlyFixed</f>
        <v/>
      </c>
      <c r="RF10" s="12">
        <f>PY10*ReferralReward</f>
        <v/>
      </c>
      <c r="RG10" s="12">
        <f>PW10</f>
        <v/>
      </c>
      <c r="RH10" s="9">
        <f>QX10-RB10-RC10-RD10-RE10-RF10-RG10</f>
        <v/>
      </c>
      <c r="RI10" s="9">
        <f>RI9+QU10-(RB10+RC10+RD10+RE10+RF10+RG10+QZ10)</f>
        <v/>
      </c>
      <c r="RJ10" s="12">
        <f>IF(QO10&gt;0,QP10/QO10,0)</f>
        <v/>
      </c>
      <c r="RK10" s="11">
        <f>IF(QO9&gt;0,MAX(0,(QO9+PZ10-QO10)/QO9),0)</f>
        <v/>
      </c>
      <c r="RM10" s="12" t="n">
        <v>6</v>
      </c>
      <c r="RN10" s="12">
        <f>MOD(RM10-1+LaunchMonth-1,12)+1</f>
        <v/>
      </c>
      <c r="RO10" s="12">
        <f>INT((RM10-1+LaunchMonth-1)/12)+1</f>
        <v/>
      </c>
      <c r="RP10" s="12">
        <f>VLOOKUP(RN10,SeasonTable,2,FALSE)</f>
        <v/>
      </c>
      <c r="RQ10" s="12">
        <f>(1+InflationRate)^INT((RM10-1)/12)</f>
        <v/>
      </c>
      <c r="RR10" s="11">
        <f>'Sens - Churn'!$A$20*VLOOKUP(RN10,ChurnSeasonTable,4,FALSE)</f>
        <v/>
      </c>
      <c r="RS10" s="12">
        <f>MIN(MktFixed4_6,MAX(0,TE9-CashBuffer))</f>
        <v/>
      </c>
      <c r="RT10" s="12">
        <f>IF(RS10&gt;0,MAX(1,ROUND(RS10/CAC*RP10,0)),0)</f>
        <v/>
      </c>
      <c r="RU10" s="12">
        <f>IF(RT10&gt;0,ROUND(RT10*ReferralMix/(1-ReferralMix),0),0)</f>
        <v/>
      </c>
      <c r="RV10" s="12">
        <f>RT10+RU10</f>
        <v/>
      </c>
      <c r="RW10" s="12">
        <f>ROUND(RV10*(1-AnnualMix),0)</f>
        <v/>
      </c>
      <c r="RX10" s="12">
        <f>RV10-RW10</f>
        <v/>
      </c>
      <c r="RY10" s="12">
        <f>ROUND(RW10*EssentialMix,0)</f>
        <v/>
      </c>
      <c r="RZ10" s="12">
        <f>ROUND(RW10*PremiumMix,0)</f>
        <v/>
      </c>
      <c r="SA10" s="12">
        <f>RW10-RY10-RZ10</f>
        <v/>
      </c>
      <c r="SB10" s="12">
        <f>ROUND(RX10*EssentialMix,0)</f>
        <v/>
      </c>
      <c r="SC10" s="12">
        <f>ROUND(RX10*PremiumMix,0)</f>
        <v/>
      </c>
      <c r="SD10" s="12">
        <f>RX10-SB10-SC10</f>
        <v/>
      </c>
      <c r="SE10" s="12">
        <f>RY10+RY9+RY8+MAX(0,SE9-RY9-RY8)*(1-RR10)</f>
        <v/>
      </c>
      <c r="SF10" s="12">
        <f>RZ10+RZ9+RZ8+MAX(0,SF9-RZ9-RZ8)*(1-RR10)</f>
        <v/>
      </c>
      <c r="SG10" s="12">
        <f>SA10+SA9+SA8+MAX(0,SG9-SA9-SA8)*(1-RR10)</f>
        <v/>
      </c>
      <c r="SH10" s="12">
        <f>SUM(SB$5:SB10)</f>
        <v/>
      </c>
      <c r="SI10" s="12">
        <f>SUM(SC$5:SC10)</f>
        <v/>
      </c>
      <c r="SJ10" s="12">
        <f>SUM(SD$5:SD10)</f>
        <v/>
      </c>
      <c r="SK10" s="12">
        <f>SE10+SF10+SG10+SH10+SI10+SJ10</f>
        <v/>
      </c>
      <c r="SL10" s="9">
        <f>SE10*BlendedPriceEssMonthly*RQ10+SF10*BlendedPricePremMonthly*RQ10+SG10*BlendedPriceEliteMonthly*RQ10+SH10*BlendedPriceEssAnnual*RQ10/12+SI10*BlendedPricePremAnnual*RQ10/12+SJ10*BlendedPriceEliteAnnual*RQ10/12</f>
        <v/>
      </c>
      <c r="SM10" s="9">
        <f>SL10*12</f>
        <v/>
      </c>
      <c r="SN10" s="12">
        <f>SE10*BlendedPriceEssMonthly*RQ10+SF10*BlendedPricePremMonthly*RQ10+SG10*BlendedPriceEliteMonthly*RQ10</f>
        <v/>
      </c>
      <c r="SO10" s="12">
        <f>SB10*BlendedPriceEssAnnual*RQ10+SC10*BlendedPricePremAnnual*RQ10+SD10*BlendedPriceEliteAnnual*RQ10</f>
        <v/>
      </c>
      <c r="SP10" s="12">
        <f>0+0+0</f>
        <v/>
      </c>
      <c r="SQ10" s="9">
        <f>SN10+SO10+SP10</f>
        <v/>
      </c>
      <c r="SR10" s="12">
        <f>SUM(SQ$5:SQ10)</f>
        <v/>
      </c>
      <c r="SS10" s="12">
        <f>OR(SS9,IF(VATAgentMode,SUM($SQ$5:$SQ10)-SUM($SX$5:$SX10)&gt;=VATThreshold,SUM($SQ$5:$SQ10)&gt;=VATThreshold))</f>
        <v/>
      </c>
      <c r="ST10" s="9">
        <f>IF(SS10,IF(VATAgentMode,SQ10-((SQ10-SX10)-(SQ10-SX10)/(1+VATRate)),SQ10/(1+VATRate)),SQ10)</f>
        <v/>
      </c>
      <c r="SU10" s="12">
        <f>SQ10-ST10</f>
        <v/>
      </c>
      <c r="SV10" s="12">
        <f>IF(SS10=0,0,IF(RN10=1,SUMPRODUCT(--(($RO$5:$RO10=$RO10-1)*($RN$5:$RN10&gt;=10)*($RN$5:$RN10&lt;=12)),$SU$5:$SU10),IF(RN10=4,SUMPRODUCT(--(($RO$5:$RO10=$RO10)*($RN$5:$RN10&gt;=1)*($RN$5:$RN10&lt;=3)),$SU$5:$SU10),IF(RN10=7,SUMPRODUCT(--(($RO$5:$RO10=$RO10)*($RN$5:$RN10&gt;=4)*($RN$5:$RN10&lt;=6)),$SU$5:$SU10),IF(RN10=10,SUMPRODUCT(--(($RO$5:$RO10=$RO10)*($RN$5:$RN10&gt;=7)*($RN$5:$RN10&lt;=9)),$SU$5:$SU10),0)))))</f>
        <v/>
      </c>
      <c r="SW10" s="12">
        <f>SW9+SU10-SV10</f>
        <v/>
      </c>
      <c r="SX10" s="12">
        <f>IF(ProviderDelay&gt;=1,SE9*BlendedProvPayEss+SF9*BlendedProvPayPrem+SG9*BlendedProvPayElite+SH9*BlendedProvPayEss+SI9*BlendedProvPayPrem+SJ9*BlendedProvPayElite,SE10*BlendedProvPayEss+SF10*BlendedProvPayPrem+SG10*BlendedProvPayElite+SH10*BlendedProvPayEss+SI10*BlendedProvPayPrem+SJ10*BlendedProvPayElite)</f>
        <v/>
      </c>
      <c r="SY10" s="12">
        <f>SQ10*PaymentFee</f>
        <v/>
      </c>
      <c r="SZ10" s="12">
        <f>SK10*OpsAI</f>
        <v/>
      </c>
      <c r="TA10" s="12">
        <f>MonthlyFixed</f>
        <v/>
      </c>
      <c r="TB10" s="12">
        <f>RU10*ReferralReward</f>
        <v/>
      </c>
      <c r="TC10" s="12">
        <f>RS10</f>
        <v/>
      </c>
      <c r="TD10" s="9">
        <f>ST10-SX10-SY10-SZ10-TA10-TB10-TC10</f>
        <v/>
      </c>
      <c r="TE10" s="9">
        <f>TE9+SQ10-(SX10+SY10+SZ10+TA10+TB10+TC10+SV10)</f>
        <v/>
      </c>
      <c r="TF10" s="12">
        <f>IF(SK10&gt;0,SL10/SK10,0)</f>
        <v/>
      </c>
      <c r="TG10" s="11">
        <f>IF(SK9&gt;0,MAX(0,(SK9+RV10-SK10)/SK9),0)</f>
        <v/>
      </c>
      <c r="TI10" s="12" t="n">
        <v>6</v>
      </c>
      <c r="TJ10" s="12">
        <f>MOD(TI10-1+LaunchMonth-1,12)+1</f>
        <v/>
      </c>
      <c r="TK10" s="12">
        <f>INT((TI10-1+LaunchMonth-1)/12)+1</f>
        <v/>
      </c>
      <c r="TL10" s="12">
        <f>VLOOKUP(TJ10,SeasonTable,2,FALSE)</f>
        <v/>
      </c>
      <c r="TM10" s="12">
        <f>(1+InflationRate)^INT((TI10-1)/12)</f>
        <v/>
      </c>
      <c r="TN10" s="11">
        <f>'Sens - Churn'!$A$21*VLOOKUP(TJ10,ChurnSeasonTable,4,FALSE)</f>
        <v/>
      </c>
      <c r="TO10" s="12">
        <f>MIN(MktFixed4_6,MAX(0,VA9-CashBuffer))</f>
        <v/>
      </c>
      <c r="TP10" s="12">
        <f>IF(TO10&gt;0,MAX(1,ROUND(TO10/CAC*TL10,0)),0)</f>
        <v/>
      </c>
      <c r="TQ10" s="12">
        <f>IF(TP10&gt;0,ROUND(TP10*ReferralMix/(1-ReferralMix),0),0)</f>
        <v/>
      </c>
      <c r="TR10" s="12">
        <f>TP10+TQ10</f>
        <v/>
      </c>
      <c r="TS10" s="12">
        <f>ROUND(TR10*(1-AnnualMix),0)</f>
        <v/>
      </c>
      <c r="TT10" s="12">
        <f>TR10-TS10</f>
        <v/>
      </c>
      <c r="TU10" s="12">
        <f>ROUND(TS10*EssentialMix,0)</f>
        <v/>
      </c>
      <c r="TV10" s="12">
        <f>ROUND(TS10*PremiumMix,0)</f>
        <v/>
      </c>
      <c r="TW10" s="12">
        <f>TS10-TU10-TV10</f>
        <v/>
      </c>
      <c r="TX10" s="12">
        <f>ROUND(TT10*EssentialMix,0)</f>
        <v/>
      </c>
      <c r="TY10" s="12">
        <f>ROUND(TT10*PremiumMix,0)</f>
        <v/>
      </c>
      <c r="TZ10" s="12">
        <f>TT10-TX10-TY10</f>
        <v/>
      </c>
      <c r="UA10" s="12">
        <f>TU10+TU9+TU8+MAX(0,UA9-TU9-TU8)*(1-TN10)</f>
        <v/>
      </c>
      <c r="UB10" s="12">
        <f>TV10+TV9+TV8+MAX(0,UB9-TV9-TV8)*(1-TN10)</f>
        <v/>
      </c>
      <c r="UC10" s="12">
        <f>TW10+TW9+TW8+MAX(0,UC9-TW9-TW8)*(1-TN10)</f>
        <v/>
      </c>
      <c r="UD10" s="12">
        <f>SUM(TX$5:TX10)</f>
        <v/>
      </c>
      <c r="UE10" s="12">
        <f>SUM(TY$5:TY10)</f>
        <v/>
      </c>
      <c r="UF10" s="12">
        <f>SUM(TZ$5:TZ10)</f>
        <v/>
      </c>
      <c r="UG10" s="12">
        <f>UA10+UB10+UC10+UD10+UE10+UF10</f>
        <v/>
      </c>
      <c r="UH10" s="9">
        <f>UA10*BlendedPriceEssMonthly*TM10+UB10*BlendedPricePremMonthly*TM10+UC10*BlendedPriceEliteMonthly*TM10+UD10*BlendedPriceEssAnnual*TM10/12+UE10*BlendedPricePremAnnual*TM10/12+UF10*BlendedPriceEliteAnnual*TM10/12</f>
        <v/>
      </c>
      <c r="UI10" s="9">
        <f>UH10*12</f>
        <v/>
      </c>
      <c r="UJ10" s="12">
        <f>UA10*BlendedPriceEssMonthly*TM10+UB10*BlendedPricePremMonthly*TM10+UC10*BlendedPriceEliteMonthly*TM10</f>
        <v/>
      </c>
      <c r="UK10" s="12">
        <f>TX10*BlendedPriceEssAnnual*TM10+TY10*BlendedPricePremAnnual*TM10+TZ10*BlendedPriceEliteAnnual*TM10</f>
        <v/>
      </c>
      <c r="UL10" s="12">
        <f>0+0+0</f>
        <v/>
      </c>
      <c r="UM10" s="9">
        <f>UJ10+UK10+UL10</f>
        <v/>
      </c>
      <c r="UN10" s="12">
        <f>SUM(UM$5:UM10)</f>
        <v/>
      </c>
      <c r="UO10" s="12">
        <f>OR(UO9,IF(VATAgentMode,SUM($UM$5:$UM10)-SUM($UT$5:$UT10)&gt;=VATThreshold,SUM($UM$5:$UM10)&gt;=VATThreshold))</f>
        <v/>
      </c>
      <c r="UP10" s="9">
        <f>IF(UO10,IF(VATAgentMode,UM10-((UM10-UT10)-(UM10-UT10)/(1+VATRate)),UM10/(1+VATRate)),UM10)</f>
        <v/>
      </c>
      <c r="UQ10" s="12">
        <f>UM10-UP10</f>
        <v/>
      </c>
      <c r="UR10" s="12">
        <f>IF(UO10=0,0,IF(TJ10=1,SUMPRODUCT(--(($TK$5:$TK10=$TK10-1)*($TJ$5:$TJ10&gt;=10)*($TJ$5:$TJ10&lt;=12)),$UQ$5:$UQ10),IF(TJ10=4,SUMPRODUCT(--(($TK$5:$TK10=$TK10)*($TJ$5:$TJ10&gt;=1)*($TJ$5:$TJ10&lt;=3)),$UQ$5:$UQ10),IF(TJ10=7,SUMPRODUCT(--(($TK$5:$TK10=$TK10)*($TJ$5:$TJ10&gt;=4)*($TJ$5:$TJ10&lt;=6)),$UQ$5:$UQ10),IF(TJ10=10,SUMPRODUCT(--(($TK$5:$TK10=$TK10)*($TJ$5:$TJ10&gt;=7)*($TJ$5:$TJ10&lt;=9)),$UQ$5:$UQ10),0)))))</f>
        <v/>
      </c>
      <c r="US10" s="12">
        <f>US9+UQ10-UR10</f>
        <v/>
      </c>
      <c r="UT10" s="12">
        <f>IF(ProviderDelay&gt;=1,UA9*BlendedProvPayEss+UB9*BlendedProvPayPrem+UC9*BlendedProvPayElite+UD9*BlendedProvPayEss+UE9*BlendedProvPayPrem+UF9*BlendedProvPayElite,UA10*BlendedProvPayEss+UB10*BlendedProvPayPrem+UC10*BlendedProvPayElite+UD10*BlendedProvPayEss+UE10*BlendedProvPayPrem+UF10*BlendedProvPayElite)</f>
        <v/>
      </c>
      <c r="UU10" s="12">
        <f>UM10*PaymentFee</f>
        <v/>
      </c>
      <c r="UV10" s="12">
        <f>UG10*OpsAI</f>
        <v/>
      </c>
      <c r="UW10" s="12">
        <f>MonthlyFixed</f>
        <v/>
      </c>
      <c r="UX10" s="12">
        <f>TQ10*ReferralReward</f>
        <v/>
      </c>
      <c r="UY10" s="12">
        <f>TO10</f>
        <v/>
      </c>
      <c r="UZ10" s="9">
        <f>UP10-UT10-UU10-UV10-UW10-UX10-UY10</f>
        <v/>
      </c>
      <c r="VA10" s="9">
        <f>VA9+UM10-(UT10+UU10+UV10+UW10+UX10+UY10+UR10)</f>
        <v/>
      </c>
      <c r="VB10" s="12">
        <f>IF(UG10&gt;0,UH10/UG10,0)</f>
        <v/>
      </c>
      <c r="VC10" s="11">
        <f>IF(UG9&gt;0,MAX(0,(UG9+TR10-UG10)/UG9),0)</f>
        <v/>
      </c>
      <c r="VE10" s="12" t="n">
        <v>6</v>
      </c>
      <c r="VF10" s="12">
        <f>MOD(VE10-1+LaunchMonth-1,12)+1</f>
        <v/>
      </c>
      <c r="VG10" s="12">
        <f>INT((VE10-1+LaunchMonth-1)/12)+1</f>
        <v/>
      </c>
      <c r="VH10" s="12">
        <f>VLOOKUP(VF10,SeasonTable,2,FALSE)</f>
        <v/>
      </c>
      <c r="VI10" s="12">
        <f>(1+InflationRate)^INT((VE10-1)/12)</f>
        <v/>
      </c>
      <c r="VJ10" s="11">
        <f>MonthlyChurn*VLOOKUP(VF10,ChurnSeasonTable,4,FALSE)</f>
        <v/>
      </c>
      <c r="VK10" s="12">
        <f>MIN(MktFixed4_6,MAX(0,WW9-CashBuffer))</f>
        <v/>
      </c>
      <c r="VL10" s="12">
        <f>IF(VK10&gt;0,MAX(1,ROUND(VK10/CAC*VH10,0)),0)</f>
        <v/>
      </c>
      <c r="VM10" s="12">
        <f>IF(VL10&gt;0,ROUND(VL10*ReferralMix/(1-ReferralMix),0),0)</f>
        <v/>
      </c>
      <c r="VN10" s="12">
        <f>VL10+VM10</f>
        <v/>
      </c>
      <c r="VO10" s="12">
        <f>ROUND(VN10*(1-'Sens - Annual Mix'!$A$9),0)</f>
        <v/>
      </c>
      <c r="VP10" s="12">
        <f>VN10-VO10</f>
        <v/>
      </c>
      <c r="VQ10" s="12">
        <f>ROUND(VO10*EssentialMix,0)</f>
        <v/>
      </c>
      <c r="VR10" s="12">
        <f>ROUND(VO10*PremiumMix,0)</f>
        <v/>
      </c>
      <c r="VS10" s="12">
        <f>VO10-VQ10-VR10</f>
        <v/>
      </c>
      <c r="VT10" s="12">
        <f>ROUND(VP10*EssentialMix,0)</f>
        <v/>
      </c>
      <c r="VU10" s="12">
        <f>ROUND(VP10*PremiumMix,0)</f>
        <v/>
      </c>
      <c r="VV10" s="12">
        <f>VP10-VT10-VU10</f>
        <v/>
      </c>
      <c r="VW10" s="12">
        <f>VQ10+VQ9+VQ8+MAX(0,VW9-VQ9-VQ8)*(1-VJ10)</f>
        <v/>
      </c>
      <c r="VX10" s="12">
        <f>VR10+VR9+VR8+MAX(0,VX9-VR9-VR8)*(1-VJ10)</f>
        <v/>
      </c>
      <c r="VY10" s="12">
        <f>VS10+VS9+VS8+MAX(0,VY9-VS9-VS8)*(1-VJ10)</f>
        <v/>
      </c>
      <c r="VZ10" s="12">
        <f>SUM(VT$5:VT10)</f>
        <v/>
      </c>
      <c r="WA10" s="12">
        <f>SUM(VU$5:VU10)</f>
        <v/>
      </c>
      <c r="WB10" s="12">
        <f>SUM(VV$5:VV10)</f>
        <v/>
      </c>
      <c r="WC10" s="12">
        <f>VW10+VX10+VY10+VZ10+WA10+WB10</f>
        <v/>
      </c>
      <c r="WD10" s="9">
        <f>VW10*BlendedPriceEssMonthly*VI10+VX10*BlendedPricePremMonthly*VI10+VY10*BlendedPriceEliteMonthly*VI10+VZ10*BlendedPriceEssAnnual*VI10/12+WA10*BlendedPricePremAnnual*VI10/12+WB10*BlendedPriceEliteAnnual*VI10/12</f>
        <v/>
      </c>
      <c r="WE10" s="9">
        <f>WD10*12</f>
        <v/>
      </c>
      <c r="WF10" s="12">
        <f>VW10*BlendedPriceEssMonthly*VI10+VX10*BlendedPricePremMonthly*VI10+VY10*BlendedPriceEliteMonthly*VI10</f>
        <v/>
      </c>
      <c r="WG10" s="12">
        <f>VT10*BlendedPriceEssAnnual*VI10+VU10*BlendedPricePremAnnual*VI10+VV10*BlendedPriceEliteAnnual*VI10</f>
        <v/>
      </c>
      <c r="WH10" s="12">
        <f>0+0+0</f>
        <v/>
      </c>
      <c r="WI10" s="9">
        <f>WF10+WG10+WH10</f>
        <v/>
      </c>
      <c r="WJ10" s="12">
        <f>SUM(WI$5:WI10)</f>
        <v/>
      </c>
      <c r="WK10" s="12">
        <f>OR(WK9,IF(VATAgentMode,SUM($WI$5:$WI10)-SUM($WP$5:$WP10)&gt;=VATThreshold,SUM($WI$5:$WI10)&gt;=VATThreshold))</f>
        <v/>
      </c>
      <c r="WL10" s="9">
        <f>IF(WK10,IF(VATAgentMode,WI10-((WI10-WP10)-(WI10-WP10)/(1+VATRate)),WI10/(1+VATRate)),WI10)</f>
        <v/>
      </c>
      <c r="WM10" s="12">
        <f>WI10-WL10</f>
        <v/>
      </c>
      <c r="WN10" s="12">
        <f>IF(WK10=0,0,IF(VF10=1,SUMPRODUCT(--(($VG$5:$VG10=$VG10-1)*($VF$5:$VF10&gt;=10)*($VF$5:$VF10&lt;=12)),$WM$5:$WM10),IF(VF10=4,SUMPRODUCT(--(($VG$5:$VG10=$VG10)*($VF$5:$VF10&gt;=1)*($VF$5:$VF10&lt;=3)),$WM$5:$WM10),IF(VF10=7,SUMPRODUCT(--(($VG$5:$VG10=$VG10)*($VF$5:$VF10&gt;=4)*($VF$5:$VF10&lt;=6)),$WM$5:$WM10),IF(VF10=10,SUMPRODUCT(--(($VG$5:$VG10=$VG10)*($VF$5:$VF10&gt;=7)*($VF$5:$VF10&lt;=9)),$WM$5:$WM10),0)))))</f>
        <v/>
      </c>
      <c r="WO10" s="12">
        <f>WO9+WM10-WN10</f>
        <v/>
      </c>
      <c r="WP10" s="12">
        <f>IF(ProviderDelay&gt;=1,VW9*BlendedProvPayEss+VX9*BlendedProvPayPrem+VY9*BlendedProvPayElite+VZ9*BlendedProvPayEss+WA9*BlendedProvPayPrem+WB9*BlendedProvPayElite,VW10*BlendedProvPayEss+VX10*BlendedProvPayPrem+VY10*BlendedProvPayElite+VZ10*BlendedProvPayEss+WA10*BlendedProvPayPrem+WB10*BlendedProvPayElite)</f>
        <v/>
      </c>
      <c r="WQ10" s="12">
        <f>WI10*PaymentFee</f>
        <v/>
      </c>
      <c r="WR10" s="12">
        <f>WC10*OpsAI</f>
        <v/>
      </c>
      <c r="WS10" s="12">
        <f>MonthlyFixed</f>
        <v/>
      </c>
      <c r="WT10" s="12">
        <f>VM10*ReferralReward</f>
        <v/>
      </c>
      <c r="WU10" s="12">
        <f>VK10</f>
        <v/>
      </c>
      <c r="WV10" s="9">
        <f>WL10-WP10-WQ10-WR10-WS10-WT10-WU10</f>
        <v/>
      </c>
      <c r="WW10" s="9">
        <f>WW9+WI10-(WP10+WQ10+WR10+WS10+WT10+WU10+WN10)</f>
        <v/>
      </c>
      <c r="WX10" s="12">
        <f>IF(WC10&gt;0,WD10/WC10,0)</f>
        <v/>
      </c>
      <c r="WY10" s="11">
        <f>IF(WC9&gt;0,MAX(0,(WC9+VN10-WC10)/WC9),0)</f>
        <v/>
      </c>
      <c r="XA10" s="12" t="n">
        <v>6</v>
      </c>
      <c r="XB10" s="12">
        <f>MOD(XA10-1+LaunchMonth-1,12)+1</f>
        <v/>
      </c>
      <c r="XC10" s="12">
        <f>INT((XA10-1+LaunchMonth-1)/12)+1</f>
        <v/>
      </c>
      <c r="XD10" s="12">
        <f>VLOOKUP(XB10,SeasonTable,2,FALSE)</f>
        <v/>
      </c>
      <c r="XE10" s="12">
        <f>(1+InflationRate)^INT((XA10-1)/12)</f>
        <v/>
      </c>
      <c r="XF10" s="11">
        <f>MonthlyChurn*VLOOKUP(XB10,ChurnSeasonTable,4,FALSE)</f>
        <v/>
      </c>
      <c r="XG10" s="12">
        <f>MIN(MktFixed4_6,MAX(0,YS9-CashBuffer))</f>
        <v/>
      </c>
      <c r="XH10" s="12">
        <f>IF(XG10&gt;0,MAX(1,ROUND(XG10/CAC*XD10,0)),0)</f>
        <v/>
      </c>
      <c r="XI10" s="12">
        <f>IF(XH10&gt;0,ROUND(XH10*ReferralMix/(1-ReferralMix),0),0)</f>
        <v/>
      </c>
      <c r="XJ10" s="12">
        <f>XH10+XI10</f>
        <v/>
      </c>
      <c r="XK10" s="12">
        <f>ROUND(XJ10*(1-'Sens - Annual Mix'!$A$10),0)</f>
        <v/>
      </c>
      <c r="XL10" s="12">
        <f>XJ10-XK10</f>
        <v/>
      </c>
      <c r="XM10" s="12">
        <f>ROUND(XK10*EssentialMix,0)</f>
        <v/>
      </c>
      <c r="XN10" s="12">
        <f>ROUND(XK10*PremiumMix,0)</f>
        <v/>
      </c>
      <c r="XO10" s="12">
        <f>XK10-XM10-XN10</f>
        <v/>
      </c>
      <c r="XP10" s="12">
        <f>ROUND(XL10*EssentialMix,0)</f>
        <v/>
      </c>
      <c r="XQ10" s="12">
        <f>ROUND(XL10*PremiumMix,0)</f>
        <v/>
      </c>
      <c r="XR10" s="12">
        <f>XL10-XP10-XQ10</f>
        <v/>
      </c>
      <c r="XS10" s="12">
        <f>XM10+XM9+XM8+MAX(0,XS9-XM9-XM8)*(1-XF10)</f>
        <v/>
      </c>
      <c r="XT10" s="12">
        <f>XN10+XN9+XN8+MAX(0,XT9-XN9-XN8)*(1-XF10)</f>
        <v/>
      </c>
      <c r="XU10" s="12">
        <f>XO10+XO9+XO8+MAX(0,XU9-XO9-XO8)*(1-XF10)</f>
        <v/>
      </c>
      <c r="XV10" s="12">
        <f>SUM(XP$5:XP10)</f>
        <v/>
      </c>
      <c r="XW10" s="12">
        <f>SUM(XQ$5:XQ10)</f>
        <v/>
      </c>
      <c r="XX10" s="12">
        <f>SUM(XR$5:XR10)</f>
        <v/>
      </c>
      <c r="XY10" s="12">
        <f>XS10+XT10+XU10+XV10+XW10+XX10</f>
        <v/>
      </c>
      <c r="XZ10" s="9">
        <f>XS10*BlendedPriceEssMonthly*XE10+XT10*BlendedPricePremMonthly*XE10+XU10*BlendedPriceEliteMonthly*XE10+XV10*BlendedPriceEssAnnual*XE10/12+XW10*BlendedPricePremAnnual*XE10/12+XX10*BlendedPriceEliteAnnual*XE10/12</f>
        <v/>
      </c>
      <c r="YA10" s="9">
        <f>XZ10*12</f>
        <v/>
      </c>
      <c r="YB10" s="12">
        <f>XS10*BlendedPriceEssMonthly*XE10+XT10*BlendedPricePremMonthly*XE10+XU10*BlendedPriceEliteMonthly*XE10</f>
        <v/>
      </c>
      <c r="YC10" s="12">
        <f>XP10*BlendedPriceEssAnnual*XE10+XQ10*BlendedPricePremAnnual*XE10+XR10*BlendedPriceEliteAnnual*XE10</f>
        <v/>
      </c>
      <c r="YD10" s="12">
        <f>0+0+0</f>
        <v/>
      </c>
      <c r="YE10" s="9">
        <f>YB10+YC10+YD10</f>
        <v/>
      </c>
      <c r="YF10" s="12">
        <f>SUM(YE$5:YE10)</f>
        <v/>
      </c>
      <c r="YG10" s="12">
        <f>OR(YG9,IF(VATAgentMode,SUM($YE$5:$YE10)-SUM($YL$5:$YL10)&gt;=VATThreshold,SUM($YE$5:$YE10)&gt;=VATThreshold))</f>
        <v/>
      </c>
      <c r="YH10" s="9">
        <f>IF(YG10,IF(VATAgentMode,YE10-((YE10-YL10)-(YE10-YL10)/(1+VATRate)),YE10/(1+VATRate)),YE10)</f>
        <v/>
      </c>
      <c r="YI10" s="12">
        <f>YE10-YH10</f>
        <v/>
      </c>
      <c r="YJ10" s="12">
        <f>IF(YG10=0,0,IF(XB10=1,SUMPRODUCT(--(($XC$5:$XC10=$XC10-1)*($XB$5:$XB10&gt;=10)*($XB$5:$XB10&lt;=12)),$YI$5:$YI10),IF(XB10=4,SUMPRODUCT(--(($XC$5:$XC10=$XC10)*($XB$5:$XB10&gt;=1)*($XB$5:$XB10&lt;=3)),$YI$5:$YI10),IF(XB10=7,SUMPRODUCT(--(($XC$5:$XC10=$XC10)*($XB$5:$XB10&gt;=4)*($XB$5:$XB10&lt;=6)),$YI$5:$YI10),IF(XB10=10,SUMPRODUCT(--(($XC$5:$XC10=$XC10)*($XB$5:$XB10&gt;=7)*($XB$5:$XB10&lt;=9)),$YI$5:$YI10),0)))))</f>
        <v/>
      </c>
      <c r="YK10" s="12">
        <f>YK9+YI10-YJ10</f>
        <v/>
      </c>
      <c r="YL10" s="12">
        <f>IF(ProviderDelay&gt;=1,XS9*BlendedProvPayEss+XT9*BlendedProvPayPrem+XU9*BlendedProvPayElite+XV9*BlendedProvPayEss+XW9*BlendedProvPayPrem+XX9*BlendedProvPayElite,XS10*BlendedProvPayEss+XT10*BlendedProvPayPrem+XU10*BlendedProvPayElite+XV10*BlendedProvPayEss+XW10*BlendedProvPayPrem+XX10*BlendedProvPayElite)</f>
        <v/>
      </c>
      <c r="YM10" s="12">
        <f>YE10*PaymentFee</f>
        <v/>
      </c>
      <c r="YN10" s="12">
        <f>XY10*OpsAI</f>
        <v/>
      </c>
      <c r="YO10" s="12">
        <f>MonthlyFixed</f>
        <v/>
      </c>
      <c r="YP10" s="12">
        <f>XI10*ReferralReward</f>
        <v/>
      </c>
      <c r="YQ10" s="12">
        <f>XG10</f>
        <v/>
      </c>
      <c r="YR10" s="9">
        <f>YH10-YL10-YM10-YN10-YO10-YP10-YQ10</f>
        <v/>
      </c>
      <c r="YS10" s="9">
        <f>YS9+YE10-(YL10+YM10+YN10+YO10+YP10+YQ10+YJ10)</f>
        <v/>
      </c>
      <c r="YT10" s="12">
        <f>IF(XY10&gt;0,XZ10/XY10,0)</f>
        <v/>
      </c>
      <c r="YU10" s="11">
        <f>IF(XY9&gt;0,MAX(0,(XY9+XJ10-XY10)/XY9),0)</f>
        <v/>
      </c>
      <c r="YW10" s="12" t="n">
        <v>6</v>
      </c>
      <c r="YX10" s="12">
        <f>MOD(YW10-1+LaunchMonth-1,12)+1</f>
        <v/>
      </c>
      <c r="YY10" s="12">
        <f>INT((YW10-1+LaunchMonth-1)/12)+1</f>
        <v/>
      </c>
      <c r="YZ10" s="12">
        <f>VLOOKUP(YX10,SeasonTable,2,FALSE)</f>
        <v/>
      </c>
      <c r="ZA10" s="12">
        <f>(1+InflationRate)^INT((YW10-1)/12)</f>
        <v/>
      </c>
      <c r="ZB10" s="11">
        <f>MonthlyChurn*VLOOKUP(YX10,ChurnSeasonTable,4,FALSE)</f>
        <v/>
      </c>
      <c r="ZC10" s="12">
        <f>MIN(MktFixed4_6,MAX(0,AAO9-CashBuffer))</f>
        <v/>
      </c>
      <c r="ZD10" s="12">
        <f>IF(ZC10&gt;0,MAX(1,ROUND(ZC10/CAC*YZ10,0)),0)</f>
        <v/>
      </c>
      <c r="ZE10" s="12">
        <f>IF(ZD10&gt;0,ROUND(ZD10*ReferralMix/(1-ReferralMix),0),0)</f>
        <v/>
      </c>
      <c r="ZF10" s="12">
        <f>ZD10+ZE10</f>
        <v/>
      </c>
      <c r="ZG10" s="12">
        <f>ROUND(ZF10*(1-'Sens - Annual Mix'!$A$11),0)</f>
        <v/>
      </c>
      <c r="ZH10" s="12">
        <f>ZF10-ZG10</f>
        <v/>
      </c>
      <c r="ZI10" s="12">
        <f>ROUND(ZG10*EssentialMix,0)</f>
        <v/>
      </c>
      <c r="ZJ10" s="12">
        <f>ROUND(ZG10*PremiumMix,0)</f>
        <v/>
      </c>
      <c r="ZK10" s="12">
        <f>ZG10-ZI10-ZJ10</f>
        <v/>
      </c>
      <c r="ZL10" s="12">
        <f>ROUND(ZH10*EssentialMix,0)</f>
        <v/>
      </c>
      <c r="ZM10" s="12">
        <f>ROUND(ZH10*PremiumMix,0)</f>
        <v/>
      </c>
      <c r="ZN10" s="12">
        <f>ZH10-ZL10-ZM10</f>
        <v/>
      </c>
      <c r="ZO10" s="12">
        <f>ZI10+ZI9+ZI8+MAX(0,ZO9-ZI9-ZI8)*(1-ZB10)</f>
        <v/>
      </c>
      <c r="ZP10" s="12">
        <f>ZJ10+ZJ9+ZJ8+MAX(0,ZP9-ZJ9-ZJ8)*(1-ZB10)</f>
        <v/>
      </c>
      <c r="ZQ10" s="12">
        <f>ZK10+ZK9+ZK8+MAX(0,ZQ9-ZK9-ZK8)*(1-ZB10)</f>
        <v/>
      </c>
      <c r="ZR10" s="12">
        <f>SUM(ZL$5:ZL10)</f>
        <v/>
      </c>
      <c r="ZS10" s="12">
        <f>SUM(ZM$5:ZM10)</f>
        <v/>
      </c>
      <c r="ZT10" s="12">
        <f>SUM(ZN$5:ZN10)</f>
        <v/>
      </c>
      <c r="ZU10" s="12">
        <f>ZO10+ZP10+ZQ10+ZR10+ZS10+ZT10</f>
        <v/>
      </c>
      <c r="ZV10" s="9">
        <f>ZO10*BlendedPriceEssMonthly*ZA10+ZP10*BlendedPricePremMonthly*ZA10+ZQ10*BlendedPriceEliteMonthly*ZA10+ZR10*BlendedPriceEssAnnual*ZA10/12+ZS10*BlendedPricePremAnnual*ZA10/12+ZT10*BlendedPriceEliteAnnual*ZA10/12</f>
        <v/>
      </c>
      <c r="ZW10" s="9">
        <f>ZV10*12</f>
        <v/>
      </c>
      <c r="ZX10" s="12">
        <f>ZO10*BlendedPriceEssMonthly*ZA10+ZP10*BlendedPricePremMonthly*ZA10+ZQ10*BlendedPriceEliteMonthly*ZA10</f>
        <v/>
      </c>
      <c r="ZY10" s="12">
        <f>ZL10*BlendedPriceEssAnnual*ZA10+ZM10*BlendedPricePremAnnual*ZA10+ZN10*BlendedPriceEliteAnnual*ZA10</f>
        <v/>
      </c>
      <c r="ZZ10" s="12">
        <f>0+0+0</f>
        <v/>
      </c>
      <c r="AAA10" s="9">
        <f>ZX10+ZY10+ZZ10</f>
        <v/>
      </c>
      <c r="AAB10" s="12">
        <f>SUM(AAA$5:AAA10)</f>
        <v/>
      </c>
      <c r="AAC10" s="12">
        <f>OR(AAC9,IF(VATAgentMode,SUM($AAA$5:$AAA10)-SUM($AAH$5:$AAH10)&gt;=VATThreshold,SUM($AAA$5:$AAA10)&gt;=VATThreshold))</f>
        <v/>
      </c>
      <c r="AAD10" s="9">
        <f>IF(AAC10,IF(VATAgentMode,AAA10-((AAA10-AAH10)-(AAA10-AAH10)/(1+VATRate)),AAA10/(1+VATRate)),AAA10)</f>
        <v/>
      </c>
      <c r="AAE10" s="12">
        <f>AAA10-AAD10</f>
        <v/>
      </c>
      <c r="AAF10" s="12">
        <f>IF(AAC10=0,0,IF(YX10=1,SUMPRODUCT(--(($YY$5:$YY10=$YY10-1)*($YX$5:$YX10&gt;=10)*($YX$5:$YX10&lt;=12)),$AAE$5:$AAE10),IF(YX10=4,SUMPRODUCT(--(($YY$5:$YY10=$YY10)*($YX$5:$YX10&gt;=1)*($YX$5:$YX10&lt;=3)),$AAE$5:$AAE10),IF(YX10=7,SUMPRODUCT(--(($YY$5:$YY10=$YY10)*($YX$5:$YX10&gt;=4)*($YX$5:$YX10&lt;=6)),$AAE$5:$AAE10),IF(YX10=10,SUMPRODUCT(--(($YY$5:$YY10=$YY10)*($YX$5:$YX10&gt;=7)*($YX$5:$YX10&lt;=9)),$AAE$5:$AAE10),0)))))</f>
        <v/>
      </c>
      <c r="AAG10" s="12">
        <f>AAG9+AAE10-AAF10</f>
        <v/>
      </c>
      <c r="AAH10" s="12">
        <f>IF(ProviderDelay&gt;=1,ZO9*BlendedProvPayEss+ZP9*BlendedProvPayPrem+ZQ9*BlendedProvPayElite+ZR9*BlendedProvPayEss+ZS9*BlendedProvPayPrem+ZT9*BlendedProvPayElite,ZO10*BlendedProvPayEss+ZP10*BlendedProvPayPrem+ZQ10*BlendedProvPayElite+ZR10*BlendedProvPayEss+ZS10*BlendedProvPayPrem+ZT10*BlendedProvPayElite)</f>
        <v/>
      </c>
      <c r="AAI10" s="12">
        <f>AAA10*PaymentFee</f>
        <v/>
      </c>
      <c r="AAJ10" s="12">
        <f>ZU10*OpsAI</f>
        <v/>
      </c>
      <c r="AAK10" s="12">
        <f>MonthlyFixed</f>
        <v/>
      </c>
      <c r="AAL10" s="12">
        <f>ZE10*ReferralReward</f>
        <v/>
      </c>
      <c r="AAM10" s="12">
        <f>ZC10</f>
        <v/>
      </c>
      <c r="AAN10" s="9">
        <f>AAD10-AAH10-AAI10-AAJ10-AAK10-AAL10-AAM10</f>
        <v/>
      </c>
      <c r="AAO10" s="9">
        <f>AAO9+AAA10-(AAH10+AAI10+AAJ10+AAK10+AAL10+AAM10+AAF10)</f>
        <v/>
      </c>
      <c r="AAP10" s="12">
        <f>IF(ZU10&gt;0,ZV10/ZU10,0)</f>
        <v/>
      </c>
      <c r="AAQ10" s="11">
        <f>IF(ZU9&gt;0,MAX(0,(ZU9+ZF10-ZU10)/ZU9),0)</f>
        <v/>
      </c>
      <c r="AAS10" s="12" t="n">
        <v>6</v>
      </c>
      <c r="AAT10" s="12">
        <f>MOD(AAS10-1+LaunchMonth-1,12)+1</f>
        <v/>
      </c>
      <c r="AAU10" s="12">
        <f>INT((AAS10-1+LaunchMonth-1)/12)+1</f>
        <v/>
      </c>
      <c r="AAV10" s="12">
        <f>VLOOKUP(AAT10,SeasonTable,2,FALSE)</f>
        <v/>
      </c>
      <c r="AAW10" s="12">
        <f>(1+InflationRate)^INT((AAS10-1)/12)</f>
        <v/>
      </c>
      <c r="AAX10" s="11">
        <f>MonthlyChurn*VLOOKUP(AAT10,ChurnSeasonTable,4,FALSE)</f>
        <v/>
      </c>
      <c r="AAY10" s="12">
        <f>MIN(MktFixed4_6,MAX(0,ACK9-CashBuffer))</f>
        <v/>
      </c>
      <c r="AAZ10" s="12">
        <f>IF(AAY10&gt;0,MAX(1,ROUND(AAY10/CAC*AAV10,0)),0)</f>
        <v/>
      </c>
      <c r="ABA10" s="12">
        <f>IF(AAZ10&gt;0,ROUND(AAZ10*ReferralMix/(1-ReferralMix),0),0)</f>
        <v/>
      </c>
      <c r="ABB10" s="12">
        <f>AAZ10+ABA10</f>
        <v/>
      </c>
      <c r="ABC10" s="12">
        <f>ROUND(ABB10*(1-'Sens - Annual Mix'!$A$12),0)</f>
        <v/>
      </c>
      <c r="ABD10" s="12">
        <f>ABB10-ABC10</f>
        <v/>
      </c>
      <c r="ABE10" s="12">
        <f>ROUND(ABC10*EssentialMix,0)</f>
        <v/>
      </c>
      <c r="ABF10" s="12">
        <f>ROUND(ABC10*PremiumMix,0)</f>
        <v/>
      </c>
      <c r="ABG10" s="12">
        <f>ABC10-ABE10-ABF10</f>
        <v/>
      </c>
      <c r="ABH10" s="12">
        <f>ROUND(ABD10*EssentialMix,0)</f>
        <v/>
      </c>
      <c r="ABI10" s="12">
        <f>ROUND(ABD10*PremiumMix,0)</f>
        <v/>
      </c>
      <c r="ABJ10" s="12">
        <f>ABD10-ABH10-ABI10</f>
        <v/>
      </c>
      <c r="ABK10" s="12">
        <f>ABE10+ABE9+ABE8+MAX(0,ABK9-ABE9-ABE8)*(1-AAX10)</f>
        <v/>
      </c>
      <c r="ABL10" s="12">
        <f>ABF10+ABF9+ABF8+MAX(0,ABL9-ABF9-ABF8)*(1-AAX10)</f>
        <v/>
      </c>
      <c r="ABM10" s="12">
        <f>ABG10+ABG9+ABG8+MAX(0,ABM9-ABG9-ABG8)*(1-AAX10)</f>
        <v/>
      </c>
      <c r="ABN10" s="12">
        <f>SUM(ABH$5:ABH10)</f>
        <v/>
      </c>
      <c r="ABO10" s="12">
        <f>SUM(ABI$5:ABI10)</f>
        <v/>
      </c>
      <c r="ABP10" s="12">
        <f>SUM(ABJ$5:ABJ10)</f>
        <v/>
      </c>
      <c r="ABQ10" s="12">
        <f>ABK10+ABL10+ABM10+ABN10+ABO10+ABP10</f>
        <v/>
      </c>
      <c r="ABR10" s="9">
        <f>ABK10*BlendedPriceEssMonthly*AAW10+ABL10*BlendedPricePremMonthly*AAW10+ABM10*BlendedPriceEliteMonthly*AAW10+ABN10*BlendedPriceEssAnnual*AAW10/12+ABO10*BlendedPricePremAnnual*AAW10/12+ABP10*BlendedPriceEliteAnnual*AAW10/12</f>
        <v/>
      </c>
      <c r="ABS10" s="9">
        <f>ABR10*12</f>
        <v/>
      </c>
      <c r="ABT10" s="12">
        <f>ABK10*BlendedPriceEssMonthly*AAW10+ABL10*BlendedPricePremMonthly*AAW10+ABM10*BlendedPriceEliteMonthly*AAW10</f>
        <v/>
      </c>
      <c r="ABU10" s="12">
        <f>ABH10*BlendedPriceEssAnnual*AAW10+ABI10*BlendedPricePremAnnual*AAW10+ABJ10*BlendedPriceEliteAnnual*AAW10</f>
        <v/>
      </c>
      <c r="ABV10" s="12">
        <f>0+0+0</f>
        <v/>
      </c>
      <c r="ABW10" s="9">
        <f>ABT10+ABU10+ABV10</f>
        <v/>
      </c>
      <c r="ABX10" s="12">
        <f>SUM(ABW$5:ABW10)</f>
        <v/>
      </c>
      <c r="ABY10" s="12">
        <f>OR(ABY9,IF(VATAgentMode,SUM($ABW$5:$ABW10)-SUM($ACD$5:$ACD10)&gt;=VATThreshold,SUM($ABW$5:$ABW10)&gt;=VATThreshold))</f>
        <v/>
      </c>
      <c r="ABZ10" s="9">
        <f>IF(ABY10,IF(VATAgentMode,ABW10-((ABW10-ACD10)-(ABW10-ACD10)/(1+VATRate)),ABW10/(1+VATRate)),ABW10)</f>
        <v/>
      </c>
      <c r="ACA10" s="12">
        <f>ABW10-ABZ10</f>
        <v/>
      </c>
      <c r="ACB10" s="12">
        <f>IF(ABY10=0,0,IF(AAT10=1,SUMPRODUCT(--(($AAU$5:$AAU10=$AAU10-1)*($AAT$5:$AAT10&gt;=10)*($AAT$5:$AAT10&lt;=12)),$ACA$5:$ACA10),IF(AAT10=4,SUMPRODUCT(--(($AAU$5:$AAU10=$AAU10)*($AAT$5:$AAT10&gt;=1)*($AAT$5:$AAT10&lt;=3)),$ACA$5:$ACA10),IF(AAT10=7,SUMPRODUCT(--(($AAU$5:$AAU10=$AAU10)*($AAT$5:$AAT10&gt;=4)*($AAT$5:$AAT10&lt;=6)),$ACA$5:$ACA10),IF(AAT10=10,SUMPRODUCT(--(($AAU$5:$AAU10=$AAU10)*($AAT$5:$AAT10&gt;=7)*($AAT$5:$AAT10&lt;=9)),$ACA$5:$ACA10),0)))))</f>
        <v/>
      </c>
      <c r="ACC10" s="12">
        <f>ACC9+ACA10-ACB10</f>
        <v/>
      </c>
      <c r="ACD10" s="12">
        <f>IF(ProviderDelay&gt;=1,ABK9*BlendedProvPayEss+ABL9*BlendedProvPayPrem+ABM9*BlendedProvPayElite+ABN9*BlendedProvPayEss+ABO9*BlendedProvPayPrem+ABP9*BlendedProvPayElite,ABK10*BlendedProvPayEss+ABL10*BlendedProvPayPrem+ABM10*BlendedProvPayElite+ABN10*BlendedProvPayEss+ABO10*BlendedProvPayPrem+ABP10*BlendedProvPayElite)</f>
        <v/>
      </c>
      <c r="ACE10" s="12">
        <f>ABW10*PaymentFee</f>
        <v/>
      </c>
      <c r="ACF10" s="12">
        <f>ABQ10*OpsAI</f>
        <v/>
      </c>
      <c r="ACG10" s="12">
        <f>MonthlyFixed</f>
        <v/>
      </c>
      <c r="ACH10" s="12">
        <f>ABA10*ReferralReward</f>
        <v/>
      </c>
      <c r="ACI10" s="12">
        <f>AAY10</f>
        <v/>
      </c>
      <c r="ACJ10" s="9">
        <f>ABZ10-ACD10-ACE10-ACF10-ACG10-ACH10-ACI10</f>
        <v/>
      </c>
      <c r="ACK10" s="9">
        <f>ACK9+ABW10-(ACD10+ACE10+ACF10+ACG10+ACH10+ACI10+ACB10)</f>
        <v/>
      </c>
      <c r="ACL10" s="12">
        <f>IF(ABQ10&gt;0,ABR10/ABQ10,0)</f>
        <v/>
      </c>
      <c r="ACM10" s="11">
        <f>IF(ABQ9&gt;0,MAX(0,(ABQ9+ABB10-ABQ10)/ABQ9),0)</f>
        <v/>
      </c>
      <c r="ACO10" s="12" t="n">
        <v>6</v>
      </c>
      <c r="ACP10" s="12">
        <f>MOD(ACO10-1+LaunchMonth-1,12)+1</f>
        <v/>
      </c>
      <c r="ACQ10" s="12">
        <f>INT((ACO10-1+LaunchMonth-1)/12)+1</f>
        <v/>
      </c>
      <c r="ACR10" s="12">
        <f>VLOOKUP(ACP10,SeasonTable,2,FALSE)</f>
        <v/>
      </c>
      <c r="ACS10" s="12">
        <f>(1+InflationRate)^INT((ACO10-1)/12)</f>
        <v/>
      </c>
      <c r="ACT10" s="11">
        <f>MonthlyChurn*VLOOKUP(ACP10,ChurnSeasonTable,4,FALSE)</f>
        <v/>
      </c>
      <c r="ACU10" s="12">
        <f>MIN(MktFixed4_6,MAX(0,AEG9-CashBuffer))</f>
        <v/>
      </c>
      <c r="ACV10" s="12">
        <f>IF(ACU10&gt;0,MAX(1,ROUND(ACU10/CAC*ACR10,0)),0)</f>
        <v/>
      </c>
      <c r="ACW10" s="12">
        <f>IF(ACV10&gt;0,ROUND(ACV10*ReferralMix/(1-ReferralMix),0),0)</f>
        <v/>
      </c>
      <c r="ACX10" s="12">
        <f>ACV10+ACW10</f>
        <v/>
      </c>
      <c r="ACY10" s="12">
        <f>ROUND(ACX10*(1-'Sens - Annual Mix'!$A$13),0)</f>
        <v/>
      </c>
      <c r="ACZ10" s="12">
        <f>ACX10-ACY10</f>
        <v/>
      </c>
      <c r="ADA10" s="12">
        <f>ROUND(ACY10*EssentialMix,0)</f>
        <v/>
      </c>
      <c r="ADB10" s="12">
        <f>ROUND(ACY10*PremiumMix,0)</f>
        <v/>
      </c>
      <c r="ADC10" s="12">
        <f>ACY10-ADA10-ADB10</f>
        <v/>
      </c>
      <c r="ADD10" s="12">
        <f>ROUND(ACZ10*EssentialMix,0)</f>
        <v/>
      </c>
      <c r="ADE10" s="12">
        <f>ROUND(ACZ10*PremiumMix,0)</f>
        <v/>
      </c>
      <c r="ADF10" s="12">
        <f>ACZ10-ADD10-ADE10</f>
        <v/>
      </c>
      <c r="ADG10" s="12">
        <f>ADA10+ADA9+ADA8+MAX(0,ADG9-ADA9-ADA8)*(1-ACT10)</f>
        <v/>
      </c>
      <c r="ADH10" s="12">
        <f>ADB10+ADB9+ADB8+MAX(0,ADH9-ADB9-ADB8)*(1-ACT10)</f>
        <v/>
      </c>
      <c r="ADI10" s="12">
        <f>ADC10+ADC9+ADC8+MAX(0,ADI9-ADC9-ADC8)*(1-ACT10)</f>
        <v/>
      </c>
      <c r="ADJ10" s="12">
        <f>SUM(ADD$5:ADD10)</f>
        <v/>
      </c>
      <c r="ADK10" s="12">
        <f>SUM(ADE$5:ADE10)</f>
        <v/>
      </c>
      <c r="ADL10" s="12">
        <f>SUM(ADF$5:ADF10)</f>
        <v/>
      </c>
      <c r="ADM10" s="12">
        <f>ADG10+ADH10+ADI10+ADJ10+ADK10+ADL10</f>
        <v/>
      </c>
      <c r="ADN10" s="9">
        <f>ADG10*BlendedPriceEssMonthly*ACS10+ADH10*BlendedPricePremMonthly*ACS10+ADI10*BlendedPriceEliteMonthly*ACS10+ADJ10*BlendedPriceEssAnnual*ACS10/12+ADK10*BlendedPricePremAnnual*ACS10/12+ADL10*BlendedPriceEliteAnnual*ACS10/12</f>
        <v/>
      </c>
      <c r="ADO10" s="9">
        <f>ADN10*12</f>
        <v/>
      </c>
      <c r="ADP10" s="12">
        <f>ADG10*BlendedPriceEssMonthly*ACS10+ADH10*BlendedPricePremMonthly*ACS10+ADI10*BlendedPriceEliteMonthly*ACS10</f>
        <v/>
      </c>
      <c r="ADQ10" s="12">
        <f>ADD10*BlendedPriceEssAnnual*ACS10+ADE10*BlendedPricePremAnnual*ACS10+ADF10*BlendedPriceEliteAnnual*ACS10</f>
        <v/>
      </c>
      <c r="ADR10" s="12">
        <f>0+0+0</f>
        <v/>
      </c>
      <c r="ADS10" s="9">
        <f>ADP10+ADQ10+ADR10</f>
        <v/>
      </c>
      <c r="ADT10" s="12">
        <f>SUM(ADS$5:ADS10)</f>
        <v/>
      </c>
      <c r="ADU10" s="12">
        <f>OR(ADU9,IF(VATAgentMode,SUM($ADS$5:$ADS10)-SUM($ADZ$5:$ADZ10)&gt;=VATThreshold,SUM($ADS$5:$ADS10)&gt;=VATThreshold))</f>
        <v/>
      </c>
      <c r="ADV10" s="9">
        <f>IF(ADU10,IF(VATAgentMode,ADS10-((ADS10-ADZ10)-(ADS10-ADZ10)/(1+VATRate)),ADS10/(1+VATRate)),ADS10)</f>
        <v/>
      </c>
      <c r="ADW10" s="12">
        <f>ADS10-ADV10</f>
        <v/>
      </c>
      <c r="ADX10" s="12">
        <f>IF(ADU10=0,0,IF(ACP10=1,SUMPRODUCT(--(($ACQ$5:$ACQ10=$ACQ10-1)*($ACP$5:$ACP10&gt;=10)*($ACP$5:$ACP10&lt;=12)),$ADW$5:$ADW10),IF(ACP10=4,SUMPRODUCT(--(($ACQ$5:$ACQ10=$ACQ10)*($ACP$5:$ACP10&gt;=1)*($ACP$5:$ACP10&lt;=3)),$ADW$5:$ADW10),IF(ACP10=7,SUMPRODUCT(--(($ACQ$5:$ACQ10=$ACQ10)*($ACP$5:$ACP10&gt;=4)*($ACP$5:$ACP10&lt;=6)),$ADW$5:$ADW10),IF(ACP10=10,SUMPRODUCT(--(($ACQ$5:$ACQ10=$ACQ10)*($ACP$5:$ACP10&gt;=7)*($ACP$5:$ACP10&lt;=9)),$ADW$5:$ADW10),0)))))</f>
        <v/>
      </c>
      <c r="ADY10" s="12">
        <f>ADY9+ADW10-ADX10</f>
        <v/>
      </c>
      <c r="ADZ10" s="12">
        <f>IF(ProviderDelay&gt;=1,ADG9*BlendedProvPayEss+ADH9*BlendedProvPayPrem+ADI9*BlendedProvPayElite+ADJ9*BlendedProvPayEss+ADK9*BlendedProvPayPrem+ADL9*BlendedProvPayElite,ADG10*BlendedProvPayEss+ADH10*BlendedProvPayPrem+ADI10*BlendedProvPayElite+ADJ10*BlendedProvPayEss+ADK10*BlendedProvPayPrem+ADL10*BlendedProvPayElite)</f>
        <v/>
      </c>
      <c r="AEA10" s="12">
        <f>ADS10*PaymentFee</f>
        <v/>
      </c>
      <c r="AEB10" s="12">
        <f>ADM10*OpsAI</f>
        <v/>
      </c>
      <c r="AEC10" s="12">
        <f>MonthlyFixed</f>
        <v/>
      </c>
      <c r="AED10" s="12">
        <f>ACW10*ReferralReward</f>
        <v/>
      </c>
      <c r="AEE10" s="12">
        <f>ACU10</f>
        <v/>
      </c>
      <c r="AEF10" s="9">
        <f>ADV10-ADZ10-AEA10-AEB10-AEC10-AED10-AEE10</f>
        <v/>
      </c>
      <c r="AEG10" s="9">
        <f>AEG9+ADS10-(ADZ10+AEA10+AEB10+AEC10+AED10+AEE10+ADX10)</f>
        <v/>
      </c>
      <c r="AEH10" s="12">
        <f>IF(ADM10&gt;0,ADN10/ADM10,0)</f>
        <v/>
      </c>
      <c r="AEI10" s="11">
        <f>IF(ADM9&gt;0,MAX(0,(ADM9+ACX10-ADM10)/ADM9),0)</f>
        <v/>
      </c>
      <c r="AEK10" s="12" t="n">
        <v>6</v>
      </c>
      <c r="AEL10" s="12">
        <f>MOD(AEK10-1+LaunchMonth-1,12)+1</f>
        <v/>
      </c>
      <c r="AEM10" s="12">
        <f>INT((AEK10-1+LaunchMonth-1)/12)+1</f>
        <v/>
      </c>
      <c r="AEN10" s="12">
        <f>VLOOKUP(AEL10,SeasonTable,2,FALSE)</f>
        <v/>
      </c>
      <c r="AEO10" s="12">
        <f>(1+InflationRate)^INT((AEK10-1)/12)</f>
        <v/>
      </c>
      <c r="AEP10" s="11">
        <f>MonthlyChurn*VLOOKUP(AEL10,ChurnSeasonTable,4,FALSE)</f>
        <v/>
      </c>
      <c r="AEQ10" s="12">
        <f>MIN(MktFixed4_6,MAX(0,AGC9-CashBuffer))</f>
        <v/>
      </c>
      <c r="AER10" s="12">
        <f>IF(AEQ10&gt;0,MAX(1,ROUND(AEQ10/CAC*AEN10,0)),0)</f>
        <v/>
      </c>
      <c r="AES10" s="12">
        <f>IF(AER10&gt;0,ROUND(AER10*ReferralMix/(1-ReferralMix),0),0)</f>
        <v/>
      </c>
      <c r="AET10" s="12">
        <f>AER10+AES10</f>
        <v/>
      </c>
      <c r="AEU10" s="12">
        <f>ROUND(AET10*(1-'Sens - Annual Mix'!$A$14),0)</f>
        <v/>
      </c>
      <c r="AEV10" s="12">
        <f>AET10-AEU10</f>
        <v/>
      </c>
      <c r="AEW10" s="12">
        <f>ROUND(AEU10*EssentialMix,0)</f>
        <v/>
      </c>
      <c r="AEX10" s="12">
        <f>ROUND(AEU10*PremiumMix,0)</f>
        <v/>
      </c>
      <c r="AEY10" s="12">
        <f>AEU10-AEW10-AEX10</f>
        <v/>
      </c>
      <c r="AEZ10" s="12">
        <f>ROUND(AEV10*EssentialMix,0)</f>
        <v/>
      </c>
      <c r="AFA10" s="12">
        <f>ROUND(AEV10*PremiumMix,0)</f>
        <v/>
      </c>
      <c r="AFB10" s="12">
        <f>AEV10-AEZ10-AFA10</f>
        <v/>
      </c>
      <c r="AFC10" s="12">
        <f>AEW10+AEW9+AEW8+MAX(0,AFC9-AEW9-AEW8)*(1-AEP10)</f>
        <v/>
      </c>
      <c r="AFD10" s="12">
        <f>AEX10+AEX9+AEX8+MAX(0,AFD9-AEX9-AEX8)*(1-AEP10)</f>
        <v/>
      </c>
      <c r="AFE10" s="12">
        <f>AEY10+AEY9+AEY8+MAX(0,AFE9-AEY9-AEY8)*(1-AEP10)</f>
        <v/>
      </c>
      <c r="AFF10" s="12">
        <f>SUM(AEZ$5:AEZ10)</f>
        <v/>
      </c>
      <c r="AFG10" s="12">
        <f>SUM(AFA$5:AFA10)</f>
        <v/>
      </c>
      <c r="AFH10" s="12">
        <f>SUM(AFB$5:AFB10)</f>
        <v/>
      </c>
      <c r="AFI10" s="12">
        <f>AFC10+AFD10+AFE10+AFF10+AFG10+AFH10</f>
        <v/>
      </c>
      <c r="AFJ10" s="9">
        <f>AFC10*BlendedPriceEssMonthly*AEO10+AFD10*BlendedPricePremMonthly*AEO10+AFE10*BlendedPriceEliteMonthly*AEO10+AFF10*BlendedPriceEssAnnual*AEO10/12+AFG10*BlendedPricePremAnnual*AEO10/12+AFH10*BlendedPriceEliteAnnual*AEO10/12</f>
        <v/>
      </c>
      <c r="AFK10" s="9">
        <f>AFJ10*12</f>
        <v/>
      </c>
      <c r="AFL10" s="12">
        <f>AFC10*BlendedPriceEssMonthly*AEO10+AFD10*BlendedPricePremMonthly*AEO10+AFE10*BlendedPriceEliteMonthly*AEO10</f>
        <v/>
      </c>
      <c r="AFM10" s="12">
        <f>AEZ10*BlendedPriceEssAnnual*AEO10+AFA10*BlendedPricePremAnnual*AEO10+AFB10*BlendedPriceEliteAnnual*AEO10</f>
        <v/>
      </c>
      <c r="AFN10" s="12">
        <f>0+0+0</f>
        <v/>
      </c>
      <c r="AFO10" s="9">
        <f>AFL10+AFM10+AFN10</f>
        <v/>
      </c>
      <c r="AFP10" s="12">
        <f>SUM(AFO$5:AFO10)</f>
        <v/>
      </c>
      <c r="AFQ10" s="12">
        <f>OR(AFQ9,IF(VATAgentMode,SUM($AFO$5:$AFO10)-SUM($AFV$5:$AFV10)&gt;=VATThreshold,SUM($AFO$5:$AFO10)&gt;=VATThreshold))</f>
        <v/>
      </c>
      <c r="AFR10" s="9">
        <f>IF(AFQ10,IF(VATAgentMode,AFO10-((AFO10-AFV10)-(AFO10-AFV10)/(1+VATRate)),AFO10/(1+VATRate)),AFO10)</f>
        <v/>
      </c>
      <c r="AFS10" s="12">
        <f>AFO10-AFR10</f>
        <v/>
      </c>
      <c r="AFT10" s="12">
        <f>IF(AFQ10=0,0,IF(AEL10=1,SUMPRODUCT(--(($AEM$5:$AEM10=$AEM10-1)*($AEL$5:$AEL10&gt;=10)*($AEL$5:$AEL10&lt;=12)),$AFS$5:$AFS10),IF(AEL10=4,SUMPRODUCT(--(($AEM$5:$AEM10=$AEM10)*($AEL$5:$AEL10&gt;=1)*($AEL$5:$AEL10&lt;=3)),$AFS$5:$AFS10),IF(AEL10=7,SUMPRODUCT(--(($AEM$5:$AEM10=$AEM10)*($AEL$5:$AEL10&gt;=4)*($AEL$5:$AEL10&lt;=6)),$AFS$5:$AFS10),IF(AEL10=10,SUMPRODUCT(--(($AEM$5:$AEM10=$AEM10)*($AEL$5:$AEL10&gt;=7)*($AEL$5:$AEL10&lt;=9)),$AFS$5:$AFS10),0)))))</f>
        <v/>
      </c>
      <c r="AFU10" s="12">
        <f>AFU9+AFS10-AFT10</f>
        <v/>
      </c>
      <c r="AFV10" s="12">
        <f>IF(ProviderDelay&gt;=1,AFC9*BlendedProvPayEss+AFD9*BlendedProvPayPrem+AFE9*BlendedProvPayElite+AFF9*BlendedProvPayEss+AFG9*BlendedProvPayPrem+AFH9*BlendedProvPayElite,AFC10*BlendedProvPayEss+AFD10*BlendedProvPayPrem+AFE10*BlendedProvPayElite+AFF10*BlendedProvPayEss+AFG10*BlendedProvPayPrem+AFH10*BlendedProvPayElite)</f>
        <v/>
      </c>
      <c r="AFW10" s="12">
        <f>AFO10*PaymentFee</f>
        <v/>
      </c>
      <c r="AFX10" s="12">
        <f>AFI10*OpsAI</f>
        <v/>
      </c>
      <c r="AFY10" s="12">
        <f>MonthlyFixed</f>
        <v/>
      </c>
      <c r="AFZ10" s="12">
        <f>AES10*ReferralReward</f>
        <v/>
      </c>
      <c r="AGA10" s="12">
        <f>AEQ10</f>
        <v/>
      </c>
      <c r="AGB10" s="9">
        <f>AFR10-AFV10-AFW10-AFX10-AFY10-AFZ10-AGA10</f>
        <v/>
      </c>
      <c r="AGC10" s="9">
        <f>AGC9+AFO10-(AFV10+AFW10+AFX10+AFY10+AFZ10+AGA10+AFT10)</f>
        <v/>
      </c>
      <c r="AGD10" s="12">
        <f>IF(AFI10&gt;0,AFJ10/AFI10,0)</f>
        <v/>
      </c>
      <c r="AGE10" s="11">
        <f>IF(AFI9&gt;0,MAX(0,(AFI9+AET10-AFI10)/AFI9),0)</f>
        <v/>
      </c>
      <c r="AGG10" s="12" t="n">
        <v>6</v>
      </c>
      <c r="AGH10" s="12">
        <f>MOD(AGG10-1+LaunchMonth-1,12)+1</f>
        <v/>
      </c>
      <c r="AGI10" s="12">
        <f>INT((AGG10-1+LaunchMonth-1)/12)+1</f>
        <v/>
      </c>
      <c r="AGJ10" s="12">
        <f>VLOOKUP(AGH10,SeasonTable,2,FALSE)</f>
        <v/>
      </c>
      <c r="AGK10" s="12">
        <f>(1+InflationRate)^INT((AGG10-1)/12)</f>
        <v/>
      </c>
      <c r="AGL10" s="11">
        <f>MonthlyChurn*VLOOKUP(AGH10,ChurnSeasonTable,4,FALSE)</f>
        <v/>
      </c>
      <c r="AGM10" s="12">
        <f>MIN(MktFixed4_6,MAX(0,AHY9-CashBuffer))</f>
        <v/>
      </c>
      <c r="AGN10" s="12">
        <f>IF(AGM10&gt;0,MAX(1,ROUND(AGM10/CAC*AGJ10,0)),0)</f>
        <v/>
      </c>
      <c r="AGO10" s="12">
        <f>IF(AGN10&gt;0,ROUND(AGN10*ReferralMix/(1-ReferralMix),0),0)</f>
        <v/>
      </c>
      <c r="AGP10" s="12">
        <f>AGN10+AGO10</f>
        <v/>
      </c>
      <c r="AGQ10" s="12">
        <f>ROUND(AGP10*(1-'Sens - Annual Mix'!$A$15),0)</f>
        <v/>
      </c>
      <c r="AGR10" s="12">
        <f>AGP10-AGQ10</f>
        <v/>
      </c>
      <c r="AGS10" s="12">
        <f>ROUND(AGQ10*EssentialMix,0)</f>
        <v/>
      </c>
      <c r="AGT10" s="12">
        <f>ROUND(AGQ10*PremiumMix,0)</f>
        <v/>
      </c>
      <c r="AGU10" s="12">
        <f>AGQ10-AGS10-AGT10</f>
        <v/>
      </c>
      <c r="AGV10" s="12">
        <f>ROUND(AGR10*EssentialMix,0)</f>
        <v/>
      </c>
      <c r="AGW10" s="12">
        <f>ROUND(AGR10*PremiumMix,0)</f>
        <v/>
      </c>
      <c r="AGX10" s="12">
        <f>AGR10-AGV10-AGW10</f>
        <v/>
      </c>
      <c r="AGY10" s="12">
        <f>AGS10+AGS9+AGS8+MAX(0,AGY9-AGS9-AGS8)*(1-AGL10)</f>
        <v/>
      </c>
      <c r="AGZ10" s="12">
        <f>AGT10+AGT9+AGT8+MAX(0,AGZ9-AGT9-AGT8)*(1-AGL10)</f>
        <v/>
      </c>
      <c r="AHA10" s="12">
        <f>AGU10+AGU9+AGU8+MAX(0,AHA9-AGU9-AGU8)*(1-AGL10)</f>
        <v/>
      </c>
      <c r="AHB10" s="12">
        <f>SUM(AGV$5:AGV10)</f>
        <v/>
      </c>
      <c r="AHC10" s="12">
        <f>SUM(AGW$5:AGW10)</f>
        <v/>
      </c>
      <c r="AHD10" s="12">
        <f>SUM(AGX$5:AGX10)</f>
        <v/>
      </c>
      <c r="AHE10" s="12">
        <f>AGY10+AGZ10+AHA10+AHB10+AHC10+AHD10</f>
        <v/>
      </c>
      <c r="AHF10" s="9">
        <f>AGY10*BlendedPriceEssMonthly*AGK10+AGZ10*BlendedPricePremMonthly*AGK10+AHA10*BlendedPriceEliteMonthly*AGK10+AHB10*BlendedPriceEssAnnual*AGK10/12+AHC10*BlendedPricePremAnnual*AGK10/12+AHD10*BlendedPriceEliteAnnual*AGK10/12</f>
        <v/>
      </c>
      <c r="AHG10" s="9">
        <f>AHF10*12</f>
        <v/>
      </c>
      <c r="AHH10" s="12">
        <f>AGY10*BlendedPriceEssMonthly*AGK10+AGZ10*BlendedPricePremMonthly*AGK10+AHA10*BlendedPriceEliteMonthly*AGK10</f>
        <v/>
      </c>
      <c r="AHI10" s="12">
        <f>AGV10*BlendedPriceEssAnnual*AGK10+AGW10*BlendedPricePremAnnual*AGK10+AGX10*BlendedPriceEliteAnnual*AGK10</f>
        <v/>
      </c>
      <c r="AHJ10" s="12">
        <f>0+0+0</f>
        <v/>
      </c>
      <c r="AHK10" s="9">
        <f>AHH10+AHI10+AHJ10</f>
        <v/>
      </c>
      <c r="AHL10" s="12">
        <f>SUM(AHK$5:AHK10)</f>
        <v/>
      </c>
      <c r="AHM10" s="12">
        <f>OR(AHM9,IF(VATAgentMode,SUM($AHK$5:$AHK10)-SUM($AHR$5:$AHR10)&gt;=VATThreshold,SUM($AHK$5:$AHK10)&gt;=VATThreshold))</f>
        <v/>
      </c>
      <c r="AHN10" s="9">
        <f>IF(AHM10,IF(VATAgentMode,AHK10-((AHK10-AHR10)-(AHK10-AHR10)/(1+VATRate)),AHK10/(1+VATRate)),AHK10)</f>
        <v/>
      </c>
      <c r="AHO10" s="12">
        <f>AHK10-AHN10</f>
        <v/>
      </c>
      <c r="AHP10" s="12">
        <f>IF(AHM10=0,0,IF(AGH10=1,SUMPRODUCT(--(($AGI$5:$AGI10=$AGI10-1)*($AGH$5:$AGH10&gt;=10)*($AGH$5:$AGH10&lt;=12)),$AHO$5:$AHO10),IF(AGH10=4,SUMPRODUCT(--(($AGI$5:$AGI10=$AGI10)*($AGH$5:$AGH10&gt;=1)*($AGH$5:$AGH10&lt;=3)),$AHO$5:$AHO10),IF(AGH10=7,SUMPRODUCT(--(($AGI$5:$AGI10=$AGI10)*($AGH$5:$AGH10&gt;=4)*($AGH$5:$AGH10&lt;=6)),$AHO$5:$AHO10),IF(AGH10=10,SUMPRODUCT(--(($AGI$5:$AGI10=$AGI10)*($AGH$5:$AGH10&gt;=7)*($AGH$5:$AGH10&lt;=9)),$AHO$5:$AHO10),0)))))</f>
        <v/>
      </c>
      <c r="AHQ10" s="12">
        <f>AHQ9+AHO10-AHP10</f>
        <v/>
      </c>
      <c r="AHR10" s="12">
        <f>IF(ProviderDelay&gt;=1,AGY9*BlendedProvPayEss+AGZ9*BlendedProvPayPrem+AHA9*BlendedProvPayElite+AHB9*BlendedProvPayEss+AHC9*BlendedProvPayPrem+AHD9*BlendedProvPayElite,AGY10*BlendedProvPayEss+AGZ10*BlendedProvPayPrem+AHA10*BlendedProvPayElite+AHB10*BlendedProvPayEss+AHC10*BlendedProvPayPrem+AHD10*BlendedProvPayElite)</f>
        <v/>
      </c>
      <c r="AHS10" s="12">
        <f>AHK10*PaymentFee</f>
        <v/>
      </c>
      <c r="AHT10" s="12">
        <f>AHE10*OpsAI</f>
        <v/>
      </c>
      <c r="AHU10" s="12">
        <f>MonthlyFixed</f>
        <v/>
      </c>
      <c r="AHV10" s="12">
        <f>AGO10*ReferralReward</f>
        <v/>
      </c>
      <c r="AHW10" s="12">
        <f>AGM10</f>
        <v/>
      </c>
      <c r="AHX10" s="9">
        <f>AHN10-AHR10-AHS10-AHT10-AHU10-AHV10-AHW10</f>
        <v/>
      </c>
      <c r="AHY10" s="9">
        <f>AHY9+AHK10-(AHR10+AHS10+AHT10+AHU10+AHV10+AHW10+AHP10)</f>
        <v/>
      </c>
      <c r="AHZ10" s="12">
        <f>IF(AHE10&gt;0,AHF10/AHE10,0)</f>
        <v/>
      </c>
      <c r="AIA10" s="11">
        <f>IF(AHE9&gt;0,MAX(0,(AHE9+AGP10-AHE10)/AHE9),0)</f>
        <v/>
      </c>
      <c r="AIC10" s="12" t="n">
        <v>6</v>
      </c>
      <c r="AID10" s="12">
        <f>MOD(AIC10-1+LaunchMonth-1,12)+1</f>
        <v/>
      </c>
      <c r="AIE10" s="12">
        <f>INT((AIC10-1+LaunchMonth-1)/12)+1</f>
        <v/>
      </c>
      <c r="AIF10" s="12">
        <f>VLOOKUP(AID10,SeasonTable,2,FALSE)</f>
        <v/>
      </c>
      <c r="AIG10" s="12">
        <f>(1+InflationRate)^INT((AIC10-1)/12)</f>
        <v/>
      </c>
      <c r="AIH10" s="11">
        <f>MonthlyChurn*VLOOKUP(AID10,ChurnSeasonTable,4,FALSE)</f>
        <v/>
      </c>
      <c r="AII10" s="12">
        <f>MIN(MktFixed4_6,MAX(0,AJU9-CashBuffer))</f>
        <v/>
      </c>
      <c r="AIJ10" s="12">
        <f>IF(AII10&gt;0,MAX(1,ROUND(AII10/'Sens - CAC &amp; Marketing'!$A$9*AIF10,0)),0)</f>
        <v/>
      </c>
      <c r="AIK10" s="12">
        <f>IF(AIJ10&gt;0,ROUND(AIJ10*ReferralMix/(1-ReferralMix),0),0)</f>
        <v/>
      </c>
      <c r="AIL10" s="12">
        <f>AIJ10+AIK10</f>
        <v/>
      </c>
      <c r="AIM10" s="12">
        <f>ROUND(AIL10*(1-AnnualMix),0)</f>
        <v/>
      </c>
      <c r="AIN10" s="12">
        <f>AIL10-AIM10</f>
        <v/>
      </c>
      <c r="AIO10" s="12">
        <f>ROUND(AIM10*EssentialMix,0)</f>
        <v/>
      </c>
      <c r="AIP10" s="12">
        <f>ROUND(AIM10*PremiumMix,0)</f>
        <v/>
      </c>
      <c r="AIQ10" s="12">
        <f>AIM10-AIO10-AIP10</f>
        <v/>
      </c>
      <c r="AIR10" s="12">
        <f>ROUND(AIN10*EssentialMix,0)</f>
        <v/>
      </c>
      <c r="AIS10" s="12">
        <f>ROUND(AIN10*PremiumMix,0)</f>
        <v/>
      </c>
      <c r="AIT10" s="12">
        <f>AIN10-AIR10-AIS10</f>
        <v/>
      </c>
      <c r="AIU10" s="12">
        <f>AIO10+AIO9+AIO8+MAX(0,AIU9-AIO9-AIO8)*(1-AIH10)</f>
        <v/>
      </c>
      <c r="AIV10" s="12">
        <f>AIP10+AIP9+AIP8+MAX(0,AIV9-AIP9-AIP8)*(1-AIH10)</f>
        <v/>
      </c>
      <c r="AIW10" s="12">
        <f>AIQ10+AIQ9+AIQ8+MAX(0,AIW9-AIQ9-AIQ8)*(1-AIH10)</f>
        <v/>
      </c>
      <c r="AIX10" s="12">
        <f>SUM(AIR$5:AIR10)</f>
        <v/>
      </c>
      <c r="AIY10" s="12">
        <f>SUM(AIS$5:AIS10)</f>
        <v/>
      </c>
      <c r="AIZ10" s="12">
        <f>SUM(AIT$5:AIT10)</f>
        <v/>
      </c>
      <c r="AJA10" s="12">
        <f>AIU10+AIV10+AIW10+AIX10+AIY10+AIZ10</f>
        <v/>
      </c>
      <c r="AJB10" s="9">
        <f>AIU10*BlendedPriceEssMonthly*AIG10+AIV10*BlendedPricePremMonthly*AIG10+AIW10*BlendedPriceEliteMonthly*AIG10+AIX10*BlendedPriceEssAnnual*AIG10/12+AIY10*BlendedPricePremAnnual*AIG10/12+AIZ10*BlendedPriceEliteAnnual*AIG10/12</f>
        <v/>
      </c>
      <c r="AJC10" s="9">
        <f>AJB10*12</f>
        <v/>
      </c>
      <c r="AJD10" s="12">
        <f>AIU10*BlendedPriceEssMonthly*AIG10+AIV10*BlendedPricePremMonthly*AIG10+AIW10*BlendedPriceEliteMonthly*AIG10</f>
        <v/>
      </c>
      <c r="AJE10" s="12">
        <f>AIR10*BlendedPriceEssAnnual*AIG10+AIS10*BlendedPricePremAnnual*AIG10+AIT10*BlendedPriceEliteAnnual*AIG10</f>
        <v/>
      </c>
      <c r="AJF10" s="12">
        <f>0+0+0</f>
        <v/>
      </c>
      <c r="AJG10" s="9">
        <f>AJD10+AJE10+AJF10</f>
        <v/>
      </c>
      <c r="AJH10" s="12">
        <f>SUM(AJG$5:AJG10)</f>
        <v/>
      </c>
      <c r="AJI10" s="12">
        <f>OR(AJI9,IF(VATAgentMode,SUM($AJG$5:$AJG10)-SUM($AJN$5:$AJN10)&gt;=VATThreshold,SUM($AJG$5:$AJG10)&gt;=VATThreshold))</f>
        <v/>
      </c>
      <c r="AJJ10" s="9">
        <f>IF(AJI10,IF(VATAgentMode,AJG10-((AJG10-AJN10)-(AJG10-AJN10)/(1+VATRate)),AJG10/(1+VATRate)),AJG10)</f>
        <v/>
      </c>
      <c r="AJK10" s="12">
        <f>AJG10-AJJ10</f>
        <v/>
      </c>
      <c r="AJL10" s="12">
        <f>IF(AJI10=0,0,IF(AID10=1,SUMPRODUCT(--(($AIE$5:$AIE10=$AIE10-1)*($AID$5:$AID10&gt;=10)*($AID$5:$AID10&lt;=12)),$AJK$5:$AJK10),IF(AID10=4,SUMPRODUCT(--(($AIE$5:$AIE10=$AIE10)*($AID$5:$AID10&gt;=1)*($AID$5:$AID10&lt;=3)),$AJK$5:$AJK10),IF(AID10=7,SUMPRODUCT(--(($AIE$5:$AIE10=$AIE10)*($AID$5:$AID10&gt;=4)*($AID$5:$AID10&lt;=6)),$AJK$5:$AJK10),IF(AID10=10,SUMPRODUCT(--(($AIE$5:$AIE10=$AIE10)*($AID$5:$AID10&gt;=7)*($AID$5:$AID10&lt;=9)),$AJK$5:$AJK10),0)))))</f>
        <v/>
      </c>
      <c r="AJM10" s="12">
        <f>AJM9+AJK10-AJL10</f>
        <v/>
      </c>
      <c r="AJN10" s="12">
        <f>IF(ProviderDelay&gt;=1,AIU9*BlendedProvPayEss+AIV9*BlendedProvPayPrem+AIW9*BlendedProvPayElite+AIX9*BlendedProvPayEss+AIY9*BlendedProvPayPrem+AIZ9*BlendedProvPayElite,AIU10*BlendedProvPayEss+AIV10*BlendedProvPayPrem+AIW10*BlendedProvPayElite+AIX10*BlendedProvPayEss+AIY10*BlendedProvPayPrem+AIZ10*BlendedProvPayElite)</f>
        <v/>
      </c>
      <c r="AJO10" s="12">
        <f>AJG10*PaymentFee</f>
        <v/>
      </c>
      <c r="AJP10" s="12">
        <f>AJA10*OpsAI</f>
        <v/>
      </c>
      <c r="AJQ10" s="12">
        <f>MonthlyFixed</f>
        <v/>
      </c>
      <c r="AJR10" s="12">
        <f>AIK10*ReferralReward</f>
        <v/>
      </c>
      <c r="AJS10" s="12">
        <f>AII10</f>
        <v/>
      </c>
      <c r="AJT10" s="9">
        <f>AJJ10-AJN10-AJO10-AJP10-AJQ10-AJR10-AJS10</f>
        <v/>
      </c>
      <c r="AJU10" s="9">
        <f>AJU9+AJG10-(AJN10+AJO10+AJP10+AJQ10+AJR10+AJS10+AJL10)</f>
        <v/>
      </c>
      <c r="AJV10" s="12">
        <f>IF(AJA10&gt;0,AJB10/AJA10,0)</f>
        <v/>
      </c>
      <c r="AJW10" s="11">
        <f>IF(AJA9&gt;0,MAX(0,(AJA9+AIL10-AJA10)/AJA9),0)</f>
        <v/>
      </c>
      <c r="AJY10" s="12" t="n">
        <v>6</v>
      </c>
      <c r="AJZ10" s="12">
        <f>MOD(AJY10-1+LaunchMonth-1,12)+1</f>
        <v/>
      </c>
      <c r="AKA10" s="12">
        <f>INT((AJY10-1+LaunchMonth-1)/12)+1</f>
        <v/>
      </c>
      <c r="AKB10" s="12">
        <f>VLOOKUP(AJZ10,SeasonTable,2,FALSE)</f>
        <v/>
      </c>
      <c r="AKC10" s="12">
        <f>(1+InflationRate)^INT((AJY10-1)/12)</f>
        <v/>
      </c>
      <c r="AKD10" s="11">
        <f>MonthlyChurn*VLOOKUP(AJZ10,ChurnSeasonTable,4,FALSE)</f>
        <v/>
      </c>
      <c r="AKE10" s="12">
        <f>MIN(MktFixed4_6,MAX(0,ALQ9-CashBuffer))</f>
        <v/>
      </c>
      <c r="AKF10" s="12">
        <f>IF(AKE10&gt;0,MAX(1,ROUND(AKE10/'Sens - CAC &amp; Marketing'!$A$10*AKB10,0)),0)</f>
        <v/>
      </c>
      <c r="AKG10" s="12">
        <f>IF(AKF10&gt;0,ROUND(AKF10*ReferralMix/(1-ReferralMix),0),0)</f>
        <v/>
      </c>
      <c r="AKH10" s="12">
        <f>AKF10+AKG10</f>
        <v/>
      </c>
      <c r="AKI10" s="12">
        <f>ROUND(AKH10*(1-AnnualMix),0)</f>
        <v/>
      </c>
      <c r="AKJ10" s="12">
        <f>AKH10-AKI10</f>
        <v/>
      </c>
      <c r="AKK10" s="12">
        <f>ROUND(AKI10*EssentialMix,0)</f>
        <v/>
      </c>
      <c r="AKL10" s="12">
        <f>ROUND(AKI10*PremiumMix,0)</f>
        <v/>
      </c>
      <c r="AKM10" s="12">
        <f>AKI10-AKK10-AKL10</f>
        <v/>
      </c>
      <c r="AKN10" s="12">
        <f>ROUND(AKJ10*EssentialMix,0)</f>
        <v/>
      </c>
      <c r="AKO10" s="12">
        <f>ROUND(AKJ10*PremiumMix,0)</f>
        <v/>
      </c>
      <c r="AKP10" s="12">
        <f>AKJ10-AKN10-AKO10</f>
        <v/>
      </c>
      <c r="AKQ10" s="12">
        <f>AKK10+AKK9+AKK8+MAX(0,AKQ9-AKK9-AKK8)*(1-AKD10)</f>
        <v/>
      </c>
      <c r="AKR10" s="12">
        <f>AKL10+AKL9+AKL8+MAX(0,AKR9-AKL9-AKL8)*(1-AKD10)</f>
        <v/>
      </c>
      <c r="AKS10" s="12">
        <f>AKM10+AKM9+AKM8+MAX(0,AKS9-AKM9-AKM8)*(1-AKD10)</f>
        <v/>
      </c>
      <c r="AKT10" s="12">
        <f>SUM(AKN$5:AKN10)</f>
        <v/>
      </c>
      <c r="AKU10" s="12">
        <f>SUM(AKO$5:AKO10)</f>
        <v/>
      </c>
      <c r="AKV10" s="12">
        <f>SUM(AKP$5:AKP10)</f>
        <v/>
      </c>
      <c r="AKW10" s="12">
        <f>AKQ10+AKR10+AKS10+AKT10+AKU10+AKV10</f>
        <v/>
      </c>
      <c r="AKX10" s="9">
        <f>AKQ10*BlendedPriceEssMonthly*AKC10+AKR10*BlendedPricePremMonthly*AKC10+AKS10*BlendedPriceEliteMonthly*AKC10+AKT10*BlendedPriceEssAnnual*AKC10/12+AKU10*BlendedPricePremAnnual*AKC10/12+AKV10*BlendedPriceEliteAnnual*AKC10/12</f>
        <v/>
      </c>
      <c r="AKY10" s="9">
        <f>AKX10*12</f>
        <v/>
      </c>
      <c r="AKZ10" s="12">
        <f>AKQ10*BlendedPriceEssMonthly*AKC10+AKR10*BlendedPricePremMonthly*AKC10+AKS10*BlendedPriceEliteMonthly*AKC10</f>
        <v/>
      </c>
      <c r="ALA10" s="12">
        <f>AKN10*BlendedPriceEssAnnual*AKC10+AKO10*BlendedPricePremAnnual*AKC10+AKP10*BlendedPriceEliteAnnual*AKC10</f>
        <v/>
      </c>
      <c r="ALB10" s="12">
        <f>0+0+0</f>
        <v/>
      </c>
      <c r="ALC10" s="9">
        <f>AKZ10+ALA10+ALB10</f>
        <v/>
      </c>
      <c r="ALD10" s="12">
        <f>SUM(ALC$5:ALC10)</f>
        <v/>
      </c>
      <c r="ALE10" s="12">
        <f>OR(ALE9,IF(VATAgentMode,SUM($ALC$5:$ALC10)-SUM($ALJ$5:$ALJ10)&gt;=VATThreshold,SUM($ALC$5:$ALC10)&gt;=VATThreshold))</f>
        <v/>
      </c>
      <c r="ALF10" s="9">
        <f>IF(ALE10,IF(VATAgentMode,ALC10-((ALC10-ALJ10)-(ALC10-ALJ10)/(1+VATRate)),ALC10/(1+VATRate)),ALC10)</f>
        <v/>
      </c>
      <c r="ALG10" s="12">
        <f>ALC10-ALF10</f>
        <v/>
      </c>
      <c r="ALH10" s="12">
        <f>IF(ALE10=0,0,IF(AJZ10=1,SUMPRODUCT(--(($AKA$5:$AKA10=$AKA10-1)*($AJZ$5:$AJZ10&gt;=10)*($AJZ$5:$AJZ10&lt;=12)),$ALG$5:$ALG10),IF(AJZ10=4,SUMPRODUCT(--(($AKA$5:$AKA10=$AKA10)*($AJZ$5:$AJZ10&gt;=1)*($AJZ$5:$AJZ10&lt;=3)),$ALG$5:$ALG10),IF(AJZ10=7,SUMPRODUCT(--(($AKA$5:$AKA10=$AKA10)*($AJZ$5:$AJZ10&gt;=4)*($AJZ$5:$AJZ10&lt;=6)),$ALG$5:$ALG10),IF(AJZ10=10,SUMPRODUCT(--(($AKA$5:$AKA10=$AKA10)*($AJZ$5:$AJZ10&gt;=7)*($AJZ$5:$AJZ10&lt;=9)),$ALG$5:$ALG10),0)))))</f>
        <v/>
      </c>
      <c r="ALI10" s="12">
        <f>ALI9+ALG10-ALH10</f>
        <v/>
      </c>
      <c r="ALJ10" s="12">
        <f>IF(ProviderDelay&gt;=1,AKQ9*BlendedProvPayEss+AKR9*BlendedProvPayPrem+AKS9*BlendedProvPayElite+AKT9*BlendedProvPayEss+AKU9*BlendedProvPayPrem+AKV9*BlendedProvPayElite,AKQ10*BlendedProvPayEss+AKR10*BlendedProvPayPrem+AKS10*BlendedProvPayElite+AKT10*BlendedProvPayEss+AKU10*BlendedProvPayPrem+AKV10*BlendedProvPayElite)</f>
        <v/>
      </c>
      <c r="ALK10" s="12">
        <f>ALC10*PaymentFee</f>
        <v/>
      </c>
      <c r="ALL10" s="12">
        <f>AKW10*OpsAI</f>
        <v/>
      </c>
      <c r="ALM10" s="12">
        <f>MonthlyFixed</f>
        <v/>
      </c>
      <c r="ALN10" s="12">
        <f>AKG10*ReferralReward</f>
        <v/>
      </c>
      <c r="ALO10" s="12">
        <f>AKE10</f>
        <v/>
      </c>
      <c r="ALP10" s="9">
        <f>ALF10-ALJ10-ALK10-ALL10-ALM10-ALN10-ALO10</f>
        <v/>
      </c>
      <c r="ALQ10" s="9">
        <f>ALQ9+ALC10-(ALJ10+ALK10+ALL10+ALM10+ALN10+ALO10+ALH10)</f>
        <v/>
      </c>
      <c r="ALR10" s="12">
        <f>IF(AKW10&gt;0,AKX10/AKW10,0)</f>
        <v/>
      </c>
      <c r="ALS10" s="11">
        <f>IF(AKW9&gt;0,MAX(0,(AKW9+AKH10-AKW10)/AKW9),0)</f>
        <v/>
      </c>
      <c r="ALU10" s="12" t="n">
        <v>6</v>
      </c>
      <c r="ALV10" s="12">
        <f>MOD(ALU10-1+LaunchMonth-1,12)+1</f>
        <v/>
      </c>
      <c r="ALW10" s="12">
        <f>INT((ALU10-1+LaunchMonth-1)/12)+1</f>
        <v/>
      </c>
      <c r="ALX10" s="12">
        <f>VLOOKUP(ALV10,SeasonTable,2,FALSE)</f>
        <v/>
      </c>
      <c r="ALY10" s="12">
        <f>(1+InflationRate)^INT((ALU10-1)/12)</f>
        <v/>
      </c>
      <c r="ALZ10" s="11">
        <f>MonthlyChurn*VLOOKUP(ALV10,ChurnSeasonTable,4,FALSE)</f>
        <v/>
      </c>
      <c r="AMA10" s="12">
        <f>MIN(MktFixed4_6,MAX(0,ANM9-CashBuffer))</f>
        <v/>
      </c>
      <c r="AMB10" s="12">
        <f>IF(AMA10&gt;0,MAX(1,ROUND(AMA10/'Sens - CAC &amp; Marketing'!$A$11*ALX10,0)),0)</f>
        <v/>
      </c>
      <c r="AMC10" s="12">
        <f>IF(AMB10&gt;0,ROUND(AMB10*ReferralMix/(1-ReferralMix),0),0)</f>
        <v/>
      </c>
      <c r="AMD10" s="12">
        <f>AMB10+AMC10</f>
        <v/>
      </c>
      <c r="AME10" s="12">
        <f>ROUND(AMD10*(1-AnnualMix),0)</f>
        <v/>
      </c>
      <c r="AMF10" s="12">
        <f>AMD10-AME10</f>
        <v/>
      </c>
      <c r="AMG10" s="12">
        <f>ROUND(AME10*EssentialMix,0)</f>
        <v/>
      </c>
      <c r="AMH10" s="12">
        <f>ROUND(AME10*PremiumMix,0)</f>
        <v/>
      </c>
      <c r="AMI10" s="12">
        <f>AME10-AMG10-AMH10</f>
        <v/>
      </c>
      <c r="AMJ10" s="12">
        <f>ROUND(AMF10*EssentialMix,0)</f>
        <v/>
      </c>
      <c r="AMK10" s="12">
        <f>ROUND(AMF10*PremiumMix,0)</f>
        <v/>
      </c>
      <c r="AML10" s="12">
        <f>AMF10-AMJ10-AMK10</f>
        <v/>
      </c>
      <c r="AMM10" s="12">
        <f>AMG10+AMG9+AMG8+MAX(0,AMM9-AMG9-AMG8)*(1-ALZ10)</f>
        <v/>
      </c>
      <c r="AMN10" s="12">
        <f>AMH10+AMH9+AMH8+MAX(0,AMN9-AMH9-AMH8)*(1-ALZ10)</f>
        <v/>
      </c>
      <c r="AMO10" s="12">
        <f>AMI10+AMI9+AMI8+MAX(0,AMO9-AMI9-AMI8)*(1-ALZ10)</f>
        <v/>
      </c>
      <c r="AMP10" s="12">
        <f>SUM(AMJ$5:AMJ10)</f>
        <v/>
      </c>
      <c r="AMQ10" s="12">
        <f>SUM(AMK$5:AMK10)</f>
        <v/>
      </c>
      <c r="AMR10" s="12">
        <f>SUM(AML$5:AML10)</f>
        <v/>
      </c>
      <c r="AMS10" s="12">
        <f>AMM10+AMN10+AMO10+AMP10+AMQ10+AMR10</f>
        <v/>
      </c>
      <c r="AMT10" s="9">
        <f>AMM10*BlendedPriceEssMonthly*ALY10+AMN10*BlendedPricePremMonthly*ALY10+AMO10*BlendedPriceEliteMonthly*ALY10+AMP10*BlendedPriceEssAnnual*ALY10/12+AMQ10*BlendedPricePremAnnual*ALY10/12+AMR10*BlendedPriceEliteAnnual*ALY10/12</f>
        <v/>
      </c>
      <c r="AMU10" s="9">
        <f>AMT10*12</f>
        <v/>
      </c>
      <c r="AMV10" s="12">
        <f>AMM10*BlendedPriceEssMonthly*ALY10+AMN10*BlendedPricePremMonthly*ALY10+AMO10*BlendedPriceEliteMonthly*ALY10</f>
        <v/>
      </c>
      <c r="AMW10" s="12">
        <f>AMJ10*BlendedPriceEssAnnual*ALY10+AMK10*BlendedPricePremAnnual*ALY10+AML10*BlendedPriceEliteAnnual*ALY10</f>
        <v/>
      </c>
      <c r="AMX10" s="12">
        <f>0+0+0</f>
        <v/>
      </c>
      <c r="AMY10" s="9">
        <f>AMV10+AMW10+AMX10</f>
        <v/>
      </c>
      <c r="AMZ10" s="12">
        <f>SUM(AMY$5:AMY10)</f>
        <v/>
      </c>
      <c r="ANA10" s="12">
        <f>OR(ANA9,IF(VATAgentMode,SUM($AMY$5:$AMY10)-SUM($ANF$5:$ANF10)&gt;=VATThreshold,SUM($AMY$5:$AMY10)&gt;=VATThreshold))</f>
        <v/>
      </c>
      <c r="ANB10" s="9">
        <f>IF(ANA10,IF(VATAgentMode,AMY10-((AMY10-ANF10)-(AMY10-ANF10)/(1+VATRate)),AMY10/(1+VATRate)),AMY10)</f>
        <v/>
      </c>
      <c r="ANC10" s="12">
        <f>AMY10-ANB10</f>
        <v/>
      </c>
      <c r="AND10" s="12">
        <f>IF(ANA10=0,0,IF(ALV10=1,SUMPRODUCT(--(($ALW$5:$ALW10=$ALW10-1)*($ALV$5:$ALV10&gt;=10)*($ALV$5:$ALV10&lt;=12)),$ANC$5:$ANC10),IF(ALV10=4,SUMPRODUCT(--(($ALW$5:$ALW10=$ALW10)*($ALV$5:$ALV10&gt;=1)*($ALV$5:$ALV10&lt;=3)),$ANC$5:$ANC10),IF(ALV10=7,SUMPRODUCT(--(($ALW$5:$ALW10=$ALW10)*($ALV$5:$ALV10&gt;=4)*($ALV$5:$ALV10&lt;=6)),$ANC$5:$ANC10),IF(ALV10=10,SUMPRODUCT(--(($ALW$5:$ALW10=$ALW10)*($ALV$5:$ALV10&gt;=7)*($ALV$5:$ALV10&lt;=9)),$ANC$5:$ANC10),0)))))</f>
        <v/>
      </c>
      <c r="ANE10" s="12">
        <f>ANE9+ANC10-AND10</f>
        <v/>
      </c>
      <c r="ANF10" s="12">
        <f>IF(ProviderDelay&gt;=1,AMM9*BlendedProvPayEss+AMN9*BlendedProvPayPrem+AMO9*BlendedProvPayElite+AMP9*BlendedProvPayEss+AMQ9*BlendedProvPayPrem+AMR9*BlendedProvPayElite,AMM10*BlendedProvPayEss+AMN10*BlendedProvPayPrem+AMO10*BlendedProvPayElite+AMP10*BlendedProvPayEss+AMQ10*BlendedProvPayPrem+AMR10*BlendedProvPayElite)</f>
        <v/>
      </c>
      <c r="ANG10" s="12">
        <f>AMY10*PaymentFee</f>
        <v/>
      </c>
      <c r="ANH10" s="12">
        <f>AMS10*OpsAI</f>
        <v/>
      </c>
      <c r="ANI10" s="12">
        <f>MonthlyFixed</f>
        <v/>
      </c>
      <c r="ANJ10" s="12">
        <f>AMC10*ReferralReward</f>
        <v/>
      </c>
      <c r="ANK10" s="12">
        <f>AMA10</f>
        <v/>
      </c>
      <c r="ANL10" s="9">
        <f>ANB10-ANF10-ANG10-ANH10-ANI10-ANJ10-ANK10</f>
        <v/>
      </c>
      <c r="ANM10" s="9">
        <f>ANM9+AMY10-(ANF10+ANG10+ANH10+ANI10+ANJ10+ANK10+AND10)</f>
        <v/>
      </c>
      <c r="ANN10" s="12">
        <f>IF(AMS10&gt;0,AMT10/AMS10,0)</f>
        <v/>
      </c>
      <c r="ANO10" s="11">
        <f>IF(AMS9&gt;0,MAX(0,(AMS9+AMD10-AMS10)/AMS9),0)</f>
        <v/>
      </c>
      <c r="ANQ10" s="12" t="n">
        <v>6</v>
      </c>
      <c r="ANR10" s="12">
        <f>MOD(ANQ10-1+LaunchMonth-1,12)+1</f>
        <v/>
      </c>
      <c r="ANS10" s="12">
        <f>INT((ANQ10-1+LaunchMonth-1)/12)+1</f>
        <v/>
      </c>
      <c r="ANT10" s="12">
        <f>VLOOKUP(ANR10,SeasonTable,2,FALSE)</f>
        <v/>
      </c>
      <c r="ANU10" s="12">
        <f>(1+InflationRate)^INT((ANQ10-1)/12)</f>
        <v/>
      </c>
      <c r="ANV10" s="11">
        <f>MonthlyChurn*VLOOKUP(ANR10,ChurnSeasonTable,4,FALSE)</f>
        <v/>
      </c>
      <c r="ANW10" s="12">
        <f>MIN(MktFixed4_6,MAX(0,API9-CashBuffer))</f>
        <v/>
      </c>
      <c r="ANX10" s="12">
        <f>IF(ANW10&gt;0,MAX(1,ROUND(ANW10/'Sens - CAC &amp; Marketing'!$A$12*ANT10,0)),0)</f>
        <v/>
      </c>
      <c r="ANY10" s="12">
        <f>IF(ANX10&gt;0,ROUND(ANX10*ReferralMix/(1-ReferralMix),0),0)</f>
        <v/>
      </c>
      <c r="ANZ10" s="12">
        <f>ANX10+ANY10</f>
        <v/>
      </c>
      <c r="AOA10" s="12">
        <f>ROUND(ANZ10*(1-AnnualMix),0)</f>
        <v/>
      </c>
      <c r="AOB10" s="12">
        <f>ANZ10-AOA10</f>
        <v/>
      </c>
      <c r="AOC10" s="12">
        <f>ROUND(AOA10*EssentialMix,0)</f>
        <v/>
      </c>
      <c r="AOD10" s="12">
        <f>ROUND(AOA10*PremiumMix,0)</f>
        <v/>
      </c>
      <c r="AOE10" s="12">
        <f>AOA10-AOC10-AOD10</f>
        <v/>
      </c>
      <c r="AOF10" s="12">
        <f>ROUND(AOB10*EssentialMix,0)</f>
        <v/>
      </c>
      <c r="AOG10" s="12">
        <f>ROUND(AOB10*PremiumMix,0)</f>
        <v/>
      </c>
      <c r="AOH10" s="12">
        <f>AOB10-AOF10-AOG10</f>
        <v/>
      </c>
      <c r="AOI10" s="12">
        <f>AOC10+AOC9+AOC8+MAX(0,AOI9-AOC9-AOC8)*(1-ANV10)</f>
        <v/>
      </c>
      <c r="AOJ10" s="12">
        <f>AOD10+AOD9+AOD8+MAX(0,AOJ9-AOD9-AOD8)*(1-ANV10)</f>
        <v/>
      </c>
      <c r="AOK10" s="12">
        <f>AOE10+AOE9+AOE8+MAX(0,AOK9-AOE9-AOE8)*(1-ANV10)</f>
        <v/>
      </c>
      <c r="AOL10" s="12">
        <f>SUM(AOF$5:AOF10)</f>
        <v/>
      </c>
      <c r="AOM10" s="12">
        <f>SUM(AOG$5:AOG10)</f>
        <v/>
      </c>
      <c r="AON10" s="12">
        <f>SUM(AOH$5:AOH10)</f>
        <v/>
      </c>
      <c r="AOO10" s="12">
        <f>AOI10+AOJ10+AOK10+AOL10+AOM10+AON10</f>
        <v/>
      </c>
      <c r="AOP10" s="9">
        <f>AOI10*BlendedPriceEssMonthly*ANU10+AOJ10*BlendedPricePremMonthly*ANU10+AOK10*BlendedPriceEliteMonthly*ANU10+AOL10*BlendedPriceEssAnnual*ANU10/12+AOM10*BlendedPricePremAnnual*ANU10/12+AON10*BlendedPriceEliteAnnual*ANU10/12</f>
        <v/>
      </c>
      <c r="AOQ10" s="9">
        <f>AOP10*12</f>
        <v/>
      </c>
      <c r="AOR10" s="12">
        <f>AOI10*BlendedPriceEssMonthly*ANU10+AOJ10*BlendedPricePremMonthly*ANU10+AOK10*BlendedPriceEliteMonthly*ANU10</f>
        <v/>
      </c>
      <c r="AOS10" s="12">
        <f>AOF10*BlendedPriceEssAnnual*ANU10+AOG10*BlendedPricePremAnnual*ANU10+AOH10*BlendedPriceEliteAnnual*ANU10</f>
        <v/>
      </c>
      <c r="AOT10" s="12">
        <f>0+0+0</f>
        <v/>
      </c>
      <c r="AOU10" s="9">
        <f>AOR10+AOS10+AOT10</f>
        <v/>
      </c>
      <c r="AOV10" s="12">
        <f>SUM(AOU$5:AOU10)</f>
        <v/>
      </c>
      <c r="AOW10" s="12">
        <f>OR(AOW9,IF(VATAgentMode,SUM($AOU$5:$AOU10)-SUM($APB$5:$APB10)&gt;=VATThreshold,SUM($AOU$5:$AOU10)&gt;=VATThreshold))</f>
        <v/>
      </c>
      <c r="AOX10" s="9">
        <f>IF(AOW10,IF(VATAgentMode,AOU10-((AOU10-APB10)-(AOU10-APB10)/(1+VATRate)),AOU10/(1+VATRate)),AOU10)</f>
        <v/>
      </c>
      <c r="AOY10" s="12">
        <f>AOU10-AOX10</f>
        <v/>
      </c>
      <c r="AOZ10" s="12">
        <f>IF(AOW10=0,0,IF(ANR10=1,SUMPRODUCT(--(($ANS$5:$ANS10=$ANS10-1)*($ANR$5:$ANR10&gt;=10)*($ANR$5:$ANR10&lt;=12)),$AOY$5:$AOY10),IF(ANR10=4,SUMPRODUCT(--(($ANS$5:$ANS10=$ANS10)*($ANR$5:$ANR10&gt;=1)*($ANR$5:$ANR10&lt;=3)),$AOY$5:$AOY10),IF(ANR10=7,SUMPRODUCT(--(($ANS$5:$ANS10=$ANS10)*($ANR$5:$ANR10&gt;=4)*($ANR$5:$ANR10&lt;=6)),$AOY$5:$AOY10),IF(ANR10=10,SUMPRODUCT(--(($ANS$5:$ANS10=$ANS10)*($ANR$5:$ANR10&gt;=7)*($ANR$5:$ANR10&lt;=9)),$AOY$5:$AOY10),0)))))</f>
        <v/>
      </c>
      <c r="APA10" s="12">
        <f>APA9+AOY10-AOZ10</f>
        <v/>
      </c>
      <c r="APB10" s="12">
        <f>IF(ProviderDelay&gt;=1,AOI9*BlendedProvPayEss+AOJ9*BlendedProvPayPrem+AOK9*BlendedProvPayElite+AOL9*BlendedProvPayEss+AOM9*BlendedProvPayPrem+AON9*BlendedProvPayElite,AOI10*BlendedProvPayEss+AOJ10*BlendedProvPayPrem+AOK10*BlendedProvPayElite+AOL10*BlendedProvPayEss+AOM10*BlendedProvPayPrem+AON10*BlendedProvPayElite)</f>
        <v/>
      </c>
      <c r="APC10" s="12">
        <f>AOU10*PaymentFee</f>
        <v/>
      </c>
      <c r="APD10" s="12">
        <f>AOO10*OpsAI</f>
        <v/>
      </c>
      <c r="APE10" s="12">
        <f>MonthlyFixed</f>
        <v/>
      </c>
      <c r="APF10" s="12">
        <f>ANY10*ReferralReward</f>
        <v/>
      </c>
      <c r="APG10" s="12">
        <f>ANW10</f>
        <v/>
      </c>
      <c r="APH10" s="9">
        <f>AOX10-APB10-APC10-APD10-APE10-APF10-APG10</f>
        <v/>
      </c>
      <c r="API10" s="9">
        <f>API9+AOU10-(APB10+APC10+APD10+APE10+APF10+APG10+AOZ10)</f>
        <v/>
      </c>
      <c r="APJ10" s="12">
        <f>IF(AOO10&gt;0,AOP10/AOO10,0)</f>
        <v/>
      </c>
      <c r="APK10" s="11">
        <f>IF(AOO9&gt;0,MAX(0,(AOO9+ANZ10-AOO10)/AOO9),0)</f>
        <v/>
      </c>
      <c r="APM10" s="12" t="n">
        <v>6</v>
      </c>
      <c r="APN10" s="12">
        <f>MOD(APM10-1+LaunchMonth-1,12)+1</f>
        <v/>
      </c>
      <c r="APO10" s="12">
        <f>INT((APM10-1+LaunchMonth-1)/12)+1</f>
        <v/>
      </c>
      <c r="APP10" s="12">
        <f>VLOOKUP(APN10,SeasonTable,2,FALSE)</f>
        <v/>
      </c>
      <c r="APQ10" s="12">
        <f>(1+InflationRate)^INT((APM10-1)/12)</f>
        <v/>
      </c>
      <c r="APR10" s="11">
        <f>MonthlyChurn*VLOOKUP(APN10,ChurnSeasonTable,4,FALSE)</f>
        <v/>
      </c>
      <c r="APS10" s="12">
        <f>MIN(MktFixed4_6,MAX(0,ARE9-CashBuffer))</f>
        <v/>
      </c>
      <c r="APT10" s="12">
        <f>IF(APS10&gt;0,MAX(1,ROUND(APS10/'Sens - CAC &amp; Marketing'!$A$13*APP10,0)),0)</f>
        <v/>
      </c>
      <c r="APU10" s="12">
        <f>IF(APT10&gt;0,ROUND(APT10*ReferralMix/(1-ReferralMix),0),0)</f>
        <v/>
      </c>
      <c r="APV10" s="12">
        <f>APT10+APU10</f>
        <v/>
      </c>
      <c r="APW10" s="12">
        <f>ROUND(APV10*(1-AnnualMix),0)</f>
        <v/>
      </c>
      <c r="APX10" s="12">
        <f>APV10-APW10</f>
        <v/>
      </c>
      <c r="APY10" s="12">
        <f>ROUND(APW10*EssentialMix,0)</f>
        <v/>
      </c>
      <c r="APZ10" s="12">
        <f>ROUND(APW10*PremiumMix,0)</f>
        <v/>
      </c>
      <c r="AQA10" s="12">
        <f>APW10-APY10-APZ10</f>
        <v/>
      </c>
      <c r="AQB10" s="12">
        <f>ROUND(APX10*EssentialMix,0)</f>
        <v/>
      </c>
      <c r="AQC10" s="12">
        <f>ROUND(APX10*PremiumMix,0)</f>
        <v/>
      </c>
      <c r="AQD10" s="12">
        <f>APX10-AQB10-AQC10</f>
        <v/>
      </c>
      <c r="AQE10" s="12">
        <f>APY10+APY9+APY8+MAX(0,AQE9-APY9-APY8)*(1-APR10)</f>
        <v/>
      </c>
      <c r="AQF10" s="12">
        <f>APZ10+APZ9+APZ8+MAX(0,AQF9-APZ9-APZ8)*(1-APR10)</f>
        <v/>
      </c>
      <c r="AQG10" s="12">
        <f>AQA10+AQA9+AQA8+MAX(0,AQG9-AQA9-AQA8)*(1-APR10)</f>
        <v/>
      </c>
      <c r="AQH10" s="12">
        <f>SUM(AQB$5:AQB10)</f>
        <v/>
      </c>
      <c r="AQI10" s="12">
        <f>SUM(AQC$5:AQC10)</f>
        <v/>
      </c>
      <c r="AQJ10" s="12">
        <f>SUM(AQD$5:AQD10)</f>
        <v/>
      </c>
      <c r="AQK10" s="12">
        <f>AQE10+AQF10+AQG10+AQH10+AQI10+AQJ10</f>
        <v/>
      </c>
      <c r="AQL10" s="9">
        <f>AQE10*BlendedPriceEssMonthly*APQ10+AQF10*BlendedPricePremMonthly*APQ10+AQG10*BlendedPriceEliteMonthly*APQ10+AQH10*BlendedPriceEssAnnual*APQ10/12+AQI10*BlendedPricePremAnnual*APQ10/12+AQJ10*BlendedPriceEliteAnnual*APQ10/12</f>
        <v/>
      </c>
      <c r="AQM10" s="9">
        <f>AQL10*12</f>
        <v/>
      </c>
      <c r="AQN10" s="12">
        <f>AQE10*BlendedPriceEssMonthly*APQ10+AQF10*BlendedPricePremMonthly*APQ10+AQG10*BlendedPriceEliteMonthly*APQ10</f>
        <v/>
      </c>
      <c r="AQO10" s="12">
        <f>AQB10*BlendedPriceEssAnnual*APQ10+AQC10*BlendedPricePremAnnual*APQ10+AQD10*BlendedPriceEliteAnnual*APQ10</f>
        <v/>
      </c>
      <c r="AQP10" s="12">
        <f>0+0+0</f>
        <v/>
      </c>
      <c r="AQQ10" s="9">
        <f>AQN10+AQO10+AQP10</f>
        <v/>
      </c>
      <c r="AQR10" s="12">
        <f>SUM(AQQ$5:AQQ10)</f>
        <v/>
      </c>
      <c r="AQS10" s="12">
        <f>OR(AQS9,IF(VATAgentMode,SUM($AQQ$5:$AQQ10)-SUM($AQX$5:$AQX10)&gt;=VATThreshold,SUM($AQQ$5:$AQQ10)&gt;=VATThreshold))</f>
        <v/>
      </c>
      <c r="AQT10" s="9">
        <f>IF(AQS10,IF(VATAgentMode,AQQ10-((AQQ10-AQX10)-(AQQ10-AQX10)/(1+VATRate)),AQQ10/(1+VATRate)),AQQ10)</f>
        <v/>
      </c>
      <c r="AQU10" s="12">
        <f>AQQ10-AQT10</f>
        <v/>
      </c>
      <c r="AQV10" s="12">
        <f>IF(AQS10=0,0,IF(APN10=1,SUMPRODUCT(--(($APO$5:$APO10=$APO10-1)*($APN$5:$APN10&gt;=10)*($APN$5:$APN10&lt;=12)),$AQU$5:$AQU10),IF(APN10=4,SUMPRODUCT(--(($APO$5:$APO10=$APO10)*($APN$5:$APN10&gt;=1)*($APN$5:$APN10&lt;=3)),$AQU$5:$AQU10),IF(APN10=7,SUMPRODUCT(--(($APO$5:$APO10=$APO10)*($APN$5:$APN10&gt;=4)*($APN$5:$APN10&lt;=6)),$AQU$5:$AQU10),IF(APN10=10,SUMPRODUCT(--(($APO$5:$APO10=$APO10)*($APN$5:$APN10&gt;=7)*($APN$5:$APN10&lt;=9)),$AQU$5:$AQU10),0)))))</f>
        <v/>
      </c>
      <c r="AQW10" s="12">
        <f>AQW9+AQU10-AQV10</f>
        <v/>
      </c>
      <c r="AQX10" s="12">
        <f>IF(ProviderDelay&gt;=1,AQE9*BlendedProvPayEss+AQF9*BlendedProvPayPrem+AQG9*BlendedProvPayElite+AQH9*BlendedProvPayEss+AQI9*BlendedProvPayPrem+AQJ9*BlendedProvPayElite,AQE10*BlendedProvPayEss+AQF10*BlendedProvPayPrem+AQG10*BlendedProvPayElite+AQH10*BlendedProvPayEss+AQI10*BlendedProvPayPrem+AQJ10*BlendedProvPayElite)</f>
        <v/>
      </c>
      <c r="AQY10" s="12">
        <f>AQQ10*PaymentFee</f>
        <v/>
      </c>
      <c r="AQZ10" s="12">
        <f>AQK10*OpsAI</f>
        <v/>
      </c>
      <c r="ARA10" s="12">
        <f>MonthlyFixed</f>
        <v/>
      </c>
      <c r="ARB10" s="12">
        <f>APU10*ReferralReward</f>
        <v/>
      </c>
      <c r="ARC10" s="12">
        <f>APS10</f>
        <v/>
      </c>
      <c r="ARD10" s="9">
        <f>AQT10-AQX10-AQY10-AQZ10-ARA10-ARB10-ARC10</f>
        <v/>
      </c>
      <c r="ARE10" s="9">
        <f>ARE9+AQQ10-(AQX10+AQY10+AQZ10+ARA10+ARB10+ARC10+AQV10)</f>
        <v/>
      </c>
      <c r="ARF10" s="12">
        <f>IF(AQK10&gt;0,AQL10/AQK10,0)</f>
        <v/>
      </c>
      <c r="ARG10" s="11">
        <f>IF(AQK9&gt;0,MAX(0,(AQK9+APV10-AQK10)/AQK9),0)</f>
        <v/>
      </c>
      <c r="ARI10" s="12" t="n">
        <v>6</v>
      </c>
      <c r="ARJ10" s="12">
        <f>MOD(ARI10-1+LaunchMonth-1,12)+1</f>
        <v/>
      </c>
      <c r="ARK10" s="12">
        <f>INT((ARI10-1+LaunchMonth-1)/12)+1</f>
        <v/>
      </c>
      <c r="ARL10" s="12">
        <f>VLOOKUP(ARJ10,SeasonTable,2,FALSE)</f>
        <v/>
      </c>
      <c r="ARM10" s="12">
        <f>(1+InflationRate)^INT((ARI10-1)/12)</f>
        <v/>
      </c>
      <c r="ARN10" s="11">
        <f>MonthlyChurn*VLOOKUP(ARJ10,ChurnSeasonTable,4,FALSE)</f>
        <v/>
      </c>
      <c r="ARO10" s="12">
        <f>MIN(MktFixed4_6,MAX(0,ATA9-CashBuffer))</f>
        <v/>
      </c>
      <c r="ARP10" s="12">
        <f>IF(ARO10&gt;0,MAX(1,ROUND(ARO10/'Sens - CAC &amp; Marketing'!$A$14*ARL10,0)),0)</f>
        <v/>
      </c>
      <c r="ARQ10" s="12">
        <f>IF(ARP10&gt;0,ROUND(ARP10*ReferralMix/(1-ReferralMix),0),0)</f>
        <v/>
      </c>
      <c r="ARR10" s="12">
        <f>ARP10+ARQ10</f>
        <v/>
      </c>
      <c r="ARS10" s="12">
        <f>ROUND(ARR10*(1-AnnualMix),0)</f>
        <v/>
      </c>
      <c r="ART10" s="12">
        <f>ARR10-ARS10</f>
        <v/>
      </c>
      <c r="ARU10" s="12">
        <f>ROUND(ARS10*EssentialMix,0)</f>
        <v/>
      </c>
      <c r="ARV10" s="12">
        <f>ROUND(ARS10*PremiumMix,0)</f>
        <v/>
      </c>
      <c r="ARW10" s="12">
        <f>ARS10-ARU10-ARV10</f>
        <v/>
      </c>
      <c r="ARX10" s="12">
        <f>ROUND(ART10*EssentialMix,0)</f>
        <v/>
      </c>
      <c r="ARY10" s="12">
        <f>ROUND(ART10*PremiumMix,0)</f>
        <v/>
      </c>
      <c r="ARZ10" s="12">
        <f>ART10-ARX10-ARY10</f>
        <v/>
      </c>
      <c r="ASA10" s="12">
        <f>ARU10+ARU9+ARU8+MAX(0,ASA9-ARU9-ARU8)*(1-ARN10)</f>
        <v/>
      </c>
      <c r="ASB10" s="12">
        <f>ARV10+ARV9+ARV8+MAX(0,ASB9-ARV9-ARV8)*(1-ARN10)</f>
        <v/>
      </c>
      <c r="ASC10" s="12">
        <f>ARW10+ARW9+ARW8+MAX(0,ASC9-ARW9-ARW8)*(1-ARN10)</f>
        <v/>
      </c>
      <c r="ASD10" s="12">
        <f>SUM(ARX$5:ARX10)</f>
        <v/>
      </c>
      <c r="ASE10" s="12">
        <f>SUM(ARY$5:ARY10)</f>
        <v/>
      </c>
      <c r="ASF10" s="12">
        <f>SUM(ARZ$5:ARZ10)</f>
        <v/>
      </c>
      <c r="ASG10" s="12">
        <f>ASA10+ASB10+ASC10+ASD10+ASE10+ASF10</f>
        <v/>
      </c>
      <c r="ASH10" s="9">
        <f>ASA10*BlendedPriceEssMonthly*ARM10+ASB10*BlendedPricePremMonthly*ARM10+ASC10*BlendedPriceEliteMonthly*ARM10+ASD10*BlendedPriceEssAnnual*ARM10/12+ASE10*BlendedPricePremAnnual*ARM10/12+ASF10*BlendedPriceEliteAnnual*ARM10/12</f>
        <v/>
      </c>
      <c r="ASI10" s="9">
        <f>ASH10*12</f>
        <v/>
      </c>
      <c r="ASJ10" s="12">
        <f>ASA10*BlendedPriceEssMonthly*ARM10+ASB10*BlendedPricePremMonthly*ARM10+ASC10*BlendedPriceEliteMonthly*ARM10</f>
        <v/>
      </c>
      <c r="ASK10" s="12">
        <f>ARX10*BlendedPriceEssAnnual*ARM10+ARY10*BlendedPricePremAnnual*ARM10+ARZ10*BlendedPriceEliteAnnual*ARM10</f>
        <v/>
      </c>
      <c r="ASL10" s="12">
        <f>0+0+0</f>
        <v/>
      </c>
      <c r="ASM10" s="9">
        <f>ASJ10+ASK10+ASL10</f>
        <v/>
      </c>
      <c r="ASN10" s="12">
        <f>SUM(ASM$5:ASM10)</f>
        <v/>
      </c>
      <c r="ASO10" s="12">
        <f>OR(ASO9,IF(VATAgentMode,SUM($ASM$5:$ASM10)-SUM($AST$5:$AST10)&gt;=VATThreshold,SUM($ASM$5:$ASM10)&gt;=VATThreshold))</f>
        <v/>
      </c>
      <c r="ASP10" s="9">
        <f>IF(ASO10,IF(VATAgentMode,ASM10-((ASM10-AST10)-(ASM10-AST10)/(1+VATRate)),ASM10/(1+VATRate)),ASM10)</f>
        <v/>
      </c>
      <c r="ASQ10" s="12">
        <f>ASM10-ASP10</f>
        <v/>
      </c>
      <c r="ASR10" s="12">
        <f>IF(ASO10=0,0,IF(ARJ10=1,SUMPRODUCT(--(($ARK$5:$ARK10=$ARK10-1)*($ARJ$5:$ARJ10&gt;=10)*($ARJ$5:$ARJ10&lt;=12)),$ASQ$5:$ASQ10),IF(ARJ10=4,SUMPRODUCT(--(($ARK$5:$ARK10=$ARK10)*($ARJ$5:$ARJ10&gt;=1)*($ARJ$5:$ARJ10&lt;=3)),$ASQ$5:$ASQ10),IF(ARJ10=7,SUMPRODUCT(--(($ARK$5:$ARK10=$ARK10)*($ARJ$5:$ARJ10&gt;=4)*($ARJ$5:$ARJ10&lt;=6)),$ASQ$5:$ASQ10),IF(ARJ10=10,SUMPRODUCT(--(($ARK$5:$ARK10=$ARK10)*($ARJ$5:$ARJ10&gt;=7)*($ARJ$5:$ARJ10&lt;=9)),$ASQ$5:$ASQ10),0)))))</f>
        <v/>
      </c>
      <c r="ASS10" s="12">
        <f>ASS9+ASQ10-ASR10</f>
        <v/>
      </c>
      <c r="AST10" s="12">
        <f>IF(ProviderDelay&gt;=1,ASA9*BlendedProvPayEss+ASB9*BlendedProvPayPrem+ASC9*BlendedProvPayElite+ASD9*BlendedProvPayEss+ASE9*BlendedProvPayPrem+ASF9*BlendedProvPayElite,ASA10*BlendedProvPayEss+ASB10*BlendedProvPayPrem+ASC10*BlendedProvPayElite+ASD10*BlendedProvPayEss+ASE10*BlendedProvPayPrem+ASF10*BlendedProvPayElite)</f>
        <v/>
      </c>
      <c r="ASU10" s="12">
        <f>ASM10*PaymentFee</f>
        <v/>
      </c>
      <c r="ASV10" s="12">
        <f>ASG10*OpsAI</f>
        <v/>
      </c>
      <c r="ASW10" s="12">
        <f>MonthlyFixed</f>
        <v/>
      </c>
      <c r="ASX10" s="12">
        <f>ARQ10*ReferralReward</f>
        <v/>
      </c>
      <c r="ASY10" s="12">
        <f>ARO10</f>
        <v/>
      </c>
      <c r="ASZ10" s="9">
        <f>ASP10-AST10-ASU10-ASV10-ASW10-ASX10-ASY10</f>
        <v/>
      </c>
      <c r="ATA10" s="9">
        <f>ATA9+ASM10-(AST10+ASU10+ASV10+ASW10+ASX10+ASY10+ASR10)</f>
        <v/>
      </c>
      <c r="ATB10" s="12">
        <f>IF(ASG10&gt;0,ASH10/ASG10,0)</f>
        <v/>
      </c>
      <c r="ATC10" s="11">
        <f>IF(ASG9&gt;0,MAX(0,(ASG9+ARR10-ASG10)/ASG9),0)</f>
        <v/>
      </c>
      <c r="ATE10" s="12" t="n">
        <v>6</v>
      </c>
      <c r="ATF10" s="12">
        <f>MOD(ATE10-1+LaunchMonth-1,12)+1</f>
        <v/>
      </c>
      <c r="ATG10" s="12">
        <f>INT((ATE10-1+LaunchMonth-1)/12)+1</f>
        <v/>
      </c>
      <c r="ATH10" s="12">
        <f>VLOOKUP(ATF10,SeasonTable,2,FALSE)</f>
        <v/>
      </c>
      <c r="ATI10" s="12">
        <f>(1+InflationRate)^INT((ATE10-1)/12)</f>
        <v/>
      </c>
      <c r="ATJ10" s="11">
        <f>MonthlyChurn*VLOOKUP(ATF10,ChurnSeasonTable,4,FALSE)</f>
        <v/>
      </c>
      <c r="ATK10" s="12">
        <f>MIN(MktFixed4_6,MAX(0,AUW9-CashBuffer))</f>
        <v/>
      </c>
      <c r="ATL10" s="12">
        <f>IF(ATK10&gt;0,MAX(1,ROUND(ATK10/'Sens - CAC &amp; Marketing'!$A$15*ATH10,0)),0)</f>
        <v/>
      </c>
      <c r="ATM10" s="12">
        <f>IF(ATL10&gt;0,ROUND(ATL10*ReferralMix/(1-ReferralMix),0),0)</f>
        <v/>
      </c>
      <c r="ATN10" s="12">
        <f>ATL10+ATM10</f>
        <v/>
      </c>
      <c r="ATO10" s="12">
        <f>ROUND(ATN10*(1-AnnualMix),0)</f>
        <v/>
      </c>
      <c r="ATP10" s="12">
        <f>ATN10-ATO10</f>
        <v/>
      </c>
      <c r="ATQ10" s="12">
        <f>ROUND(ATO10*EssentialMix,0)</f>
        <v/>
      </c>
      <c r="ATR10" s="12">
        <f>ROUND(ATO10*PremiumMix,0)</f>
        <v/>
      </c>
      <c r="ATS10" s="12">
        <f>ATO10-ATQ10-ATR10</f>
        <v/>
      </c>
      <c r="ATT10" s="12">
        <f>ROUND(ATP10*EssentialMix,0)</f>
        <v/>
      </c>
      <c r="ATU10" s="12">
        <f>ROUND(ATP10*PremiumMix,0)</f>
        <v/>
      </c>
      <c r="ATV10" s="12">
        <f>ATP10-ATT10-ATU10</f>
        <v/>
      </c>
      <c r="ATW10" s="12">
        <f>ATQ10+ATQ9+ATQ8+MAX(0,ATW9-ATQ9-ATQ8)*(1-ATJ10)</f>
        <v/>
      </c>
      <c r="ATX10" s="12">
        <f>ATR10+ATR9+ATR8+MAX(0,ATX9-ATR9-ATR8)*(1-ATJ10)</f>
        <v/>
      </c>
      <c r="ATY10" s="12">
        <f>ATS10+ATS9+ATS8+MAX(0,ATY9-ATS9-ATS8)*(1-ATJ10)</f>
        <v/>
      </c>
      <c r="ATZ10" s="12">
        <f>SUM(ATT$5:ATT10)</f>
        <v/>
      </c>
      <c r="AUA10" s="12">
        <f>SUM(ATU$5:ATU10)</f>
        <v/>
      </c>
      <c r="AUB10" s="12">
        <f>SUM(ATV$5:ATV10)</f>
        <v/>
      </c>
      <c r="AUC10" s="12">
        <f>ATW10+ATX10+ATY10+ATZ10+AUA10+AUB10</f>
        <v/>
      </c>
      <c r="AUD10" s="9">
        <f>ATW10*BlendedPriceEssMonthly*ATI10+ATX10*BlendedPricePremMonthly*ATI10+ATY10*BlendedPriceEliteMonthly*ATI10+ATZ10*BlendedPriceEssAnnual*ATI10/12+AUA10*BlendedPricePremAnnual*ATI10/12+AUB10*BlendedPriceEliteAnnual*ATI10/12</f>
        <v/>
      </c>
      <c r="AUE10" s="9">
        <f>AUD10*12</f>
        <v/>
      </c>
      <c r="AUF10" s="12">
        <f>ATW10*BlendedPriceEssMonthly*ATI10+ATX10*BlendedPricePremMonthly*ATI10+ATY10*BlendedPriceEliteMonthly*ATI10</f>
        <v/>
      </c>
      <c r="AUG10" s="12">
        <f>ATT10*BlendedPriceEssAnnual*ATI10+ATU10*BlendedPricePremAnnual*ATI10+ATV10*BlendedPriceEliteAnnual*ATI10</f>
        <v/>
      </c>
      <c r="AUH10" s="12">
        <f>0+0+0</f>
        <v/>
      </c>
      <c r="AUI10" s="9">
        <f>AUF10+AUG10+AUH10</f>
        <v/>
      </c>
      <c r="AUJ10" s="12">
        <f>SUM(AUI$5:AUI10)</f>
        <v/>
      </c>
      <c r="AUK10" s="12">
        <f>OR(AUK9,IF(VATAgentMode,SUM($AUI$5:$AUI10)-SUM($AUP$5:$AUP10)&gt;=VATThreshold,SUM($AUI$5:$AUI10)&gt;=VATThreshold))</f>
        <v/>
      </c>
      <c r="AUL10" s="9">
        <f>IF(AUK10,IF(VATAgentMode,AUI10-((AUI10-AUP10)-(AUI10-AUP10)/(1+VATRate)),AUI10/(1+VATRate)),AUI10)</f>
        <v/>
      </c>
      <c r="AUM10" s="12">
        <f>AUI10-AUL10</f>
        <v/>
      </c>
      <c r="AUN10" s="12">
        <f>IF(AUK10=0,0,IF(ATF10=1,SUMPRODUCT(--(($ATG$5:$ATG10=$ATG10-1)*($ATF$5:$ATF10&gt;=10)*($ATF$5:$ATF10&lt;=12)),$AUM$5:$AUM10),IF(ATF10=4,SUMPRODUCT(--(($ATG$5:$ATG10=$ATG10)*($ATF$5:$ATF10&gt;=1)*($ATF$5:$ATF10&lt;=3)),$AUM$5:$AUM10),IF(ATF10=7,SUMPRODUCT(--(($ATG$5:$ATG10=$ATG10)*($ATF$5:$ATF10&gt;=4)*($ATF$5:$ATF10&lt;=6)),$AUM$5:$AUM10),IF(ATF10=10,SUMPRODUCT(--(($ATG$5:$ATG10=$ATG10)*($ATF$5:$ATF10&gt;=7)*($ATF$5:$ATF10&lt;=9)),$AUM$5:$AUM10),0)))))</f>
        <v/>
      </c>
      <c r="AUO10" s="12">
        <f>AUO9+AUM10-AUN10</f>
        <v/>
      </c>
      <c r="AUP10" s="12">
        <f>IF(ProviderDelay&gt;=1,ATW9*BlendedProvPayEss+ATX9*BlendedProvPayPrem+ATY9*BlendedProvPayElite+ATZ9*BlendedProvPayEss+AUA9*BlendedProvPayPrem+AUB9*BlendedProvPayElite,ATW10*BlendedProvPayEss+ATX10*BlendedProvPayPrem+ATY10*BlendedProvPayElite+ATZ10*BlendedProvPayEss+AUA10*BlendedProvPayPrem+AUB10*BlendedProvPayElite)</f>
        <v/>
      </c>
      <c r="AUQ10" s="12">
        <f>AUI10*PaymentFee</f>
        <v/>
      </c>
      <c r="AUR10" s="12">
        <f>AUC10*OpsAI</f>
        <v/>
      </c>
      <c r="AUS10" s="12">
        <f>MonthlyFixed</f>
        <v/>
      </c>
      <c r="AUT10" s="12">
        <f>ATM10*ReferralReward</f>
        <v/>
      </c>
      <c r="AUU10" s="12">
        <f>ATK10</f>
        <v/>
      </c>
      <c r="AUV10" s="9">
        <f>AUL10-AUP10-AUQ10-AUR10-AUS10-AUT10-AUU10</f>
        <v/>
      </c>
      <c r="AUW10" s="9">
        <f>AUW9+AUI10-(AUP10+AUQ10+AUR10+AUS10+AUT10+AUU10+AUN10)</f>
        <v/>
      </c>
      <c r="AUX10" s="12">
        <f>IF(AUC10&gt;0,AUD10/AUC10,0)</f>
        <v/>
      </c>
      <c r="AUY10" s="11">
        <f>IF(AUC9&gt;0,MAX(0,(AUC9+ATN10-AUC10)/AUC9),0)</f>
        <v/>
      </c>
      <c r="AVA10" s="12" t="n">
        <v>6</v>
      </c>
      <c r="AVB10" s="12">
        <f>MOD(AVA10-1+LaunchMonth-1,12)+1</f>
        <v/>
      </c>
      <c r="AVC10" s="12">
        <f>INT((AVA10-1+LaunchMonth-1)/12)+1</f>
        <v/>
      </c>
      <c r="AVD10" s="12">
        <f>VLOOKUP(AVB10,WinterPivotSeasonTable,5,FALSE)</f>
        <v/>
      </c>
      <c r="AVE10" s="12">
        <f>(1+InflationRate)^INT((AVA10-1)/12)</f>
        <v/>
      </c>
      <c r="AVF10" s="11">
        <f>MonthlyChurn*VLOOKUP(AVB10,WinterPivotChurnTable,6,FALSE)</f>
        <v/>
      </c>
      <c r="AVG10" s="12">
        <f>MIN(MktFixed4_6,MAX(0,AWS9-CashBuffer))</f>
        <v/>
      </c>
      <c r="AVH10" s="12">
        <f>IF(AVG10&gt;0,MAX(1,ROUND(AVG10/CAC*AVD10,0)),0)</f>
        <v/>
      </c>
      <c r="AVI10" s="12">
        <f>IF(AVH10&gt;0,ROUND(AVH10*ReferralMix/(1-ReferralMix),0),0)</f>
        <v/>
      </c>
      <c r="AVJ10" s="12">
        <f>AVH10+AVI10</f>
        <v/>
      </c>
      <c r="AVK10" s="12">
        <f>ROUND(AVJ10*(1-AnnualMix),0)</f>
        <v/>
      </c>
      <c r="AVL10" s="12">
        <f>AVJ10-AVK10</f>
        <v/>
      </c>
      <c r="AVM10" s="12">
        <f>ROUND(AVK10*'Sens - Winter Pivot'!$B$6,0)</f>
        <v/>
      </c>
      <c r="AVN10" s="12">
        <f>ROUND(AVK10*PremiumMix,0)</f>
        <v/>
      </c>
      <c r="AVO10" s="12">
        <f>AVK10-AVM10-AVN10</f>
        <v/>
      </c>
      <c r="AVP10" s="12">
        <f>ROUND(AVL10*'Sens - Winter Pivot'!$B$6,0)</f>
        <v/>
      </c>
      <c r="AVQ10" s="12">
        <f>ROUND(AVL10*PremiumMix,0)</f>
        <v/>
      </c>
      <c r="AVR10" s="12">
        <f>AVL10-AVP10-AVQ10</f>
        <v/>
      </c>
      <c r="AVS10" s="12">
        <f>AVM10+AVM9+AVM8+MAX(0,AVS9-AVM9-AVM8)*(1-AVF10)</f>
        <v/>
      </c>
      <c r="AVT10" s="12">
        <f>AVN10+AVN9+AVN8+MAX(0,AVT9-AVN9-AVN8)*(1-AVF10)</f>
        <v/>
      </c>
      <c r="AVU10" s="12">
        <f>AVO10+AVO9+AVO8+MAX(0,AVU9-AVO9-AVO8)*(1-AVF10)</f>
        <v/>
      </c>
      <c r="AVV10" s="12">
        <f>SUM(AVP$5:AVP10)</f>
        <v/>
      </c>
      <c r="AVW10" s="12">
        <f>SUM(AVQ$5:AVQ10)</f>
        <v/>
      </c>
      <c r="AVX10" s="12">
        <f>SUM(AVR$5:AVR10)</f>
        <v/>
      </c>
      <c r="AVY10" s="12">
        <f>AVS10+AVT10+AVU10+AVV10+AVW10+AVX10</f>
        <v/>
      </c>
      <c r="AVZ10" s="9">
        <f>AVS10*BlendedPriceEssMonthly*AVE10+AVT10*(BlendedPricePremMonthly+'Sens - Winter Pivot'!$B$7)*AVE10+AVU10*BlendedPriceEliteMonthly*AVE10+AVV10*BlendedPriceEssAnnual*AVE10/12+AVW10*(BlendedPricePremAnnual+'Sens - Winter Pivot'!$B$7*12)*AVE10/12+AVX10*BlendedPriceEliteAnnual*AVE10/12</f>
        <v/>
      </c>
      <c r="AWA10" s="9">
        <f>AVZ10*12</f>
        <v/>
      </c>
      <c r="AWB10" s="12">
        <f>AVS10*BlendedPriceEssMonthly*AVE10+AVT10*(BlendedPricePremMonthly+'Sens - Winter Pivot'!$B$7)*AVE10+AVU10*BlendedPriceEliteMonthly*AVE10</f>
        <v/>
      </c>
      <c r="AWC10" s="12">
        <f>AVP10*BlendedPriceEssAnnual*AVE10+AVQ10*(BlendedPricePremAnnual+'Sens - Winter Pivot'!$B$7*12)*AVE10+AVR10*BlendedPriceEliteAnnual*AVE10</f>
        <v/>
      </c>
      <c r="AWD10" s="12">
        <f>0+0+0</f>
        <v/>
      </c>
      <c r="AWE10" s="9">
        <f>AWB10+AWC10+AWD10</f>
        <v/>
      </c>
      <c r="AWF10" s="12">
        <f>SUM(AWE$5:AWE10)</f>
        <v/>
      </c>
      <c r="AWG10" s="12">
        <f>OR(AWG9,IF(VATAgentMode,SUM($AWE$5:$AWE10)-SUM($AWL$5:$AWL10)&gt;=VATThreshold,SUM($AWE$5:$AWE10)&gt;=VATThreshold))</f>
        <v/>
      </c>
      <c r="AWH10" s="9">
        <f>IF(AWG10,IF(VATAgentMode,AWE10-((AWE10-AWL10)-(AWE10-AWL10)/(1+VATRate)),AWE10/(1+VATRate)),AWE10)</f>
        <v/>
      </c>
      <c r="AWI10" s="12">
        <f>AWE10-AWH10</f>
        <v/>
      </c>
      <c r="AWJ10" s="12">
        <f>IF(AWG10=0,0,IF(AVB10=1,SUMPRODUCT(--(($AVC$5:$AVC10=$AVC10-1)*($AVB$5:$AVB10&gt;=10)*($AVB$5:$AVB10&lt;=12)),$AWI$5:$AWI10),IF(AVB10=4,SUMPRODUCT(--(($AVC$5:$AVC10=$AVC10)*($AVB$5:$AVB10&gt;=1)*($AVB$5:$AVB10&lt;=3)),$AWI$5:$AWI10),IF(AVB10=7,SUMPRODUCT(--(($AVC$5:$AVC10=$AVC10)*($AVB$5:$AVB10&gt;=4)*($AVB$5:$AVB10&lt;=6)),$AWI$5:$AWI10),IF(AVB10=10,SUMPRODUCT(--(($AVC$5:$AVC10=$AVC10)*($AVB$5:$AVB10&gt;=7)*($AVB$5:$AVB10&lt;=9)),$AWI$5:$AWI10),0)))))</f>
        <v/>
      </c>
      <c r="AWK10" s="12">
        <f>AWK9+AWI10-AWJ10</f>
        <v/>
      </c>
      <c r="AWL10" s="12">
        <f>IF(ProviderDelay&gt;=1,AVS9*BlendedProvPayEss+AVT9*BlendedProvPayPrem+AVU9*BlendedProvPayElite+AVV9*BlendedProvPayEss+AVW9*BlendedProvPayPrem+AVX9*BlendedProvPayElite,AVS10*BlendedProvPayEss+AVT10*BlendedProvPayPrem+AVU10*BlendedProvPayElite+AVV10*BlendedProvPayEss+AVW10*BlendedProvPayPrem+AVX10*BlendedProvPayElite)</f>
        <v/>
      </c>
      <c r="AWM10" s="12">
        <f>AWE10*PaymentFee</f>
        <v/>
      </c>
      <c r="AWN10" s="12">
        <f>AVY10*OpsAI</f>
        <v/>
      </c>
      <c r="AWO10" s="12">
        <f>MonthlyFixed</f>
        <v/>
      </c>
      <c r="AWP10" s="12">
        <f>AVI10*ReferralReward</f>
        <v/>
      </c>
      <c r="AWQ10" s="12">
        <f>AVG10</f>
        <v/>
      </c>
      <c r="AWR10" s="9">
        <f>AWH10-AWL10-AWM10-AWN10-AWO10-AWP10-AWQ10</f>
        <v/>
      </c>
      <c r="AWS10" s="9">
        <f>AWS9+AWE10-(AWL10+AWM10+AWN10+AWO10+AWP10+AWQ10+AWJ10)</f>
        <v/>
      </c>
      <c r="AWT10" s="12">
        <f>IF(AVY10&gt;0,AVZ10/AVY10,0)</f>
        <v/>
      </c>
      <c r="AWU10" s="11">
        <f>IF(AVY9&gt;0,MAX(0,(AVY9+AVJ10-AVY10)/AVY9),0)</f>
        <v/>
      </c>
    </row>
    <row r="11">
      <c r="A11" s="12" t="n">
        <v>7</v>
      </c>
      <c r="B11" s="12">
        <f>MOD(A11-1+LaunchMonth-1,12)+1</f>
        <v/>
      </c>
      <c r="C11" s="12">
        <f>INT((A11-1+LaunchMonth-1)/12)+1</f>
        <v/>
      </c>
      <c r="D11" s="12">
        <f>VLOOKUP(B11,SeasonTable,2,FALSE)</f>
        <v/>
      </c>
      <c r="E11" s="12">
        <f>(1+InflationRate)^INT((A11-1)/12)</f>
        <v/>
      </c>
      <c r="F11" s="11">
        <f>'Sens - Scenarios'!$B$5*VLOOKUP(B11,ChurnSeasonTable,4,FALSE)</f>
        <v/>
      </c>
      <c r="G11" s="12">
        <f>MIN(MAX(MktMin7_12,AE10*MktPct7_12),MAX(0,AS10-CashBuffer))</f>
        <v/>
      </c>
      <c r="H11" s="12">
        <f>IF(G11&gt;0,MAX(1,ROUND(G11/'Sens - Scenarios'!$B$8*D11,0)),0)</f>
        <v/>
      </c>
      <c r="I11" s="12">
        <f>IF(H11&gt;0,ROUND(H11*ReferralMix/(1-ReferralMix),0),0)</f>
        <v/>
      </c>
      <c r="J11" s="12">
        <f>H11+I11</f>
        <v/>
      </c>
      <c r="K11" s="12">
        <f>ROUND(J11*(1-'Sens - Scenarios'!$B$7),0)</f>
        <v/>
      </c>
      <c r="L11" s="12">
        <f>J11-K11</f>
        <v/>
      </c>
      <c r="M11" s="12">
        <f>ROUND(K11*EssentialMix,0)</f>
        <v/>
      </c>
      <c r="N11" s="12">
        <f>ROUND(K11*PremiumMix,0)</f>
        <v/>
      </c>
      <c r="O11" s="12">
        <f>K11-M11-N11</f>
        <v/>
      </c>
      <c r="P11" s="12">
        <f>ROUND(L11*EssentialMix,0)</f>
        <v/>
      </c>
      <c r="Q11" s="12">
        <f>ROUND(L11*PremiumMix,0)</f>
        <v/>
      </c>
      <c r="R11" s="12">
        <f>L11-P11-Q11</f>
        <v/>
      </c>
      <c r="S11" s="12">
        <f>M11+M10+M9+MAX(0,S10-M10-M9)*(1-F11)</f>
        <v/>
      </c>
      <c r="T11" s="12">
        <f>N11+N10+N9+MAX(0,T10-N10-N9)*(1-F11)</f>
        <v/>
      </c>
      <c r="U11" s="12">
        <f>O11+O10+O9+MAX(0,U10-O10-O9)*(1-F11)</f>
        <v/>
      </c>
      <c r="V11" s="12">
        <f>SUM(P$5:P11)</f>
        <v/>
      </c>
      <c r="W11" s="12">
        <f>SUM(Q$5:Q11)</f>
        <v/>
      </c>
      <c r="X11" s="12">
        <f>SUM(R$5:R11)</f>
        <v/>
      </c>
      <c r="Y11" s="12">
        <f>S11+T11+U11+V11+W11+X11</f>
        <v/>
      </c>
      <c r="Z11" s="9">
        <f>S11*BlendedPriceEssMonthly*E11+T11*BlendedPricePremMonthly*E11+U11*BlendedPriceEliteMonthly*E11+V11*BlendedPriceEssAnnual*E11/12+W11*BlendedPricePremAnnual*E11/12+X11*BlendedPriceEliteAnnual*E11/12</f>
        <v/>
      </c>
      <c r="AA11" s="9">
        <f>Z11*12</f>
        <v/>
      </c>
      <c r="AB11" s="12">
        <f>S11*BlendedPriceEssMonthly*E11+T11*BlendedPricePremMonthly*E11+U11*BlendedPriceEliteMonthly*E11</f>
        <v/>
      </c>
      <c r="AC11" s="12">
        <f>P11*BlendedPriceEssAnnual*E11+Q11*BlendedPricePremAnnual*E11+R11*BlendedPriceEliteAnnual*E11</f>
        <v/>
      </c>
      <c r="AD11" s="12">
        <f>0+0+0</f>
        <v/>
      </c>
      <c r="AE11" s="9">
        <f>AB11+AC11+AD11</f>
        <v/>
      </c>
      <c r="AF11" s="12">
        <f>SUM(AE$5:AE11)</f>
        <v/>
      </c>
      <c r="AG11" s="12">
        <f>OR(AG10,IF(VATAgentMode,SUM($AE$5:$AE11)-SUM($AL$5:$AL11)&gt;=VATThreshold,SUM($AE$5:$AE11)&gt;=VATThreshold))</f>
        <v/>
      </c>
      <c r="AH11" s="9">
        <f>IF(AG11,IF(VATAgentMode,AE11-((AE11-AL11)-(AE11-AL11)/(1+VATRate)),AE11/(1+VATRate)),AE11)</f>
        <v/>
      </c>
      <c r="AI11" s="12">
        <f>AE11-AH11</f>
        <v/>
      </c>
      <c r="AJ11" s="12">
        <f>IF(AG11=0,0,IF(B11=1,SUMPRODUCT(--(($C$5:$C11=$C11-1)*($B$5:$B11&gt;=10)*($B$5:$B11&lt;=12)),$AI$5:$AI11),IF(B11=4,SUMPRODUCT(--(($C$5:$C11=$C11)*($B$5:$B11&gt;=1)*($B$5:$B11&lt;=3)),$AI$5:$AI11),IF(B11=7,SUMPRODUCT(--(($C$5:$C11=$C11)*($B$5:$B11&gt;=4)*($B$5:$B11&lt;=6)),$AI$5:$AI11),IF(B11=10,SUMPRODUCT(--(($C$5:$C11=$C11)*($B$5:$B11&gt;=7)*($B$5:$B11&lt;=9)),$AI$5:$AI11),0)))))</f>
        <v/>
      </c>
      <c r="AK11" s="12">
        <f>AK10+AI11-AJ11</f>
        <v/>
      </c>
      <c r="AL11" s="12">
        <f>IF(ProviderDelay&gt;=1,S10*BlendedProvPayEss+T10*BlendedProvPayPrem+U10*BlendedProvPayElite+V10*BlendedProvPayEss+W10*BlendedProvPayPrem+X10*BlendedProvPayElite,S11*BlendedProvPayEss+T11*BlendedProvPayPrem+U11*BlendedProvPayElite+V11*BlendedProvPayEss+W11*BlendedProvPayPrem+X11*BlendedProvPayElite)</f>
        <v/>
      </c>
      <c r="AM11" s="12">
        <f>AE11*PaymentFee</f>
        <v/>
      </c>
      <c r="AN11" s="12">
        <f>Y11*OpsAI</f>
        <v/>
      </c>
      <c r="AO11" s="12">
        <f>MonthlyFixed</f>
        <v/>
      </c>
      <c r="AP11" s="12">
        <f>I11*ReferralReward</f>
        <v/>
      </c>
      <c r="AQ11" s="12">
        <f>G11</f>
        <v/>
      </c>
      <c r="AR11" s="9">
        <f>AH11-AL11-AM11-AN11-AO11-AP11-AQ11</f>
        <v/>
      </c>
      <c r="AS11" s="9">
        <f>AS10+AE11-(AL11+AM11+AN11+AO11+AP11+AQ11+AJ11)</f>
        <v/>
      </c>
      <c r="AT11" s="12">
        <f>IF(Y11&gt;0,Z11/Y11,0)</f>
        <v/>
      </c>
      <c r="AU11" s="11">
        <f>IF(Y10&gt;0,MAX(0,(Y10+J11-Y11)/Y10),0)</f>
        <v/>
      </c>
      <c r="AW11" s="12" t="n">
        <v>7</v>
      </c>
      <c r="AX11" s="12">
        <f>MOD(AW11-1+LaunchMonth-1,12)+1</f>
        <v/>
      </c>
      <c r="AY11" s="12">
        <f>INT((AW11-1+LaunchMonth-1)/12)+1</f>
        <v/>
      </c>
      <c r="AZ11" s="12">
        <f>VLOOKUP(AX11,SeasonTable,2,FALSE)</f>
        <v/>
      </c>
      <c r="BA11" s="12">
        <f>(1+InflationRate)^INT((AW11-1)/12)</f>
        <v/>
      </c>
      <c r="BB11" s="11">
        <f>MonthlyChurn*VLOOKUP(AX11,ChurnSeasonTable,4,FALSE)</f>
        <v/>
      </c>
      <c r="BC11" s="12">
        <f>MIN(MAX(MktMin7_12,CA10*MktPct7_12),MAX(0,CO10-CashBuffer))</f>
        <v/>
      </c>
      <c r="BD11" s="12">
        <f>IF(BC11&gt;0,MAX(1,ROUND(BC11/CAC*AZ11,0)),0)</f>
        <v/>
      </c>
      <c r="BE11" s="12">
        <f>IF(BD11&gt;0,ROUND(BD11*ReferralMix/(1-ReferralMix),0),0)</f>
        <v/>
      </c>
      <c r="BF11" s="12">
        <f>BD11+BE11</f>
        <v/>
      </c>
      <c r="BG11" s="12">
        <f>ROUND(BF11*(1-AnnualMix),0)</f>
        <v/>
      </c>
      <c r="BH11" s="12">
        <f>BF11-BG11</f>
        <v/>
      </c>
      <c r="BI11" s="12">
        <f>ROUND(BG11*EssentialMix,0)</f>
        <v/>
      </c>
      <c r="BJ11" s="12">
        <f>ROUND(BG11*PremiumMix,0)</f>
        <v/>
      </c>
      <c r="BK11" s="12">
        <f>BG11-BI11-BJ11</f>
        <v/>
      </c>
      <c r="BL11" s="12">
        <f>ROUND(BH11*EssentialMix,0)</f>
        <v/>
      </c>
      <c r="BM11" s="12">
        <f>ROUND(BH11*PremiumMix,0)</f>
        <v/>
      </c>
      <c r="BN11" s="12">
        <f>BH11-BL11-BM11</f>
        <v/>
      </c>
      <c r="BO11" s="12">
        <f>BI11+BI10+BI9+MAX(0,BO10-BI10-BI9)*(1-BB11)</f>
        <v/>
      </c>
      <c r="BP11" s="12">
        <f>BJ11+BJ10+BJ9+MAX(0,BP10-BJ10-BJ9)*(1-BB11)</f>
        <v/>
      </c>
      <c r="BQ11" s="12">
        <f>BK11+BK10+BK9+MAX(0,BQ10-BK10-BK9)*(1-BB11)</f>
        <v/>
      </c>
      <c r="BR11" s="12">
        <f>SUM(BL$5:BL11)</f>
        <v/>
      </c>
      <c r="BS11" s="12">
        <f>SUM(BM$5:BM11)</f>
        <v/>
      </c>
      <c r="BT11" s="12">
        <f>SUM(BN$5:BN11)</f>
        <v/>
      </c>
      <c r="BU11" s="12">
        <f>BO11+BP11+BQ11+BR11+BS11+BT11</f>
        <v/>
      </c>
      <c r="BV11" s="9">
        <f>BO11*BlendedPriceEssMonthly*BA11+BP11*BlendedPricePremMonthly*BA11+BQ11*BlendedPriceEliteMonthly*BA11+BR11*BlendedPriceEssAnnual*BA11/12+BS11*BlendedPricePremAnnual*BA11/12+BT11*BlendedPriceEliteAnnual*BA11/12</f>
        <v/>
      </c>
      <c r="BW11" s="9">
        <f>BV11*12</f>
        <v/>
      </c>
      <c r="BX11" s="12">
        <f>BO11*BlendedPriceEssMonthly*BA11+BP11*BlendedPricePremMonthly*BA11+BQ11*BlendedPriceEliteMonthly*BA11</f>
        <v/>
      </c>
      <c r="BY11" s="12">
        <f>BL11*BlendedPriceEssAnnual*BA11+BM11*BlendedPricePremAnnual*BA11+BN11*BlendedPriceEliteAnnual*BA11</f>
        <v/>
      </c>
      <c r="BZ11" s="12">
        <f>0+0+0</f>
        <v/>
      </c>
      <c r="CA11" s="9">
        <f>BX11+BY11+BZ11</f>
        <v/>
      </c>
      <c r="CB11" s="12">
        <f>SUM(CA$5:CA11)</f>
        <v/>
      </c>
      <c r="CC11" s="12">
        <f>OR(CC10,IF(VATAgentMode,SUM($CA$5:$CA11)-SUM($CH$5:$CH11)&gt;=VATThreshold,SUM($CA$5:$CA11)&gt;=VATThreshold))</f>
        <v/>
      </c>
      <c r="CD11" s="9">
        <f>IF(CC11,IF(VATAgentMode,CA11-((CA11-CH11)-(CA11-CH11)/(1+VATRate)),CA11/(1+VATRate)),CA11)</f>
        <v/>
      </c>
      <c r="CE11" s="12">
        <f>CA11-CD11</f>
        <v/>
      </c>
      <c r="CF11" s="12">
        <f>IF(CC11=0,0,IF(AX11=1,SUMPRODUCT(--(($AY$5:$AY11=$AY11-1)*($AX$5:$AX11&gt;=10)*($AX$5:$AX11&lt;=12)),$CE$5:$CE11),IF(AX11=4,SUMPRODUCT(--(($AY$5:$AY11=$AY11)*($AX$5:$AX11&gt;=1)*($AX$5:$AX11&lt;=3)),$CE$5:$CE11),IF(AX11=7,SUMPRODUCT(--(($AY$5:$AY11=$AY11)*($AX$5:$AX11&gt;=4)*($AX$5:$AX11&lt;=6)),$CE$5:$CE11),IF(AX11=10,SUMPRODUCT(--(($AY$5:$AY11=$AY11)*($AX$5:$AX11&gt;=7)*($AX$5:$AX11&lt;=9)),$CE$5:$CE11),0)))))</f>
        <v/>
      </c>
      <c r="CG11" s="12">
        <f>CG10+CE11-CF11</f>
        <v/>
      </c>
      <c r="CH11" s="12">
        <f>IF(ProviderDelay&gt;=1,BO10*BlendedProvPayEss+BP10*BlendedProvPayPrem+BQ10*BlendedProvPayElite+BR10*BlendedProvPayEss+BS10*BlendedProvPayPrem+BT10*BlendedProvPayElite,BO11*BlendedProvPayEss+BP11*BlendedProvPayPrem+BQ11*BlendedProvPayElite+BR11*BlendedProvPayEss+BS11*BlendedProvPayPrem+BT11*BlendedProvPayElite)</f>
        <v/>
      </c>
      <c r="CI11" s="12">
        <f>CA11*PaymentFee</f>
        <v/>
      </c>
      <c r="CJ11" s="12">
        <f>BU11*OpsAI</f>
        <v/>
      </c>
      <c r="CK11" s="12">
        <f>MonthlyFixed</f>
        <v/>
      </c>
      <c r="CL11" s="12">
        <f>BE11*ReferralReward</f>
        <v/>
      </c>
      <c r="CM11" s="12">
        <f>BC11</f>
        <v/>
      </c>
      <c r="CN11" s="9">
        <f>CD11-CH11-CI11-CJ11-CK11-CL11-CM11</f>
        <v/>
      </c>
      <c r="CO11" s="9">
        <f>CO10+CA11-(CH11+CI11+CJ11+CK11+CL11+CM11+CF11)</f>
        <v/>
      </c>
      <c r="CP11" s="12">
        <f>IF(BU11&gt;0,BV11/BU11,0)</f>
        <v/>
      </c>
      <c r="CQ11" s="11">
        <f>IF(BU10&gt;0,MAX(0,(BU10+BF11-BU11)/BU10),0)</f>
        <v/>
      </c>
      <c r="CS11" s="12" t="n">
        <v>7</v>
      </c>
      <c r="CT11" s="12">
        <f>MOD(CS11-1+LaunchMonth-1,12)+1</f>
        <v/>
      </c>
      <c r="CU11" s="12">
        <f>INT((CS11-1+LaunchMonth-1)/12)+1</f>
        <v/>
      </c>
      <c r="CV11" s="12">
        <f>VLOOKUP(CT11,SeasonTable,2,FALSE)</f>
        <v/>
      </c>
      <c r="CW11" s="12">
        <f>(1+InflationRate)^INT((CS11-1)/12)</f>
        <v/>
      </c>
      <c r="CX11" s="11">
        <f>'Sens - Scenarios'!$D$5*VLOOKUP(CT11,ChurnSeasonTable,4,FALSE)</f>
        <v/>
      </c>
      <c r="CY11" s="12">
        <f>MIN(MAX(MktMin7_12,DW10*MktPct7_12),MAX(0,EK10-CashBuffer))</f>
        <v/>
      </c>
      <c r="CZ11" s="12">
        <f>IF(CY11&gt;0,MAX(1,ROUND(CY11/'Sens - Scenarios'!$D$8*CV11,0)),0)</f>
        <v/>
      </c>
      <c r="DA11" s="12">
        <f>IF(CZ11&gt;0,ROUND(CZ11*ReferralMix/(1-ReferralMix),0),0)</f>
        <v/>
      </c>
      <c r="DB11" s="12">
        <f>CZ11+DA11</f>
        <v/>
      </c>
      <c r="DC11" s="12">
        <f>ROUND(DB11*(1-'Sens - Scenarios'!$D$7),0)</f>
        <v/>
      </c>
      <c r="DD11" s="12">
        <f>DB11-DC11</f>
        <v/>
      </c>
      <c r="DE11" s="12">
        <f>ROUND(DC11*EssentialMix,0)</f>
        <v/>
      </c>
      <c r="DF11" s="12">
        <f>ROUND(DC11*PremiumMix,0)</f>
        <v/>
      </c>
      <c r="DG11" s="12">
        <f>DC11-DE11-DF11</f>
        <v/>
      </c>
      <c r="DH11" s="12">
        <f>ROUND(DD11*EssentialMix,0)</f>
        <v/>
      </c>
      <c r="DI11" s="12">
        <f>ROUND(DD11*PremiumMix,0)</f>
        <v/>
      </c>
      <c r="DJ11" s="12">
        <f>DD11-DH11-DI11</f>
        <v/>
      </c>
      <c r="DK11" s="12">
        <f>DE11+DE10+DE9+MAX(0,DK10-DE10-DE9)*(1-CX11)</f>
        <v/>
      </c>
      <c r="DL11" s="12">
        <f>DF11+DF10+DF9+MAX(0,DL10-DF10-DF9)*(1-CX11)</f>
        <v/>
      </c>
      <c r="DM11" s="12">
        <f>DG11+DG10+DG9+MAX(0,DM10-DG10-DG9)*(1-CX11)</f>
        <v/>
      </c>
      <c r="DN11" s="12">
        <f>SUM(DH$5:DH11)</f>
        <v/>
      </c>
      <c r="DO11" s="12">
        <f>SUM(DI$5:DI11)</f>
        <v/>
      </c>
      <c r="DP11" s="12">
        <f>SUM(DJ$5:DJ11)</f>
        <v/>
      </c>
      <c r="DQ11" s="12">
        <f>DK11+DL11+DM11+DN11+DO11+DP11</f>
        <v/>
      </c>
      <c r="DR11" s="9">
        <f>DK11*BlendedPriceEssMonthly*CW11+DL11*BlendedPricePremMonthly*CW11+DM11*BlendedPriceEliteMonthly*CW11+DN11*BlendedPriceEssAnnual*CW11/12+DO11*BlendedPricePremAnnual*CW11/12+DP11*BlendedPriceEliteAnnual*CW11/12</f>
        <v/>
      </c>
      <c r="DS11" s="9">
        <f>DR11*12</f>
        <v/>
      </c>
      <c r="DT11" s="12">
        <f>DK11*BlendedPriceEssMonthly*CW11+DL11*BlendedPricePremMonthly*CW11+DM11*BlendedPriceEliteMonthly*CW11</f>
        <v/>
      </c>
      <c r="DU11" s="12">
        <f>DH11*BlendedPriceEssAnnual*CW11+DI11*BlendedPricePremAnnual*CW11+DJ11*BlendedPriceEliteAnnual*CW11</f>
        <v/>
      </c>
      <c r="DV11" s="12">
        <f>0+0+0</f>
        <v/>
      </c>
      <c r="DW11" s="9">
        <f>DT11+DU11+DV11</f>
        <v/>
      </c>
      <c r="DX11" s="12">
        <f>SUM(DW$5:DW11)</f>
        <v/>
      </c>
      <c r="DY11" s="12">
        <f>OR(DY10,IF(VATAgentMode,SUM($DW$5:$DW11)-SUM($ED$5:$ED11)&gt;=VATThreshold,SUM($DW$5:$DW11)&gt;=VATThreshold))</f>
        <v/>
      </c>
      <c r="DZ11" s="9">
        <f>IF(DY11,IF(VATAgentMode,DW11-((DW11-ED11)-(DW11-ED11)/(1+VATRate)),DW11/(1+VATRate)),DW11)</f>
        <v/>
      </c>
      <c r="EA11" s="12">
        <f>DW11-DZ11</f>
        <v/>
      </c>
      <c r="EB11" s="12">
        <f>IF(DY11=0,0,IF(CT11=1,SUMPRODUCT(--(($CU$5:$CU11=$CU11-1)*($CT$5:$CT11&gt;=10)*($CT$5:$CT11&lt;=12)),$EA$5:$EA11),IF(CT11=4,SUMPRODUCT(--(($CU$5:$CU11=$CU11)*($CT$5:$CT11&gt;=1)*($CT$5:$CT11&lt;=3)),$EA$5:$EA11),IF(CT11=7,SUMPRODUCT(--(($CU$5:$CU11=$CU11)*($CT$5:$CT11&gt;=4)*($CT$5:$CT11&lt;=6)),$EA$5:$EA11),IF(CT11=10,SUMPRODUCT(--(($CU$5:$CU11=$CU11)*($CT$5:$CT11&gt;=7)*($CT$5:$CT11&lt;=9)),$EA$5:$EA11),0)))))</f>
        <v/>
      </c>
      <c r="EC11" s="12">
        <f>EC10+EA11-EB11</f>
        <v/>
      </c>
      <c r="ED11" s="12">
        <f>IF(ProviderDelay&gt;=1,DK10*BlendedProvPayEss+DL10*BlendedProvPayPrem+DM10*BlendedProvPayElite+DN10*BlendedProvPayEss+DO10*BlendedProvPayPrem+DP10*BlendedProvPayElite,DK11*BlendedProvPayEss+DL11*BlendedProvPayPrem+DM11*BlendedProvPayElite+DN11*BlendedProvPayEss+DO11*BlendedProvPayPrem+DP11*BlendedProvPayElite)</f>
        <v/>
      </c>
      <c r="EE11" s="12">
        <f>DW11*PaymentFee</f>
        <v/>
      </c>
      <c r="EF11" s="12">
        <f>DQ11*OpsAI</f>
        <v/>
      </c>
      <c r="EG11" s="12">
        <f>MonthlyFixed</f>
        <v/>
      </c>
      <c r="EH11" s="12">
        <f>DA11*ReferralReward</f>
        <v/>
      </c>
      <c r="EI11" s="12">
        <f>CY11</f>
        <v/>
      </c>
      <c r="EJ11" s="9">
        <f>DZ11-ED11-EE11-EF11-EG11-EH11-EI11</f>
        <v/>
      </c>
      <c r="EK11" s="9">
        <f>EK10+DW11-(ED11+EE11+EF11+EG11+EH11+EI11+EB11)</f>
        <v/>
      </c>
      <c r="EL11" s="12">
        <f>IF(DQ11&gt;0,DR11/DQ11,0)</f>
        <v/>
      </c>
      <c r="EM11" s="11">
        <f>IF(DQ10&gt;0,MAX(0,(DQ10+DB11-DQ11)/DQ10),0)</f>
        <v/>
      </c>
      <c r="EO11" s="12" t="n">
        <v>7</v>
      </c>
      <c r="EP11" s="12">
        <f>MOD(EO11-1+LaunchMonth-1,12)+1</f>
        <v/>
      </c>
      <c r="EQ11" s="12">
        <f>INT((EO11-1+LaunchMonth-1)/12)+1</f>
        <v/>
      </c>
      <c r="ER11" s="12">
        <f>VLOOKUP(EP11,SeasonTable,2,FALSE)</f>
        <v/>
      </c>
      <c r="ES11" s="12">
        <f>(1+InflationRate)^INT((EO11-1)/12)</f>
        <v/>
      </c>
      <c r="ET11" s="11">
        <f>'Sens - Churn'!$A$13*VLOOKUP(EP11,ChurnSeasonTable,4,FALSE)</f>
        <v/>
      </c>
      <c r="EU11" s="12">
        <f>MIN(MAX(MktMin7_12,FS10*MktPct7_12),MAX(0,GG10-CashBuffer))</f>
        <v/>
      </c>
      <c r="EV11" s="12">
        <f>IF(EU11&gt;0,MAX(1,ROUND(EU11/CAC*ER11,0)),0)</f>
        <v/>
      </c>
      <c r="EW11" s="12">
        <f>IF(EV11&gt;0,ROUND(EV11*ReferralMix/(1-ReferralMix),0),0)</f>
        <v/>
      </c>
      <c r="EX11" s="12">
        <f>EV11+EW11</f>
        <v/>
      </c>
      <c r="EY11" s="12">
        <f>ROUND(EX11*(1-AnnualMix),0)</f>
        <v/>
      </c>
      <c r="EZ11" s="12">
        <f>EX11-EY11</f>
        <v/>
      </c>
      <c r="FA11" s="12">
        <f>ROUND(EY11*EssentialMix,0)</f>
        <v/>
      </c>
      <c r="FB11" s="12">
        <f>ROUND(EY11*PremiumMix,0)</f>
        <v/>
      </c>
      <c r="FC11" s="12">
        <f>EY11-FA11-FB11</f>
        <v/>
      </c>
      <c r="FD11" s="12">
        <f>ROUND(EZ11*EssentialMix,0)</f>
        <v/>
      </c>
      <c r="FE11" s="12">
        <f>ROUND(EZ11*PremiumMix,0)</f>
        <v/>
      </c>
      <c r="FF11" s="12">
        <f>EZ11-FD11-FE11</f>
        <v/>
      </c>
      <c r="FG11" s="12">
        <f>FA11+FA10+FA9+MAX(0,FG10-FA10-FA9)*(1-ET11)</f>
        <v/>
      </c>
      <c r="FH11" s="12">
        <f>FB11+FB10+FB9+MAX(0,FH10-FB10-FB9)*(1-ET11)</f>
        <v/>
      </c>
      <c r="FI11" s="12">
        <f>FC11+FC10+FC9+MAX(0,FI10-FC10-FC9)*(1-ET11)</f>
        <v/>
      </c>
      <c r="FJ11" s="12">
        <f>SUM(FD$5:FD11)</f>
        <v/>
      </c>
      <c r="FK11" s="12">
        <f>SUM(FE$5:FE11)</f>
        <v/>
      </c>
      <c r="FL11" s="12">
        <f>SUM(FF$5:FF11)</f>
        <v/>
      </c>
      <c r="FM11" s="12">
        <f>FG11+FH11+FI11+FJ11+FK11+FL11</f>
        <v/>
      </c>
      <c r="FN11" s="9">
        <f>FG11*BlendedPriceEssMonthly*ES11+FH11*BlendedPricePremMonthly*ES11+FI11*BlendedPriceEliteMonthly*ES11+FJ11*BlendedPriceEssAnnual*ES11/12+FK11*BlendedPricePremAnnual*ES11/12+FL11*BlendedPriceEliteAnnual*ES11/12</f>
        <v/>
      </c>
      <c r="FO11" s="9">
        <f>FN11*12</f>
        <v/>
      </c>
      <c r="FP11" s="12">
        <f>FG11*BlendedPriceEssMonthly*ES11+FH11*BlendedPricePremMonthly*ES11+FI11*BlendedPriceEliteMonthly*ES11</f>
        <v/>
      </c>
      <c r="FQ11" s="12">
        <f>FD11*BlendedPriceEssAnnual*ES11+FE11*BlendedPricePremAnnual*ES11+FF11*BlendedPriceEliteAnnual*ES11</f>
        <v/>
      </c>
      <c r="FR11" s="12">
        <f>0+0+0</f>
        <v/>
      </c>
      <c r="FS11" s="9">
        <f>FP11+FQ11+FR11</f>
        <v/>
      </c>
      <c r="FT11" s="12">
        <f>SUM(FS$5:FS11)</f>
        <v/>
      </c>
      <c r="FU11" s="12">
        <f>OR(FU10,IF(VATAgentMode,SUM($FS$5:$FS11)-SUM($FZ$5:$FZ11)&gt;=VATThreshold,SUM($FS$5:$FS11)&gt;=VATThreshold))</f>
        <v/>
      </c>
      <c r="FV11" s="9">
        <f>IF(FU11,IF(VATAgentMode,FS11-((FS11-FZ11)-(FS11-FZ11)/(1+VATRate)),FS11/(1+VATRate)),FS11)</f>
        <v/>
      </c>
      <c r="FW11" s="12">
        <f>FS11-FV11</f>
        <v/>
      </c>
      <c r="FX11" s="12">
        <f>IF(FU11=0,0,IF(EP11=1,SUMPRODUCT(--(($EQ$5:$EQ11=$EQ11-1)*($EP$5:$EP11&gt;=10)*($EP$5:$EP11&lt;=12)),$FW$5:$FW11),IF(EP11=4,SUMPRODUCT(--(($EQ$5:$EQ11=$EQ11)*($EP$5:$EP11&gt;=1)*($EP$5:$EP11&lt;=3)),$FW$5:$FW11),IF(EP11=7,SUMPRODUCT(--(($EQ$5:$EQ11=$EQ11)*($EP$5:$EP11&gt;=4)*($EP$5:$EP11&lt;=6)),$FW$5:$FW11),IF(EP11=10,SUMPRODUCT(--(($EQ$5:$EQ11=$EQ11)*($EP$5:$EP11&gt;=7)*($EP$5:$EP11&lt;=9)),$FW$5:$FW11),0)))))</f>
        <v/>
      </c>
      <c r="FY11" s="12">
        <f>FY10+FW11-FX11</f>
        <v/>
      </c>
      <c r="FZ11" s="12">
        <f>IF(ProviderDelay&gt;=1,FG10*BlendedProvPayEss+FH10*BlendedProvPayPrem+FI10*BlendedProvPayElite+FJ10*BlendedProvPayEss+FK10*BlendedProvPayPrem+FL10*BlendedProvPayElite,FG11*BlendedProvPayEss+FH11*BlendedProvPayPrem+FI11*BlendedProvPayElite+FJ11*BlendedProvPayEss+FK11*BlendedProvPayPrem+FL11*BlendedProvPayElite)</f>
        <v/>
      </c>
      <c r="GA11" s="12">
        <f>FS11*PaymentFee</f>
        <v/>
      </c>
      <c r="GB11" s="12">
        <f>FM11*OpsAI</f>
        <v/>
      </c>
      <c r="GC11" s="12">
        <f>MonthlyFixed</f>
        <v/>
      </c>
      <c r="GD11" s="12">
        <f>EW11*ReferralReward</f>
        <v/>
      </c>
      <c r="GE11" s="12">
        <f>EU11</f>
        <v/>
      </c>
      <c r="GF11" s="9">
        <f>FV11-FZ11-GA11-GB11-GC11-GD11-GE11</f>
        <v/>
      </c>
      <c r="GG11" s="9">
        <f>GG10+FS11-(FZ11+GA11+GB11+GC11+GD11+GE11+FX11)</f>
        <v/>
      </c>
      <c r="GH11" s="12">
        <f>IF(FM11&gt;0,FN11/FM11,0)</f>
        <v/>
      </c>
      <c r="GI11" s="11">
        <f>IF(FM10&gt;0,MAX(0,(FM10+EX11-FM11)/FM10),0)</f>
        <v/>
      </c>
      <c r="GK11" s="12" t="n">
        <v>7</v>
      </c>
      <c r="GL11" s="12">
        <f>MOD(GK11-1+LaunchMonth-1,12)+1</f>
        <v/>
      </c>
      <c r="GM11" s="12">
        <f>INT((GK11-1+LaunchMonth-1)/12)+1</f>
        <v/>
      </c>
      <c r="GN11" s="12">
        <f>VLOOKUP(GL11,SeasonTable,2,FALSE)</f>
        <v/>
      </c>
      <c r="GO11" s="12">
        <f>(1+InflationRate)^INT((GK11-1)/12)</f>
        <v/>
      </c>
      <c r="GP11" s="11">
        <f>'Sens - Churn'!$A$14*VLOOKUP(GL11,ChurnSeasonTable,4,FALSE)</f>
        <v/>
      </c>
      <c r="GQ11" s="12">
        <f>MIN(MAX(MktMin7_12,HO10*MktPct7_12),MAX(0,IC10-CashBuffer))</f>
        <v/>
      </c>
      <c r="GR11" s="12">
        <f>IF(GQ11&gt;0,MAX(1,ROUND(GQ11/CAC*GN11,0)),0)</f>
        <v/>
      </c>
      <c r="GS11" s="12">
        <f>IF(GR11&gt;0,ROUND(GR11*ReferralMix/(1-ReferralMix),0),0)</f>
        <v/>
      </c>
      <c r="GT11" s="12">
        <f>GR11+GS11</f>
        <v/>
      </c>
      <c r="GU11" s="12">
        <f>ROUND(GT11*(1-AnnualMix),0)</f>
        <v/>
      </c>
      <c r="GV11" s="12">
        <f>GT11-GU11</f>
        <v/>
      </c>
      <c r="GW11" s="12">
        <f>ROUND(GU11*EssentialMix,0)</f>
        <v/>
      </c>
      <c r="GX11" s="12">
        <f>ROUND(GU11*PremiumMix,0)</f>
        <v/>
      </c>
      <c r="GY11" s="12">
        <f>GU11-GW11-GX11</f>
        <v/>
      </c>
      <c r="GZ11" s="12">
        <f>ROUND(GV11*EssentialMix,0)</f>
        <v/>
      </c>
      <c r="HA11" s="12">
        <f>ROUND(GV11*PremiumMix,0)</f>
        <v/>
      </c>
      <c r="HB11" s="12">
        <f>GV11-GZ11-HA11</f>
        <v/>
      </c>
      <c r="HC11" s="12">
        <f>GW11+GW10+GW9+MAX(0,HC10-GW10-GW9)*(1-GP11)</f>
        <v/>
      </c>
      <c r="HD11" s="12">
        <f>GX11+GX10+GX9+MAX(0,HD10-GX10-GX9)*(1-GP11)</f>
        <v/>
      </c>
      <c r="HE11" s="12">
        <f>GY11+GY10+GY9+MAX(0,HE10-GY10-GY9)*(1-GP11)</f>
        <v/>
      </c>
      <c r="HF11" s="12">
        <f>SUM(GZ$5:GZ11)</f>
        <v/>
      </c>
      <c r="HG11" s="12">
        <f>SUM(HA$5:HA11)</f>
        <v/>
      </c>
      <c r="HH11" s="12">
        <f>SUM(HB$5:HB11)</f>
        <v/>
      </c>
      <c r="HI11" s="12">
        <f>HC11+HD11+HE11+HF11+HG11+HH11</f>
        <v/>
      </c>
      <c r="HJ11" s="9">
        <f>HC11*BlendedPriceEssMonthly*GO11+HD11*BlendedPricePremMonthly*GO11+HE11*BlendedPriceEliteMonthly*GO11+HF11*BlendedPriceEssAnnual*GO11/12+HG11*BlendedPricePremAnnual*GO11/12+HH11*BlendedPriceEliteAnnual*GO11/12</f>
        <v/>
      </c>
      <c r="HK11" s="9">
        <f>HJ11*12</f>
        <v/>
      </c>
      <c r="HL11" s="12">
        <f>HC11*BlendedPriceEssMonthly*GO11+HD11*BlendedPricePremMonthly*GO11+HE11*BlendedPriceEliteMonthly*GO11</f>
        <v/>
      </c>
      <c r="HM11" s="12">
        <f>GZ11*BlendedPriceEssAnnual*GO11+HA11*BlendedPricePremAnnual*GO11+HB11*BlendedPriceEliteAnnual*GO11</f>
        <v/>
      </c>
      <c r="HN11" s="12">
        <f>0+0+0</f>
        <v/>
      </c>
      <c r="HO11" s="9">
        <f>HL11+HM11+HN11</f>
        <v/>
      </c>
      <c r="HP11" s="12">
        <f>SUM(HO$5:HO11)</f>
        <v/>
      </c>
      <c r="HQ11" s="12">
        <f>OR(HQ10,IF(VATAgentMode,SUM($HO$5:$HO11)-SUM($HV$5:$HV11)&gt;=VATThreshold,SUM($HO$5:$HO11)&gt;=VATThreshold))</f>
        <v/>
      </c>
      <c r="HR11" s="9">
        <f>IF(HQ11,IF(VATAgentMode,HO11-((HO11-HV11)-(HO11-HV11)/(1+VATRate)),HO11/(1+VATRate)),HO11)</f>
        <v/>
      </c>
      <c r="HS11" s="12">
        <f>HO11-HR11</f>
        <v/>
      </c>
      <c r="HT11" s="12">
        <f>IF(HQ11=0,0,IF(GL11=1,SUMPRODUCT(--(($GM$5:$GM11=$GM11-1)*($GL$5:$GL11&gt;=10)*($GL$5:$GL11&lt;=12)),$HS$5:$HS11),IF(GL11=4,SUMPRODUCT(--(($GM$5:$GM11=$GM11)*($GL$5:$GL11&gt;=1)*($GL$5:$GL11&lt;=3)),$HS$5:$HS11),IF(GL11=7,SUMPRODUCT(--(($GM$5:$GM11=$GM11)*($GL$5:$GL11&gt;=4)*($GL$5:$GL11&lt;=6)),$HS$5:$HS11),IF(GL11=10,SUMPRODUCT(--(($GM$5:$GM11=$GM11)*($GL$5:$GL11&gt;=7)*($GL$5:$GL11&lt;=9)),$HS$5:$HS11),0)))))</f>
        <v/>
      </c>
      <c r="HU11" s="12">
        <f>HU10+HS11-HT11</f>
        <v/>
      </c>
      <c r="HV11" s="12">
        <f>IF(ProviderDelay&gt;=1,HC10*BlendedProvPayEss+HD10*BlendedProvPayPrem+HE10*BlendedProvPayElite+HF10*BlendedProvPayEss+HG10*BlendedProvPayPrem+HH10*BlendedProvPayElite,HC11*BlendedProvPayEss+HD11*BlendedProvPayPrem+HE11*BlendedProvPayElite+HF11*BlendedProvPayEss+HG11*BlendedProvPayPrem+HH11*BlendedProvPayElite)</f>
        <v/>
      </c>
      <c r="HW11" s="12">
        <f>HO11*PaymentFee</f>
        <v/>
      </c>
      <c r="HX11" s="12">
        <f>HI11*OpsAI</f>
        <v/>
      </c>
      <c r="HY11" s="12">
        <f>MonthlyFixed</f>
        <v/>
      </c>
      <c r="HZ11" s="12">
        <f>GS11*ReferralReward</f>
        <v/>
      </c>
      <c r="IA11" s="12">
        <f>GQ11</f>
        <v/>
      </c>
      <c r="IB11" s="9">
        <f>HR11-HV11-HW11-HX11-HY11-HZ11-IA11</f>
        <v/>
      </c>
      <c r="IC11" s="9">
        <f>IC10+HO11-(HV11+HW11+HX11+HY11+HZ11+IA11+HT11)</f>
        <v/>
      </c>
      <c r="ID11" s="12">
        <f>IF(HI11&gt;0,HJ11/HI11,0)</f>
        <v/>
      </c>
      <c r="IE11" s="11">
        <f>IF(HI10&gt;0,MAX(0,(HI10+GT11-HI11)/HI10),0)</f>
        <v/>
      </c>
      <c r="IG11" s="12" t="n">
        <v>7</v>
      </c>
      <c r="IH11" s="12">
        <f>MOD(IG11-1+LaunchMonth-1,12)+1</f>
        <v/>
      </c>
      <c r="II11" s="12">
        <f>INT((IG11-1+LaunchMonth-1)/12)+1</f>
        <v/>
      </c>
      <c r="IJ11" s="12">
        <f>VLOOKUP(IH11,SeasonTable,2,FALSE)</f>
        <v/>
      </c>
      <c r="IK11" s="12">
        <f>(1+InflationRate)^INT((IG11-1)/12)</f>
        <v/>
      </c>
      <c r="IL11" s="11">
        <f>'Sens - Churn'!$A$15*VLOOKUP(IH11,ChurnSeasonTable,4,FALSE)</f>
        <v/>
      </c>
      <c r="IM11" s="12">
        <f>MIN(MAX(MktMin7_12,JK10*MktPct7_12),MAX(0,JY10-CashBuffer))</f>
        <v/>
      </c>
      <c r="IN11" s="12">
        <f>IF(IM11&gt;0,MAX(1,ROUND(IM11/CAC*IJ11,0)),0)</f>
        <v/>
      </c>
      <c r="IO11" s="12">
        <f>IF(IN11&gt;0,ROUND(IN11*ReferralMix/(1-ReferralMix),0),0)</f>
        <v/>
      </c>
      <c r="IP11" s="12">
        <f>IN11+IO11</f>
        <v/>
      </c>
      <c r="IQ11" s="12">
        <f>ROUND(IP11*(1-AnnualMix),0)</f>
        <v/>
      </c>
      <c r="IR11" s="12">
        <f>IP11-IQ11</f>
        <v/>
      </c>
      <c r="IS11" s="12">
        <f>ROUND(IQ11*EssentialMix,0)</f>
        <v/>
      </c>
      <c r="IT11" s="12">
        <f>ROUND(IQ11*PremiumMix,0)</f>
        <v/>
      </c>
      <c r="IU11" s="12">
        <f>IQ11-IS11-IT11</f>
        <v/>
      </c>
      <c r="IV11" s="12">
        <f>ROUND(IR11*EssentialMix,0)</f>
        <v/>
      </c>
      <c r="IW11" s="12">
        <f>ROUND(IR11*PremiumMix,0)</f>
        <v/>
      </c>
      <c r="IX11" s="12">
        <f>IR11-IV11-IW11</f>
        <v/>
      </c>
      <c r="IY11" s="12">
        <f>IS11+IS10+IS9+MAX(0,IY10-IS10-IS9)*(1-IL11)</f>
        <v/>
      </c>
      <c r="IZ11" s="12">
        <f>IT11+IT10+IT9+MAX(0,IZ10-IT10-IT9)*(1-IL11)</f>
        <v/>
      </c>
      <c r="JA11" s="12">
        <f>IU11+IU10+IU9+MAX(0,JA10-IU10-IU9)*(1-IL11)</f>
        <v/>
      </c>
      <c r="JB11" s="12">
        <f>SUM(IV$5:IV11)</f>
        <v/>
      </c>
      <c r="JC11" s="12">
        <f>SUM(IW$5:IW11)</f>
        <v/>
      </c>
      <c r="JD11" s="12">
        <f>SUM(IX$5:IX11)</f>
        <v/>
      </c>
      <c r="JE11" s="12">
        <f>IY11+IZ11+JA11+JB11+JC11+JD11</f>
        <v/>
      </c>
      <c r="JF11" s="9">
        <f>IY11*BlendedPriceEssMonthly*IK11+IZ11*BlendedPricePremMonthly*IK11+JA11*BlendedPriceEliteMonthly*IK11+JB11*BlendedPriceEssAnnual*IK11/12+JC11*BlendedPricePremAnnual*IK11/12+JD11*BlendedPriceEliteAnnual*IK11/12</f>
        <v/>
      </c>
      <c r="JG11" s="9">
        <f>JF11*12</f>
        <v/>
      </c>
      <c r="JH11" s="12">
        <f>IY11*BlendedPriceEssMonthly*IK11+IZ11*BlendedPricePremMonthly*IK11+JA11*BlendedPriceEliteMonthly*IK11</f>
        <v/>
      </c>
      <c r="JI11" s="12">
        <f>IV11*BlendedPriceEssAnnual*IK11+IW11*BlendedPricePremAnnual*IK11+IX11*BlendedPriceEliteAnnual*IK11</f>
        <v/>
      </c>
      <c r="JJ11" s="12">
        <f>0+0+0</f>
        <v/>
      </c>
      <c r="JK11" s="9">
        <f>JH11+JI11+JJ11</f>
        <v/>
      </c>
      <c r="JL11" s="12">
        <f>SUM(JK$5:JK11)</f>
        <v/>
      </c>
      <c r="JM11" s="12">
        <f>OR(JM10,IF(VATAgentMode,SUM($JK$5:$JK11)-SUM($JR$5:$JR11)&gt;=VATThreshold,SUM($JK$5:$JK11)&gt;=VATThreshold))</f>
        <v/>
      </c>
      <c r="JN11" s="9">
        <f>IF(JM11,IF(VATAgentMode,JK11-((JK11-JR11)-(JK11-JR11)/(1+VATRate)),JK11/(1+VATRate)),JK11)</f>
        <v/>
      </c>
      <c r="JO11" s="12">
        <f>JK11-JN11</f>
        <v/>
      </c>
      <c r="JP11" s="12">
        <f>IF(JM11=0,0,IF(IH11=1,SUMPRODUCT(--(($II$5:$II11=$II11-1)*($IH$5:$IH11&gt;=10)*($IH$5:$IH11&lt;=12)),$JO$5:$JO11),IF(IH11=4,SUMPRODUCT(--(($II$5:$II11=$II11)*($IH$5:$IH11&gt;=1)*($IH$5:$IH11&lt;=3)),$JO$5:$JO11),IF(IH11=7,SUMPRODUCT(--(($II$5:$II11=$II11)*($IH$5:$IH11&gt;=4)*($IH$5:$IH11&lt;=6)),$JO$5:$JO11),IF(IH11=10,SUMPRODUCT(--(($II$5:$II11=$II11)*($IH$5:$IH11&gt;=7)*($IH$5:$IH11&lt;=9)),$JO$5:$JO11),0)))))</f>
        <v/>
      </c>
      <c r="JQ11" s="12">
        <f>JQ10+JO11-JP11</f>
        <v/>
      </c>
      <c r="JR11" s="12">
        <f>IF(ProviderDelay&gt;=1,IY10*BlendedProvPayEss+IZ10*BlendedProvPayPrem+JA10*BlendedProvPayElite+JB10*BlendedProvPayEss+JC10*BlendedProvPayPrem+JD10*BlendedProvPayElite,IY11*BlendedProvPayEss+IZ11*BlendedProvPayPrem+JA11*BlendedProvPayElite+JB11*BlendedProvPayEss+JC11*BlendedProvPayPrem+JD11*BlendedProvPayElite)</f>
        <v/>
      </c>
      <c r="JS11" s="12">
        <f>JK11*PaymentFee</f>
        <v/>
      </c>
      <c r="JT11" s="12">
        <f>JE11*OpsAI</f>
        <v/>
      </c>
      <c r="JU11" s="12">
        <f>MonthlyFixed</f>
        <v/>
      </c>
      <c r="JV11" s="12">
        <f>IO11*ReferralReward</f>
        <v/>
      </c>
      <c r="JW11" s="12">
        <f>IM11</f>
        <v/>
      </c>
      <c r="JX11" s="9">
        <f>JN11-JR11-JS11-JT11-JU11-JV11-JW11</f>
        <v/>
      </c>
      <c r="JY11" s="9">
        <f>JY10+JK11-(JR11+JS11+JT11+JU11+JV11+JW11+JP11)</f>
        <v/>
      </c>
      <c r="JZ11" s="12">
        <f>IF(JE11&gt;0,JF11/JE11,0)</f>
        <v/>
      </c>
      <c r="KA11" s="11">
        <f>IF(JE10&gt;0,MAX(0,(JE10+IP11-JE11)/JE10),0)</f>
        <v/>
      </c>
      <c r="KC11" s="12" t="n">
        <v>7</v>
      </c>
      <c r="KD11" s="12">
        <f>MOD(KC11-1+LaunchMonth-1,12)+1</f>
        <v/>
      </c>
      <c r="KE11" s="12">
        <f>INT((KC11-1+LaunchMonth-1)/12)+1</f>
        <v/>
      </c>
      <c r="KF11" s="12">
        <f>VLOOKUP(KD11,SeasonTable,2,FALSE)</f>
        <v/>
      </c>
      <c r="KG11" s="12">
        <f>(1+InflationRate)^INT((KC11-1)/12)</f>
        <v/>
      </c>
      <c r="KH11" s="11">
        <f>'Sens - Churn'!$A$16*VLOOKUP(KD11,ChurnSeasonTable,4,FALSE)</f>
        <v/>
      </c>
      <c r="KI11" s="12">
        <f>MIN(MAX(MktMin7_12,LG10*MktPct7_12),MAX(0,LU10-CashBuffer))</f>
        <v/>
      </c>
      <c r="KJ11" s="12">
        <f>IF(KI11&gt;0,MAX(1,ROUND(KI11/CAC*KF11,0)),0)</f>
        <v/>
      </c>
      <c r="KK11" s="12">
        <f>IF(KJ11&gt;0,ROUND(KJ11*ReferralMix/(1-ReferralMix),0),0)</f>
        <v/>
      </c>
      <c r="KL11" s="12">
        <f>KJ11+KK11</f>
        <v/>
      </c>
      <c r="KM11" s="12">
        <f>ROUND(KL11*(1-AnnualMix),0)</f>
        <v/>
      </c>
      <c r="KN11" s="12">
        <f>KL11-KM11</f>
        <v/>
      </c>
      <c r="KO11" s="12">
        <f>ROUND(KM11*EssentialMix,0)</f>
        <v/>
      </c>
      <c r="KP11" s="12">
        <f>ROUND(KM11*PremiumMix,0)</f>
        <v/>
      </c>
      <c r="KQ11" s="12">
        <f>KM11-KO11-KP11</f>
        <v/>
      </c>
      <c r="KR11" s="12">
        <f>ROUND(KN11*EssentialMix,0)</f>
        <v/>
      </c>
      <c r="KS11" s="12">
        <f>ROUND(KN11*PremiumMix,0)</f>
        <v/>
      </c>
      <c r="KT11" s="12">
        <f>KN11-KR11-KS11</f>
        <v/>
      </c>
      <c r="KU11" s="12">
        <f>KO11+KO10+KO9+MAX(0,KU10-KO10-KO9)*(1-KH11)</f>
        <v/>
      </c>
      <c r="KV11" s="12">
        <f>KP11+KP10+KP9+MAX(0,KV10-KP10-KP9)*(1-KH11)</f>
        <v/>
      </c>
      <c r="KW11" s="12">
        <f>KQ11+KQ10+KQ9+MAX(0,KW10-KQ10-KQ9)*(1-KH11)</f>
        <v/>
      </c>
      <c r="KX11" s="12">
        <f>SUM(KR$5:KR11)</f>
        <v/>
      </c>
      <c r="KY11" s="12">
        <f>SUM(KS$5:KS11)</f>
        <v/>
      </c>
      <c r="KZ11" s="12">
        <f>SUM(KT$5:KT11)</f>
        <v/>
      </c>
      <c r="LA11" s="12">
        <f>KU11+KV11+KW11+KX11+KY11+KZ11</f>
        <v/>
      </c>
      <c r="LB11" s="9">
        <f>KU11*BlendedPriceEssMonthly*KG11+KV11*BlendedPricePremMonthly*KG11+KW11*BlendedPriceEliteMonthly*KG11+KX11*BlendedPriceEssAnnual*KG11/12+KY11*BlendedPricePremAnnual*KG11/12+KZ11*BlendedPriceEliteAnnual*KG11/12</f>
        <v/>
      </c>
      <c r="LC11" s="9">
        <f>LB11*12</f>
        <v/>
      </c>
      <c r="LD11" s="12">
        <f>KU11*BlendedPriceEssMonthly*KG11+KV11*BlendedPricePremMonthly*KG11+KW11*BlendedPriceEliteMonthly*KG11</f>
        <v/>
      </c>
      <c r="LE11" s="12">
        <f>KR11*BlendedPriceEssAnnual*KG11+KS11*BlendedPricePremAnnual*KG11+KT11*BlendedPriceEliteAnnual*KG11</f>
        <v/>
      </c>
      <c r="LF11" s="12">
        <f>0+0+0</f>
        <v/>
      </c>
      <c r="LG11" s="9">
        <f>LD11+LE11+LF11</f>
        <v/>
      </c>
      <c r="LH11" s="12">
        <f>SUM(LG$5:LG11)</f>
        <v/>
      </c>
      <c r="LI11" s="12">
        <f>OR(LI10,IF(VATAgentMode,SUM($LG$5:$LG11)-SUM($LN$5:$LN11)&gt;=VATThreshold,SUM($LG$5:$LG11)&gt;=VATThreshold))</f>
        <v/>
      </c>
      <c r="LJ11" s="9">
        <f>IF(LI11,IF(VATAgentMode,LG11-((LG11-LN11)-(LG11-LN11)/(1+VATRate)),LG11/(1+VATRate)),LG11)</f>
        <v/>
      </c>
      <c r="LK11" s="12">
        <f>LG11-LJ11</f>
        <v/>
      </c>
      <c r="LL11" s="12">
        <f>IF(LI11=0,0,IF(KD11=1,SUMPRODUCT(--(($KE$5:$KE11=$KE11-1)*($KD$5:$KD11&gt;=10)*($KD$5:$KD11&lt;=12)),$LK$5:$LK11),IF(KD11=4,SUMPRODUCT(--(($KE$5:$KE11=$KE11)*($KD$5:$KD11&gt;=1)*($KD$5:$KD11&lt;=3)),$LK$5:$LK11),IF(KD11=7,SUMPRODUCT(--(($KE$5:$KE11=$KE11)*($KD$5:$KD11&gt;=4)*($KD$5:$KD11&lt;=6)),$LK$5:$LK11),IF(KD11=10,SUMPRODUCT(--(($KE$5:$KE11=$KE11)*($KD$5:$KD11&gt;=7)*($KD$5:$KD11&lt;=9)),$LK$5:$LK11),0)))))</f>
        <v/>
      </c>
      <c r="LM11" s="12">
        <f>LM10+LK11-LL11</f>
        <v/>
      </c>
      <c r="LN11" s="12">
        <f>IF(ProviderDelay&gt;=1,KU10*BlendedProvPayEss+KV10*BlendedProvPayPrem+KW10*BlendedProvPayElite+KX10*BlendedProvPayEss+KY10*BlendedProvPayPrem+KZ10*BlendedProvPayElite,KU11*BlendedProvPayEss+KV11*BlendedProvPayPrem+KW11*BlendedProvPayElite+KX11*BlendedProvPayEss+KY11*BlendedProvPayPrem+KZ11*BlendedProvPayElite)</f>
        <v/>
      </c>
      <c r="LO11" s="12">
        <f>LG11*PaymentFee</f>
        <v/>
      </c>
      <c r="LP11" s="12">
        <f>LA11*OpsAI</f>
        <v/>
      </c>
      <c r="LQ11" s="12">
        <f>MonthlyFixed</f>
        <v/>
      </c>
      <c r="LR11" s="12">
        <f>KK11*ReferralReward</f>
        <v/>
      </c>
      <c r="LS11" s="12">
        <f>KI11</f>
        <v/>
      </c>
      <c r="LT11" s="9">
        <f>LJ11-LN11-LO11-LP11-LQ11-LR11-LS11</f>
        <v/>
      </c>
      <c r="LU11" s="9">
        <f>LU10+LG11-(LN11+LO11+LP11+LQ11+LR11+LS11+LL11)</f>
        <v/>
      </c>
      <c r="LV11" s="12">
        <f>IF(LA11&gt;0,LB11/LA11,0)</f>
        <v/>
      </c>
      <c r="LW11" s="11">
        <f>IF(LA10&gt;0,MAX(0,(LA10+KL11-LA11)/LA10),0)</f>
        <v/>
      </c>
      <c r="LY11" s="12" t="n">
        <v>7</v>
      </c>
      <c r="LZ11" s="12">
        <f>MOD(LY11-1+LaunchMonth-1,12)+1</f>
        <v/>
      </c>
      <c r="MA11" s="12">
        <f>INT((LY11-1+LaunchMonth-1)/12)+1</f>
        <v/>
      </c>
      <c r="MB11" s="12">
        <f>VLOOKUP(LZ11,SeasonTable,2,FALSE)</f>
        <v/>
      </c>
      <c r="MC11" s="12">
        <f>(1+InflationRate)^INT((LY11-1)/12)</f>
        <v/>
      </c>
      <c r="MD11" s="11">
        <f>'Sens - Churn'!$A$17*VLOOKUP(LZ11,ChurnSeasonTable,4,FALSE)</f>
        <v/>
      </c>
      <c r="ME11" s="12">
        <f>MIN(MAX(MktMin7_12,NC10*MktPct7_12),MAX(0,NQ10-CashBuffer))</f>
        <v/>
      </c>
      <c r="MF11" s="12">
        <f>IF(ME11&gt;0,MAX(1,ROUND(ME11/CAC*MB11,0)),0)</f>
        <v/>
      </c>
      <c r="MG11" s="12">
        <f>IF(MF11&gt;0,ROUND(MF11*ReferralMix/(1-ReferralMix),0),0)</f>
        <v/>
      </c>
      <c r="MH11" s="12">
        <f>MF11+MG11</f>
        <v/>
      </c>
      <c r="MI11" s="12">
        <f>ROUND(MH11*(1-AnnualMix),0)</f>
        <v/>
      </c>
      <c r="MJ11" s="12">
        <f>MH11-MI11</f>
        <v/>
      </c>
      <c r="MK11" s="12">
        <f>ROUND(MI11*EssentialMix,0)</f>
        <v/>
      </c>
      <c r="ML11" s="12">
        <f>ROUND(MI11*PremiumMix,0)</f>
        <v/>
      </c>
      <c r="MM11" s="12">
        <f>MI11-MK11-ML11</f>
        <v/>
      </c>
      <c r="MN11" s="12">
        <f>ROUND(MJ11*EssentialMix,0)</f>
        <v/>
      </c>
      <c r="MO11" s="12">
        <f>ROUND(MJ11*PremiumMix,0)</f>
        <v/>
      </c>
      <c r="MP11" s="12">
        <f>MJ11-MN11-MO11</f>
        <v/>
      </c>
      <c r="MQ11" s="12">
        <f>MK11+MK10+MK9+MAX(0,MQ10-MK10-MK9)*(1-MD11)</f>
        <v/>
      </c>
      <c r="MR11" s="12">
        <f>ML11+ML10+ML9+MAX(0,MR10-ML10-ML9)*(1-MD11)</f>
        <v/>
      </c>
      <c r="MS11" s="12">
        <f>MM11+MM10+MM9+MAX(0,MS10-MM10-MM9)*(1-MD11)</f>
        <v/>
      </c>
      <c r="MT11" s="12">
        <f>SUM(MN$5:MN11)</f>
        <v/>
      </c>
      <c r="MU11" s="12">
        <f>SUM(MO$5:MO11)</f>
        <v/>
      </c>
      <c r="MV11" s="12">
        <f>SUM(MP$5:MP11)</f>
        <v/>
      </c>
      <c r="MW11" s="12">
        <f>MQ11+MR11+MS11+MT11+MU11+MV11</f>
        <v/>
      </c>
      <c r="MX11" s="9">
        <f>MQ11*BlendedPriceEssMonthly*MC11+MR11*BlendedPricePremMonthly*MC11+MS11*BlendedPriceEliteMonthly*MC11+MT11*BlendedPriceEssAnnual*MC11/12+MU11*BlendedPricePremAnnual*MC11/12+MV11*BlendedPriceEliteAnnual*MC11/12</f>
        <v/>
      </c>
      <c r="MY11" s="9">
        <f>MX11*12</f>
        <v/>
      </c>
      <c r="MZ11" s="12">
        <f>MQ11*BlendedPriceEssMonthly*MC11+MR11*BlendedPricePremMonthly*MC11+MS11*BlendedPriceEliteMonthly*MC11</f>
        <v/>
      </c>
      <c r="NA11" s="12">
        <f>MN11*BlendedPriceEssAnnual*MC11+MO11*BlendedPricePremAnnual*MC11+MP11*BlendedPriceEliteAnnual*MC11</f>
        <v/>
      </c>
      <c r="NB11" s="12">
        <f>0+0+0</f>
        <v/>
      </c>
      <c r="NC11" s="9">
        <f>MZ11+NA11+NB11</f>
        <v/>
      </c>
      <c r="ND11" s="12">
        <f>SUM(NC$5:NC11)</f>
        <v/>
      </c>
      <c r="NE11" s="12">
        <f>OR(NE10,IF(VATAgentMode,SUM($NC$5:$NC11)-SUM($NJ$5:$NJ11)&gt;=VATThreshold,SUM($NC$5:$NC11)&gt;=VATThreshold))</f>
        <v/>
      </c>
      <c r="NF11" s="9">
        <f>IF(NE11,IF(VATAgentMode,NC11-((NC11-NJ11)-(NC11-NJ11)/(1+VATRate)),NC11/(1+VATRate)),NC11)</f>
        <v/>
      </c>
      <c r="NG11" s="12">
        <f>NC11-NF11</f>
        <v/>
      </c>
      <c r="NH11" s="12">
        <f>IF(NE11=0,0,IF(LZ11=1,SUMPRODUCT(--(($MA$5:$MA11=$MA11-1)*($LZ$5:$LZ11&gt;=10)*($LZ$5:$LZ11&lt;=12)),$NG$5:$NG11),IF(LZ11=4,SUMPRODUCT(--(($MA$5:$MA11=$MA11)*($LZ$5:$LZ11&gt;=1)*($LZ$5:$LZ11&lt;=3)),$NG$5:$NG11),IF(LZ11=7,SUMPRODUCT(--(($MA$5:$MA11=$MA11)*($LZ$5:$LZ11&gt;=4)*($LZ$5:$LZ11&lt;=6)),$NG$5:$NG11),IF(LZ11=10,SUMPRODUCT(--(($MA$5:$MA11=$MA11)*($LZ$5:$LZ11&gt;=7)*($LZ$5:$LZ11&lt;=9)),$NG$5:$NG11),0)))))</f>
        <v/>
      </c>
      <c r="NI11" s="12">
        <f>NI10+NG11-NH11</f>
        <v/>
      </c>
      <c r="NJ11" s="12">
        <f>IF(ProviderDelay&gt;=1,MQ10*BlendedProvPayEss+MR10*BlendedProvPayPrem+MS10*BlendedProvPayElite+MT10*BlendedProvPayEss+MU10*BlendedProvPayPrem+MV10*BlendedProvPayElite,MQ11*BlendedProvPayEss+MR11*BlendedProvPayPrem+MS11*BlendedProvPayElite+MT11*BlendedProvPayEss+MU11*BlendedProvPayPrem+MV11*BlendedProvPayElite)</f>
        <v/>
      </c>
      <c r="NK11" s="12">
        <f>NC11*PaymentFee</f>
        <v/>
      </c>
      <c r="NL11" s="12">
        <f>MW11*OpsAI</f>
        <v/>
      </c>
      <c r="NM11" s="12">
        <f>MonthlyFixed</f>
        <v/>
      </c>
      <c r="NN11" s="12">
        <f>MG11*ReferralReward</f>
        <v/>
      </c>
      <c r="NO11" s="12">
        <f>ME11</f>
        <v/>
      </c>
      <c r="NP11" s="9">
        <f>NF11-NJ11-NK11-NL11-NM11-NN11-NO11</f>
        <v/>
      </c>
      <c r="NQ11" s="9">
        <f>NQ10+NC11-(NJ11+NK11+NL11+NM11+NN11+NO11+NH11)</f>
        <v/>
      </c>
      <c r="NR11" s="12">
        <f>IF(MW11&gt;0,MX11/MW11,0)</f>
        <v/>
      </c>
      <c r="NS11" s="11">
        <f>IF(MW10&gt;0,MAX(0,(MW10+MH11-MW11)/MW10),0)</f>
        <v/>
      </c>
      <c r="NU11" s="12" t="n">
        <v>7</v>
      </c>
      <c r="NV11" s="12">
        <f>MOD(NU11-1+LaunchMonth-1,12)+1</f>
        <v/>
      </c>
      <c r="NW11" s="12">
        <f>INT((NU11-1+LaunchMonth-1)/12)+1</f>
        <v/>
      </c>
      <c r="NX11" s="12">
        <f>VLOOKUP(NV11,SeasonTable,2,FALSE)</f>
        <v/>
      </c>
      <c r="NY11" s="12">
        <f>(1+InflationRate)^INT((NU11-1)/12)</f>
        <v/>
      </c>
      <c r="NZ11" s="11">
        <f>'Sens - Churn'!$A$18*VLOOKUP(NV11,ChurnSeasonTable,4,FALSE)</f>
        <v/>
      </c>
      <c r="OA11" s="12">
        <f>MIN(MAX(MktMin7_12,OY10*MktPct7_12),MAX(0,PM10-CashBuffer))</f>
        <v/>
      </c>
      <c r="OB11" s="12">
        <f>IF(OA11&gt;0,MAX(1,ROUND(OA11/CAC*NX11,0)),0)</f>
        <v/>
      </c>
      <c r="OC11" s="12">
        <f>IF(OB11&gt;0,ROUND(OB11*ReferralMix/(1-ReferralMix),0),0)</f>
        <v/>
      </c>
      <c r="OD11" s="12">
        <f>OB11+OC11</f>
        <v/>
      </c>
      <c r="OE11" s="12">
        <f>ROUND(OD11*(1-AnnualMix),0)</f>
        <v/>
      </c>
      <c r="OF11" s="12">
        <f>OD11-OE11</f>
        <v/>
      </c>
      <c r="OG11" s="12">
        <f>ROUND(OE11*EssentialMix,0)</f>
        <v/>
      </c>
      <c r="OH11" s="12">
        <f>ROUND(OE11*PremiumMix,0)</f>
        <v/>
      </c>
      <c r="OI11" s="12">
        <f>OE11-OG11-OH11</f>
        <v/>
      </c>
      <c r="OJ11" s="12">
        <f>ROUND(OF11*EssentialMix,0)</f>
        <v/>
      </c>
      <c r="OK11" s="12">
        <f>ROUND(OF11*PremiumMix,0)</f>
        <v/>
      </c>
      <c r="OL11" s="12">
        <f>OF11-OJ11-OK11</f>
        <v/>
      </c>
      <c r="OM11" s="12">
        <f>OG11+OG10+OG9+MAX(0,OM10-OG10-OG9)*(1-NZ11)</f>
        <v/>
      </c>
      <c r="ON11" s="12">
        <f>OH11+OH10+OH9+MAX(0,ON10-OH10-OH9)*(1-NZ11)</f>
        <v/>
      </c>
      <c r="OO11" s="12">
        <f>OI11+OI10+OI9+MAX(0,OO10-OI10-OI9)*(1-NZ11)</f>
        <v/>
      </c>
      <c r="OP11" s="12">
        <f>SUM(OJ$5:OJ11)</f>
        <v/>
      </c>
      <c r="OQ11" s="12">
        <f>SUM(OK$5:OK11)</f>
        <v/>
      </c>
      <c r="OR11" s="12">
        <f>SUM(OL$5:OL11)</f>
        <v/>
      </c>
      <c r="OS11" s="12">
        <f>OM11+ON11+OO11+OP11+OQ11+OR11</f>
        <v/>
      </c>
      <c r="OT11" s="9">
        <f>OM11*BlendedPriceEssMonthly*NY11+ON11*BlendedPricePremMonthly*NY11+OO11*BlendedPriceEliteMonthly*NY11+OP11*BlendedPriceEssAnnual*NY11/12+OQ11*BlendedPricePremAnnual*NY11/12+OR11*BlendedPriceEliteAnnual*NY11/12</f>
        <v/>
      </c>
      <c r="OU11" s="9">
        <f>OT11*12</f>
        <v/>
      </c>
      <c r="OV11" s="12">
        <f>OM11*BlendedPriceEssMonthly*NY11+ON11*BlendedPricePremMonthly*NY11+OO11*BlendedPriceEliteMonthly*NY11</f>
        <v/>
      </c>
      <c r="OW11" s="12">
        <f>OJ11*BlendedPriceEssAnnual*NY11+OK11*BlendedPricePremAnnual*NY11+OL11*BlendedPriceEliteAnnual*NY11</f>
        <v/>
      </c>
      <c r="OX11" s="12">
        <f>0+0+0</f>
        <v/>
      </c>
      <c r="OY11" s="9">
        <f>OV11+OW11+OX11</f>
        <v/>
      </c>
      <c r="OZ11" s="12">
        <f>SUM(OY$5:OY11)</f>
        <v/>
      </c>
      <c r="PA11" s="12">
        <f>OR(PA10,IF(VATAgentMode,SUM($OY$5:$OY11)-SUM($PF$5:$PF11)&gt;=VATThreshold,SUM($OY$5:$OY11)&gt;=VATThreshold))</f>
        <v/>
      </c>
      <c r="PB11" s="9">
        <f>IF(PA11,IF(VATAgentMode,OY11-((OY11-PF11)-(OY11-PF11)/(1+VATRate)),OY11/(1+VATRate)),OY11)</f>
        <v/>
      </c>
      <c r="PC11" s="12">
        <f>OY11-PB11</f>
        <v/>
      </c>
      <c r="PD11" s="12">
        <f>IF(PA11=0,0,IF(NV11=1,SUMPRODUCT(--(($NW$5:$NW11=$NW11-1)*($NV$5:$NV11&gt;=10)*($NV$5:$NV11&lt;=12)),$PC$5:$PC11),IF(NV11=4,SUMPRODUCT(--(($NW$5:$NW11=$NW11)*($NV$5:$NV11&gt;=1)*($NV$5:$NV11&lt;=3)),$PC$5:$PC11),IF(NV11=7,SUMPRODUCT(--(($NW$5:$NW11=$NW11)*($NV$5:$NV11&gt;=4)*($NV$5:$NV11&lt;=6)),$PC$5:$PC11),IF(NV11=10,SUMPRODUCT(--(($NW$5:$NW11=$NW11)*($NV$5:$NV11&gt;=7)*($NV$5:$NV11&lt;=9)),$PC$5:$PC11),0)))))</f>
        <v/>
      </c>
      <c r="PE11" s="12">
        <f>PE10+PC11-PD11</f>
        <v/>
      </c>
      <c r="PF11" s="12">
        <f>IF(ProviderDelay&gt;=1,OM10*BlendedProvPayEss+ON10*BlendedProvPayPrem+OO10*BlendedProvPayElite+OP10*BlendedProvPayEss+OQ10*BlendedProvPayPrem+OR10*BlendedProvPayElite,OM11*BlendedProvPayEss+ON11*BlendedProvPayPrem+OO11*BlendedProvPayElite+OP11*BlendedProvPayEss+OQ11*BlendedProvPayPrem+OR11*BlendedProvPayElite)</f>
        <v/>
      </c>
      <c r="PG11" s="12">
        <f>OY11*PaymentFee</f>
        <v/>
      </c>
      <c r="PH11" s="12">
        <f>OS11*OpsAI</f>
        <v/>
      </c>
      <c r="PI11" s="12">
        <f>MonthlyFixed</f>
        <v/>
      </c>
      <c r="PJ11" s="12">
        <f>OC11*ReferralReward</f>
        <v/>
      </c>
      <c r="PK11" s="12">
        <f>OA11</f>
        <v/>
      </c>
      <c r="PL11" s="9">
        <f>PB11-PF11-PG11-PH11-PI11-PJ11-PK11</f>
        <v/>
      </c>
      <c r="PM11" s="9">
        <f>PM10+OY11-(PF11+PG11+PH11+PI11+PJ11+PK11+PD11)</f>
        <v/>
      </c>
      <c r="PN11" s="12">
        <f>IF(OS11&gt;0,OT11/OS11,0)</f>
        <v/>
      </c>
      <c r="PO11" s="11">
        <f>IF(OS10&gt;0,MAX(0,(OS10+OD11-OS11)/OS10),0)</f>
        <v/>
      </c>
      <c r="PQ11" s="12" t="n">
        <v>7</v>
      </c>
      <c r="PR11" s="12">
        <f>MOD(PQ11-1+LaunchMonth-1,12)+1</f>
        <v/>
      </c>
      <c r="PS11" s="12">
        <f>INT((PQ11-1+LaunchMonth-1)/12)+1</f>
        <v/>
      </c>
      <c r="PT11" s="12">
        <f>VLOOKUP(PR11,SeasonTable,2,FALSE)</f>
        <v/>
      </c>
      <c r="PU11" s="12">
        <f>(1+InflationRate)^INT((PQ11-1)/12)</f>
        <v/>
      </c>
      <c r="PV11" s="11">
        <f>'Sens - Churn'!$A$19*VLOOKUP(PR11,ChurnSeasonTable,4,FALSE)</f>
        <v/>
      </c>
      <c r="PW11" s="12">
        <f>MIN(MAX(MktMin7_12,QU10*MktPct7_12),MAX(0,RI10-CashBuffer))</f>
        <v/>
      </c>
      <c r="PX11" s="12">
        <f>IF(PW11&gt;0,MAX(1,ROUND(PW11/CAC*PT11,0)),0)</f>
        <v/>
      </c>
      <c r="PY11" s="12">
        <f>IF(PX11&gt;0,ROUND(PX11*ReferralMix/(1-ReferralMix),0),0)</f>
        <v/>
      </c>
      <c r="PZ11" s="12">
        <f>PX11+PY11</f>
        <v/>
      </c>
      <c r="QA11" s="12">
        <f>ROUND(PZ11*(1-AnnualMix),0)</f>
        <v/>
      </c>
      <c r="QB11" s="12">
        <f>PZ11-QA11</f>
        <v/>
      </c>
      <c r="QC11" s="12">
        <f>ROUND(QA11*EssentialMix,0)</f>
        <v/>
      </c>
      <c r="QD11" s="12">
        <f>ROUND(QA11*PremiumMix,0)</f>
        <v/>
      </c>
      <c r="QE11" s="12">
        <f>QA11-QC11-QD11</f>
        <v/>
      </c>
      <c r="QF11" s="12">
        <f>ROUND(QB11*EssentialMix,0)</f>
        <v/>
      </c>
      <c r="QG11" s="12">
        <f>ROUND(QB11*PremiumMix,0)</f>
        <v/>
      </c>
      <c r="QH11" s="12">
        <f>QB11-QF11-QG11</f>
        <v/>
      </c>
      <c r="QI11" s="12">
        <f>QC11+QC10+QC9+MAX(0,QI10-QC10-QC9)*(1-PV11)</f>
        <v/>
      </c>
      <c r="QJ11" s="12">
        <f>QD11+QD10+QD9+MAX(0,QJ10-QD10-QD9)*(1-PV11)</f>
        <v/>
      </c>
      <c r="QK11" s="12">
        <f>QE11+QE10+QE9+MAX(0,QK10-QE10-QE9)*(1-PV11)</f>
        <v/>
      </c>
      <c r="QL11" s="12">
        <f>SUM(QF$5:QF11)</f>
        <v/>
      </c>
      <c r="QM11" s="12">
        <f>SUM(QG$5:QG11)</f>
        <v/>
      </c>
      <c r="QN11" s="12">
        <f>SUM(QH$5:QH11)</f>
        <v/>
      </c>
      <c r="QO11" s="12">
        <f>QI11+QJ11+QK11+QL11+QM11+QN11</f>
        <v/>
      </c>
      <c r="QP11" s="9">
        <f>QI11*BlendedPriceEssMonthly*PU11+QJ11*BlendedPricePremMonthly*PU11+QK11*BlendedPriceEliteMonthly*PU11+QL11*BlendedPriceEssAnnual*PU11/12+QM11*BlendedPricePremAnnual*PU11/12+QN11*BlendedPriceEliteAnnual*PU11/12</f>
        <v/>
      </c>
      <c r="QQ11" s="9">
        <f>QP11*12</f>
        <v/>
      </c>
      <c r="QR11" s="12">
        <f>QI11*BlendedPriceEssMonthly*PU11+QJ11*BlendedPricePremMonthly*PU11+QK11*BlendedPriceEliteMonthly*PU11</f>
        <v/>
      </c>
      <c r="QS11" s="12">
        <f>QF11*BlendedPriceEssAnnual*PU11+QG11*BlendedPricePremAnnual*PU11+QH11*BlendedPriceEliteAnnual*PU11</f>
        <v/>
      </c>
      <c r="QT11" s="12">
        <f>0+0+0</f>
        <v/>
      </c>
      <c r="QU11" s="9">
        <f>QR11+QS11+QT11</f>
        <v/>
      </c>
      <c r="QV11" s="12">
        <f>SUM(QU$5:QU11)</f>
        <v/>
      </c>
      <c r="QW11" s="12">
        <f>OR(QW10,IF(VATAgentMode,SUM($QU$5:$QU11)-SUM($RB$5:$RB11)&gt;=VATThreshold,SUM($QU$5:$QU11)&gt;=VATThreshold))</f>
        <v/>
      </c>
      <c r="QX11" s="9">
        <f>IF(QW11,IF(VATAgentMode,QU11-((QU11-RB11)-(QU11-RB11)/(1+VATRate)),QU11/(1+VATRate)),QU11)</f>
        <v/>
      </c>
      <c r="QY11" s="12">
        <f>QU11-QX11</f>
        <v/>
      </c>
      <c r="QZ11" s="12">
        <f>IF(QW11=0,0,IF(PR11=1,SUMPRODUCT(--(($PS$5:$PS11=$PS11-1)*($PR$5:$PR11&gt;=10)*($PR$5:$PR11&lt;=12)),$QY$5:$QY11),IF(PR11=4,SUMPRODUCT(--(($PS$5:$PS11=$PS11)*($PR$5:$PR11&gt;=1)*($PR$5:$PR11&lt;=3)),$QY$5:$QY11),IF(PR11=7,SUMPRODUCT(--(($PS$5:$PS11=$PS11)*($PR$5:$PR11&gt;=4)*($PR$5:$PR11&lt;=6)),$QY$5:$QY11),IF(PR11=10,SUMPRODUCT(--(($PS$5:$PS11=$PS11)*($PR$5:$PR11&gt;=7)*($PR$5:$PR11&lt;=9)),$QY$5:$QY11),0)))))</f>
        <v/>
      </c>
      <c r="RA11" s="12">
        <f>RA10+QY11-QZ11</f>
        <v/>
      </c>
      <c r="RB11" s="12">
        <f>IF(ProviderDelay&gt;=1,QI10*BlendedProvPayEss+QJ10*BlendedProvPayPrem+QK10*BlendedProvPayElite+QL10*BlendedProvPayEss+QM10*BlendedProvPayPrem+QN10*BlendedProvPayElite,QI11*BlendedProvPayEss+QJ11*BlendedProvPayPrem+QK11*BlendedProvPayElite+QL11*BlendedProvPayEss+QM11*BlendedProvPayPrem+QN11*BlendedProvPayElite)</f>
        <v/>
      </c>
      <c r="RC11" s="12">
        <f>QU11*PaymentFee</f>
        <v/>
      </c>
      <c r="RD11" s="12">
        <f>QO11*OpsAI</f>
        <v/>
      </c>
      <c r="RE11" s="12">
        <f>MonthlyFixed</f>
        <v/>
      </c>
      <c r="RF11" s="12">
        <f>PY11*ReferralReward</f>
        <v/>
      </c>
      <c r="RG11" s="12">
        <f>PW11</f>
        <v/>
      </c>
      <c r="RH11" s="9">
        <f>QX11-RB11-RC11-RD11-RE11-RF11-RG11</f>
        <v/>
      </c>
      <c r="RI11" s="9">
        <f>RI10+QU11-(RB11+RC11+RD11+RE11+RF11+RG11+QZ11)</f>
        <v/>
      </c>
      <c r="RJ11" s="12">
        <f>IF(QO11&gt;0,QP11/QO11,0)</f>
        <v/>
      </c>
      <c r="RK11" s="11">
        <f>IF(QO10&gt;0,MAX(0,(QO10+PZ11-QO11)/QO10),0)</f>
        <v/>
      </c>
      <c r="RM11" s="12" t="n">
        <v>7</v>
      </c>
      <c r="RN11" s="12">
        <f>MOD(RM11-1+LaunchMonth-1,12)+1</f>
        <v/>
      </c>
      <c r="RO11" s="12">
        <f>INT((RM11-1+LaunchMonth-1)/12)+1</f>
        <v/>
      </c>
      <c r="RP11" s="12">
        <f>VLOOKUP(RN11,SeasonTable,2,FALSE)</f>
        <v/>
      </c>
      <c r="RQ11" s="12">
        <f>(1+InflationRate)^INT((RM11-1)/12)</f>
        <v/>
      </c>
      <c r="RR11" s="11">
        <f>'Sens - Churn'!$A$20*VLOOKUP(RN11,ChurnSeasonTable,4,FALSE)</f>
        <v/>
      </c>
      <c r="RS11" s="12">
        <f>MIN(MAX(MktMin7_12,SQ10*MktPct7_12),MAX(0,TE10-CashBuffer))</f>
        <v/>
      </c>
      <c r="RT11" s="12">
        <f>IF(RS11&gt;0,MAX(1,ROUND(RS11/CAC*RP11,0)),0)</f>
        <v/>
      </c>
      <c r="RU11" s="12">
        <f>IF(RT11&gt;0,ROUND(RT11*ReferralMix/(1-ReferralMix),0),0)</f>
        <v/>
      </c>
      <c r="RV11" s="12">
        <f>RT11+RU11</f>
        <v/>
      </c>
      <c r="RW11" s="12">
        <f>ROUND(RV11*(1-AnnualMix),0)</f>
        <v/>
      </c>
      <c r="RX11" s="12">
        <f>RV11-RW11</f>
        <v/>
      </c>
      <c r="RY11" s="12">
        <f>ROUND(RW11*EssentialMix,0)</f>
        <v/>
      </c>
      <c r="RZ11" s="12">
        <f>ROUND(RW11*PremiumMix,0)</f>
        <v/>
      </c>
      <c r="SA11" s="12">
        <f>RW11-RY11-RZ11</f>
        <v/>
      </c>
      <c r="SB11" s="12">
        <f>ROUND(RX11*EssentialMix,0)</f>
        <v/>
      </c>
      <c r="SC11" s="12">
        <f>ROUND(RX11*PremiumMix,0)</f>
        <v/>
      </c>
      <c r="SD11" s="12">
        <f>RX11-SB11-SC11</f>
        <v/>
      </c>
      <c r="SE11" s="12">
        <f>RY11+RY10+RY9+MAX(0,SE10-RY10-RY9)*(1-RR11)</f>
        <v/>
      </c>
      <c r="SF11" s="12">
        <f>RZ11+RZ10+RZ9+MAX(0,SF10-RZ10-RZ9)*(1-RR11)</f>
        <v/>
      </c>
      <c r="SG11" s="12">
        <f>SA11+SA10+SA9+MAX(0,SG10-SA10-SA9)*(1-RR11)</f>
        <v/>
      </c>
      <c r="SH11" s="12">
        <f>SUM(SB$5:SB11)</f>
        <v/>
      </c>
      <c r="SI11" s="12">
        <f>SUM(SC$5:SC11)</f>
        <v/>
      </c>
      <c r="SJ11" s="12">
        <f>SUM(SD$5:SD11)</f>
        <v/>
      </c>
      <c r="SK11" s="12">
        <f>SE11+SF11+SG11+SH11+SI11+SJ11</f>
        <v/>
      </c>
      <c r="SL11" s="9">
        <f>SE11*BlendedPriceEssMonthly*RQ11+SF11*BlendedPricePremMonthly*RQ11+SG11*BlendedPriceEliteMonthly*RQ11+SH11*BlendedPriceEssAnnual*RQ11/12+SI11*BlendedPricePremAnnual*RQ11/12+SJ11*BlendedPriceEliteAnnual*RQ11/12</f>
        <v/>
      </c>
      <c r="SM11" s="9">
        <f>SL11*12</f>
        <v/>
      </c>
      <c r="SN11" s="12">
        <f>SE11*BlendedPriceEssMonthly*RQ11+SF11*BlendedPricePremMonthly*RQ11+SG11*BlendedPriceEliteMonthly*RQ11</f>
        <v/>
      </c>
      <c r="SO11" s="12">
        <f>SB11*BlendedPriceEssAnnual*RQ11+SC11*BlendedPricePremAnnual*RQ11+SD11*BlendedPriceEliteAnnual*RQ11</f>
        <v/>
      </c>
      <c r="SP11" s="12">
        <f>0+0+0</f>
        <v/>
      </c>
      <c r="SQ11" s="9">
        <f>SN11+SO11+SP11</f>
        <v/>
      </c>
      <c r="SR11" s="12">
        <f>SUM(SQ$5:SQ11)</f>
        <v/>
      </c>
      <c r="SS11" s="12">
        <f>OR(SS10,IF(VATAgentMode,SUM($SQ$5:$SQ11)-SUM($SX$5:$SX11)&gt;=VATThreshold,SUM($SQ$5:$SQ11)&gt;=VATThreshold))</f>
        <v/>
      </c>
      <c r="ST11" s="9">
        <f>IF(SS11,IF(VATAgentMode,SQ11-((SQ11-SX11)-(SQ11-SX11)/(1+VATRate)),SQ11/(1+VATRate)),SQ11)</f>
        <v/>
      </c>
      <c r="SU11" s="12">
        <f>SQ11-ST11</f>
        <v/>
      </c>
      <c r="SV11" s="12">
        <f>IF(SS11=0,0,IF(RN11=1,SUMPRODUCT(--(($RO$5:$RO11=$RO11-1)*($RN$5:$RN11&gt;=10)*($RN$5:$RN11&lt;=12)),$SU$5:$SU11),IF(RN11=4,SUMPRODUCT(--(($RO$5:$RO11=$RO11)*($RN$5:$RN11&gt;=1)*($RN$5:$RN11&lt;=3)),$SU$5:$SU11),IF(RN11=7,SUMPRODUCT(--(($RO$5:$RO11=$RO11)*($RN$5:$RN11&gt;=4)*($RN$5:$RN11&lt;=6)),$SU$5:$SU11),IF(RN11=10,SUMPRODUCT(--(($RO$5:$RO11=$RO11)*($RN$5:$RN11&gt;=7)*($RN$5:$RN11&lt;=9)),$SU$5:$SU11),0)))))</f>
        <v/>
      </c>
      <c r="SW11" s="12">
        <f>SW10+SU11-SV11</f>
        <v/>
      </c>
      <c r="SX11" s="12">
        <f>IF(ProviderDelay&gt;=1,SE10*BlendedProvPayEss+SF10*BlendedProvPayPrem+SG10*BlendedProvPayElite+SH10*BlendedProvPayEss+SI10*BlendedProvPayPrem+SJ10*BlendedProvPayElite,SE11*BlendedProvPayEss+SF11*BlendedProvPayPrem+SG11*BlendedProvPayElite+SH11*BlendedProvPayEss+SI11*BlendedProvPayPrem+SJ11*BlendedProvPayElite)</f>
        <v/>
      </c>
      <c r="SY11" s="12">
        <f>SQ11*PaymentFee</f>
        <v/>
      </c>
      <c r="SZ11" s="12">
        <f>SK11*OpsAI</f>
        <v/>
      </c>
      <c r="TA11" s="12">
        <f>MonthlyFixed</f>
        <v/>
      </c>
      <c r="TB11" s="12">
        <f>RU11*ReferralReward</f>
        <v/>
      </c>
      <c r="TC11" s="12">
        <f>RS11</f>
        <v/>
      </c>
      <c r="TD11" s="9">
        <f>ST11-SX11-SY11-SZ11-TA11-TB11-TC11</f>
        <v/>
      </c>
      <c r="TE11" s="9">
        <f>TE10+SQ11-(SX11+SY11+SZ11+TA11+TB11+TC11+SV11)</f>
        <v/>
      </c>
      <c r="TF11" s="12">
        <f>IF(SK11&gt;0,SL11/SK11,0)</f>
        <v/>
      </c>
      <c r="TG11" s="11">
        <f>IF(SK10&gt;0,MAX(0,(SK10+RV11-SK11)/SK10),0)</f>
        <v/>
      </c>
      <c r="TI11" s="12" t="n">
        <v>7</v>
      </c>
      <c r="TJ11" s="12">
        <f>MOD(TI11-1+LaunchMonth-1,12)+1</f>
        <v/>
      </c>
      <c r="TK11" s="12">
        <f>INT((TI11-1+LaunchMonth-1)/12)+1</f>
        <v/>
      </c>
      <c r="TL11" s="12">
        <f>VLOOKUP(TJ11,SeasonTable,2,FALSE)</f>
        <v/>
      </c>
      <c r="TM11" s="12">
        <f>(1+InflationRate)^INT((TI11-1)/12)</f>
        <v/>
      </c>
      <c r="TN11" s="11">
        <f>'Sens - Churn'!$A$21*VLOOKUP(TJ11,ChurnSeasonTable,4,FALSE)</f>
        <v/>
      </c>
      <c r="TO11" s="12">
        <f>MIN(MAX(MktMin7_12,UM10*MktPct7_12),MAX(0,VA10-CashBuffer))</f>
        <v/>
      </c>
      <c r="TP11" s="12">
        <f>IF(TO11&gt;0,MAX(1,ROUND(TO11/CAC*TL11,0)),0)</f>
        <v/>
      </c>
      <c r="TQ11" s="12">
        <f>IF(TP11&gt;0,ROUND(TP11*ReferralMix/(1-ReferralMix),0),0)</f>
        <v/>
      </c>
      <c r="TR11" s="12">
        <f>TP11+TQ11</f>
        <v/>
      </c>
      <c r="TS11" s="12">
        <f>ROUND(TR11*(1-AnnualMix),0)</f>
        <v/>
      </c>
      <c r="TT11" s="12">
        <f>TR11-TS11</f>
        <v/>
      </c>
      <c r="TU11" s="12">
        <f>ROUND(TS11*EssentialMix,0)</f>
        <v/>
      </c>
      <c r="TV11" s="12">
        <f>ROUND(TS11*PremiumMix,0)</f>
        <v/>
      </c>
      <c r="TW11" s="12">
        <f>TS11-TU11-TV11</f>
        <v/>
      </c>
      <c r="TX11" s="12">
        <f>ROUND(TT11*EssentialMix,0)</f>
        <v/>
      </c>
      <c r="TY11" s="12">
        <f>ROUND(TT11*PremiumMix,0)</f>
        <v/>
      </c>
      <c r="TZ11" s="12">
        <f>TT11-TX11-TY11</f>
        <v/>
      </c>
      <c r="UA11" s="12">
        <f>TU11+TU10+TU9+MAX(0,UA10-TU10-TU9)*(1-TN11)</f>
        <v/>
      </c>
      <c r="UB11" s="12">
        <f>TV11+TV10+TV9+MAX(0,UB10-TV10-TV9)*(1-TN11)</f>
        <v/>
      </c>
      <c r="UC11" s="12">
        <f>TW11+TW10+TW9+MAX(0,UC10-TW10-TW9)*(1-TN11)</f>
        <v/>
      </c>
      <c r="UD11" s="12">
        <f>SUM(TX$5:TX11)</f>
        <v/>
      </c>
      <c r="UE11" s="12">
        <f>SUM(TY$5:TY11)</f>
        <v/>
      </c>
      <c r="UF11" s="12">
        <f>SUM(TZ$5:TZ11)</f>
        <v/>
      </c>
      <c r="UG11" s="12">
        <f>UA11+UB11+UC11+UD11+UE11+UF11</f>
        <v/>
      </c>
      <c r="UH11" s="9">
        <f>UA11*BlendedPriceEssMonthly*TM11+UB11*BlendedPricePremMonthly*TM11+UC11*BlendedPriceEliteMonthly*TM11+UD11*BlendedPriceEssAnnual*TM11/12+UE11*BlendedPricePremAnnual*TM11/12+UF11*BlendedPriceEliteAnnual*TM11/12</f>
        <v/>
      </c>
      <c r="UI11" s="9">
        <f>UH11*12</f>
        <v/>
      </c>
      <c r="UJ11" s="12">
        <f>UA11*BlendedPriceEssMonthly*TM11+UB11*BlendedPricePremMonthly*TM11+UC11*BlendedPriceEliteMonthly*TM11</f>
        <v/>
      </c>
      <c r="UK11" s="12">
        <f>TX11*BlendedPriceEssAnnual*TM11+TY11*BlendedPricePremAnnual*TM11+TZ11*BlendedPriceEliteAnnual*TM11</f>
        <v/>
      </c>
      <c r="UL11" s="12">
        <f>0+0+0</f>
        <v/>
      </c>
      <c r="UM11" s="9">
        <f>UJ11+UK11+UL11</f>
        <v/>
      </c>
      <c r="UN11" s="12">
        <f>SUM(UM$5:UM11)</f>
        <v/>
      </c>
      <c r="UO11" s="12">
        <f>OR(UO10,IF(VATAgentMode,SUM($UM$5:$UM11)-SUM($UT$5:$UT11)&gt;=VATThreshold,SUM($UM$5:$UM11)&gt;=VATThreshold))</f>
        <v/>
      </c>
      <c r="UP11" s="9">
        <f>IF(UO11,IF(VATAgentMode,UM11-((UM11-UT11)-(UM11-UT11)/(1+VATRate)),UM11/(1+VATRate)),UM11)</f>
        <v/>
      </c>
      <c r="UQ11" s="12">
        <f>UM11-UP11</f>
        <v/>
      </c>
      <c r="UR11" s="12">
        <f>IF(UO11=0,0,IF(TJ11=1,SUMPRODUCT(--(($TK$5:$TK11=$TK11-1)*($TJ$5:$TJ11&gt;=10)*($TJ$5:$TJ11&lt;=12)),$UQ$5:$UQ11),IF(TJ11=4,SUMPRODUCT(--(($TK$5:$TK11=$TK11)*($TJ$5:$TJ11&gt;=1)*($TJ$5:$TJ11&lt;=3)),$UQ$5:$UQ11),IF(TJ11=7,SUMPRODUCT(--(($TK$5:$TK11=$TK11)*($TJ$5:$TJ11&gt;=4)*($TJ$5:$TJ11&lt;=6)),$UQ$5:$UQ11),IF(TJ11=10,SUMPRODUCT(--(($TK$5:$TK11=$TK11)*($TJ$5:$TJ11&gt;=7)*($TJ$5:$TJ11&lt;=9)),$UQ$5:$UQ11),0)))))</f>
        <v/>
      </c>
      <c r="US11" s="12">
        <f>US10+UQ11-UR11</f>
        <v/>
      </c>
      <c r="UT11" s="12">
        <f>IF(ProviderDelay&gt;=1,UA10*BlendedProvPayEss+UB10*BlendedProvPayPrem+UC10*BlendedProvPayElite+UD10*BlendedProvPayEss+UE10*BlendedProvPayPrem+UF10*BlendedProvPayElite,UA11*BlendedProvPayEss+UB11*BlendedProvPayPrem+UC11*BlendedProvPayElite+UD11*BlendedProvPayEss+UE11*BlendedProvPayPrem+UF11*BlendedProvPayElite)</f>
        <v/>
      </c>
      <c r="UU11" s="12">
        <f>UM11*PaymentFee</f>
        <v/>
      </c>
      <c r="UV11" s="12">
        <f>UG11*OpsAI</f>
        <v/>
      </c>
      <c r="UW11" s="12">
        <f>MonthlyFixed</f>
        <v/>
      </c>
      <c r="UX11" s="12">
        <f>TQ11*ReferralReward</f>
        <v/>
      </c>
      <c r="UY11" s="12">
        <f>TO11</f>
        <v/>
      </c>
      <c r="UZ11" s="9">
        <f>UP11-UT11-UU11-UV11-UW11-UX11-UY11</f>
        <v/>
      </c>
      <c r="VA11" s="9">
        <f>VA10+UM11-(UT11+UU11+UV11+UW11+UX11+UY11+UR11)</f>
        <v/>
      </c>
      <c r="VB11" s="12">
        <f>IF(UG11&gt;0,UH11/UG11,0)</f>
        <v/>
      </c>
      <c r="VC11" s="11">
        <f>IF(UG10&gt;0,MAX(0,(UG10+TR11-UG11)/UG10),0)</f>
        <v/>
      </c>
      <c r="VE11" s="12" t="n">
        <v>7</v>
      </c>
      <c r="VF11" s="12">
        <f>MOD(VE11-1+LaunchMonth-1,12)+1</f>
        <v/>
      </c>
      <c r="VG11" s="12">
        <f>INT((VE11-1+LaunchMonth-1)/12)+1</f>
        <v/>
      </c>
      <c r="VH11" s="12">
        <f>VLOOKUP(VF11,SeasonTable,2,FALSE)</f>
        <v/>
      </c>
      <c r="VI11" s="12">
        <f>(1+InflationRate)^INT((VE11-1)/12)</f>
        <v/>
      </c>
      <c r="VJ11" s="11">
        <f>MonthlyChurn*VLOOKUP(VF11,ChurnSeasonTable,4,FALSE)</f>
        <v/>
      </c>
      <c r="VK11" s="12">
        <f>MIN(MAX(MktMin7_12,WI10*MktPct7_12),MAX(0,WW10-CashBuffer))</f>
        <v/>
      </c>
      <c r="VL11" s="12">
        <f>IF(VK11&gt;0,MAX(1,ROUND(VK11/CAC*VH11,0)),0)</f>
        <v/>
      </c>
      <c r="VM11" s="12">
        <f>IF(VL11&gt;0,ROUND(VL11*ReferralMix/(1-ReferralMix),0),0)</f>
        <v/>
      </c>
      <c r="VN11" s="12">
        <f>VL11+VM11</f>
        <v/>
      </c>
      <c r="VO11" s="12">
        <f>ROUND(VN11*(1-'Sens - Annual Mix'!$A$9),0)</f>
        <v/>
      </c>
      <c r="VP11" s="12">
        <f>VN11-VO11</f>
        <v/>
      </c>
      <c r="VQ11" s="12">
        <f>ROUND(VO11*EssentialMix,0)</f>
        <v/>
      </c>
      <c r="VR11" s="12">
        <f>ROUND(VO11*PremiumMix,0)</f>
        <v/>
      </c>
      <c r="VS11" s="12">
        <f>VO11-VQ11-VR11</f>
        <v/>
      </c>
      <c r="VT11" s="12">
        <f>ROUND(VP11*EssentialMix,0)</f>
        <v/>
      </c>
      <c r="VU11" s="12">
        <f>ROUND(VP11*PremiumMix,0)</f>
        <v/>
      </c>
      <c r="VV11" s="12">
        <f>VP11-VT11-VU11</f>
        <v/>
      </c>
      <c r="VW11" s="12">
        <f>VQ11+VQ10+VQ9+MAX(0,VW10-VQ10-VQ9)*(1-VJ11)</f>
        <v/>
      </c>
      <c r="VX11" s="12">
        <f>VR11+VR10+VR9+MAX(0,VX10-VR10-VR9)*(1-VJ11)</f>
        <v/>
      </c>
      <c r="VY11" s="12">
        <f>VS11+VS10+VS9+MAX(0,VY10-VS10-VS9)*(1-VJ11)</f>
        <v/>
      </c>
      <c r="VZ11" s="12">
        <f>SUM(VT$5:VT11)</f>
        <v/>
      </c>
      <c r="WA11" s="12">
        <f>SUM(VU$5:VU11)</f>
        <v/>
      </c>
      <c r="WB11" s="12">
        <f>SUM(VV$5:VV11)</f>
        <v/>
      </c>
      <c r="WC11" s="12">
        <f>VW11+VX11+VY11+VZ11+WA11+WB11</f>
        <v/>
      </c>
      <c r="WD11" s="9">
        <f>VW11*BlendedPriceEssMonthly*VI11+VX11*BlendedPricePremMonthly*VI11+VY11*BlendedPriceEliteMonthly*VI11+VZ11*BlendedPriceEssAnnual*VI11/12+WA11*BlendedPricePremAnnual*VI11/12+WB11*BlendedPriceEliteAnnual*VI11/12</f>
        <v/>
      </c>
      <c r="WE11" s="9">
        <f>WD11*12</f>
        <v/>
      </c>
      <c r="WF11" s="12">
        <f>VW11*BlendedPriceEssMonthly*VI11+VX11*BlendedPricePremMonthly*VI11+VY11*BlendedPriceEliteMonthly*VI11</f>
        <v/>
      </c>
      <c r="WG11" s="12">
        <f>VT11*BlendedPriceEssAnnual*VI11+VU11*BlendedPricePremAnnual*VI11+VV11*BlendedPriceEliteAnnual*VI11</f>
        <v/>
      </c>
      <c r="WH11" s="12">
        <f>0+0+0</f>
        <v/>
      </c>
      <c r="WI11" s="9">
        <f>WF11+WG11+WH11</f>
        <v/>
      </c>
      <c r="WJ11" s="12">
        <f>SUM(WI$5:WI11)</f>
        <v/>
      </c>
      <c r="WK11" s="12">
        <f>OR(WK10,IF(VATAgentMode,SUM($WI$5:$WI11)-SUM($WP$5:$WP11)&gt;=VATThreshold,SUM($WI$5:$WI11)&gt;=VATThreshold))</f>
        <v/>
      </c>
      <c r="WL11" s="9">
        <f>IF(WK11,IF(VATAgentMode,WI11-((WI11-WP11)-(WI11-WP11)/(1+VATRate)),WI11/(1+VATRate)),WI11)</f>
        <v/>
      </c>
      <c r="WM11" s="12">
        <f>WI11-WL11</f>
        <v/>
      </c>
      <c r="WN11" s="12">
        <f>IF(WK11=0,0,IF(VF11=1,SUMPRODUCT(--(($VG$5:$VG11=$VG11-1)*($VF$5:$VF11&gt;=10)*($VF$5:$VF11&lt;=12)),$WM$5:$WM11),IF(VF11=4,SUMPRODUCT(--(($VG$5:$VG11=$VG11)*($VF$5:$VF11&gt;=1)*($VF$5:$VF11&lt;=3)),$WM$5:$WM11),IF(VF11=7,SUMPRODUCT(--(($VG$5:$VG11=$VG11)*($VF$5:$VF11&gt;=4)*($VF$5:$VF11&lt;=6)),$WM$5:$WM11),IF(VF11=10,SUMPRODUCT(--(($VG$5:$VG11=$VG11)*($VF$5:$VF11&gt;=7)*($VF$5:$VF11&lt;=9)),$WM$5:$WM11),0)))))</f>
        <v/>
      </c>
      <c r="WO11" s="12">
        <f>WO10+WM11-WN11</f>
        <v/>
      </c>
      <c r="WP11" s="12">
        <f>IF(ProviderDelay&gt;=1,VW10*BlendedProvPayEss+VX10*BlendedProvPayPrem+VY10*BlendedProvPayElite+VZ10*BlendedProvPayEss+WA10*BlendedProvPayPrem+WB10*BlendedProvPayElite,VW11*BlendedProvPayEss+VX11*BlendedProvPayPrem+VY11*BlendedProvPayElite+VZ11*BlendedProvPayEss+WA11*BlendedProvPayPrem+WB11*BlendedProvPayElite)</f>
        <v/>
      </c>
      <c r="WQ11" s="12">
        <f>WI11*PaymentFee</f>
        <v/>
      </c>
      <c r="WR11" s="12">
        <f>WC11*OpsAI</f>
        <v/>
      </c>
      <c r="WS11" s="12">
        <f>MonthlyFixed</f>
        <v/>
      </c>
      <c r="WT11" s="12">
        <f>VM11*ReferralReward</f>
        <v/>
      </c>
      <c r="WU11" s="12">
        <f>VK11</f>
        <v/>
      </c>
      <c r="WV11" s="9">
        <f>WL11-WP11-WQ11-WR11-WS11-WT11-WU11</f>
        <v/>
      </c>
      <c r="WW11" s="9">
        <f>WW10+WI11-(WP11+WQ11+WR11+WS11+WT11+WU11+WN11)</f>
        <v/>
      </c>
      <c r="WX11" s="12">
        <f>IF(WC11&gt;0,WD11/WC11,0)</f>
        <v/>
      </c>
      <c r="WY11" s="11">
        <f>IF(WC10&gt;0,MAX(0,(WC10+VN11-WC11)/WC10),0)</f>
        <v/>
      </c>
      <c r="XA11" s="12" t="n">
        <v>7</v>
      </c>
      <c r="XB11" s="12">
        <f>MOD(XA11-1+LaunchMonth-1,12)+1</f>
        <v/>
      </c>
      <c r="XC11" s="12">
        <f>INT((XA11-1+LaunchMonth-1)/12)+1</f>
        <v/>
      </c>
      <c r="XD11" s="12">
        <f>VLOOKUP(XB11,SeasonTable,2,FALSE)</f>
        <v/>
      </c>
      <c r="XE11" s="12">
        <f>(1+InflationRate)^INT((XA11-1)/12)</f>
        <v/>
      </c>
      <c r="XF11" s="11">
        <f>MonthlyChurn*VLOOKUP(XB11,ChurnSeasonTable,4,FALSE)</f>
        <v/>
      </c>
      <c r="XG11" s="12">
        <f>MIN(MAX(MktMin7_12,YE10*MktPct7_12),MAX(0,YS10-CashBuffer))</f>
        <v/>
      </c>
      <c r="XH11" s="12">
        <f>IF(XG11&gt;0,MAX(1,ROUND(XG11/CAC*XD11,0)),0)</f>
        <v/>
      </c>
      <c r="XI11" s="12">
        <f>IF(XH11&gt;0,ROUND(XH11*ReferralMix/(1-ReferralMix),0),0)</f>
        <v/>
      </c>
      <c r="XJ11" s="12">
        <f>XH11+XI11</f>
        <v/>
      </c>
      <c r="XK11" s="12">
        <f>ROUND(XJ11*(1-'Sens - Annual Mix'!$A$10),0)</f>
        <v/>
      </c>
      <c r="XL11" s="12">
        <f>XJ11-XK11</f>
        <v/>
      </c>
      <c r="XM11" s="12">
        <f>ROUND(XK11*EssentialMix,0)</f>
        <v/>
      </c>
      <c r="XN11" s="12">
        <f>ROUND(XK11*PremiumMix,0)</f>
        <v/>
      </c>
      <c r="XO11" s="12">
        <f>XK11-XM11-XN11</f>
        <v/>
      </c>
      <c r="XP11" s="12">
        <f>ROUND(XL11*EssentialMix,0)</f>
        <v/>
      </c>
      <c r="XQ11" s="12">
        <f>ROUND(XL11*PremiumMix,0)</f>
        <v/>
      </c>
      <c r="XR11" s="12">
        <f>XL11-XP11-XQ11</f>
        <v/>
      </c>
      <c r="XS11" s="12">
        <f>XM11+XM10+XM9+MAX(0,XS10-XM10-XM9)*(1-XF11)</f>
        <v/>
      </c>
      <c r="XT11" s="12">
        <f>XN11+XN10+XN9+MAX(0,XT10-XN10-XN9)*(1-XF11)</f>
        <v/>
      </c>
      <c r="XU11" s="12">
        <f>XO11+XO10+XO9+MAX(0,XU10-XO10-XO9)*(1-XF11)</f>
        <v/>
      </c>
      <c r="XV11" s="12">
        <f>SUM(XP$5:XP11)</f>
        <v/>
      </c>
      <c r="XW11" s="12">
        <f>SUM(XQ$5:XQ11)</f>
        <v/>
      </c>
      <c r="XX11" s="12">
        <f>SUM(XR$5:XR11)</f>
        <v/>
      </c>
      <c r="XY11" s="12">
        <f>XS11+XT11+XU11+XV11+XW11+XX11</f>
        <v/>
      </c>
      <c r="XZ11" s="9">
        <f>XS11*BlendedPriceEssMonthly*XE11+XT11*BlendedPricePremMonthly*XE11+XU11*BlendedPriceEliteMonthly*XE11+XV11*BlendedPriceEssAnnual*XE11/12+XW11*BlendedPricePremAnnual*XE11/12+XX11*BlendedPriceEliteAnnual*XE11/12</f>
        <v/>
      </c>
      <c r="YA11" s="9">
        <f>XZ11*12</f>
        <v/>
      </c>
      <c r="YB11" s="12">
        <f>XS11*BlendedPriceEssMonthly*XE11+XT11*BlendedPricePremMonthly*XE11+XU11*BlendedPriceEliteMonthly*XE11</f>
        <v/>
      </c>
      <c r="YC11" s="12">
        <f>XP11*BlendedPriceEssAnnual*XE11+XQ11*BlendedPricePremAnnual*XE11+XR11*BlendedPriceEliteAnnual*XE11</f>
        <v/>
      </c>
      <c r="YD11" s="12">
        <f>0+0+0</f>
        <v/>
      </c>
      <c r="YE11" s="9">
        <f>YB11+YC11+YD11</f>
        <v/>
      </c>
      <c r="YF11" s="12">
        <f>SUM(YE$5:YE11)</f>
        <v/>
      </c>
      <c r="YG11" s="12">
        <f>OR(YG10,IF(VATAgentMode,SUM($YE$5:$YE11)-SUM($YL$5:$YL11)&gt;=VATThreshold,SUM($YE$5:$YE11)&gt;=VATThreshold))</f>
        <v/>
      </c>
      <c r="YH11" s="9">
        <f>IF(YG11,IF(VATAgentMode,YE11-((YE11-YL11)-(YE11-YL11)/(1+VATRate)),YE11/(1+VATRate)),YE11)</f>
        <v/>
      </c>
      <c r="YI11" s="12">
        <f>YE11-YH11</f>
        <v/>
      </c>
      <c r="YJ11" s="12">
        <f>IF(YG11=0,0,IF(XB11=1,SUMPRODUCT(--(($XC$5:$XC11=$XC11-1)*($XB$5:$XB11&gt;=10)*($XB$5:$XB11&lt;=12)),$YI$5:$YI11),IF(XB11=4,SUMPRODUCT(--(($XC$5:$XC11=$XC11)*($XB$5:$XB11&gt;=1)*($XB$5:$XB11&lt;=3)),$YI$5:$YI11),IF(XB11=7,SUMPRODUCT(--(($XC$5:$XC11=$XC11)*($XB$5:$XB11&gt;=4)*($XB$5:$XB11&lt;=6)),$YI$5:$YI11),IF(XB11=10,SUMPRODUCT(--(($XC$5:$XC11=$XC11)*($XB$5:$XB11&gt;=7)*($XB$5:$XB11&lt;=9)),$YI$5:$YI11),0)))))</f>
        <v/>
      </c>
      <c r="YK11" s="12">
        <f>YK10+YI11-YJ11</f>
        <v/>
      </c>
      <c r="YL11" s="12">
        <f>IF(ProviderDelay&gt;=1,XS10*BlendedProvPayEss+XT10*BlendedProvPayPrem+XU10*BlendedProvPayElite+XV10*BlendedProvPayEss+XW10*BlendedProvPayPrem+XX10*BlendedProvPayElite,XS11*BlendedProvPayEss+XT11*BlendedProvPayPrem+XU11*BlendedProvPayElite+XV11*BlendedProvPayEss+XW11*BlendedProvPayPrem+XX11*BlendedProvPayElite)</f>
        <v/>
      </c>
      <c r="YM11" s="12">
        <f>YE11*PaymentFee</f>
        <v/>
      </c>
      <c r="YN11" s="12">
        <f>XY11*OpsAI</f>
        <v/>
      </c>
      <c r="YO11" s="12">
        <f>MonthlyFixed</f>
        <v/>
      </c>
      <c r="YP11" s="12">
        <f>XI11*ReferralReward</f>
        <v/>
      </c>
      <c r="YQ11" s="12">
        <f>XG11</f>
        <v/>
      </c>
      <c r="YR11" s="9">
        <f>YH11-YL11-YM11-YN11-YO11-YP11-YQ11</f>
        <v/>
      </c>
      <c r="YS11" s="9">
        <f>YS10+YE11-(YL11+YM11+YN11+YO11+YP11+YQ11+YJ11)</f>
        <v/>
      </c>
      <c r="YT11" s="12">
        <f>IF(XY11&gt;0,XZ11/XY11,0)</f>
        <v/>
      </c>
      <c r="YU11" s="11">
        <f>IF(XY10&gt;0,MAX(0,(XY10+XJ11-XY11)/XY10),0)</f>
        <v/>
      </c>
      <c r="YW11" s="12" t="n">
        <v>7</v>
      </c>
      <c r="YX11" s="12">
        <f>MOD(YW11-1+LaunchMonth-1,12)+1</f>
        <v/>
      </c>
      <c r="YY11" s="12">
        <f>INT((YW11-1+LaunchMonth-1)/12)+1</f>
        <v/>
      </c>
      <c r="YZ11" s="12">
        <f>VLOOKUP(YX11,SeasonTable,2,FALSE)</f>
        <v/>
      </c>
      <c r="ZA11" s="12">
        <f>(1+InflationRate)^INT((YW11-1)/12)</f>
        <v/>
      </c>
      <c r="ZB11" s="11">
        <f>MonthlyChurn*VLOOKUP(YX11,ChurnSeasonTable,4,FALSE)</f>
        <v/>
      </c>
      <c r="ZC11" s="12">
        <f>MIN(MAX(MktMin7_12,AAA10*MktPct7_12),MAX(0,AAO10-CashBuffer))</f>
        <v/>
      </c>
      <c r="ZD11" s="12">
        <f>IF(ZC11&gt;0,MAX(1,ROUND(ZC11/CAC*YZ11,0)),0)</f>
        <v/>
      </c>
      <c r="ZE11" s="12">
        <f>IF(ZD11&gt;0,ROUND(ZD11*ReferralMix/(1-ReferralMix),0),0)</f>
        <v/>
      </c>
      <c r="ZF11" s="12">
        <f>ZD11+ZE11</f>
        <v/>
      </c>
      <c r="ZG11" s="12">
        <f>ROUND(ZF11*(1-'Sens - Annual Mix'!$A$11),0)</f>
        <v/>
      </c>
      <c r="ZH11" s="12">
        <f>ZF11-ZG11</f>
        <v/>
      </c>
      <c r="ZI11" s="12">
        <f>ROUND(ZG11*EssentialMix,0)</f>
        <v/>
      </c>
      <c r="ZJ11" s="12">
        <f>ROUND(ZG11*PremiumMix,0)</f>
        <v/>
      </c>
      <c r="ZK11" s="12">
        <f>ZG11-ZI11-ZJ11</f>
        <v/>
      </c>
      <c r="ZL11" s="12">
        <f>ROUND(ZH11*EssentialMix,0)</f>
        <v/>
      </c>
      <c r="ZM11" s="12">
        <f>ROUND(ZH11*PremiumMix,0)</f>
        <v/>
      </c>
      <c r="ZN11" s="12">
        <f>ZH11-ZL11-ZM11</f>
        <v/>
      </c>
      <c r="ZO11" s="12">
        <f>ZI11+ZI10+ZI9+MAX(0,ZO10-ZI10-ZI9)*(1-ZB11)</f>
        <v/>
      </c>
      <c r="ZP11" s="12">
        <f>ZJ11+ZJ10+ZJ9+MAX(0,ZP10-ZJ10-ZJ9)*(1-ZB11)</f>
        <v/>
      </c>
      <c r="ZQ11" s="12">
        <f>ZK11+ZK10+ZK9+MAX(0,ZQ10-ZK10-ZK9)*(1-ZB11)</f>
        <v/>
      </c>
      <c r="ZR11" s="12">
        <f>SUM(ZL$5:ZL11)</f>
        <v/>
      </c>
      <c r="ZS11" s="12">
        <f>SUM(ZM$5:ZM11)</f>
        <v/>
      </c>
      <c r="ZT11" s="12">
        <f>SUM(ZN$5:ZN11)</f>
        <v/>
      </c>
      <c r="ZU11" s="12">
        <f>ZO11+ZP11+ZQ11+ZR11+ZS11+ZT11</f>
        <v/>
      </c>
      <c r="ZV11" s="9">
        <f>ZO11*BlendedPriceEssMonthly*ZA11+ZP11*BlendedPricePremMonthly*ZA11+ZQ11*BlendedPriceEliteMonthly*ZA11+ZR11*BlendedPriceEssAnnual*ZA11/12+ZS11*BlendedPricePremAnnual*ZA11/12+ZT11*BlendedPriceEliteAnnual*ZA11/12</f>
        <v/>
      </c>
      <c r="ZW11" s="9">
        <f>ZV11*12</f>
        <v/>
      </c>
      <c r="ZX11" s="12">
        <f>ZO11*BlendedPriceEssMonthly*ZA11+ZP11*BlendedPricePremMonthly*ZA11+ZQ11*BlendedPriceEliteMonthly*ZA11</f>
        <v/>
      </c>
      <c r="ZY11" s="12">
        <f>ZL11*BlendedPriceEssAnnual*ZA11+ZM11*BlendedPricePremAnnual*ZA11+ZN11*BlendedPriceEliteAnnual*ZA11</f>
        <v/>
      </c>
      <c r="ZZ11" s="12">
        <f>0+0+0</f>
        <v/>
      </c>
      <c r="AAA11" s="9">
        <f>ZX11+ZY11+ZZ11</f>
        <v/>
      </c>
      <c r="AAB11" s="12">
        <f>SUM(AAA$5:AAA11)</f>
        <v/>
      </c>
      <c r="AAC11" s="12">
        <f>OR(AAC10,IF(VATAgentMode,SUM($AAA$5:$AAA11)-SUM($AAH$5:$AAH11)&gt;=VATThreshold,SUM($AAA$5:$AAA11)&gt;=VATThreshold))</f>
        <v/>
      </c>
      <c r="AAD11" s="9">
        <f>IF(AAC11,IF(VATAgentMode,AAA11-((AAA11-AAH11)-(AAA11-AAH11)/(1+VATRate)),AAA11/(1+VATRate)),AAA11)</f>
        <v/>
      </c>
      <c r="AAE11" s="12">
        <f>AAA11-AAD11</f>
        <v/>
      </c>
      <c r="AAF11" s="12">
        <f>IF(AAC11=0,0,IF(YX11=1,SUMPRODUCT(--(($YY$5:$YY11=$YY11-1)*($YX$5:$YX11&gt;=10)*($YX$5:$YX11&lt;=12)),$AAE$5:$AAE11),IF(YX11=4,SUMPRODUCT(--(($YY$5:$YY11=$YY11)*($YX$5:$YX11&gt;=1)*($YX$5:$YX11&lt;=3)),$AAE$5:$AAE11),IF(YX11=7,SUMPRODUCT(--(($YY$5:$YY11=$YY11)*($YX$5:$YX11&gt;=4)*($YX$5:$YX11&lt;=6)),$AAE$5:$AAE11),IF(YX11=10,SUMPRODUCT(--(($YY$5:$YY11=$YY11)*($YX$5:$YX11&gt;=7)*($YX$5:$YX11&lt;=9)),$AAE$5:$AAE11),0)))))</f>
        <v/>
      </c>
      <c r="AAG11" s="12">
        <f>AAG10+AAE11-AAF11</f>
        <v/>
      </c>
      <c r="AAH11" s="12">
        <f>IF(ProviderDelay&gt;=1,ZO10*BlendedProvPayEss+ZP10*BlendedProvPayPrem+ZQ10*BlendedProvPayElite+ZR10*BlendedProvPayEss+ZS10*BlendedProvPayPrem+ZT10*BlendedProvPayElite,ZO11*BlendedProvPayEss+ZP11*BlendedProvPayPrem+ZQ11*BlendedProvPayElite+ZR11*BlendedProvPayEss+ZS11*BlendedProvPayPrem+ZT11*BlendedProvPayElite)</f>
        <v/>
      </c>
      <c r="AAI11" s="12">
        <f>AAA11*PaymentFee</f>
        <v/>
      </c>
      <c r="AAJ11" s="12">
        <f>ZU11*OpsAI</f>
        <v/>
      </c>
      <c r="AAK11" s="12">
        <f>MonthlyFixed</f>
        <v/>
      </c>
      <c r="AAL11" s="12">
        <f>ZE11*ReferralReward</f>
        <v/>
      </c>
      <c r="AAM11" s="12">
        <f>ZC11</f>
        <v/>
      </c>
      <c r="AAN11" s="9">
        <f>AAD11-AAH11-AAI11-AAJ11-AAK11-AAL11-AAM11</f>
        <v/>
      </c>
      <c r="AAO11" s="9">
        <f>AAO10+AAA11-(AAH11+AAI11+AAJ11+AAK11+AAL11+AAM11+AAF11)</f>
        <v/>
      </c>
      <c r="AAP11" s="12">
        <f>IF(ZU11&gt;0,ZV11/ZU11,0)</f>
        <v/>
      </c>
      <c r="AAQ11" s="11">
        <f>IF(ZU10&gt;0,MAX(0,(ZU10+ZF11-ZU11)/ZU10),0)</f>
        <v/>
      </c>
      <c r="AAS11" s="12" t="n">
        <v>7</v>
      </c>
      <c r="AAT11" s="12">
        <f>MOD(AAS11-1+LaunchMonth-1,12)+1</f>
        <v/>
      </c>
      <c r="AAU11" s="12">
        <f>INT((AAS11-1+LaunchMonth-1)/12)+1</f>
        <v/>
      </c>
      <c r="AAV11" s="12">
        <f>VLOOKUP(AAT11,SeasonTable,2,FALSE)</f>
        <v/>
      </c>
      <c r="AAW11" s="12">
        <f>(1+InflationRate)^INT((AAS11-1)/12)</f>
        <v/>
      </c>
      <c r="AAX11" s="11">
        <f>MonthlyChurn*VLOOKUP(AAT11,ChurnSeasonTable,4,FALSE)</f>
        <v/>
      </c>
      <c r="AAY11" s="12">
        <f>MIN(MAX(MktMin7_12,ABW10*MktPct7_12),MAX(0,ACK10-CashBuffer))</f>
        <v/>
      </c>
      <c r="AAZ11" s="12">
        <f>IF(AAY11&gt;0,MAX(1,ROUND(AAY11/CAC*AAV11,0)),0)</f>
        <v/>
      </c>
      <c r="ABA11" s="12">
        <f>IF(AAZ11&gt;0,ROUND(AAZ11*ReferralMix/(1-ReferralMix),0),0)</f>
        <v/>
      </c>
      <c r="ABB11" s="12">
        <f>AAZ11+ABA11</f>
        <v/>
      </c>
      <c r="ABC11" s="12">
        <f>ROUND(ABB11*(1-'Sens - Annual Mix'!$A$12),0)</f>
        <v/>
      </c>
      <c r="ABD11" s="12">
        <f>ABB11-ABC11</f>
        <v/>
      </c>
      <c r="ABE11" s="12">
        <f>ROUND(ABC11*EssentialMix,0)</f>
        <v/>
      </c>
      <c r="ABF11" s="12">
        <f>ROUND(ABC11*PremiumMix,0)</f>
        <v/>
      </c>
      <c r="ABG11" s="12">
        <f>ABC11-ABE11-ABF11</f>
        <v/>
      </c>
      <c r="ABH11" s="12">
        <f>ROUND(ABD11*EssentialMix,0)</f>
        <v/>
      </c>
      <c r="ABI11" s="12">
        <f>ROUND(ABD11*PremiumMix,0)</f>
        <v/>
      </c>
      <c r="ABJ11" s="12">
        <f>ABD11-ABH11-ABI11</f>
        <v/>
      </c>
      <c r="ABK11" s="12">
        <f>ABE11+ABE10+ABE9+MAX(0,ABK10-ABE10-ABE9)*(1-AAX11)</f>
        <v/>
      </c>
      <c r="ABL11" s="12">
        <f>ABF11+ABF10+ABF9+MAX(0,ABL10-ABF10-ABF9)*(1-AAX11)</f>
        <v/>
      </c>
      <c r="ABM11" s="12">
        <f>ABG11+ABG10+ABG9+MAX(0,ABM10-ABG10-ABG9)*(1-AAX11)</f>
        <v/>
      </c>
      <c r="ABN11" s="12">
        <f>SUM(ABH$5:ABH11)</f>
        <v/>
      </c>
      <c r="ABO11" s="12">
        <f>SUM(ABI$5:ABI11)</f>
        <v/>
      </c>
      <c r="ABP11" s="12">
        <f>SUM(ABJ$5:ABJ11)</f>
        <v/>
      </c>
      <c r="ABQ11" s="12">
        <f>ABK11+ABL11+ABM11+ABN11+ABO11+ABP11</f>
        <v/>
      </c>
      <c r="ABR11" s="9">
        <f>ABK11*BlendedPriceEssMonthly*AAW11+ABL11*BlendedPricePremMonthly*AAW11+ABM11*BlendedPriceEliteMonthly*AAW11+ABN11*BlendedPriceEssAnnual*AAW11/12+ABO11*BlendedPricePremAnnual*AAW11/12+ABP11*BlendedPriceEliteAnnual*AAW11/12</f>
        <v/>
      </c>
      <c r="ABS11" s="9">
        <f>ABR11*12</f>
        <v/>
      </c>
      <c r="ABT11" s="12">
        <f>ABK11*BlendedPriceEssMonthly*AAW11+ABL11*BlendedPricePremMonthly*AAW11+ABM11*BlendedPriceEliteMonthly*AAW11</f>
        <v/>
      </c>
      <c r="ABU11" s="12">
        <f>ABH11*BlendedPriceEssAnnual*AAW11+ABI11*BlendedPricePremAnnual*AAW11+ABJ11*BlendedPriceEliteAnnual*AAW11</f>
        <v/>
      </c>
      <c r="ABV11" s="12">
        <f>0+0+0</f>
        <v/>
      </c>
      <c r="ABW11" s="9">
        <f>ABT11+ABU11+ABV11</f>
        <v/>
      </c>
      <c r="ABX11" s="12">
        <f>SUM(ABW$5:ABW11)</f>
        <v/>
      </c>
      <c r="ABY11" s="12">
        <f>OR(ABY10,IF(VATAgentMode,SUM($ABW$5:$ABW11)-SUM($ACD$5:$ACD11)&gt;=VATThreshold,SUM($ABW$5:$ABW11)&gt;=VATThreshold))</f>
        <v/>
      </c>
      <c r="ABZ11" s="9">
        <f>IF(ABY11,IF(VATAgentMode,ABW11-((ABW11-ACD11)-(ABW11-ACD11)/(1+VATRate)),ABW11/(1+VATRate)),ABW11)</f>
        <v/>
      </c>
      <c r="ACA11" s="12">
        <f>ABW11-ABZ11</f>
        <v/>
      </c>
      <c r="ACB11" s="12">
        <f>IF(ABY11=0,0,IF(AAT11=1,SUMPRODUCT(--(($AAU$5:$AAU11=$AAU11-1)*($AAT$5:$AAT11&gt;=10)*($AAT$5:$AAT11&lt;=12)),$ACA$5:$ACA11),IF(AAT11=4,SUMPRODUCT(--(($AAU$5:$AAU11=$AAU11)*($AAT$5:$AAT11&gt;=1)*($AAT$5:$AAT11&lt;=3)),$ACA$5:$ACA11),IF(AAT11=7,SUMPRODUCT(--(($AAU$5:$AAU11=$AAU11)*($AAT$5:$AAT11&gt;=4)*($AAT$5:$AAT11&lt;=6)),$ACA$5:$ACA11),IF(AAT11=10,SUMPRODUCT(--(($AAU$5:$AAU11=$AAU11)*($AAT$5:$AAT11&gt;=7)*($AAT$5:$AAT11&lt;=9)),$ACA$5:$ACA11),0)))))</f>
        <v/>
      </c>
      <c r="ACC11" s="12">
        <f>ACC10+ACA11-ACB11</f>
        <v/>
      </c>
      <c r="ACD11" s="12">
        <f>IF(ProviderDelay&gt;=1,ABK10*BlendedProvPayEss+ABL10*BlendedProvPayPrem+ABM10*BlendedProvPayElite+ABN10*BlendedProvPayEss+ABO10*BlendedProvPayPrem+ABP10*BlendedProvPayElite,ABK11*BlendedProvPayEss+ABL11*BlendedProvPayPrem+ABM11*BlendedProvPayElite+ABN11*BlendedProvPayEss+ABO11*BlendedProvPayPrem+ABP11*BlendedProvPayElite)</f>
        <v/>
      </c>
      <c r="ACE11" s="12">
        <f>ABW11*PaymentFee</f>
        <v/>
      </c>
      <c r="ACF11" s="12">
        <f>ABQ11*OpsAI</f>
        <v/>
      </c>
      <c r="ACG11" s="12">
        <f>MonthlyFixed</f>
        <v/>
      </c>
      <c r="ACH11" s="12">
        <f>ABA11*ReferralReward</f>
        <v/>
      </c>
      <c r="ACI11" s="12">
        <f>AAY11</f>
        <v/>
      </c>
      <c r="ACJ11" s="9">
        <f>ABZ11-ACD11-ACE11-ACF11-ACG11-ACH11-ACI11</f>
        <v/>
      </c>
      <c r="ACK11" s="9">
        <f>ACK10+ABW11-(ACD11+ACE11+ACF11+ACG11+ACH11+ACI11+ACB11)</f>
        <v/>
      </c>
      <c r="ACL11" s="12">
        <f>IF(ABQ11&gt;0,ABR11/ABQ11,0)</f>
        <v/>
      </c>
      <c r="ACM11" s="11">
        <f>IF(ABQ10&gt;0,MAX(0,(ABQ10+ABB11-ABQ11)/ABQ10),0)</f>
        <v/>
      </c>
      <c r="ACO11" s="12" t="n">
        <v>7</v>
      </c>
      <c r="ACP11" s="12">
        <f>MOD(ACO11-1+LaunchMonth-1,12)+1</f>
        <v/>
      </c>
      <c r="ACQ11" s="12">
        <f>INT((ACO11-1+LaunchMonth-1)/12)+1</f>
        <v/>
      </c>
      <c r="ACR11" s="12">
        <f>VLOOKUP(ACP11,SeasonTable,2,FALSE)</f>
        <v/>
      </c>
      <c r="ACS11" s="12">
        <f>(1+InflationRate)^INT((ACO11-1)/12)</f>
        <v/>
      </c>
      <c r="ACT11" s="11">
        <f>MonthlyChurn*VLOOKUP(ACP11,ChurnSeasonTable,4,FALSE)</f>
        <v/>
      </c>
      <c r="ACU11" s="12">
        <f>MIN(MAX(MktMin7_12,ADS10*MktPct7_12),MAX(0,AEG10-CashBuffer))</f>
        <v/>
      </c>
      <c r="ACV11" s="12">
        <f>IF(ACU11&gt;0,MAX(1,ROUND(ACU11/CAC*ACR11,0)),0)</f>
        <v/>
      </c>
      <c r="ACW11" s="12">
        <f>IF(ACV11&gt;0,ROUND(ACV11*ReferralMix/(1-ReferralMix),0),0)</f>
        <v/>
      </c>
      <c r="ACX11" s="12">
        <f>ACV11+ACW11</f>
        <v/>
      </c>
      <c r="ACY11" s="12">
        <f>ROUND(ACX11*(1-'Sens - Annual Mix'!$A$13),0)</f>
        <v/>
      </c>
      <c r="ACZ11" s="12">
        <f>ACX11-ACY11</f>
        <v/>
      </c>
      <c r="ADA11" s="12">
        <f>ROUND(ACY11*EssentialMix,0)</f>
        <v/>
      </c>
      <c r="ADB11" s="12">
        <f>ROUND(ACY11*PremiumMix,0)</f>
        <v/>
      </c>
      <c r="ADC11" s="12">
        <f>ACY11-ADA11-ADB11</f>
        <v/>
      </c>
      <c r="ADD11" s="12">
        <f>ROUND(ACZ11*EssentialMix,0)</f>
        <v/>
      </c>
      <c r="ADE11" s="12">
        <f>ROUND(ACZ11*PremiumMix,0)</f>
        <v/>
      </c>
      <c r="ADF11" s="12">
        <f>ACZ11-ADD11-ADE11</f>
        <v/>
      </c>
      <c r="ADG11" s="12">
        <f>ADA11+ADA10+ADA9+MAX(0,ADG10-ADA10-ADA9)*(1-ACT11)</f>
        <v/>
      </c>
      <c r="ADH11" s="12">
        <f>ADB11+ADB10+ADB9+MAX(0,ADH10-ADB10-ADB9)*(1-ACT11)</f>
        <v/>
      </c>
      <c r="ADI11" s="12">
        <f>ADC11+ADC10+ADC9+MAX(0,ADI10-ADC10-ADC9)*(1-ACT11)</f>
        <v/>
      </c>
      <c r="ADJ11" s="12">
        <f>SUM(ADD$5:ADD11)</f>
        <v/>
      </c>
      <c r="ADK11" s="12">
        <f>SUM(ADE$5:ADE11)</f>
        <v/>
      </c>
      <c r="ADL11" s="12">
        <f>SUM(ADF$5:ADF11)</f>
        <v/>
      </c>
      <c r="ADM11" s="12">
        <f>ADG11+ADH11+ADI11+ADJ11+ADK11+ADL11</f>
        <v/>
      </c>
      <c r="ADN11" s="9">
        <f>ADG11*BlendedPriceEssMonthly*ACS11+ADH11*BlendedPricePremMonthly*ACS11+ADI11*BlendedPriceEliteMonthly*ACS11+ADJ11*BlendedPriceEssAnnual*ACS11/12+ADK11*BlendedPricePremAnnual*ACS11/12+ADL11*BlendedPriceEliteAnnual*ACS11/12</f>
        <v/>
      </c>
      <c r="ADO11" s="9">
        <f>ADN11*12</f>
        <v/>
      </c>
      <c r="ADP11" s="12">
        <f>ADG11*BlendedPriceEssMonthly*ACS11+ADH11*BlendedPricePremMonthly*ACS11+ADI11*BlendedPriceEliteMonthly*ACS11</f>
        <v/>
      </c>
      <c r="ADQ11" s="12">
        <f>ADD11*BlendedPriceEssAnnual*ACS11+ADE11*BlendedPricePremAnnual*ACS11+ADF11*BlendedPriceEliteAnnual*ACS11</f>
        <v/>
      </c>
      <c r="ADR11" s="12">
        <f>0+0+0</f>
        <v/>
      </c>
      <c r="ADS11" s="9">
        <f>ADP11+ADQ11+ADR11</f>
        <v/>
      </c>
      <c r="ADT11" s="12">
        <f>SUM(ADS$5:ADS11)</f>
        <v/>
      </c>
      <c r="ADU11" s="12">
        <f>OR(ADU10,IF(VATAgentMode,SUM($ADS$5:$ADS11)-SUM($ADZ$5:$ADZ11)&gt;=VATThreshold,SUM($ADS$5:$ADS11)&gt;=VATThreshold))</f>
        <v/>
      </c>
      <c r="ADV11" s="9">
        <f>IF(ADU11,IF(VATAgentMode,ADS11-((ADS11-ADZ11)-(ADS11-ADZ11)/(1+VATRate)),ADS11/(1+VATRate)),ADS11)</f>
        <v/>
      </c>
      <c r="ADW11" s="12">
        <f>ADS11-ADV11</f>
        <v/>
      </c>
      <c r="ADX11" s="12">
        <f>IF(ADU11=0,0,IF(ACP11=1,SUMPRODUCT(--(($ACQ$5:$ACQ11=$ACQ11-1)*($ACP$5:$ACP11&gt;=10)*($ACP$5:$ACP11&lt;=12)),$ADW$5:$ADW11),IF(ACP11=4,SUMPRODUCT(--(($ACQ$5:$ACQ11=$ACQ11)*($ACP$5:$ACP11&gt;=1)*($ACP$5:$ACP11&lt;=3)),$ADW$5:$ADW11),IF(ACP11=7,SUMPRODUCT(--(($ACQ$5:$ACQ11=$ACQ11)*($ACP$5:$ACP11&gt;=4)*($ACP$5:$ACP11&lt;=6)),$ADW$5:$ADW11),IF(ACP11=10,SUMPRODUCT(--(($ACQ$5:$ACQ11=$ACQ11)*($ACP$5:$ACP11&gt;=7)*($ACP$5:$ACP11&lt;=9)),$ADW$5:$ADW11),0)))))</f>
        <v/>
      </c>
      <c r="ADY11" s="12">
        <f>ADY10+ADW11-ADX11</f>
        <v/>
      </c>
      <c r="ADZ11" s="12">
        <f>IF(ProviderDelay&gt;=1,ADG10*BlendedProvPayEss+ADH10*BlendedProvPayPrem+ADI10*BlendedProvPayElite+ADJ10*BlendedProvPayEss+ADK10*BlendedProvPayPrem+ADL10*BlendedProvPayElite,ADG11*BlendedProvPayEss+ADH11*BlendedProvPayPrem+ADI11*BlendedProvPayElite+ADJ11*BlendedProvPayEss+ADK11*BlendedProvPayPrem+ADL11*BlendedProvPayElite)</f>
        <v/>
      </c>
      <c r="AEA11" s="12">
        <f>ADS11*PaymentFee</f>
        <v/>
      </c>
      <c r="AEB11" s="12">
        <f>ADM11*OpsAI</f>
        <v/>
      </c>
      <c r="AEC11" s="12">
        <f>MonthlyFixed</f>
        <v/>
      </c>
      <c r="AED11" s="12">
        <f>ACW11*ReferralReward</f>
        <v/>
      </c>
      <c r="AEE11" s="12">
        <f>ACU11</f>
        <v/>
      </c>
      <c r="AEF11" s="9">
        <f>ADV11-ADZ11-AEA11-AEB11-AEC11-AED11-AEE11</f>
        <v/>
      </c>
      <c r="AEG11" s="9">
        <f>AEG10+ADS11-(ADZ11+AEA11+AEB11+AEC11+AED11+AEE11+ADX11)</f>
        <v/>
      </c>
      <c r="AEH11" s="12">
        <f>IF(ADM11&gt;0,ADN11/ADM11,0)</f>
        <v/>
      </c>
      <c r="AEI11" s="11">
        <f>IF(ADM10&gt;0,MAX(0,(ADM10+ACX11-ADM11)/ADM10),0)</f>
        <v/>
      </c>
      <c r="AEK11" s="12" t="n">
        <v>7</v>
      </c>
      <c r="AEL11" s="12">
        <f>MOD(AEK11-1+LaunchMonth-1,12)+1</f>
        <v/>
      </c>
      <c r="AEM11" s="12">
        <f>INT((AEK11-1+LaunchMonth-1)/12)+1</f>
        <v/>
      </c>
      <c r="AEN11" s="12">
        <f>VLOOKUP(AEL11,SeasonTable,2,FALSE)</f>
        <v/>
      </c>
      <c r="AEO11" s="12">
        <f>(1+InflationRate)^INT((AEK11-1)/12)</f>
        <v/>
      </c>
      <c r="AEP11" s="11">
        <f>MonthlyChurn*VLOOKUP(AEL11,ChurnSeasonTable,4,FALSE)</f>
        <v/>
      </c>
      <c r="AEQ11" s="12">
        <f>MIN(MAX(MktMin7_12,AFO10*MktPct7_12),MAX(0,AGC10-CashBuffer))</f>
        <v/>
      </c>
      <c r="AER11" s="12">
        <f>IF(AEQ11&gt;0,MAX(1,ROUND(AEQ11/CAC*AEN11,0)),0)</f>
        <v/>
      </c>
      <c r="AES11" s="12">
        <f>IF(AER11&gt;0,ROUND(AER11*ReferralMix/(1-ReferralMix),0),0)</f>
        <v/>
      </c>
      <c r="AET11" s="12">
        <f>AER11+AES11</f>
        <v/>
      </c>
      <c r="AEU11" s="12">
        <f>ROUND(AET11*(1-'Sens - Annual Mix'!$A$14),0)</f>
        <v/>
      </c>
      <c r="AEV11" s="12">
        <f>AET11-AEU11</f>
        <v/>
      </c>
      <c r="AEW11" s="12">
        <f>ROUND(AEU11*EssentialMix,0)</f>
        <v/>
      </c>
      <c r="AEX11" s="12">
        <f>ROUND(AEU11*PremiumMix,0)</f>
        <v/>
      </c>
      <c r="AEY11" s="12">
        <f>AEU11-AEW11-AEX11</f>
        <v/>
      </c>
      <c r="AEZ11" s="12">
        <f>ROUND(AEV11*EssentialMix,0)</f>
        <v/>
      </c>
      <c r="AFA11" s="12">
        <f>ROUND(AEV11*PremiumMix,0)</f>
        <v/>
      </c>
      <c r="AFB11" s="12">
        <f>AEV11-AEZ11-AFA11</f>
        <v/>
      </c>
      <c r="AFC11" s="12">
        <f>AEW11+AEW10+AEW9+MAX(0,AFC10-AEW10-AEW9)*(1-AEP11)</f>
        <v/>
      </c>
      <c r="AFD11" s="12">
        <f>AEX11+AEX10+AEX9+MAX(0,AFD10-AEX10-AEX9)*(1-AEP11)</f>
        <v/>
      </c>
      <c r="AFE11" s="12">
        <f>AEY11+AEY10+AEY9+MAX(0,AFE10-AEY10-AEY9)*(1-AEP11)</f>
        <v/>
      </c>
      <c r="AFF11" s="12">
        <f>SUM(AEZ$5:AEZ11)</f>
        <v/>
      </c>
      <c r="AFG11" s="12">
        <f>SUM(AFA$5:AFA11)</f>
        <v/>
      </c>
      <c r="AFH11" s="12">
        <f>SUM(AFB$5:AFB11)</f>
        <v/>
      </c>
      <c r="AFI11" s="12">
        <f>AFC11+AFD11+AFE11+AFF11+AFG11+AFH11</f>
        <v/>
      </c>
      <c r="AFJ11" s="9">
        <f>AFC11*BlendedPriceEssMonthly*AEO11+AFD11*BlendedPricePremMonthly*AEO11+AFE11*BlendedPriceEliteMonthly*AEO11+AFF11*BlendedPriceEssAnnual*AEO11/12+AFG11*BlendedPricePremAnnual*AEO11/12+AFH11*BlendedPriceEliteAnnual*AEO11/12</f>
        <v/>
      </c>
      <c r="AFK11" s="9">
        <f>AFJ11*12</f>
        <v/>
      </c>
      <c r="AFL11" s="12">
        <f>AFC11*BlendedPriceEssMonthly*AEO11+AFD11*BlendedPricePremMonthly*AEO11+AFE11*BlendedPriceEliteMonthly*AEO11</f>
        <v/>
      </c>
      <c r="AFM11" s="12">
        <f>AEZ11*BlendedPriceEssAnnual*AEO11+AFA11*BlendedPricePremAnnual*AEO11+AFB11*BlendedPriceEliteAnnual*AEO11</f>
        <v/>
      </c>
      <c r="AFN11" s="12">
        <f>0+0+0</f>
        <v/>
      </c>
      <c r="AFO11" s="9">
        <f>AFL11+AFM11+AFN11</f>
        <v/>
      </c>
      <c r="AFP11" s="12">
        <f>SUM(AFO$5:AFO11)</f>
        <v/>
      </c>
      <c r="AFQ11" s="12">
        <f>OR(AFQ10,IF(VATAgentMode,SUM($AFO$5:$AFO11)-SUM($AFV$5:$AFV11)&gt;=VATThreshold,SUM($AFO$5:$AFO11)&gt;=VATThreshold))</f>
        <v/>
      </c>
      <c r="AFR11" s="9">
        <f>IF(AFQ11,IF(VATAgentMode,AFO11-((AFO11-AFV11)-(AFO11-AFV11)/(1+VATRate)),AFO11/(1+VATRate)),AFO11)</f>
        <v/>
      </c>
      <c r="AFS11" s="12">
        <f>AFO11-AFR11</f>
        <v/>
      </c>
      <c r="AFT11" s="12">
        <f>IF(AFQ11=0,0,IF(AEL11=1,SUMPRODUCT(--(($AEM$5:$AEM11=$AEM11-1)*($AEL$5:$AEL11&gt;=10)*($AEL$5:$AEL11&lt;=12)),$AFS$5:$AFS11),IF(AEL11=4,SUMPRODUCT(--(($AEM$5:$AEM11=$AEM11)*($AEL$5:$AEL11&gt;=1)*($AEL$5:$AEL11&lt;=3)),$AFS$5:$AFS11),IF(AEL11=7,SUMPRODUCT(--(($AEM$5:$AEM11=$AEM11)*($AEL$5:$AEL11&gt;=4)*($AEL$5:$AEL11&lt;=6)),$AFS$5:$AFS11),IF(AEL11=10,SUMPRODUCT(--(($AEM$5:$AEM11=$AEM11)*($AEL$5:$AEL11&gt;=7)*($AEL$5:$AEL11&lt;=9)),$AFS$5:$AFS11),0)))))</f>
        <v/>
      </c>
      <c r="AFU11" s="12">
        <f>AFU10+AFS11-AFT11</f>
        <v/>
      </c>
      <c r="AFV11" s="12">
        <f>IF(ProviderDelay&gt;=1,AFC10*BlendedProvPayEss+AFD10*BlendedProvPayPrem+AFE10*BlendedProvPayElite+AFF10*BlendedProvPayEss+AFG10*BlendedProvPayPrem+AFH10*BlendedProvPayElite,AFC11*BlendedProvPayEss+AFD11*BlendedProvPayPrem+AFE11*BlendedProvPayElite+AFF11*BlendedProvPayEss+AFG11*BlendedProvPayPrem+AFH11*BlendedProvPayElite)</f>
        <v/>
      </c>
      <c r="AFW11" s="12">
        <f>AFO11*PaymentFee</f>
        <v/>
      </c>
      <c r="AFX11" s="12">
        <f>AFI11*OpsAI</f>
        <v/>
      </c>
      <c r="AFY11" s="12">
        <f>MonthlyFixed</f>
        <v/>
      </c>
      <c r="AFZ11" s="12">
        <f>AES11*ReferralReward</f>
        <v/>
      </c>
      <c r="AGA11" s="12">
        <f>AEQ11</f>
        <v/>
      </c>
      <c r="AGB11" s="9">
        <f>AFR11-AFV11-AFW11-AFX11-AFY11-AFZ11-AGA11</f>
        <v/>
      </c>
      <c r="AGC11" s="9">
        <f>AGC10+AFO11-(AFV11+AFW11+AFX11+AFY11+AFZ11+AGA11+AFT11)</f>
        <v/>
      </c>
      <c r="AGD11" s="12">
        <f>IF(AFI11&gt;0,AFJ11/AFI11,0)</f>
        <v/>
      </c>
      <c r="AGE11" s="11">
        <f>IF(AFI10&gt;0,MAX(0,(AFI10+AET11-AFI11)/AFI10),0)</f>
        <v/>
      </c>
      <c r="AGG11" s="12" t="n">
        <v>7</v>
      </c>
      <c r="AGH11" s="12">
        <f>MOD(AGG11-1+LaunchMonth-1,12)+1</f>
        <v/>
      </c>
      <c r="AGI11" s="12">
        <f>INT((AGG11-1+LaunchMonth-1)/12)+1</f>
        <v/>
      </c>
      <c r="AGJ11" s="12">
        <f>VLOOKUP(AGH11,SeasonTable,2,FALSE)</f>
        <v/>
      </c>
      <c r="AGK11" s="12">
        <f>(1+InflationRate)^INT((AGG11-1)/12)</f>
        <v/>
      </c>
      <c r="AGL11" s="11">
        <f>MonthlyChurn*VLOOKUP(AGH11,ChurnSeasonTable,4,FALSE)</f>
        <v/>
      </c>
      <c r="AGM11" s="12">
        <f>MIN(MAX(MktMin7_12,AHK10*MktPct7_12),MAX(0,AHY10-CashBuffer))</f>
        <v/>
      </c>
      <c r="AGN11" s="12">
        <f>IF(AGM11&gt;0,MAX(1,ROUND(AGM11/CAC*AGJ11,0)),0)</f>
        <v/>
      </c>
      <c r="AGO11" s="12">
        <f>IF(AGN11&gt;0,ROUND(AGN11*ReferralMix/(1-ReferralMix),0),0)</f>
        <v/>
      </c>
      <c r="AGP11" s="12">
        <f>AGN11+AGO11</f>
        <v/>
      </c>
      <c r="AGQ11" s="12">
        <f>ROUND(AGP11*(1-'Sens - Annual Mix'!$A$15),0)</f>
        <v/>
      </c>
      <c r="AGR11" s="12">
        <f>AGP11-AGQ11</f>
        <v/>
      </c>
      <c r="AGS11" s="12">
        <f>ROUND(AGQ11*EssentialMix,0)</f>
        <v/>
      </c>
      <c r="AGT11" s="12">
        <f>ROUND(AGQ11*PremiumMix,0)</f>
        <v/>
      </c>
      <c r="AGU11" s="12">
        <f>AGQ11-AGS11-AGT11</f>
        <v/>
      </c>
      <c r="AGV11" s="12">
        <f>ROUND(AGR11*EssentialMix,0)</f>
        <v/>
      </c>
      <c r="AGW11" s="12">
        <f>ROUND(AGR11*PremiumMix,0)</f>
        <v/>
      </c>
      <c r="AGX11" s="12">
        <f>AGR11-AGV11-AGW11</f>
        <v/>
      </c>
      <c r="AGY11" s="12">
        <f>AGS11+AGS10+AGS9+MAX(0,AGY10-AGS10-AGS9)*(1-AGL11)</f>
        <v/>
      </c>
      <c r="AGZ11" s="12">
        <f>AGT11+AGT10+AGT9+MAX(0,AGZ10-AGT10-AGT9)*(1-AGL11)</f>
        <v/>
      </c>
      <c r="AHA11" s="12">
        <f>AGU11+AGU10+AGU9+MAX(0,AHA10-AGU10-AGU9)*(1-AGL11)</f>
        <v/>
      </c>
      <c r="AHB11" s="12">
        <f>SUM(AGV$5:AGV11)</f>
        <v/>
      </c>
      <c r="AHC11" s="12">
        <f>SUM(AGW$5:AGW11)</f>
        <v/>
      </c>
      <c r="AHD11" s="12">
        <f>SUM(AGX$5:AGX11)</f>
        <v/>
      </c>
      <c r="AHE11" s="12">
        <f>AGY11+AGZ11+AHA11+AHB11+AHC11+AHD11</f>
        <v/>
      </c>
      <c r="AHF11" s="9">
        <f>AGY11*BlendedPriceEssMonthly*AGK11+AGZ11*BlendedPricePremMonthly*AGK11+AHA11*BlendedPriceEliteMonthly*AGK11+AHB11*BlendedPriceEssAnnual*AGK11/12+AHC11*BlendedPricePremAnnual*AGK11/12+AHD11*BlendedPriceEliteAnnual*AGK11/12</f>
        <v/>
      </c>
      <c r="AHG11" s="9">
        <f>AHF11*12</f>
        <v/>
      </c>
      <c r="AHH11" s="12">
        <f>AGY11*BlendedPriceEssMonthly*AGK11+AGZ11*BlendedPricePremMonthly*AGK11+AHA11*BlendedPriceEliteMonthly*AGK11</f>
        <v/>
      </c>
      <c r="AHI11" s="12">
        <f>AGV11*BlendedPriceEssAnnual*AGK11+AGW11*BlendedPricePremAnnual*AGK11+AGX11*BlendedPriceEliteAnnual*AGK11</f>
        <v/>
      </c>
      <c r="AHJ11" s="12">
        <f>0+0+0</f>
        <v/>
      </c>
      <c r="AHK11" s="9">
        <f>AHH11+AHI11+AHJ11</f>
        <v/>
      </c>
      <c r="AHL11" s="12">
        <f>SUM(AHK$5:AHK11)</f>
        <v/>
      </c>
      <c r="AHM11" s="12">
        <f>OR(AHM10,IF(VATAgentMode,SUM($AHK$5:$AHK11)-SUM($AHR$5:$AHR11)&gt;=VATThreshold,SUM($AHK$5:$AHK11)&gt;=VATThreshold))</f>
        <v/>
      </c>
      <c r="AHN11" s="9">
        <f>IF(AHM11,IF(VATAgentMode,AHK11-((AHK11-AHR11)-(AHK11-AHR11)/(1+VATRate)),AHK11/(1+VATRate)),AHK11)</f>
        <v/>
      </c>
      <c r="AHO11" s="12">
        <f>AHK11-AHN11</f>
        <v/>
      </c>
      <c r="AHP11" s="12">
        <f>IF(AHM11=0,0,IF(AGH11=1,SUMPRODUCT(--(($AGI$5:$AGI11=$AGI11-1)*($AGH$5:$AGH11&gt;=10)*($AGH$5:$AGH11&lt;=12)),$AHO$5:$AHO11),IF(AGH11=4,SUMPRODUCT(--(($AGI$5:$AGI11=$AGI11)*($AGH$5:$AGH11&gt;=1)*($AGH$5:$AGH11&lt;=3)),$AHO$5:$AHO11),IF(AGH11=7,SUMPRODUCT(--(($AGI$5:$AGI11=$AGI11)*($AGH$5:$AGH11&gt;=4)*($AGH$5:$AGH11&lt;=6)),$AHO$5:$AHO11),IF(AGH11=10,SUMPRODUCT(--(($AGI$5:$AGI11=$AGI11)*($AGH$5:$AGH11&gt;=7)*($AGH$5:$AGH11&lt;=9)),$AHO$5:$AHO11),0)))))</f>
        <v/>
      </c>
      <c r="AHQ11" s="12">
        <f>AHQ10+AHO11-AHP11</f>
        <v/>
      </c>
      <c r="AHR11" s="12">
        <f>IF(ProviderDelay&gt;=1,AGY10*BlendedProvPayEss+AGZ10*BlendedProvPayPrem+AHA10*BlendedProvPayElite+AHB10*BlendedProvPayEss+AHC10*BlendedProvPayPrem+AHD10*BlendedProvPayElite,AGY11*BlendedProvPayEss+AGZ11*BlendedProvPayPrem+AHA11*BlendedProvPayElite+AHB11*BlendedProvPayEss+AHC11*BlendedProvPayPrem+AHD11*BlendedProvPayElite)</f>
        <v/>
      </c>
      <c r="AHS11" s="12">
        <f>AHK11*PaymentFee</f>
        <v/>
      </c>
      <c r="AHT11" s="12">
        <f>AHE11*OpsAI</f>
        <v/>
      </c>
      <c r="AHU11" s="12">
        <f>MonthlyFixed</f>
        <v/>
      </c>
      <c r="AHV11" s="12">
        <f>AGO11*ReferralReward</f>
        <v/>
      </c>
      <c r="AHW11" s="12">
        <f>AGM11</f>
        <v/>
      </c>
      <c r="AHX11" s="9">
        <f>AHN11-AHR11-AHS11-AHT11-AHU11-AHV11-AHW11</f>
        <v/>
      </c>
      <c r="AHY11" s="9">
        <f>AHY10+AHK11-(AHR11+AHS11+AHT11+AHU11+AHV11+AHW11+AHP11)</f>
        <v/>
      </c>
      <c r="AHZ11" s="12">
        <f>IF(AHE11&gt;0,AHF11/AHE11,0)</f>
        <v/>
      </c>
      <c r="AIA11" s="11">
        <f>IF(AHE10&gt;0,MAX(0,(AHE10+AGP11-AHE11)/AHE10),0)</f>
        <v/>
      </c>
      <c r="AIC11" s="12" t="n">
        <v>7</v>
      </c>
      <c r="AID11" s="12">
        <f>MOD(AIC11-1+LaunchMonth-1,12)+1</f>
        <v/>
      </c>
      <c r="AIE11" s="12">
        <f>INT((AIC11-1+LaunchMonth-1)/12)+1</f>
        <v/>
      </c>
      <c r="AIF11" s="12">
        <f>VLOOKUP(AID11,SeasonTable,2,FALSE)</f>
        <v/>
      </c>
      <c r="AIG11" s="12">
        <f>(1+InflationRate)^INT((AIC11-1)/12)</f>
        <v/>
      </c>
      <c r="AIH11" s="11">
        <f>MonthlyChurn*VLOOKUP(AID11,ChurnSeasonTable,4,FALSE)</f>
        <v/>
      </c>
      <c r="AII11" s="12">
        <f>MIN(MAX(MktMin7_12,AJG10*MktPct7_12),MAX(0,AJU10-CashBuffer))</f>
        <v/>
      </c>
      <c r="AIJ11" s="12">
        <f>IF(AII11&gt;0,MAX(1,ROUND(AII11/'Sens - CAC &amp; Marketing'!$A$9*AIF11,0)),0)</f>
        <v/>
      </c>
      <c r="AIK11" s="12">
        <f>IF(AIJ11&gt;0,ROUND(AIJ11*ReferralMix/(1-ReferralMix),0),0)</f>
        <v/>
      </c>
      <c r="AIL11" s="12">
        <f>AIJ11+AIK11</f>
        <v/>
      </c>
      <c r="AIM11" s="12">
        <f>ROUND(AIL11*(1-AnnualMix),0)</f>
        <v/>
      </c>
      <c r="AIN11" s="12">
        <f>AIL11-AIM11</f>
        <v/>
      </c>
      <c r="AIO11" s="12">
        <f>ROUND(AIM11*EssentialMix,0)</f>
        <v/>
      </c>
      <c r="AIP11" s="12">
        <f>ROUND(AIM11*PremiumMix,0)</f>
        <v/>
      </c>
      <c r="AIQ11" s="12">
        <f>AIM11-AIO11-AIP11</f>
        <v/>
      </c>
      <c r="AIR11" s="12">
        <f>ROUND(AIN11*EssentialMix,0)</f>
        <v/>
      </c>
      <c r="AIS11" s="12">
        <f>ROUND(AIN11*PremiumMix,0)</f>
        <v/>
      </c>
      <c r="AIT11" s="12">
        <f>AIN11-AIR11-AIS11</f>
        <v/>
      </c>
      <c r="AIU11" s="12">
        <f>AIO11+AIO10+AIO9+MAX(0,AIU10-AIO10-AIO9)*(1-AIH11)</f>
        <v/>
      </c>
      <c r="AIV11" s="12">
        <f>AIP11+AIP10+AIP9+MAX(0,AIV10-AIP10-AIP9)*(1-AIH11)</f>
        <v/>
      </c>
      <c r="AIW11" s="12">
        <f>AIQ11+AIQ10+AIQ9+MAX(0,AIW10-AIQ10-AIQ9)*(1-AIH11)</f>
        <v/>
      </c>
      <c r="AIX11" s="12">
        <f>SUM(AIR$5:AIR11)</f>
        <v/>
      </c>
      <c r="AIY11" s="12">
        <f>SUM(AIS$5:AIS11)</f>
        <v/>
      </c>
      <c r="AIZ11" s="12">
        <f>SUM(AIT$5:AIT11)</f>
        <v/>
      </c>
      <c r="AJA11" s="12">
        <f>AIU11+AIV11+AIW11+AIX11+AIY11+AIZ11</f>
        <v/>
      </c>
      <c r="AJB11" s="9">
        <f>AIU11*BlendedPriceEssMonthly*AIG11+AIV11*BlendedPricePremMonthly*AIG11+AIW11*BlendedPriceEliteMonthly*AIG11+AIX11*BlendedPriceEssAnnual*AIG11/12+AIY11*BlendedPricePremAnnual*AIG11/12+AIZ11*BlendedPriceEliteAnnual*AIG11/12</f>
        <v/>
      </c>
      <c r="AJC11" s="9">
        <f>AJB11*12</f>
        <v/>
      </c>
      <c r="AJD11" s="12">
        <f>AIU11*BlendedPriceEssMonthly*AIG11+AIV11*BlendedPricePremMonthly*AIG11+AIW11*BlendedPriceEliteMonthly*AIG11</f>
        <v/>
      </c>
      <c r="AJE11" s="12">
        <f>AIR11*BlendedPriceEssAnnual*AIG11+AIS11*BlendedPricePremAnnual*AIG11+AIT11*BlendedPriceEliteAnnual*AIG11</f>
        <v/>
      </c>
      <c r="AJF11" s="12">
        <f>0+0+0</f>
        <v/>
      </c>
      <c r="AJG11" s="9">
        <f>AJD11+AJE11+AJF11</f>
        <v/>
      </c>
      <c r="AJH11" s="12">
        <f>SUM(AJG$5:AJG11)</f>
        <v/>
      </c>
      <c r="AJI11" s="12">
        <f>OR(AJI10,IF(VATAgentMode,SUM($AJG$5:$AJG11)-SUM($AJN$5:$AJN11)&gt;=VATThreshold,SUM($AJG$5:$AJG11)&gt;=VATThreshold))</f>
        <v/>
      </c>
      <c r="AJJ11" s="9">
        <f>IF(AJI11,IF(VATAgentMode,AJG11-((AJG11-AJN11)-(AJG11-AJN11)/(1+VATRate)),AJG11/(1+VATRate)),AJG11)</f>
        <v/>
      </c>
      <c r="AJK11" s="12">
        <f>AJG11-AJJ11</f>
        <v/>
      </c>
      <c r="AJL11" s="12">
        <f>IF(AJI11=0,0,IF(AID11=1,SUMPRODUCT(--(($AIE$5:$AIE11=$AIE11-1)*($AID$5:$AID11&gt;=10)*($AID$5:$AID11&lt;=12)),$AJK$5:$AJK11),IF(AID11=4,SUMPRODUCT(--(($AIE$5:$AIE11=$AIE11)*($AID$5:$AID11&gt;=1)*($AID$5:$AID11&lt;=3)),$AJK$5:$AJK11),IF(AID11=7,SUMPRODUCT(--(($AIE$5:$AIE11=$AIE11)*($AID$5:$AID11&gt;=4)*($AID$5:$AID11&lt;=6)),$AJK$5:$AJK11),IF(AID11=10,SUMPRODUCT(--(($AIE$5:$AIE11=$AIE11)*($AID$5:$AID11&gt;=7)*($AID$5:$AID11&lt;=9)),$AJK$5:$AJK11),0)))))</f>
        <v/>
      </c>
      <c r="AJM11" s="12">
        <f>AJM10+AJK11-AJL11</f>
        <v/>
      </c>
      <c r="AJN11" s="12">
        <f>IF(ProviderDelay&gt;=1,AIU10*BlendedProvPayEss+AIV10*BlendedProvPayPrem+AIW10*BlendedProvPayElite+AIX10*BlendedProvPayEss+AIY10*BlendedProvPayPrem+AIZ10*BlendedProvPayElite,AIU11*BlendedProvPayEss+AIV11*BlendedProvPayPrem+AIW11*BlendedProvPayElite+AIX11*BlendedProvPayEss+AIY11*BlendedProvPayPrem+AIZ11*BlendedProvPayElite)</f>
        <v/>
      </c>
      <c r="AJO11" s="12">
        <f>AJG11*PaymentFee</f>
        <v/>
      </c>
      <c r="AJP11" s="12">
        <f>AJA11*OpsAI</f>
        <v/>
      </c>
      <c r="AJQ11" s="12">
        <f>MonthlyFixed</f>
        <v/>
      </c>
      <c r="AJR11" s="12">
        <f>AIK11*ReferralReward</f>
        <v/>
      </c>
      <c r="AJS11" s="12">
        <f>AII11</f>
        <v/>
      </c>
      <c r="AJT11" s="9">
        <f>AJJ11-AJN11-AJO11-AJP11-AJQ11-AJR11-AJS11</f>
        <v/>
      </c>
      <c r="AJU11" s="9">
        <f>AJU10+AJG11-(AJN11+AJO11+AJP11+AJQ11+AJR11+AJS11+AJL11)</f>
        <v/>
      </c>
      <c r="AJV11" s="12">
        <f>IF(AJA11&gt;0,AJB11/AJA11,0)</f>
        <v/>
      </c>
      <c r="AJW11" s="11">
        <f>IF(AJA10&gt;0,MAX(0,(AJA10+AIL11-AJA11)/AJA10),0)</f>
        <v/>
      </c>
      <c r="AJY11" s="12" t="n">
        <v>7</v>
      </c>
      <c r="AJZ11" s="12">
        <f>MOD(AJY11-1+LaunchMonth-1,12)+1</f>
        <v/>
      </c>
      <c r="AKA11" s="12">
        <f>INT((AJY11-1+LaunchMonth-1)/12)+1</f>
        <v/>
      </c>
      <c r="AKB11" s="12">
        <f>VLOOKUP(AJZ11,SeasonTable,2,FALSE)</f>
        <v/>
      </c>
      <c r="AKC11" s="12">
        <f>(1+InflationRate)^INT((AJY11-1)/12)</f>
        <v/>
      </c>
      <c r="AKD11" s="11">
        <f>MonthlyChurn*VLOOKUP(AJZ11,ChurnSeasonTable,4,FALSE)</f>
        <v/>
      </c>
      <c r="AKE11" s="12">
        <f>MIN(MAX(MktMin7_12,ALC10*MktPct7_12),MAX(0,ALQ10-CashBuffer))</f>
        <v/>
      </c>
      <c r="AKF11" s="12">
        <f>IF(AKE11&gt;0,MAX(1,ROUND(AKE11/'Sens - CAC &amp; Marketing'!$A$10*AKB11,0)),0)</f>
        <v/>
      </c>
      <c r="AKG11" s="12">
        <f>IF(AKF11&gt;0,ROUND(AKF11*ReferralMix/(1-ReferralMix),0),0)</f>
        <v/>
      </c>
      <c r="AKH11" s="12">
        <f>AKF11+AKG11</f>
        <v/>
      </c>
      <c r="AKI11" s="12">
        <f>ROUND(AKH11*(1-AnnualMix),0)</f>
        <v/>
      </c>
      <c r="AKJ11" s="12">
        <f>AKH11-AKI11</f>
        <v/>
      </c>
      <c r="AKK11" s="12">
        <f>ROUND(AKI11*EssentialMix,0)</f>
        <v/>
      </c>
      <c r="AKL11" s="12">
        <f>ROUND(AKI11*PremiumMix,0)</f>
        <v/>
      </c>
      <c r="AKM11" s="12">
        <f>AKI11-AKK11-AKL11</f>
        <v/>
      </c>
      <c r="AKN11" s="12">
        <f>ROUND(AKJ11*EssentialMix,0)</f>
        <v/>
      </c>
      <c r="AKO11" s="12">
        <f>ROUND(AKJ11*PremiumMix,0)</f>
        <v/>
      </c>
      <c r="AKP11" s="12">
        <f>AKJ11-AKN11-AKO11</f>
        <v/>
      </c>
      <c r="AKQ11" s="12">
        <f>AKK11+AKK10+AKK9+MAX(0,AKQ10-AKK10-AKK9)*(1-AKD11)</f>
        <v/>
      </c>
      <c r="AKR11" s="12">
        <f>AKL11+AKL10+AKL9+MAX(0,AKR10-AKL10-AKL9)*(1-AKD11)</f>
        <v/>
      </c>
      <c r="AKS11" s="12">
        <f>AKM11+AKM10+AKM9+MAX(0,AKS10-AKM10-AKM9)*(1-AKD11)</f>
        <v/>
      </c>
      <c r="AKT11" s="12">
        <f>SUM(AKN$5:AKN11)</f>
        <v/>
      </c>
      <c r="AKU11" s="12">
        <f>SUM(AKO$5:AKO11)</f>
        <v/>
      </c>
      <c r="AKV11" s="12">
        <f>SUM(AKP$5:AKP11)</f>
        <v/>
      </c>
      <c r="AKW11" s="12">
        <f>AKQ11+AKR11+AKS11+AKT11+AKU11+AKV11</f>
        <v/>
      </c>
      <c r="AKX11" s="9">
        <f>AKQ11*BlendedPriceEssMonthly*AKC11+AKR11*BlendedPricePremMonthly*AKC11+AKS11*BlendedPriceEliteMonthly*AKC11+AKT11*BlendedPriceEssAnnual*AKC11/12+AKU11*BlendedPricePremAnnual*AKC11/12+AKV11*BlendedPriceEliteAnnual*AKC11/12</f>
        <v/>
      </c>
      <c r="AKY11" s="9">
        <f>AKX11*12</f>
        <v/>
      </c>
      <c r="AKZ11" s="12">
        <f>AKQ11*BlendedPriceEssMonthly*AKC11+AKR11*BlendedPricePremMonthly*AKC11+AKS11*BlendedPriceEliteMonthly*AKC11</f>
        <v/>
      </c>
      <c r="ALA11" s="12">
        <f>AKN11*BlendedPriceEssAnnual*AKC11+AKO11*BlendedPricePremAnnual*AKC11+AKP11*BlendedPriceEliteAnnual*AKC11</f>
        <v/>
      </c>
      <c r="ALB11" s="12">
        <f>0+0+0</f>
        <v/>
      </c>
      <c r="ALC11" s="9">
        <f>AKZ11+ALA11+ALB11</f>
        <v/>
      </c>
      <c r="ALD11" s="12">
        <f>SUM(ALC$5:ALC11)</f>
        <v/>
      </c>
      <c r="ALE11" s="12">
        <f>OR(ALE10,IF(VATAgentMode,SUM($ALC$5:$ALC11)-SUM($ALJ$5:$ALJ11)&gt;=VATThreshold,SUM($ALC$5:$ALC11)&gt;=VATThreshold))</f>
        <v/>
      </c>
      <c r="ALF11" s="9">
        <f>IF(ALE11,IF(VATAgentMode,ALC11-((ALC11-ALJ11)-(ALC11-ALJ11)/(1+VATRate)),ALC11/(1+VATRate)),ALC11)</f>
        <v/>
      </c>
      <c r="ALG11" s="12">
        <f>ALC11-ALF11</f>
        <v/>
      </c>
      <c r="ALH11" s="12">
        <f>IF(ALE11=0,0,IF(AJZ11=1,SUMPRODUCT(--(($AKA$5:$AKA11=$AKA11-1)*($AJZ$5:$AJZ11&gt;=10)*($AJZ$5:$AJZ11&lt;=12)),$ALG$5:$ALG11),IF(AJZ11=4,SUMPRODUCT(--(($AKA$5:$AKA11=$AKA11)*($AJZ$5:$AJZ11&gt;=1)*($AJZ$5:$AJZ11&lt;=3)),$ALG$5:$ALG11),IF(AJZ11=7,SUMPRODUCT(--(($AKA$5:$AKA11=$AKA11)*($AJZ$5:$AJZ11&gt;=4)*($AJZ$5:$AJZ11&lt;=6)),$ALG$5:$ALG11),IF(AJZ11=10,SUMPRODUCT(--(($AKA$5:$AKA11=$AKA11)*($AJZ$5:$AJZ11&gt;=7)*($AJZ$5:$AJZ11&lt;=9)),$ALG$5:$ALG11),0)))))</f>
        <v/>
      </c>
      <c r="ALI11" s="12">
        <f>ALI10+ALG11-ALH11</f>
        <v/>
      </c>
      <c r="ALJ11" s="12">
        <f>IF(ProviderDelay&gt;=1,AKQ10*BlendedProvPayEss+AKR10*BlendedProvPayPrem+AKS10*BlendedProvPayElite+AKT10*BlendedProvPayEss+AKU10*BlendedProvPayPrem+AKV10*BlendedProvPayElite,AKQ11*BlendedProvPayEss+AKR11*BlendedProvPayPrem+AKS11*BlendedProvPayElite+AKT11*BlendedProvPayEss+AKU11*BlendedProvPayPrem+AKV11*BlendedProvPayElite)</f>
        <v/>
      </c>
      <c r="ALK11" s="12">
        <f>ALC11*PaymentFee</f>
        <v/>
      </c>
      <c r="ALL11" s="12">
        <f>AKW11*OpsAI</f>
        <v/>
      </c>
      <c r="ALM11" s="12">
        <f>MonthlyFixed</f>
        <v/>
      </c>
      <c r="ALN11" s="12">
        <f>AKG11*ReferralReward</f>
        <v/>
      </c>
      <c r="ALO11" s="12">
        <f>AKE11</f>
        <v/>
      </c>
      <c r="ALP11" s="9">
        <f>ALF11-ALJ11-ALK11-ALL11-ALM11-ALN11-ALO11</f>
        <v/>
      </c>
      <c r="ALQ11" s="9">
        <f>ALQ10+ALC11-(ALJ11+ALK11+ALL11+ALM11+ALN11+ALO11+ALH11)</f>
        <v/>
      </c>
      <c r="ALR11" s="12">
        <f>IF(AKW11&gt;0,AKX11/AKW11,0)</f>
        <v/>
      </c>
      <c r="ALS11" s="11">
        <f>IF(AKW10&gt;0,MAX(0,(AKW10+AKH11-AKW11)/AKW10),0)</f>
        <v/>
      </c>
      <c r="ALU11" s="12" t="n">
        <v>7</v>
      </c>
      <c r="ALV11" s="12">
        <f>MOD(ALU11-1+LaunchMonth-1,12)+1</f>
        <v/>
      </c>
      <c r="ALW11" s="12">
        <f>INT((ALU11-1+LaunchMonth-1)/12)+1</f>
        <v/>
      </c>
      <c r="ALX11" s="12">
        <f>VLOOKUP(ALV11,SeasonTable,2,FALSE)</f>
        <v/>
      </c>
      <c r="ALY11" s="12">
        <f>(1+InflationRate)^INT((ALU11-1)/12)</f>
        <v/>
      </c>
      <c r="ALZ11" s="11">
        <f>MonthlyChurn*VLOOKUP(ALV11,ChurnSeasonTable,4,FALSE)</f>
        <v/>
      </c>
      <c r="AMA11" s="12">
        <f>MIN(MAX(MktMin7_12,AMY10*MktPct7_12),MAX(0,ANM10-CashBuffer))</f>
        <v/>
      </c>
      <c r="AMB11" s="12">
        <f>IF(AMA11&gt;0,MAX(1,ROUND(AMA11/'Sens - CAC &amp; Marketing'!$A$11*ALX11,0)),0)</f>
        <v/>
      </c>
      <c r="AMC11" s="12">
        <f>IF(AMB11&gt;0,ROUND(AMB11*ReferralMix/(1-ReferralMix),0),0)</f>
        <v/>
      </c>
      <c r="AMD11" s="12">
        <f>AMB11+AMC11</f>
        <v/>
      </c>
      <c r="AME11" s="12">
        <f>ROUND(AMD11*(1-AnnualMix),0)</f>
        <v/>
      </c>
      <c r="AMF11" s="12">
        <f>AMD11-AME11</f>
        <v/>
      </c>
      <c r="AMG11" s="12">
        <f>ROUND(AME11*EssentialMix,0)</f>
        <v/>
      </c>
      <c r="AMH11" s="12">
        <f>ROUND(AME11*PremiumMix,0)</f>
        <v/>
      </c>
      <c r="AMI11" s="12">
        <f>AME11-AMG11-AMH11</f>
        <v/>
      </c>
      <c r="AMJ11" s="12">
        <f>ROUND(AMF11*EssentialMix,0)</f>
        <v/>
      </c>
      <c r="AMK11" s="12">
        <f>ROUND(AMF11*PremiumMix,0)</f>
        <v/>
      </c>
      <c r="AML11" s="12">
        <f>AMF11-AMJ11-AMK11</f>
        <v/>
      </c>
      <c r="AMM11" s="12">
        <f>AMG11+AMG10+AMG9+MAX(0,AMM10-AMG10-AMG9)*(1-ALZ11)</f>
        <v/>
      </c>
      <c r="AMN11" s="12">
        <f>AMH11+AMH10+AMH9+MAX(0,AMN10-AMH10-AMH9)*(1-ALZ11)</f>
        <v/>
      </c>
      <c r="AMO11" s="12">
        <f>AMI11+AMI10+AMI9+MAX(0,AMO10-AMI10-AMI9)*(1-ALZ11)</f>
        <v/>
      </c>
      <c r="AMP11" s="12">
        <f>SUM(AMJ$5:AMJ11)</f>
        <v/>
      </c>
      <c r="AMQ11" s="12">
        <f>SUM(AMK$5:AMK11)</f>
        <v/>
      </c>
      <c r="AMR11" s="12">
        <f>SUM(AML$5:AML11)</f>
        <v/>
      </c>
      <c r="AMS11" s="12">
        <f>AMM11+AMN11+AMO11+AMP11+AMQ11+AMR11</f>
        <v/>
      </c>
      <c r="AMT11" s="9">
        <f>AMM11*BlendedPriceEssMonthly*ALY11+AMN11*BlendedPricePremMonthly*ALY11+AMO11*BlendedPriceEliteMonthly*ALY11+AMP11*BlendedPriceEssAnnual*ALY11/12+AMQ11*BlendedPricePremAnnual*ALY11/12+AMR11*BlendedPriceEliteAnnual*ALY11/12</f>
        <v/>
      </c>
      <c r="AMU11" s="9">
        <f>AMT11*12</f>
        <v/>
      </c>
      <c r="AMV11" s="12">
        <f>AMM11*BlendedPriceEssMonthly*ALY11+AMN11*BlendedPricePremMonthly*ALY11+AMO11*BlendedPriceEliteMonthly*ALY11</f>
        <v/>
      </c>
      <c r="AMW11" s="12">
        <f>AMJ11*BlendedPriceEssAnnual*ALY11+AMK11*BlendedPricePremAnnual*ALY11+AML11*BlendedPriceEliteAnnual*ALY11</f>
        <v/>
      </c>
      <c r="AMX11" s="12">
        <f>0+0+0</f>
        <v/>
      </c>
      <c r="AMY11" s="9">
        <f>AMV11+AMW11+AMX11</f>
        <v/>
      </c>
      <c r="AMZ11" s="12">
        <f>SUM(AMY$5:AMY11)</f>
        <v/>
      </c>
      <c r="ANA11" s="12">
        <f>OR(ANA10,IF(VATAgentMode,SUM($AMY$5:$AMY11)-SUM($ANF$5:$ANF11)&gt;=VATThreshold,SUM($AMY$5:$AMY11)&gt;=VATThreshold))</f>
        <v/>
      </c>
      <c r="ANB11" s="9">
        <f>IF(ANA11,IF(VATAgentMode,AMY11-((AMY11-ANF11)-(AMY11-ANF11)/(1+VATRate)),AMY11/(1+VATRate)),AMY11)</f>
        <v/>
      </c>
      <c r="ANC11" s="12">
        <f>AMY11-ANB11</f>
        <v/>
      </c>
      <c r="AND11" s="12">
        <f>IF(ANA11=0,0,IF(ALV11=1,SUMPRODUCT(--(($ALW$5:$ALW11=$ALW11-1)*($ALV$5:$ALV11&gt;=10)*($ALV$5:$ALV11&lt;=12)),$ANC$5:$ANC11),IF(ALV11=4,SUMPRODUCT(--(($ALW$5:$ALW11=$ALW11)*($ALV$5:$ALV11&gt;=1)*($ALV$5:$ALV11&lt;=3)),$ANC$5:$ANC11),IF(ALV11=7,SUMPRODUCT(--(($ALW$5:$ALW11=$ALW11)*($ALV$5:$ALV11&gt;=4)*($ALV$5:$ALV11&lt;=6)),$ANC$5:$ANC11),IF(ALV11=10,SUMPRODUCT(--(($ALW$5:$ALW11=$ALW11)*($ALV$5:$ALV11&gt;=7)*($ALV$5:$ALV11&lt;=9)),$ANC$5:$ANC11),0)))))</f>
        <v/>
      </c>
      <c r="ANE11" s="12">
        <f>ANE10+ANC11-AND11</f>
        <v/>
      </c>
      <c r="ANF11" s="12">
        <f>IF(ProviderDelay&gt;=1,AMM10*BlendedProvPayEss+AMN10*BlendedProvPayPrem+AMO10*BlendedProvPayElite+AMP10*BlendedProvPayEss+AMQ10*BlendedProvPayPrem+AMR10*BlendedProvPayElite,AMM11*BlendedProvPayEss+AMN11*BlendedProvPayPrem+AMO11*BlendedProvPayElite+AMP11*BlendedProvPayEss+AMQ11*BlendedProvPayPrem+AMR11*BlendedProvPayElite)</f>
        <v/>
      </c>
      <c r="ANG11" s="12">
        <f>AMY11*PaymentFee</f>
        <v/>
      </c>
      <c r="ANH11" s="12">
        <f>AMS11*OpsAI</f>
        <v/>
      </c>
      <c r="ANI11" s="12">
        <f>MonthlyFixed</f>
        <v/>
      </c>
      <c r="ANJ11" s="12">
        <f>AMC11*ReferralReward</f>
        <v/>
      </c>
      <c r="ANK11" s="12">
        <f>AMA11</f>
        <v/>
      </c>
      <c r="ANL11" s="9">
        <f>ANB11-ANF11-ANG11-ANH11-ANI11-ANJ11-ANK11</f>
        <v/>
      </c>
      <c r="ANM11" s="9">
        <f>ANM10+AMY11-(ANF11+ANG11+ANH11+ANI11+ANJ11+ANK11+AND11)</f>
        <v/>
      </c>
      <c r="ANN11" s="12">
        <f>IF(AMS11&gt;0,AMT11/AMS11,0)</f>
        <v/>
      </c>
      <c r="ANO11" s="11">
        <f>IF(AMS10&gt;0,MAX(0,(AMS10+AMD11-AMS11)/AMS10),0)</f>
        <v/>
      </c>
      <c r="ANQ11" s="12" t="n">
        <v>7</v>
      </c>
      <c r="ANR11" s="12">
        <f>MOD(ANQ11-1+LaunchMonth-1,12)+1</f>
        <v/>
      </c>
      <c r="ANS11" s="12">
        <f>INT((ANQ11-1+LaunchMonth-1)/12)+1</f>
        <v/>
      </c>
      <c r="ANT11" s="12">
        <f>VLOOKUP(ANR11,SeasonTable,2,FALSE)</f>
        <v/>
      </c>
      <c r="ANU11" s="12">
        <f>(1+InflationRate)^INT((ANQ11-1)/12)</f>
        <v/>
      </c>
      <c r="ANV11" s="11">
        <f>MonthlyChurn*VLOOKUP(ANR11,ChurnSeasonTable,4,FALSE)</f>
        <v/>
      </c>
      <c r="ANW11" s="12">
        <f>MIN(MAX(MktMin7_12,AOU10*MktPct7_12),MAX(0,API10-CashBuffer))</f>
        <v/>
      </c>
      <c r="ANX11" s="12">
        <f>IF(ANW11&gt;0,MAX(1,ROUND(ANW11/'Sens - CAC &amp; Marketing'!$A$12*ANT11,0)),0)</f>
        <v/>
      </c>
      <c r="ANY11" s="12">
        <f>IF(ANX11&gt;0,ROUND(ANX11*ReferralMix/(1-ReferralMix),0),0)</f>
        <v/>
      </c>
      <c r="ANZ11" s="12">
        <f>ANX11+ANY11</f>
        <v/>
      </c>
      <c r="AOA11" s="12">
        <f>ROUND(ANZ11*(1-AnnualMix),0)</f>
        <v/>
      </c>
      <c r="AOB11" s="12">
        <f>ANZ11-AOA11</f>
        <v/>
      </c>
      <c r="AOC11" s="12">
        <f>ROUND(AOA11*EssentialMix,0)</f>
        <v/>
      </c>
      <c r="AOD11" s="12">
        <f>ROUND(AOA11*PremiumMix,0)</f>
        <v/>
      </c>
      <c r="AOE11" s="12">
        <f>AOA11-AOC11-AOD11</f>
        <v/>
      </c>
      <c r="AOF11" s="12">
        <f>ROUND(AOB11*EssentialMix,0)</f>
        <v/>
      </c>
      <c r="AOG11" s="12">
        <f>ROUND(AOB11*PremiumMix,0)</f>
        <v/>
      </c>
      <c r="AOH11" s="12">
        <f>AOB11-AOF11-AOG11</f>
        <v/>
      </c>
      <c r="AOI11" s="12">
        <f>AOC11+AOC10+AOC9+MAX(0,AOI10-AOC10-AOC9)*(1-ANV11)</f>
        <v/>
      </c>
      <c r="AOJ11" s="12">
        <f>AOD11+AOD10+AOD9+MAX(0,AOJ10-AOD10-AOD9)*(1-ANV11)</f>
        <v/>
      </c>
      <c r="AOK11" s="12">
        <f>AOE11+AOE10+AOE9+MAX(0,AOK10-AOE10-AOE9)*(1-ANV11)</f>
        <v/>
      </c>
      <c r="AOL11" s="12">
        <f>SUM(AOF$5:AOF11)</f>
        <v/>
      </c>
      <c r="AOM11" s="12">
        <f>SUM(AOG$5:AOG11)</f>
        <v/>
      </c>
      <c r="AON11" s="12">
        <f>SUM(AOH$5:AOH11)</f>
        <v/>
      </c>
      <c r="AOO11" s="12">
        <f>AOI11+AOJ11+AOK11+AOL11+AOM11+AON11</f>
        <v/>
      </c>
      <c r="AOP11" s="9">
        <f>AOI11*BlendedPriceEssMonthly*ANU11+AOJ11*BlendedPricePremMonthly*ANU11+AOK11*BlendedPriceEliteMonthly*ANU11+AOL11*BlendedPriceEssAnnual*ANU11/12+AOM11*BlendedPricePremAnnual*ANU11/12+AON11*BlendedPriceEliteAnnual*ANU11/12</f>
        <v/>
      </c>
      <c r="AOQ11" s="9">
        <f>AOP11*12</f>
        <v/>
      </c>
      <c r="AOR11" s="12">
        <f>AOI11*BlendedPriceEssMonthly*ANU11+AOJ11*BlendedPricePremMonthly*ANU11+AOK11*BlendedPriceEliteMonthly*ANU11</f>
        <v/>
      </c>
      <c r="AOS11" s="12">
        <f>AOF11*BlendedPriceEssAnnual*ANU11+AOG11*BlendedPricePremAnnual*ANU11+AOH11*BlendedPriceEliteAnnual*ANU11</f>
        <v/>
      </c>
      <c r="AOT11" s="12">
        <f>0+0+0</f>
        <v/>
      </c>
      <c r="AOU11" s="9">
        <f>AOR11+AOS11+AOT11</f>
        <v/>
      </c>
      <c r="AOV11" s="12">
        <f>SUM(AOU$5:AOU11)</f>
        <v/>
      </c>
      <c r="AOW11" s="12">
        <f>OR(AOW10,IF(VATAgentMode,SUM($AOU$5:$AOU11)-SUM($APB$5:$APB11)&gt;=VATThreshold,SUM($AOU$5:$AOU11)&gt;=VATThreshold))</f>
        <v/>
      </c>
      <c r="AOX11" s="9">
        <f>IF(AOW11,IF(VATAgentMode,AOU11-((AOU11-APB11)-(AOU11-APB11)/(1+VATRate)),AOU11/(1+VATRate)),AOU11)</f>
        <v/>
      </c>
      <c r="AOY11" s="12">
        <f>AOU11-AOX11</f>
        <v/>
      </c>
      <c r="AOZ11" s="12">
        <f>IF(AOW11=0,0,IF(ANR11=1,SUMPRODUCT(--(($ANS$5:$ANS11=$ANS11-1)*($ANR$5:$ANR11&gt;=10)*($ANR$5:$ANR11&lt;=12)),$AOY$5:$AOY11),IF(ANR11=4,SUMPRODUCT(--(($ANS$5:$ANS11=$ANS11)*($ANR$5:$ANR11&gt;=1)*($ANR$5:$ANR11&lt;=3)),$AOY$5:$AOY11),IF(ANR11=7,SUMPRODUCT(--(($ANS$5:$ANS11=$ANS11)*($ANR$5:$ANR11&gt;=4)*($ANR$5:$ANR11&lt;=6)),$AOY$5:$AOY11),IF(ANR11=10,SUMPRODUCT(--(($ANS$5:$ANS11=$ANS11)*($ANR$5:$ANR11&gt;=7)*($ANR$5:$ANR11&lt;=9)),$AOY$5:$AOY11),0)))))</f>
        <v/>
      </c>
      <c r="APA11" s="12">
        <f>APA10+AOY11-AOZ11</f>
        <v/>
      </c>
      <c r="APB11" s="12">
        <f>IF(ProviderDelay&gt;=1,AOI10*BlendedProvPayEss+AOJ10*BlendedProvPayPrem+AOK10*BlendedProvPayElite+AOL10*BlendedProvPayEss+AOM10*BlendedProvPayPrem+AON10*BlendedProvPayElite,AOI11*BlendedProvPayEss+AOJ11*BlendedProvPayPrem+AOK11*BlendedProvPayElite+AOL11*BlendedProvPayEss+AOM11*BlendedProvPayPrem+AON11*BlendedProvPayElite)</f>
        <v/>
      </c>
      <c r="APC11" s="12">
        <f>AOU11*PaymentFee</f>
        <v/>
      </c>
      <c r="APD11" s="12">
        <f>AOO11*OpsAI</f>
        <v/>
      </c>
      <c r="APE11" s="12">
        <f>MonthlyFixed</f>
        <v/>
      </c>
      <c r="APF11" s="12">
        <f>ANY11*ReferralReward</f>
        <v/>
      </c>
      <c r="APG11" s="12">
        <f>ANW11</f>
        <v/>
      </c>
      <c r="APH11" s="9">
        <f>AOX11-APB11-APC11-APD11-APE11-APF11-APG11</f>
        <v/>
      </c>
      <c r="API11" s="9">
        <f>API10+AOU11-(APB11+APC11+APD11+APE11+APF11+APG11+AOZ11)</f>
        <v/>
      </c>
      <c r="APJ11" s="12">
        <f>IF(AOO11&gt;0,AOP11/AOO11,0)</f>
        <v/>
      </c>
      <c r="APK11" s="11">
        <f>IF(AOO10&gt;0,MAX(0,(AOO10+ANZ11-AOO11)/AOO10),0)</f>
        <v/>
      </c>
      <c r="APM11" s="12" t="n">
        <v>7</v>
      </c>
      <c r="APN11" s="12">
        <f>MOD(APM11-1+LaunchMonth-1,12)+1</f>
        <v/>
      </c>
      <c r="APO11" s="12">
        <f>INT((APM11-1+LaunchMonth-1)/12)+1</f>
        <v/>
      </c>
      <c r="APP11" s="12">
        <f>VLOOKUP(APN11,SeasonTable,2,FALSE)</f>
        <v/>
      </c>
      <c r="APQ11" s="12">
        <f>(1+InflationRate)^INT((APM11-1)/12)</f>
        <v/>
      </c>
      <c r="APR11" s="11">
        <f>MonthlyChurn*VLOOKUP(APN11,ChurnSeasonTable,4,FALSE)</f>
        <v/>
      </c>
      <c r="APS11" s="12">
        <f>MIN(MAX(MktMin7_12,AQQ10*MktPct7_12),MAX(0,ARE10-CashBuffer))</f>
        <v/>
      </c>
      <c r="APT11" s="12">
        <f>IF(APS11&gt;0,MAX(1,ROUND(APS11/'Sens - CAC &amp; Marketing'!$A$13*APP11,0)),0)</f>
        <v/>
      </c>
      <c r="APU11" s="12">
        <f>IF(APT11&gt;0,ROUND(APT11*ReferralMix/(1-ReferralMix),0),0)</f>
        <v/>
      </c>
      <c r="APV11" s="12">
        <f>APT11+APU11</f>
        <v/>
      </c>
      <c r="APW11" s="12">
        <f>ROUND(APV11*(1-AnnualMix),0)</f>
        <v/>
      </c>
      <c r="APX11" s="12">
        <f>APV11-APW11</f>
        <v/>
      </c>
      <c r="APY11" s="12">
        <f>ROUND(APW11*EssentialMix,0)</f>
        <v/>
      </c>
      <c r="APZ11" s="12">
        <f>ROUND(APW11*PremiumMix,0)</f>
        <v/>
      </c>
      <c r="AQA11" s="12">
        <f>APW11-APY11-APZ11</f>
        <v/>
      </c>
      <c r="AQB11" s="12">
        <f>ROUND(APX11*EssentialMix,0)</f>
        <v/>
      </c>
      <c r="AQC11" s="12">
        <f>ROUND(APX11*PremiumMix,0)</f>
        <v/>
      </c>
      <c r="AQD11" s="12">
        <f>APX11-AQB11-AQC11</f>
        <v/>
      </c>
      <c r="AQE11" s="12">
        <f>APY11+APY10+APY9+MAX(0,AQE10-APY10-APY9)*(1-APR11)</f>
        <v/>
      </c>
      <c r="AQF11" s="12">
        <f>APZ11+APZ10+APZ9+MAX(0,AQF10-APZ10-APZ9)*(1-APR11)</f>
        <v/>
      </c>
      <c r="AQG11" s="12">
        <f>AQA11+AQA10+AQA9+MAX(0,AQG10-AQA10-AQA9)*(1-APR11)</f>
        <v/>
      </c>
      <c r="AQH11" s="12">
        <f>SUM(AQB$5:AQB11)</f>
        <v/>
      </c>
      <c r="AQI11" s="12">
        <f>SUM(AQC$5:AQC11)</f>
        <v/>
      </c>
      <c r="AQJ11" s="12">
        <f>SUM(AQD$5:AQD11)</f>
        <v/>
      </c>
      <c r="AQK11" s="12">
        <f>AQE11+AQF11+AQG11+AQH11+AQI11+AQJ11</f>
        <v/>
      </c>
      <c r="AQL11" s="9">
        <f>AQE11*BlendedPriceEssMonthly*APQ11+AQF11*BlendedPricePremMonthly*APQ11+AQG11*BlendedPriceEliteMonthly*APQ11+AQH11*BlendedPriceEssAnnual*APQ11/12+AQI11*BlendedPricePremAnnual*APQ11/12+AQJ11*BlendedPriceEliteAnnual*APQ11/12</f>
        <v/>
      </c>
      <c r="AQM11" s="9">
        <f>AQL11*12</f>
        <v/>
      </c>
      <c r="AQN11" s="12">
        <f>AQE11*BlendedPriceEssMonthly*APQ11+AQF11*BlendedPricePremMonthly*APQ11+AQG11*BlendedPriceEliteMonthly*APQ11</f>
        <v/>
      </c>
      <c r="AQO11" s="12">
        <f>AQB11*BlendedPriceEssAnnual*APQ11+AQC11*BlendedPricePremAnnual*APQ11+AQD11*BlendedPriceEliteAnnual*APQ11</f>
        <v/>
      </c>
      <c r="AQP11" s="12">
        <f>0+0+0</f>
        <v/>
      </c>
      <c r="AQQ11" s="9">
        <f>AQN11+AQO11+AQP11</f>
        <v/>
      </c>
      <c r="AQR11" s="12">
        <f>SUM(AQQ$5:AQQ11)</f>
        <v/>
      </c>
      <c r="AQS11" s="12">
        <f>OR(AQS10,IF(VATAgentMode,SUM($AQQ$5:$AQQ11)-SUM($AQX$5:$AQX11)&gt;=VATThreshold,SUM($AQQ$5:$AQQ11)&gt;=VATThreshold))</f>
        <v/>
      </c>
      <c r="AQT11" s="9">
        <f>IF(AQS11,IF(VATAgentMode,AQQ11-((AQQ11-AQX11)-(AQQ11-AQX11)/(1+VATRate)),AQQ11/(1+VATRate)),AQQ11)</f>
        <v/>
      </c>
      <c r="AQU11" s="12">
        <f>AQQ11-AQT11</f>
        <v/>
      </c>
      <c r="AQV11" s="12">
        <f>IF(AQS11=0,0,IF(APN11=1,SUMPRODUCT(--(($APO$5:$APO11=$APO11-1)*($APN$5:$APN11&gt;=10)*($APN$5:$APN11&lt;=12)),$AQU$5:$AQU11),IF(APN11=4,SUMPRODUCT(--(($APO$5:$APO11=$APO11)*($APN$5:$APN11&gt;=1)*($APN$5:$APN11&lt;=3)),$AQU$5:$AQU11),IF(APN11=7,SUMPRODUCT(--(($APO$5:$APO11=$APO11)*($APN$5:$APN11&gt;=4)*($APN$5:$APN11&lt;=6)),$AQU$5:$AQU11),IF(APN11=10,SUMPRODUCT(--(($APO$5:$APO11=$APO11)*($APN$5:$APN11&gt;=7)*($APN$5:$APN11&lt;=9)),$AQU$5:$AQU11),0)))))</f>
        <v/>
      </c>
      <c r="AQW11" s="12">
        <f>AQW10+AQU11-AQV11</f>
        <v/>
      </c>
      <c r="AQX11" s="12">
        <f>IF(ProviderDelay&gt;=1,AQE10*BlendedProvPayEss+AQF10*BlendedProvPayPrem+AQG10*BlendedProvPayElite+AQH10*BlendedProvPayEss+AQI10*BlendedProvPayPrem+AQJ10*BlendedProvPayElite,AQE11*BlendedProvPayEss+AQF11*BlendedProvPayPrem+AQG11*BlendedProvPayElite+AQH11*BlendedProvPayEss+AQI11*BlendedProvPayPrem+AQJ11*BlendedProvPayElite)</f>
        <v/>
      </c>
      <c r="AQY11" s="12">
        <f>AQQ11*PaymentFee</f>
        <v/>
      </c>
      <c r="AQZ11" s="12">
        <f>AQK11*OpsAI</f>
        <v/>
      </c>
      <c r="ARA11" s="12">
        <f>MonthlyFixed</f>
        <v/>
      </c>
      <c r="ARB11" s="12">
        <f>APU11*ReferralReward</f>
        <v/>
      </c>
      <c r="ARC11" s="12">
        <f>APS11</f>
        <v/>
      </c>
      <c r="ARD11" s="9">
        <f>AQT11-AQX11-AQY11-AQZ11-ARA11-ARB11-ARC11</f>
        <v/>
      </c>
      <c r="ARE11" s="9">
        <f>ARE10+AQQ11-(AQX11+AQY11+AQZ11+ARA11+ARB11+ARC11+AQV11)</f>
        <v/>
      </c>
      <c r="ARF11" s="12">
        <f>IF(AQK11&gt;0,AQL11/AQK11,0)</f>
        <v/>
      </c>
      <c r="ARG11" s="11">
        <f>IF(AQK10&gt;0,MAX(0,(AQK10+APV11-AQK11)/AQK10),0)</f>
        <v/>
      </c>
      <c r="ARI11" s="12" t="n">
        <v>7</v>
      </c>
      <c r="ARJ11" s="12">
        <f>MOD(ARI11-1+LaunchMonth-1,12)+1</f>
        <v/>
      </c>
      <c r="ARK11" s="12">
        <f>INT((ARI11-1+LaunchMonth-1)/12)+1</f>
        <v/>
      </c>
      <c r="ARL11" s="12">
        <f>VLOOKUP(ARJ11,SeasonTable,2,FALSE)</f>
        <v/>
      </c>
      <c r="ARM11" s="12">
        <f>(1+InflationRate)^INT((ARI11-1)/12)</f>
        <v/>
      </c>
      <c r="ARN11" s="11">
        <f>MonthlyChurn*VLOOKUP(ARJ11,ChurnSeasonTable,4,FALSE)</f>
        <v/>
      </c>
      <c r="ARO11" s="12">
        <f>MIN(MAX(MktMin7_12,ASM10*MktPct7_12),MAX(0,ATA10-CashBuffer))</f>
        <v/>
      </c>
      <c r="ARP11" s="12">
        <f>IF(ARO11&gt;0,MAX(1,ROUND(ARO11/'Sens - CAC &amp; Marketing'!$A$14*ARL11,0)),0)</f>
        <v/>
      </c>
      <c r="ARQ11" s="12">
        <f>IF(ARP11&gt;0,ROUND(ARP11*ReferralMix/(1-ReferralMix),0),0)</f>
        <v/>
      </c>
      <c r="ARR11" s="12">
        <f>ARP11+ARQ11</f>
        <v/>
      </c>
      <c r="ARS11" s="12">
        <f>ROUND(ARR11*(1-AnnualMix),0)</f>
        <v/>
      </c>
      <c r="ART11" s="12">
        <f>ARR11-ARS11</f>
        <v/>
      </c>
      <c r="ARU11" s="12">
        <f>ROUND(ARS11*EssentialMix,0)</f>
        <v/>
      </c>
      <c r="ARV11" s="12">
        <f>ROUND(ARS11*PremiumMix,0)</f>
        <v/>
      </c>
      <c r="ARW11" s="12">
        <f>ARS11-ARU11-ARV11</f>
        <v/>
      </c>
      <c r="ARX11" s="12">
        <f>ROUND(ART11*EssentialMix,0)</f>
        <v/>
      </c>
      <c r="ARY11" s="12">
        <f>ROUND(ART11*PremiumMix,0)</f>
        <v/>
      </c>
      <c r="ARZ11" s="12">
        <f>ART11-ARX11-ARY11</f>
        <v/>
      </c>
      <c r="ASA11" s="12">
        <f>ARU11+ARU10+ARU9+MAX(0,ASA10-ARU10-ARU9)*(1-ARN11)</f>
        <v/>
      </c>
      <c r="ASB11" s="12">
        <f>ARV11+ARV10+ARV9+MAX(0,ASB10-ARV10-ARV9)*(1-ARN11)</f>
        <v/>
      </c>
      <c r="ASC11" s="12">
        <f>ARW11+ARW10+ARW9+MAX(0,ASC10-ARW10-ARW9)*(1-ARN11)</f>
        <v/>
      </c>
      <c r="ASD11" s="12">
        <f>SUM(ARX$5:ARX11)</f>
        <v/>
      </c>
      <c r="ASE11" s="12">
        <f>SUM(ARY$5:ARY11)</f>
        <v/>
      </c>
      <c r="ASF11" s="12">
        <f>SUM(ARZ$5:ARZ11)</f>
        <v/>
      </c>
      <c r="ASG11" s="12">
        <f>ASA11+ASB11+ASC11+ASD11+ASE11+ASF11</f>
        <v/>
      </c>
      <c r="ASH11" s="9">
        <f>ASA11*BlendedPriceEssMonthly*ARM11+ASB11*BlendedPricePremMonthly*ARM11+ASC11*BlendedPriceEliteMonthly*ARM11+ASD11*BlendedPriceEssAnnual*ARM11/12+ASE11*BlendedPricePremAnnual*ARM11/12+ASF11*BlendedPriceEliteAnnual*ARM11/12</f>
        <v/>
      </c>
      <c r="ASI11" s="9">
        <f>ASH11*12</f>
        <v/>
      </c>
      <c r="ASJ11" s="12">
        <f>ASA11*BlendedPriceEssMonthly*ARM11+ASB11*BlendedPricePremMonthly*ARM11+ASC11*BlendedPriceEliteMonthly*ARM11</f>
        <v/>
      </c>
      <c r="ASK11" s="12">
        <f>ARX11*BlendedPriceEssAnnual*ARM11+ARY11*BlendedPricePremAnnual*ARM11+ARZ11*BlendedPriceEliteAnnual*ARM11</f>
        <v/>
      </c>
      <c r="ASL11" s="12">
        <f>0+0+0</f>
        <v/>
      </c>
      <c r="ASM11" s="9">
        <f>ASJ11+ASK11+ASL11</f>
        <v/>
      </c>
      <c r="ASN11" s="12">
        <f>SUM(ASM$5:ASM11)</f>
        <v/>
      </c>
      <c r="ASO11" s="12">
        <f>OR(ASO10,IF(VATAgentMode,SUM($ASM$5:$ASM11)-SUM($AST$5:$AST11)&gt;=VATThreshold,SUM($ASM$5:$ASM11)&gt;=VATThreshold))</f>
        <v/>
      </c>
      <c r="ASP11" s="9">
        <f>IF(ASO11,IF(VATAgentMode,ASM11-((ASM11-AST11)-(ASM11-AST11)/(1+VATRate)),ASM11/(1+VATRate)),ASM11)</f>
        <v/>
      </c>
      <c r="ASQ11" s="12">
        <f>ASM11-ASP11</f>
        <v/>
      </c>
      <c r="ASR11" s="12">
        <f>IF(ASO11=0,0,IF(ARJ11=1,SUMPRODUCT(--(($ARK$5:$ARK11=$ARK11-1)*($ARJ$5:$ARJ11&gt;=10)*($ARJ$5:$ARJ11&lt;=12)),$ASQ$5:$ASQ11),IF(ARJ11=4,SUMPRODUCT(--(($ARK$5:$ARK11=$ARK11)*($ARJ$5:$ARJ11&gt;=1)*($ARJ$5:$ARJ11&lt;=3)),$ASQ$5:$ASQ11),IF(ARJ11=7,SUMPRODUCT(--(($ARK$5:$ARK11=$ARK11)*($ARJ$5:$ARJ11&gt;=4)*($ARJ$5:$ARJ11&lt;=6)),$ASQ$5:$ASQ11),IF(ARJ11=10,SUMPRODUCT(--(($ARK$5:$ARK11=$ARK11)*($ARJ$5:$ARJ11&gt;=7)*($ARJ$5:$ARJ11&lt;=9)),$ASQ$5:$ASQ11),0)))))</f>
        <v/>
      </c>
      <c r="ASS11" s="12">
        <f>ASS10+ASQ11-ASR11</f>
        <v/>
      </c>
      <c r="AST11" s="12">
        <f>IF(ProviderDelay&gt;=1,ASA10*BlendedProvPayEss+ASB10*BlendedProvPayPrem+ASC10*BlendedProvPayElite+ASD10*BlendedProvPayEss+ASE10*BlendedProvPayPrem+ASF10*BlendedProvPayElite,ASA11*BlendedProvPayEss+ASB11*BlendedProvPayPrem+ASC11*BlendedProvPayElite+ASD11*BlendedProvPayEss+ASE11*BlendedProvPayPrem+ASF11*BlendedProvPayElite)</f>
        <v/>
      </c>
      <c r="ASU11" s="12">
        <f>ASM11*PaymentFee</f>
        <v/>
      </c>
      <c r="ASV11" s="12">
        <f>ASG11*OpsAI</f>
        <v/>
      </c>
      <c r="ASW11" s="12">
        <f>MonthlyFixed</f>
        <v/>
      </c>
      <c r="ASX11" s="12">
        <f>ARQ11*ReferralReward</f>
        <v/>
      </c>
      <c r="ASY11" s="12">
        <f>ARO11</f>
        <v/>
      </c>
      <c r="ASZ11" s="9">
        <f>ASP11-AST11-ASU11-ASV11-ASW11-ASX11-ASY11</f>
        <v/>
      </c>
      <c r="ATA11" s="9">
        <f>ATA10+ASM11-(AST11+ASU11+ASV11+ASW11+ASX11+ASY11+ASR11)</f>
        <v/>
      </c>
      <c r="ATB11" s="12">
        <f>IF(ASG11&gt;0,ASH11/ASG11,0)</f>
        <v/>
      </c>
      <c r="ATC11" s="11">
        <f>IF(ASG10&gt;0,MAX(0,(ASG10+ARR11-ASG11)/ASG10),0)</f>
        <v/>
      </c>
      <c r="ATE11" s="12" t="n">
        <v>7</v>
      </c>
      <c r="ATF11" s="12">
        <f>MOD(ATE11-1+LaunchMonth-1,12)+1</f>
        <v/>
      </c>
      <c r="ATG11" s="12">
        <f>INT((ATE11-1+LaunchMonth-1)/12)+1</f>
        <v/>
      </c>
      <c r="ATH11" s="12">
        <f>VLOOKUP(ATF11,SeasonTable,2,FALSE)</f>
        <v/>
      </c>
      <c r="ATI11" s="12">
        <f>(1+InflationRate)^INT((ATE11-1)/12)</f>
        <v/>
      </c>
      <c r="ATJ11" s="11">
        <f>MonthlyChurn*VLOOKUP(ATF11,ChurnSeasonTable,4,FALSE)</f>
        <v/>
      </c>
      <c r="ATK11" s="12">
        <f>MIN(MAX(MktMin7_12,AUI10*MktPct7_12),MAX(0,AUW10-CashBuffer))</f>
        <v/>
      </c>
      <c r="ATL11" s="12">
        <f>IF(ATK11&gt;0,MAX(1,ROUND(ATK11/'Sens - CAC &amp; Marketing'!$A$15*ATH11,0)),0)</f>
        <v/>
      </c>
      <c r="ATM11" s="12">
        <f>IF(ATL11&gt;0,ROUND(ATL11*ReferralMix/(1-ReferralMix),0),0)</f>
        <v/>
      </c>
      <c r="ATN11" s="12">
        <f>ATL11+ATM11</f>
        <v/>
      </c>
      <c r="ATO11" s="12">
        <f>ROUND(ATN11*(1-AnnualMix),0)</f>
        <v/>
      </c>
      <c r="ATP11" s="12">
        <f>ATN11-ATO11</f>
        <v/>
      </c>
      <c r="ATQ11" s="12">
        <f>ROUND(ATO11*EssentialMix,0)</f>
        <v/>
      </c>
      <c r="ATR11" s="12">
        <f>ROUND(ATO11*PremiumMix,0)</f>
        <v/>
      </c>
      <c r="ATS11" s="12">
        <f>ATO11-ATQ11-ATR11</f>
        <v/>
      </c>
      <c r="ATT11" s="12">
        <f>ROUND(ATP11*EssentialMix,0)</f>
        <v/>
      </c>
      <c r="ATU11" s="12">
        <f>ROUND(ATP11*PremiumMix,0)</f>
        <v/>
      </c>
      <c r="ATV11" s="12">
        <f>ATP11-ATT11-ATU11</f>
        <v/>
      </c>
      <c r="ATW11" s="12">
        <f>ATQ11+ATQ10+ATQ9+MAX(0,ATW10-ATQ10-ATQ9)*(1-ATJ11)</f>
        <v/>
      </c>
      <c r="ATX11" s="12">
        <f>ATR11+ATR10+ATR9+MAX(0,ATX10-ATR10-ATR9)*(1-ATJ11)</f>
        <v/>
      </c>
      <c r="ATY11" s="12">
        <f>ATS11+ATS10+ATS9+MAX(0,ATY10-ATS10-ATS9)*(1-ATJ11)</f>
        <v/>
      </c>
      <c r="ATZ11" s="12">
        <f>SUM(ATT$5:ATT11)</f>
        <v/>
      </c>
      <c r="AUA11" s="12">
        <f>SUM(ATU$5:ATU11)</f>
        <v/>
      </c>
      <c r="AUB11" s="12">
        <f>SUM(ATV$5:ATV11)</f>
        <v/>
      </c>
      <c r="AUC11" s="12">
        <f>ATW11+ATX11+ATY11+ATZ11+AUA11+AUB11</f>
        <v/>
      </c>
      <c r="AUD11" s="9">
        <f>ATW11*BlendedPriceEssMonthly*ATI11+ATX11*BlendedPricePremMonthly*ATI11+ATY11*BlendedPriceEliteMonthly*ATI11+ATZ11*BlendedPriceEssAnnual*ATI11/12+AUA11*BlendedPricePremAnnual*ATI11/12+AUB11*BlendedPriceEliteAnnual*ATI11/12</f>
        <v/>
      </c>
      <c r="AUE11" s="9">
        <f>AUD11*12</f>
        <v/>
      </c>
      <c r="AUF11" s="12">
        <f>ATW11*BlendedPriceEssMonthly*ATI11+ATX11*BlendedPricePremMonthly*ATI11+ATY11*BlendedPriceEliteMonthly*ATI11</f>
        <v/>
      </c>
      <c r="AUG11" s="12">
        <f>ATT11*BlendedPriceEssAnnual*ATI11+ATU11*BlendedPricePremAnnual*ATI11+ATV11*BlendedPriceEliteAnnual*ATI11</f>
        <v/>
      </c>
      <c r="AUH11" s="12">
        <f>0+0+0</f>
        <v/>
      </c>
      <c r="AUI11" s="9">
        <f>AUF11+AUG11+AUH11</f>
        <v/>
      </c>
      <c r="AUJ11" s="12">
        <f>SUM(AUI$5:AUI11)</f>
        <v/>
      </c>
      <c r="AUK11" s="12">
        <f>OR(AUK10,IF(VATAgentMode,SUM($AUI$5:$AUI11)-SUM($AUP$5:$AUP11)&gt;=VATThreshold,SUM($AUI$5:$AUI11)&gt;=VATThreshold))</f>
        <v/>
      </c>
      <c r="AUL11" s="9">
        <f>IF(AUK11,IF(VATAgentMode,AUI11-((AUI11-AUP11)-(AUI11-AUP11)/(1+VATRate)),AUI11/(1+VATRate)),AUI11)</f>
        <v/>
      </c>
      <c r="AUM11" s="12">
        <f>AUI11-AUL11</f>
        <v/>
      </c>
      <c r="AUN11" s="12">
        <f>IF(AUK11=0,0,IF(ATF11=1,SUMPRODUCT(--(($ATG$5:$ATG11=$ATG11-1)*($ATF$5:$ATF11&gt;=10)*($ATF$5:$ATF11&lt;=12)),$AUM$5:$AUM11),IF(ATF11=4,SUMPRODUCT(--(($ATG$5:$ATG11=$ATG11)*($ATF$5:$ATF11&gt;=1)*($ATF$5:$ATF11&lt;=3)),$AUM$5:$AUM11),IF(ATF11=7,SUMPRODUCT(--(($ATG$5:$ATG11=$ATG11)*($ATF$5:$ATF11&gt;=4)*($ATF$5:$ATF11&lt;=6)),$AUM$5:$AUM11),IF(ATF11=10,SUMPRODUCT(--(($ATG$5:$ATG11=$ATG11)*($ATF$5:$ATF11&gt;=7)*($ATF$5:$ATF11&lt;=9)),$AUM$5:$AUM11),0)))))</f>
        <v/>
      </c>
      <c r="AUO11" s="12">
        <f>AUO10+AUM11-AUN11</f>
        <v/>
      </c>
      <c r="AUP11" s="12">
        <f>IF(ProviderDelay&gt;=1,ATW10*BlendedProvPayEss+ATX10*BlendedProvPayPrem+ATY10*BlendedProvPayElite+ATZ10*BlendedProvPayEss+AUA10*BlendedProvPayPrem+AUB10*BlendedProvPayElite,ATW11*BlendedProvPayEss+ATX11*BlendedProvPayPrem+ATY11*BlendedProvPayElite+ATZ11*BlendedProvPayEss+AUA11*BlendedProvPayPrem+AUB11*BlendedProvPayElite)</f>
        <v/>
      </c>
      <c r="AUQ11" s="12">
        <f>AUI11*PaymentFee</f>
        <v/>
      </c>
      <c r="AUR11" s="12">
        <f>AUC11*OpsAI</f>
        <v/>
      </c>
      <c r="AUS11" s="12">
        <f>MonthlyFixed</f>
        <v/>
      </c>
      <c r="AUT11" s="12">
        <f>ATM11*ReferralReward</f>
        <v/>
      </c>
      <c r="AUU11" s="12">
        <f>ATK11</f>
        <v/>
      </c>
      <c r="AUV11" s="9">
        <f>AUL11-AUP11-AUQ11-AUR11-AUS11-AUT11-AUU11</f>
        <v/>
      </c>
      <c r="AUW11" s="9">
        <f>AUW10+AUI11-(AUP11+AUQ11+AUR11+AUS11+AUT11+AUU11+AUN11)</f>
        <v/>
      </c>
      <c r="AUX11" s="12">
        <f>IF(AUC11&gt;0,AUD11/AUC11,0)</f>
        <v/>
      </c>
      <c r="AUY11" s="11">
        <f>IF(AUC10&gt;0,MAX(0,(AUC10+ATN11-AUC11)/AUC10),0)</f>
        <v/>
      </c>
      <c r="AVA11" s="12" t="n">
        <v>7</v>
      </c>
      <c r="AVB11" s="12">
        <f>MOD(AVA11-1+LaunchMonth-1,12)+1</f>
        <v/>
      </c>
      <c r="AVC11" s="12">
        <f>INT((AVA11-1+LaunchMonth-1)/12)+1</f>
        <v/>
      </c>
      <c r="AVD11" s="12">
        <f>VLOOKUP(AVB11,WinterPivotSeasonTable,5,FALSE)</f>
        <v/>
      </c>
      <c r="AVE11" s="12">
        <f>(1+InflationRate)^INT((AVA11-1)/12)</f>
        <v/>
      </c>
      <c r="AVF11" s="11">
        <f>MonthlyChurn*VLOOKUP(AVB11,WinterPivotChurnTable,6,FALSE)</f>
        <v/>
      </c>
      <c r="AVG11" s="12">
        <f>MIN(MAX(MktMin7_12,AWE10*MktPct7_12),MAX(0,AWS10-CashBuffer))</f>
        <v/>
      </c>
      <c r="AVH11" s="12">
        <f>IF(AVG11&gt;0,MAX(1,ROUND(AVG11/CAC*AVD11,0)),0)</f>
        <v/>
      </c>
      <c r="AVI11" s="12">
        <f>IF(AVH11&gt;0,ROUND(AVH11*ReferralMix/(1-ReferralMix),0),0)</f>
        <v/>
      </c>
      <c r="AVJ11" s="12">
        <f>AVH11+AVI11</f>
        <v/>
      </c>
      <c r="AVK11" s="12">
        <f>ROUND(AVJ11*(1-AnnualMix),0)</f>
        <v/>
      </c>
      <c r="AVL11" s="12">
        <f>AVJ11-AVK11</f>
        <v/>
      </c>
      <c r="AVM11" s="12">
        <f>ROUND(AVK11*'Sens - Winter Pivot'!$B$6,0)</f>
        <v/>
      </c>
      <c r="AVN11" s="12">
        <f>ROUND(AVK11*PremiumMix,0)</f>
        <v/>
      </c>
      <c r="AVO11" s="12">
        <f>AVK11-AVM11-AVN11</f>
        <v/>
      </c>
      <c r="AVP11" s="12">
        <f>ROUND(AVL11*'Sens - Winter Pivot'!$B$6,0)</f>
        <v/>
      </c>
      <c r="AVQ11" s="12">
        <f>ROUND(AVL11*PremiumMix,0)</f>
        <v/>
      </c>
      <c r="AVR11" s="12">
        <f>AVL11-AVP11-AVQ11</f>
        <v/>
      </c>
      <c r="AVS11" s="12">
        <f>AVM11+AVM10+AVM9+MAX(0,AVS10-AVM10-AVM9)*(1-AVF11)</f>
        <v/>
      </c>
      <c r="AVT11" s="12">
        <f>AVN11+AVN10+AVN9+MAX(0,AVT10-AVN10-AVN9)*(1-AVF11)</f>
        <v/>
      </c>
      <c r="AVU11" s="12">
        <f>AVO11+AVO10+AVO9+MAX(0,AVU10-AVO10-AVO9)*(1-AVF11)</f>
        <v/>
      </c>
      <c r="AVV11" s="12">
        <f>SUM(AVP$5:AVP11)</f>
        <v/>
      </c>
      <c r="AVW11" s="12">
        <f>SUM(AVQ$5:AVQ11)</f>
        <v/>
      </c>
      <c r="AVX11" s="12">
        <f>SUM(AVR$5:AVR11)</f>
        <v/>
      </c>
      <c r="AVY11" s="12">
        <f>AVS11+AVT11+AVU11+AVV11+AVW11+AVX11</f>
        <v/>
      </c>
      <c r="AVZ11" s="9">
        <f>AVS11*BlendedPriceEssMonthly*AVE11+AVT11*(BlendedPricePremMonthly+'Sens - Winter Pivot'!$B$7)*AVE11+AVU11*BlendedPriceEliteMonthly*AVE11+AVV11*BlendedPriceEssAnnual*AVE11/12+AVW11*(BlendedPricePremAnnual+'Sens - Winter Pivot'!$B$7*12)*AVE11/12+AVX11*BlendedPriceEliteAnnual*AVE11/12</f>
        <v/>
      </c>
      <c r="AWA11" s="9">
        <f>AVZ11*12</f>
        <v/>
      </c>
      <c r="AWB11" s="12">
        <f>AVS11*BlendedPriceEssMonthly*AVE11+AVT11*(BlendedPricePremMonthly+'Sens - Winter Pivot'!$B$7)*AVE11+AVU11*BlendedPriceEliteMonthly*AVE11</f>
        <v/>
      </c>
      <c r="AWC11" s="12">
        <f>AVP11*BlendedPriceEssAnnual*AVE11+AVQ11*(BlendedPricePremAnnual+'Sens - Winter Pivot'!$B$7*12)*AVE11+AVR11*BlendedPriceEliteAnnual*AVE11</f>
        <v/>
      </c>
      <c r="AWD11" s="12">
        <f>0+0+0</f>
        <v/>
      </c>
      <c r="AWE11" s="9">
        <f>AWB11+AWC11+AWD11</f>
        <v/>
      </c>
      <c r="AWF11" s="12">
        <f>SUM(AWE$5:AWE11)</f>
        <v/>
      </c>
      <c r="AWG11" s="12">
        <f>OR(AWG10,IF(VATAgentMode,SUM($AWE$5:$AWE11)-SUM($AWL$5:$AWL11)&gt;=VATThreshold,SUM($AWE$5:$AWE11)&gt;=VATThreshold))</f>
        <v/>
      </c>
      <c r="AWH11" s="9">
        <f>IF(AWG11,IF(VATAgentMode,AWE11-((AWE11-AWL11)-(AWE11-AWL11)/(1+VATRate)),AWE11/(1+VATRate)),AWE11)</f>
        <v/>
      </c>
      <c r="AWI11" s="12">
        <f>AWE11-AWH11</f>
        <v/>
      </c>
      <c r="AWJ11" s="12">
        <f>IF(AWG11=0,0,IF(AVB11=1,SUMPRODUCT(--(($AVC$5:$AVC11=$AVC11-1)*($AVB$5:$AVB11&gt;=10)*($AVB$5:$AVB11&lt;=12)),$AWI$5:$AWI11),IF(AVB11=4,SUMPRODUCT(--(($AVC$5:$AVC11=$AVC11)*($AVB$5:$AVB11&gt;=1)*($AVB$5:$AVB11&lt;=3)),$AWI$5:$AWI11),IF(AVB11=7,SUMPRODUCT(--(($AVC$5:$AVC11=$AVC11)*($AVB$5:$AVB11&gt;=4)*($AVB$5:$AVB11&lt;=6)),$AWI$5:$AWI11),IF(AVB11=10,SUMPRODUCT(--(($AVC$5:$AVC11=$AVC11)*($AVB$5:$AVB11&gt;=7)*($AVB$5:$AVB11&lt;=9)),$AWI$5:$AWI11),0)))))</f>
        <v/>
      </c>
      <c r="AWK11" s="12">
        <f>AWK10+AWI11-AWJ11</f>
        <v/>
      </c>
      <c r="AWL11" s="12">
        <f>IF(ProviderDelay&gt;=1,AVS10*BlendedProvPayEss+AVT10*BlendedProvPayPrem+AVU10*BlendedProvPayElite+AVV10*BlendedProvPayEss+AVW10*BlendedProvPayPrem+AVX10*BlendedProvPayElite,AVS11*BlendedProvPayEss+AVT11*BlendedProvPayPrem+AVU11*BlendedProvPayElite+AVV11*BlendedProvPayEss+AVW11*BlendedProvPayPrem+AVX11*BlendedProvPayElite)</f>
        <v/>
      </c>
      <c r="AWM11" s="12">
        <f>AWE11*PaymentFee</f>
        <v/>
      </c>
      <c r="AWN11" s="12">
        <f>AVY11*OpsAI</f>
        <v/>
      </c>
      <c r="AWO11" s="12">
        <f>MonthlyFixed</f>
        <v/>
      </c>
      <c r="AWP11" s="12">
        <f>AVI11*ReferralReward</f>
        <v/>
      </c>
      <c r="AWQ11" s="12">
        <f>AVG11</f>
        <v/>
      </c>
      <c r="AWR11" s="9">
        <f>AWH11-AWL11-AWM11-AWN11-AWO11-AWP11-AWQ11</f>
        <v/>
      </c>
      <c r="AWS11" s="9">
        <f>AWS10+AWE11-(AWL11+AWM11+AWN11+AWO11+AWP11+AWQ11+AWJ11)</f>
        <v/>
      </c>
      <c r="AWT11" s="12">
        <f>IF(AVY11&gt;0,AVZ11/AVY11,0)</f>
        <v/>
      </c>
      <c r="AWU11" s="11">
        <f>IF(AVY10&gt;0,MAX(0,(AVY10+AVJ11-AVY11)/AVY10),0)</f>
        <v/>
      </c>
    </row>
    <row r="12">
      <c r="A12" s="12" t="n">
        <v>8</v>
      </c>
      <c r="B12" s="12">
        <f>MOD(A12-1+LaunchMonth-1,12)+1</f>
        <v/>
      </c>
      <c r="C12" s="12">
        <f>INT((A12-1+LaunchMonth-1)/12)+1</f>
        <v/>
      </c>
      <c r="D12" s="12">
        <f>VLOOKUP(B12,SeasonTable,2,FALSE)</f>
        <v/>
      </c>
      <c r="E12" s="12">
        <f>(1+InflationRate)^INT((A12-1)/12)</f>
        <v/>
      </c>
      <c r="F12" s="11">
        <f>'Sens - Scenarios'!$B$5*VLOOKUP(B12,ChurnSeasonTable,4,FALSE)</f>
        <v/>
      </c>
      <c r="G12" s="12">
        <f>MIN(MAX(MktMin7_12,AE11*MktPct7_12),MAX(0,AS11-CashBuffer))</f>
        <v/>
      </c>
      <c r="H12" s="12">
        <f>IF(G12&gt;0,MAX(1,ROUND(G12/'Sens - Scenarios'!$B$8*D12,0)),0)</f>
        <v/>
      </c>
      <c r="I12" s="12">
        <f>IF(H12&gt;0,ROUND(H12*ReferralMix/(1-ReferralMix),0),0)</f>
        <v/>
      </c>
      <c r="J12" s="12">
        <f>H12+I12</f>
        <v/>
      </c>
      <c r="K12" s="12">
        <f>ROUND(J12*(1-'Sens - Scenarios'!$B$7),0)</f>
        <v/>
      </c>
      <c r="L12" s="12">
        <f>J12-K12</f>
        <v/>
      </c>
      <c r="M12" s="12">
        <f>ROUND(K12*EssentialMix,0)</f>
        <v/>
      </c>
      <c r="N12" s="12">
        <f>ROUND(K12*PremiumMix,0)</f>
        <v/>
      </c>
      <c r="O12" s="12">
        <f>K12-M12-N12</f>
        <v/>
      </c>
      <c r="P12" s="12">
        <f>ROUND(L12*EssentialMix,0)</f>
        <v/>
      </c>
      <c r="Q12" s="12">
        <f>ROUND(L12*PremiumMix,0)</f>
        <v/>
      </c>
      <c r="R12" s="12">
        <f>L12-P12-Q12</f>
        <v/>
      </c>
      <c r="S12" s="12">
        <f>M12+M11+M10+MAX(0,S11-M11-M10)*(1-F12)</f>
        <v/>
      </c>
      <c r="T12" s="12">
        <f>N12+N11+N10+MAX(0,T11-N11-N10)*(1-F12)</f>
        <v/>
      </c>
      <c r="U12" s="12">
        <f>O12+O11+O10+MAX(0,U11-O11-O10)*(1-F12)</f>
        <v/>
      </c>
      <c r="V12" s="12">
        <f>SUM(P$5:P12)</f>
        <v/>
      </c>
      <c r="W12" s="12">
        <f>SUM(Q$5:Q12)</f>
        <v/>
      </c>
      <c r="X12" s="12">
        <f>SUM(R$5:R12)</f>
        <v/>
      </c>
      <c r="Y12" s="12">
        <f>S12+T12+U12+V12+W12+X12</f>
        <v/>
      </c>
      <c r="Z12" s="9">
        <f>S12*BlendedPriceEssMonthly*E12+T12*BlendedPricePremMonthly*E12+U12*BlendedPriceEliteMonthly*E12+V12*BlendedPriceEssAnnual*E12/12+W12*BlendedPricePremAnnual*E12/12+X12*BlendedPriceEliteAnnual*E12/12</f>
        <v/>
      </c>
      <c r="AA12" s="9">
        <f>Z12*12</f>
        <v/>
      </c>
      <c r="AB12" s="12">
        <f>S12*BlendedPriceEssMonthly*E12+T12*BlendedPricePremMonthly*E12+U12*BlendedPriceEliteMonthly*E12</f>
        <v/>
      </c>
      <c r="AC12" s="12">
        <f>P12*BlendedPriceEssAnnual*E12+Q12*BlendedPricePremAnnual*E12+R12*BlendedPriceEliteAnnual*E12</f>
        <v/>
      </c>
      <c r="AD12" s="12">
        <f>0+0+0</f>
        <v/>
      </c>
      <c r="AE12" s="9">
        <f>AB12+AC12+AD12</f>
        <v/>
      </c>
      <c r="AF12" s="12">
        <f>SUM(AE$5:AE12)</f>
        <v/>
      </c>
      <c r="AG12" s="12">
        <f>OR(AG11,IF(VATAgentMode,SUM($AE$5:$AE12)-SUM($AL$5:$AL12)&gt;=VATThreshold,SUM($AE$5:$AE12)&gt;=VATThreshold))</f>
        <v/>
      </c>
      <c r="AH12" s="9">
        <f>IF(AG12,IF(VATAgentMode,AE12-((AE12-AL12)-(AE12-AL12)/(1+VATRate)),AE12/(1+VATRate)),AE12)</f>
        <v/>
      </c>
      <c r="AI12" s="12">
        <f>AE12-AH12</f>
        <v/>
      </c>
      <c r="AJ12" s="12">
        <f>IF(AG12=0,0,IF(B12=1,SUMPRODUCT(--(($C$5:$C12=$C12-1)*($B$5:$B12&gt;=10)*($B$5:$B12&lt;=12)),$AI$5:$AI12),IF(B12=4,SUMPRODUCT(--(($C$5:$C12=$C12)*($B$5:$B12&gt;=1)*($B$5:$B12&lt;=3)),$AI$5:$AI12),IF(B12=7,SUMPRODUCT(--(($C$5:$C12=$C12)*($B$5:$B12&gt;=4)*($B$5:$B12&lt;=6)),$AI$5:$AI12),IF(B12=10,SUMPRODUCT(--(($C$5:$C12=$C12)*($B$5:$B12&gt;=7)*($B$5:$B12&lt;=9)),$AI$5:$AI12),0)))))</f>
        <v/>
      </c>
      <c r="AK12" s="12">
        <f>AK11+AI12-AJ12</f>
        <v/>
      </c>
      <c r="AL12" s="12">
        <f>IF(ProviderDelay&gt;=1,S11*BlendedProvPayEss+T11*BlendedProvPayPrem+U11*BlendedProvPayElite+V11*BlendedProvPayEss+W11*BlendedProvPayPrem+X11*BlendedProvPayElite,S12*BlendedProvPayEss+T12*BlendedProvPayPrem+U12*BlendedProvPayElite+V12*BlendedProvPayEss+W12*BlendedProvPayPrem+X12*BlendedProvPayElite)</f>
        <v/>
      </c>
      <c r="AM12" s="12">
        <f>AE12*PaymentFee</f>
        <v/>
      </c>
      <c r="AN12" s="12">
        <f>Y12*OpsAI</f>
        <v/>
      </c>
      <c r="AO12" s="12">
        <f>MonthlyFixed</f>
        <v/>
      </c>
      <c r="AP12" s="12">
        <f>I12*ReferralReward</f>
        <v/>
      </c>
      <c r="AQ12" s="12">
        <f>G12</f>
        <v/>
      </c>
      <c r="AR12" s="9">
        <f>AH12-AL12-AM12-AN12-AO12-AP12-AQ12</f>
        <v/>
      </c>
      <c r="AS12" s="9">
        <f>AS11+AE12-(AL12+AM12+AN12+AO12+AP12+AQ12+AJ12)</f>
        <v/>
      </c>
      <c r="AT12" s="12">
        <f>IF(Y12&gt;0,Z12/Y12,0)</f>
        <v/>
      </c>
      <c r="AU12" s="11">
        <f>IF(Y11&gt;0,MAX(0,(Y11+J12-Y12)/Y11),0)</f>
        <v/>
      </c>
      <c r="AW12" s="12" t="n">
        <v>8</v>
      </c>
      <c r="AX12" s="12">
        <f>MOD(AW12-1+LaunchMonth-1,12)+1</f>
        <v/>
      </c>
      <c r="AY12" s="12">
        <f>INT((AW12-1+LaunchMonth-1)/12)+1</f>
        <v/>
      </c>
      <c r="AZ12" s="12">
        <f>VLOOKUP(AX12,SeasonTable,2,FALSE)</f>
        <v/>
      </c>
      <c r="BA12" s="12">
        <f>(1+InflationRate)^INT((AW12-1)/12)</f>
        <v/>
      </c>
      <c r="BB12" s="11">
        <f>MonthlyChurn*VLOOKUP(AX12,ChurnSeasonTable,4,FALSE)</f>
        <v/>
      </c>
      <c r="BC12" s="12">
        <f>MIN(MAX(MktMin7_12,CA11*MktPct7_12),MAX(0,CO11-CashBuffer))</f>
        <v/>
      </c>
      <c r="BD12" s="12">
        <f>IF(BC12&gt;0,MAX(1,ROUND(BC12/CAC*AZ12,0)),0)</f>
        <v/>
      </c>
      <c r="BE12" s="12">
        <f>IF(BD12&gt;0,ROUND(BD12*ReferralMix/(1-ReferralMix),0),0)</f>
        <v/>
      </c>
      <c r="BF12" s="12">
        <f>BD12+BE12</f>
        <v/>
      </c>
      <c r="BG12" s="12">
        <f>ROUND(BF12*(1-AnnualMix),0)</f>
        <v/>
      </c>
      <c r="BH12" s="12">
        <f>BF12-BG12</f>
        <v/>
      </c>
      <c r="BI12" s="12">
        <f>ROUND(BG12*EssentialMix,0)</f>
        <v/>
      </c>
      <c r="BJ12" s="12">
        <f>ROUND(BG12*PremiumMix,0)</f>
        <v/>
      </c>
      <c r="BK12" s="12">
        <f>BG12-BI12-BJ12</f>
        <v/>
      </c>
      <c r="BL12" s="12">
        <f>ROUND(BH12*EssentialMix,0)</f>
        <v/>
      </c>
      <c r="BM12" s="12">
        <f>ROUND(BH12*PremiumMix,0)</f>
        <v/>
      </c>
      <c r="BN12" s="12">
        <f>BH12-BL12-BM12</f>
        <v/>
      </c>
      <c r="BO12" s="12">
        <f>BI12+BI11+BI10+MAX(0,BO11-BI11-BI10)*(1-BB12)</f>
        <v/>
      </c>
      <c r="BP12" s="12">
        <f>BJ12+BJ11+BJ10+MAX(0,BP11-BJ11-BJ10)*(1-BB12)</f>
        <v/>
      </c>
      <c r="BQ12" s="12">
        <f>BK12+BK11+BK10+MAX(0,BQ11-BK11-BK10)*(1-BB12)</f>
        <v/>
      </c>
      <c r="BR12" s="12">
        <f>SUM(BL$5:BL12)</f>
        <v/>
      </c>
      <c r="BS12" s="12">
        <f>SUM(BM$5:BM12)</f>
        <v/>
      </c>
      <c r="BT12" s="12">
        <f>SUM(BN$5:BN12)</f>
        <v/>
      </c>
      <c r="BU12" s="12">
        <f>BO12+BP12+BQ12+BR12+BS12+BT12</f>
        <v/>
      </c>
      <c r="BV12" s="9">
        <f>BO12*BlendedPriceEssMonthly*BA12+BP12*BlendedPricePremMonthly*BA12+BQ12*BlendedPriceEliteMonthly*BA12+BR12*BlendedPriceEssAnnual*BA12/12+BS12*BlendedPricePremAnnual*BA12/12+BT12*BlendedPriceEliteAnnual*BA12/12</f>
        <v/>
      </c>
      <c r="BW12" s="9">
        <f>BV12*12</f>
        <v/>
      </c>
      <c r="BX12" s="12">
        <f>BO12*BlendedPriceEssMonthly*BA12+BP12*BlendedPricePremMonthly*BA12+BQ12*BlendedPriceEliteMonthly*BA12</f>
        <v/>
      </c>
      <c r="BY12" s="12">
        <f>BL12*BlendedPriceEssAnnual*BA12+BM12*BlendedPricePremAnnual*BA12+BN12*BlendedPriceEliteAnnual*BA12</f>
        <v/>
      </c>
      <c r="BZ12" s="12">
        <f>0+0+0</f>
        <v/>
      </c>
      <c r="CA12" s="9">
        <f>BX12+BY12+BZ12</f>
        <v/>
      </c>
      <c r="CB12" s="12">
        <f>SUM(CA$5:CA12)</f>
        <v/>
      </c>
      <c r="CC12" s="12">
        <f>OR(CC11,IF(VATAgentMode,SUM($CA$5:$CA12)-SUM($CH$5:$CH12)&gt;=VATThreshold,SUM($CA$5:$CA12)&gt;=VATThreshold))</f>
        <v/>
      </c>
      <c r="CD12" s="9">
        <f>IF(CC12,IF(VATAgentMode,CA12-((CA12-CH12)-(CA12-CH12)/(1+VATRate)),CA12/(1+VATRate)),CA12)</f>
        <v/>
      </c>
      <c r="CE12" s="12">
        <f>CA12-CD12</f>
        <v/>
      </c>
      <c r="CF12" s="12">
        <f>IF(CC12=0,0,IF(AX12=1,SUMPRODUCT(--(($AY$5:$AY12=$AY12-1)*($AX$5:$AX12&gt;=10)*($AX$5:$AX12&lt;=12)),$CE$5:$CE12),IF(AX12=4,SUMPRODUCT(--(($AY$5:$AY12=$AY12)*($AX$5:$AX12&gt;=1)*($AX$5:$AX12&lt;=3)),$CE$5:$CE12),IF(AX12=7,SUMPRODUCT(--(($AY$5:$AY12=$AY12)*($AX$5:$AX12&gt;=4)*($AX$5:$AX12&lt;=6)),$CE$5:$CE12),IF(AX12=10,SUMPRODUCT(--(($AY$5:$AY12=$AY12)*($AX$5:$AX12&gt;=7)*($AX$5:$AX12&lt;=9)),$CE$5:$CE12),0)))))</f>
        <v/>
      </c>
      <c r="CG12" s="12">
        <f>CG11+CE12-CF12</f>
        <v/>
      </c>
      <c r="CH12" s="12">
        <f>IF(ProviderDelay&gt;=1,BO11*BlendedProvPayEss+BP11*BlendedProvPayPrem+BQ11*BlendedProvPayElite+BR11*BlendedProvPayEss+BS11*BlendedProvPayPrem+BT11*BlendedProvPayElite,BO12*BlendedProvPayEss+BP12*BlendedProvPayPrem+BQ12*BlendedProvPayElite+BR12*BlendedProvPayEss+BS12*BlendedProvPayPrem+BT12*BlendedProvPayElite)</f>
        <v/>
      </c>
      <c r="CI12" s="12">
        <f>CA12*PaymentFee</f>
        <v/>
      </c>
      <c r="CJ12" s="12">
        <f>BU12*OpsAI</f>
        <v/>
      </c>
      <c r="CK12" s="12">
        <f>MonthlyFixed</f>
        <v/>
      </c>
      <c r="CL12" s="12">
        <f>BE12*ReferralReward</f>
        <v/>
      </c>
      <c r="CM12" s="12">
        <f>BC12</f>
        <v/>
      </c>
      <c r="CN12" s="9">
        <f>CD12-CH12-CI12-CJ12-CK12-CL12-CM12</f>
        <v/>
      </c>
      <c r="CO12" s="9">
        <f>CO11+CA12-(CH12+CI12+CJ12+CK12+CL12+CM12+CF12)</f>
        <v/>
      </c>
      <c r="CP12" s="12">
        <f>IF(BU12&gt;0,BV12/BU12,0)</f>
        <v/>
      </c>
      <c r="CQ12" s="11">
        <f>IF(BU11&gt;0,MAX(0,(BU11+BF12-BU12)/BU11),0)</f>
        <v/>
      </c>
      <c r="CS12" s="12" t="n">
        <v>8</v>
      </c>
      <c r="CT12" s="12">
        <f>MOD(CS12-1+LaunchMonth-1,12)+1</f>
        <v/>
      </c>
      <c r="CU12" s="12">
        <f>INT((CS12-1+LaunchMonth-1)/12)+1</f>
        <v/>
      </c>
      <c r="CV12" s="12">
        <f>VLOOKUP(CT12,SeasonTable,2,FALSE)</f>
        <v/>
      </c>
      <c r="CW12" s="12">
        <f>(1+InflationRate)^INT((CS12-1)/12)</f>
        <v/>
      </c>
      <c r="CX12" s="11">
        <f>'Sens - Scenarios'!$D$5*VLOOKUP(CT12,ChurnSeasonTable,4,FALSE)</f>
        <v/>
      </c>
      <c r="CY12" s="12">
        <f>MIN(MAX(MktMin7_12,DW11*MktPct7_12),MAX(0,EK11-CashBuffer))</f>
        <v/>
      </c>
      <c r="CZ12" s="12">
        <f>IF(CY12&gt;0,MAX(1,ROUND(CY12/'Sens - Scenarios'!$D$8*CV12,0)),0)</f>
        <v/>
      </c>
      <c r="DA12" s="12">
        <f>IF(CZ12&gt;0,ROUND(CZ12*ReferralMix/(1-ReferralMix),0),0)</f>
        <v/>
      </c>
      <c r="DB12" s="12">
        <f>CZ12+DA12</f>
        <v/>
      </c>
      <c r="DC12" s="12">
        <f>ROUND(DB12*(1-'Sens - Scenarios'!$D$7),0)</f>
        <v/>
      </c>
      <c r="DD12" s="12">
        <f>DB12-DC12</f>
        <v/>
      </c>
      <c r="DE12" s="12">
        <f>ROUND(DC12*EssentialMix,0)</f>
        <v/>
      </c>
      <c r="DF12" s="12">
        <f>ROUND(DC12*PremiumMix,0)</f>
        <v/>
      </c>
      <c r="DG12" s="12">
        <f>DC12-DE12-DF12</f>
        <v/>
      </c>
      <c r="DH12" s="12">
        <f>ROUND(DD12*EssentialMix,0)</f>
        <v/>
      </c>
      <c r="DI12" s="12">
        <f>ROUND(DD12*PremiumMix,0)</f>
        <v/>
      </c>
      <c r="DJ12" s="12">
        <f>DD12-DH12-DI12</f>
        <v/>
      </c>
      <c r="DK12" s="12">
        <f>DE12+DE11+DE10+MAX(0,DK11-DE11-DE10)*(1-CX12)</f>
        <v/>
      </c>
      <c r="DL12" s="12">
        <f>DF12+DF11+DF10+MAX(0,DL11-DF11-DF10)*(1-CX12)</f>
        <v/>
      </c>
      <c r="DM12" s="12">
        <f>DG12+DG11+DG10+MAX(0,DM11-DG11-DG10)*(1-CX12)</f>
        <v/>
      </c>
      <c r="DN12" s="12">
        <f>SUM(DH$5:DH12)</f>
        <v/>
      </c>
      <c r="DO12" s="12">
        <f>SUM(DI$5:DI12)</f>
        <v/>
      </c>
      <c r="DP12" s="12">
        <f>SUM(DJ$5:DJ12)</f>
        <v/>
      </c>
      <c r="DQ12" s="12">
        <f>DK12+DL12+DM12+DN12+DO12+DP12</f>
        <v/>
      </c>
      <c r="DR12" s="9">
        <f>DK12*BlendedPriceEssMonthly*CW12+DL12*BlendedPricePremMonthly*CW12+DM12*BlendedPriceEliteMonthly*CW12+DN12*BlendedPriceEssAnnual*CW12/12+DO12*BlendedPricePremAnnual*CW12/12+DP12*BlendedPriceEliteAnnual*CW12/12</f>
        <v/>
      </c>
      <c r="DS12" s="9">
        <f>DR12*12</f>
        <v/>
      </c>
      <c r="DT12" s="12">
        <f>DK12*BlendedPriceEssMonthly*CW12+DL12*BlendedPricePremMonthly*CW12+DM12*BlendedPriceEliteMonthly*CW12</f>
        <v/>
      </c>
      <c r="DU12" s="12">
        <f>DH12*BlendedPriceEssAnnual*CW12+DI12*BlendedPricePremAnnual*CW12+DJ12*BlendedPriceEliteAnnual*CW12</f>
        <v/>
      </c>
      <c r="DV12" s="12">
        <f>0+0+0</f>
        <v/>
      </c>
      <c r="DW12" s="9">
        <f>DT12+DU12+DV12</f>
        <v/>
      </c>
      <c r="DX12" s="12">
        <f>SUM(DW$5:DW12)</f>
        <v/>
      </c>
      <c r="DY12" s="12">
        <f>OR(DY11,IF(VATAgentMode,SUM($DW$5:$DW12)-SUM($ED$5:$ED12)&gt;=VATThreshold,SUM($DW$5:$DW12)&gt;=VATThreshold))</f>
        <v/>
      </c>
      <c r="DZ12" s="9">
        <f>IF(DY12,IF(VATAgentMode,DW12-((DW12-ED12)-(DW12-ED12)/(1+VATRate)),DW12/(1+VATRate)),DW12)</f>
        <v/>
      </c>
      <c r="EA12" s="12">
        <f>DW12-DZ12</f>
        <v/>
      </c>
      <c r="EB12" s="12">
        <f>IF(DY12=0,0,IF(CT12=1,SUMPRODUCT(--(($CU$5:$CU12=$CU12-1)*($CT$5:$CT12&gt;=10)*($CT$5:$CT12&lt;=12)),$EA$5:$EA12),IF(CT12=4,SUMPRODUCT(--(($CU$5:$CU12=$CU12)*($CT$5:$CT12&gt;=1)*($CT$5:$CT12&lt;=3)),$EA$5:$EA12),IF(CT12=7,SUMPRODUCT(--(($CU$5:$CU12=$CU12)*($CT$5:$CT12&gt;=4)*($CT$5:$CT12&lt;=6)),$EA$5:$EA12),IF(CT12=10,SUMPRODUCT(--(($CU$5:$CU12=$CU12)*($CT$5:$CT12&gt;=7)*($CT$5:$CT12&lt;=9)),$EA$5:$EA12),0)))))</f>
        <v/>
      </c>
      <c r="EC12" s="12">
        <f>EC11+EA12-EB12</f>
        <v/>
      </c>
      <c r="ED12" s="12">
        <f>IF(ProviderDelay&gt;=1,DK11*BlendedProvPayEss+DL11*BlendedProvPayPrem+DM11*BlendedProvPayElite+DN11*BlendedProvPayEss+DO11*BlendedProvPayPrem+DP11*BlendedProvPayElite,DK12*BlendedProvPayEss+DL12*BlendedProvPayPrem+DM12*BlendedProvPayElite+DN12*BlendedProvPayEss+DO12*BlendedProvPayPrem+DP12*BlendedProvPayElite)</f>
        <v/>
      </c>
      <c r="EE12" s="12">
        <f>DW12*PaymentFee</f>
        <v/>
      </c>
      <c r="EF12" s="12">
        <f>DQ12*OpsAI</f>
        <v/>
      </c>
      <c r="EG12" s="12">
        <f>MonthlyFixed</f>
        <v/>
      </c>
      <c r="EH12" s="12">
        <f>DA12*ReferralReward</f>
        <v/>
      </c>
      <c r="EI12" s="12">
        <f>CY12</f>
        <v/>
      </c>
      <c r="EJ12" s="9">
        <f>DZ12-ED12-EE12-EF12-EG12-EH12-EI12</f>
        <v/>
      </c>
      <c r="EK12" s="9">
        <f>EK11+DW12-(ED12+EE12+EF12+EG12+EH12+EI12+EB12)</f>
        <v/>
      </c>
      <c r="EL12" s="12">
        <f>IF(DQ12&gt;0,DR12/DQ12,0)</f>
        <v/>
      </c>
      <c r="EM12" s="11">
        <f>IF(DQ11&gt;0,MAX(0,(DQ11+DB12-DQ12)/DQ11),0)</f>
        <v/>
      </c>
      <c r="EO12" s="12" t="n">
        <v>8</v>
      </c>
      <c r="EP12" s="12">
        <f>MOD(EO12-1+LaunchMonth-1,12)+1</f>
        <v/>
      </c>
      <c r="EQ12" s="12">
        <f>INT((EO12-1+LaunchMonth-1)/12)+1</f>
        <v/>
      </c>
      <c r="ER12" s="12">
        <f>VLOOKUP(EP12,SeasonTable,2,FALSE)</f>
        <v/>
      </c>
      <c r="ES12" s="12">
        <f>(1+InflationRate)^INT((EO12-1)/12)</f>
        <v/>
      </c>
      <c r="ET12" s="11">
        <f>'Sens - Churn'!$A$13*VLOOKUP(EP12,ChurnSeasonTable,4,FALSE)</f>
        <v/>
      </c>
      <c r="EU12" s="12">
        <f>MIN(MAX(MktMin7_12,FS11*MktPct7_12),MAX(0,GG11-CashBuffer))</f>
        <v/>
      </c>
      <c r="EV12" s="12">
        <f>IF(EU12&gt;0,MAX(1,ROUND(EU12/CAC*ER12,0)),0)</f>
        <v/>
      </c>
      <c r="EW12" s="12">
        <f>IF(EV12&gt;0,ROUND(EV12*ReferralMix/(1-ReferralMix),0),0)</f>
        <v/>
      </c>
      <c r="EX12" s="12">
        <f>EV12+EW12</f>
        <v/>
      </c>
      <c r="EY12" s="12">
        <f>ROUND(EX12*(1-AnnualMix),0)</f>
        <v/>
      </c>
      <c r="EZ12" s="12">
        <f>EX12-EY12</f>
        <v/>
      </c>
      <c r="FA12" s="12">
        <f>ROUND(EY12*EssentialMix,0)</f>
        <v/>
      </c>
      <c r="FB12" s="12">
        <f>ROUND(EY12*PremiumMix,0)</f>
        <v/>
      </c>
      <c r="FC12" s="12">
        <f>EY12-FA12-FB12</f>
        <v/>
      </c>
      <c r="FD12" s="12">
        <f>ROUND(EZ12*EssentialMix,0)</f>
        <v/>
      </c>
      <c r="FE12" s="12">
        <f>ROUND(EZ12*PremiumMix,0)</f>
        <v/>
      </c>
      <c r="FF12" s="12">
        <f>EZ12-FD12-FE12</f>
        <v/>
      </c>
      <c r="FG12" s="12">
        <f>FA12+FA11+FA10+MAX(0,FG11-FA11-FA10)*(1-ET12)</f>
        <v/>
      </c>
      <c r="FH12" s="12">
        <f>FB12+FB11+FB10+MAX(0,FH11-FB11-FB10)*(1-ET12)</f>
        <v/>
      </c>
      <c r="FI12" s="12">
        <f>FC12+FC11+FC10+MAX(0,FI11-FC11-FC10)*(1-ET12)</f>
        <v/>
      </c>
      <c r="FJ12" s="12">
        <f>SUM(FD$5:FD12)</f>
        <v/>
      </c>
      <c r="FK12" s="12">
        <f>SUM(FE$5:FE12)</f>
        <v/>
      </c>
      <c r="FL12" s="12">
        <f>SUM(FF$5:FF12)</f>
        <v/>
      </c>
      <c r="FM12" s="12">
        <f>FG12+FH12+FI12+FJ12+FK12+FL12</f>
        <v/>
      </c>
      <c r="FN12" s="9">
        <f>FG12*BlendedPriceEssMonthly*ES12+FH12*BlendedPricePremMonthly*ES12+FI12*BlendedPriceEliteMonthly*ES12+FJ12*BlendedPriceEssAnnual*ES12/12+FK12*BlendedPricePremAnnual*ES12/12+FL12*BlendedPriceEliteAnnual*ES12/12</f>
        <v/>
      </c>
      <c r="FO12" s="9">
        <f>FN12*12</f>
        <v/>
      </c>
      <c r="FP12" s="12">
        <f>FG12*BlendedPriceEssMonthly*ES12+FH12*BlendedPricePremMonthly*ES12+FI12*BlendedPriceEliteMonthly*ES12</f>
        <v/>
      </c>
      <c r="FQ12" s="12">
        <f>FD12*BlendedPriceEssAnnual*ES12+FE12*BlendedPricePremAnnual*ES12+FF12*BlendedPriceEliteAnnual*ES12</f>
        <v/>
      </c>
      <c r="FR12" s="12">
        <f>0+0+0</f>
        <v/>
      </c>
      <c r="FS12" s="9">
        <f>FP12+FQ12+FR12</f>
        <v/>
      </c>
      <c r="FT12" s="12">
        <f>SUM(FS$5:FS12)</f>
        <v/>
      </c>
      <c r="FU12" s="12">
        <f>OR(FU11,IF(VATAgentMode,SUM($FS$5:$FS12)-SUM($FZ$5:$FZ12)&gt;=VATThreshold,SUM($FS$5:$FS12)&gt;=VATThreshold))</f>
        <v/>
      </c>
      <c r="FV12" s="9">
        <f>IF(FU12,IF(VATAgentMode,FS12-((FS12-FZ12)-(FS12-FZ12)/(1+VATRate)),FS12/(1+VATRate)),FS12)</f>
        <v/>
      </c>
      <c r="FW12" s="12">
        <f>FS12-FV12</f>
        <v/>
      </c>
      <c r="FX12" s="12">
        <f>IF(FU12=0,0,IF(EP12=1,SUMPRODUCT(--(($EQ$5:$EQ12=$EQ12-1)*($EP$5:$EP12&gt;=10)*($EP$5:$EP12&lt;=12)),$FW$5:$FW12),IF(EP12=4,SUMPRODUCT(--(($EQ$5:$EQ12=$EQ12)*($EP$5:$EP12&gt;=1)*($EP$5:$EP12&lt;=3)),$FW$5:$FW12),IF(EP12=7,SUMPRODUCT(--(($EQ$5:$EQ12=$EQ12)*($EP$5:$EP12&gt;=4)*($EP$5:$EP12&lt;=6)),$FW$5:$FW12),IF(EP12=10,SUMPRODUCT(--(($EQ$5:$EQ12=$EQ12)*($EP$5:$EP12&gt;=7)*($EP$5:$EP12&lt;=9)),$FW$5:$FW12),0)))))</f>
        <v/>
      </c>
      <c r="FY12" s="12">
        <f>FY11+FW12-FX12</f>
        <v/>
      </c>
      <c r="FZ12" s="12">
        <f>IF(ProviderDelay&gt;=1,FG11*BlendedProvPayEss+FH11*BlendedProvPayPrem+FI11*BlendedProvPayElite+FJ11*BlendedProvPayEss+FK11*BlendedProvPayPrem+FL11*BlendedProvPayElite,FG12*BlendedProvPayEss+FH12*BlendedProvPayPrem+FI12*BlendedProvPayElite+FJ12*BlendedProvPayEss+FK12*BlendedProvPayPrem+FL12*BlendedProvPayElite)</f>
        <v/>
      </c>
      <c r="GA12" s="12">
        <f>FS12*PaymentFee</f>
        <v/>
      </c>
      <c r="GB12" s="12">
        <f>FM12*OpsAI</f>
        <v/>
      </c>
      <c r="GC12" s="12">
        <f>MonthlyFixed</f>
        <v/>
      </c>
      <c r="GD12" s="12">
        <f>EW12*ReferralReward</f>
        <v/>
      </c>
      <c r="GE12" s="12">
        <f>EU12</f>
        <v/>
      </c>
      <c r="GF12" s="9">
        <f>FV12-FZ12-GA12-GB12-GC12-GD12-GE12</f>
        <v/>
      </c>
      <c r="GG12" s="9">
        <f>GG11+FS12-(FZ12+GA12+GB12+GC12+GD12+GE12+FX12)</f>
        <v/>
      </c>
      <c r="GH12" s="12">
        <f>IF(FM12&gt;0,FN12/FM12,0)</f>
        <v/>
      </c>
      <c r="GI12" s="11">
        <f>IF(FM11&gt;0,MAX(0,(FM11+EX12-FM12)/FM11),0)</f>
        <v/>
      </c>
      <c r="GK12" s="12" t="n">
        <v>8</v>
      </c>
      <c r="GL12" s="12">
        <f>MOD(GK12-1+LaunchMonth-1,12)+1</f>
        <v/>
      </c>
      <c r="GM12" s="12">
        <f>INT((GK12-1+LaunchMonth-1)/12)+1</f>
        <v/>
      </c>
      <c r="GN12" s="12">
        <f>VLOOKUP(GL12,SeasonTable,2,FALSE)</f>
        <v/>
      </c>
      <c r="GO12" s="12">
        <f>(1+InflationRate)^INT((GK12-1)/12)</f>
        <v/>
      </c>
      <c r="GP12" s="11">
        <f>'Sens - Churn'!$A$14*VLOOKUP(GL12,ChurnSeasonTable,4,FALSE)</f>
        <v/>
      </c>
      <c r="GQ12" s="12">
        <f>MIN(MAX(MktMin7_12,HO11*MktPct7_12),MAX(0,IC11-CashBuffer))</f>
        <v/>
      </c>
      <c r="GR12" s="12">
        <f>IF(GQ12&gt;0,MAX(1,ROUND(GQ12/CAC*GN12,0)),0)</f>
        <v/>
      </c>
      <c r="GS12" s="12">
        <f>IF(GR12&gt;0,ROUND(GR12*ReferralMix/(1-ReferralMix),0),0)</f>
        <v/>
      </c>
      <c r="GT12" s="12">
        <f>GR12+GS12</f>
        <v/>
      </c>
      <c r="GU12" s="12">
        <f>ROUND(GT12*(1-AnnualMix),0)</f>
        <v/>
      </c>
      <c r="GV12" s="12">
        <f>GT12-GU12</f>
        <v/>
      </c>
      <c r="GW12" s="12">
        <f>ROUND(GU12*EssentialMix,0)</f>
        <v/>
      </c>
      <c r="GX12" s="12">
        <f>ROUND(GU12*PremiumMix,0)</f>
        <v/>
      </c>
      <c r="GY12" s="12">
        <f>GU12-GW12-GX12</f>
        <v/>
      </c>
      <c r="GZ12" s="12">
        <f>ROUND(GV12*EssentialMix,0)</f>
        <v/>
      </c>
      <c r="HA12" s="12">
        <f>ROUND(GV12*PremiumMix,0)</f>
        <v/>
      </c>
      <c r="HB12" s="12">
        <f>GV12-GZ12-HA12</f>
        <v/>
      </c>
      <c r="HC12" s="12">
        <f>GW12+GW11+GW10+MAX(0,HC11-GW11-GW10)*(1-GP12)</f>
        <v/>
      </c>
      <c r="HD12" s="12">
        <f>GX12+GX11+GX10+MAX(0,HD11-GX11-GX10)*(1-GP12)</f>
        <v/>
      </c>
      <c r="HE12" s="12">
        <f>GY12+GY11+GY10+MAX(0,HE11-GY11-GY10)*(1-GP12)</f>
        <v/>
      </c>
      <c r="HF12" s="12">
        <f>SUM(GZ$5:GZ12)</f>
        <v/>
      </c>
      <c r="HG12" s="12">
        <f>SUM(HA$5:HA12)</f>
        <v/>
      </c>
      <c r="HH12" s="12">
        <f>SUM(HB$5:HB12)</f>
        <v/>
      </c>
      <c r="HI12" s="12">
        <f>HC12+HD12+HE12+HF12+HG12+HH12</f>
        <v/>
      </c>
      <c r="HJ12" s="9">
        <f>HC12*BlendedPriceEssMonthly*GO12+HD12*BlendedPricePremMonthly*GO12+HE12*BlendedPriceEliteMonthly*GO12+HF12*BlendedPriceEssAnnual*GO12/12+HG12*BlendedPricePremAnnual*GO12/12+HH12*BlendedPriceEliteAnnual*GO12/12</f>
        <v/>
      </c>
      <c r="HK12" s="9">
        <f>HJ12*12</f>
        <v/>
      </c>
      <c r="HL12" s="12">
        <f>HC12*BlendedPriceEssMonthly*GO12+HD12*BlendedPricePremMonthly*GO12+HE12*BlendedPriceEliteMonthly*GO12</f>
        <v/>
      </c>
      <c r="HM12" s="12">
        <f>GZ12*BlendedPriceEssAnnual*GO12+HA12*BlendedPricePremAnnual*GO12+HB12*BlendedPriceEliteAnnual*GO12</f>
        <v/>
      </c>
      <c r="HN12" s="12">
        <f>0+0+0</f>
        <v/>
      </c>
      <c r="HO12" s="9">
        <f>HL12+HM12+HN12</f>
        <v/>
      </c>
      <c r="HP12" s="12">
        <f>SUM(HO$5:HO12)</f>
        <v/>
      </c>
      <c r="HQ12" s="12">
        <f>OR(HQ11,IF(VATAgentMode,SUM($HO$5:$HO12)-SUM($HV$5:$HV12)&gt;=VATThreshold,SUM($HO$5:$HO12)&gt;=VATThreshold))</f>
        <v/>
      </c>
      <c r="HR12" s="9">
        <f>IF(HQ12,IF(VATAgentMode,HO12-((HO12-HV12)-(HO12-HV12)/(1+VATRate)),HO12/(1+VATRate)),HO12)</f>
        <v/>
      </c>
      <c r="HS12" s="12">
        <f>HO12-HR12</f>
        <v/>
      </c>
      <c r="HT12" s="12">
        <f>IF(HQ12=0,0,IF(GL12=1,SUMPRODUCT(--(($GM$5:$GM12=$GM12-1)*($GL$5:$GL12&gt;=10)*($GL$5:$GL12&lt;=12)),$HS$5:$HS12),IF(GL12=4,SUMPRODUCT(--(($GM$5:$GM12=$GM12)*($GL$5:$GL12&gt;=1)*($GL$5:$GL12&lt;=3)),$HS$5:$HS12),IF(GL12=7,SUMPRODUCT(--(($GM$5:$GM12=$GM12)*($GL$5:$GL12&gt;=4)*($GL$5:$GL12&lt;=6)),$HS$5:$HS12),IF(GL12=10,SUMPRODUCT(--(($GM$5:$GM12=$GM12)*($GL$5:$GL12&gt;=7)*($GL$5:$GL12&lt;=9)),$HS$5:$HS12),0)))))</f>
        <v/>
      </c>
      <c r="HU12" s="12">
        <f>HU11+HS12-HT12</f>
        <v/>
      </c>
      <c r="HV12" s="12">
        <f>IF(ProviderDelay&gt;=1,HC11*BlendedProvPayEss+HD11*BlendedProvPayPrem+HE11*BlendedProvPayElite+HF11*BlendedProvPayEss+HG11*BlendedProvPayPrem+HH11*BlendedProvPayElite,HC12*BlendedProvPayEss+HD12*BlendedProvPayPrem+HE12*BlendedProvPayElite+HF12*BlendedProvPayEss+HG12*BlendedProvPayPrem+HH12*BlendedProvPayElite)</f>
        <v/>
      </c>
      <c r="HW12" s="12">
        <f>HO12*PaymentFee</f>
        <v/>
      </c>
      <c r="HX12" s="12">
        <f>HI12*OpsAI</f>
        <v/>
      </c>
      <c r="HY12" s="12">
        <f>MonthlyFixed</f>
        <v/>
      </c>
      <c r="HZ12" s="12">
        <f>GS12*ReferralReward</f>
        <v/>
      </c>
      <c r="IA12" s="12">
        <f>GQ12</f>
        <v/>
      </c>
      <c r="IB12" s="9">
        <f>HR12-HV12-HW12-HX12-HY12-HZ12-IA12</f>
        <v/>
      </c>
      <c r="IC12" s="9">
        <f>IC11+HO12-(HV12+HW12+HX12+HY12+HZ12+IA12+HT12)</f>
        <v/>
      </c>
      <c r="ID12" s="12">
        <f>IF(HI12&gt;0,HJ12/HI12,0)</f>
        <v/>
      </c>
      <c r="IE12" s="11">
        <f>IF(HI11&gt;0,MAX(0,(HI11+GT12-HI12)/HI11),0)</f>
        <v/>
      </c>
      <c r="IG12" s="12" t="n">
        <v>8</v>
      </c>
      <c r="IH12" s="12">
        <f>MOD(IG12-1+LaunchMonth-1,12)+1</f>
        <v/>
      </c>
      <c r="II12" s="12">
        <f>INT((IG12-1+LaunchMonth-1)/12)+1</f>
        <v/>
      </c>
      <c r="IJ12" s="12">
        <f>VLOOKUP(IH12,SeasonTable,2,FALSE)</f>
        <v/>
      </c>
      <c r="IK12" s="12">
        <f>(1+InflationRate)^INT((IG12-1)/12)</f>
        <v/>
      </c>
      <c r="IL12" s="11">
        <f>'Sens - Churn'!$A$15*VLOOKUP(IH12,ChurnSeasonTable,4,FALSE)</f>
        <v/>
      </c>
      <c r="IM12" s="12">
        <f>MIN(MAX(MktMin7_12,JK11*MktPct7_12),MAX(0,JY11-CashBuffer))</f>
        <v/>
      </c>
      <c r="IN12" s="12">
        <f>IF(IM12&gt;0,MAX(1,ROUND(IM12/CAC*IJ12,0)),0)</f>
        <v/>
      </c>
      <c r="IO12" s="12">
        <f>IF(IN12&gt;0,ROUND(IN12*ReferralMix/(1-ReferralMix),0),0)</f>
        <v/>
      </c>
      <c r="IP12" s="12">
        <f>IN12+IO12</f>
        <v/>
      </c>
      <c r="IQ12" s="12">
        <f>ROUND(IP12*(1-AnnualMix),0)</f>
        <v/>
      </c>
      <c r="IR12" s="12">
        <f>IP12-IQ12</f>
        <v/>
      </c>
      <c r="IS12" s="12">
        <f>ROUND(IQ12*EssentialMix,0)</f>
        <v/>
      </c>
      <c r="IT12" s="12">
        <f>ROUND(IQ12*PremiumMix,0)</f>
        <v/>
      </c>
      <c r="IU12" s="12">
        <f>IQ12-IS12-IT12</f>
        <v/>
      </c>
      <c r="IV12" s="12">
        <f>ROUND(IR12*EssentialMix,0)</f>
        <v/>
      </c>
      <c r="IW12" s="12">
        <f>ROUND(IR12*PremiumMix,0)</f>
        <v/>
      </c>
      <c r="IX12" s="12">
        <f>IR12-IV12-IW12</f>
        <v/>
      </c>
      <c r="IY12" s="12">
        <f>IS12+IS11+IS10+MAX(0,IY11-IS11-IS10)*(1-IL12)</f>
        <v/>
      </c>
      <c r="IZ12" s="12">
        <f>IT12+IT11+IT10+MAX(0,IZ11-IT11-IT10)*(1-IL12)</f>
        <v/>
      </c>
      <c r="JA12" s="12">
        <f>IU12+IU11+IU10+MAX(0,JA11-IU11-IU10)*(1-IL12)</f>
        <v/>
      </c>
      <c r="JB12" s="12">
        <f>SUM(IV$5:IV12)</f>
        <v/>
      </c>
      <c r="JC12" s="12">
        <f>SUM(IW$5:IW12)</f>
        <v/>
      </c>
      <c r="JD12" s="12">
        <f>SUM(IX$5:IX12)</f>
        <v/>
      </c>
      <c r="JE12" s="12">
        <f>IY12+IZ12+JA12+JB12+JC12+JD12</f>
        <v/>
      </c>
      <c r="JF12" s="9">
        <f>IY12*BlendedPriceEssMonthly*IK12+IZ12*BlendedPricePremMonthly*IK12+JA12*BlendedPriceEliteMonthly*IK12+JB12*BlendedPriceEssAnnual*IK12/12+JC12*BlendedPricePremAnnual*IK12/12+JD12*BlendedPriceEliteAnnual*IK12/12</f>
        <v/>
      </c>
      <c r="JG12" s="9">
        <f>JF12*12</f>
        <v/>
      </c>
      <c r="JH12" s="12">
        <f>IY12*BlendedPriceEssMonthly*IK12+IZ12*BlendedPricePremMonthly*IK12+JA12*BlendedPriceEliteMonthly*IK12</f>
        <v/>
      </c>
      <c r="JI12" s="12">
        <f>IV12*BlendedPriceEssAnnual*IK12+IW12*BlendedPricePremAnnual*IK12+IX12*BlendedPriceEliteAnnual*IK12</f>
        <v/>
      </c>
      <c r="JJ12" s="12">
        <f>0+0+0</f>
        <v/>
      </c>
      <c r="JK12" s="9">
        <f>JH12+JI12+JJ12</f>
        <v/>
      </c>
      <c r="JL12" s="12">
        <f>SUM(JK$5:JK12)</f>
        <v/>
      </c>
      <c r="JM12" s="12">
        <f>OR(JM11,IF(VATAgentMode,SUM($JK$5:$JK12)-SUM($JR$5:$JR12)&gt;=VATThreshold,SUM($JK$5:$JK12)&gt;=VATThreshold))</f>
        <v/>
      </c>
      <c r="JN12" s="9">
        <f>IF(JM12,IF(VATAgentMode,JK12-((JK12-JR12)-(JK12-JR12)/(1+VATRate)),JK12/(1+VATRate)),JK12)</f>
        <v/>
      </c>
      <c r="JO12" s="12">
        <f>JK12-JN12</f>
        <v/>
      </c>
      <c r="JP12" s="12">
        <f>IF(JM12=0,0,IF(IH12=1,SUMPRODUCT(--(($II$5:$II12=$II12-1)*($IH$5:$IH12&gt;=10)*($IH$5:$IH12&lt;=12)),$JO$5:$JO12),IF(IH12=4,SUMPRODUCT(--(($II$5:$II12=$II12)*($IH$5:$IH12&gt;=1)*($IH$5:$IH12&lt;=3)),$JO$5:$JO12),IF(IH12=7,SUMPRODUCT(--(($II$5:$II12=$II12)*($IH$5:$IH12&gt;=4)*($IH$5:$IH12&lt;=6)),$JO$5:$JO12),IF(IH12=10,SUMPRODUCT(--(($II$5:$II12=$II12)*($IH$5:$IH12&gt;=7)*($IH$5:$IH12&lt;=9)),$JO$5:$JO12),0)))))</f>
        <v/>
      </c>
      <c r="JQ12" s="12">
        <f>JQ11+JO12-JP12</f>
        <v/>
      </c>
      <c r="JR12" s="12">
        <f>IF(ProviderDelay&gt;=1,IY11*BlendedProvPayEss+IZ11*BlendedProvPayPrem+JA11*BlendedProvPayElite+JB11*BlendedProvPayEss+JC11*BlendedProvPayPrem+JD11*BlendedProvPayElite,IY12*BlendedProvPayEss+IZ12*BlendedProvPayPrem+JA12*BlendedProvPayElite+JB12*BlendedProvPayEss+JC12*BlendedProvPayPrem+JD12*BlendedProvPayElite)</f>
        <v/>
      </c>
      <c r="JS12" s="12">
        <f>JK12*PaymentFee</f>
        <v/>
      </c>
      <c r="JT12" s="12">
        <f>JE12*OpsAI</f>
        <v/>
      </c>
      <c r="JU12" s="12">
        <f>MonthlyFixed</f>
        <v/>
      </c>
      <c r="JV12" s="12">
        <f>IO12*ReferralReward</f>
        <v/>
      </c>
      <c r="JW12" s="12">
        <f>IM12</f>
        <v/>
      </c>
      <c r="JX12" s="9">
        <f>JN12-JR12-JS12-JT12-JU12-JV12-JW12</f>
        <v/>
      </c>
      <c r="JY12" s="9">
        <f>JY11+JK12-(JR12+JS12+JT12+JU12+JV12+JW12+JP12)</f>
        <v/>
      </c>
      <c r="JZ12" s="12">
        <f>IF(JE12&gt;0,JF12/JE12,0)</f>
        <v/>
      </c>
      <c r="KA12" s="11">
        <f>IF(JE11&gt;0,MAX(0,(JE11+IP12-JE12)/JE11),0)</f>
        <v/>
      </c>
      <c r="KC12" s="12" t="n">
        <v>8</v>
      </c>
      <c r="KD12" s="12">
        <f>MOD(KC12-1+LaunchMonth-1,12)+1</f>
        <v/>
      </c>
      <c r="KE12" s="12">
        <f>INT((KC12-1+LaunchMonth-1)/12)+1</f>
        <v/>
      </c>
      <c r="KF12" s="12">
        <f>VLOOKUP(KD12,SeasonTable,2,FALSE)</f>
        <v/>
      </c>
      <c r="KG12" s="12">
        <f>(1+InflationRate)^INT((KC12-1)/12)</f>
        <v/>
      </c>
      <c r="KH12" s="11">
        <f>'Sens - Churn'!$A$16*VLOOKUP(KD12,ChurnSeasonTable,4,FALSE)</f>
        <v/>
      </c>
      <c r="KI12" s="12">
        <f>MIN(MAX(MktMin7_12,LG11*MktPct7_12),MAX(0,LU11-CashBuffer))</f>
        <v/>
      </c>
      <c r="KJ12" s="12">
        <f>IF(KI12&gt;0,MAX(1,ROUND(KI12/CAC*KF12,0)),0)</f>
        <v/>
      </c>
      <c r="KK12" s="12">
        <f>IF(KJ12&gt;0,ROUND(KJ12*ReferralMix/(1-ReferralMix),0),0)</f>
        <v/>
      </c>
      <c r="KL12" s="12">
        <f>KJ12+KK12</f>
        <v/>
      </c>
      <c r="KM12" s="12">
        <f>ROUND(KL12*(1-AnnualMix),0)</f>
        <v/>
      </c>
      <c r="KN12" s="12">
        <f>KL12-KM12</f>
        <v/>
      </c>
      <c r="KO12" s="12">
        <f>ROUND(KM12*EssentialMix,0)</f>
        <v/>
      </c>
      <c r="KP12" s="12">
        <f>ROUND(KM12*PremiumMix,0)</f>
        <v/>
      </c>
      <c r="KQ12" s="12">
        <f>KM12-KO12-KP12</f>
        <v/>
      </c>
      <c r="KR12" s="12">
        <f>ROUND(KN12*EssentialMix,0)</f>
        <v/>
      </c>
      <c r="KS12" s="12">
        <f>ROUND(KN12*PremiumMix,0)</f>
        <v/>
      </c>
      <c r="KT12" s="12">
        <f>KN12-KR12-KS12</f>
        <v/>
      </c>
      <c r="KU12" s="12">
        <f>KO12+KO11+KO10+MAX(0,KU11-KO11-KO10)*(1-KH12)</f>
        <v/>
      </c>
      <c r="KV12" s="12">
        <f>KP12+KP11+KP10+MAX(0,KV11-KP11-KP10)*(1-KH12)</f>
        <v/>
      </c>
      <c r="KW12" s="12">
        <f>KQ12+KQ11+KQ10+MAX(0,KW11-KQ11-KQ10)*(1-KH12)</f>
        <v/>
      </c>
      <c r="KX12" s="12">
        <f>SUM(KR$5:KR12)</f>
        <v/>
      </c>
      <c r="KY12" s="12">
        <f>SUM(KS$5:KS12)</f>
        <v/>
      </c>
      <c r="KZ12" s="12">
        <f>SUM(KT$5:KT12)</f>
        <v/>
      </c>
      <c r="LA12" s="12">
        <f>KU12+KV12+KW12+KX12+KY12+KZ12</f>
        <v/>
      </c>
      <c r="LB12" s="9">
        <f>KU12*BlendedPriceEssMonthly*KG12+KV12*BlendedPricePremMonthly*KG12+KW12*BlendedPriceEliteMonthly*KG12+KX12*BlendedPriceEssAnnual*KG12/12+KY12*BlendedPricePremAnnual*KG12/12+KZ12*BlendedPriceEliteAnnual*KG12/12</f>
        <v/>
      </c>
      <c r="LC12" s="9">
        <f>LB12*12</f>
        <v/>
      </c>
      <c r="LD12" s="12">
        <f>KU12*BlendedPriceEssMonthly*KG12+KV12*BlendedPricePremMonthly*KG12+KW12*BlendedPriceEliteMonthly*KG12</f>
        <v/>
      </c>
      <c r="LE12" s="12">
        <f>KR12*BlendedPriceEssAnnual*KG12+KS12*BlendedPricePremAnnual*KG12+KT12*BlendedPriceEliteAnnual*KG12</f>
        <v/>
      </c>
      <c r="LF12" s="12">
        <f>0+0+0</f>
        <v/>
      </c>
      <c r="LG12" s="9">
        <f>LD12+LE12+LF12</f>
        <v/>
      </c>
      <c r="LH12" s="12">
        <f>SUM(LG$5:LG12)</f>
        <v/>
      </c>
      <c r="LI12" s="12">
        <f>OR(LI11,IF(VATAgentMode,SUM($LG$5:$LG12)-SUM($LN$5:$LN12)&gt;=VATThreshold,SUM($LG$5:$LG12)&gt;=VATThreshold))</f>
        <v/>
      </c>
      <c r="LJ12" s="9">
        <f>IF(LI12,IF(VATAgentMode,LG12-((LG12-LN12)-(LG12-LN12)/(1+VATRate)),LG12/(1+VATRate)),LG12)</f>
        <v/>
      </c>
      <c r="LK12" s="12">
        <f>LG12-LJ12</f>
        <v/>
      </c>
      <c r="LL12" s="12">
        <f>IF(LI12=0,0,IF(KD12=1,SUMPRODUCT(--(($KE$5:$KE12=$KE12-1)*($KD$5:$KD12&gt;=10)*($KD$5:$KD12&lt;=12)),$LK$5:$LK12),IF(KD12=4,SUMPRODUCT(--(($KE$5:$KE12=$KE12)*($KD$5:$KD12&gt;=1)*($KD$5:$KD12&lt;=3)),$LK$5:$LK12),IF(KD12=7,SUMPRODUCT(--(($KE$5:$KE12=$KE12)*($KD$5:$KD12&gt;=4)*($KD$5:$KD12&lt;=6)),$LK$5:$LK12),IF(KD12=10,SUMPRODUCT(--(($KE$5:$KE12=$KE12)*($KD$5:$KD12&gt;=7)*($KD$5:$KD12&lt;=9)),$LK$5:$LK12),0)))))</f>
        <v/>
      </c>
      <c r="LM12" s="12">
        <f>LM11+LK12-LL12</f>
        <v/>
      </c>
      <c r="LN12" s="12">
        <f>IF(ProviderDelay&gt;=1,KU11*BlendedProvPayEss+KV11*BlendedProvPayPrem+KW11*BlendedProvPayElite+KX11*BlendedProvPayEss+KY11*BlendedProvPayPrem+KZ11*BlendedProvPayElite,KU12*BlendedProvPayEss+KV12*BlendedProvPayPrem+KW12*BlendedProvPayElite+KX12*BlendedProvPayEss+KY12*BlendedProvPayPrem+KZ12*BlendedProvPayElite)</f>
        <v/>
      </c>
      <c r="LO12" s="12">
        <f>LG12*PaymentFee</f>
        <v/>
      </c>
      <c r="LP12" s="12">
        <f>LA12*OpsAI</f>
        <v/>
      </c>
      <c r="LQ12" s="12">
        <f>MonthlyFixed</f>
        <v/>
      </c>
      <c r="LR12" s="12">
        <f>KK12*ReferralReward</f>
        <v/>
      </c>
      <c r="LS12" s="12">
        <f>KI12</f>
        <v/>
      </c>
      <c r="LT12" s="9">
        <f>LJ12-LN12-LO12-LP12-LQ12-LR12-LS12</f>
        <v/>
      </c>
      <c r="LU12" s="9">
        <f>LU11+LG12-(LN12+LO12+LP12+LQ12+LR12+LS12+LL12)</f>
        <v/>
      </c>
      <c r="LV12" s="12">
        <f>IF(LA12&gt;0,LB12/LA12,0)</f>
        <v/>
      </c>
      <c r="LW12" s="11">
        <f>IF(LA11&gt;0,MAX(0,(LA11+KL12-LA12)/LA11),0)</f>
        <v/>
      </c>
      <c r="LY12" s="12" t="n">
        <v>8</v>
      </c>
      <c r="LZ12" s="12">
        <f>MOD(LY12-1+LaunchMonth-1,12)+1</f>
        <v/>
      </c>
      <c r="MA12" s="12">
        <f>INT((LY12-1+LaunchMonth-1)/12)+1</f>
        <v/>
      </c>
      <c r="MB12" s="12">
        <f>VLOOKUP(LZ12,SeasonTable,2,FALSE)</f>
        <v/>
      </c>
      <c r="MC12" s="12">
        <f>(1+InflationRate)^INT((LY12-1)/12)</f>
        <v/>
      </c>
      <c r="MD12" s="11">
        <f>'Sens - Churn'!$A$17*VLOOKUP(LZ12,ChurnSeasonTable,4,FALSE)</f>
        <v/>
      </c>
      <c r="ME12" s="12">
        <f>MIN(MAX(MktMin7_12,NC11*MktPct7_12),MAX(0,NQ11-CashBuffer))</f>
        <v/>
      </c>
      <c r="MF12" s="12">
        <f>IF(ME12&gt;0,MAX(1,ROUND(ME12/CAC*MB12,0)),0)</f>
        <v/>
      </c>
      <c r="MG12" s="12">
        <f>IF(MF12&gt;0,ROUND(MF12*ReferralMix/(1-ReferralMix),0),0)</f>
        <v/>
      </c>
      <c r="MH12" s="12">
        <f>MF12+MG12</f>
        <v/>
      </c>
      <c r="MI12" s="12">
        <f>ROUND(MH12*(1-AnnualMix),0)</f>
        <v/>
      </c>
      <c r="MJ12" s="12">
        <f>MH12-MI12</f>
        <v/>
      </c>
      <c r="MK12" s="12">
        <f>ROUND(MI12*EssentialMix,0)</f>
        <v/>
      </c>
      <c r="ML12" s="12">
        <f>ROUND(MI12*PremiumMix,0)</f>
        <v/>
      </c>
      <c r="MM12" s="12">
        <f>MI12-MK12-ML12</f>
        <v/>
      </c>
      <c r="MN12" s="12">
        <f>ROUND(MJ12*EssentialMix,0)</f>
        <v/>
      </c>
      <c r="MO12" s="12">
        <f>ROUND(MJ12*PremiumMix,0)</f>
        <v/>
      </c>
      <c r="MP12" s="12">
        <f>MJ12-MN12-MO12</f>
        <v/>
      </c>
      <c r="MQ12" s="12">
        <f>MK12+MK11+MK10+MAX(0,MQ11-MK11-MK10)*(1-MD12)</f>
        <v/>
      </c>
      <c r="MR12" s="12">
        <f>ML12+ML11+ML10+MAX(0,MR11-ML11-ML10)*(1-MD12)</f>
        <v/>
      </c>
      <c r="MS12" s="12">
        <f>MM12+MM11+MM10+MAX(0,MS11-MM11-MM10)*(1-MD12)</f>
        <v/>
      </c>
      <c r="MT12" s="12">
        <f>SUM(MN$5:MN12)</f>
        <v/>
      </c>
      <c r="MU12" s="12">
        <f>SUM(MO$5:MO12)</f>
        <v/>
      </c>
      <c r="MV12" s="12">
        <f>SUM(MP$5:MP12)</f>
        <v/>
      </c>
      <c r="MW12" s="12">
        <f>MQ12+MR12+MS12+MT12+MU12+MV12</f>
        <v/>
      </c>
      <c r="MX12" s="9">
        <f>MQ12*BlendedPriceEssMonthly*MC12+MR12*BlendedPricePremMonthly*MC12+MS12*BlendedPriceEliteMonthly*MC12+MT12*BlendedPriceEssAnnual*MC12/12+MU12*BlendedPricePremAnnual*MC12/12+MV12*BlendedPriceEliteAnnual*MC12/12</f>
        <v/>
      </c>
      <c r="MY12" s="9">
        <f>MX12*12</f>
        <v/>
      </c>
      <c r="MZ12" s="12">
        <f>MQ12*BlendedPriceEssMonthly*MC12+MR12*BlendedPricePremMonthly*MC12+MS12*BlendedPriceEliteMonthly*MC12</f>
        <v/>
      </c>
      <c r="NA12" s="12">
        <f>MN12*BlendedPriceEssAnnual*MC12+MO12*BlendedPricePremAnnual*MC12+MP12*BlendedPriceEliteAnnual*MC12</f>
        <v/>
      </c>
      <c r="NB12" s="12">
        <f>0+0+0</f>
        <v/>
      </c>
      <c r="NC12" s="9">
        <f>MZ12+NA12+NB12</f>
        <v/>
      </c>
      <c r="ND12" s="12">
        <f>SUM(NC$5:NC12)</f>
        <v/>
      </c>
      <c r="NE12" s="12">
        <f>OR(NE11,IF(VATAgentMode,SUM($NC$5:$NC12)-SUM($NJ$5:$NJ12)&gt;=VATThreshold,SUM($NC$5:$NC12)&gt;=VATThreshold))</f>
        <v/>
      </c>
      <c r="NF12" s="9">
        <f>IF(NE12,IF(VATAgentMode,NC12-((NC12-NJ12)-(NC12-NJ12)/(1+VATRate)),NC12/(1+VATRate)),NC12)</f>
        <v/>
      </c>
      <c r="NG12" s="12">
        <f>NC12-NF12</f>
        <v/>
      </c>
      <c r="NH12" s="12">
        <f>IF(NE12=0,0,IF(LZ12=1,SUMPRODUCT(--(($MA$5:$MA12=$MA12-1)*($LZ$5:$LZ12&gt;=10)*($LZ$5:$LZ12&lt;=12)),$NG$5:$NG12),IF(LZ12=4,SUMPRODUCT(--(($MA$5:$MA12=$MA12)*($LZ$5:$LZ12&gt;=1)*($LZ$5:$LZ12&lt;=3)),$NG$5:$NG12),IF(LZ12=7,SUMPRODUCT(--(($MA$5:$MA12=$MA12)*($LZ$5:$LZ12&gt;=4)*($LZ$5:$LZ12&lt;=6)),$NG$5:$NG12),IF(LZ12=10,SUMPRODUCT(--(($MA$5:$MA12=$MA12)*($LZ$5:$LZ12&gt;=7)*($LZ$5:$LZ12&lt;=9)),$NG$5:$NG12),0)))))</f>
        <v/>
      </c>
      <c r="NI12" s="12">
        <f>NI11+NG12-NH12</f>
        <v/>
      </c>
      <c r="NJ12" s="12">
        <f>IF(ProviderDelay&gt;=1,MQ11*BlendedProvPayEss+MR11*BlendedProvPayPrem+MS11*BlendedProvPayElite+MT11*BlendedProvPayEss+MU11*BlendedProvPayPrem+MV11*BlendedProvPayElite,MQ12*BlendedProvPayEss+MR12*BlendedProvPayPrem+MS12*BlendedProvPayElite+MT12*BlendedProvPayEss+MU12*BlendedProvPayPrem+MV12*BlendedProvPayElite)</f>
        <v/>
      </c>
      <c r="NK12" s="12">
        <f>NC12*PaymentFee</f>
        <v/>
      </c>
      <c r="NL12" s="12">
        <f>MW12*OpsAI</f>
        <v/>
      </c>
      <c r="NM12" s="12">
        <f>MonthlyFixed</f>
        <v/>
      </c>
      <c r="NN12" s="12">
        <f>MG12*ReferralReward</f>
        <v/>
      </c>
      <c r="NO12" s="12">
        <f>ME12</f>
        <v/>
      </c>
      <c r="NP12" s="9">
        <f>NF12-NJ12-NK12-NL12-NM12-NN12-NO12</f>
        <v/>
      </c>
      <c r="NQ12" s="9">
        <f>NQ11+NC12-(NJ12+NK12+NL12+NM12+NN12+NO12+NH12)</f>
        <v/>
      </c>
      <c r="NR12" s="12">
        <f>IF(MW12&gt;0,MX12/MW12,0)</f>
        <v/>
      </c>
      <c r="NS12" s="11">
        <f>IF(MW11&gt;0,MAX(0,(MW11+MH12-MW12)/MW11),0)</f>
        <v/>
      </c>
      <c r="NU12" s="12" t="n">
        <v>8</v>
      </c>
      <c r="NV12" s="12">
        <f>MOD(NU12-1+LaunchMonth-1,12)+1</f>
        <v/>
      </c>
      <c r="NW12" s="12">
        <f>INT((NU12-1+LaunchMonth-1)/12)+1</f>
        <v/>
      </c>
      <c r="NX12" s="12">
        <f>VLOOKUP(NV12,SeasonTable,2,FALSE)</f>
        <v/>
      </c>
      <c r="NY12" s="12">
        <f>(1+InflationRate)^INT((NU12-1)/12)</f>
        <v/>
      </c>
      <c r="NZ12" s="11">
        <f>'Sens - Churn'!$A$18*VLOOKUP(NV12,ChurnSeasonTable,4,FALSE)</f>
        <v/>
      </c>
      <c r="OA12" s="12">
        <f>MIN(MAX(MktMin7_12,OY11*MktPct7_12),MAX(0,PM11-CashBuffer))</f>
        <v/>
      </c>
      <c r="OB12" s="12">
        <f>IF(OA12&gt;0,MAX(1,ROUND(OA12/CAC*NX12,0)),0)</f>
        <v/>
      </c>
      <c r="OC12" s="12">
        <f>IF(OB12&gt;0,ROUND(OB12*ReferralMix/(1-ReferralMix),0),0)</f>
        <v/>
      </c>
      <c r="OD12" s="12">
        <f>OB12+OC12</f>
        <v/>
      </c>
      <c r="OE12" s="12">
        <f>ROUND(OD12*(1-AnnualMix),0)</f>
        <v/>
      </c>
      <c r="OF12" s="12">
        <f>OD12-OE12</f>
        <v/>
      </c>
      <c r="OG12" s="12">
        <f>ROUND(OE12*EssentialMix,0)</f>
        <v/>
      </c>
      <c r="OH12" s="12">
        <f>ROUND(OE12*PremiumMix,0)</f>
        <v/>
      </c>
      <c r="OI12" s="12">
        <f>OE12-OG12-OH12</f>
        <v/>
      </c>
      <c r="OJ12" s="12">
        <f>ROUND(OF12*EssentialMix,0)</f>
        <v/>
      </c>
      <c r="OK12" s="12">
        <f>ROUND(OF12*PremiumMix,0)</f>
        <v/>
      </c>
      <c r="OL12" s="12">
        <f>OF12-OJ12-OK12</f>
        <v/>
      </c>
      <c r="OM12" s="12">
        <f>OG12+OG11+OG10+MAX(0,OM11-OG11-OG10)*(1-NZ12)</f>
        <v/>
      </c>
      <c r="ON12" s="12">
        <f>OH12+OH11+OH10+MAX(0,ON11-OH11-OH10)*(1-NZ12)</f>
        <v/>
      </c>
      <c r="OO12" s="12">
        <f>OI12+OI11+OI10+MAX(0,OO11-OI11-OI10)*(1-NZ12)</f>
        <v/>
      </c>
      <c r="OP12" s="12">
        <f>SUM(OJ$5:OJ12)</f>
        <v/>
      </c>
      <c r="OQ12" s="12">
        <f>SUM(OK$5:OK12)</f>
        <v/>
      </c>
      <c r="OR12" s="12">
        <f>SUM(OL$5:OL12)</f>
        <v/>
      </c>
      <c r="OS12" s="12">
        <f>OM12+ON12+OO12+OP12+OQ12+OR12</f>
        <v/>
      </c>
      <c r="OT12" s="9">
        <f>OM12*BlendedPriceEssMonthly*NY12+ON12*BlendedPricePremMonthly*NY12+OO12*BlendedPriceEliteMonthly*NY12+OP12*BlendedPriceEssAnnual*NY12/12+OQ12*BlendedPricePremAnnual*NY12/12+OR12*BlendedPriceEliteAnnual*NY12/12</f>
        <v/>
      </c>
      <c r="OU12" s="9">
        <f>OT12*12</f>
        <v/>
      </c>
      <c r="OV12" s="12">
        <f>OM12*BlendedPriceEssMonthly*NY12+ON12*BlendedPricePremMonthly*NY12+OO12*BlendedPriceEliteMonthly*NY12</f>
        <v/>
      </c>
      <c r="OW12" s="12">
        <f>OJ12*BlendedPriceEssAnnual*NY12+OK12*BlendedPricePremAnnual*NY12+OL12*BlendedPriceEliteAnnual*NY12</f>
        <v/>
      </c>
      <c r="OX12" s="12">
        <f>0+0+0</f>
        <v/>
      </c>
      <c r="OY12" s="9">
        <f>OV12+OW12+OX12</f>
        <v/>
      </c>
      <c r="OZ12" s="12">
        <f>SUM(OY$5:OY12)</f>
        <v/>
      </c>
      <c r="PA12" s="12">
        <f>OR(PA11,IF(VATAgentMode,SUM($OY$5:$OY12)-SUM($PF$5:$PF12)&gt;=VATThreshold,SUM($OY$5:$OY12)&gt;=VATThreshold))</f>
        <v/>
      </c>
      <c r="PB12" s="9">
        <f>IF(PA12,IF(VATAgentMode,OY12-((OY12-PF12)-(OY12-PF12)/(1+VATRate)),OY12/(1+VATRate)),OY12)</f>
        <v/>
      </c>
      <c r="PC12" s="12">
        <f>OY12-PB12</f>
        <v/>
      </c>
      <c r="PD12" s="12">
        <f>IF(PA12=0,0,IF(NV12=1,SUMPRODUCT(--(($NW$5:$NW12=$NW12-1)*($NV$5:$NV12&gt;=10)*($NV$5:$NV12&lt;=12)),$PC$5:$PC12),IF(NV12=4,SUMPRODUCT(--(($NW$5:$NW12=$NW12)*($NV$5:$NV12&gt;=1)*($NV$5:$NV12&lt;=3)),$PC$5:$PC12),IF(NV12=7,SUMPRODUCT(--(($NW$5:$NW12=$NW12)*($NV$5:$NV12&gt;=4)*($NV$5:$NV12&lt;=6)),$PC$5:$PC12),IF(NV12=10,SUMPRODUCT(--(($NW$5:$NW12=$NW12)*($NV$5:$NV12&gt;=7)*($NV$5:$NV12&lt;=9)),$PC$5:$PC12),0)))))</f>
        <v/>
      </c>
      <c r="PE12" s="12">
        <f>PE11+PC12-PD12</f>
        <v/>
      </c>
      <c r="PF12" s="12">
        <f>IF(ProviderDelay&gt;=1,OM11*BlendedProvPayEss+ON11*BlendedProvPayPrem+OO11*BlendedProvPayElite+OP11*BlendedProvPayEss+OQ11*BlendedProvPayPrem+OR11*BlendedProvPayElite,OM12*BlendedProvPayEss+ON12*BlendedProvPayPrem+OO12*BlendedProvPayElite+OP12*BlendedProvPayEss+OQ12*BlendedProvPayPrem+OR12*BlendedProvPayElite)</f>
        <v/>
      </c>
      <c r="PG12" s="12">
        <f>OY12*PaymentFee</f>
        <v/>
      </c>
      <c r="PH12" s="12">
        <f>OS12*OpsAI</f>
        <v/>
      </c>
      <c r="PI12" s="12">
        <f>MonthlyFixed</f>
        <v/>
      </c>
      <c r="PJ12" s="12">
        <f>OC12*ReferralReward</f>
        <v/>
      </c>
      <c r="PK12" s="12">
        <f>OA12</f>
        <v/>
      </c>
      <c r="PL12" s="9">
        <f>PB12-PF12-PG12-PH12-PI12-PJ12-PK12</f>
        <v/>
      </c>
      <c r="PM12" s="9">
        <f>PM11+OY12-(PF12+PG12+PH12+PI12+PJ12+PK12+PD12)</f>
        <v/>
      </c>
      <c r="PN12" s="12">
        <f>IF(OS12&gt;0,OT12/OS12,0)</f>
        <v/>
      </c>
      <c r="PO12" s="11">
        <f>IF(OS11&gt;0,MAX(0,(OS11+OD12-OS12)/OS11),0)</f>
        <v/>
      </c>
      <c r="PQ12" s="12" t="n">
        <v>8</v>
      </c>
      <c r="PR12" s="12">
        <f>MOD(PQ12-1+LaunchMonth-1,12)+1</f>
        <v/>
      </c>
      <c r="PS12" s="12">
        <f>INT((PQ12-1+LaunchMonth-1)/12)+1</f>
        <v/>
      </c>
      <c r="PT12" s="12">
        <f>VLOOKUP(PR12,SeasonTable,2,FALSE)</f>
        <v/>
      </c>
      <c r="PU12" s="12">
        <f>(1+InflationRate)^INT((PQ12-1)/12)</f>
        <v/>
      </c>
      <c r="PV12" s="11">
        <f>'Sens - Churn'!$A$19*VLOOKUP(PR12,ChurnSeasonTable,4,FALSE)</f>
        <v/>
      </c>
      <c r="PW12" s="12">
        <f>MIN(MAX(MktMin7_12,QU11*MktPct7_12),MAX(0,RI11-CashBuffer))</f>
        <v/>
      </c>
      <c r="PX12" s="12">
        <f>IF(PW12&gt;0,MAX(1,ROUND(PW12/CAC*PT12,0)),0)</f>
        <v/>
      </c>
      <c r="PY12" s="12">
        <f>IF(PX12&gt;0,ROUND(PX12*ReferralMix/(1-ReferralMix),0),0)</f>
        <v/>
      </c>
      <c r="PZ12" s="12">
        <f>PX12+PY12</f>
        <v/>
      </c>
      <c r="QA12" s="12">
        <f>ROUND(PZ12*(1-AnnualMix),0)</f>
        <v/>
      </c>
      <c r="QB12" s="12">
        <f>PZ12-QA12</f>
        <v/>
      </c>
      <c r="QC12" s="12">
        <f>ROUND(QA12*EssentialMix,0)</f>
        <v/>
      </c>
      <c r="QD12" s="12">
        <f>ROUND(QA12*PremiumMix,0)</f>
        <v/>
      </c>
      <c r="QE12" s="12">
        <f>QA12-QC12-QD12</f>
        <v/>
      </c>
      <c r="QF12" s="12">
        <f>ROUND(QB12*EssentialMix,0)</f>
        <v/>
      </c>
      <c r="QG12" s="12">
        <f>ROUND(QB12*PremiumMix,0)</f>
        <v/>
      </c>
      <c r="QH12" s="12">
        <f>QB12-QF12-QG12</f>
        <v/>
      </c>
      <c r="QI12" s="12">
        <f>QC12+QC11+QC10+MAX(0,QI11-QC11-QC10)*(1-PV12)</f>
        <v/>
      </c>
      <c r="QJ12" s="12">
        <f>QD12+QD11+QD10+MAX(0,QJ11-QD11-QD10)*(1-PV12)</f>
        <v/>
      </c>
      <c r="QK12" s="12">
        <f>QE12+QE11+QE10+MAX(0,QK11-QE11-QE10)*(1-PV12)</f>
        <v/>
      </c>
      <c r="QL12" s="12">
        <f>SUM(QF$5:QF12)</f>
        <v/>
      </c>
      <c r="QM12" s="12">
        <f>SUM(QG$5:QG12)</f>
        <v/>
      </c>
      <c r="QN12" s="12">
        <f>SUM(QH$5:QH12)</f>
        <v/>
      </c>
      <c r="QO12" s="12">
        <f>QI12+QJ12+QK12+QL12+QM12+QN12</f>
        <v/>
      </c>
      <c r="QP12" s="9">
        <f>QI12*BlendedPriceEssMonthly*PU12+QJ12*BlendedPricePremMonthly*PU12+QK12*BlendedPriceEliteMonthly*PU12+QL12*BlendedPriceEssAnnual*PU12/12+QM12*BlendedPricePremAnnual*PU12/12+QN12*BlendedPriceEliteAnnual*PU12/12</f>
        <v/>
      </c>
      <c r="QQ12" s="9">
        <f>QP12*12</f>
        <v/>
      </c>
      <c r="QR12" s="12">
        <f>QI12*BlendedPriceEssMonthly*PU12+QJ12*BlendedPricePremMonthly*PU12+QK12*BlendedPriceEliteMonthly*PU12</f>
        <v/>
      </c>
      <c r="QS12" s="12">
        <f>QF12*BlendedPriceEssAnnual*PU12+QG12*BlendedPricePremAnnual*PU12+QH12*BlendedPriceEliteAnnual*PU12</f>
        <v/>
      </c>
      <c r="QT12" s="12">
        <f>0+0+0</f>
        <v/>
      </c>
      <c r="QU12" s="9">
        <f>QR12+QS12+QT12</f>
        <v/>
      </c>
      <c r="QV12" s="12">
        <f>SUM(QU$5:QU12)</f>
        <v/>
      </c>
      <c r="QW12" s="12">
        <f>OR(QW11,IF(VATAgentMode,SUM($QU$5:$QU12)-SUM($RB$5:$RB12)&gt;=VATThreshold,SUM($QU$5:$QU12)&gt;=VATThreshold))</f>
        <v/>
      </c>
      <c r="QX12" s="9">
        <f>IF(QW12,IF(VATAgentMode,QU12-((QU12-RB12)-(QU12-RB12)/(1+VATRate)),QU12/(1+VATRate)),QU12)</f>
        <v/>
      </c>
      <c r="QY12" s="12">
        <f>QU12-QX12</f>
        <v/>
      </c>
      <c r="QZ12" s="12">
        <f>IF(QW12=0,0,IF(PR12=1,SUMPRODUCT(--(($PS$5:$PS12=$PS12-1)*($PR$5:$PR12&gt;=10)*($PR$5:$PR12&lt;=12)),$QY$5:$QY12),IF(PR12=4,SUMPRODUCT(--(($PS$5:$PS12=$PS12)*($PR$5:$PR12&gt;=1)*($PR$5:$PR12&lt;=3)),$QY$5:$QY12),IF(PR12=7,SUMPRODUCT(--(($PS$5:$PS12=$PS12)*($PR$5:$PR12&gt;=4)*($PR$5:$PR12&lt;=6)),$QY$5:$QY12),IF(PR12=10,SUMPRODUCT(--(($PS$5:$PS12=$PS12)*($PR$5:$PR12&gt;=7)*($PR$5:$PR12&lt;=9)),$QY$5:$QY12),0)))))</f>
        <v/>
      </c>
      <c r="RA12" s="12">
        <f>RA11+QY12-QZ12</f>
        <v/>
      </c>
      <c r="RB12" s="12">
        <f>IF(ProviderDelay&gt;=1,QI11*BlendedProvPayEss+QJ11*BlendedProvPayPrem+QK11*BlendedProvPayElite+QL11*BlendedProvPayEss+QM11*BlendedProvPayPrem+QN11*BlendedProvPayElite,QI12*BlendedProvPayEss+QJ12*BlendedProvPayPrem+QK12*BlendedProvPayElite+QL12*BlendedProvPayEss+QM12*BlendedProvPayPrem+QN12*BlendedProvPayElite)</f>
        <v/>
      </c>
      <c r="RC12" s="12">
        <f>QU12*PaymentFee</f>
        <v/>
      </c>
      <c r="RD12" s="12">
        <f>QO12*OpsAI</f>
        <v/>
      </c>
      <c r="RE12" s="12">
        <f>MonthlyFixed</f>
        <v/>
      </c>
      <c r="RF12" s="12">
        <f>PY12*ReferralReward</f>
        <v/>
      </c>
      <c r="RG12" s="12">
        <f>PW12</f>
        <v/>
      </c>
      <c r="RH12" s="9">
        <f>QX12-RB12-RC12-RD12-RE12-RF12-RG12</f>
        <v/>
      </c>
      <c r="RI12" s="9">
        <f>RI11+QU12-(RB12+RC12+RD12+RE12+RF12+RG12+QZ12)</f>
        <v/>
      </c>
      <c r="RJ12" s="12">
        <f>IF(QO12&gt;0,QP12/QO12,0)</f>
        <v/>
      </c>
      <c r="RK12" s="11">
        <f>IF(QO11&gt;0,MAX(0,(QO11+PZ12-QO12)/QO11),0)</f>
        <v/>
      </c>
      <c r="RM12" s="12" t="n">
        <v>8</v>
      </c>
      <c r="RN12" s="12">
        <f>MOD(RM12-1+LaunchMonth-1,12)+1</f>
        <v/>
      </c>
      <c r="RO12" s="12">
        <f>INT((RM12-1+LaunchMonth-1)/12)+1</f>
        <v/>
      </c>
      <c r="RP12" s="12">
        <f>VLOOKUP(RN12,SeasonTable,2,FALSE)</f>
        <v/>
      </c>
      <c r="RQ12" s="12">
        <f>(1+InflationRate)^INT((RM12-1)/12)</f>
        <v/>
      </c>
      <c r="RR12" s="11">
        <f>'Sens - Churn'!$A$20*VLOOKUP(RN12,ChurnSeasonTable,4,FALSE)</f>
        <v/>
      </c>
      <c r="RS12" s="12">
        <f>MIN(MAX(MktMin7_12,SQ11*MktPct7_12),MAX(0,TE11-CashBuffer))</f>
        <v/>
      </c>
      <c r="RT12" s="12">
        <f>IF(RS12&gt;0,MAX(1,ROUND(RS12/CAC*RP12,0)),0)</f>
        <v/>
      </c>
      <c r="RU12" s="12">
        <f>IF(RT12&gt;0,ROUND(RT12*ReferralMix/(1-ReferralMix),0),0)</f>
        <v/>
      </c>
      <c r="RV12" s="12">
        <f>RT12+RU12</f>
        <v/>
      </c>
      <c r="RW12" s="12">
        <f>ROUND(RV12*(1-AnnualMix),0)</f>
        <v/>
      </c>
      <c r="RX12" s="12">
        <f>RV12-RW12</f>
        <v/>
      </c>
      <c r="RY12" s="12">
        <f>ROUND(RW12*EssentialMix,0)</f>
        <v/>
      </c>
      <c r="RZ12" s="12">
        <f>ROUND(RW12*PremiumMix,0)</f>
        <v/>
      </c>
      <c r="SA12" s="12">
        <f>RW12-RY12-RZ12</f>
        <v/>
      </c>
      <c r="SB12" s="12">
        <f>ROUND(RX12*EssentialMix,0)</f>
        <v/>
      </c>
      <c r="SC12" s="12">
        <f>ROUND(RX12*PremiumMix,0)</f>
        <v/>
      </c>
      <c r="SD12" s="12">
        <f>RX12-SB12-SC12</f>
        <v/>
      </c>
      <c r="SE12" s="12">
        <f>RY12+RY11+RY10+MAX(0,SE11-RY11-RY10)*(1-RR12)</f>
        <v/>
      </c>
      <c r="SF12" s="12">
        <f>RZ12+RZ11+RZ10+MAX(0,SF11-RZ11-RZ10)*(1-RR12)</f>
        <v/>
      </c>
      <c r="SG12" s="12">
        <f>SA12+SA11+SA10+MAX(0,SG11-SA11-SA10)*(1-RR12)</f>
        <v/>
      </c>
      <c r="SH12" s="12">
        <f>SUM(SB$5:SB12)</f>
        <v/>
      </c>
      <c r="SI12" s="12">
        <f>SUM(SC$5:SC12)</f>
        <v/>
      </c>
      <c r="SJ12" s="12">
        <f>SUM(SD$5:SD12)</f>
        <v/>
      </c>
      <c r="SK12" s="12">
        <f>SE12+SF12+SG12+SH12+SI12+SJ12</f>
        <v/>
      </c>
      <c r="SL12" s="9">
        <f>SE12*BlendedPriceEssMonthly*RQ12+SF12*BlendedPricePremMonthly*RQ12+SG12*BlendedPriceEliteMonthly*RQ12+SH12*BlendedPriceEssAnnual*RQ12/12+SI12*BlendedPricePremAnnual*RQ12/12+SJ12*BlendedPriceEliteAnnual*RQ12/12</f>
        <v/>
      </c>
      <c r="SM12" s="9">
        <f>SL12*12</f>
        <v/>
      </c>
      <c r="SN12" s="12">
        <f>SE12*BlendedPriceEssMonthly*RQ12+SF12*BlendedPricePremMonthly*RQ12+SG12*BlendedPriceEliteMonthly*RQ12</f>
        <v/>
      </c>
      <c r="SO12" s="12">
        <f>SB12*BlendedPriceEssAnnual*RQ12+SC12*BlendedPricePremAnnual*RQ12+SD12*BlendedPriceEliteAnnual*RQ12</f>
        <v/>
      </c>
      <c r="SP12" s="12">
        <f>0+0+0</f>
        <v/>
      </c>
      <c r="SQ12" s="9">
        <f>SN12+SO12+SP12</f>
        <v/>
      </c>
      <c r="SR12" s="12">
        <f>SUM(SQ$5:SQ12)</f>
        <v/>
      </c>
      <c r="SS12" s="12">
        <f>OR(SS11,IF(VATAgentMode,SUM($SQ$5:$SQ12)-SUM($SX$5:$SX12)&gt;=VATThreshold,SUM($SQ$5:$SQ12)&gt;=VATThreshold))</f>
        <v/>
      </c>
      <c r="ST12" s="9">
        <f>IF(SS12,IF(VATAgentMode,SQ12-((SQ12-SX12)-(SQ12-SX12)/(1+VATRate)),SQ12/(1+VATRate)),SQ12)</f>
        <v/>
      </c>
      <c r="SU12" s="12">
        <f>SQ12-ST12</f>
        <v/>
      </c>
      <c r="SV12" s="12">
        <f>IF(SS12=0,0,IF(RN12=1,SUMPRODUCT(--(($RO$5:$RO12=$RO12-1)*($RN$5:$RN12&gt;=10)*($RN$5:$RN12&lt;=12)),$SU$5:$SU12),IF(RN12=4,SUMPRODUCT(--(($RO$5:$RO12=$RO12)*($RN$5:$RN12&gt;=1)*($RN$5:$RN12&lt;=3)),$SU$5:$SU12),IF(RN12=7,SUMPRODUCT(--(($RO$5:$RO12=$RO12)*($RN$5:$RN12&gt;=4)*($RN$5:$RN12&lt;=6)),$SU$5:$SU12),IF(RN12=10,SUMPRODUCT(--(($RO$5:$RO12=$RO12)*($RN$5:$RN12&gt;=7)*($RN$5:$RN12&lt;=9)),$SU$5:$SU12),0)))))</f>
        <v/>
      </c>
      <c r="SW12" s="12">
        <f>SW11+SU12-SV12</f>
        <v/>
      </c>
      <c r="SX12" s="12">
        <f>IF(ProviderDelay&gt;=1,SE11*BlendedProvPayEss+SF11*BlendedProvPayPrem+SG11*BlendedProvPayElite+SH11*BlendedProvPayEss+SI11*BlendedProvPayPrem+SJ11*BlendedProvPayElite,SE12*BlendedProvPayEss+SF12*BlendedProvPayPrem+SG12*BlendedProvPayElite+SH12*BlendedProvPayEss+SI12*BlendedProvPayPrem+SJ12*BlendedProvPayElite)</f>
        <v/>
      </c>
      <c r="SY12" s="12">
        <f>SQ12*PaymentFee</f>
        <v/>
      </c>
      <c r="SZ12" s="12">
        <f>SK12*OpsAI</f>
        <v/>
      </c>
      <c r="TA12" s="12">
        <f>MonthlyFixed</f>
        <v/>
      </c>
      <c r="TB12" s="12">
        <f>RU12*ReferralReward</f>
        <v/>
      </c>
      <c r="TC12" s="12">
        <f>RS12</f>
        <v/>
      </c>
      <c r="TD12" s="9">
        <f>ST12-SX12-SY12-SZ12-TA12-TB12-TC12</f>
        <v/>
      </c>
      <c r="TE12" s="9">
        <f>TE11+SQ12-(SX12+SY12+SZ12+TA12+TB12+TC12+SV12)</f>
        <v/>
      </c>
      <c r="TF12" s="12">
        <f>IF(SK12&gt;0,SL12/SK12,0)</f>
        <v/>
      </c>
      <c r="TG12" s="11">
        <f>IF(SK11&gt;0,MAX(0,(SK11+RV12-SK12)/SK11),0)</f>
        <v/>
      </c>
      <c r="TI12" s="12" t="n">
        <v>8</v>
      </c>
      <c r="TJ12" s="12">
        <f>MOD(TI12-1+LaunchMonth-1,12)+1</f>
        <v/>
      </c>
      <c r="TK12" s="12">
        <f>INT((TI12-1+LaunchMonth-1)/12)+1</f>
        <v/>
      </c>
      <c r="TL12" s="12">
        <f>VLOOKUP(TJ12,SeasonTable,2,FALSE)</f>
        <v/>
      </c>
      <c r="TM12" s="12">
        <f>(1+InflationRate)^INT((TI12-1)/12)</f>
        <v/>
      </c>
      <c r="TN12" s="11">
        <f>'Sens - Churn'!$A$21*VLOOKUP(TJ12,ChurnSeasonTable,4,FALSE)</f>
        <v/>
      </c>
      <c r="TO12" s="12">
        <f>MIN(MAX(MktMin7_12,UM11*MktPct7_12),MAX(0,VA11-CashBuffer))</f>
        <v/>
      </c>
      <c r="TP12" s="12">
        <f>IF(TO12&gt;0,MAX(1,ROUND(TO12/CAC*TL12,0)),0)</f>
        <v/>
      </c>
      <c r="TQ12" s="12">
        <f>IF(TP12&gt;0,ROUND(TP12*ReferralMix/(1-ReferralMix),0),0)</f>
        <v/>
      </c>
      <c r="TR12" s="12">
        <f>TP12+TQ12</f>
        <v/>
      </c>
      <c r="TS12" s="12">
        <f>ROUND(TR12*(1-AnnualMix),0)</f>
        <v/>
      </c>
      <c r="TT12" s="12">
        <f>TR12-TS12</f>
        <v/>
      </c>
      <c r="TU12" s="12">
        <f>ROUND(TS12*EssentialMix,0)</f>
        <v/>
      </c>
      <c r="TV12" s="12">
        <f>ROUND(TS12*PremiumMix,0)</f>
        <v/>
      </c>
      <c r="TW12" s="12">
        <f>TS12-TU12-TV12</f>
        <v/>
      </c>
      <c r="TX12" s="12">
        <f>ROUND(TT12*EssentialMix,0)</f>
        <v/>
      </c>
      <c r="TY12" s="12">
        <f>ROUND(TT12*PremiumMix,0)</f>
        <v/>
      </c>
      <c r="TZ12" s="12">
        <f>TT12-TX12-TY12</f>
        <v/>
      </c>
      <c r="UA12" s="12">
        <f>TU12+TU11+TU10+MAX(0,UA11-TU11-TU10)*(1-TN12)</f>
        <v/>
      </c>
      <c r="UB12" s="12">
        <f>TV12+TV11+TV10+MAX(0,UB11-TV11-TV10)*(1-TN12)</f>
        <v/>
      </c>
      <c r="UC12" s="12">
        <f>TW12+TW11+TW10+MAX(0,UC11-TW11-TW10)*(1-TN12)</f>
        <v/>
      </c>
      <c r="UD12" s="12">
        <f>SUM(TX$5:TX12)</f>
        <v/>
      </c>
      <c r="UE12" s="12">
        <f>SUM(TY$5:TY12)</f>
        <v/>
      </c>
      <c r="UF12" s="12">
        <f>SUM(TZ$5:TZ12)</f>
        <v/>
      </c>
      <c r="UG12" s="12">
        <f>UA12+UB12+UC12+UD12+UE12+UF12</f>
        <v/>
      </c>
      <c r="UH12" s="9">
        <f>UA12*BlendedPriceEssMonthly*TM12+UB12*BlendedPricePremMonthly*TM12+UC12*BlendedPriceEliteMonthly*TM12+UD12*BlendedPriceEssAnnual*TM12/12+UE12*BlendedPricePremAnnual*TM12/12+UF12*BlendedPriceEliteAnnual*TM12/12</f>
        <v/>
      </c>
      <c r="UI12" s="9">
        <f>UH12*12</f>
        <v/>
      </c>
      <c r="UJ12" s="12">
        <f>UA12*BlendedPriceEssMonthly*TM12+UB12*BlendedPricePremMonthly*TM12+UC12*BlendedPriceEliteMonthly*TM12</f>
        <v/>
      </c>
      <c r="UK12" s="12">
        <f>TX12*BlendedPriceEssAnnual*TM12+TY12*BlendedPricePremAnnual*TM12+TZ12*BlendedPriceEliteAnnual*TM12</f>
        <v/>
      </c>
      <c r="UL12" s="12">
        <f>0+0+0</f>
        <v/>
      </c>
      <c r="UM12" s="9">
        <f>UJ12+UK12+UL12</f>
        <v/>
      </c>
      <c r="UN12" s="12">
        <f>SUM(UM$5:UM12)</f>
        <v/>
      </c>
      <c r="UO12" s="12">
        <f>OR(UO11,IF(VATAgentMode,SUM($UM$5:$UM12)-SUM($UT$5:$UT12)&gt;=VATThreshold,SUM($UM$5:$UM12)&gt;=VATThreshold))</f>
        <v/>
      </c>
      <c r="UP12" s="9">
        <f>IF(UO12,IF(VATAgentMode,UM12-((UM12-UT12)-(UM12-UT12)/(1+VATRate)),UM12/(1+VATRate)),UM12)</f>
        <v/>
      </c>
      <c r="UQ12" s="12">
        <f>UM12-UP12</f>
        <v/>
      </c>
      <c r="UR12" s="12">
        <f>IF(UO12=0,0,IF(TJ12=1,SUMPRODUCT(--(($TK$5:$TK12=$TK12-1)*($TJ$5:$TJ12&gt;=10)*($TJ$5:$TJ12&lt;=12)),$UQ$5:$UQ12),IF(TJ12=4,SUMPRODUCT(--(($TK$5:$TK12=$TK12)*($TJ$5:$TJ12&gt;=1)*($TJ$5:$TJ12&lt;=3)),$UQ$5:$UQ12),IF(TJ12=7,SUMPRODUCT(--(($TK$5:$TK12=$TK12)*($TJ$5:$TJ12&gt;=4)*($TJ$5:$TJ12&lt;=6)),$UQ$5:$UQ12),IF(TJ12=10,SUMPRODUCT(--(($TK$5:$TK12=$TK12)*($TJ$5:$TJ12&gt;=7)*($TJ$5:$TJ12&lt;=9)),$UQ$5:$UQ12),0)))))</f>
        <v/>
      </c>
      <c r="US12" s="12">
        <f>US11+UQ12-UR12</f>
        <v/>
      </c>
      <c r="UT12" s="12">
        <f>IF(ProviderDelay&gt;=1,UA11*BlendedProvPayEss+UB11*BlendedProvPayPrem+UC11*BlendedProvPayElite+UD11*BlendedProvPayEss+UE11*BlendedProvPayPrem+UF11*BlendedProvPayElite,UA12*BlendedProvPayEss+UB12*BlendedProvPayPrem+UC12*BlendedProvPayElite+UD12*BlendedProvPayEss+UE12*BlendedProvPayPrem+UF12*BlendedProvPayElite)</f>
        <v/>
      </c>
      <c r="UU12" s="12">
        <f>UM12*PaymentFee</f>
        <v/>
      </c>
      <c r="UV12" s="12">
        <f>UG12*OpsAI</f>
        <v/>
      </c>
      <c r="UW12" s="12">
        <f>MonthlyFixed</f>
        <v/>
      </c>
      <c r="UX12" s="12">
        <f>TQ12*ReferralReward</f>
        <v/>
      </c>
      <c r="UY12" s="12">
        <f>TO12</f>
        <v/>
      </c>
      <c r="UZ12" s="9">
        <f>UP12-UT12-UU12-UV12-UW12-UX12-UY12</f>
        <v/>
      </c>
      <c r="VA12" s="9">
        <f>VA11+UM12-(UT12+UU12+UV12+UW12+UX12+UY12+UR12)</f>
        <v/>
      </c>
      <c r="VB12" s="12">
        <f>IF(UG12&gt;0,UH12/UG12,0)</f>
        <v/>
      </c>
      <c r="VC12" s="11">
        <f>IF(UG11&gt;0,MAX(0,(UG11+TR12-UG12)/UG11),0)</f>
        <v/>
      </c>
      <c r="VE12" s="12" t="n">
        <v>8</v>
      </c>
      <c r="VF12" s="12">
        <f>MOD(VE12-1+LaunchMonth-1,12)+1</f>
        <v/>
      </c>
      <c r="VG12" s="12">
        <f>INT((VE12-1+LaunchMonth-1)/12)+1</f>
        <v/>
      </c>
      <c r="VH12" s="12">
        <f>VLOOKUP(VF12,SeasonTable,2,FALSE)</f>
        <v/>
      </c>
      <c r="VI12" s="12">
        <f>(1+InflationRate)^INT((VE12-1)/12)</f>
        <v/>
      </c>
      <c r="VJ12" s="11">
        <f>MonthlyChurn*VLOOKUP(VF12,ChurnSeasonTable,4,FALSE)</f>
        <v/>
      </c>
      <c r="VK12" s="12">
        <f>MIN(MAX(MktMin7_12,WI11*MktPct7_12),MAX(0,WW11-CashBuffer))</f>
        <v/>
      </c>
      <c r="VL12" s="12">
        <f>IF(VK12&gt;0,MAX(1,ROUND(VK12/CAC*VH12,0)),0)</f>
        <v/>
      </c>
      <c r="VM12" s="12">
        <f>IF(VL12&gt;0,ROUND(VL12*ReferralMix/(1-ReferralMix),0),0)</f>
        <v/>
      </c>
      <c r="VN12" s="12">
        <f>VL12+VM12</f>
        <v/>
      </c>
      <c r="VO12" s="12">
        <f>ROUND(VN12*(1-'Sens - Annual Mix'!$A$9),0)</f>
        <v/>
      </c>
      <c r="VP12" s="12">
        <f>VN12-VO12</f>
        <v/>
      </c>
      <c r="VQ12" s="12">
        <f>ROUND(VO12*EssentialMix,0)</f>
        <v/>
      </c>
      <c r="VR12" s="12">
        <f>ROUND(VO12*PremiumMix,0)</f>
        <v/>
      </c>
      <c r="VS12" s="12">
        <f>VO12-VQ12-VR12</f>
        <v/>
      </c>
      <c r="VT12" s="12">
        <f>ROUND(VP12*EssentialMix,0)</f>
        <v/>
      </c>
      <c r="VU12" s="12">
        <f>ROUND(VP12*PremiumMix,0)</f>
        <v/>
      </c>
      <c r="VV12" s="12">
        <f>VP12-VT12-VU12</f>
        <v/>
      </c>
      <c r="VW12" s="12">
        <f>VQ12+VQ11+VQ10+MAX(0,VW11-VQ11-VQ10)*(1-VJ12)</f>
        <v/>
      </c>
      <c r="VX12" s="12">
        <f>VR12+VR11+VR10+MAX(0,VX11-VR11-VR10)*(1-VJ12)</f>
        <v/>
      </c>
      <c r="VY12" s="12">
        <f>VS12+VS11+VS10+MAX(0,VY11-VS11-VS10)*(1-VJ12)</f>
        <v/>
      </c>
      <c r="VZ12" s="12">
        <f>SUM(VT$5:VT12)</f>
        <v/>
      </c>
      <c r="WA12" s="12">
        <f>SUM(VU$5:VU12)</f>
        <v/>
      </c>
      <c r="WB12" s="12">
        <f>SUM(VV$5:VV12)</f>
        <v/>
      </c>
      <c r="WC12" s="12">
        <f>VW12+VX12+VY12+VZ12+WA12+WB12</f>
        <v/>
      </c>
      <c r="WD12" s="9">
        <f>VW12*BlendedPriceEssMonthly*VI12+VX12*BlendedPricePremMonthly*VI12+VY12*BlendedPriceEliteMonthly*VI12+VZ12*BlendedPriceEssAnnual*VI12/12+WA12*BlendedPricePremAnnual*VI12/12+WB12*BlendedPriceEliteAnnual*VI12/12</f>
        <v/>
      </c>
      <c r="WE12" s="9">
        <f>WD12*12</f>
        <v/>
      </c>
      <c r="WF12" s="12">
        <f>VW12*BlendedPriceEssMonthly*VI12+VX12*BlendedPricePremMonthly*VI12+VY12*BlendedPriceEliteMonthly*VI12</f>
        <v/>
      </c>
      <c r="WG12" s="12">
        <f>VT12*BlendedPriceEssAnnual*VI12+VU12*BlendedPricePremAnnual*VI12+VV12*BlendedPriceEliteAnnual*VI12</f>
        <v/>
      </c>
      <c r="WH12" s="12">
        <f>0+0+0</f>
        <v/>
      </c>
      <c r="WI12" s="9">
        <f>WF12+WG12+WH12</f>
        <v/>
      </c>
      <c r="WJ12" s="12">
        <f>SUM(WI$5:WI12)</f>
        <v/>
      </c>
      <c r="WK12" s="12">
        <f>OR(WK11,IF(VATAgentMode,SUM($WI$5:$WI12)-SUM($WP$5:$WP12)&gt;=VATThreshold,SUM($WI$5:$WI12)&gt;=VATThreshold))</f>
        <v/>
      </c>
      <c r="WL12" s="9">
        <f>IF(WK12,IF(VATAgentMode,WI12-((WI12-WP12)-(WI12-WP12)/(1+VATRate)),WI12/(1+VATRate)),WI12)</f>
        <v/>
      </c>
      <c r="WM12" s="12">
        <f>WI12-WL12</f>
        <v/>
      </c>
      <c r="WN12" s="12">
        <f>IF(WK12=0,0,IF(VF12=1,SUMPRODUCT(--(($VG$5:$VG12=$VG12-1)*($VF$5:$VF12&gt;=10)*($VF$5:$VF12&lt;=12)),$WM$5:$WM12),IF(VF12=4,SUMPRODUCT(--(($VG$5:$VG12=$VG12)*($VF$5:$VF12&gt;=1)*($VF$5:$VF12&lt;=3)),$WM$5:$WM12),IF(VF12=7,SUMPRODUCT(--(($VG$5:$VG12=$VG12)*($VF$5:$VF12&gt;=4)*($VF$5:$VF12&lt;=6)),$WM$5:$WM12),IF(VF12=10,SUMPRODUCT(--(($VG$5:$VG12=$VG12)*($VF$5:$VF12&gt;=7)*($VF$5:$VF12&lt;=9)),$WM$5:$WM12),0)))))</f>
        <v/>
      </c>
      <c r="WO12" s="12">
        <f>WO11+WM12-WN12</f>
        <v/>
      </c>
      <c r="WP12" s="12">
        <f>IF(ProviderDelay&gt;=1,VW11*BlendedProvPayEss+VX11*BlendedProvPayPrem+VY11*BlendedProvPayElite+VZ11*BlendedProvPayEss+WA11*BlendedProvPayPrem+WB11*BlendedProvPayElite,VW12*BlendedProvPayEss+VX12*BlendedProvPayPrem+VY12*BlendedProvPayElite+VZ12*BlendedProvPayEss+WA12*BlendedProvPayPrem+WB12*BlendedProvPayElite)</f>
        <v/>
      </c>
      <c r="WQ12" s="12">
        <f>WI12*PaymentFee</f>
        <v/>
      </c>
      <c r="WR12" s="12">
        <f>WC12*OpsAI</f>
        <v/>
      </c>
      <c r="WS12" s="12">
        <f>MonthlyFixed</f>
        <v/>
      </c>
      <c r="WT12" s="12">
        <f>VM12*ReferralReward</f>
        <v/>
      </c>
      <c r="WU12" s="12">
        <f>VK12</f>
        <v/>
      </c>
      <c r="WV12" s="9">
        <f>WL12-WP12-WQ12-WR12-WS12-WT12-WU12</f>
        <v/>
      </c>
      <c r="WW12" s="9">
        <f>WW11+WI12-(WP12+WQ12+WR12+WS12+WT12+WU12+WN12)</f>
        <v/>
      </c>
      <c r="WX12" s="12">
        <f>IF(WC12&gt;0,WD12/WC12,0)</f>
        <v/>
      </c>
      <c r="WY12" s="11">
        <f>IF(WC11&gt;0,MAX(0,(WC11+VN12-WC12)/WC11),0)</f>
        <v/>
      </c>
      <c r="XA12" s="12" t="n">
        <v>8</v>
      </c>
      <c r="XB12" s="12">
        <f>MOD(XA12-1+LaunchMonth-1,12)+1</f>
        <v/>
      </c>
      <c r="XC12" s="12">
        <f>INT((XA12-1+LaunchMonth-1)/12)+1</f>
        <v/>
      </c>
      <c r="XD12" s="12">
        <f>VLOOKUP(XB12,SeasonTable,2,FALSE)</f>
        <v/>
      </c>
      <c r="XE12" s="12">
        <f>(1+InflationRate)^INT((XA12-1)/12)</f>
        <v/>
      </c>
      <c r="XF12" s="11">
        <f>MonthlyChurn*VLOOKUP(XB12,ChurnSeasonTable,4,FALSE)</f>
        <v/>
      </c>
      <c r="XG12" s="12">
        <f>MIN(MAX(MktMin7_12,YE11*MktPct7_12),MAX(0,YS11-CashBuffer))</f>
        <v/>
      </c>
      <c r="XH12" s="12">
        <f>IF(XG12&gt;0,MAX(1,ROUND(XG12/CAC*XD12,0)),0)</f>
        <v/>
      </c>
      <c r="XI12" s="12">
        <f>IF(XH12&gt;0,ROUND(XH12*ReferralMix/(1-ReferralMix),0),0)</f>
        <v/>
      </c>
      <c r="XJ12" s="12">
        <f>XH12+XI12</f>
        <v/>
      </c>
      <c r="XK12" s="12">
        <f>ROUND(XJ12*(1-'Sens - Annual Mix'!$A$10),0)</f>
        <v/>
      </c>
      <c r="XL12" s="12">
        <f>XJ12-XK12</f>
        <v/>
      </c>
      <c r="XM12" s="12">
        <f>ROUND(XK12*EssentialMix,0)</f>
        <v/>
      </c>
      <c r="XN12" s="12">
        <f>ROUND(XK12*PremiumMix,0)</f>
        <v/>
      </c>
      <c r="XO12" s="12">
        <f>XK12-XM12-XN12</f>
        <v/>
      </c>
      <c r="XP12" s="12">
        <f>ROUND(XL12*EssentialMix,0)</f>
        <v/>
      </c>
      <c r="XQ12" s="12">
        <f>ROUND(XL12*PremiumMix,0)</f>
        <v/>
      </c>
      <c r="XR12" s="12">
        <f>XL12-XP12-XQ12</f>
        <v/>
      </c>
      <c r="XS12" s="12">
        <f>XM12+XM11+XM10+MAX(0,XS11-XM11-XM10)*(1-XF12)</f>
        <v/>
      </c>
      <c r="XT12" s="12">
        <f>XN12+XN11+XN10+MAX(0,XT11-XN11-XN10)*(1-XF12)</f>
        <v/>
      </c>
      <c r="XU12" s="12">
        <f>XO12+XO11+XO10+MAX(0,XU11-XO11-XO10)*(1-XF12)</f>
        <v/>
      </c>
      <c r="XV12" s="12">
        <f>SUM(XP$5:XP12)</f>
        <v/>
      </c>
      <c r="XW12" s="12">
        <f>SUM(XQ$5:XQ12)</f>
        <v/>
      </c>
      <c r="XX12" s="12">
        <f>SUM(XR$5:XR12)</f>
        <v/>
      </c>
      <c r="XY12" s="12">
        <f>XS12+XT12+XU12+XV12+XW12+XX12</f>
        <v/>
      </c>
      <c r="XZ12" s="9">
        <f>XS12*BlendedPriceEssMonthly*XE12+XT12*BlendedPricePremMonthly*XE12+XU12*BlendedPriceEliteMonthly*XE12+XV12*BlendedPriceEssAnnual*XE12/12+XW12*BlendedPricePremAnnual*XE12/12+XX12*BlendedPriceEliteAnnual*XE12/12</f>
        <v/>
      </c>
      <c r="YA12" s="9">
        <f>XZ12*12</f>
        <v/>
      </c>
      <c r="YB12" s="12">
        <f>XS12*BlendedPriceEssMonthly*XE12+XT12*BlendedPricePremMonthly*XE12+XU12*BlendedPriceEliteMonthly*XE12</f>
        <v/>
      </c>
      <c r="YC12" s="12">
        <f>XP12*BlendedPriceEssAnnual*XE12+XQ12*BlendedPricePremAnnual*XE12+XR12*BlendedPriceEliteAnnual*XE12</f>
        <v/>
      </c>
      <c r="YD12" s="12">
        <f>0+0+0</f>
        <v/>
      </c>
      <c r="YE12" s="9">
        <f>YB12+YC12+YD12</f>
        <v/>
      </c>
      <c r="YF12" s="12">
        <f>SUM(YE$5:YE12)</f>
        <v/>
      </c>
      <c r="YG12" s="12">
        <f>OR(YG11,IF(VATAgentMode,SUM($YE$5:$YE12)-SUM($YL$5:$YL12)&gt;=VATThreshold,SUM($YE$5:$YE12)&gt;=VATThreshold))</f>
        <v/>
      </c>
      <c r="YH12" s="9">
        <f>IF(YG12,IF(VATAgentMode,YE12-((YE12-YL12)-(YE12-YL12)/(1+VATRate)),YE12/(1+VATRate)),YE12)</f>
        <v/>
      </c>
      <c r="YI12" s="12">
        <f>YE12-YH12</f>
        <v/>
      </c>
      <c r="YJ12" s="12">
        <f>IF(YG12=0,0,IF(XB12=1,SUMPRODUCT(--(($XC$5:$XC12=$XC12-1)*($XB$5:$XB12&gt;=10)*($XB$5:$XB12&lt;=12)),$YI$5:$YI12),IF(XB12=4,SUMPRODUCT(--(($XC$5:$XC12=$XC12)*($XB$5:$XB12&gt;=1)*($XB$5:$XB12&lt;=3)),$YI$5:$YI12),IF(XB12=7,SUMPRODUCT(--(($XC$5:$XC12=$XC12)*($XB$5:$XB12&gt;=4)*($XB$5:$XB12&lt;=6)),$YI$5:$YI12),IF(XB12=10,SUMPRODUCT(--(($XC$5:$XC12=$XC12)*($XB$5:$XB12&gt;=7)*($XB$5:$XB12&lt;=9)),$YI$5:$YI12),0)))))</f>
        <v/>
      </c>
      <c r="YK12" s="12">
        <f>YK11+YI12-YJ12</f>
        <v/>
      </c>
      <c r="YL12" s="12">
        <f>IF(ProviderDelay&gt;=1,XS11*BlendedProvPayEss+XT11*BlendedProvPayPrem+XU11*BlendedProvPayElite+XV11*BlendedProvPayEss+XW11*BlendedProvPayPrem+XX11*BlendedProvPayElite,XS12*BlendedProvPayEss+XT12*BlendedProvPayPrem+XU12*BlendedProvPayElite+XV12*BlendedProvPayEss+XW12*BlendedProvPayPrem+XX12*BlendedProvPayElite)</f>
        <v/>
      </c>
      <c r="YM12" s="12">
        <f>YE12*PaymentFee</f>
        <v/>
      </c>
      <c r="YN12" s="12">
        <f>XY12*OpsAI</f>
        <v/>
      </c>
      <c r="YO12" s="12">
        <f>MonthlyFixed</f>
        <v/>
      </c>
      <c r="YP12" s="12">
        <f>XI12*ReferralReward</f>
        <v/>
      </c>
      <c r="YQ12" s="12">
        <f>XG12</f>
        <v/>
      </c>
      <c r="YR12" s="9">
        <f>YH12-YL12-YM12-YN12-YO12-YP12-YQ12</f>
        <v/>
      </c>
      <c r="YS12" s="9">
        <f>YS11+YE12-(YL12+YM12+YN12+YO12+YP12+YQ12+YJ12)</f>
        <v/>
      </c>
      <c r="YT12" s="12">
        <f>IF(XY12&gt;0,XZ12/XY12,0)</f>
        <v/>
      </c>
      <c r="YU12" s="11">
        <f>IF(XY11&gt;0,MAX(0,(XY11+XJ12-XY12)/XY11),0)</f>
        <v/>
      </c>
      <c r="YW12" s="12" t="n">
        <v>8</v>
      </c>
      <c r="YX12" s="12">
        <f>MOD(YW12-1+LaunchMonth-1,12)+1</f>
        <v/>
      </c>
      <c r="YY12" s="12">
        <f>INT((YW12-1+LaunchMonth-1)/12)+1</f>
        <v/>
      </c>
      <c r="YZ12" s="12">
        <f>VLOOKUP(YX12,SeasonTable,2,FALSE)</f>
        <v/>
      </c>
      <c r="ZA12" s="12">
        <f>(1+InflationRate)^INT((YW12-1)/12)</f>
        <v/>
      </c>
      <c r="ZB12" s="11">
        <f>MonthlyChurn*VLOOKUP(YX12,ChurnSeasonTable,4,FALSE)</f>
        <v/>
      </c>
      <c r="ZC12" s="12">
        <f>MIN(MAX(MktMin7_12,AAA11*MktPct7_12),MAX(0,AAO11-CashBuffer))</f>
        <v/>
      </c>
      <c r="ZD12" s="12">
        <f>IF(ZC12&gt;0,MAX(1,ROUND(ZC12/CAC*YZ12,0)),0)</f>
        <v/>
      </c>
      <c r="ZE12" s="12">
        <f>IF(ZD12&gt;0,ROUND(ZD12*ReferralMix/(1-ReferralMix),0),0)</f>
        <v/>
      </c>
      <c r="ZF12" s="12">
        <f>ZD12+ZE12</f>
        <v/>
      </c>
      <c r="ZG12" s="12">
        <f>ROUND(ZF12*(1-'Sens - Annual Mix'!$A$11),0)</f>
        <v/>
      </c>
      <c r="ZH12" s="12">
        <f>ZF12-ZG12</f>
        <v/>
      </c>
      <c r="ZI12" s="12">
        <f>ROUND(ZG12*EssentialMix,0)</f>
        <v/>
      </c>
      <c r="ZJ12" s="12">
        <f>ROUND(ZG12*PremiumMix,0)</f>
        <v/>
      </c>
      <c r="ZK12" s="12">
        <f>ZG12-ZI12-ZJ12</f>
        <v/>
      </c>
      <c r="ZL12" s="12">
        <f>ROUND(ZH12*EssentialMix,0)</f>
        <v/>
      </c>
      <c r="ZM12" s="12">
        <f>ROUND(ZH12*PremiumMix,0)</f>
        <v/>
      </c>
      <c r="ZN12" s="12">
        <f>ZH12-ZL12-ZM12</f>
        <v/>
      </c>
      <c r="ZO12" s="12">
        <f>ZI12+ZI11+ZI10+MAX(0,ZO11-ZI11-ZI10)*(1-ZB12)</f>
        <v/>
      </c>
      <c r="ZP12" s="12">
        <f>ZJ12+ZJ11+ZJ10+MAX(0,ZP11-ZJ11-ZJ10)*(1-ZB12)</f>
        <v/>
      </c>
      <c r="ZQ12" s="12">
        <f>ZK12+ZK11+ZK10+MAX(0,ZQ11-ZK11-ZK10)*(1-ZB12)</f>
        <v/>
      </c>
      <c r="ZR12" s="12">
        <f>SUM(ZL$5:ZL12)</f>
        <v/>
      </c>
      <c r="ZS12" s="12">
        <f>SUM(ZM$5:ZM12)</f>
        <v/>
      </c>
      <c r="ZT12" s="12">
        <f>SUM(ZN$5:ZN12)</f>
        <v/>
      </c>
      <c r="ZU12" s="12">
        <f>ZO12+ZP12+ZQ12+ZR12+ZS12+ZT12</f>
        <v/>
      </c>
      <c r="ZV12" s="9">
        <f>ZO12*BlendedPriceEssMonthly*ZA12+ZP12*BlendedPricePremMonthly*ZA12+ZQ12*BlendedPriceEliteMonthly*ZA12+ZR12*BlendedPriceEssAnnual*ZA12/12+ZS12*BlendedPricePremAnnual*ZA12/12+ZT12*BlendedPriceEliteAnnual*ZA12/12</f>
        <v/>
      </c>
      <c r="ZW12" s="9">
        <f>ZV12*12</f>
        <v/>
      </c>
      <c r="ZX12" s="12">
        <f>ZO12*BlendedPriceEssMonthly*ZA12+ZP12*BlendedPricePremMonthly*ZA12+ZQ12*BlendedPriceEliteMonthly*ZA12</f>
        <v/>
      </c>
      <c r="ZY12" s="12">
        <f>ZL12*BlendedPriceEssAnnual*ZA12+ZM12*BlendedPricePremAnnual*ZA12+ZN12*BlendedPriceEliteAnnual*ZA12</f>
        <v/>
      </c>
      <c r="ZZ12" s="12">
        <f>0+0+0</f>
        <v/>
      </c>
      <c r="AAA12" s="9">
        <f>ZX12+ZY12+ZZ12</f>
        <v/>
      </c>
      <c r="AAB12" s="12">
        <f>SUM(AAA$5:AAA12)</f>
        <v/>
      </c>
      <c r="AAC12" s="12">
        <f>OR(AAC11,IF(VATAgentMode,SUM($AAA$5:$AAA12)-SUM($AAH$5:$AAH12)&gt;=VATThreshold,SUM($AAA$5:$AAA12)&gt;=VATThreshold))</f>
        <v/>
      </c>
      <c r="AAD12" s="9">
        <f>IF(AAC12,IF(VATAgentMode,AAA12-((AAA12-AAH12)-(AAA12-AAH12)/(1+VATRate)),AAA12/(1+VATRate)),AAA12)</f>
        <v/>
      </c>
      <c r="AAE12" s="12">
        <f>AAA12-AAD12</f>
        <v/>
      </c>
      <c r="AAF12" s="12">
        <f>IF(AAC12=0,0,IF(YX12=1,SUMPRODUCT(--(($YY$5:$YY12=$YY12-1)*($YX$5:$YX12&gt;=10)*($YX$5:$YX12&lt;=12)),$AAE$5:$AAE12),IF(YX12=4,SUMPRODUCT(--(($YY$5:$YY12=$YY12)*($YX$5:$YX12&gt;=1)*($YX$5:$YX12&lt;=3)),$AAE$5:$AAE12),IF(YX12=7,SUMPRODUCT(--(($YY$5:$YY12=$YY12)*($YX$5:$YX12&gt;=4)*($YX$5:$YX12&lt;=6)),$AAE$5:$AAE12),IF(YX12=10,SUMPRODUCT(--(($YY$5:$YY12=$YY12)*($YX$5:$YX12&gt;=7)*($YX$5:$YX12&lt;=9)),$AAE$5:$AAE12),0)))))</f>
        <v/>
      </c>
      <c r="AAG12" s="12">
        <f>AAG11+AAE12-AAF12</f>
        <v/>
      </c>
      <c r="AAH12" s="12">
        <f>IF(ProviderDelay&gt;=1,ZO11*BlendedProvPayEss+ZP11*BlendedProvPayPrem+ZQ11*BlendedProvPayElite+ZR11*BlendedProvPayEss+ZS11*BlendedProvPayPrem+ZT11*BlendedProvPayElite,ZO12*BlendedProvPayEss+ZP12*BlendedProvPayPrem+ZQ12*BlendedProvPayElite+ZR12*BlendedProvPayEss+ZS12*BlendedProvPayPrem+ZT12*BlendedProvPayElite)</f>
        <v/>
      </c>
      <c r="AAI12" s="12">
        <f>AAA12*PaymentFee</f>
        <v/>
      </c>
      <c r="AAJ12" s="12">
        <f>ZU12*OpsAI</f>
        <v/>
      </c>
      <c r="AAK12" s="12">
        <f>MonthlyFixed</f>
        <v/>
      </c>
      <c r="AAL12" s="12">
        <f>ZE12*ReferralReward</f>
        <v/>
      </c>
      <c r="AAM12" s="12">
        <f>ZC12</f>
        <v/>
      </c>
      <c r="AAN12" s="9">
        <f>AAD12-AAH12-AAI12-AAJ12-AAK12-AAL12-AAM12</f>
        <v/>
      </c>
      <c r="AAO12" s="9">
        <f>AAO11+AAA12-(AAH12+AAI12+AAJ12+AAK12+AAL12+AAM12+AAF12)</f>
        <v/>
      </c>
      <c r="AAP12" s="12">
        <f>IF(ZU12&gt;0,ZV12/ZU12,0)</f>
        <v/>
      </c>
      <c r="AAQ12" s="11">
        <f>IF(ZU11&gt;0,MAX(0,(ZU11+ZF12-ZU12)/ZU11),0)</f>
        <v/>
      </c>
      <c r="AAS12" s="12" t="n">
        <v>8</v>
      </c>
      <c r="AAT12" s="12">
        <f>MOD(AAS12-1+LaunchMonth-1,12)+1</f>
        <v/>
      </c>
      <c r="AAU12" s="12">
        <f>INT((AAS12-1+LaunchMonth-1)/12)+1</f>
        <v/>
      </c>
      <c r="AAV12" s="12">
        <f>VLOOKUP(AAT12,SeasonTable,2,FALSE)</f>
        <v/>
      </c>
      <c r="AAW12" s="12">
        <f>(1+InflationRate)^INT((AAS12-1)/12)</f>
        <v/>
      </c>
      <c r="AAX12" s="11">
        <f>MonthlyChurn*VLOOKUP(AAT12,ChurnSeasonTable,4,FALSE)</f>
        <v/>
      </c>
      <c r="AAY12" s="12">
        <f>MIN(MAX(MktMin7_12,ABW11*MktPct7_12),MAX(0,ACK11-CashBuffer))</f>
        <v/>
      </c>
      <c r="AAZ12" s="12">
        <f>IF(AAY12&gt;0,MAX(1,ROUND(AAY12/CAC*AAV12,0)),0)</f>
        <v/>
      </c>
      <c r="ABA12" s="12">
        <f>IF(AAZ12&gt;0,ROUND(AAZ12*ReferralMix/(1-ReferralMix),0),0)</f>
        <v/>
      </c>
      <c r="ABB12" s="12">
        <f>AAZ12+ABA12</f>
        <v/>
      </c>
      <c r="ABC12" s="12">
        <f>ROUND(ABB12*(1-'Sens - Annual Mix'!$A$12),0)</f>
        <v/>
      </c>
      <c r="ABD12" s="12">
        <f>ABB12-ABC12</f>
        <v/>
      </c>
      <c r="ABE12" s="12">
        <f>ROUND(ABC12*EssentialMix,0)</f>
        <v/>
      </c>
      <c r="ABF12" s="12">
        <f>ROUND(ABC12*PremiumMix,0)</f>
        <v/>
      </c>
      <c r="ABG12" s="12">
        <f>ABC12-ABE12-ABF12</f>
        <v/>
      </c>
      <c r="ABH12" s="12">
        <f>ROUND(ABD12*EssentialMix,0)</f>
        <v/>
      </c>
      <c r="ABI12" s="12">
        <f>ROUND(ABD12*PremiumMix,0)</f>
        <v/>
      </c>
      <c r="ABJ12" s="12">
        <f>ABD12-ABH12-ABI12</f>
        <v/>
      </c>
      <c r="ABK12" s="12">
        <f>ABE12+ABE11+ABE10+MAX(0,ABK11-ABE11-ABE10)*(1-AAX12)</f>
        <v/>
      </c>
      <c r="ABL12" s="12">
        <f>ABF12+ABF11+ABF10+MAX(0,ABL11-ABF11-ABF10)*(1-AAX12)</f>
        <v/>
      </c>
      <c r="ABM12" s="12">
        <f>ABG12+ABG11+ABG10+MAX(0,ABM11-ABG11-ABG10)*(1-AAX12)</f>
        <v/>
      </c>
      <c r="ABN12" s="12">
        <f>SUM(ABH$5:ABH12)</f>
        <v/>
      </c>
      <c r="ABO12" s="12">
        <f>SUM(ABI$5:ABI12)</f>
        <v/>
      </c>
      <c r="ABP12" s="12">
        <f>SUM(ABJ$5:ABJ12)</f>
        <v/>
      </c>
      <c r="ABQ12" s="12">
        <f>ABK12+ABL12+ABM12+ABN12+ABO12+ABP12</f>
        <v/>
      </c>
      <c r="ABR12" s="9">
        <f>ABK12*BlendedPriceEssMonthly*AAW12+ABL12*BlendedPricePremMonthly*AAW12+ABM12*BlendedPriceEliteMonthly*AAW12+ABN12*BlendedPriceEssAnnual*AAW12/12+ABO12*BlendedPricePremAnnual*AAW12/12+ABP12*BlendedPriceEliteAnnual*AAW12/12</f>
        <v/>
      </c>
      <c r="ABS12" s="9">
        <f>ABR12*12</f>
        <v/>
      </c>
      <c r="ABT12" s="12">
        <f>ABK12*BlendedPriceEssMonthly*AAW12+ABL12*BlendedPricePremMonthly*AAW12+ABM12*BlendedPriceEliteMonthly*AAW12</f>
        <v/>
      </c>
      <c r="ABU12" s="12">
        <f>ABH12*BlendedPriceEssAnnual*AAW12+ABI12*BlendedPricePremAnnual*AAW12+ABJ12*BlendedPriceEliteAnnual*AAW12</f>
        <v/>
      </c>
      <c r="ABV12" s="12">
        <f>0+0+0</f>
        <v/>
      </c>
      <c r="ABW12" s="9">
        <f>ABT12+ABU12+ABV12</f>
        <v/>
      </c>
      <c r="ABX12" s="12">
        <f>SUM(ABW$5:ABW12)</f>
        <v/>
      </c>
      <c r="ABY12" s="12">
        <f>OR(ABY11,IF(VATAgentMode,SUM($ABW$5:$ABW12)-SUM($ACD$5:$ACD12)&gt;=VATThreshold,SUM($ABW$5:$ABW12)&gt;=VATThreshold))</f>
        <v/>
      </c>
      <c r="ABZ12" s="9">
        <f>IF(ABY12,IF(VATAgentMode,ABW12-((ABW12-ACD12)-(ABW12-ACD12)/(1+VATRate)),ABW12/(1+VATRate)),ABW12)</f>
        <v/>
      </c>
      <c r="ACA12" s="12">
        <f>ABW12-ABZ12</f>
        <v/>
      </c>
      <c r="ACB12" s="12">
        <f>IF(ABY12=0,0,IF(AAT12=1,SUMPRODUCT(--(($AAU$5:$AAU12=$AAU12-1)*($AAT$5:$AAT12&gt;=10)*($AAT$5:$AAT12&lt;=12)),$ACA$5:$ACA12),IF(AAT12=4,SUMPRODUCT(--(($AAU$5:$AAU12=$AAU12)*($AAT$5:$AAT12&gt;=1)*($AAT$5:$AAT12&lt;=3)),$ACA$5:$ACA12),IF(AAT12=7,SUMPRODUCT(--(($AAU$5:$AAU12=$AAU12)*($AAT$5:$AAT12&gt;=4)*($AAT$5:$AAT12&lt;=6)),$ACA$5:$ACA12),IF(AAT12=10,SUMPRODUCT(--(($AAU$5:$AAU12=$AAU12)*($AAT$5:$AAT12&gt;=7)*($AAT$5:$AAT12&lt;=9)),$ACA$5:$ACA12),0)))))</f>
        <v/>
      </c>
      <c r="ACC12" s="12">
        <f>ACC11+ACA12-ACB12</f>
        <v/>
      </c>
      <c r="ACD12" s="12">
        <f>IF(ProviderDelay&gt;=1,ABK11*BlendedProvPayEss+ABL11*BlendedProvPayPrem+ABM11*BlendedProvPayElite+ABN11*BlendedProvPayEss+ABO11*BlendedProvPayPrem+ABP11*BlendedProvPayElite,ABK12*BlendedProvPayEss+ABL12*BlendedProvPayPrem+ABM12*BlendedProvPayElite+ABN12*BlendedProvPayEss+ABO12*BlendedProvPayPrem+ABP12*BlendedProvPayElite)</f>
        <v/>
      </c>
      <c r="ACE12" s="12">
        <f>ABW12*PaymentFee</f>
        <v/>
      </c>
      <c r="ACF12" s="12">
        <f>ABQ12*OpsAI</f>
        <v/>
      </c>
      <c r="ACG12" s="12">
        <f>MonthlyFixed</f>
        <v/>
      </c>
      <c r="ACH12" s="12">
        <f>ABA12*ReferralReward</f>
        <v/>
      </c>
      <c r="ACI12" s="12">
        <f>AAY12</f>
        <v/>
      </c>
      <c r="ACJ12" s="9">
        <f>ABZ12-ACD12-ACE12-ACF12-ACG12-ACH12-ACI12</f>
        <v/>
      </c>
      <c r="ACK12" s="9">
        <f>ACK11+ABW12-(ACD12+ACE12+ACF12+ACG12+ACH12+ACI12+ACB12)</f>
        <v/>
      </c>
      <c r="ACL12" s="12">
        <f>IF(ABQ12&gt;0,ABR12/ABQ12,0)</f>
        <v/>
      </c>
      <c r="ACM12" s="11">
        <f>IF(ABQ11&gt;0,MAX(0,(ABQ11+ABB12-ABQ12)/ABQ11),0)</f>
        <v/>
      </c>
      <c r="ACO12" s="12" t="n">
        <v>8</v>
      </c>
      <c r="ACP12" s="12">
        <f>MOD(ACO12-1+LaunchMonth-1,12)+1</f>
        <v/>
      </c>
      <c r="ACQ12" s="12">
        <f>INT((ACO12-1+LaunchMonth-1)/12)+1</f>
        <v/>
      </c>
      <c r="ACR12" s="12">
        <f>VLOOKUP(ACP12,SeasonTable,2,FALSE)</f>
        <v/>
      </c>
      <c r="ACS12" s="12">
        <f>(1+InflationRate)^INT((ACO12-1)/12)</f>
        <v/>
      </c>
      <c r="ACT12" s="11">
        <f>MonthlyChurn*VLOOKUP(ACP12,ChurnSeasonTable,4,FALSE)</f>
        <v/>
      </c>
      <c r="ACU12" s="12">
        <f>MIN(MAX(MktMin7_12,ADS11*MktPct7_12),MAX(0,AEG11-CashBuffer))</f>
        <v/>
      </c>
      <c r="ACV12" s="12">
        <f>IF(ACU12&gt;0,MAX(1,ROUND(ACU12/CAC*ACR12,0)),0)</f>
        <v/>
      </c>
      <c r="ACW12" s="12">
        <f>IF(ACV12&gt;0,ROUND(ACV12*ReferralMix/(1-ReferralMix),0),0)</f>
        <v/>
      </c>
      <c r="ACX12" s="12">
        <f>ACV12+ACW12</f>
        <v/>
      </c>
      <c r="ACY12" s="12">
        <f>ROUND(ACX12*(1-'Sens - Annual Mix'!$A$13),0)</f>
        <v/>
      </c>
      <c r="ACZ12" s="12">
        <f>ACX12-ACY12</f>
        <v/>
      </c>
      <c r="ADA12" s="12">
        <f>ROUND(ACY12*EssentialMix,0)</f>
        <v/>
      </c>
      <c r="ADB12" s="12">
        <f>ROUND(ACY12*PremiumMix,0)</f>
        <v/>
      </c>
      <c r="ADC12" s="12">
        <f>ACY12-ADA12-ADB12</f>
        <v/>
      </c>
      <c r="ADD12" s="12">
        <f>ROUND(ACZ12*EssentialMix,0)</f>
        <v/>
      </c>
      <c r="ADE12" s="12">
        <f>ROUND(ACZ12*PremiumMix,0)</f>
        <v/>
      </c>
      <c r="ADF12" s="12">
        <f>ACZ12-ADD12-ADE12</f>
        <v/>
      </c>
      <c r="ADG12" s="12">
        <f>ADA12+ADA11+ADA10+MAX(0,ADG11-ADA11-ADA10)*(1-ACT12)</f>
        <v/>
      </c>
      <c r="ADH12" s="12">
        <f>ADB12+ADB11+ADB10+MAX(0,ADH11-ADB11-ADB10)*(1-ACT12)</f>
        <v/>
      </c>
      <c r="ADI12" s="12">
        <f>ADC12+ADC11+ADC10+MAX(0,ADI11-ADC11-ADC10)*(1-ACT12)</f>
        <v/>
      </c>
      <c r="ADJ12" s="12">
        <f>SUM(ADD$5:ADD12)</f>
        <v/>
      </c>
      <c r="ADK12" s="12">
        <f>SUM(ADE$5:ADE12)</f>
        <v/>
      </c>
      <c r="ADL12" s="12">
        <f>SUM(ADF$5:ADF12)</f>
        <v/>
      </c>
      <c r="ADM12" s="12">
        <f>ADG12+ADH12+ADI12+ADJ12+ADK12+ADL12</f>
        <v/>
      </c>
      <c r="ADN12" s="9">
        <f>ADG12*BlendedPriceEssMonthly*ACS12+ADH12*BlendedPricePremMonthly*ACS12+ADI12*BlendedPriceEliteMonthly*ACS12+ADJ12*BlendedPriceEssAnnual*ACS12/12+ADK12*BlendedPricePremAnnual*ACS12/12+ADL12*BlendedPriceEliteAnnual*ACS12/12</f>
        <v/>
      </c>
      <c r="ADO12" s="9">
        <f>ADN12*12</f>
        <v/>
      </c>
      <c r="ADP12" s="12">
        <f>ADG12*BlendedPriceEssMonthly*ACS12+ADH12*BlendedPricePremMonthly*ACS12+ADI12*BlendedPriceEliteMonthly*ACS12</f>
        <v/>
      </c>
      <c r="ADQ12" s="12">
        <f>ADD12*BlendedPriceEssAnnual*ACS12+ADE12*BlendedPricePremAnnual*ACS12+ADF12*BlendedPriceEliteAnnual*ACS12</f>
        <v/>
      </c>
      <c r="ADR12" s="12">
        <f>0+0+0</f>
        <v/>
      </c>
      <c r="ADS12" s="9">
        <f>ADP12+ADQ12+ADR12</f>
        <v/>
      </c>
      <c r="ADT12" s="12">
        <f>SUM(ADS$5:ADS12)</f>
        <v/>
      </c>
      <c r="ADU12" s="12">
        <f>OR(ADU11,IF(VATAgentMode,SUM($ADS$5:$ADS12)-SUM($ADZ$5:$ADZ12)&gt;=VATThreshold,SUM($ADS$5:$ADS12)&gt;=VATThreshold))</f>
        <v/>
      </c>
      <c r="ADV12" s="9">
        <f>IF(ADU12,IF(VATAgentMode,ADS12-((ADS12-ADZ12)-(ADS12-ADZ12)/(1+VATRate)),ADS12/(1+VATRate)),ADS12)</f>
        <v/>
      </c>
      <c r="ADW12" s="12">
        <f>ADS12-ADV12</f>
        <v/>
      </c>
      <c r="ADX12" s="12">
        <f>IF(ADU12=0,0,IF(ACP12=1,SUMPRODUCT(--(($ACQ$5:$ACQ12=$ACQ12-1)*($ACP$5:$ACP12&gt;=10)*($ACP$5:$ACP12&lt;=12)),$ADW$5:$ADW12),IF(ACP12=4,SUMPRODUCT(--(($ACQ$5:$ACQ12=$ACQ12)*($ACP$5:$ACP12&gt;=1)*($ACP$5:$ACP12&lt;=3)),$ADW$5:$ADW12),IF(ACP12=7,SUMPRODUCT(--(($ACQ$5:$ACQ12=$ACQ12)*($ACP$5:$ACP12&gt;=4)*($ACP$5:$ACP12&lt;=6)),$ADW$5:$ADW12),IF(ACP12=10,SUMPRODUCT(--(($ACQ$5:$ACQ12=$ACQ12)*($ACP$5:$ACP12&gt;=7)*($ACP$5:$ACP12&lt;=9)),$ADW$5:$ADW12),0)))))</f>
        <v/>
      </c>
      <c r="ADY12" s="12">
        <f>ADY11+ADW12-ADX12</f>
        <v/>
      </c>
      <c r="ADZ12" s="12">
        <f>IF(ProviderDelay&gt;=1,ADG11*BlendedProvPayEss+ADH11*BlendedProvPayPrem+ADI11*BlendedProvPayElite+ADJ11*BlendedProvPayEss+ADK11*BlendedProvPayPrem+ADL11*BlendedProvPayElite,ADG12*BlendedProvPayEss+ADH12*BlendedProvPayPrem+ADI12*BlendedProvPayElite+ADJ12*BlendedProvPayEss+ADK12*BlendedProvPayPrem+ADL12*BlendedProvPayElite)</f>
        <v/>
      </c>
      <c r="AEA12" s="12">
        <f>ADS12*PaymentFee</f>
        <v/>
      </c>
      <c r="AEB12" s="12">
        <f>ADM12*OpsAI</f>
        <v/>
      </c>
      <c r="AEC12" s="12">
        <f>MonthlyFixed</f>
        <v/>
      </c>
      <c r="AED12" s="12">
        <f>ACW12*ReferralReward</f>
        <v/>
      </c>
      <c r="AEE12" s="12">
        <f>ACU12</f>
        <v/>
      </c>
      <c r="AEF12" s="9">
        <f>ADV12-ADZ12-AEA12-AEB12-AEC12-AED12-AEE12</f>
        <v/>
      </c>
      <c r="AEG12" s="9">
        <f>AEG11+ADS12-(ADZ12+AEA12+AEB12+AEC12+AED12+AEE12+ADX12)</f>
        <v/>
      </c>
      <c r="AEH12" s="12">
        <f>IF(ADM12&gt;0,ADN12/ADM12,0)</f>
        <v/>
      </c>
      <c r="AEI12" s="11">
        <f>IF(ADM11&gt;0,MAX(0,(ADM11+ACX12-ADM12)/ADM11),0)</f>
        <v/>
      </c>
      <c r="AEK12" s="12" t="n">
        <v>8</v>
      </c>
      <c r="AEL12" s="12">
        <f>MOD(AEK12-1+LaunchMonth-1,12)+1</f>
        <v/>
      </c>
      <c r="AEM12" s="12">
        <f>INT((AEK12-1+LaunchMonth-1)/12)+1</f>
        <v/>
      </c>
      <c r="AEN12" s="12">
        <f>VLOOKUP(AEL12,SeasonTable,2,FALSE)</f>
        <v/>
      </c>
      <c r="AEO12" s="12">
        <f>(1+InflationRate)^INT((AEK12-1)/12)</f>
        <v/>
      </c>
      <c r="AEP12" s="11">
        <f>MonthlyChurn*VLOOKUP(AEL12,ChurnSeasonTable,4,FALSE)</f>
        <v/>
      </c>
      <c r="AEQ12" s="12">
        <f>MIN(MAX(MktMin7_12,AFO11*MktPct7_12),MAX(0,AGC11-CashBuffer))</f>
        <v/>
      </c>
      <c r="AER12" s="12">
        <f>IF(AEQ12&gt;0,MAX(1,ROUND(AEQ12/CAC*AEN12,0)),0)</f>
        <v/>
      </c>
      <c r="AES12" s="12">
        <f>IF(AER12&gt;0,ROUND(AER12*ReferralMix/(1-ReferralMix),0),0)</f>
        <v/>
      </c>
      <c r="AET12" s="12">
        <f>AER12+AES12</f>
        <v/>
      </c>
      <c r="AEU12" s="12">
        <f>ROUND(AET12*(1-'Sens - Annual Mix'!$A$14),0)</f>
        <v/>
      </c>
      <c r="AEV12" s="12">
        <f>AET12-AEU12</f>
        <v/>
      </c>
      <c r="AEW12" s="12">
        <f>ROUND(AEU12*EssentialMix,0)</f>
        <v/>
      </c>
      <c r="AEX12" s="12">
        <f>ROUND(AEU12*PremiumMix,0)</f>
        <v/>
      </c>
      <c r="AEY12" s="12">
        <f>AEU12-AEW12-AEX12</f>
        <v/>
      </c>
      <c r="AEZ12" s="12">
        <f>ROUND(AEV12*EssentialMix,0)</f>
        <v/>
      </c>
      <c r="AFA12" s="12">
        <f>ROUND(AEV12*PremiumMix,0)</f>
        <v/>
      </c>
      <c r="AFB12" s="12">
        <f>AEV12-AEZ12-AFA12</f>
        <v/>
      </c>
      <c r="AFC12" s="12">
        <f>AEW12+AEW11+AEW10+MAX(0,AFC11-AEW11-AEW10)*(1-AEP12)</f>
        <v/>
      </c>
      <c r="AFD12" s="12">
        <f>AEX12+AEX11+AEX10+MAX(0,AFD11-AEX11-AEX10)*(1-AEP12)</f>
        <v/>
      </c>
      <c r="AFE12" s="12">
        <f>AEY12+AEY11+AEY10+MAX(0,AFE11-AEY11-AEY10)*(1-AEP12)</f>
        <v/>
      </c>
      <c r="AFF12" s="12">
        <f>SUM(AEZ$5:AEZ12)</f>
        <v/>
      </c>
      <c r="AFG12" s="12">
        <f>SUM(AFA$5:AFA12)</f>
        <v/>
      </c>
      <c r="AFH12" s="12">
        <f>SUM(AFB$5:AFB12)</f>
        <v/>
      </c>
      <c r="AFI12" s="12">
        <f>AFC12+AFD12+AFE12+AFF12+AFG12+AFH12</f>
        <v/>
      </c>
      <c r="AFJ12" s="9">
        <f>AFC12*BlendedPriceEssMonthly*AEO12+AFD12*BlendedPricePremMonthly*AEO12+AFE12*BlendedPriceEliteMonthly*AEO12+AFF12*BlendedPriceEssAnnual*AEO12/12+AFG12*BlendedPricePremAnnual*AEO12/12+AFH12*BlendedPriceEliteAnnual*AEO12/12</f>
        <v/>
      </c>
      <c r="AFK12" s="9">
        <f>AFJ12*12</f>
        <v/>
      </c>
      <c r="AFL12" s="12">
        <f>AFC12*BlendedPriceEssMonthly*AEO12+AFD12*BlendedPricePremMonthly*AEO12+AFE12*BlendedPriceEliteMonthly*AEO12</f>
        <v/>
      </c>
      <c r="AFM12" s="12">
        <f>AEZ12*BlendedPriceEssAnnual*AEO12+AFA12*BlendedPricePremAnnual*AEO12+AFB12*BlendedPriceEliteAnnual*AEO12</f>
        <v/>
      </c>
      <c r="AFN12" s="12">
        <f>0+0+0</f>
        <v/>
      </c>
      <c r="AFO12" s="9">
        <f>AFL12+AFM12+AFN12</f>
        <v/>
      </c>
      <c r="AFP12" s="12">
        <f>SUM(AFO$5:AFO12)</f>
        <v/>
      </c>
      <c r="AFQ12" s="12">
        <f>OR(AFQ11,IF(VATAgentMode,SUM($AFO$5:$AFO12)-SUM($AFV$5:$AFV12)&gt;=VATThreshold,SUM($AFO$5:$AFO12)&gt;=VATThreshold))</f>
        <v/>
      </c>
      <c r="AFR12" s="9">
        <f>IF(AFQ12,IF(VATAgentMode,AFO12-((AFO12-AFV12)-(AFO12-AFV12)/(1+VATRate)),AFO12/(1+VATRate)),AFO12)</f>
        <v/>
      </c>
      <c r="AFS12" s="12">
        <f>AFO12-AFR12</f>
        <v/>
      </c>
      <c r="AFT12" s="12">
        <f>IF(AFQ12=0,0,IF(AEL12=1,SUMPRODUCT(--(($AEM$5:$AEM12=$AEM12-1)*($AEL$5:$AEL12&gt;=10)*($AEL$5:$AEL12&lt;=12)),$AFS$5:$AFS12),IF(AEL12=4,SUMPRODUCT(--(($AEM$5:$AEM12=$AEM12)*($AEL$5:$AEL12&gt;=1)*($AEL$5:$AEL12&lt;=3)),$AFS$5:$AFS12),IF(AEL12=7,SUMPRODUCT(--(($AEM$5:$AEM12=$AEM12)*($AEL$5:$AEL12&gt;=4)*($AEL$5:$AEL12&lt;=6)),$AFS$5:$AFS12),IF(AEL12=10,SUMPRODUCT(--(($AEM$5:$AEM12=$AEM12)*($AEL$5:$AEL12&gt;=7)*($AEL$5:$AEL12&lt;=9)),$AFS$5:$AFS12),0)))))</f>
        <v/>
      </c>
      <c r="AFU12" s="12">
        <f>AFU11+AFS12-AFT12</f>
        <v/>
      </c>
      <c r="AFV12" s="12">
        <f>IF(ProviderDelay&gt;=1,AFC11*BlendedProvPayEss+AFD11*BlendedProvPayPrem+AFE11*BlendedProvPayElite+AFF11*BlendedProvPayEss+AFG11*BlendedProvPayPrem+AFH11*BlendedProvPayElite,AFC12*BlendedProvPayEss+AFD12*BlendedProvPayPrem+AFE12*BlendedProvPayElite+AFF12*BlendedProvPayEss+AFG12*BlendedProvPayPrem+AFH12*BlendedProvPayElite)</f>
        <v/>
      </c>
      <c r="AFW12" s="12">
        <f>AFO12*PaymentFee</f>
        <v/>
      </c>
      <c r="AFX12" s="12">
        <f>AFI12*OpsAI</f>
        <v/>
      </c>
      <c r="AFY12" s="12">
        <f>MonthlyFixed</f>
        <v/>
      </c>
      <c r="AFZ12" s="12">
        <f>AES12*ReferralReward</f>
        <v/>
      </c>
      <c r="AGA12" s="12">
        <f>AEQ12</f>
        <v/>
      </c>
      <c r="AGB12" s="9">
        <f>AFR12-AFV12-AFW12-AFX12-AFY12-AFZ12-AGA12</f>
        <v/>
      </c>
      <c r="AGC12" s="9">
        <f>AGC11+AFO12-(AFV12+AFW12+AFX12+AFY12+AFZ12+AGA12+AFT12)</f>
        <v/>
      </c>
      <c r="AGD12" s="12">
        <f>IF(AFI12&gt;0,AFJ12/AFI12,0)</f>
        <v/>
      </c>
      <c r="AGE12" s="11">
        <f>IF(AFI11&gt;0,MAX(0,(AFI11+AET12-AFI12)/AFI11),0)</f>
        <v/>
      </c>
      <c r="AGG12" s="12" t="n">
        <v>8</v>
      </c>
      <c r="AGH12" s="12">
        <f>MOD(AGG12-1+LaunchMonth-1,12)+1</f>
        <v/>
      </c>
      <c r="AGI12" s="12">
        <f>INT((AGG12-1+LaunchMonth-1)/12)+1</f>
        <v/>
      </c>
      <c r="AGJ12" s="12">
        <f>VLOOKUP(AGH12,SeasonTable,2,FALSE)</f>
        <v/>
      </c>
      <c r="AGK12" s="12">
        <f>(1+InflationRate)^INT((AGG12-1)/12)</f>
        <v/>
      </c>
      <c r="AGL12" s="11">
        <f>MonthlyChurn*VLOOKUP(AGH12,ChurnSeasonTable,4,FALSE)</f>
        <v/>
      </c>
      <c r="AGM12" s="12">
        <f>MIN(MAX(MktMin7_12,AHK11*MktPct7_12),MAX(0,AHY11-CashBuffer))</f>
        <v/>
      </c>
      <c r="AGN12" s="12">
        <f>IF(AGM12&gt;0,MAX(1,ROUND(AGM12/CAC*AGJ12,0)),0)</f>
        <v/>
      </c>
      <c r="AGO12" s="12">
        <f>IF(AGN12&gt;0,ROUND(AGN12*ReferralMix/(1-ReferralMix),0),0)</f>
        <v/>
      </c>
      <c r="AGP12" s="12">
        <f>AGN12+AGO12</f>
        <v/>
      </c>
      <c r="AGQ12" s="12">
        <f>ROUND(AGP12*(1-'Sens - Annual Mix'!$A$15),0)</f>
        <v/>
      </c>
      <c r="AGR12" s="12">
        <f>AGP12-AGQ12</f>
        <v/>
      </c>
      <c r="AGS12" s="12">
        <f>ROUND(AGQ12*EssentialMix,0)</f>
        <v/>
      </c>
      <c r="AGT12" s="12">
        <f>ROUND(AGQ12*PremiumMix,0)</f>
        <v/>
      </c>
      <c r="AGU12" s="12">
        <f>AGQ12-AGS12-AGT12</f>
        <v/>
      </c>
      <c r="AGV12" s="12">
        <f>ROUND(AGR12*EssentialMix,0)</f>
        <v/>
      </c>
      <c r="AGW12" s="12">
        <f>ROUND(AGR12*PremiumMix,0)</f>
        <v/>
      </c>
      <c r="AGX12" s="12">
        <f>AGR12-AGV12-AGW12</f>
        <v/>
      </c>
      <c r="AGY12" s="12">
        <f>AGS12+AGS11+AGS10+MAX(0,AGY11-AGS11-AGS10)*(1-AGL12)</f>
        <v/>
      </c>
      <c r="AGZ12" s="12">
        <f>AGT12+AGT11+AGT10+MAX(0,AGZ11-AGT11-AGT10)*(1-AGL12)</f>
        <v/>
      </c>
      <c r="AHA12" s="12">
        <f>AGU12+AGU11+AGU10+MAX(0,AHA11-AGU11-AGU10)*(1-AGL12)</f>
        <v/>
      </c>
      <c r="AHB12" s="12">
        <f>SUM(AGV$5:AGV12)</f>
        <v/>
      </c>
      <c r="AHC12" s="12">
        <f>SUM(AGW$5:AGW12)</f>
        <v/>
      </c>
      <c r="AHD12" s="12">
        <f>SUM(AGX$5:AGX12)</f>
        <v/>
      </c>
      <c r="AHE12" s="12">
        <f>AGY12+AGZ12+AHA12+AHB12+AHC12+AHD12</f>
        <v/>
      </c>
      <c r="AHF12" s="9">
        <f>AGY12*BlendedPriceEssMonthly*AGK12+AGZ12*BlendedPricePremMonthly*AGK12+AHA12*BlendedPriceEliteMonthly*AGK12+AHB12*BlendedPriceEssAnnual*AGK12/12+AHC12*BlendedPricePremAnnual*AGK12/12+AHD12*BlendedPriceEliteAnnual*AGK12/12</f>
        <v/>
      </c>
      <c r="AHG12" s="9">
        <f>AHF12*12</f>
        <v/>
      </c>
      <c r="AHH12" s="12">
        <f>AGY12*BlendedPriceEssMonthly*AGK12+AGZ12*BlendedPricePremMonthly*AGK12+AHA12*BlendedPriceEliteMonthly*AGK12</f>
        <v/>
      </c>
      <c r="AHI12" s="12">
        <f>AGV12*BlendedPriceEssAnnual*AGK12+AGW12*BlendedPricePremAnnual*AGK12+AGX12*BlendedPriceEliteAnnual*AGK12</f>
        <v/>
      </c>
      <c r="AHJ12" s="12">
        <f>0+0+0</f>
        <v/>
      </c>
      <c r="AHK12" s="9">
        <f>AHH12+AHI12+AHJ12</f>
        <v/>
      </c>
      <c r="AHL12" s="12">
        <f>SUM(AHK$5:AHK12)</f>
        <v/>
      </c>
      <c r="AHM12" s="12">
        <f>OR(AHM11,IF(VATAgentMode,SUM($AHK$5:$AHK12)-SUM($AHR$5:$AHR12)&gt;=VATThreshold,SUM($AHK$5:$AHK12)&gt;=VATThreshold))</f>
        <v/>
      </c>
      <c r="AHN12" s="9">
        <f>IF(AHM12,IF(VATAgentMode,AHK12-((AHK12-AHR12)-(AHK12-AHR12)/(1+VATRate)),AHK12/(1+VATRate)),AHK12)</f>
        <v/>
      </c>
      <c r="AHO12" s="12">
        <f>AHK12-AHN12</f>
        <v/>
      </c>
      <c r="AHP12" s="12">
        <f>IF(AHM12=0,0,IF(AGH12=1,SUMPRODUCT(--(($AGI$5:$AGI12=$AGI12-1)*($AGH$5:$AGH12&gt;=10)*($AGH$5:$AGH12&lt;=12)),$AHO$5:$AHO12),IF(AGH12=4,SUMPRODUCT(--(($AGI$5:$AGI12=$AGI12)*($AGH$5:$AGH12&gt;=1)*($AGH$5:$AGH12&lt;=3)),$AHO$5:$AHO12),IF(AGH12=7,SUMPRODUCT(--(($AGI$5:$AGI12=$AGI12)*($AGH$5:$AGH12&gt;=4)*($AGH$5:$AGH12&lt;=6)),$AHO$5:$AHO12),IF(AGH12=10,SUMPRODUCT(--(($AGI$5:$AGI12=$AGI12)*($AGH$5:$AGH12&gt;=7)*($AGH$5:$AGH12&lt;=9)),$AHO$5:$AHO12),0)))))</f>
        <v/>
      </c>
      <c r="AHQ12" s="12">
        <f>AHQ11+AHO12-AHP12</f>
        <v/>
      </c>
      <c r="AHR12" s="12">
        <f>IF(ProviderDelay&gt;=1,AGY11*BlendedProvPayEss+AGZ11*BlendedProvPayPrem+AHA11*BlendedProvPayElite+AHB11*BlendedProvPayEss+AHC11*BlendedProvPayPrem+AHD11*BlendedProvPayElite,AGY12*BlendedProvPayEss+AGZ12*BlendedProvPayPrem+AHA12*BlendedProvPayElite+AHB12*BlendedProvPayEss+AHC12*BlendedProvPayPrem+AHD12*BlendedProvPayElite)</f>
        <v/>
      </c>
      <c r="AHS12" s="12">
        <f>AHK12*PaymentFee</f>
        <v/>
      </c>
      <c r="AHT12" s="12">
        <f>AHE12*OpsAI</f>
        <v/>
      </c>
      <c r="AHU12" s="12">
        <f>MonthlyFixed</f>
        <v/>
      </c>
      <c r="AHV12" s="12">
        <f>AGO12*ReferralReward</f>
        <v/>
      </c>
      <c r="AHW12" s="12">
        <f>AGM12</f>
        <v/>
      </c>
      <c r="AHX12" s="9">
        <f>AHN12-AHR12-AHS12-AHT12-AHU12-AHV12-AHW12</f>
        <v/>
      </c>
      <c r="AHY12" s="9">
        <f>AHY11+AHK12-(AHR12+AHS12+AHT12+AHU12+AHV12+AHW12+AHP12)</f>
        <v/>
      </c>
      <c r="AHZ12" s="12">
        <f>IF(AHE12&gt;0,AHF12/AHE12,0)</f>
        <v/>
      </c>
      <c r="AIA12" s="11">
        <f>IF(AHE11&gt;0,MAX(0,(AHE11+AGP12-AHE12)/AHE11),0)</f>
        <v/>
      </c>
      <c r="AIC12" s="12" t="n">
        <v>8</v>
      </c>
      <c r="AID12" s="12">
        <f>MOD(AIC12-1+LaunchMonth-1,12)+1</f>
        <v/>
      </c>
      <c r="AIE12" s="12">
        <f>INT((AIC12-1+LaunchMonth-1)/12)+1</f>
        <v/>
      </c>
      <c r="AIF12" s="12">
        <f>VLOOKUP(AID12,SeasonTable,2,FALSE)</f>
        <v/>
      </c>
      <c r="AIG12" s="12">
        <f>(1+InflationRate)^INT((AIC12-1)/12)</f>
        <v/>
      </c>
      <c r="AIH12" s="11">
        <f>MonthlyChurn*VLOOKUP(AID12,ChurnSeasonTable,4,FALSE)</f>
        <v/>
      </c>
      <c r="AII12" s="12">
        <f>MIN(MAX(MktMin7_12,AJG11*MktPct7_12),MAX(0,AJU11-CashBuffer))</f>
        <v/>
      </c>
      <c r="AIJ12" s="12">
        <f>IF(AII12&gt;0,MAX(1,ROUND(AII12/'Sens - CAC &amp; Marketing'!$A$9*AIF12,0)),0)</f>
        <v/>
      </c>
      <c r="AIK12" s="12">
        <f>IF(AIJ12&gt;0,ROUND(AIJ12*ReferralMix/(1-ReferralMix),0),0)</f>
        <v/>
      </c>
      <c r="AIL12" s="12">
        <f>AIJ12+AIK12</f>
        <v/>
      </c>
      <c r="AIM12" s="12">
        <f>ROUND(AIL12*(1-AnnualMix),0)</f>
        <v/>
      </c>
      <c r="AIN12" s="12">
        <f>AIL12-AIM12</f>
        <v/>
      </c>
      <c r="AIO12" s="12">
        <f>ROUND(AIM12*EssentialMix,0)</f>
        <v/>
      </c>
      <c r="AIP12" s="12">
        <f>ROUND(AIM12*PremiumMix,0)</f>
        <v/>
      </c>
      <c r="AIQ12" s="12">
        <f>AIM12-AIO12-AIP12</f>
        <v/>
      </c>
      <c r="AIR12" s="12">
        <f>ROUND(AIN12*EssentialMix,0)</f>
        <v/>
      </c>
      <c r="AIS12" s="12">
        <f>ROUND(AIN12*PremiumMix,0)</f>
        <v/>
      </c>
      <c r="AIT12" s="12">
        <f>AIN12-AIR12-AIS12</f>
        <v/>
      </c>
      <c r="AIU12" s="12">
        <f>AIO12+AIO11+AIO10+MAX(0,AIU11-AIO11-AIO10)*(1-AIH12)</f>
        <v/>
      </c>
      <c r="AIV12" s="12">
        <f>AIP12+AIP11+AIP10+MAX(0,AIV11-AIP11-AIP10)*(1-AIH12)</f>
        <v/>
      </c>
      <c r="AIW12" s="12">
        <f>AIQ12+AIQ11+AIQ10+MAX(0,AIW11-AIQ11-AIQ10)*(1-AIH12)</f>
        <v/>
      </c>
      <c r="AIX12" s="12">
        <f>SUM(AIR$5:AIR12)</f>
        <v/>
      </c>
      <c r="AIY12" s="12">
        <f>SUM(AIS$5:AIS12)</f>
        <v/>
      </c>
      <c r="AIZ12" s="12">
        <f>SUM(AIT$5:AIT12)</f>
        <v/>
      </c>
      <c r="AJA12" s="12">
        <f>AIU12+AIV12+AIW12+AIX12+AIY12+AIZ12</f>
        <v/>
      </c>
      <c r="AJB12" s="9">
        <f>AIU12*BlendedPriceEssMonthly*AIG12+AIV12*BlendedPricePremMonthly*AIG12+AIW12*BlendedPriceEliteMonthly*AIG12+AIX12*BlendedPriceEssAnnual*AIG12/12+AIY12*BlendedPricePremAnnual*AIG12/12+AIZ12*BlendedPriceEliteAnnual*AIG12/12</f>
        <v/>
      </c>
      <c r="AJC12" s="9">
        <f>AJB12*12</f>
        <v/>
      </c>
      <c r="AJD12" s="12">
        <f>AIU12*BlendedPriceEssMonthly*AIG12+AIV12*BlendedPricePremMonthly*AIG12+AIW12*BlendedPriceEliteMonthly*AIG12</f>
        <v/>
      </c>
      <c r="AJE12" s="12">
        <f>AIR12*BlendedPriceEssAnnual*AIG12+AIS12*BlendedPricePremAnnual*AIG12+AIT12*BlendedPriceEliteAnnual*AIG12</f>
        <v/>
      </c>
      <c r="AJF12" s="12">
        <f>0+0+0</f>
        <v/>
      </c>
      <c r="AJG12" s="9">
        <f>AJD12+AJE12+AJF12</f>
        <v/>
      </c>
      <c r="AJH12" s="12">
        <f>SUM(AJG$5:AJG12)</f>
        <v/>
      </c>
      <c r="AJI12" s="12">
        <f>OR(AJI11,IF(VATAgentMode,SUM($AJG$5:$AJG12)-SUM($AJN$5:$AJN12)&gt;=VATThreshold,SUM($AJG$5:$AJG12)&gt;=VATThreshold))</f>
        <v/>
      </c>
      <c r="AJJ12" s="9">
        <f>IF(AJI12,IF(VATAgentMode,AJG12-((AJG12-AJN12)-(AJG12-AJN12)/(1+VATRate)),AJG12/(1+VATRate)),AJG12)</f>
        <v/>
      </c>
      <c r="AJK12" s="12">
        <f>AJG12-AJJ12</f>
        <v/>
      </c>
      <c r="AJL12" s="12">
        <f>IF(AJI12=0,0,IF(AID12=1,SUMPRODUCT(--(($AIE$5:$AIE12=$AIE12-1)*($AID$5:$AID12&gt;=10)*($AID$5:$AID12&lt;=12)),$AJK$5:$AJK12),IF(AID12=4,SUMPRODUCT(--(($AIE$5:$AIE12=$AIE12)*($AID$5:$AID12&gt;=1)*($AID$5:$AID12&lt;=3)),$AJK$5:$AJK12),IF(AID12=7,SUMPRODUCT(--(($AIE$5:$AIE12=$AIE12)*($AID$5:$AID12&gt;=4)*($AID$5:$AID12&lt;=6)),$AJK$5:$AJK12),IF(AID12=10,SUMPRODUCT(--(($AIE$5:$AIE12=$AIE12)*($AID$5:$AID12&gt;=7)*($AID$5:$AID12&lt;=9)),$AJK$5:$AJK12),0)))))</f>
        <v/>
      </c>
      <c r="AJM12" s="12">
        <f>AJM11+AJK12-AJL12</f>
        <v/>
      </c>
      <c r="AJN12" s="12">
        <f>IF(ProviderDelay&gt;=1,AIU11*BlendedProvPayEss+AIV11*BlendedProvPayPrem+AIW11*BlendedProvPayElite+AIX11*BlendedProvPayEss+AIY11*BlendedProvPayPrem+AIZ11*BlendedProvPayElite,AIU12*BlendedProvPayEss+AIV12*BlendedProvPayPrem+AIW12*BlendedProvPayElite+AIX12*BlendedProvPayEss+AIY12*BlendedProvPayPrem+AIZ12*BlendedProvPayElite)</f>
        <v/>
      </c>
      <c r="AJO12" s="12">
        <f>AJG12*PaymentFee</f>
        <v/>
      </c>
      <c r="AJP12" s="12">
        <f>AJA12*OpsAI</f>
        <v/>
      </c>
      <c r="AJQ12" s="12">
        <f>MonthlyFixed</f>
        <v/>
      </c>
      <c r="AJR12" s="12">
        <f>AIK12*ReferralReward</f>
        <v/>
      </c>
      <c r="AJS12" s="12">
        <f>AII12</f>
        <v/>
      </c>
      <c r="AJT12" s="9">
        <f>AJJ12-AJN12-AJO12-AJP12-AJQ12-AJR12-AJS12</f>
        <v/>
      </c>
      <c r="AJU12" s="9">
        <f>AJU11+AJG12-(AJN12+AJO12+AJP12+AJQ12+AJR12+AJS12+AJL12)</f>
        <v/>
      </c>
      <c r="AJV12" s="12">
        <f>IF(AJA12&gt;0,AJB12/AJA12,0)</f>
        <v/>
      </c>
      <c r="AJW12" s="11">
        <f>IF(AJA11&gt;0,MAX(0,(AJA11+AIL12-AJA12)/AJA11),0)</f>
        <v/>
      </c>
      <c r="AJY12" s="12" t="n">
        <v>8</v>
      </c>
      <c r="AJZ12" s="12">
        <f>MOD(AJY12-1+LaunchMonth-1,12)+1</f>
        <v/>
      </c>
      <c r="AKA12" s="12">
        <f>INT((AJY12-1+LaunchMonth-1)/12)+1</f>
        <v/>
      </c>
      <c r="AKB12" s="12">
        <f>VLOOKUP(AJZ12,SeasonTable,2,FALSE)</f>
        <v/>
      </c>
      <c r="AKC12" s="12">
        <f>(1+InflationRate)^INT((AJY12-1)/12)</f>
        <v/>
      </c>
      <c r="AKD12" s="11">
        <f>MonthlyChurn*VLOOKUP(AJZ12,ChurnSeasonTable,4,FALSE)</f>
        <v/>
      </c>
      <c r="AKE12" s="12">
        <f>MIN(MAX(MktMin7_12,ALC11*MktPct7_12),MAX(0,ALQ11-CashBuffer))</f>
        <v/>
      </c>
      <c r="AKF12" s="12">
        <f>IF(AKE12&gt;0,MAX(1,ROUND(AKE12/'Sens - CAC &amp; Marketing'!$A$10*AKB12,0)),0)</f>
        <v/>
      </c>
      <c r="AKG12" s="12">
        <f>IF(AKF12&gt;0,ROUND(AKF12*ReferralMix/(1-ReferralMix),0),0)</f>
        <v/>
      </c>
      <c r="AKH12" s="12">
        <f>AKF12+AKG12</f>
        <v/>
      </c>
      <c r="AKI12" s="12">
        <f>ROUND(AKH12*(1-AnnualMix),0)</f>
        <v/>
      </c>
      <c r="AKJ12" s="12">
        <f>AKH12-AKI12</f>
        <v/>
      </c>
      <c r="AKK12" s="12">
        <f>ROUND(AKI12*EssentialMix,0)</f>
        <v/>
      </c>
      <c r="AKL12" s="12">
        <f>ROUND(AKI12*PremiumMix,0)</f>
        <v/>
      </c>
      <c r="AKM12" s="12">
        <f>AKI12-AKK12-AKL12</f>
        <v/>
      </c>
      <c r="AKN12" s="12">
        <f>ROUND(AKJ12*EssentialMix,0)</f>
        <v/>
      </c>
      <c r="AKO12" s="12">
        <f>ROUND(AKJ12*PremiumMix,0)</f>
        <v/>
      </c>
      <c r="AKP12" s="12">
        <f>AKJ12-AKN12-AKO12</f>
        <v/>
      </c>
      <c r="AKQ12" s="12">
        <f>AKK12+AKK11+AKK10+MAX(0,AKQ11-AKK11-AKK10)*(1-AKD12)</f>
        <v/>
      </c>
      <c r="AKR12" s="12">
        <f>AKL12+AKL11+AKL10+MAX(0,AKR11-AKL11-AKL10)*(1-AKD12)</f>
        <v/>
      </c>
      <c r="AKS12" s="12">
        <f>AKM12+AKM11+AKM10+MAX(0,AKS11-AKM11-AKM10)*(1-AKD12)</f>
        <v/>
      </c>
      <c r="AKT12" s="12">
        <f>SUM(AKN$5:AKN12)</f>
        <v/>
      </c>
      <c r="AKU12" s="12">
        <f>SUM(AKO$5:AKO12)</f>
        <v/>
      </c>
      <c r="AKV12" s="12">
        <f>SUM(AKP$5:AKP12)</f>
        <v/>
      </c>
      <c r="AKW12" s="12">
        <f>AKQ12+AKR12+AKS12+AKT12+AKU12+AKV12</f>
        <v/>
      </c>
      <c r="AKX12" s="9">
        <f>AKQ12*BlendedPriceEssMonthly*AKC12+AKR12*BlendedPricePremMonthly*AKC12+AKS12*BlendedPriceEliteMonthly*AKC12+AKT12*BlendedPriceEssAnnual*AKC12/12+AKU12*BlendedPricePremAnnual*AKC12/12+AKV12*BlendedPriceEliteAnnual*AKC12/12</f>
        <v/>
      </c>
      <c r="AKY12" s="9">
        <f>AKX12*12</f>
        <v/>
      </c>
      <c r="AKZ12" s="12">
        <f>AKQ12*BlendedPriceEssMonthly*AKC12+AKR12*BlendedPricePremMonthly*AKC12+AKS12*BlendedPriceEliteMonthly*AKC12</f>
        <v/>
      </c>
      <c r="ALA12" s="12">
        <f>AKN12*BlendedPriceEssAnnual*AKC12+AKO12*BlendedPricePremAnnual*AKC12+AKP12*BlendedPriceEliteAnnual*AKC12</f>
        <v/>
      </c>
      <c r="ALB12" s="12">
        <f>0+0+0</f>
        <v/>
      </c>
      <c r="ALC12" s="9">
        <f>AKZ12+ALA12+ALB12</f>
        <v/>
      </c>
      <c r="ALD12" s="12">
        <f>SUM(ALC$5:ALC12)</f>
        <v/>
      </c>
      <c r="ALE12" s="12">
        <f>OR(ALE11,IF(VATAgentMode,SUM($ALC$5:$ALC12)-SUM($ALJ$5:$ALJ12)&gt;=VATThreshold,SUM($ALC$5:$ALC12)&gt;=VATThreshold))</f>
        <v/>
      </c>
      <c r="ALF12" s="9">
        <f>IF(ALE12,IF(VATAgentMode,ALC12-((ALC12-ALJ12)-(ALC12-ALJ12)/(1+VATRate)),ALC12/(1+VATRate)),ALC12)</f>
        <v/>
      </c>
      <c r="ALG12" s="12">
        <f>ALC12-ALF12</f>
        <v/>
      </c>
      <c r="ALH12" s="12">
        <f>IF(ALE12=0,0,IF(AJZ12=1,SUMPRODUCT(--(($AKA$5:$AKA12=$AKA12-1)*($AJZ$5:$AJZ12&gt;=10)*($AJZ$5:$AJZ12&lt;=12)),$ALG$5:$ALG12),IF(AJZ12=4,SUMPRODUCT(--(($AKA$5:$AKA12=$AKA12)*($AJZ$5:$AJZ12&gt;=1)*($AJZ$5:$AJZ12&lt;=3)),$ALG$5:$ALG12),IF(AJZ12=7,SUMPRODUCT(--(($AKA$5:$AKA12=$AKA12)*($AJZ$5:$AJZ12&gt;=4)*($AJZ$5:$AJZ12&lt;=6)),$ALG$5:$ALG12),IF(AJZ12=10,SUMPRODUCT(--(($AKA$5:$AKA12=$AKA12)*($AJZ$5:$AJZ12&gt;=7)*($AJZ$5:$AJZ12&lt;=9)),$ALG$5:$ALG12),0)))))</f>
        <v/>
      </c>
      <c r="ALI12" s="12">
        <f>ALI11+ALG12-ALH12</f>
        <v/>
      </c>
      <c r="ALJ12" s="12">
        <f>IF(ProviderDelay&gt;=1,AKQ11*BlendedProvPayEss+AKR11*BlendedProvPayPrem+AKS11*BlendedProvPayElite+AKT11*BlendedProvPayEss+AKU11*BlendedProvPayPrem+AKV11*BlendedProvPayElite,AKQ12*BlendedProvPayEss+AKR12*BlendedProvPayPrem+AKS12*BlendedProvPayElite+AKT12*BlendedProvPayEss+AKU12*BlendedProvPayPrem+AKV12*BlendedProvPayElite)</f>
        <v/>
      </c>
      <c r="ALK12" s="12">
        <f>ALC12*PaymentFee</f>
        <v/>
      </c>
      <c r="ALL12" s="12">
        <f>AKW12*OpsAI</f>
        <v/>
      </c>
      <c r="ALM12" s="12">
        <f>MonthlyFixed</f>
        <v/>
      </c>
      <c r="ALN12" s="12">
        <f>AKG12*ReferralReward</f>
        <v/>
      </c>
      <c r="ALO12" s="12">
        <f>AKE12</f>
        <v/>
      </c>
      <c r="ALP12" s="9">
        <f>ALF12-ALJ12-ALK12-ALL12-ALM12-ALN12-ALO12</f>
        <v/>
      </c>
      <c r="ALQ12" s="9">
        <f>ALQ11+ALC12-(ALJ12+ALK12+ALL12+ALM12+ALN12+ALO12+ALH12)</f>
        <v/>
      </c>
      <c r="ALR12" s="12">
        <f>IF(AKW12&gt;0,AKX12/AKW12,0)</f>
        <v/>
      </c>
      <c r="ALS12" s="11">
        <f>IF(AKW11&gt;0,MAX(0,(AKW11+AKH12-AKW12)/AKW11),0)</f>
        <v/>
      </c>
      <c r="ALU12" s="12" t="n">
        <v>8</v>
      </c>
      <c r="ALV12" s="12">
        <f>MOD(ALU12-1+LaunchMonth-1,12)+1</f>
        <v/>
      </c>
      <c r="ALW12" s="12">
        <f>INT((ALU12-1+LaunchMonth-1)/12)+1</f>
        <v/>
      </c>
      <c r="ALX12" s="12">
        <f>VLOOKUP(ALV12,SeasonTable,2,FALSE)</f>
        <v/>
      </c>
      <c r="ALY12" s="12">
        <f>(1+InflationRate)^INT((ALU12-1)/12)</f>
        <v/>
      </c>
      <c r="ALZ12" s="11">
        <f>MonthlyChurn*VLOOKUP(ALV12,ChurnSeasonTable,4,FALSE)</f>
        <v/>
      </c>
      <c r="AMA12" s="12">
        <f>MIN(MAX(MktMin7_12,AMY11*MktPct7_12),MAX(0,ANM11-CashBuffer))</f>
        <v/>
      </c>
      <c r="AMB12" s="12">
        <f>IF(AMA12&gt;0,MAX(1,ROUND(AMA12/'Sens - CAC &amp; Marketing'!$A$11*ALX12,0)),0)</f>
        <v/>
      </c>
      <c r="AMC12" s="12">
        <f>IF(AMB12&gt;0,ROUND(AMB12*ReferralMix/(1-ReferralMix),0),0)</f>
        <v/>
      </c>
      <c r="AMD12" s="12">
        <f>AMB12+AMC12</f>
        <v/>
      </c>
      <c r="AME12" s="12">
        <f>ROUND(AMD12*(1-AnnualMix),0)</f>
        <v/>
      </c>
      <c r="AMF12" s="12">
        <f>AMD12-AME12</f>
        <v/>
      </c>
      <c r="AMG12" s="12">
        <f>ROUND(AME12*EssentialMix,0)</f>
        <v/>
      </c>
      <c r="AMH12" s="12">
        <f>ROUND(AME12*PremiumMix,0)</f>
        <v/>
      </c>
      <c r="AMI12" s="12">
        <f>AME12-AMG12-AMH12</f>
        <v/>
      </c>
      <c r="AMJ12" s="12">
        <f>ROUND(AMF12*EssentialMix,0)</f>
        <v/>
      </c>
      <c r="AMK12" s="12">
        <f>ROUND(AMF12*PremiumMix,0)</f>
        <v/>
      </c>
      <c r="AML12" s="12">
        <f>AMF12-AMJ12-AMK12</f>
        <v/>
      </c>
      <c r="AMM12" s="12">
        <f>AMG12+AMG11+AMG10+MAX(0,AMM11-AMG11-AMG10)*(1-ALZ12)</f>
        <v/>
      </c>
      <c r="AMN12" s="12">
        <f>AMH12+AMH11+AMH10+MAX(0,AMN11-AMH11-AMH10)*(1-ALZ12)</f>
        <v/>
      </c>
      <c r="AMO12" s="12">
        <f>AMI12+AMI11+AMI10+MAX(0,AMO11-AMI11-AMI10)*(1-ALZ12)</f>
        <v/>
      </c>
      <c r="AMP12" s="12">
        <f>SUM(AMJ$5:AMJ12)</f>
        <v/>
      </c>
      <c r="AMQ12" s="12">
        <f>SUM(AMK$5:AMK12)</f>
        <v/>
      </c>
      <c r="AMR12" s="12">
        <f>SUM(AML$5:AML12)</f>
        <v/>
      </c>
      <c r="AMS12" s="12">
        <f>AMM12+AMN12+AMO12+AMP12+AMQ12+AMR12</f>
        <v/>
      </c>
      <c r="AMT12" s="9">
        <f>AMM12*BlendedPriceEssMonthly*ALY12+AMN12*BlendedPricePremMonthly*ALY12+AMO12*BlendedPriceEliteMonthly*ALY12+AMP12*BlendedPriceEssAnnual*ALY12/12+AMQ12*BlendedPricePremAnnual*ALY12/12+AMR12*BlendedPriceEliteAnnual*ALY12/12</f>
        <v/>
      </c>
      <c r="AMU12" s="9">
        <f>AMT12*12</f>
        <v/>
      </c>
      <c r="AMV12" s="12">
        <f>AMM12*BlendedPriceEssMonthly*ALY12+AMN12*BlendedPricePremMonthly*ALY12+AMO12*BlendedPriceEliteMonthly*ALY12</f>
        <v/>
      </c>
      <c r="AMW12" s="12">
        <f>AMJ12*BlendedPriceEssAnnual*ALY12+AMK12*BlendedPricePremAnnual*ALY12+AML12*BlendedPriceEliteAnnual*ALY12</f>
        <v/>
      </c>
      <c r="AMX12" s="12">
        <f>0+0+0</f>
        <v/>
      </c>
      <c r="AMY12" s="9">
        <f>AMV12+AMW12+AMX12</f>
        <v/>
      </c>
      <c r="AMZ12" s="12">
        <f>SUM(AMY$5:AMY12)</f>
        <v/>
      </c>
      <c r="ANA12" s="12">
        <f>OR(ANA11,IF(VATAgentMode,SUM($AMY$5:$AMY12)-SUM($ANF$5:$ANF12)&gt;=VATThreshold,SUM($AMY$5:$AMY12)&gt;=VATThreshold))</f>
        <v/>
      </c>
      <c r="ANB12" s="9">
        <f>IF(ANA12,IF(VATAgentMode,AMY12-((AMY12-ANF12)-(AMY12-ANF12)/(1+VATRate)),AMY12/(1+VATRate)),AMY12)</f>
        <v/>
      </c>
      <c r="ANC12" s="12">
        <f>AMY12-ANB12</f>
        <v/>
      </c>
      <c r="AND12" s="12">
        <f>IF(ANA12=0,0,IF(ALV12=1,SUMPRODUCT(--(($ALW$5:$ALW12=$ALW12-1)*($ALV$5:$ALV12&gt;=10)*($ALV$5:$ALV12&lt;=12)),$ANC$5:$ANC12),IF(ALV12=4,SUMPRODUCT(--(($ALW$5:$ALW12=$ALW12)*($ALV$5:$ALV12&gt;=1)*($ALV$5:$ALV12&lt;=3)),$ANC$5:$ANC12),IF(ALV12=7,SUMPRODUCT(--(($ALW$5:$ALW12=$ALW12)*($ALV$5:$ALV12&gt;=4)*($ALV$5:$ALV12&lt;=6)),$ANC$5:$ANC12),IF(ALV12=10,SUMPRODUCT(--(($ALW$5:$ALW12=$ALW12)*($ALV$5:$ALV12&gt;=7)*($ALV$5:$ALV12&lt;=9)),$ANC$5:$ANC12),0)))))</f>
        <v/>
      </c>
      <c r="ANE12" s="12">
        <f>ANE11+ANC12-AND12</f>
        <v/>
      </c>
      <c r="ANF12" s="12">
        <f>IF(ProviderDelay&gt;=1,AMM11*BlendedProvPayEss+AMN11*BlendedProvPayPrem+AMO11*BlendedProvPayElite+AMP11*BlendedProvPayEss+AMQ11*BlendedProvPayPrem+AMR11*BlendedProvPayElite,AMM12*BlendedProvPayEss+AMN12*BlendedProvPayPrem+AMO12*BlendedProvPayElite+AMP12*BlendedProvPayEss+AMQ12*BlendedProvPayPrem+AMR12*BlendedProvPayElite)</f>
        <v/>
      </c>
      <c r="ANG12" s="12">
        <f>AMY12*PaymentFee</f>
        <v/>
      </c>
      <c r="ANH12" s="12">
        <f>AMS12*OpsAI</f>
        <v/>
      </c>
      <c r="ANI12" s="12">
        <f>MonthlyFixed</f>
        <v/>
      </c>
      <c r="ANJ12" s="12">
        <f>AMC12*ReferralReward</f>
        <v/>
      </c>
      <c r="ANK12" s="12">
        <f>AMA12</f>
        <v/>
      </c>
      <c r="ANL12" s="9">
        <f>ANB12-ANF12-ANG12-ANH12-ANI12-ANJ12-ANK12</f>
        <v/>
      </c>
      <c r="ANM12" s="9">
        <f>ANM11+AMY12-(ANF12+ANG12+ANH12+ANI12+ANJ12+ANK12+AND12)</f>
        <v/>
      </c>
      <c r="ANN12" s="12">
        <f>IF(AMS12&gt;0,AMT12/AMS12,0)</f>
        <v/>
      </c>
      <c r="ANO12" s="11">
        <f>IF(AMS11&gt;0,MAX(0,(AMS11+AMD12-AMS12)/AMS11),0)</f>
        <v/>
      </c>
      <c r="ANQ12" s="12" t="n">
        <v>8</v>
      </c>
      <c r="ANR12" s="12">
        <f>MOD(ANQ12-1+LaunchMonth-1,12)+1</f>
        <v/>
      </c>
      <c r="ANS12" s="12">
        <f>INT((ANQ12-1+LaunchMonth-1)/12)+1</f>
        <v/>
      </c>
      <c r="ANT12" s="12">
        <f>VLOOKUP(ANR12,SeasonTable,2,FALSE)</f>
        <v/>
      </c>
      <c r="ANU12" s="12">
        <f>(1+InflationRate)^INT((ANQ12-1)/12)</f>
        <v/>
      </c>
      <c r="ANV12" s="11">
        <f>MonthlyChurn*VLOOKUP(ANR12,ChurnSeasonTable,4,FALSE)</f>
        <v/>
      </c>
      <c r="ANW12" s="12">
        <f>MIN(MAX(MktMin7_12,AOU11*MktPct7_12),MAX(0,API11-CashBuffer))</f>
        <v/>
      </c>
      <c r="ANX12" s="12">
        <f>IF(ANW12&gt;0,MAX(1,ROUND(ANW12/'Sens - CAC &amp; Marketing'!$A$12*ANT12,0)),0)</f>
        <v/>
      </c>
      <c r="ANY12" s="12">
        <f>IF(ANX12&gt;0,ROUND(ANX12*ReferralMix/(1-ReferralMix),0),0)</f>
        <v/>
      </c>
      <c r="ANZ12" s="12">
        <f>ANX12+ANY12</f>
        <v/>
      </c>
      <c r="AOA12" s="12">
        <f>ROUND(ANZ12*(1-AnnualMix),0)</f>
        <v/>
      </c>
      <c r="AOB12" s="12">
        <f>ANZ12-AOA12</f>
        <v/>
      </c>
      <c r="AOC12" s="12">
        <f>ROUND(AOA12*EssentialMix,0)</f>
        <v/>
      </c>
      <c r="AOD12" s="12">
        <f>ROUND(AOA12*PremiumMix,0)</f>
        <v/>
      </c>
      <c r="AOE12" s="12">
        <f>AOA12-AOC12-AOD12</f>
        <v/>
      </c>
      <c r="AOF12" s="12">
        <f>ROUND(AOB12*EssentialMix,0)</f>
        <v/>
      </c>
      <c r="AOG12" s="12">
        <f>ROUND(AOB12*PremiumMix,0)</f>
        <v/>
      </c>
      <c r="AOH12" s="12">
        <f>AOB12-AOF12-AOG12</f>
        <v/>
      </c>
      <c r="AOI12" s="12">
        <f>AOC12+AOC11+AOC10+MAX(0,AOI11-AOC11-AOC10)*(1-ANV12)</f>
        <v/>
      </c>
      <c r="AOJ12" s="12">
        <f>AOD12+AOD11+AOD10+MAX(0,AOJ11-AOD11-AOD10)*(1-ANV12)</f>
        <v/>
      </c>
      <c r="AOK12" s="12">
        <f>AOE12+AOE11+AOE10+MAX(0,AOK11-AOE11-AOE10)*(1-ANV12)</f>
        <v/>
      </c>
      <c r="AOL12" s="12">
        <f>SUM(AOF$5:AOF12)</f>
        <v/>
      </c>
      <c r="AOM12" s="12">
        <f>SUM(AOG$5:AOG12)</f>
        <v/>
      </c>
      <c r="AON12" s="12">
        <f>SUM(AOH$5:AOH12)</f>
        <v/>
      </c>
      <c r="AOO12" s="12">
        <f>AOI12+AOJ12+AOK12+AOL12+AOM12+AON12</f>
        <v/>
      </c>
      <c r="AOP12" s="9">
        <f>AOI12*BlendedPriceEssMonthly*ANU12+AOJ12*BlendedPricePremMonthly*ANU12+AOK12*BlendedPriceEliteMonthly*ANU12+AOL12*BlendedPriceEssAnnual*ANU12/12+AOM12*BlendedPricePremAnnual*ANU12/12+AON12*BlendedPriceEliteAnnual*ANU12/12</f>
        <v/>
      </c>
      <c r="AOQ12" s="9">
        <f>AOP12*12</f>
        <v/>
      </c>
      <c r="AOR12" s="12">
        <f>AOI12*BlendedPriceEssMonthly*ANU12+AOJ12*BlendedPricePremMonthly*ANU12+AOK12*BlendedPriceEliteMonthly*ANU12</f>
        <v/>
      </c>
      <c r="AOS12" s="12">
        <f>AOF12*BlendedPriceEssAnnual*ANU12+AOG12*BlendedPricePremAnnual*ANU12+AOH12*BlendedPriceEliteAnnual*ANU12</f>
        <v/>
      </c>
      <c r="AOT12" s="12">
        <f>0+0+0</f>
        <v/>
      </c>
      <c r="AOU12" s="9">
        <f>AOR12+AOS12+AOT12</f>
        <v/>
      </c>
      <c r="AOV12" s="12">
        <f>SUM(AOU$5:AOU12)</f>
        <v/>
      </c>
      <c r="AOW12" s="12">
        <f>OR(AOW11,IF(VATAgentMode,SUM($AOU$5:$AOU12)-SUM($APB$5:$APB12)&gt;=VATThreshold,SUM($AOU$5:$AOU12)&gt;=VATThreshold))</f>
        <v/>
      </c>
      <c r="AOX12" s="9">
        <f>IF(AOW12,IF(VATAgentMode,AOU12-((AOU12-APB12)-(AOU12-APB12)/(1+VATRate)),AOU12/(1+VATRate)),AOU12)</f>
        <v/>
      </c>
      <c r="AOY12" s="12">
        <f>AOU12-AOX12</f>
        <v/>
      </c>
      <c r="AOZ12" s="12">
        <f>IF(AOW12=0,0,IF(ANR12=1,SUMPRODUCT(--(($ANS$5:$ANS12=$ANS12-1)*($ANR$5:$ANR12&gt;=10)*($ANR$5:$ANR12&lt;=12)),$AOY$5:$AOY12),IF(ANR12=4,SUMPRODUCT(--(($ANS$5:$ANS12=$ANS12)*($ANR$5:$ANR12&gt;=1)*($ANR$5:$ANR12&lt;=3)),$AOY$5:$AOY12),IF(ANR12=7,SUMPRODUCT(--(($ANS$5:$ANS12=$ANS12)*($ANR$5:$ANR12&gt;=4)*($ANR$5:$ANR12&lt;=6)),$AOY$5:$AOY12),IF(ANR12=10,SUMPRODUCT(--(($ANS$5:$ANS12=$ANS12)*($ANR$5:$ANR12&gt;=7)*($ANR$5:$ANR12&lt;=9)),$AOY$5:$AOY12),0)))))</f>
        <v/>
      </c>
      <c r="APA12" s="12">
        <f>APA11+AOY12-AOZ12</f>
        <v/>
      </c>
      <c r="APB12" s="12">
        <f>IF(ProviderDelay&gt;=1,AOI11*BlendedProvPayEss+AOJ11*BlendedProvPayPrem+AOK11*BlendedProvPayElite+AOL11*BlendedProvPayEss+AOM11*BlendedProvPayPrem+AON11*BlendedProvPayElite,AOI12*BlendedProvPayEss+AOJ12*BlendedProvPayPrem+AOK12*BlendedProvPayElite+AOL12*BlendedProvPayEss+AOM12*BlendedProvPayPrem+AON12*BlendedProvPayElite)</f>
        <v/>
      </c>
      <c r="APC12" s="12">
        <f>AOU12*PaymentFee</f>
        <v/>
      </c>
      <c r="APD12" s="12">
        <f>AOO12*OpsAI</f>
        <v/>
      </c>
      <c r="APE12" s="12">
        <f>MonthlyFixed</f>
        <v/>
      </c>
      <c r="APF12" s="12">
        <f>ANY12*ReferralReward</f>
        <v/>
      </c>
      <c r="APG12" s="12">
        <f>ANW12</f>
        <v/>
      </c>
      <c r="APH12" s="9">
        <f>AOX12-APB12-APC12-APD12-APE12-APF12-APG12</f>
        <v/>
      </c>
      <c r="API12" s="9">
        <f>API11+AOU12-(APB12+APC12+APD12+APE12+APF12+APG12+AOZ12)</f>
        <v/>
      </c>
      <c r="APJ12" s="12">
        <f>IF(AOO12&gt;0,AOP12/AOO12,0)</f>
        <v/>
      </c>
      <c r="APK12" s="11">
        <f>IF(AOO11&gt;0,MAX(0,(AOO11+ANZ12-AOO12)/AOO11),0)</f>
        <v/>
      </c>
      <c r="APM12" s="12" t="n">
        <v>8</v>
      </c>
      <c r="APN12" s="12">
        <f>MOD(APM12-1+LaunchMonth-1,12)+1</f>
        <v/>
      </c>
      <c r="APO12" s="12">
        <f>INT((APM12-1+LaunchMonth-1)/12)+1</f>
        <v/>
      </c>
      <c r="APP12" s="12">
        <f>VLOOKUP(APN12,SeasonTable,2,FALSE)</f>
        <v/>
      </c>
      <c r="APQ12" s="12">
        <f>(1+InflationRate)^INT((APM12-1)/12)</f>
        <v/>
      </c>
      <c r="APR12" s="11">
        <f>MonthlyChurn*VLOOKUP(APN12,ChurnSeasonTable,4,FALSE)</f>
        <v/>
      </c>
      <c r="APS12" s="12">
        <f>MIN(MAX(MktMin7_12,AQQ11*MktPct7_12),MAX(0,ARE11-CashBuffer))</f>
        <v/>
      </c>
      <c r="APT12" s="12">
        <f>IF(APS12&gt;0,MAX(1,ROUND(APS12/'Sens - CAC &amp; Marketing'!$A$13*APP12,0)),0)</f>
        <v/>
      </c>
      <c r="APU12" s="12">
        <f>IF(APT12&gt;0,ROUND(APT12*ReferralMix/(1-ReferralMix),0),0)</f>
        <v/>
      </c>
      <c r="APV12" s="12">
        <f>APT12+APU12</f>
        <v/>
      </c>
      <c r="APW12" s="12">
        <f>ROUND(APV12*(1-AnnualMix),0)</f>
        <v/>
      </c>
      <c r="APX12" s="12">
        <f>APV12-APW12</f>
        <v/>
      </c>
      <c r="APY12" s="12">
        <f>ROUND(APW12*EssentialMix,0)</f>
        <v/>
      </c>
      <c r="APZ12" s="12">
        <f>ROUND(APW12*PremiumMix,0)</f>
        <v/>
      </c>
      <c r="AQA12" s="12">
        <f>APW12-APY12-APZ12</f>
        <v/>
      </c>
      <c r="AQB12" s="12">
        <f>ROUND(APX12*EssentialMix,0)</f>
        <v/>
      </c>
      <c r="AQC12" s="12">
        <f>ROUND(APX12*PremiumMix,0)</f>
        <v/>
      </c>
      <c r="AQD12" s="12">
        <f>APX12-AQB12-AQC12</f>
        <v/>
      </c>
      <c r="AQE12" s="12">
        <f>APY12+APY11+APY10+MAX(0,AQE11-APY11-APY10)*(1-APR12)</f>
        <v/>
      </c>
      <c r="AQF12" s="12">
        <f>APZ12+APZ11+APZ10+MAX(0,AQF11-APZ11-APZ10)*(1-APR12)</f>
        <v/>
      </c>
      <c r="AQG12" s="12">
        <f>AQA12+AQA11+AQA10+MAX(0,AQG11-AQA11-AQA10)*(1-APR12)</f>
        <v/>
      </c>
      <c r="AQH12" s="12">
        <f>SUM(AQB$5:AQB12)</f>
        <v/>
      </c>
      <c r="AQI12" s="12">
        <f>SUM(AQC$5:AQC12)</f>
        <v/>
      </c>
      <c r="AQJ12" s="12">
        <f>SUM(AQD$5:AQD12)</f>
        <v/>
      </c>
      <c r="AQK12" s="12">
        <f>AQE12+AQF12+AQG12+AQH12+AQI12+AQJ12</f>
        <v/>
      </c>
      <c r="AQL12" s="9">
        <f>AQE12*BlendedPriceEssMonthly*APQ12+AQF12*BlendedPricePremMonthly*APQ12+AQG12*BlendedPriceEliteMonthly*APQ12+AQH12*BlendedPriceEssAnnual*APQ12/12+AQI12*BlendedPricePremAnnual*APQ12/12+AQJ12*BlendedPriceEliteAnnual*APQ12/12</f>
        <v/>
      </c>
      <c r="AQM12" s="9">
        <f>AQL12*12</f>
        <v/>
      </c>
      <c r="AQN12" s="12">
        <f>AQE12*BlendedPriceEssMonthly*APQ12+AQF12*BlendedPricePremMonthly*APQ12+AQG12*BlendedPriceEliteMonthly*APQ12</f>
        <v/>
      </c>
      <c r="AQO12" s="12">
        <f>AQB12*BlendedPriceEssAnnual*APQ12+AQC12*BlendedPricePremAnnual*APQ12+AQD12*BlendedPriceEliteAnnual*APQ12</f>
        <v/>
      </c>
      <c r="AQP12" s="12">
        <f>0+0+0</f>
        <v/>
      </c>
      <c r="AQQ12" s="9">
        <f>AQN12+AQO12+AQP12</f>
        <v/>
      </c>
      <c r="AQR12" s="12">
        <f>SUM(AQQ$5:AQQ12)</f>
        <v/>
      </c>
      <c r="AQS12" s="12">
        <f>OR(AQS11,IF(VATAgentMode,SUM($AQQ$5:$AQQ12)-SUM($AQX$5:$AQX12)&gt;=VATThreshold,SUM($AQQ$5:$AQQ12)&gt;=VATThreshold))</f>
        <v/>
      </c>
      <c r="AQT12" s="9">
        <f>IF(AQS12,IF(VATAgentMode,AQQ12-((AQQ12-AQX12)-(AQQ12-AQX12)/(1+VATRate)),AQQ12/(1+VATRate)),AQQ12)</f>
        <v/>
      </c>
      <c r="AQU12" s="12">
        <f>AQQ12-AQT12</f>
        <v/>
      </c>
      <c r="AQV12" s="12">
        <f>IF(AQS12=0,0,IF(APN12=1,SUMPRODUCT(--(($APO$5:$APO12=$APO12-1)*($APN$5:$APN12&gt;=10)*($APN$5:$APN12&lt;=12)),$AQU$5:$AQU12),IF(APN12=4,SUMPRODUCT(--(($APO$5:$APO12=$APO12)*($APN$5:$APN12&gt;=1)*($APN$5:$APN12&lt;=3)),$AQU$5:$AQU12),IF(APN12=7,SUMPRODUCT(--(($APO$5:$APO12=$APO12)*($APN$5:$APN12&gt;=4)*($APN$5:$APN12&lt;=6)),$AQU$5:$AQU12),IF(APN12=10,SUMPRODUCT(--(($APO$5:$APO12=$APO12)*($APN$5:$APN12&gt;=7)*($APN$5:$APN12&lt;=9)),$AQU$5:$AQU12),0)))))</f>
        <v/>
      </c>
      <c r="AQW12" s="12">
        <f>AQW11+AQU12-AQV12</f>
        <v/>
      </c>
      <c r="AQX12" s="12">
        <f>IF(ProviderDelay&gt;=1,AQE11*BlendedProvPayEss+AQF11*BlendedProvPayPrem+AQG11*BlendedProvPayElite+AQH11*BlendedProvPayEss+AQI11*BlendedProvPayPrem+AQJ11*BlendedProvPayElite,AQE12*BlendedProvPayEss+AQF12*BlendedProvPayPrem+AQG12*BlendedProvPayElite+AQH12*BlendedProvPayEss+AQI12*BlendedProvPayPrem+AQJ12*BlendedProvPayElite)</f>
        <v/>
      </c>
      <c r="AQY12" s="12">
        <f>AQQ12*PaymentFee</f>
        <v/>
      </c>
      <c r="AQZ12" s="12">
        <f>AQK12*OpsAI</f>
        <v/>
      </c>
      <c r="ARA12" s="12">
        <f>MonthlyFixed</f>
        <v/>
      </c>
      <c r="ARB12" s="12">
        <f>APU12*ReferralReward</f>
        <v/>
      </c>
      <c r="ARC12" s="12">
        <f>APS12</f>
        <v/>
      </c>
      <c r="ARD12" s="9">
        <f>AQT12-AQX12-AQY12-AQZ12-ARA12-ARB12-ARC12</f>
        <v/>
      </c>
      <c r="ARE12" s="9">
        <f>ARE11+AQQ12-(AQX12+AQY12+AQZ12+ARA12+ARB12+ARC12+AQV12)</f>
        <v/>
      </c>
      <c r="ARF12" s="12">
        <f>IF(AQK12&gt;0,AQL12/AQK12,0)</f>
        <v/>
      </c>
      <c r="ARG12" s="11">
        <f>IF(AQK11&gt;0,MAX(0,(AQK11+APV12-AQK12)/AQK11),0)</f>
        <v/>
      </c>
      <c r="ARI12" s="12" t="n">
        <v>8</v>
      </c>
      <c r="ARJ12" s="12">
        <f>MOD(ARI12-1+LaunchMonth-1,12)+1</f>
        <v/>
      </c>
      <c r="ARK12" s="12">
        <f>INT((ARI12-1+LaunchMonth-1)/12)+1</f>
        <v/>
      </c>
      <c r="ARL12" s="12">
        <f>VLOOKUP(ARJ12,SeasonTable,2,FALSE)</f>
        <v/>
      </c>
      <c r="ARM12" s="12">
        <f>(1+InflationRate)^INT((ARI12-1)/12)</f>
        <v/>
      </c>
      <c r="ARN12" s="11">
        <f>MonthlyChurn*VLOOKUP(ARJ12,ChurnSeasonTable,4,FALSE)</f>
        <v/>
      </c>
      <c r="ARO12" s="12">
        <f>MIN(MAX(MktMin7_12,ASM11*MktPct7_12),MAX(0,ATA11-CashBuffer))</f>
        <v/>
      </c>
      <c r="ARP12" s="12">
        <f>IF(ARO12&gt;0,MAX(1,ROUND(ARO12/'Sens - CAC &amp; Marketing'!$A$14*ARL12,0)),0)</f>
        <v/>
      </c>
      <c r="ARQ12" s="12">
        <f>IF(ARP12&gt;0,ROUND(ARP12*ReferralMix/(1-ReferralMix),0),0)</f>
        <v/>
      </c>
      <c r="ARR12" s="12">
        <f>ARP12+ARQ12</f>
        <v/>
      </c>
      <c r="ARS12" s="12">
        <f>ROUND(ARR12*(1-AnnualMix),0)</f>
        <v/>
      </c>
      <c r="ART12" s="12">
        <f>ARR12-ARS12</f>
        <v/>
      </c>
      <c r="ARU12" s="12">
        <f>ROUND(ARS12*EssentialMix,0)</f>
        <v/>
      </c>
      <c r="ARV12" s="12">
        <f>ROUND(ARS12*PremiumMix,0)</f>
        <v/>
      </c>
      <c r="ARW12" s="12">
        <f>ARS12-ARU12-ARV12</f>
        <v/>
      </c>
      <c r="ARX12" s="12">
        <f>ROUND(ART12*EssentialMix,0)</f>
        <v/>
      </c>
      <c r="ARY12" s="12">
        <f>ROUND(ART12*PremiumMix,0)</f>
        <v/>
      </c>
      <c r="ARZ12" s="12">
        <f>ART12-ARX12-ARY12</f>
        <v/>
      </c>
      <c r="ASA12" s="12">
        <f>ARU12+ARU11+ARU10+MAX(0,ASA11-ARU11-ARU10)*(1-ARN12)</f>
        <v/>
      </c>
      <c r="ASB12" s="12">
        <f>ARV12+ARV11+ARV10+MAX(0,ASB11-ARV11-ARV10)*(1-ARN12)</f>
        <v/>
      </c>
      <c r="ASC12" s="12">
        <f>ARW12+ARW11+ARW10+MAX(0,ASC11-ARW11-ARW10)*(1-ARN12)</f>
        <v/>
      </c>
      <c r="ASD12" s="12">
        <f>SUM(ARX$5:ARX12)</f>
        <v/>
      </c>
      <c r="ASE12" s="12">
        <f>SUM(ARY$5:ARY12)</f>
        <v/>
      </c>
      <c r="ASF12" s="12">
        <f>SUM(ARZ$5:ARZ12)</f>
        <v/>
      </c>
      <c r="ASG12" s="12">
        <f>ASA12+ASB12+ASC12+ASD12+ASE12+ASF12</f>
        <v/>
      </c>
      <c r="ASH12" s="9">
        <f>ASA12*BlendedPriceEssMonthly*ARM12+ASB12*BlendedPricePremMonthly*ARM12+ASC12*BlendedPriceEliteMonthly*ARM12+ASD12*BlendedPriceEssAnnual*ARM12/12+ASE12*BlendedPricePremAnnual*ARM12/12+ASF12*BlendedPriceEliteAnnual*ARM12/12</f>
        <v/>
      </c>
      <c r="ASI12" s="9">
        <f>ASH12*12</f>
        <v/>
      </c>
      <c r="ASJ12" s="12">
        <f>ASA12*BlendedPriceEssMonthly*ARM12+ASB12*BlendedPricePremMonthly*ARM12+ASC12*BlendedPriceEliteMonthly*ARM12</f>
        <v/>
      </c>
      <c r="ASK12" s="12">
        <f>ARX12*BlendedPriceEssAnnual*ARM12+ARY12*BlendedPricePremAnnual*ARM12+ARZ12*BlendedPriceEliteAnnual*ARM12</f>
        <v/>
      </c>
      <c r="ASL12" s="12">
        <f>0+0+0</f>
        <v/>
      </c>
      <c r="ASM12" s="9">
        <f>ASJ12+ASK12+ASL12</f>
        <v/>
      </c>
      <c r="ASN12" s="12">
        <f>SUM(ASM$5:ASM12)</f>
        <v/>
      </c>
      <c r="ASO12" s="12">
        <f>OR(ASO11,IF(VATAgentMode,SUM($ASM$5:$ASM12)-SUM($AST$5:$AST12)&gt;=VATThreshold,SUM($ASM$5:$ASM12)&gt;=VATThreshold))</f>
        <v/>
      </c>
      <c r="ASP12" s="9">
        <f>IF(ASO12,IF(VATAgentMode,ASM12-((ASM12-AST12)-(ASM12-AST12)/(1+VATRate)),ASM12/(1+VATRate)),ASM12)</f>
        <v/>
      </c>
      <c r="ASQ12" s="12">
        <f>ASM12-ASP12</f>
        <v/>
      </c>
      <c r="ASR12" s="12">
        <f>IF(ASO12=0,0,IF(ARJ12=1,SUMPRODUCT(--(($ARK$5:$ARK12=$ARK12-1)*($ARJ$5:$ARJ12&gt;=10)*($ARJ$5:$ARJ12&lt;=12)),$ASQ$5:$ASQ12),IF(ARJ12=4,SUMPRODUCT(--(($ARK$5:$ARK12=$ARK12)*($ARJ$5:$ARJ12&gt;=1)*($ARJ$5:$ARJ12&lt;=3)),$ASQ$5:$ASQ12),IF(ARJ12=7,SUMPRODUCT(--(($ARK$5:$ARK12=$ARK12)*($ARJ$5:$ARJ12&gt;=4)*($ARJ$5:$ARJ12&lt;=6)),$ASQ$5:$ASQ12),IF(ARJ12=10,SUMPRODUCT(--(($ARK$5:$ARK12=$ARK12)*($ARJ$5:$ARJ12&gt;=7)*($ARJ$5:$ARJ12&lt;=9)),$ASQ$5:$ASQ12),0)))))</f>
        <v/>
      </c>
      <c r="ASS12" s="12">
        <f>ASS11+ASQ12-ASR12</f>
        <v/>
      </c>
      <c r="AST12" s="12">
        <f>IF(ProviderDelay&gt;=1,ASA11*BlendedProvPayEss+ASB11*BlendedProvPayPrem+ASC11*BlendedProvPayElite+ASD11*BlendedProvPayEss+ASE11*BlendedProvPayPrem+ASF11*BlendedProvPayElite,ASA12*BlendedProvPayEss+ASB12*BlendedProvPayPrem+ASC12*BlendedProvPayElite+ASD12*BlendedProvPayEss+ASE12*BlendedProvPayPrem+ASF12*BlendedProvPayElite)</f>
        <v/>
      </c>
      <c r="ASU12" s="12">
        <f>ASM12*PaymentFee</f>
        <v/>
      </c>
      <c r="ASV12" s="12">
        <f>ASG12*OpsAI</f>
        <v/>
      </c>
      <c r="ASW12" s="12">
        <f>MonthlyFixed</f>
        <v/>
      </c>
      <c r="ASX12" s="12">
        <f>ARQ12*ReferralReward</f>
        <v/>
      </c>
      <c r="ASY12" s="12">
        <f>ARO12</f>
        <v/>
      </c>
      <c r="ASZ12" s="9">
        <f>ASP12-AST12-ASU12-ASV12-ASW12-ASX12-ASY12</f>
        <v/>
      </c>
      <c r="ATA12" s="9">
        <f>ATA11+ASM12-(AST12+ASU12+ASV12+ASW12+ASX12+ASY12+ASR12)</f>
        <v/>
      </c>
      <c r="ATB12" s="12">
        <f>IF(ASG12&gt;0,ASH12/ASG12,0)</f>
        <v/>
      </c>
      <c r="ATC12" s="11">
        <f>IF(ASG11&gt;0,MAX(0,(ASG11+ARR12-ASG12)/ASG11),0)</f>
        <v/>
      </c>
      <c r="ATE12" s="12" t="n">
        <v>8</v>
      </c>
      <c r="ATF12" s="12">
        <f>MOD(ATE12-1+LaunchMonth-1,12)+1</f>
        <v/>
      </c>
      <c r="ATG12" s="12">
        <f>INT((ATE12-1+LaunchMonth-1)/12)+1</f>
        <v/>
      </c>
      <c r="ATH12" s="12">
        <f>VLOOKUP(ATF12,SeasonTable,2,FALSE)</f>
        <v/>
      </c>
      <c r="ATI12" s="12">
        <f>(1+InflationRate)^INT((ATE12-1)/12)</f>
        <v/>
      </c>
      <c r="ATJ12" s="11">
        <f>MonthlyChurn*VLOOKUP(ATF12,ChurnSeasonTable,4,FALSE)</f>
        <v/>
      </c>
      <c r="ATK12" s="12">
        <f>MIN(MAX(MktMin7_12,AUI11*MktPct7_12),MAX(0,AUW11-CashBuffer))</f>
        <v/>
      </c>
      <c r="ATL12" s="12">
        <f>IF(ATK12&gt;0,MAX(1,ROUND(ATK12/'Sens - CAC &amp; Marketing'!$A$15*ATH12,0)),0)</f>
        <v/>
      </c>
      <c r="ATM12" s="12">
        <f>IF(ATL12&gt;0,ROUND(ATL12*ReferralMix/(1-ReferralMix),0),0)</f>
        <v/>
      </c>
      <c r="ATN12" s="12">
        <f>ATL12+ATM12</f>
        <v/>
      </c>
      <c r="ATO12" s="12">
        <f>ROUND(ATN12*(1-AnnualMix),0)</f>
        <v/>
      </c>
      <c r="ATP12" s="12">
        <f>ATN12-ATO12</f>
        <v/>
      </c>
      <c r="ATQ12" s="12">
        <f>ROUND(ATO12*EssentialMix,0)</f>
        <v/>
      </c>
      <c r="ATR12" s="12">
        <f>ROUND(ATO12*PremiumMix,0)</f>
        <v/>
      </c>
      <c r="ATS12" s="12">
        <f>ATO12-ATQ12-ATR12</f>
        <v/>
      </c>
      <c r="ATT12" s="12">
        <f>ROUND(ATP12*EssentialMix,0)</f>
        <v/>
      </c>
      <c r="ATU12" s="12">
        <f>ROUND(ATP12*PremiumMix,0)</f>
        <v/>
      </c>
      <c r="ATV12" s="12">
        <f>ATP12-ATT12-ATU12</f>
        <v/>
      </c>
      <c r="ATW12" s="12">
        <f>ATQ12+ATQ11+ATQ10+MAX(0,ATW11-ATQ11-ATQ10)*(1-ATJ12)</f>
        <v/>
      </c>
      <c r="ATX12" s="12">
        <f>ATR12+ATR11+ATR10+MAX(0,ATX11-ATR11-ATR10)*(1-ATJ12)</f>
        <v/>
      </c>
      <c r="ATY12" s="12">
        <f>ATS12+ATS11+ATS10+MAX(0,ATY11-ATS11-ATS10)*(1-ATJ12)</f>
        <v/>
      </c>
      <c r="ATZ12" s="12">
        <f>SUM(ATT$5:ATT12)</f>
        <v/>
      </c>
      <c r="AUA12" s="12">
        <f>SUM(ATU$5:ATU12)</f>
        <v/>
      </c>
      <c r="AUB12" s="12">
        <f>SUM(ATV$5:ATV12)</f>
        <v/>
      </c>
      <c r="AUC12" s="12">
        <f>ATW12+ATX12+ATY12+ATZ12+AUA12+AUB12</f>
        <v/>
      </c>
      <c r="AUD12" s="9">
        <f>ATW12*BlendedPriceEssMonthly*ATI12+ATX12*BlendedPricePremMonthly*ATI12+ATY12*BlendedPriceEliteMonthly*ATI12+ATZ12*BlendedPriceEssAnnual*ATI12/12+AUA12*BlendedPricePremAnnual*ATI12/12+AUB12*BlendedPriceEliteAnnual*ATI12/12</f>
        <v/>
      </c>
      <c r="AUE12" s="9">
        <f>AUD12*12</f>
        <v/>
      </c>
      <c r="AUF12" s="12">
        <f>ATW12*BlendedPriceEssMonthly*ATI12+ATX12*BlendedPricePremMonthly*ATI12+ATY12*BlendedPriceEliteMonthly*ATI12</f>
        <v/>
      </c>
      <c r="AUG12" s="12">
        <f>ATT12*BlendedPriceEssAnnual*ATI12+ATU12*BlendedPricePremAnnual*ATI12+ATV12*BlendedPriceEliteAnnual*ATI12</f>
        <v/>
      </c>
      <c r="AUH12" s="12">
        <f>0+0+0</f>
        <v/>
      </c>
      <c r="AUI12" s="9">
        <f>AUF12+AUG12+AUH12</f>
        <v/>
      </c>
      <c r="AUJ12" s="12">
        <f>SUM(AUI$5:AUI12)</f>
        <v/>
      </c>
      <c r="AUK12" s="12">
        <f>OR(AUK11,IF(VATAgentMode,SUM($AUI$5:$AUI12)-SUM($AUP$5:$AUP12)&gt;=VATThreshold,SUM($AUI$5:$AUI12)&gt;=VATThreshold))</f>
        <v/>
      </c>
      <c r="AUL12" s="9">
        <f>IF(AUK12,IF(VATAgentMode,AUI12-((AUI12-AUP12)-(AUI12-AUP12)/(1+VATRate)),AUI12/(1+VATRate)),AUI12)</f>
        <v/>
      </c>
      <c r="AUM12" s="12">
        <f>AUI12-AUL12</f>
        <v/>
      </c>
      <c r="AUN12" s="12">
        <f>IF(AUK12=0,0,IF(ATF12=1,SUMPRODUCT(--(($ATG$5:$ATG12=$ATG12-1)*($ATF$5:$ATF12&gt;=10)*($ATF$5:$ATF12&lt;=12)),$AUM$5:$AUM12),IF(ATF12=4,SUMPRODUCT(--(($ATG$5:$ATG12=$ATG12)*($ATF$5:$ATF12&gt;=1)*($ATF$5:$ATF12&lt;=3)),$AUM$5:$AUM12),IF(ATF12=7,SUMPRODUCT(--(($ATG$5:$ATG12=$ATG12)*($ATF$5:$ATF12&gt;=4)*($ATF$5:$ATF12&lt;=6)),$AUM$5:$AUM12),IF(ATF12=10,SUMPRODUCT(--(($ATG$5:$ATG12=$ATG12)*($ATF$5:$ATF12&gt;=7)*($ATF$5:$ATF12&lt;=9)),$AUM$5:$AUM12),0)))))</f>
        <v/>
      </c>
      <c r="AUO12" s="12">
        <f>AUO11+AUM12-AUN12</f>
        <v/>
      </c>
      <c r="AUP12" s="12">
        <f>IF(ProviderDelay&gt;=1,ATW11*BlendedProvPayEss+ATX11*BlendedProvPayPrem+ATY11*BlendedProvPayElite+ATZ11*BlendedProvPayEss+AUA11*BlendedProvPayPrem+AUB11*BlendedProvPayElite,ATW12*BlendedProvPayEss+ATX12*BlendedProvPayPrem+ATY12*BlendedProvPayElite+ATZ12*BlendedProvPayEss+AUA12*BlendedProvPayPrem+AUB12*BlendedProvPayElite)</f>
        <v/>
      </c>
      <c r="AUQ12" s="12">
        <f>AUI12*PaymentFee</f>
        <v/>
      </c>
      <c r="AUR12" s="12">
        <f>AUC12*OpsAI</f>
        <v/>
      </c>
      <c r="AUS12" s="12">
        <f>MonthlyFixed</f>
        <v/>
      </c>
      <c r="AUT12" s="12">
        <f>ATM12*ReferralReward</f>
        <v/>
      </c>
      <c r="AUU12" s="12">
        <f>ATK12</f>
        <v/>
      </c>
      <c r="AUV12" s="9">
        <f>AUL12-AUP12-AUQ12-AUR12-AUS12-AUT12-AUU12</f>
        <v/>
      </c>
      <c r="AUW12" s="9">
        <f>AUW11+AUI12-(AUP12+AUQ12+AUR12+AUS12+AUT12+AUU12+AUN12)</f>
        <v/>
      </c>
      <c r="AUX12" s="12">
        <f>IF(AUC12&gt;0,AUD12/AUC12,0)</f>
        <v/>
      </c>
      <c r="AUY12" s="11">
        <f>IF(AUC11&gt;0,MAX(0,(AUC11+ATN12-AUC12)/AUC11),0)</f>
        <v/>
      </c>
      <c r="AVA12" s="12" t="n">
        <v>8</v>
      </c>
      <c r="AVB12" s="12">
        <f>MOD(AVA12-1+LaunchMonth-1,12)+1</f>
        <v/>
      </c>
      <c r="AVC12" s="12">
        <f>INT((AVA12-1+LaunchMonth-1)/12)+1</f>
        <v/>
      </c>
      <c r="AVD12" s="12">
        <f>VLOOKUP(AVB12,WinterPivotSeasonTable,5,FALSE)</f>
        <v/>
      </c>
      <c r="AVE12" s="12">
        <f>(1+InflationRate)^INT((AVA12-1)/12)</f>
        <v/>
      </c>
      <c r="AVF12" s="11">
        <f>MonthlyChurn*VLOOKUP(AVB12,WinterPivotChurnTable,6,FALSE)</f>
        <v/>
      </c>
      <c r="AVG12" s="12">
        <f>MIN(MAX(MktMin7_12,AWE11*MktPct7_12),MAX(0,AWS11-CashBuffer))</f>
        <v/>
      </c>
      <c r="AVH12" s="12">
        <f>IF(AVG12&gt;0,MAX(1,ROUND(AVG12/CAC*AVD12,0)),0)</f>
        <v/>
      </c>
      <c r="AVI12" s="12">
        <f>IF(AVH12&gt;0,ROUND(AVH12*ReferralMix/(1-ReferralMix),0),0)</f>
        <v/>
      </c>
      <c r="AVJ12" s="12">
        <f>AVH12+AVI12</f>
        <v/>
      </c>
      <c r="AVK12" s="12">
        <f>ROUND(AVJ12*(1-AnnualMix),0)</f>
        <v/>
      </c>
      <c r="AVL12" s="12">
        <f>AVJ12-AVK12</f>
        <v/>
      </c>
      <c r="AVM12" s="12">
        <f>ROUND(AVK12*'Sens - Winter Pivot'!$B$6,0)</f>
        <v/>
      </c>
      <c r="AVN12" s="12">
        <f>ROUND(AVK12*PremiumMix,0)</f>
        <v/>
      </c>
      <c r="AVO12" s="12">
        <f>AVK12-AVM12-AVN12</f>
        <v/>
      </c>
      <c r="AVP12" s="12">
        <f>ROUND(AVL12*'Sens - Winter Pivot'!$B$6,0)</f>
        <v/>
      </c>
      <c r="AVQ12" s="12">
        <f>ROUND(AVL12*PremiumMix,0)</f>
        <v/>
      </c>
      <c r="AVR12" s="12">
        <f>AVL12-AVP12-AVQ12</f>
        <v/>
      </c>
      <c r="AVS12" s="12">
        <f>AVM12+AVM11+AVM10+MAX(0,AVS11-AVM11-AVM10)*(1-AVF12)</f>
        <v/>
      </c>
      <c r="AVT12" s="12">
        <f>AVN12+AVN11+AVN10+MAX(0,AVT11-AVN11-AVN10)*(1-AVF12)</f>
        <v/>
      </c>
      <c r="AVU12" s="12">
        <f>AVO12+AVO11+AVO10+MAX(0,AVU11-AVO11-AVO10)*(1-AVF12)</f>
        <v/>
      </c>
      <c r="AVV12" s="12">
        <f>SUM(AVP$5:AVP12)</f>
        <v/>
      </c>
      <c r="AVW12" s="12">
        <f>SUM(AVQ$5:AVQ12)</f>
        <v/>
      </c>
      <c r="AVX12" s="12">
        <f>SUM(AVR$5:AVR12)</f>
        <v/>
      </c>
      <c r="AVY12" s="12">
        <f>AVS12+AVT12+AVU12+AVV12+AVW12+AVX12</f>
        <v/>
      </c>
      <c r="AVZ12" s="9">
        <f>AVS12*BlendedPriceEssMonthly*AVE12+AVT12*(BlendedPricePremMonthly+'Sens - Winter Pivot'!$B$7)*AVE12+AVU12*BlendedPriceEliteMonthly*AVE12+AVV12*BlendedPriceEssAnnual*AVE12/12+AVW12*(BlendedPricePremAnnual+'Sens - Winter Pivot'!$B$7*12)*AVE12/12+AVX12*BlendedPriceEliteAnnual*AVE12/12</f>
        <v/>
      </c>
      <c r="AWA12" s="9">
        <f>AVZ12*12</f>
        <v/>
      </c>
      <c r="AWB12" s="12">
        <f>AVS12*BlendedPriceEssMonthly*AVE12+AVT12*(BlendedPricePremMonthly+'Sens - Winter Pivot'!$B$7)*AVE12+AVU12*BlendedPriceEliteMonthly*AVE12</f>
        <v/>
      </c>
      <c r="AWC12" s="12">
        <f>AVP12*BlendedPriceEssAnnual*AVE12+AVQ12*(BlendedPricePremAnnual+'Sens - Winter Pivot'!$B$7*12)*AVE12+AVR12*BlendedPriceEliteAnnual*AVE12</f>
        <v/>
      </c>
      <c r="AWD12" s="12">
        <f>0+0+0</f>
        <v/>
      </c>
      <c r="AWE12" s="9">
        <f>AWB12+AWC12+AWD12</f>
        <v/>
      </c>
      <c r="AWF12" s="12">
        <f>SUM(AWE$5:AWE12)</f>
        <v/>
      </c>
      <c r="AWG12" s="12">
        <f>OR(AWG11,IF(VATAgentMode,SUM($AWE$5:$AWE12)-SUM($AWL$5:$AWL12)&gt;=VATThreshold,SUM($AWE$5:$AWE12)&gt;=VATThreshold))</f>
        <v/>
      </c>
      <c r="AWH12" s="9">
        <f>IF(AWG12,IF(VATAgentMode,AWE12-((AWE12-AWL12)-(AWE12-AWL12)/(1+VATRate)),AWE12/(1+VATRate)),AWE12)</f>
        <v/>
      </c>
      <c r="AWI12" s="12">
        <f>AWE12-AWH12</f>
        <v/>
      </c>
      <c r="AWJ12" s="12">
        <f>IF(AWG12=0,0,IF(AVB12=1,SUMPRODUCT(--(($AVC$5:$AVC12=$AVC12-1)*($AVB$5:$AVB12&gt;=10)*($AVB$5:$AVB12&lt;=12)),$AWI$5:$AWI12),IF(AVB12=4,SUMPRODUCT(--(($AVC$5:$AVC12=$AVC12)*($AVB$5:$AVB12&gt;=1)*($AVB$5:$AVB12&lt;=3)),$AWI$5:$AWI12),IF(AVB12=7,SUMPRODUCT(--(($AVC$5:$AVC12=$AVC12)*($AVB$5:$AVB12&gt;=4)*($AVB$5:$AVB12&lt;=6)),$AWI$5:$AWI12),IF(AVB12=10,SUMPRODUCT(--(($AVC$5:$AVC12=$AVC12)*($AVB$5:$AVB12&gt;=7)*($AVB$5:$AVB12&lt;=9)),$AWI$5:$AWI12),0)))))</f>
        <v/>
      </c>
      <c r="AWK12" s="12">
        <f>AWK11+AWI12-AWJ12</f>
        <v/>
      </c>
      <c r="AWL12" s="12">
        <f>IF(ProviderDelay&gt;=1,AVS11*BlendedProvPayEss+AVT11*BlendedProvPayPrem+AVU11*BlendedProvPayElite+AVV11*BlendedProvPayEss+AVW11*BlendedProvPayPrem+AVX11*BlendedProvPayElite,AVS12*BlendedProvPayEss+AVT12*BlendedProvPayPrem+AVU12*BlendedProvPayElite+AVV12*BlendedProvPayEss+AVW12*BlendedProvPayPrem+AVX12*BlendedProvPayElite)</f>
        <v/>
      </c>
      <c r="AWM12" s="12">
        <f>AWE12*PaymentFee</f>
        <v/>
      </c>
      <c r="AWN12" s="12">
        <f>AVY12*OpsAI</f>
        <v/>
      </c>
      <c r="AWO12" s="12">
        <f>MonthlyFixed</f>
        <v/>
      </c>
      <c r="AWP12" s="12">
        <f>AVI12*ReferralReward</f>
        <v/>
      </c>
      <c r="AWQ12" s="12">
        <f>AVG12</f>
        <v/>
      </c>
      <c r="AWR12" s="9">
        <f>AWH12-AWL12-AWM12-AWN12-AWO12-AWP12-AWQ12</f>
        <v/>
      </c>
      <c r="AWS12" s="9">
        <f>AWS11+AWE12-(AWL12+AWM12+AWN12+AWO12+AWP12+AWQ12+AWJ12)</f>
        <v/>
      </c>
      <c r="AWT12" s="12">
        <f>IF(AVY12&gt;0,AVZ12/AVY12,0)</f>
        <v/>
      </c>
      <c r="AWU12" s="11">
        <f>IF(AVY11&gt;0,MAX(0,(AVY11+AVJ12-AVY12)/AVY11),0)</f>
        <v/>
      </c>
    </row>
    <row r="13">
      <c r="A13" s="12" t="n">
        <v>9</v>
      </c>
      <c r="B13" s="12">
        <f>MOD(A13-1+LaunchMonth-1,12)+1</f>
        <v/>
      </c>
      <c r="C13" s="12">
        <f>INT((A13-1+LaunchMonth-1)/12)+1</f>
        <v/>
      </c>
      <c r="D13" s="12">
        <f>VLOOKUP(B13,SeasonTable,2,FALSE)</f>
        <v/>
      </c>
      <c r="E13" s="12">
        <f>(1+InflationRate)^INT((A13-1)/12)</f>
        <v/>
      </c>
      <c r="F13" s="11">
        <f>'Sens - Scenarios'!$B$5*VLOOKUP(B13,ChurnSeasonTable,4,FALSE)</f>
        <v/>
      </c>
      <c r="G13" s="12">
        <f>MIN(MAX(MktMin7_12,AE12*MktPct7_12),MAX(0,AS12-CashBuffer))</f>
        <v/>
      </c>
      <c r="H13" s="12">
        <f>IF(G13&gt;0,MAX(1,ROUND(G13/'Sens - Scenarios'!$B$8*D13,0)),0)</f>
        <v/>
      </c>
      <c r="I13" s="12">
        <f>IF(H13&gt;0,ROUND(H13*ReferralMix/(1-ReferralMix),0),0)</f>
        <v/>
      </c>
      <c r="J13" s="12">
        <f>H13+I13</f>
        <v/>
      </c>
      <c r="K13" s="12">
        <f>ROUND(J13*(1-'Sens - Scenarios'!$B$7),0)</f>
        <v/>
      </c>
      <c r="L13" s="12">
        <f>J13-K13</f>
        <v/>
      </c>
      <c r="M13" s="12">
        <f>ROUND(K13*EssentialMix,0)</f>
        <v/>
      </c>
      <c r="N13" s="12">
        <f>ROUND(K13*PremiumMix,0)</f>
        <v/>
      </c>
      <c r="O13" s="12">
        <f>K13-M13-N13</f>
        <v/>
      </c>
      <c r="P13" s="12">
        <f>ROUND(L13*EssentialMix,0)</f>
        <v/>
      </c>
      <c r="Q13" s="12">
        <f>ROUND(L13*PremiumMix,0)</f>
        <v/>
      </c>
      <c r="R13" s="12">
        <f>L13-P13-Q13</f>
        <v/>
      </c>
      <c r="S13" s="12">
        <f>M13+M12+M11+MAX(0,S12-M12-M11)*(1-F13)</f>
        <v/>
      </c>
      <c r="T13" s="12">
        <f>N13+N12+N11+MAX(0,T12-N12-N11)*(1-F13)</f>
        <v/>
      </c>
      <c r="U13" s="12">
        <f>O13+O12+O11+MAX(0,U12-O12-O11)*(1-F13)</f>
        <v/>
      </c>
      <c r="V13" s="12">
        <f>SUM(P$5:P13)</f>
        <v/>
      </c>
      <c r="W13" s="12">
        <f>SUM(Q$5:Q13)</f>
        <v/>
      </c>
      <c r="X13" s="12">
        <f>SUM(R$5:R13)</f>
        <v/>
      </c>
      <c r="Y13" s="12">
        <f>S13+T13+U13+V13+W13+X13</f>
        <v/>
      </c>
      <c r="Z13" s="9">
        <f>S13*BlendedPriceEssMonthly*E13+T13*BlendedPricePremMonthly*E13+U13*BlendedPriceEliteMonthly*E13+V13*BlendedPriceEssAnnual*E13/12+W13*BlendedPricePremAnnual*E13/12+X13*BlendedPriceEliteAnnual*E13/12</f>
        <v/>
      </c>
      <c r="AA13" s="9">
        <f>Z13*12</f>
        <v/>
      </c>
      <c r="AB13" s="12">
        <f>S13*BlendedPriceEssMonthly*E13+T13*BlendedPricePremMonthly*E13+U13*BlendedPriceEliteMonthly*E13</f>
        <v/>
      </c>
      <c r="AC13" s="12">
        <f>P13*BlendedPriceEssAnnual*E13+Q13*BlendedPricePremAnnual*E13+R13*BlendedPriceEliteAnnual*E13</f>
        <v/>
      </c>
      <c r="AD13" s="12">
        <f>0+0+0</f>
        <v/>
      </c>
      <c r="AE13" s="9">
        <f>AB13+AC13+AD13</f>
        <v/>
      </c>
      <c r="AF13" s="12">
        <f>SUM(AE$5:AE13)</f>
        <v/>
      </c>
      <c r="AG13" s="12">
        <f>OR(AG12,IF(VATAgentMode,SUM($AE$5:$AE13)-SUM($AL$5:$AL13)&gt;=VATThreshold,SUM($AE$5:$AE13)&gt;=VATThreshold))</f>
        <v/>
      </c>
      <c r="AH13" s="9">
        <f>IF(AG13,IF(VATAgentMode,AE13-((AE13-AL13)-(AE13-AL13)/(1+VATRate)),AE13/(1+VATRate)),AE13)</f>
        <v/>
      </c>
      <c r="AI13" s="12">
        <f>AE13-AH13</f>
        <v/>
      </c>
      <c r="AJ13" s="12">
        <f>IF(AG13=0,0,IF(B13=1,SUMPRODUCT(--(($C$5:$C13=$C13-1)*($B$5:$B13&gt;=10)*($B$5:$B13&lt;=12)),$AI$5:$AI13),IF(B13=4,SUMPRODUCT(--(($C$5:$C13=$C13)*($B$5:$B13&gt;=1)*($B$5:$B13&lt;=3)),$AI$5:$AI13),IF(B13=7,SUMPRODUCT(--(($C$5:$C13=$C13)*($B$5:$B13&gt;=4)*($B$5:$B13&lt;=6)),$AI$5:$AI13),IF(B13=10,SUMPRODUCT(--(($C$5:$C13=$C13)*($B$5:$B13&gt;=7)*($B$5:$B13&lt;=9)),$AI$5:$AI13),0)))))</f>
        <v/>
      </c>
      <c r="AK13" s="12">
        <f>AK12+AI13-AJ13</f>
        <v/>
      </c>
      <c r="AL13" s="12">
        <f>IF(ProviderDelay&gt;=1,S12*BlendedProvPayEss+T12*BlendedProvPayPrem+U12*BlendedProvPayElite+V12*BlendedProvPayEss+W12*BlendedProvPayPrem+X12*BlendedProvPayElite,S13*BlendedProvPayEss+T13*BlendedProvPayPrem+U13*BlendedProvPayElite+V13*BlendedProvPayEss+W13*BlendedProvPayPrem+X13*BlendedProvPayElite)</f>
        <v/>
      </c>
      <c r="AM13" s="12">
        <f>AE13*PaymentFee</f>
        <v/>
      </c>
      <c r="AN13" s="12">
        <f>Y13*OpsAI</f>
        <v/>
      </c>
      <c r="AO13" s="12">
        <f>MonthlyFixed</f>
        <v/>
      </c>
      <c r="AP13" s="12">
        <f>I13*ReferralReward</f>
        <v/>
      </c>
      <c r="AQ13" s="12">
        <f>G13</f>
        <v/>
      </c>
      <c r="AR13" s="9">
        <f>AH13-AL13-AM13-AN13-AO13-AP13-AQ13</f>
        <v/>
      </c>
      <c r="AS13" s="9">
        <f>AS12+AE13-(AL13+AM13+AN13+AO13+AP13+AQ13+AJ13)</f>
        <v/>
      </c>
      <c r="AT13" s="12">
        <f>IF(Y13&gt;0,Z13/Y13,0)</f>
        <v/>
      </c>
      <c r="AU13" s="11">
        <f>IF(Y12&gt;0,MAX(0,(Y12+J13-Y13)/Y12),0)</f>
        <v/>
      </c>
      <c r="AW13" s="12" t="n">
        <v>9</v>
      </c>
      <c r="AX13" s="12">
        <f>MOD(AW13-1+LaunchMonth-1,12)+1</f>
        <v/>
      </c>
      <c r="AY13" s="12">
        <f>INT((AW13-1+LaunchMonth-1)/12)+1</f>
        <v/>
      </c>
      <c r="AZ13" s="12">
        <f>VLOOKUP(AX13,SeasonTable,2,FALSE)</f>
        <v/>
      </c>
      <c r="BA13" s="12">
        <f>(1+InflationRate)^INT((AW13-1)/12)</f>
        <v/>
      </c>
      <c r="BB13" s="11">
        <f>MonthlyChurn*VLOOKUP(AX13,ChurnSeasonTable,4,FALSE)</f>
        <v/>
      </c>
      <c r="BC13" s="12">
        <f>MIN(MAX(MktMin7_12,CA12*MktPct7_12),MAX(0,CO12-CashBuffer))</f>
        <v/>
      </c>
      <c r="BD13" s="12">
        <f>IF(BC13&gt;0,MAX(1,ROUND(BC13/CAC*AZ13,0)),0)</f>
        <v/>
      </c>
      <c r="BE13" s="12">
        <f>IF(BD13&gt;0,ROUND(BD13*ReferralMix/(1-ReferralMix),0),0)</f>
        <v/>
      </c>
      <c r="BF13" s="12">
        <f>BD13+BE13</f>
        <v/>
      </c>
      <c r="BG13" s="12">
        <f>ROUND(BF13*(1-AnnualMix),0)</f>
        <v/>
      </c>
      <c r="BH13" s="12">
        <f>BF13-BG13</f>
        <v/>
      </c>
      <c r="BI13" s="12">
        <f>ROUND(BG13*EssentialMix,0)</f>
        <v/>
      </c>
      <c r="BJ13" s="12">
        <f>ROUND(BG13*PremiumMix,0)</f>
        <v/>
      </c>
      <c r="BK13" s="12">
        <f>BG13-BI13-BJ13</f>
        <v/>
      </c>
      <c r="BL13" s="12">
        <f>ROUND(BH13*EssentialMix,0)</f>
        <v/>
      </c>
      <c r="BM13" s="12">
        <f>ROUND(BH13*PremiumMix,0)</f>
        <v/>
      </c>
      <c r="BN13" s="12">
        <f>BH13-BL13-BM13</f>
        <v/>
      </c>
      <c r="BO13" s="12">
        <f>BI13+BI12+BI11+MAX(0,BO12-BI12-BI11)*(1-BB13)</f>
        <v/>
      </c>
      <c r="BP13" s="12">
        <f>BJ13+BJ12+BJ11+MAX(0,BP12-BJ12-BJ11)*(1-BB13)</f>
        <v/>
      </c>
      <c r="BQ13" s="12">
        <f>BK13+BK12+BK11+MAX(0,BQ12-BK12-BK11)*(1-BB13)</f>
        <v/>
      </c>
      <c r="BR13" s="12">
        <f>SUM(BL$5:BL13)</f>
        <v/>
      </c>
      <c r="BS13" s="12">
        <f>SUM(BM$5:BM13)</f>
        <v/>
      </c>
      <c r="BT13" s="12">
        <f>SUM(BN$5:BN13)</f>
        <v/>
      </c>
      <c r="BU13" s="12">
        <f>BO13+BP13+BQ13+BR13+BS13+BT13</f>
        <v/>
      </c>
      <c r="BV13" s="9">
        <f>BO13*BlendedPriceEssMonthly*BA13+BP13*BlendedPricePremMonthly*BA13+BQ13*BlendedPriceEliteMonthly*BA13+BR13*BlendedPriceEssAnnual*BA13/12+BS13*BlendedPricePremAnnual*BA13/12+BT13*BlendedPriceEliteAnnual*BA13/12</f>
        <v/>
      </c>
      <c r="BW13" s="9">
        <f>BV13*12</f>
        <v/>
      </c>
      <c r="BX13" s="12">
        <f>BO13*BlendedPriceEssMonthly*BA13+BP13*BlendedPricePremMonthly*BA13+BQ13*BlendedPriceEliteMonthly*BA13</f>
        <v/>
      </c>
      <c r="BY13" s="12">
        <f>BL13*BlendedPriceEssAnnual*BA13+BM13*BlendedPricePremAnnual*BA13+BN13*BlendedPriceEliteAnnual*BA13</f>
        <v/>
      </c>
      <c r="BZ13" s="12">
        <f>0+0+0</f>
        <v/>
      </c>
      <c r="CA13" s="9">
        <f>BX13+BY13+BZ13</f>
        <v/>
      </c>
      <c r="CB13" s="12">
        <f>SUM(CA$5:CA13)</f>
        <v/>
      </c>
      <c r="CC13" s="12">
        <f>OR(CC12,IF(VATAgentMode,SUM($CA$5:$CA13)-SUM($CH$5:$CH13)&gt;=VATThreshold,SUM($CA$5:$CA13)&gt;=VATThreshold))</f>
        <v/>
      </c>
      <c r="CD13" s="9">
        <f>IF(CC13,IF(VATAgentMode,CA13-((CA13-CH13)-(CA13-CH13)/(1+VATRate)),CA13/(1+VATRate)),CA13)</f>
        <v/>
      </c>
      <c r="CE13" s="12">
        <f>CA13-CD13</f>
        <v/>
      </c>
      <c r="CF13" s="12">
        <f>IF(CC13=0,0,IF(AX13=1,SUMPRODUCT(--(($AY$5:$AY13=$AY13-1)*($AX$5:$AX13&gt;=10)*($AX$5:$AX13&lt;=12)),$CE$5:$CE13),IF(AX13=4,SUMPRODUCT(--(($AY$5:$AY13=$AY13)*($AX$5:$AX13&gt;=1)*($AX$5:$AX13&lt;=3)),$CE$5:$CE13),IF(AX13=7,SUMPRODUCT(--(($AY$5:$AY13=$AY13)*($AX$5:$AX13&gt;=4)*($AX$5:$AX13&lt;=6)),$CE$5:$CE13),IF(AX13=10,SUMPRODUCT(--(($AY$5:$AY13=$AY13)*($AX$5:$AX13&gt;=7)*($AX$5:$AX13&lt;=9)),$CE$5:$CE13),0)))))</f>
        <v/>
      </c>
      <c r="CG13" s="12">
        <f>CG12+CE13-CF13</f>
        <v/>
      </c>
      <c r="CH13" s="12">
        <f>IF(ProviderDelay&gt;=1,BO12*BlendedProvPayEss+BP12*BlendedProvPayPrem+BQ12*BlendedProvPayElite+BR12*BlendedProvPayEss+BS12*BlendedProvPayPrem+BT12*BlendedProvPayElite,BO13*BlendedProvPayEss+BP13*BlendedProvPayPrem+BQ13*BlendedProvPayElite+BR13*BlendedProvPayEss+BS13*BlendedProvPayPrem+BT13*BlendedProvPayElite)</f>
        <v/>
      </c>
      <c r="CI13" s="12">
        <f>CA13*PaymentFee</f>
        <v/>
      </c>
      <c r="CJ13" s="12">
        <f>BU13*OpsAI</f>
        <v/>
      </c>
      <c r="CK13" s="12">
        <f>MonthlyFixed</f>
        <v/>
      </c>
      <c r="CL13" s="12">
        <f>BE13*ReferralReward</f>
        <v/>
      </c>
      <c r="CM13" s="12">
        <f>BC13</f>
        <v/>
      </c>
      <c r="CN13" s="9">
        <f>CD13-CH13-CI13-CJ13-CK13-CL13-CM13</f>
        <v/>
      </c>
      <c r="CO13" s="9">
        <f>CO12+CA13-(CH13+CI13+CJ13+CK13+CL13+CM13+CF13)</f>
        <v/>
      </c>
      <c r="CP13" s="12">
        <f>IF(BU13&gt;0,BV13/BU13,0)</f>
        <v/>
      </c>
      <c r="CQ13" s="11">
        <f>IF(BU12&gt;0,MAX(0,(BU12+BF13-BU13)/BU12),0)</f>
        <v/>
      </c>
      <c r="CS13" s="12" t="n">
        <v>9</v>
      </c>
      <c r="CT13" s="12">
        <f>MOD(CS13-1+LaunchMonth-1,12)+1</f>
        <v/>
      </c>
      <c r="CU13" s="12">
        <f>INT((CS13-1+LaunchMonth-1)/12)+1</f>
        <v/>
      </c>
      <c r="CV13" s="12">
        <f>VLOOKUP(CT13,SeasonTable,2,FALSE)</f>
        <v/>
      </c>
      <c r="CW13" s="12">
        <f>(1+InflationRate)^INT((CS13-1)/12)</f>
        <v/>
      </c>
      <c r="CX13" s="11">
        <f>'Sens - Scenarios'!$D$5*VLOOKUP(CT13,ChurnSeasonTable,4,FALSE)</f>
        <v/>
      </c>
      <c r="CY13" s="12">
        <f>MIN(MAX(MktMin7_12,DW12*MktPct7_12),MAX(0,EK12-CashBuffer))</f>
        <v/>
      </c>
      <c r="CZ13" s="12">
        <f>IF(CY13&gt;0,MAX(1,ROUND(CY13/'Sens - Scenarios'!$D$8*CV13,0)),0)</f>
        <v/>
      </c>
      <c r="DA13" s="12">
        <f>IF(CZ13&gt;0,ROUND(CZ13*ReferralMix/(1-ReferralMix),0),0)</f>
        <v/>
      </c>
      <c r="DB13" s="12">
        <f>CZ13+DA13</f>
        <v/>
      </c>
      <c r="DC13" s="12">
        <f>ROUND(DB13*(1-'Sens - Scenarios'!$D$7),0)</f>
        <v/>
      </c>
      <c r="DD13" s="12">
        <f>DB13-DC13</f>
        <v/>
      </c>
      <c r="DE13" s="12">
        <f>ROUND(DC13*EssentialMix,0)</f>
        <v/>
      </c>
      <c r="DF13" s="12">
        <f>ROUND(DC13*PremiumMix,0)</f>
        <v/>
      </c>
      <c r="DG13" s="12">
        <f>DC13-DE13-DF13</f>
        <v/>
      </c>
      <c r="DH13" s="12">
        <f>ROUND(DD13*EssentialMix,0)</f>
        <v/>
      </c>
      <c r="DI13" s="12">
        <f>ROUND(DD13*PremiumMix,0)</f>
        <v/>
      </c>
      <c r="DJ13" s="12">
        <f>DD13-DH13-DI13</f>
        <v/>
      </c>
      <c r="DK13" s="12">
        <f>DE13+DE12+DE11+MAX(0,DK12-DE12-DE11)*(1-CX13)</f>
        <v/>
      </c>
      <c r="DL13" s="12">
        <f>DF13+DF12+DF11+MAX(0,DL12-DF12-DF11)*(1-CX13)</f>
        <v/>
      </c>
      <c r="DM13" s="12">
        <f>DG13+DG12+DG11+MAX(0,DM12-DG12-DG11)*(1-CX13)</f>
        <v/>
      </c>
      <c r="DN13" s="12">
        <f>SUM(DH$5:DH13)</f>
        <v/>
      </c>
      <c r="DO13" s="12">
        <f>SUM(DI$5:DI13)</f>
        <v/>
      </c>
      <c r="DP13" s="12">
        <f>SUM(DJ$5:DJ13)</f>
        <v/>
      </c>
      <c r="DQ13" s="12">
        <f>DK13+DL13+DM13+DN13+DO13+DP13</f>
        <v/>
      </c>
      <c r="DR13" s="9">
        <f>DK13*BlendedPriceEssMonthly*CW13+DL13*BlendedPricePremMonthly*CW13+DM13*BlendedPriceEliteMonthly*CW13+DN13*BlendedPriceEssAnnual*CW13/12+DO13*BlendedPricePremAnnual*CW13/12+DP13*BlendedPriceEliteAnnual*CW13/12</f>
        <v/>
      </c>
      <c r="DS13" s="9">
        <f>DR13*12</f>
        <v/>
      </c>
      <c r="DT13" s="12">
        <f>DK13*BlendedPriceEssMonthly*CW13+DL13*BlendedPricePremMonthly*CW13+DM13*BlendedPriceEliteMonthly*CW13</f>
        <v/>
      </c>
      <c r="DU13" s="12">
        <f>DH13*BlendedPriceEssAnnual*CW13+DI13*BlendedPricePremAnnual*CW13+DJ13*BlendedPriceEliteAnnual*CW13</f>
        <v/>
      </c>
      <c r="DV13" s="12">
        <f>0+0+0</f>
        <v/>
      </c>
      <c r="DW13" s="9">
        <f>DT13+DU13+DV13</f>
        <v/>
      </c>
      <c r="DX13" s="12">
        <f>SUM(DW$5:DW13)</f>
        <v/>
      </c>
      <c r="DY13" s="12">
        <f>OR(DY12,IF(VATAgentMode,SUM($DW$5:$DW13)-SUM($ED$5:$ED13)&gt;=VATThreshold,SUM($DW$5:$DW13)&gt;=VATThreshold))</f>
        <v/>
      </c>
      <c r="DZ13" s="9">
        <f>IF(DY13,IF(VATAgentMode,DW13-((DW13-ED13)-(DW13-ED13)/(1+VATRate)),DW13/(1+VATRate)),DW13)</f>
        <v/>
      </c>
      <c r="EA13" s="12">
        <f>DW13-DZ13</f>
        <v/>
      </c>
      <c r="EB13" s="12">
        <f>IF(DY13=0,0,IF(CT13=1,SUMPRODUCT(--(($CU$5:$CU13=$CU13-1)*($CT$5:$CT13&gt;=10)*($CT$5:$CT13&lt;=12)),$EA$5:$EA13),IF(CT13=4,SUMPRODUCT(--(($CU$5:$CU13=$CU13)*($CT$5:$CT13&gt;=1)*($CT$5:$CT13&lt;=3)),$EA$5:$EA13),IF(CT13=7,SUMPRODUCT(--(($CU$5:$CU13=$CU13)*($CT$5:$CT13&gt;=4)*($CT$5:$CT13&lt;=6)),$EA$5:$EA13),IF(CT13=10,SUMPRODUCT(--(($CU$5:$CU13=$CU13)*($CT$5:$CT13&gt;=7)*($CT$5:$CT13&lt;=9)),$EA$5:$EA13),0)))))</f>
        <v/>
      </c>
      <c r="EC13" s="12">
        <f>EC12+EA13-EB13</f>
        <v/>
      </c>
      <c r="ED13" s="12">
        <f>IF(ProviderDelay&gt;=1,DK12*BlendedProvPayEss+DL12*BlendedProvPayPrem+DM12*BlendedProvPayElite+DN12*BlendedProvPayEss+DO12*BlendedProvPayPrem+DP12*BlendedProvPayElite,DK13*BlendedProvPayEss+DL13*BlendedProvPayPrem+DM13*BlendedProvPayElite+DN13*BlendedProvPayEss+DO13*BlendedProvPayPrem+DP13*BlendedProvPayElite)</f>
        <v/>
      </c>
      <c r="EE13" s="12">
        <f>DW13*PaymentFee</f>
        <v/>
      </c>
      <c r="EF13" s="12">
        <f>DQ13*OpsAI</f>
        <v/>
      </c>
      <c r="EG13" s="12">
        <f>MonthlyFixed</f>
        <v/>
      </c>
      <c r="EH13" s="12">
        <f>DA13*ReferralReward</f>
        <v/>
      </c>
      <c r="EI13" s="12">
        <f>CY13</f>
        <v/>
      </c>
      <c r="EJ13" s="9">
        <f>DZ13-ED13-EE13-EF13-EG13-EH13-EI13</f>
        <v/>
      </c>
      <c r="EK13" s="9">
        <f>EK12+DW13-(ED13+EE13+EF13+EG13+EH13+EI13+EB13)</f>
        <v/>
      </c>
      <c r="EL13" s="12">
        <f>IF(DQ13&gt;0,DR13/DQ13,0)</f>
        <v/>
      </c>
      <c r="EM13" s="11">
        <f>IF(DQ12&gt;0,MAX(0,(DQ12+DB13-DQ13)/DQ12),0)</f>
        <v/>
      </c>
      <c r="EO13" s="12" t="n">
        <v>9</v>
      </c>
      <c r="EP13" s="12">
        <f>MOD(EO13-1+LaunchMonth-1,12)+1</f>
        <v/>
      </c>
      <c r="EQ13" s="12">
        <f>INT((EO13-1+LaunchMonth-1)/12)+1</f>
        <v/>
      </c>
      <c r="ER13" s="12">
        <f>VLOOKUP(EP13,SeasonTable,2,FALSE)</f>
        <v/>
      </c>
      <c r="ES13" s="12">
        <f>(1+InflationRate)^INT((EO13-1)/12)</f>
        <v/>
      </c>
      <c r="ET13" s="11">
        <f>'Sens - Churn'!$A$13*VLOOKUP(EP13,ChurnSeasonTable,4,FALSE)</f>
        <v/>
      </c>
      <c r="EU13" s="12">
        <f>MIN(MAX(MktMin7_12,FS12*MktPct7_12),MAX(0,GG12-CashBuffer))</f>
        <v/>
      </c>
      <c r="EV13" s="12">
        <f>IF(EU13&gt;0,MAX(1,ROUND(EU13/CAC*ER13,0)),0)</f>
        <v/>
      </c>
      <c r="EW13" s="12">
        <f>IF(EV13&gt;0,ROUND(EV13*ReferralMix/(1-ReferralMix),0),0)</f>
        <v/>
      </c>
      <c r="EX13" s="12">
        <f>EV13+EW13</f>
        <v/>
      </c>
      <c r="EY13" s="12">
        <f>ROUND(EX13*(1-AnnualMix),0)</f>
        <v/>
      </c>
      <c r="EZ13" s="12">
        <f>EX13-EY13</f>
        <v/>
      </c>
      <c r="FA13" s="12">
        <f>ROUND(EY13*EssentialMix,0)</f>
        <v/>
      </c>
      <c r="FB13" s="12">
        <f>ROUND(EY13*PremiumMix,0)</f>
        <v/>
      </c>
      <c r="FC13" s="12">
        <f>EY13-FA13-FB13</f>
        <v/>
      </c>
      <c r="FD13" s="12">
        <f>ROUND(EZ13*EssentialMix,0)</f>
        <v/>
      </c>
      <c r="FE13" s="12">
        <f>ROUND(EZ13*PremiumMix,0)</f>
        <v/>
      </c>
      <c r="FF13" s="12">
        <f>EZ13-FD13-FE13</f>
        <v/>
      </c>
      <c r="FG13" s="12">
        <f>FA13+FA12+FA11+MAX(0,FG12-FA12-FA11)*(1-ET13)</f>
        <v/>
      </c>
      <c r="FH13" s="12">
        <f>FB13+FB12+FB11+MAX(0,FH12-FB12-FB11)*(1-ET13)</f>
        <v/>
      </c>
      <c r="FI13" s="12">
        <f>FC13+FC12+FC11+MAX(0,FI12-FC12-FC11)*(1-ET13)</f>
        <v/>
      </c>
      <c r="FJ13" s="12">
        <f>SUM(FD$5:FD13)</f>
        <v/>
      </c>
      <c r="FK13" s="12">
        <f>SUM(FE$5:FE13)</f>
        <v/>
      </c>
      <c r="FL13" s="12">
        <f>SUM(FF$5:FF13)</f>
        <v/>
      </c>
      <c r="FM13" s="12">
        <f>FG13+FH13+FI13+FJ13+FK13+FL13</f>
        <v/>
      </c>
      <c r="FN13" s="9">
        <f>FG13*BlendedPriceEssMonthly*ES13+FH13*BlendedPricePremMonthly*ES13+FI13*BlendedPriceEliteMonthly*ES13+FJ13*BlendedPriceEssAnnual*ES13/12+FK13*BlendedPricePremAnnual*ES13/12+FL13*BlendedPriceEliteAnnual*ES13/12</f>
        <v/>
      </c>
      <c r="FO13" s="9">
        <f>FN13*12</f>
        <v/>
      </c>
      <c r="FP13" s="12">
        <f>FG13*BlendedPriceEssMonthly*ES13+FH13*BlendedPricePremMonthly*ES13+FI13*BlendedPriceEliteMonthly*ES13</f>
        <v/>
      </c>
      <c r="FQ13" s="12">
        <f>FD13*BlendedPriceEssAnnual*ES13+FE13*BlendedPricePremAnnual*ES13+FF13*BlendedPriceEliteAnnual*ES13</f>
        <v/>
      </c>
      <c r="FR13" s="12">
        <f>0+0+0</f>
        <v/>
      </c>
      <c r="FS13" s="9">
        <f>FP13+FQ13+FR13</f>
        <v/>
      </c>
      <c r="FT13" s="12">
        <f>SUM(FS$5:FS13)</f>
        <v/>
      </c>
      <c r="FU13" s="12">
        <f>OR(FU12,IF(VATAgentMode,SUM($FS$5:$FS13)-SUM($FZ$5:$FZ13)&gt;=VATThreshold,SUM($FS$5:$FS13)&gt;=VATThreshold))</f>
        <v/>
      </c>
      <c r="FV13" s="9">
        <f>IF(FU13,IF(VATAgentMode,FS13-((FS13-FZ13)-(FS13-FZ13)/(1+VATRate)),FS13/(1+VATRate)),FS13)</f>
        <v/>
      </c>
      <c r="FW13" s="12">
        <f>FS13-FV13</f>
        <v/>
      </c>
      <c r="FX13" s="12">
        <f>IF(FU13=0,0,IF(EP13=1,SUMPRODUCT(--(($EQ$5:$EQ13=$EQ13-1)*($EP$5:$EP13&gt;=10)*($EP$5:$EP13&lt;=12)),$FW$5:$FW13),IF(EP13=4,SUMPRODUCT(--(($EQ$5:$EQ13=$EQ13)*($EP$5:$EP13&gt;=1)*($EP$5:$EP13&lt;=3)),$FW$5:$FW13),IF(EP13=7,SUMPRODUCT(--(($EQ$5:$EQ13=$EQ13)*($EP$5:$EP13&gt;=4)*($EP$5:$EP13&lt;=6)),$FW$5:$FW13),IF(EP13=10,SUMPRODUCT(--(($EQ$5:$EQ13=$EQ13)*($EP$5:$EP13&gt;=7)*($EP$5:$EP13&lt;=9)),$FW$5:$FW13),0)))))</f>
        <v/>
      </c>
      <c r="FY13" s="12">
        <f>FY12+FW13-FX13</f>
        <v/>
      </c>
      <c r="FZ13" s="12">
        <f>IF(ProviderDelay&gt;=1,FG12*BlendedProvPayEss+FH12*BlendedProvPayPrem+FI12*BlendedProvPayElite+FJ12*BlendedProvPayEss+FK12*BlendedProvPayPrem+FL12*BlendedProvPayElite,FG13*BlendedProvPayEss+FH13*BlendedProvPayPrem+FI13*BlendedProvPayElite+FJ13*BlendedProvPayEss+FK13*BlendedProvPayPrem+FL13*BlendedProvPayElite)</f>
        <v/>
      </c>
      <c r="GA13" s="12">
        <f>FS13*PaymentFee</f>
        <v/>
      </c>
      <c r="GB13" s="12">
        <f>FM13*OpsAI</f>
        <v/>
      </c>
      <c r="GC13" s="12">
        <f>MonthlyFixed</f>
        <v/>
      </c>
      <c r="GD13" s="12">
        <f>EW13*ReferralReward</f>
        <v/>
      </c>
      <c r="GE13" s="12">
        <f>EU13</f>
        <v/>
      </c>
      <c r="GF13" s="9">
        <f>FV13-FZ13-GA13-GB13-GC13-GD13-GE13</f>
        <v/>
      </c>
      <c r="GG13" s="9">
        <f>GG12+FS13-(FZ13+GA13+GB13+GC13+GD13+GE13+FX13)</f>
        <v/>
      </c>
      <c r="GH13" s="12">
        <f>IF(FM13&gt;0,FN13/FM13,0)</f>
        <v/>
      </c>
      <c r="GI13" s="11">
        <f>IF(FM12&gt;0,MAX(0,(FM12+EX13-FM13)/FM12),0)</f>
        <v/>
      </c>
      <c r="GK13" s="12" t="n">
        <v>9</v>
      </c>
      <c r="GL13" s="12">
        <f>MOD(GK13-1+LaunchMonth-1,12)+1</f>
        <v/>
      </c>
      <c r="GM13" s="12">
        <f>INT((GK13-1+LaunchMonth-1)/12)+1</f>
        <v/>
      </c>
      <c r="GN13" s="12">
        <f>VLOOKUP(GL13,SeasonTable,2,FALSE)</f>
        <v/>
      </c>
      <c r="GO13" s="12">
        <f>(1+InflationRate)^INT((GK13-1)/12)</f>
        <v/>
      </c>
      <c r="GP13" s="11">
        <f>'Sens - Churn'!$A$14*VLOOKUP(GL13,ChurnSeasonTable,4,FALSE)</f>
        <v/>
      </c>
      <c r="GQ13" s="12">
        <f>MIN(MAX(MktMin7_12,HO12*MktPct7_12),MAX(0,IC12-CashBuffer))</f>
        <v/>
      </c>
      <c r="GR13" s="12">
        <f>IF(GQ13&gt;0,MAX(1,ROUND(GQ13/CAC*GN13,0)),0)</f>
        <v/>
      </c>
      <c r="GS13" s="12">
        <f>IF(GR13&gt;0,ROUND(GR13*ReferralMix/(1-ReferralMix),0),0)</f>
        <v/>
      </c>
      <c r="GT13" s="12">
        <f>GR13+GS13</f>
        <v/>
      </c>
      <c r="GU13" s="12">
        <f>ROUND(GT13*(1-AnnualMix),0)</f>
        <v/>
      </c>
      <c r="GV13" s="12">
        <f>GT13-GU13</f>
        <v/>
      </c>
      <c r="GW13" s="12">
        <f>ROUND(GU13*EssentialMix,0)</f>
        <v/>
      </c>
      <c r="GX13" s="12">
        <f>ROUND(GU13*PremiumMix,0)</f>
        <v/>
      </c>
      <c r="GY13" s="12">
        <f>GU13-GW13-GX13</f>
        <v/>
      </c>
      <c r="GZ13" s="12">
        <f>ROUND(GV13*EssentialMix,0)</f>
        <v/>
      </c>
      <c r="HA13" s="12">
        <f>ROUND(GV13*PremiumMix,0)</f>
        <v/>
      </c>
      <c r="HB13" s="12">
        <f>GV13-GZ13-HA13</f>
        <v/>
      </c>
      <c r="HC13" s="12">
        <f>GW13+GW12+GW11+MAX(0,HC12-GW12-GW11)*(1-GP13)</f>
        <v/>
      </c>
      <c r="HD13" s="12">
        <f>GX13+GX12+GX11+MAX(0,HD12-GX12-GX11)*(1-GP13)</f>
        <v/>
      </c>
      <c r="HE13" s="12">
        <f>GY13+GY12+GY11+MAX(0,HE12-GY12-GY11)*(1-GP13)</f>
        <v/>
      </c>
      <c r="HF13" s="12">
        <f>SUM(GZ$5:GZ13)</f>
        <v/>
      </c>
      <c r="HG13" s="12">
        <f>SUM(HA$5:HA13)</f>
        <v/>
      </c>
      <c r="HH13" s="12">
        <f>SUM(HB$5:HB13)</f>
        <v/>
      </c>
      <c r="HI13" s="12">
        <f>HC13+HD13+HE13+HF13+HG13+HH13</f>
        <v/>
      </c>
      <c r="HJ13" s="9">
        <f>HC13*BlendedPriceEssMonthly*GO13+HD13*BlendedPricePremMonthly*GO13+HE13*BlendedPriceEliteMonthly*GO13+HF13*BlendedPriceEssAnnual*GO13/12+HG13*BlendedPricePremAnnual*GO13/12+HH13*BlendedPriceEliteAnnual*GO13/12</f>
        <v/>
      </c>
      <c r="HK13" s="9">
        <f>HJ13*12</f>
        <v/>
      </c>
      <c r="HL13" s="12">
        <f>HC13*BlendedPriceEssMonthly*GO13+HD13*BlendedPricePremMonthly*GO13+HE13*BlendedPriceEliteMonthly*GO13</f>
        <v/>
      </c>
      <c r="HM13" s="12">
        <f>GZ13*BlendedPriceEssAnnual*GO13+HA13*BlendedPricePremAnnual*GO13+HB13*BlendedPriceEliteAnnual*GO13</f>
        <v/>
      </c>
      <c r="HN13" s="12">
        <f>0+0+0</f>
        <v/>
      </c>
      <c r="HO13" s="9">
        <f>HL13+HM13+HN13</f>
        <v/>
      </c>
      <c r="HP13" s="12">
        <f>SUM(HO$5:HO13)</f>
        <v/>
      </c>
      <c r="HQ13" s="12">
        <f>OR(HQ12,IF(VATAgentMode,SUM($HO$5:$HO13)-SUM($HV$5:$HV13)&gt;=VATThreshold,SUM($HO$5:$HO13)&gt;=VATThreshold))</f>
        <v/>
      </c>
      <c r="HR13" s="9">
        <f>IF(HQ13,IF(VATAgentMode,HO13-((HO13-HV13)-(HO13-HV13)/(1+VATRate)),HO13/(1+VATRate)),HO13)</f>
        <v/>
      </c>
      <c r="HS13" s="12">
        <f>HO13-HR13</f>
        <v/>
      </c>
      <c r="HT13" s="12">
        <f>IF(HQ13=0,0,IF(GL13=1,SUMPRODUCT(--(($GM$5:$GM13=$GM13-1)*($GL$5:$GL13&gt;=10)*($GL$5:$GL13&lt;=12)),$HS$5:$HS13),IF(GL13=4,SUMPRODUCT(--(($GM$5:$GM13=$GM13)*($GL$5:$GL13&gt;=1)*($GL$5:$GL13&lt;=3)),$HS$5:$HS13),IF(GL13=7,SUMPRODUCT(--(($GM$5:$GM13=$GM13)*($GL$5:$GL13&gt;=4)*($GL$5:$GL13&lt;=6)),$HS$5:$HS13),IF(GL13=10,SUMPRODUCT(--(($GM$5:$GM13=$GM13)*($GL$5:$GL13&gt;=7)*($GL$5:$GL13&lt;=9)),$HS$5:$HS13),0)))))</f>
        <v/>
      </c>
      <c r="HU13" s="12">
        <f>HU12+HS13-HT13</f>
        <v/>
      </c>
      <c r="HV13" s="12">
        <f>IF(ProviderDelay&gt;=1,HC12*BlendedProvPayEss+HD12*BlendedProvPayPrem+HE12*BlendedProvPayElite+HF12*BlendedProvPayEss+HG12*BlendedProvPayPrem+HH12*BlendedProvPayElite,HC13*BlendedProvPayEss+HD13*BlendedProvPayPrem+HE13*BlendedProvPayElite+HF13*BlendedProvPayEss+HG13*BlendedProvPayPrem+HH13*BlendedProvPayElite)</f>
        <v/>
      </c>
      <c r="HW13" s="12">
        <f>HO13*PaymentFee</f>
        <v/>
      </c>
      <c r="HX13" s="12">
        <f>HI13*OpsAI</f>
        <v/>
      </c>
      <c r="HY13" s="12">
        <f>MonthlyFixed</f>
        <v/>
      </c>
      <c r="HZ13" s="12">
        <f>GS13*ReferralReward</f>
        <v/>
      </c>
      <c r="IA13" s="12">
        <f>GQ13</f>
        <v/>
      </c>
      <c r="IB13" s="9">
        <f>HR13-HV13-HW13-HX13-HY13-HZ13-IA13</f>
        <v/>
      </c>
      <c r="IC13" s="9">
        <f>IC12+HO13-(HV13+HW13+HX13+HY13+HZ13+IA13+HT13)</f>
        <v/>
      </c>
      <c r="ID13" s="12">
        <f>IF(HI13&gt;0,HJ13/HI13,0)</f>
        <v/>
      </c>
      <c r="IE13" s="11">
        <f>IF(HI12&gt;0,MAX(0,(HI12+GT13-HI13)/HI12),0)</f>
        <v/>
      </c>
      <c r="IG13" s="12" t="n">
        <v>9</v>
      </c>
      <c r="IH13" s="12">
        <f>MOD(IG13-1+LaunchMonth-1,12)+1</f>
        <v/>
      </c>
      <c r="II13" s="12">
        <f>INT((IG13-1+LaunchMonth-1)/12)+1</f>
        <v/>
      </c>
      <c r="IJ13" s="12">
        <f>VLOOKUP(IH13,SeasonTable,2,FALSE)</f>
        <v/>
      </c>
      <c r="IK13" s="12">
        <f>(1+InflationRate)^INT((IG13-1)/12)</f>
        <v/>
      </c>
      <c r="IL13" s="11">
        <f>'Sens - Churn'!$A$15*VLOOKUP(IH13,ChurnSeasonTable,4,FALSE)</f>
        <v/>
      </c>
      <c r="IM13" s="12">
        <f>MIN(MAX(MktMin7_12,JK12*MktPct7_12),MAX(0,JY12-CashBuffer))</f>
        <v/>
      </c>
      <c r="IN13" s="12">
        <f>IF(IM13&gt;0,MAX(1,ROUND(IM13/CAC*IJ13,0)),0)</f>
        <v/>
      </c>
      <c r="IO13" s="12">
        <f>IF(IN13&gt;0,ROUND(IN13*ReferralMix/(1-ReferralMix),0),0)</f>
        <v/>
      </c>
      <c r="IP13" s="12">
        <f>IN13+IO13</f>
        <v/>
      </c>
      <c r="IQ13" s="12">
        <f>ROUND(IP13*(1-AnnualMix),0)</f>
        <v/>
      </c>
      <c r="IR13" s="12">
        <f>IP13-IQ13</f>
        <v/>
      </c>
      <c r="IS13" s="12">
        <f>ROUND(IQ13*EssentialMix,0)</f>
        <v/>
      </c>
      <c r="IT13" s="12">
        <f>ROUND(IQ13*PremiumMix,0)</f>
        <v/>
      </c>
      <c r="IU13" s="12">
        <f>IQ13-IS13-IT13</f>
        <v/>
      </c>
      <c r="IV13" s="12">
        <f>ROUND(IR13*EssentialMix,0)</f>
        <v/>
      </c>
      <c r="IW13" s="12">
        <f>ROUND(IR13*PremiumMix,0)</f>
        <v/>
      </c>
      <c r="IX13" s="12">
        <f>IR13-IV13-IW13</f>
        <v/>
      </c>
      <c r="IY13" s="12">
        <f>IS13+IS12+IS11+MAX(0,IY12-IS12-IS11)*(1-IL13)</f>
        <v/>
      </c>
      <c r="IZ13" s="12">
        <f>IT13+IT12+IT11+MAX(0,IZ12-IT12-IT11)*(1-IL13)</f>
        <v/>
      </c>
      <c r="JA13" s="12">
        <f>IU13+IU12+IU11+MAX(0,JA12-IU12-IU11)*(1-IL13)</f>
        <v/>
      </c>
      <c r="JB13" s="12">
        <f>SUM(IV$5:IV13)</f>
        <v/>
      </c>
      <c r="JC13" s="12">
        <f>SUM(IW$5:IW13)</f>
        <v/>
      </c>
      <c r="JD13" s="12">
        <f>SUM(IX$5:IX13)</f>
        <v/>
      </c>
      <c r="JE13" s="12">
        <f>IY13+IZ13+JA13+JB13+JC13+JD13</f>
        <v/>
      </c>
      <c r="JF13" s="9">
        <f>IY13*BlendedPriceEssMonthly*IK13+IZ13*BlendedPricePremMonthly*IK13+JA13*BlendedPriceEliteMonthly*IK13+JB13*BlendedPriceEssAnnual*IK13/12+JC13*BlendedPricePremAnnual*IK13/12+JD13*BlendedPriceEliteAnnual*IK13/12</f>
        <v/>
      </c>
      <c r="JG13" s="9">
        <f>JF13*12</f>
        <v/>
      </c>
      <c r="JH13" s="12">
        <f>IY13*BlendedPriceEssMonthly*IK13+IZ13*BlendedPricePremMonthly*IK13+JA13*BlendedPriceEliteMonthly*IK13</f>
        <v/>
      </c>
      <c r="JI13" s="12">
        <f>IV13*BlendedPriceEssAnnual*IK13+IW13*BlendedPricePremAnnual*IK13+IX13*BlendedPriceEliteAnnual*IK13</f>
        <v/>
      </c>
      <c r="JJ13" s="12">
        <f>0+0+0</f>
        <v/>
      </c>
      <c r="JK13" s="9">
        <f>JH13+JI13+JJ13</f>
        <v/>
      </c>
      <c r="JL13" s="12">
        <f>SUM(JK$5:JK13)</f>
        <v/>
      </c>
      <c r="JM13" s="12">
        <f>OR(JM12,IF(VATAgentMode,SUM($JK$5:$JK13)-SUM($JR$5:$JR13)&gt;=VATThreshold,SUM($JK$5:$JK13)&gt;=VATThreshold))</f>
        <v/>
      </c>
      <c r="JN13" s="9">
        <f>IF(JM13,IF(VATAgentMode,JK13-((JK13-JR13)-(JK13-JR13)/(1+VATRate)),JK13/(1+VATRate)),JK13)</f>
        <v/>
      </c>
      <c r="JO13" s="12">
        <f>JK13-JN13</f>
        <v/>
      </c>
      <c r="JP13" s="12">
        <f>IF(JM13=0,0,IF(IH13=1,SUMPRODUCT(--(($II$5:$II13=$II13-1)*($IH$5:$IH13&gt;=10)*($IH$5:$IH13&lt;=12)),$JO$5:$JO13),IF(IH13=4,SUMPRODUCT(--(($II$5:$II13=$II13)*($IH$5:$IH13&gt;=1)*($IH$5:$IH13&lt;=3)),$JO$5:$JO13),IF(IH13=7,SUMPRODUCT(--(($II$5:$II13=$II13)*($IH$5:$IH13&gt;=4)*($IH$5:$IH13&lt;=6)),$JO$5:$JO13),IF(IH13=10,SUMPRODUCT(--(($II$5:$II13=$II13)*($IH$5:$IH13&gt;=7)*($IH$5:$IH13&lt;=9)),$JO$5:$JO13),0)))))</f>
        <v/>
      </c>
      <c r="JQ13" s="12">
        <f>JQ12+JO13-JP13</f>
        <v/>
      </c>
      <c r="JR13" s="12">
        <f>IF(ProviderDelay&gt;=1,IY12*BlendedProvPayEss+IZ12*BlendedProvPayPrem+JA12*BlendedProvPayElite+JB12*BlendedProvPayEss+JC12*BlendedProvPayPrem+JD12*BlendedProvPayElite,IY13*BlendedProvPayEss+IZ13*BlendedProvPayPrem+JA13*BlendedProvPayElite+JB13*BlendedProvPayEss+JC13*BlendedProvPayPrem+JD13*BlendedProvPayElite)</f>
        <v/>
      </c>
      <c r="JS13" s="12">
        <f>JK13*PaymentFee</f>
        <v/>
      </c>
      <c r="JT13" s="12">
        <f>JE13*OpsAI</f>
        <v/>
      </c>
      <c r="JU13" s="12">
        <f>MonthlyFixed</f>
        <v/>
      </c>
      <c r="JV13" s="12">
        <f>IO13*ReferralReward</f>
        <v/>
      </c>
      <c r="JW13" s="12">
        <f>IM13</f>
        <v/>
      </c>
      <c r="JX13" s="9">
        <f>JN13-JR13-JS13-JT13-JU13-JV13-JW13</f>
        <v/>
      </c>
      <c r="JY13" s="9">
        <f>JY12+JK13-(JR13+JS13+JT13+JU13+JV13+JW13+JP13)</f>
        <v/>
      </c>
      <c r="JZ13" s="12">
        <f>IF(JE13&gt;0,JF13/JE13,0)</f>
        <v/>
      </c>
      <c r="KA13" s="11">
        <f>IF(JE12&gt;0,MAX(0,(JE12+IP13-JE13)/JE12),0)</f>
        <v/>
      </c>
      <c r="KC13" s="12" t="n">
        <v>9</v>
      </c>
      <c r="KD13" s="12">
        <f>MOD(KC13-1+LaunchMonth-1,12)+1</f>
        <v/>
      </c>
      <c r="KE13" s="12">
        <f>INT((KC13-1+LaunchMonth-1)/12)+1</f>
        <v/>
      </c>
      <c r="KF13" s="12">
        <f>VLOOKUP(KD13,SeasonTable,2,FALSE)</f>
        <v/>
      </c>
      <c r="KG13" s="12">
        <f>(1+InflationRate)^INT((KC13-1)/12)</f>
        <v/>
      </c>
      <c r="KH13" s="11">
        <f>'Sens - Churn'!$A$16*VLOOKUP(KD13,ChurnSeasonTable,4,FALSE)</f>
        <v/>
      </c>
      <c r="KI13" s="12">
        <f>MIN(MAX(MktMin7_12,LG12*MktPct7_12),MAX(0,LU12-CashBuffer))</f>
        <v/>
      </c>
      <c r="KJ13" s="12">
        <f>IF(KI13&gt;0,MAX(1,ROUND(KI13/CAC*KF13,0)),0)</f>
        <v/>
      </c>
      <c r="KK13" s="12">
        <f>IF(KJ13&gt;0,ROUND(KJ13*ReferralMix/(1-ReferralMix),0),0)</f>
        <v/>
      </c>
      <c r="KL13" s="12">
        <f>KJ13+KK13</f>
        <v/>
      </c>
      <c r="KM13" s="12">
        <f>ROUND(KL13*(1-AnnualMix),0)</f>
        <v/>
      </c>
      <c r="KN13" s="12">
        <f>KL13-KM13</f>
        <v/>
      </c>
      <c r="KO13" s="12">
        <f>ROUND(KM13*EssentialMix,0)</f>
        <v/>
      </c>
      <c r="KP13" s="12">
        <f>ROUND(KM13*PremiumMix,0)</f>
        <v/>
      </c>
      <c r="KQ13" s="12">
        <f>KM13-KO13-KP13</f>
        <v/>
      </c>
      <c r="KR13" s="12">
        <f>ROUND(KN13*EssentialMix,0)</f>
        <v/>
      </c>
      <c r="KS13" s="12">
        <f>ROUND(KN13*PremiumMix,0)</f>
        <v/>
      </c>
      <c r="KT13" s="12">
        <f>KN13-KR13-KS13</f>
        <v/>
      </c>
      <c r="KU13" s="12">
        <f>KO13+KO12+KO11+MAX(0,KU12-KO12-KO11)*(1-KH13)</f>
        <v/>
      </c>
      <c r="KV13" s="12">
        <f>KP13+KP12+KP11+MAX(0,KV12-KP12-KP11)*(1-KH13)</f>
        <v/>
      </c>
      <c r="KW13" s="12">
        <f>KQ13+KQ12+KQ11+MAX(0,KW12-KQ12-KQ11)*(1-KH13)</f>
        <v/>
      </c>
      <c r="KX13" s="12">
        <f>SUM(KR$5:KR13)</f>
        <v/>
      </c>
      <c r="KY13" s="12">
        <f>SUM(KS$5:KS13)</f>
        <v/>
      </c>
      <c r="KZ13" s="12">
        <f>SUM(KT$5:KT13)</f>
        <v/>
      </c>
      <c r="LA13" s="12">
        <f>KU13+KV13+KW13+KX13+KY13+KZ13</f>
        <v/>
      </c>
      <c r="LB13" s="9">
        <f>KU13*BlendedPriceEssMonthly*KG13+KV13*BlendedPricePremMonthly*KG13+KW13*BlendedPriceEliteMonthly*KG13+KX13*BlendedPriceEssAnnual*KG13/12+KY13*BlendedPricePremAnnual*KG13/12+KZ13*BlendedPriceEliteAnnual*KG13/12</f>
        <v/>
      </c>
      <c r="LC13" s="9">
        <f>LB13*12</f>
        <v/>
      </c>
      <c r="LD13" s="12">
        <f>KU13*BlendedPriceEssMonthly*KG13+KV13*BlendedPricePremMonthly*KG13+KW13*BlendedPriceEliteMonthly*KG13</f>
        <v/>
      </c>
      <c r="LE13" s="12">
        <f>KR13*BlendedPriceEssAnnual*KG13+KS13*BlendedPricePremAnnual*KG13+KT13*BlendedPriceEliteAnnual*KG13</f>
        <v/>
      </c>
      <c r="LF13" s="12">
        <f>0+0+0</f>
        <v/>
      </c>
      <c r="LG13" s="9">
        <f>LD13+LE13+LF13</f>
        <v/>
      </c>
      <c r="LH13" s="12">
        <f>SUM(LG$5:LG13)</f>
        <v/>
      </c>
      <c r="LI13" s="12">
        <f>OR(LI12,IF(VATAgentMode,SUM($LG$5:$LG13)-SUM($LN$5:$LN13)&gt;=VATThreshold,SUM($LG$5:$LG13)&gt;=VATThreshold))</f>
        <v/>
      </c>
      <c r="LJ13" s="9">
        <f>IF(LI13,IF(VATAgentMode,LG13-((LG13-LN13)-(LG13-LN13)/(1+VATRate)),LG13/(1+VATRate)),LG13)</f>
        <v/>
      </c>
      <c r="LK13" s="12">
        <f>LG13-LJ13</f>
        <v/>
      </c>
      <c r="LL13" s="12">
        <f>IF(LI13=0,0,IF(KD13=1,SUMPRODUCT(--(($KE$5:$KE13=$KE13-1)*($KD$5:$KD13&gt;=10)*($KD$5:$KD13&lt;=12)),$LK$5:$LK13),IF(KD13=4,SUMPRODUCT(--(($KE$5:$KE13=$KE13)*($KD$5:$KD13&gt;=1)*($KD$5:$KD13&lt;=3)),$LK$5:$LK13),IF(KD13=7,SUMPRODUCT(--(($KE$5:$KE13=$KE13)*($KD$5:$KD13&gt;=4)*($KD$5:$KD13&lt;=6)),$LK$5:$LK13),IF(KD13=10,SUMPRODUCT(--(($KE$5:$KE13=$KE13)*($KD$5:$KD13&gt;=7)*($KD$5:$KD13&lt;=9)),$LK$5:$LK13),0)))))</f>
        <v/>
      </c>
      <c r="LM13" s="12">
        <f>LM12+LK13-LL13</f>
        <v/>
      </c>
      <c r="LN13" s="12">
        <f>IF(ProviderDelay&gt;=1,KU12*BlendedProvPayEss+KV12*BlendedProvPayPrem+KW12*BlendedProvPayElite+KX12*BlendedProvPayEss+KY12*BlendedProvPayPrem+KZ12*BlendedProvPayElite,KU13*BlendedProvPayEss+KV13*BlendedProvPayPrem+KW13*BlendedProvPayElite+KX13*BlendedProvPayEss+KY13*BlendedProvPayPrem+KZ13*BlendedProvPayElite)</f>
        <v/>
      </c>
      <c r="LO13" s="12">
        <f>LG13*PaymentFee</f>
        <v/>
      </c>
      <c r="LP13" s="12">
        <f>LA13*OpsAI</f>
        <v/>
      </c>
      <c r="LQ13" s="12">
        <f>MonthlyFixed</f>
        <v/>
      </c>
      <c r="LR13" s="12">
        <f>KK13*ReferralReward</f>
        <v/>
      </c>
      <c r="LS13" s="12">
        <f>KI13</f>
        <v/>
      </c>
      <c r="LT13" s="9">
        <f>LJ13-LN13-LO13-LP13-LQ13-LR13-LS13</f>
        <v/>
      </c>
      <c r="LU13" s="9">
        <f>LU12+LG13-(LN13+LO13+LP13+LQ13+LR13+LS13+LL13)</f>
        <v/>
      </c>
      <c r="LV13" s="12">
        <f>IF(LA13&gt;0,LB13/LA13,0)</f>
        <v/>
      </c>
      <c r="LW13" s="11">
        <f>IF(LA12&gt;0,MAX(0,(LA12+KL13-LA13)/LA12),0)</f>
        <v/>
      </c>
      <c r="LY13" s="12" t="n">
        <v>9</v>
      </c>
      <c r="LZ13" s="12">
        <f>MOD(LY13-1+LaunchMonth-1,12)+1</f>
        <v/>
      </c>
      <c r="MA13" s="12">
        <f>INT((LY13-1+LaunchMonth-1)/12)+1</f>
        <v/>
      </c>
      <c r="MB13" s="12">
        <f>VLOOKUP(LZ13,SeasonTable,2,FALSE)</f>
        <v/>
      </c>
      <c r="MC13" s="12">
        <f>(1+InflationRate)^INT((LY13-1)/12)</f>
        <v/>
      </c>
      <c r="MD13" s="11">
        <f>'Sens - Churn'!$A$17*VLOOKUP(LZ13,ChurnSeasonTable,4,FALSE)</f>
        <v/>
      </c>
      <c r="ME13" s="12">
        <f>MIN(MAX(MktMin7_12,NC12*MktPct7_12),MAX(0,NQ12-CashBuffer))</f>
        <v/>
      </c>
      <c r="MF13" s="12">
        <f>IF(ME13&gt;0,MAX(1,ROUND(ME13/CAC*MB13,0)),0)</f>
        <v/>
      </c>
      <c r="MG13" s="12">
        <f>IF(MF13&gt;0,ROUND(MF13*ReferralMix/(1-ReferralMix),0),0)</f>
        <v/>
      </c>
      <c r="MH13" s="12">
        <f>MF13+MG13</f>
        <v/>
      </c>
      <c r="MI13" s="12">
        <f>ROUND(MH13*(1-AnnualMix),0)</f>
        <v/>
      </c>
      <c r="MJ13" s="12">
        <f>MH13-MI13</f>
        <v/>
      </c>
      <c r="MK13" s="12">
        <f>ROUND(MI13*EssentialMix,0)</f>
        <v/>
      </c>
      <c r="ML13" s="12">
        <f>ROUND(MI13*PremiumMix,0)</f>
        <v/>
      </c>
      <c r="MM13" s="12">
        <f>MI13-MK13-ML13</f>
        <v/>
      </c>
      <c r="MN13" s="12">
        <f>ROUND(MJ13*EssentialMix,0)</f>
        <v/>
      </c>
      <c r="MO13" s="12">
        <f>ROUND(MJ13*PremiumMix,0)</f>
        <v/>
      </c>
      <c r="MP13" s="12">
        <f>MJ13-MN13-MO13</f>
        <v/>
      </c>
      <c r="MQ13" s="12">
        <f>MK13+MK12+MK11+MAX(0,MQ12-MK12-MK11)*(1-MD13)</f>
        <v/>
      </c>
      <c r="MR13" s="12">
        <f>ML13+ML12+ML11+MAX(0,MR12-ML12-ML11)*(1-MD13)</f>
        <v/>
      </c>
      <c r="MS13" s="12">
        <f>MM13+MM12+MM11+MAX(0,MS12-MM12-MM11)*(1-MD13)</f>
        <v/>
      </c>
      <c r="MT13" s="12">
        <f>SUM(MN$5:MN13)</f>
        <v/>
      </c>
      <c r="MU13" s="12">
        <f>SUM(MO$5:MO13)</f>
        <v/>
      </c>
      <c r="MV13" s="12">
        <f>SUM(MP$5:MP13)</f>
        <v/>
      </c>
      <c r="MW13" s="12">
        <f>MQ13+MR13+MS13+MT13+MU13+MV13</f>
        <v/>
      </c>
      <c r="MX13" s="9">
        <f>MQ13*BlendedPriceEssMonthly*MC13+MR13*BlendedPricePremMonthly*MC13+MS13*BlendedPriceEliteMonthly*MC13+MT13*BlendedPriceEssAnnual*MC13/12+MU13*BlendedPricePremAnnual*MC13/12+MV13*BlendedPriceEliteAnnual*MC13/12</f>
        <v/>
      </c>
      <c r="MY13" s="9">
        <f>MX13*12</f>
        <v/>
      </c>
      <c r="MZ13" s="12">
        <f>MQ13*BlendedPriceEssMonthly*MC13+MR13*BlendedPricePremMonthly*MC13+MS13*BlendedPriceEliteMonthly*MC13</f>
        <v/>
      </c>
      <c r="NA13" s="12">
        <f>MN13*BlendedPriceEssAnnual*MC13+MO13*BlendedPricePremAnnual*MC13+MP13*BlendedPriceEliteAnnual*MC13</f>
        <v/>
      </c>
      <c r="NB13" s="12">
        <f>0+0+0</f>
        <v/>
      </c>
      <c r="NC13" s="9">
        <f>MZ13+NA13+NB13</f>
        <v/>
      </c>
      <c r="ND13" s="12">
        <f>SUM(NC$5:NC13)</f>
        <v/>
      </c>
      <c r="NE13" s="12">
        <f>OR(NE12,IF(VATAgentMode,SUM($NC$5:$NC13)-SUM($NJ$5:$NJ13)&gt;=VATThreshold,SUM($NC$5:$NC13)&gt;=VATThreshold))</f>
        <v/>
      </c>
      <c r="NF13" s="9">
        <f>IF(NE13,IF(VATAgentMode,NC13-((NC13-NJ13)-(NC13-NJ13)/(1+VATRate)),NC13/(1+VATRate)),NC13)</f>
        <v/>
      </c>
      <c r="NG13" s="12">
        <f>NC13-NF13</f>
        <v/>
      </c>
      <c r="NH13" s="12">
        <f>IF(NE13=0,0,IF(LZ13=1,SUMPRODUCT(--(($MA$5:$MA13=$MA13-1)*($LZ$5:$LZ13&gt;=10)*($LZ$5:$LZ13&lt;=12)),$NG$5:$NG13),IF(LZ13=4,SUMPRODUCT(--(($MA$5:$MA13=$MA13)*($LZ$5:$LZ13&gt;=1)*($LZ$5:$LZ13&lt;=3)),$NG$5:$NG13),IF(LZ13=7,SUMPRODUCT(--(($MA$5:$MA13=$MA13)*($LZ$5:$LZ13&gt;=4)*($LZ$5:$LZ13&lt;=6)),$NG$5:$NG13),IF(LZ13=10,SUMPRODUCT(--(($MA$5:$MA13=$MA13)*($LZ$5:$LZ13&gt;=7)*($LZ$5:$LZ13&lt;=9)),$NG$5:$NG13),0)))))</f>
        <v/>
      </c>
      <c r="NI13" s="12">
        <f>NI12+NG13-NH13</f>
        <v/>
      </c>
      <c r="NJ13" s="12">
        <f>IF(ProviderDelay&gt;=1,MQ12*BlendedProvPayEss+MR12*BlendedProvPayPrem+MS12*BlendedProvPayElite+MT12*BlendedProvPayEss+MU12*BlendedProvPayPrem+MV12*BlendedProvPayElite,MQ13*BlendedProvPayEss+MR13*BlendedProvPayPrem+MS13*BlendedProvPayElite+MT13*BlendedProvPayEss+MU13*BlendedProvPayPrem+MV13*BlendedProvPayElite)</f>
        <v/>
      </c>
      <c r="NK13" s="12">
        <f>NC13*PaymentFee</f>
        <v/>
      </c>
      <c r="NL13" s="12">
        <f>MW13*OpsAI</f>
        <v/>
      </c>
      <c r="NM13" s="12">
        <f>MonthlyFixed</f>
        <v/>
      </c>
      <c r="NN13" s="12">
        <f>MG13*ReferralReward</f>
        <v/>
      </c>
      <c r="NO13" s="12">
        <f>ME13</f>
        <v/>
      </c>
      <c r="NP13" s="9">
        <f>NF13-NJ13-NK13-NL13-NM13-NN13-NO13</f>
        <v/>
      </c>
      <c r="NQ13" s="9">
        <f>NQ12+NC13-(NJ13+NK13+NL13+NM13+NN13+NO13+NH13)</f>
        <v/>
      </c>
      <c r="NR13" s="12">
        <f>IF(MW13&gt;0,MX13/MW13,0)</f>
        <v/>
      </c>
      <c r="NS13" s="11">
        <f>IF(MW12&gt;0,MAX(0,(MW12+MH13-MW13)/MW12),0)</f>
        <v/>
      </c>
      <c r="NU13" s="12" t="n">
        <v>9</v>
      </c>
      <c r="NV13" s="12">
        <f>MOD(NU13-1+LaunchMonth-1,12)+1</f>
        <v/>
      </c>
      <c r="NW13" s="12">
        <f>INT((NU13-1+LaunchMonth-1)/12)+1</f>
        <v/>
      </c>
      <c r="NX13" s="12">
        <f>VLOOKUP(NV13,SeasonTable,2,FALSE)</f>
        <v/>
      </c>
      <c r="NY13" s="12">
        <f>(1+InflationRate)^INT((NU13-1)/12)</f>
        <v/>
      </c>
      <c r="NZ13" s="11">
        <f>'Sens - Churn'!$A$18*VLOOKUP(NV13,ChurnSeasonTable,4,FALSE)</f>
        <v/>
      </c>
      <c r="OA13" s="12">
        <f>MIN(MAX(MktMin7_12,OY12*MktPct7_12),MAX(0,PM12-CashBuffer))</f>
        <v/>
      </c>
      <c r="OB13" s="12">
        <f>IF(OA13&gt;0,MAX(1,ROUND(OA13/CAC*NX13,0)),0)</f>
        <v/>
      </c>
      <c r="OC13" s="12">
        <f>IF(OB13&gt;0,ROUND(OB13*ReferralMix/(1-ReferralMix),0),0)</f>
        <v/>
      </c>
      <c r="OD13" s="12">
        <f>OB13+OC13</f>
        <v/>
      </c>
      <c r="OE13" s="12">
        <f>ROUND(OD13*(1-AnnualMix),0)</f>
        <v/>
      </c>
      <c r="OF13" s="12">
        <f>OD13-OE13</f>
        <v/>
      </c>
      <c r="OG13" s="12">
        <f>ROUND(OE13*EssentialMix,0)</f>
        <v/>
      </c>
      <c r="OH13" s="12">
        <f>ROUND(OE13*PremiumMix,0)</f>
        <v/>
      </c>
      <c r="OI13" s="12">
        <f>OE13-OG13-OH13</f>
        <v/>
      </c>
      <c r="OJ13" s="12">
        <f>ROUND(OF13*EssentialMix,0)</f>
        <v/>
      </c>
      <c r="OK13" s="12">
        <f>ROUND(OF13*PremiumMix,0)</f>
        <v/>
      </c>
      <c r="OL13" s="12">
        <f>OF13-OJ13-OK13</f>
        <v/>
      </c>
      <c r="OM13" s="12">
        <f>OG13+OG12+OG11+MAX(0,OM12-OG12-OG11)*(1-NZ13)</f>
        <v/>
      </c>
      <c r="ON13" s="12">
        <f>OH13+OH12+OH11+MAX(0,ON12-OH12-OH11)*(1-NZ13)</f>
        <v/>
      </c>
      <c r="OO13" s="12">
        <f>OI13+OI12+OI11+MAX(0,OO12-OI12-OI11)*(1-NZ13)</f>
        <v/>
      </c>
      <c r="OP13" s="12">
        <f>SUM(OJ$5:OJ13)</f>
        <v/>
      </c>
      <c r="OQ13" s="12">
        <f>SUM(OK$5:OK13)</f>
        <v/>
      </c>
      <c r="OR13" s="12">
        <f>SUM(OL$5:OL13)</f>
        <v/>
      </c>
      <c r="OS13" s="12">
        <f>OM13+ON13+OO13+OP13+OQ13+OR13</f>
        <v/>
      </c>
      <c r="OT13" s="9">
        <f>OM13*BlendedPriceEssMonthly*NY13+ON13*BlendedPricePremMonthly*NY13+OO13*BlendedPriceEliteMonthly*NY13+OP13*BlendedPriceEssAnnual*NY13/12+OQ13*BlendedPricePremAnnual*NY13/12+OR13*BlendedPriceEliteAnnual*NY13/12</f>
        <v/>
      </c>
      <c r="OU13" s="9">
        <f>OT13*12</f>
        <v/>
      </c>
      <c r="OV13" s="12">
        <f>OM13*BlendedPriceEssMonthly*NY13+ON13*BlendedPricePremMonthly*NY13+OO13*BlendedPriceEliteMonthly*NY13</f>
        <v/>
      </c>
      <c r="OW13" s="12">
        <f>OJ13*BlendedPriceEssAnnual*NY13+OK13*BlendedPricePremAnnual*NY13+OL13*BlendedPriceEliteAnnual*NY13</f>
        <v/>
      </c>
      <c r="OX13" s="12">
        <f>0+0+0</f>
        <v/>
      </c>
      <c r="OY13" s="9">
        <f>OV13+OW13+OX13</f>
        <v/>
      </c>
      <c r="OZ13" s="12">
        <f>SUM(OY$5:OY13)</f>
        <v/>
      </c>
      <c r="PA13" s="12">
        <f>OR(PA12,IF(VATAgentMode,SUM($OY$5:$OY13)-SUM($PF$5:$PF13)&gt;=VATThreshold,SUM($OY$5:$OY13)&gt;=VATThreshold))</f>
        <v/>
      </c>
      <c r="PB13" s="9">
        <f>IF(PA13,IF(VATAgentMode,OY13-((OY13-PF13)-(OY13-PF13)/(1+VATRate)),OY13/(1+VATRate)),OY13)</f>
        <v/>
      </c>
      <c r="PC13" s="12">
        <f>OY13-PB13</f>
        <v/>
      </c>
      <c r="PD13" s="12">
        <f>IF(PA13=0,0,IF(NV13=1,SUMPRODUCT(--(($NW$5:$NW13=$NW13-1)*($NV$5:$NV13&gt;=10)*($NV$5:$NV13&lt;=12)),$PC$5:$PC13),IF(NV13=4,SUMPRODUCT(--(($NW$5:$NW13=$NW13)*($NV$5:$NV13&gt;=1)*($NV$5:$NV13&lt;=3)),$PC$5:$PC13),IF(NV13=7,SUMPRODUCT(--(($NW$5:$NW13=$NW13)*($NV$5:$NV13&gt;=4)*($NV$5:$NV13&lt;=6)),$PC$5:$PC13),IF(NV13=10,SUMPRODUCT(--(($NW$5:$NW13=$NW13)*($NV$5:$NV13&gt;=7)*($NV$5:$NV13&lt;=9)),$PC$5:$PC13),0)))))</f>
        <v/>
      </c>
      <c r="PE13" s="12">
        <f>PE12+PC13-PD13</f>
        <v/>
      </c>
      <c r="PF13" s="12">
        <f>IF(ProviderDelay&gt;=1,OM12*BlendedProvPayEss+ON12*BlendedProvPayPrem+OO12*BlendedProvPayElite+OP12*BlendedProvPayEss+OQ12*BlendedProvPayPrem+OR12*BlendedProvPayElite,OM13*BlendedProvPayEss+ON13*BlendedProvPayPrem+OO13*BlendedProvPayElite+OP13*BlendedProvPayEss+OQ13*BlendedProvPayPrem+OR13*BlendedProvPayElite)</f>
        <v/>
      </c>
      <c r="PG13" s="12">
        <f>OY13*PaymentFee</f>
        <v/>
      </c>
      <c r="PH13" s="12">
        <f>OS13*OpsAI</f>
        <v/>
      </c>
      <c r="PI13" s="12">
        <f>MonthlyFixed</f>
        <v/>
      </c>
      <c r="PJ13" s="12">
        <f>OC13*ReferralReward</f>
        <v/>
      </c>
      <c r="PK13" s="12">
        <f>OA13</f>
        <v/>
      </c>
      <c r="PL13" s="9">
        <f>PB13-PF13-PG13-PH13-PI13-PJ13-PK13</f>
        <v/>
      </c>
      <c r="PM13" s="9">
        <f>PM12+OY13-(PF13+PG13+PH13+PI13+PJ13+PK13+PD13)</f>
        <v/>
      </c>
      <c r="PN13" s="12">
        <f>IF(OS13&gt;0,OT13/OS13,0)</f>
        <v/>
      </c>
      <c r="PO13" s="11">
        <f>IF(OS12&gt;0,MAX(0,(OS12+OD13-OS13)/OS12),0)</f>
        <v/>
      </c>
      <c r="PQ13" s="12" t="n">
        <v>9</v>
      </c>
      <c r="PR13" s="12">
        <f>MOD(PQ13-1+LaunchMonth-1,12)+1</f>
        <v/>
      </c>
      <c r="PS13" s="12">
        <f>INT((PQ13-1+LaunchMonth-1)/12)+1</f>
        <v/>
      </c>
      <c r="PT13" s="12">
        <f>VLOOKUP(PR13,SeasonTable,2,FALSE)</f>
        <v/>
      </c>
      <c r="PU13" s="12">
        <f>(1+InflationRate)^INT((PQ13-1)/12)</f>
        <v/>
      </c>
      <c r="PV13" s="11">
        <f>'Sens - Churn'!$A$19*VLOOKUP(PR13,ChurnSeasonTable,4,FALSE)</f>
        <v/>
      </c>
      <c r="PW13" s="12">
        <f>MIN(MAX(MktMin7_12,QU12*MktPct7_12),MAX(0,RI12-CashBuffer))</f>
        <v/>
      </c>
      <c r="PX13" s="12">
        <f>IF(PW13&gt;0,MAX(1,ROUND(PW13/CAC*PT13,0)),0)</f>
        <v/>
      </c>
      <c r="PY13" s="12">
        <f>IF(PX13&gt;0,ROUND(PX13*ReferralMix/(1-ReferralMix),0),0)</f>
        <v/>
      </c>
      <c r="PZ13" s="12">
        <f>PX13+PY13</f>
        <v/>
      </c>
      <c r="QA13" s="12">
        <f>ROUND(PZ13*(1-AnnualMix),0)</f>
        <v/>
      </c>
      <c r="QB13" s="12">
        <f>PZ13-QA13</f>
        <v/>
      </c>
      <c r="QC13" s="12">
        <f>ROUND(QA13*EssentialMix,0)</f>
        <v/>
      </c>
      <c r="QD13" s="12">
        <f>ROUND(QA13*PremiumMix,0)</f>
        <v/>
      </c>
      <c r="QE13" s="12">
        <f>QA13-QC13-QD13</f>
        <v/>
      </c>
      <c r="QF13" s="12">
        <f>ROUND(QB13*EssentialMix,0)</f>
        <v/>
      </c>
      <c r="QG13" s="12">
        <f>ROUND(QB13*PremiumMix,0)</f>
        <v/>
      </c>
      <c r="QH13" s="12">
        <f>QB13-QF13-QG13</f>
        <v/>
      </c>
      <c r="QI13" s="12">
        <f>QC13+QC12+QC11+MAX(0,QI12-QC12-QC11)*(1-PV13)</f>
        <v/>
      </c>
      <c r="QJ13" s="12">
        <f>QD13+QD12+QD11+MAX(0,QJ12-QD12-QD11)*(1-PV13)</f>
        <v/>
      </c>
      <c r="QK13" s="12">
        <f>QE13+QE12+QE11+MAX(0,QK12-QE12-QE11)*(1-PV13)</f>
        <v/>
      </c>
      <c r="QL13" s="12">
        <f>SUM(QF$5:QF13)</f>
        <v/>
      </c>
      <c r="QM13" s="12">
        <f>SUM(QG$5:QG13)</f>
        <v/>
      </c>
      <c r="QN13" s="12">
        <f>SUM(QH$5:QH13)</f>
        <v/>
      </c>
      <c r="QO13" s="12">
        <f>QI13+QJ13+QK13+QL13+QM13+QN13</f>
        <v/>
      </c>
      <c r="QP13" s="9">
        <f>QI13*BlendedPriceEssMonthly*PU13+QJ13*BlendedPricePremMonthly*PU13+QK13*BlendedPriceEliteMonthly*PU13+QL13*BlendedPriceEssAnnual*PU13/12+QM13*BlendedPricePremAnnual*PU13/12+QN13*BlendedPriceEliteAnnual*PU13/12</f>
        <v/>
      </c>
      <c r="QQ13" s="9">
        <f>QP13*12</f>
        <v/>
      </c>
      <c r="QR13" s="12">
        <f>QI13*BlendedPriceEssMonthly*PU13+QJ13*BlendedPricePremMonthly*PU13+QK13*BlendedPriceEliteMonthly*PU13</f>
        <v/>
      </c>
      <c r="QS13" s="12">
        <f>QF13*BlendedPriceEssAnnual*PU13+QG13*BlendedPricePremAnnual*PU13+QH13*BlendedPriceEliteAnnual*PU13</f>
        <v/>
      </c>
      <c r="QT13" s="12">
        <f>0+0+0</f>
        <v/>
      </c>
      <c r="QU13" s="9">
        <f>QR13+QS13+QT13</f>
        <v/>
      </c>
      <c r="QV13" s="12">
        <f>SUM(QU$5:QU13)</f>
        <v/>
      </c>
      <c r="QW13" s="12">
        <f>OR(QW12,IF(VATAgentMode,SUM($QU$5:$QU13)-SUM($RB$5:$RB13)&gt;=VATThreshold,SUM($QU$5:$QU13)&gt;=VATThreshold))</f>
        <v/>
      </c>
      <c r="QX13" s="9">
        <f>IF(QW13,IF(VATAgentMode,QU13-((QU13-RB13)-(QU13-RB13)/(1+VATRate)),QU13/(1+VATRate)),QU13)</f>
        <v/>
      </c>
      <c r="QY13" s="12">
        <f>QU13-QX13</f>
        <v/>
      </c>
      <c r="QZ13" s="12">
        <f>IF(QW13=0,0,IF(PR13=1,SUMPRODUCT(--(($PS$5:$PS13=$PS13-1)*($PR$5:$PR13&gt;=10)*($PR$5:$PR13&lt;=12)),$QY$5:$QY13),IF(PR13=4,SUMPRODUCT(--(($PS$5:$PS13=$PS13)*($PR$5:$PR13&gt;=1)*($PR$5:$PR13&lt;=3)),$QY$5:$QY13),IF(PR13=7,SUMPRODUCT(--(($PS$5:$PS13=$PS13)*($PR$5:$PR13&gt;=4)*($PR$5:$PR13&lt;=6)),$QY$5:$QY13),IF(PR13=10,SUMPRODUCT(--(($PS$5:$PS13=$PS13)*($PR$5:$PR13&gt;=7)*($PR$5:$PR13&lt;=9)),$QY$5:$QY13),0)))))</f>
        <v/>
      </c>
      <c r="RA13" s="12">
        <f>RA12+QY13-QZ13</f>
        <v/>
      </c>
      <c r="RB13" s="12">
        <f>IF(ProviderDelay&gt;=1,QI12*BlendedProvPayEss+QJ12*BlendedProvPayPrem+QK12*BlendedProvPayElite+QL12*BlendedProvPayEss+QM12*BlendedProvPayPrem+QN12*BlendedProvPayElite,QI13*BlendedProvPayEss+QJ13*BlendedProvPayPrem+QK13*BlendedProvPayElite+QL13*BlendedProvPayEss+QM13*BlendedProvPayPrem+QN13*BlendedProvPayElite)</f>
        <v/>
      </c>
      <c r="RC13" s="12">
        <f>QU13*PaymentFee</f>
        <v/>
      </c>
      <c r="RD13" s="12">
        <f>QO13*OpsAI</f>
        <v/>
      </c>
      <c r="RE13" s="12">
        <f>MonthlyFixed</f>
        <v/>
      </c>
      <c r="RF13" s="12">
        <f>PY13*ReferralReward</f>
        <v/>
      </c>
      <c r="RG13" s="12">
        <f>PW13</f>
        <v/>
      </c>
      <c r="RH13" s="9">
        <f>QX13-RB13-RC13-RD13-RE13-RF13-RG13</f>
        <v/>
      </c>
      <c r="RI13" s="9">
        <f>RI12+QU13-(RB13+RC13+RD13+RE13+RF13+RG13+QZ13)</f>
        <v/>
      </c>
      <c r="RJ13" s="12">
        <f>IF(QO13&gt;0,QP13/QO13,0)</f>
        <v/>
      </c>
      <c r="RK13" s="11">
        <f>IF(QO12&gt;0,MAX(0,(QO12+PZ13-QO13)/QO12),0)</f>
        <v/>
      </c>
      <c r="RM13" s="12" t="n">
        <v>9</v>
      </c>
      <c r="RN13" s="12">
        <f>MOD(RM13-1+LaunchMonth-1,12)+1</f>
        <v/>
      </c>
      <c r="RO13" s="12">
        <f>INT((RM13-1+LaunchMonth-1)/12)+1</f>
        <v/>
      </c>
      <c r="RP13" s="12">
        <f>VLOOKUP(RN13,SeasonTable,2,FALSE)</f>
        <v/>
      </c>
      <c r="RQ13" s="12">
        <f>(1+InflationRate)^INT((RM13-1)/12)</f>
        <v/>
      </c>
      <c r="RR13" s="11">
        <f>'Sens - Churn'!$A$20*VLOOKUP(RN13,ChurnSeasonTable,4,FALSE)</f>
        <v/>
      </c>
      <c r="RS13" s="12">
        <f>MIN(MAX(MktMin7_12,SQ12*MktPct7_12),MAX(0,TE12-CashBuffer))</f>
        <v/>
      </c>
      <c r="RT13" s="12">
        <f>IF(RS13&gt;0,MAX(1,ROUND(RS13/CAC*RP13,0)),0)</f>
        <v/>
      </c>
      <c r="RU13" s="12">
        <f>IF(RT13&gt;0,ROUND(RT13*ReferralMix/(1-ReferralMix),0),0)</f>
        <v/>
      </c>
      <c r="RV13" s="12">
        <f>RT13+RU13</f>
        <v/>
      </c>
      <c r="RW13" s="12">
        <f>ROUND(RV13*(1-AnnualMix),0)</f>
        <v/>
      </c>
      <c r="RX13" s="12">
        <f>RV13-RW13</f>
        <v/>
      </c>
      <c r="RY13" s="12">
        <f>ROUND(RW13*EssentialMix,0)</f>
        <v/>
      </c>
      <c r="RZ13" s="12">
        <f>ROUND(RW13*PremiumMix,0)</f>
        <v/>
      </c>
      <c r="SA13" s="12">
        <f>RW13-RY13-RZ13</f>
        <v/>
      </c>
      <c r="SB13" s="12">
        <f>ROUND(RX13*EssentialMix,0)</f>
        <v/>
      </c>
      <c r="SC13" s="12">
        <f>ROUND(RX13*PremiumMix,0)</f>
        <v/>
      </c>
      <c r="SD13" s="12">
        <f>RX13-SB13-SC13</f>
        <v/>
      </c>
      <c r="SE13" s="12">
        <f>RY13+RY12+RY11+MAX(0,SE12-RY12-RY11)*(1-RR13)</f>
        <v/>
      </c>
      <c r="SF13" s="12">
        <f>RZ13+RZ12+RZ11+MAX(0,SF12-RZ12-RZ11)*(1-RR13)</f>
        <v/>
      </c>
      <c r="SG13" s="12">
        <f>SA13+SA12+SA11+MAX(0,SG12-SA12-SA11)*(1-RR13)</f>
        <v/>
      </c>
      <c r="SH13" s="12">
        <f>SUM(SB$5:SB13)</f>
        <v/>
      </c>
      <c r="SI13" s="12">
        <f>SUM(SC$5:SC13)</f>
        <v/>
      </c>
      <c r="SJ13" s="12">
        <f>SUM(SD$5:SD13)</f>
        <v/>
      </c>
      <c r="SK13" s="12">
        <f>SE13+SF13+SG13+SH13+SI13+SJ13</f>
        <v/>
      </c>
      <c r="SL13" s="9">
        <f>SE13*BlendedPriceEssMonthly*RQ13+SF13*BlendedPricePremMonthly*RQ13+SG13*BlendedPriceEliteMonthly*RQ13+SH13*BlendedPriceEssAnnual*RQ13/12+SI13*BlendedPricePremAnnual*RQ13/12+SJ13*BlendedPriceEliteAnnual*RQ13/12</f>
        <v/>
      </c>
      <c r="SM13" s="9">
        <f>SL13*12</f>
        <v/>
      </c>
      <c r="SN13" s="12">
        <f>SE13*BlendedPriceEssMonthly*RQ13+SF13*BlendedPricePremMonthly*RQ13+SG13*BlendedPriceEliteMonthly*RQ13</f>
        <v/>
      </c>
      <c r="SO13" s="12">
        <f>SB13*BlendedPriceEssAnnual*RQ13+SC13*BlendedPricePremAnnual*RQ13+SD13*BlendedPriceEliteAnnual*RQ13</f>
        <v/>
      </c>
      <c r="SP13" s="12">
        <f>0+0+0</f>
        <v/>
      </c>
      <c r="SQ13" s="9">
        <f>SN13+SO13+SP13</f>
        <v/>
      </c>
      <c r="SR13" s="12">
        <f>SUM(SQ$5:SQ13)</f>
        <v/>
      </c>
      <c r="SS13" s="12">
        <f>OR(SS12,IF(VATAgentMode,SUM($SQ$5:$SQ13)-SUM($SX$5:$SX13)&gt;=VATThreshold,SUM($SQ$5:$SQ13)&gt;=VATThreshold))</f>
        <v/>
      </c>
      <c r="ST13" s="9">
        <f>IF(SS13,IF(VATAgentMode,SQ13-((SQ13-SX13)-(SQ13-SX13)/(1+VATRate)),SQ13/(1+VATRate)),SQ13)</f>
        <v/>
      </c>
      <c r="SU13" s="12">
        <f>SQ13-ST13</f>
        <v/>
      </c>
      <c r="SV13" s="12">
        <f>IF(SS13=0,0,IF(RN13=1,SUMPRODUCT(--(($RO$5:$RO13=$RO13-1)*($RN$5:$RN13&gt;=10)*($RN$5:$RN13&lt;=12)),$SU$5:$SU13),IF(RN13=4,SUMPRODUCT(--(($RO$5:$RO13=$RO13)*($RN$5:$RN13&gt;=1)*($RN$5:$RN13&lt;=3)),$SU$5:$SU13),IF(RN13=7,SUMPRODUCT(--(($RO$5:$RO13=$RO13)*($RN$5:$RN13&gt;=4)*($RN$5:$RN13&lt;=6)),$SU$5:$SU13),IF(RN13=10,SUMPRODUCT(--(($RO$5:$RO13=$RO13)*($RN$5:$RN13&gt;=7)*($RN$5:$RN13&lt;=9)),$SU$5:$SU13),0)))))</f>
        <v/>
      </c>
      <c r="SW13" s="12">
        <f>SW12+SU13-SV13</f>
        <v/>
      </c>
      <c r="SX13" s="12">
        <f>IF(ProviderDelay&gt;=1,SE12*BlendedProvPayEss+SF12*BlendedProvPayPrem+SG12*BlendedProvPayElite+SH12*BlendedProvPayEss+SI12*BlendedProvPayPrem+SJ12*BlendedProvPayElite,SE13*BlendedProvPayEss+SF13*BlendedProvPayPrem+SG13*BlendedProvPayElite+SH13*BlendedProvPayEss+SI13*BlendedProvPayPrem+SJ13*BlendedProvPayElite)</f>
        <v/>
      </c>
      <c r="SY13" s="12">
        <f>SQ13*PaymentFee</f>
        <v/>
      </c>
      <c r="SZ13" s="12">
        <f>SK13*OpsAI</f>
        <v/>
      </c>
      <c r="TA13" s="12">
        <f>MonthlyFixed</f>
        <v/>
      </c>
      <c r="TB13" s="12">
        <f>RU13*ReferralReward</f>
        <v/>
      </c>
      <c r="TC13" s="12">
        <f>RS13</f>
        <v/>
      </c>
      <c r="TD13" s="9">
        <f>ST13-SX13-SY13-SZ13-TA13-TB13-TC13</f>
        <v/>
      </c>
      <c r="TE13" s="9">
        <f>TE12+SQ13-(SX13+SY13+SZ13+TA13+TB13+TC13+SV13)</f>
        <v/>
      </c>
      <c r="TF13" s="12">
        <f>IF(SK13&gt;0,SL13/SK13,0)</f>
        <v/>
      </c>
      <c r="TG13" s="11">
        <f>IF(SK12&gt;0,MAX(0,(SK12+RV13-SK13)/SK12),0)</f>
        <v/>
      </c>
      <c r="TI13" s="12" t="n">
        <v>9</v>
      </c>
      <c r="TJ13" s="12">
        <f>MOD(TI13-1+LaunchMonth-1,12)+1</f>
        <v/>
      </c>
      <c r="TK13" s="12">
        <f>INT((TI13-1+LaunchMonth-1)/12)+1</f>
        <v/>
      </c>
      <c r="TL13" s="12">
        <f>VLOOKUP(TJ13,SeasonTable,2,FALSE)</f>
        <v/>
      </c>
      <c r="TM13" s="12">
        <f>(1+InflationRate)^INT((TI13-1)/12)</f>
        <v/>
      </c>
      <c r="TN13" s="11">
        <f>'Sens - Churn'!$A$21*VLOOKUP(TJ13,ChurnSeasonTable,4,FALSE)</f>
        <v/>
      </c>
      <c r="TO13" s="12">
        <f>MIN(MAX(MktMin7_12,UM12*MktPct7_12),MAX(0,VA12-CashBuffer))</f>
        <v/>
      </c>
      <c r="TP13" s="12">
        <f>IF(TO13&gt;0,MAX(1,ROUND(TO13/CAC*TL13,0)),0)</f>
        <v/>
      </c>
      <c r="TQ13" s="12">
        <f>IF(TP13&gt;0,ROUND(TP13*ReferralMix/(1-ReferralMix),0),0)</f>
        <v/>
      </c>
      <c r="TR13" s="12">
        <f>TP13+TQ13</f>
        <v/>
      </c>
      <c r="TS13" s="12">
        <f>ROUND(TR13*(1-AnnualMix),0)</f>
        <v/>
      </c>
      <c r="TT13" s="12">
        <f>TR13-TS13</f>
        <v/>
      </c>
      <c r="TU13" s="12">
        <f>ROUND(TS13*EssentialMix,0)</f>
        <v/>
      </c>
      <c r="TV13" s="12">
        <f>ROUND(TS13*PremiumMix,0)</f>
        <v/>
      </c>
      <c r="TW13" s="12">
        <f>TS13-TU13-TV13</f>
        <v/>
      </c>
      <c r="TX13" s="12">
        <f>ROUND(TT13*EssentialMix,0)</f>
        <v/>
      </c>
      <c r="TY13" s="12">
        <f>ROUND(TT13*PremiumMix,0)</f>
        <v/>
      </c>
      <c r="TZ13" s="12">
        <f>TT13-TX13-TY13</f>
        <v/>
      </c>
      <c r="UA13" s="12">
        <f>TU13+TU12+TU11+MAX(0,UA12-TU12-TU11)*(1-TN13)</f>
        <v/>
      </c>
      <c r="UB13" s="12">
        <f>TV13+TV12+TV11+MAX(0,UB12-TV12-TV11)*(1-TN13)</f>
        <v/>
      </c>
      <c r="UC13" s="12">
        <f>TW13+TW12+TW11+MAX(0,UC12-TW12-TW11)*(1-TN13)</f>
        <v/>
      </c>
      <c r="UD13" s="12">
        <f>SUM(TX$5:TX13)</f>
        <v/>
      </c>
      <c r="UE13" s="12">
        <f>SUM(TY$5:TY13)</f>
        <v/>
      </c>
      <c r="UF13" s="12">
        <f>SUM(TZ$5:TZ13)</f>
        <v/>
      </c>
      <c r="UG13" s="12">
        <f>UA13+UB13+UC13+UD13+UE13+UF13</f>
        <v/>
      </c>
      <c r="UH13" s="9">
        <f>UA13*BlendedPriceEssMonthly*TM13+UB13*BlendedPricePremMonthly*TM13+UC13*BlendedPriceEliteMonthly*TM13+UD13*BlendedPriceEssAnnual*TM13/12+UE13*BlendedPricePremAnnual*TM13/12+UF13*BlendedPriceEliteAnnual*TM13/12</f>
        <v/>
      </c>
      <c r="UI13" s="9">
        <f>UH13*12</f>
        <v/>
      </c>
      <c r="UJ13" s="12">
        <f>UA13*BlendedPriceEssMonthly*TM13+UB13*BlendedPricePremMonthly*TM13+UC13*BlendedPriceEliteMonthly*TM13</f>
        <v/>
      </c>
      <c r="UK13" s="12">
        <f>TX13*BlendedPriceEssAnnual*TM13+TY13*BlendedPricePremAnnual*TM13+TZ13*BlendedPriceEliteAnnual*TM13</f>
        <v/>
      </c>
      <c r="UL13" s="12">
        <f>0+0+0</f>
        <v/>
      </c>
      <c r="UM13" s="9">
        <f>UJ13+UK13+UL13</f>
        <v/>
      </c>
      <c r="UN13" s="12">
        <f>SUM(UM$5:UM13)</f>
        <v/>
      </c>
      <c r="UO13" s="12">
        <f>OR(UO12,IF(VATAgentMode,SUM($UM$5:$UM13)-SUM($UT$5:$UT13)&gt;=VATThreshold,SUM($UM$5:$UM13)&gt;=VATThreshold))</f>
        <v/>
      </c>
      <c r="UP13" s="9">
        <f>IF(UO13,IF(VATAgentMode,UM13-((UM13-UT13)-(UM13-UT13)/(1+VATRate)),UM13/(1+VATRate)),UM13)</f>
        <v/>
      </c>
      <c r="UQ13" s="12">
        <f>UM13-UP13</f>
        <v/>
      </c>
      <c r="UR13" s="12">
        <f>IF(UO13=0,0,IF(TJ13=1,SUMPRODUCT(--(($TK$5:$TK13=$TK13-1)*($TJ$5:$TJ13&gt;=10)*($TJ$5:$TJ13&lt;=12)),$UQ$5:$UQ13),IF(TJ13=4,SUMPRODUCT(--(($TK$5:$TK13=$TK13)*($TJ$5:$TJ13&gt;=1)*($TJ$5:$TJ13&lt;=3)),$UQ$5:$UQ13),IF(TJ13=7,SUMPRODUCT(--(($TK$5:$TK13=$TK13)*($TJ$5:$TJ13&gt;=4)*($TJ$5:$TJ13&lt;=6)),$UQ$5:$UQ13),IF(TJ13=10,SUMPRODUCT(--(($TK$5:$TK13=$TK13)*($TJ$5:$TJ13&gt;=7)*($TJ$5:$TJ13&lt;=9)),$UQ$5:$UQ13),0)))))</f>
        <v/>
      </c>
      <c r="US13" s="12">
        <f>US12+UQ13-UR13</f>
        <v/>
      </c>
      <c r="UT13" s="12">
        <f>IF(ProviderDelay&gt;=1,UA12*BlendedProvPayEss+UB12*BlendedProvPayPrem+UC12*BlendedProvPayElite+UD12*BlendedProvPayEss+UE12*BlendedProvPayPrem+UF12*BlendedProvPayElite,UA13*BlendedProvPayEss+UB13*BlendedProvPayPrem+UC13*BlendedProvPayElite+UD13*BlendedProvPayEss+UE13*BlendedProvPayPrem+UF13*BlendedProvPayElite)</f>
        <v/>
      </c>
      <c r="UU13" s="12">
        <f>UM13*PaymentFee</f>
        <v/>
      </c>
      <c r="UV13" s="12">
        <f>UG13*OpsAI</f>
        <v/>
      </c>
      <c r="UW13" s="12">
        <f>MonthlyFixed</f>
        <v/>
      </c>
      <c r="UX13" s="12">
        <f>TQ13*ReferralReward</f>
        <v/>
      </c>
      <c r="UY13" s="12">
        <f>TO13</f>
        <v/>
      </c>
      <c r="UZ13" s="9">
        <f>UP13-UT13-UU13-UV13-UW13-UX13-UY13</f>
        <v/>
      </c>
      <c r="VA13" s="9">
        <f>VA12+UM13-(UT13+UU13+UV13+UW13+UX13+UY13+UR13)</f>
        <v/>
      </c>
      <c r="VB13" s="12">
        <f>IF(UG13&gt;0,UH13/UG13,0)</f>
        <v/>
      </c>
      <c r="VC13" s="11">
        <f>IF(UG12&gt;0,MAX(0,(UG12+TR13-UG13)/UG12),0)</f>
        <v/>
      </c>
      <c r="VE13" s="12" t="n">
        <v>9</v>
      </c>
      <c r="VF13" s="12">
        <f>MOD(VE13-1+LaunchMonth-1,12)+1</f>
        <v/>
      </c>
      <c r="VG13" s="12">
        <f>INT((VE13-1+LaunchMonth-1)/12)+1</f>
        <v/>
      </c>
      <c r="VH13" s="12">
        <f>VLOOKUP(VF13,SeasonTable,2,FALSE)</f>
        <v/>
      </c>
      <c r="VI13" s="12">
        <f>(1+InflationRate)^INT((VE13-1)/12)</f>
        <v/>
      </c>
      <c r="VJ13" s="11">
        <f>MonthlyChurn*VLOOKUP(VF13,ChurnSeasonTable,4,FALSE)</f>
        <v/>
      </c>
      <c r="VK13" s="12">
        <f>MIN(MAX(MktMin7_12,WI12*MktPct7_12),MAX(0,WW12-CashBuffer))</f>
        <v/>
      </c>
      <c r="VL13" s="12">
        <f>IF(VK13&gt;0,MAX(1,ROUND(VK13/CAC*VH13,0)),0)</f>
        <v/>
      </c>
      <c r="VM13" s="12">
        <f>IF(VL13&gt;0,ROUND(VL13*ReferralMix/(1-ReferralMix),0),0)</f>
        <v/>
      </c>
      <c r="VN13" s="12">
        <f>VL13+VM13</f>
        <v/>
      </c>
      <c r="VO13" s="12">
        <f>ROUND(VN13*(1-'Sens - Annual Mix'!$A$9),0)</f>
        <v/>
      </c>
      <c r="VP13" s="12">
        <f>VN13-VO13</f>
        <v/>
      </c>
      <c r="VQ13" s="12">
        <f>ROUND(VO13*EssentialMix,0)</f>
        <v/>
      </c>
      <c r="VR13" s="12">
        <f>ROUND(VO13*PremiumMix,0)</f>
        <v/>
      </c>
      <c r="VS13" s="12">
        <f>VO13-VQ13-VR13</f>
        <v/>
      </c>
      <c r="VT13" s="12">
        <f>ROUND(VP13*EssentialMix,0)</f>
        <v/>
      </c>
      <c r="VU13" s="12">
        <f>ROUND(VP13*PremiumMix,0)</f>
        <v/>
      </c>
      <c r="VV13" s="12">
        <f>VP13-VT13-VU13</f>
        <v/>
      </c>
      <c r="VW13" s="12">
        <f>VQ13+VQ12+VQ11+MAX(0,VW12-VQ12-VQ11)*(1-VJ13)</f>
        <v/>
      </c>
      <c r="VX13" s="12">
        <f>VR13+VR12+VR11+MAX(0,VX12-VR12-VR11)*(1-VJ13)</f>
        <v/>
      </c>
      <c r="VY13" s="12">
        <f>VS13+VS12+VS11+MAX(0,VY12-VS12-VS11)*(1-VJ13)</f>
        <v/>
      </c>
      <c r="VZ13" s="12">
        <f>SUM(VT$5:VT13)</f>
        <v/>
      </c>
      <c r="WA13" s="12">
        <f>SUM(VU$5:VU13)</f>
        <v/>
      </c>
      <c r="WB13" s="12">
        <f>SUM(VV$5:VV13)</f>
        <v/>
      </c>
      <c r="WC13" s="12">
        <f>VW13+VX13+VY13+VZ13+WA13+WB13</f>
        <v/>
      </c>
      <c r="WD13" s="9">
        <f>VW13*BlendedPriceEssMonthly*VI13+VX13*BlendedPricePremMonthly*VI13+VY13*BlendedPriceEliteMonthly*VI13+VZ13*BlendedPriceEssAnnual*VI13/12+WA13*BlendedPricePremAnnual*VI13/12+WB13*BlendedPriceEliteAnnual*VI13/12</f>
        <v/>
      </c>
      <c r="WE13" s="9">
        <f>WD13*12</f>
        <v/>
      </c>
      <c r="WF13" s="12">
        <f>VW13*BlendedPriceEssMonthly*VI13+VX13*BlendedPricePremMonthly*VI13+VY13*BlendedPriceEliteMonthly*VI13</f>
        <v/>
      </c>
      <c r="WG13" s="12">
        <f>VT13*BlendedPriceEssAnnual*VI13+VU13*BlendedPricePremAnnual*VI13+VV13*BlendedPriceEliteAnnual*VI13</f>
        <v/>
      </c>
      <c r="WH13" s="12">
        <f>0+0+0</f>
        <v/>
      </c>
      <c r="WI13" s="9">
        <f>WF13+WG13+WH13</f>
        <v/>
      </c>
      <c r="WJ13" s="12">
        <f>SUM(WI$5:WI13)</f>
        <v/>
      </c>
      <c r="WK13" s="12">
        <f>OR(WK12,IF(VATAgentMode,SUM($WI$5:$WI13)-SUM($WP$5:$WP13)&gt;=VATThreshold,SUM($WI$5:$WI13)&gt;=VATThreshold))</f>
        <v/>
      </c>
      <c r="WL13" s="9">
        <f>IF(WK13,IF(VATAgentMode,WI13-((WI13-WP13)-(WI13-WP13)/(1+VATRate)),WI13/(1+VATRate)),WI13)</f>
        <v/>
      </c>
      <c r="WM13" s="12">
        <f>WI13-WL13</f>
        <v/>
      </c>
      <c r="WN13" s="12">
        <f>IF(WK13=0,0,IF(VF13=1,SUMPRODUCT(--(($VG$5:$VG13=$VG13-1)*($VF$5:$VF13&gt;=10)*($VF$5:$VF13&lt;=12)),$WM$5:$WM13),IF(VF13=4,SUMPRODUCT(--(($VG$5:$VG13=$VG13)*($VF$5:$VF13&gt;=1)*($VF$5:$VF13&lt;=3)),$WM$5:$WM13),IF(VF13=7,SUMPRODUCT(--(($VG$5:$VG13=$VG13)*($VF$5:$VF13&gt;=4)*($VF$5:$VF13&lt;=6)),$WM$5:$WM13),IF(VF13=10,SUMPRODUCT(--(($VG$5:$VG13=$VG13)*($VF$5:$VF13&gt;=7)*($VF$5:$VF13&lt;=9)),$WM$5:$WM13),0)))))</f>
        <v/>
      </c>
      <c r="WO13" s="12">
        <f>WO12+WM13-WN13</f>
        <v/>
      </c>
      <c r="WP13" s="12">
        <f>IF(ProviderDelay&gt;=1,VW12*BlendedProvPayEss+VX12*BlendedProvPayPrem+VY12*BlendedProvPayElite+VZ12*BlendedProvPayEss+WA12*BlendedProvPayPrem+WB12*BlendedProvPayElite,VW13*BlendedProvPayEss+VX13*BlendedProvPayPrem+VY13*BlendedProvPayElite+VZ13*BlendedProvPayEss+WA13*BlendedProvPayPrem+WB13*BlendedProvPayElite)</f>
        <v/>
      </c>
      <c r="WQ13" s="12">
        <f>WI13*PaymentFee</f>
        <v/>
      </c>
      <c r="WR13" s="12">
        <f>WC13*OpsAI</f>
        <v/>
      </c>
      <c r="WS13" s="12">
        <f>MonthlyFixed</f>
        <v/>
      </c>
      <c r="WT13" s="12">
        <f>VM13*ReferralReward</f>
        <v/>
      </c>
      <c r="WU13" s="12">
        <f>VK13</f>
        <v/>
      </c>
      <c r="WV13" s="9">
        <f>WL13-WP13-WQ13-WR13-WS13-WT13-WU13</f>
        <v/>
      </c>
      <c r="WW13" s="9">
        <f>WW12+WI13-(WP13+WQ13+WR13+WS13+WT13+WU13+WN13)</f>
        <v/>
      </c>
      <c r="WX13" s="12">
        <f>IF(WC13&gt;0,WD13/WC13,0)</f>
        <v/>
      </c>
      <c r="WY13" s="11">
        <f>IF(WC12&gt;0,MAX(0,(WC12+VN13-WC13)/WC12),0)</f>
        <v/>
      </c>
      <c r="XA13" s="12" t="n">
        <v>9</v>
      </c>
      <c r="XB13" s="12">
        <f>MOD(XA13-1+LaunchMonth-1,12)+1</f>
        <v/>
      </c>
      <c r="XC13" s="12">
        <f>INT((XA13-1+LaunchMonth-1)/12)+1</f>
        <v/>
      </c>
      <c r="XD13" s="12">
        <f>VLOOKUP(XB13,SeasonTable,2,FALSE)</f>
        <v/>
      </c>
      <c r="XE13" s="12">
        <f>(1+InflationRate)^INT((XA13-1)/12)</f>
        <v/>
      </c>
      <c r="XF13" s="11">
        <f>MonthlyChurn*VLOOKUP(XB13,ChurnSeasonTable,4,FALSE)</f>
        <v/>
      </c>
      <c r="XG13" s="12">
        <f>MIN(MAX(MktMin7_12,YE12*MktPct7_12),MAX(0,YS12-CashBuffer))</f>
        <v/>
      </c>
      <c r="XH13" s="12">
        <f>IF(XG13&gt;0,MAX(1,ROUND(XG13/CAC*XD13,0)),0)</f>
        <v/>
      </c>
      <c r="XI13" s="12">
        <f>IF(XH13&gt;0,ROUND(XH13*ReferralMix/(1-ReferralMix),0),0)</f>
        <v/>
      </c>
      <c r="XJ13" s="12">
        <f>XH13+XI13</f>
        <v/>
      </c>
      <c r="XK13" s="12">
        <f>ROUND(XJ13*(1-'Sens - Annual Mix'!$A$10),0)</f>
        <v/>
      </c>
      <c r="XL13" s="12">
        <f>XJ13-XK13</f>
        <v/>
      </c>
      <c r="XM13" s="12">
        <f>ROUND(XK13*EssentialMix,0)</f>
        <v/>
      </c>
      <c r="XN13" s="12">
        <f>ROUND(XK13*PremiumMix,0)</f>
        <v/>
      </c>
      <c r="XO13" s="12">
        <f>XK13-XM13-XN13</f>
        <v/>
      </c>
      <c r="XP13" s="12">
        <f>ROUND(XL13*EssentialMix,0)</f>
        <v/>
      </c>
      <c r="XQ13" s="12">
        <f>ROUND(XL13*PremiumMix,0)</f>
        <v/>
      </c>
      <c r="XR13" s="12">
        <f>XL13-XP13-XQ13</f>
        <v/>
      </c>
      <c r="XS13" s="12">
        <f>XM13+XM12+XM11+MAX(0,XS12-XM12-XM11)*(1-XF13)</f>
        <v/>
      </c>
      <c r="XT13" s="12">
        <f>XN13+XN12+XN11+MAX(0,XT12-XN12-XN11)*(1-XF13)</f>
        <v/>
      </c>
      <c r="XU13" s="12">
        <f>XO13+XO12+XO11+MAX(0,XU12-XO12-XO11)*(1-XF13)</f>
        <v/>
      </c>
      <c r="XV13" s="12">
        <f>SUM(XP$5:XP13)</f>
        <v/>
      </c>
      <c r="XW13" s="12">
        <f>SUM(XQ$5:XQ13)</f>
        <v/>
      </c>
      <c r="XX13" s="12">
        <f>SUM(XR$5:XR13)</f>
        <v/>
      </c>
      <c r="XY13" s="12">
        <f>XS13+XT13+XU13+XV13+XW13+XX13</f>
        <v/>
      </c>
      <c r="XZ13" s="9">
        <f>XS13*BlendedPriceEssMonthly*XE13+XT13*BlendedPricePremMonthly*XE13+XU13*BlendedPriceEliteMonthly*XE13+XV13*BlendedPriceEssAnnual*XE13/12+XW13*BlendedPricePremAnnual*XE13/12+XX13*BlendedPriceEliteAnnual*XE13/12</f>
        <v/>
      </c>
      <c r="YA13" s="9">
        <f>XZ13*12</f>
        <v/>
      </c>
      <c r="YB13" s="12">
        <f>XS13*BlendedPriceEssMonthly*XE13+XT13*BlendedPricePremMonthly*XE13+XU13*BlendedPriceEliteMonthly*XE13</f>
        <v/>
      </c>
      <c r="YC13" s="12">
        <f>XP13*BlendedPriceEssAnnual*XE13+XQ13*BlendedPricePremAnnual*XE13+XR13*BlendedPriceEliteAnnual*XE13</f>
        <v/>
      </c>
      <c r="YD13" s="12">
        <f>0+0+0</f>
        <v/>
      </c>
      <c r="YE13" s="9">
        <f>YB13+YC13+YD13</f>
        <v/>
      </c>
      <c r="YF13" s="12">
        <f>SUM(YE$5:YE13)</f>
        <v/>
      </c>
      <c r="YG13" s="12">
        <f>OR(YG12,IF(VATAgentMode,SUM($YE$5:$YE13)-SUM($YL$5:$YL13)&gt;=VATThreshold,SUM($YE$5:$YE13)&gt;=VATThreshold))</f>
        <v/>
      </c>
      <c r="YH13" s="9">
        <f>IF(YG13,IF(VATAgentMode,YE13-((YE13-YL13)-(YE13-YL13)/(1+VATRate)),YE13/(1+VATRate)),YE13)</f>
        <v/>
      </c>
      <c r="YI13" s="12">
        <f>YE13-YH13</f>
        <v/>
      </c>
      <c r="YJ13" s="12">
        <f>IF(YG13=0,0,IF(XB13=1,SUMPRODUCT(--(($XC$5:$XC13=$XC13-1)*($XB$5:$XB13&gt;=10)*($XB$5:$XB13&lt;=12)),$YI$5:$YI13),IF(XB13=4,SUMPRODUCT(--(($XC$5:$XC13=$XC13)*($XB$5:$XB13&gt;=1)*($XB$5:$XB13&lt;=3)),$YI$5:$YI13),IF(XB13=7,SUMPRODUCT(--(($XC$5:$XC13=$XC13)*($XB$5:$XB13&gt;=4)*($XB$5:$XB13&lt;=6)),$YI$5:$YI13),IF(XB13=10,SUMPRODUCT(--(($XC$5:$XC13=$XC13)*($XB$5:$XB13&gt;=7)*($XB$5:$XB13&lt;=9)),$YI$5:$YI13),0)))))</f>
        <v/>
      </c>
      <c r="YK13" s="12">
        <f>YK12+YI13-YJ13</f>
        <v/>
      </c>
      <c r="YL13" s="12">
        <f>IF(ProviderDelay&gt;=1,XS12*BlendedProvPayEss+XT12*BlendedProvPayPrem+XU12*BlendedProvPayElite+XV12*BlendedProvPayEss+XW12*BlendedProvPayPrem+XX12*BlendedProvPayElite,XS13*BlendedProvPayEss+XT13*BlendedProvPayPrem+XU13*BlendedProvPayElite+XV13*BlendedProvPayEss+XW13*BlendedProvPayPrem+XX13*BlendedProvPayElite)</f>
        <v/>
      </c>
      <c r="YM13" s="12">
        <f>YE13*PaymentFee</f>
        <v/>
      </c>
      <c r="YN13" s="12">
        <f>XY13*OpsAI</f>
        <v/>
      </c>
      <c r="YO13" s="12">
        <f>MonthlyFixed</f>
        <v/>
      </c>
      <c r="YP13" s="12">
        <f>XI13*ReferralReward</f>
        <v/>
      </c>
      <c r="YQ13" s="12">
        <f>XG13</f>
        <v/>
      </c>
      <c r="YR13" s="9">
        <f>YH13-YL13-YM13-YN13-YO13-YP13-YQ13</f>
        <v/>
      </c>
      <c r="YS13" s="9">
        <f>YS12+YE13-(YL13+YM13+YN13+YO13+YP13+YQ13+YJ13)</f>
        <v/>
      </c>
      <c r="YT13" s="12">
        <f>IF(XY13&gt;0,XZ13/XY13,0)</f>
        <v/>
      </c>
      <c r="YU13" s="11">
        <f>IF(XY12&gt;0,MAX(0,(XY12+XJ13-XY13)/XY12),0)</f>
        <v/>
      </c>
      <c r="YW13" s="12" t="n">
        <v>9</v>
      </c>
      <c r="YX13" s="12">
        <f>MOD(YW13-1+LaunchMonth-1,12)+1</f>
        <v/>
      </c>
      <c r="YY13" s="12">
        <f>INT((YW13-1+LaunchMonth-1)/12)+1</f>
        <v/>
      </c>
      <c r="YZ13" s="12">
        <f>VLOOKUP(YX13,SeasonTable,2,FALSE)</f>
        <v/>
      </c>
      <c r="ZA13" s="12">
        <f>(1+InflationRate)^INT((YW13-1)/12)</f>
        <v/>
      </c>
      <c r="ZB13" s="11">
        <f>MonthlyChurn*VLOOKUP(YX13,ChurnSeasonTable,4,FALSE)</f>
        <v/>
      </c>
      <c r="ZC13" s="12">
        <f>MIN(MAX(MktMin7_12,AAA12*MktPct7_12),MAX(0,AAO12-CashBuffer))</f>
        <v/>
      </c>
      <c r="ZD13" s="12">
        <f>IF(ZC13&gt;0,MAX(1,ROUND(ZC13/CAC*YZ13,0)),0)</f>
        <v/>
      </c>
      <c r="ZE13" s="12">
        <f>IF(ZD13&gt;0,ROUND(ZD13*ReferralMix/(1-ReferralMix),0),0)</f>
        <v/>
      </c>
      <c r="ZF13" s="12">
        <f>ZD13+ZE13</f>
        <v/>
      </c>
      <c r="ZG13" s="12">
        <f>ROUND(ZF13*(1-'Sens - Annual Mix'!$A$11),0)</f>
        <v/>
      </c>
      <c r="ZH13" s="12">
        <f>ZF13-ZG13</f>
        <v/>
      </c>
      <c r="ZI13" s="12">
        <f>ROUND(ZG13*EssentialMix,0)</f>
        <v/>
      </c>
      <c r="ZJ13" s="12">
        <f>ROUND(ZG13*PremiumMix,0)</f>
        <v/>
      </c>
      <c r="ZK13" s="12">
        <f>ZG13-ZI13-ZJ13</f>
        <v/>
      </c>
      <c r="ZL13" s="12">
        <f>ROUND(ZH13*EssentialMix,0)</f>
        <v/>
      </c>
      <c r="ZM13" s="12">
        <f>ROUND(ZH13*PremiumMix,0)</f>
        <v/>
      </c>
      <c r="ZN13" s="12">
        <f>ZH13-ZL13-ZM13</f>
        <v/>
      </c>
      <c r="ZO13" s="12">
        <f>ZI13+ZI12+ZI11+MAX(0,ZO12-ZI12-ZI11)*(1-ZB13)</f>
        <v/>
      </c>
      <c r="ZP13" s="12">
        <f>ZJ13+ZJ12+ZJ11+MAX(0,ZP12-ZJ12-ZJ11)*(1-ZB13)</f>
        <v/>
      </c>
      <c r="ZQ13" s="12">
        <f>ZK13+ZK12+ZK11+MAX(0,ZQ12-ZK12-ZK11)*(1-ZB13)</f>
        <v/>
      </c>
      <c r="ZR13" s="12">
        <f>SUM(ZL$5:ZL13)</f>
        <v/>
      </c>
      <c r="ZS13" s="12">
        <f>SUM(ZM$5:ZM13)</f>
        <v/>
      </c>
      <c r="ZT13" s="12">
        <f>SUM(ZN$5:ZN13)</f>
        <v/>
      </c>
      <c r="ZU13" s="12">
        <f>ZO13+ZP13+ZQ13+ZR13+ZS13+ZT13</f>
        <v/>
      </c>
      <c r="ZV13" s="9">
        <f>ZO13*BlendedPriceEssMonthly*ZA13+ZP13*BlendedPricePremMonthly*ZA13+ZQ13*BlendedPriceEliteMonthly*ZA13+ZR13*BlendedPriceEssAnnual*ZA13/12+ZS13*BlendedPricePremAnnual*ZA13/12+ZT13*BlendedPriceEliteAnnual*ZA13/12</f>
        <v/>
      </c>
      <c r="ZW13" s="9">
        <f>ZV13*12</f>
        <v/>
      </c>
      <c r="ZX13" s="12">
        <f>ZO13*BlendedPriceEssMonthly*ZA13+ZP13*BlendedPricePremMonthly*ZA13+ZQ13*BlendedPriceEliteMonthly*ZA13</f>
        <v/>
      </c>
      <c r="ZY13" s="12">
        <f>ZL13*BlendedPriceEssAnnual*ZA13+ZM13*BlendedPricePremAnnual*ZA13+ZN13*BlendedPriceEliteAnnual*ZA13</f>
        <v/>
      </c>
      <c r="ZZ13" s="12">
        <f>0+0+0</f>
        <v/>
      </c>
      <c r="AAA13" s="9">
        <f>ZX13+ZY13+ZZ13</f>
        <v/>
      </c>
      <c r="AAB13" s="12">
        <f>SUM(AAA$5:AAA13)</f>
        <v/>
      </c>
      <c r="AAC13" s="12">
        <f>OR(AAC12,IF(VATAgentMode,SUM($AAA$5:$AAA13)-SUM($AAH$5:$AAH13)&gt;=VATThreshold,SUM($AAA$5:$AAA13)&gt;=VATThreshold))</f>
        <v/>
      </c>
      <c r="AAD13" s="9">
        <f>IF(AAC13,IF(VATAgentMode,AAA13-((AAA13-AAH13)-(AAA13-AAH13)/(1+VATRate)),AAA13/(1+VATRate)),AAA13)</f>
        <v/>
      </c>
      <c r="AAE13" s="12">
        <f>AAA13-AAD13</f>
        <v/>
      </c>
      <c r="AAF13" s="12">
        <f>IF(AAC13=0,0,IF(YX13=1,SUMPRODUCT(--(($YY$5:$YY13=$YY13-1)*($YX$5:$YX13&gt;=10)*($YX$5:$YX13&lt;=12)),$AAE$5:$AAE13),IF(YX13=4,SUMPRODUCT(--(($YY$5:$YY13=$YY13)*($YX$5:$YX13&gt;=1)*($YX$5:$YX13&lt;=3)),$AAE$5:$AAE13),IF(YX13=7,SUMPRODUCT(--(($YY$5:$YY13=$YY13)*($YX$5:$YX13&gt;=4)*($YX$5:$YX13&lt;=6)),$AAE$5:$AAE13),IF(YX13=10,SUMPRODUCT(--(($YY$5:$YY13=$YY13)*($YX$5:$YX13&gt;=7)*($YX$5:$YX13&lt;=9)),$AAE$5:$AAE13),0)))))</f>
        <v/>
      </c>
      <c r="AAG13" s="12">
        <f>AAG12+AAE13-AAF13</f>
        <v/>
      </c>
      <c r="AAH13" s="12">
        <f>IF(ProviderDelay&gt;=1,ZO12*BlendedProvPayEss+ZP12*BlendedProvPayPrem+ZQ12*BlendedProvPayElite+ZR12*BlendedProvPayEss+ZS12*BlendedProvPayPrem+ZT12*BlendedProvPayElite,ZO13*BlendedProvPayEss+ZP13*BlendedProvPayPrem+ZQ13*BlendedProvPayElite+ZR13*BlendedProvPayEss+ZS13*BlendedProvPayPrem+ZT13*BlendedProvPayElite)</f>
        <v/>
      </c>
      <c r="AAI13" s="12">
        <f>AAA13*PaymentFee</f>
        <v/>
      </c>
      <c r="AAJ13" s="12">
        <f>ZU13*OpsAI</f>
        <v/>
      </c>
      <c r="AAK13" s="12">
        <f>MonthlyFixed</f>
        <v/>
      </c>
      <c r="AAL13" s="12">
        <f>ZE13*ReferralReward</f>
        <v/>
      </c>
      <c r="AAM13" s="12">
        <f>ZC13</f>
        <v/>
      </c>
      <c r="AAN13" s="9">
        <f>AAD13-AAH13-AAI13-AAJ13-AAK13-AAL13-AAM13</f>
        <v/>
      </c>
      <c r="AAO13" s="9">
        <f>AAO12+AAA13-(AAH13+AAI13+AAJ13+AAK13+AAL13+AAM13+AAF13)</f>
        <v/>
      </c>
      <c r="AAP13" s="12">
        <f>IF(ZU13&gt;0,ZV13/ZU13,0)</f>
        <v/>
      </c>
      <c r="AAQ13" s="11">
        <f>IF(ZU12&gt;0,MAX(0,(ZU12+ZF13-ZU13)/ZU12),0)</f>
        <v/>
      </c>
      <c r="AAS13" s="12" t="n">
        <v>9</v>
      </c>
      <c r="AAT13" s="12">
        <f>MOD(AAS13-1+LaunchMonth-1,12)+1</f>
        <v/>
      </c>
      <c r="AAU13" s="12">
        <f>INT((AAS13-1+LaunchMonth-1)/12)+1</f>
        <v/>
      </c>
      <c r="AAV13" s="12">
        <f>VLOOKUP(AAT13,SeasonTable,2,FALSE)</f>
        <v/>
      </c>
      <c r="AAW13" s="12">
        <f>(1+InflationRate)^INT((AAS13-1)/12)</f>
        <v/>
      </c>
      <c r="AAX13" s="11">
        <f>MonthlyChurn*VLOOKUP(AAT13,ChurnSeasonTable,4,FALSE)</f>
        <v/>
      </c>
      <c r="AAY13" s="12">
        <f>MIN(MAX(MktMin7_12,ABW12*MktPct7_12),MAX(0,ACK12-CashBuffer))</f>
        <v/>
      </c>
      <c r="AAZ13" s="12">
        <f>IF(AAY13&gt;0,MAX(1,ROUND(AAY13/CAC*AAV13,0)),0)</f>
        <v/>
      </c>
      <c r="ABA13" s="12">
        <f>IF(AAZ13&gt;0,ROUND(AAZ13*ReferralMix/(1-ReferralMix),0),0)</f>
        <v/>
      </c>
      <c r="ABB13" s="12">
        <f>AAZ13+ABA13</f>
        <v/>
      </c>
      <c r="ABC13" s="12">
        <f>ROUND(ABB13*(1-'Sens - Annual Mix'!$A$12),0)</f>
        <v/>
      </c>
      <c r="ABD13" s="12">
        <f>ABB13-ABC13</f>
        <v/>
      </c>
      <c r="ABE13" s="12">
        <f>ROUND(ABC13*EssentialMix,0)</f>
        <v/>
      </c>
      <c r="ABF13" s="12">
        <f>ROUND(ABC13*PremiumMix,0)</f>
        <v/>
      </c>
      <c r="ABG13" s="12">
        <f>ABC13-ABE13-ABF13</f>
        <v/>
      </c>
      <c r="ABH13" s="12">
        <f>ROUND(ABD13*EssentialMix,0)</f>
        <v/>
      </c>
      <c r="ABI13" s="12">
        <f>ROUND(ABD13*PremiumMix,0)</f>
        <v/>
      </c>
      <c r="ABJ13" s="12">
        <f>ABD13-ABH13-ABI13</f>
        <v/>
      </c>
      <c r="ABK13" s="12">
        <f>ABE13+ABE12+ABE11+MAX(0,ABK12-ABE12-ABE11)*(1-AAX13)</f>
        <v/>
      </c>
      <c r="ABL13" s="12">
        <f>ABF13+ABF12+ABF11+MAX(0,ABL12-ABF12-ABF11)*(1-AAX13)</f>
        <v/>
      </c>
      <c r="ABM13" s="12">
        <f>ABG13+ABG12+ABG11+MAX(0,ABM12-ABG12-ABG11)*(1-AAX13)</f>
        <v/>
      </c>
      <c r="ABN13" s="12">
        <f>SUM(ABH$5:ABH13)</f>
        <v/>
      </c>
      <c r="ABO13" s="12">
        <f>SUM(ABI$5:ABI13)</f>
        <v/>
      </c>
      <c r="ABP13" s="12">
        <f>SUM(ABJ$5:ABJ13)</f>
        <v/>
      </c>
      <c r="ABQ13" s="12">
        <f>ABK13+ABL13+ABM13+ABN13+ABO13+ABP13</f>
        <v/>
      </c>
      <c r="ABR13" s="9">
        <f>ABK13*BlendedPriceEssMonthly*AAW13+ABL13*BlendedPricePremMonthly*AAW13+ABM13*BlendedPriceEliteMonthly*AAW13+ABN13*BlendedPriceEssAnnual*AAW13/12+ABO13*BlendedPricePremAnnual*AAW13/12+ABP13*BlendedPriceEliteAnnual*AAW13/12</f>
        <v/>
      </c>
      <c r="ABS13" s="9">
        <f>ABR13*12</f>
        <v/>
      </c>
      <c r="ABT13" s="12">
        <f>ABK13*BlendedPriceEssMonthly*AAW13+ABL13*BlendedPricePremMonthly*AAW13+ABM13*BlendedPriceEliteMonthly*AAW13</f>
        <v/>
      </c>
      <c r="ABU13" s="12">
        <f>ABH13*BlendedPriceEssAnnual*AAW13+ABI13*BlendedPricePremAnnual*AAW13+ABJ13*BlendedPriceEliteAnnual*AAW13</f>
        <v/>
      </c>
      <c r="ABV13" s="12">
        <f>0+0+0</f>
        <v/>
      </c>
      <c r="ABW13" s="9">
        <f>ABT13+ABU13+ABV13</f>
        <v/>
      </c>
      <c r="ABX13" s="12">
        <f>SUM(ABW$5:ABW13)</f>
        <v/>
      </c>
      <c r="ABY13" s="12">
        <f>OR(ABY12,IF(VATAgentMode,SUM($ABW$5:$ABW13)-SUM($ACD$5:$ACD13)&gt;=VATThreshold,SUM($ABW$5:$ABW13)&gt;=VATThreshold))</f>
        <v/>
      </c>
      <c r="ABZ13" s="9">
        <f>IF(ABY13,IF(VATAgentMode,ABW13-((ABW13-ACD13)-(ABW13-ACD13)/(1+VATRate)),ABW13/(1+VATRate)),ABW13)</f>
        <v/>
      </c>
      <c r="ACA13" s="12">
        <f>ABW13-ABZ13</f>
        <v/>
      </c>
      <c r="ACB13" s="12">
        <f>IF(ABY13=0,0,IF(AAT13=1,SUMPRODUCT(--(($AAU$5:$AAU13=$AAU13-1)*($AAT$5:$AAT13&gt;=10)*($AAT$5:$AAT13&lt;=12)),$ACA$5:$ACA13),IF(AAT13=4,SUMPRODUCT(--(($AAU$5:$AAU13=$AAU13)*($AAT$5:$AAT13&gt;=1)*($AAT$5:$AAT13&lt;=3)),$ACA$5:$ACA13),IF(AAT13=7,SUMPRODUCT(--(($AAU$5:$AAU13=$AAU13)*($AAT$5:$AAT13&gt;=4)*($AAT$5:$AAT13&lt;=6)),$ACA$5:$ACA13),IF(AAT13=10,SUMPRODUCT(--(($AAU$5:$AAU13=$AAU13)*($AAT$5:$AAT13&gt;=7)*($AAT$5:$AAT13&lt;=9)),$ACA$5:$ACA13),0)))))</f>
        <v/>
      </c>
      <c r="ACC13" s="12">
        <f>ACC12+ACA13-ACB13</f>
        <v/>
      </c>
      <c r="ACD13" s="12">
        <f>IF(ProviderDelay&gt;=1,ABK12*BlendedProvPayEss+ABL12*BlendedProvPayPrem+ABM12*BlendedProvPayElite+ABN12*BlendedProvPayEss+ABO12*BlendedProvPayPrem+ABP12*BlendedProvPayElite,ABK13*BlendedProvPayEss+ABL13*BlendedProvPayPrem+ABM13*BlendedProvPayElite+ABN13*BlendedProvPayEss+ABO13*BlendedProvPayPrem+ABP13*BlendedProvPayElite)</f>
        <v/>
      </c>
      <c r="ACE13" s="12">
        <f>ABW13*PaymentFee</f>
        <v/>
      </c>
      <c r="ACF13" s="12">
        <f>ABQ13*OpsAI</f>
        <v/>
      </c>
      <c r="ACG13" s="12">
        <f>MonthlyFixed</f>
        <v/>
      </c>
      <c r="ACH13" s="12">
        <f>ABA13*ReferralReward</f>
        <v/>
      </c>
      <c r="ACI13" s="12">
        <f>AAY13</f>
        <v/>
      </c>
      <c r="ACJ13" s="9">
        <f>ABZ13-ACD13-ACE13-ACF13-ACG13-ACH13-ACI13</f>
        <v/>
      </c>
      <c r="ACK13" s="9">
        <f>ACK12+ABW13-(ACD13+ACE13+ACF13+ACG13+ACH13+ACI13+ACB13)</f>
        <v/>
      </c>
      <c r="ACL13" s="12">
        <f>IF(ABQ13&gt;0,ABR13/ABQ13,0)</f>
        <v/>
      </c>
      <c r="ACM13" s="11">
        <f>IF(ABQ12&gt;0,MAX(0,(ABQ12+ABB13-ABQ13)/ABQ12),0)</f>
        <v/>
      </c>
      <c r="ACO13" s="12" t="n">
        <v>9</v>
      </c>
      <c r="ACP13" s="12">
        <f>MOD(ACO13-1+LaunchMonth-1,12)+1</f>
        <v/>
      </c>
      <c r="ACQ13" s="12">
        <f>INT((ACO13-1+LaunchMonth-1)/12)+1</f>
        <v/>
      </c>
      <c r="ACR13" s="12">
        <f>VLOOKUP(ACP13,SeasonTable,2,FALSE)</f>
        <v/>
      </c>
      <c r="ACS13" s="12">
        <f>(1+InflationRate)^INT((ACO13-1)/12)</f>
        <v/>
      </c>
      <c r="ACT13" s="11">
        <f>MonthlyChurn*VLOOKUP(ACP13,ChurnSeasonTable,4,FALSE)</f>
        <v/>
      </c>
      <c r="ACU13" s="12">
        <f>MIN(MAX(MktMin7_12,ADS12*MktPct7_12),MAX(0,AEG12-CashBuffer))</f>
        <v/>
      </c>
      <c r="ACV13" s="12">
        <f>IF(ACU13&gt;0,MAX(1,ROUND(ACU13/CAC*ACR13,0)),0)</f>
        <v/>
      </c>
      <c r="ACW13" s="12">
        <f>IF(ACV13&gt;0,ROUND(ACV13*ReferralMix/(1-ReferralMix),0),0)</f>
        <v/>
      </c>
      <c r="ACX13" s="12">
        <f>ACV13+ACW13</f>
        <v/>
      </c>
      <c r="ACY13" s="12">
        <f>ROUND(ACX13*(1-'Sens - Annual Mix'!$A$13),0)</f>
        <v/>
      </c>
      <c r="ACZ13" s="12">
        <f>ACX13-ACY13</f>
        <v/>
      </c>
      <c r="ADA13" s="12">
        <f>ROUND(ACY13*EssentialMix,0)</f>
        <v/>
      </c>
      <c r="ADB13" s="12">
        <f>ROUND(ACY13*PremiumMix,0)</f>
        <v/>
      </c>
      <c r="ADC13" s="12">
        <f>ACY13-ADA13-ADB13</f>
        <v/>
      </c>
      <c r="ADD13" s="12">
        <f>ROUND(ACZ13*EssentialMix,0)</f>
        <v/>
      </c>
      <c r="ADE13" s="12">
        <f>ROUND(ACZ13*PremiumMix,0)</f>
        <v/>
      </c>
      <c r="ADF13" s="12">
        <f>ACZ13-ADD13-ADE13</f>
        <v/>
      </c>
      <c r="ADG13" s="12">
        <f>ADA13+ADA12+ADA11+MAX(0,ADG12-ADA12-ADA11)*(1-ACT13)</f>
        <v/>
      </c>
      <c r="ADH13" s="12">
        <f>ADB13+ADB12+ADB11+MAX(0,ADH12-ADB12-ADB11)*(1-ACT13)</f>
        <v/>
      </c>
      <c r="ADI13" s="12">
        <f>ADC13+ADC12+ADC11+MAX(0,ADI12-ADC12-ADC11)*(1-ACT13)</f>
        <v/>
      </c>
      <c r="ADJ13" s="12">
        <f>SUM(ADD$5:ADD13)</f>
        <v/>
      </c>
      <c r="ADK13" s="12">
        <f>SUM(ADE$5:ADE13)</f>
        <v/>
      </c>
      <c r="ADL13" s="12">
        <f>SUM(ADF$5:ADF13)</f>
        <v/>
      </c>
      <c r="ADM13" s="12">
        <f>ADG13+ADH13+ADI13+ADJ13+ADK13+ADL13</f>
        <v/>
      </c>
      <c r="ADN13" s="9">
        <f>ADG13*BlendedPriceEssMonthly*ACS13+ADH13*BlendedPricePremMonthly*ACS13+ADI13*BlendedPriceEliteMonthly*ACS13+ADJ13*BlendedPriceEssAnnual*ACS13/12+ADK13*BlendedPricePremAnnual*ACS13/12+ADL13*BlendedPriceEliteAnnual*ACS13/12</f>
        <v/>
      </c>
      <c r="ADO13" s="9">
        <f>ADN13*12</f>
        <v/>
      </c>
      <c r="ADP13" s="12">
        <f>ADG13*BlendedPriceEssMonthly*ACS13+ADH13*BlendedPricePremMonthly*ACS13+ADI13*BlendedPriceEliteMonthly*ACS13</f>
        <v/>
      </c>
      <c r="ADQ13" s="12">
        <f>ADD13*BlendedPriceEssAnnual*ACS13+ADE13*BlendedPricePremAnnual*ACS13+ADF13*BlendedPriceEliteAnnual*ACS13</f>
        <v/>
      </c>
      <c r="ADR13" s="12">
        <f>0+0+0</f>
        <v/>
      </c>
      <c r="ADS13" s="9">
        <f>ADP13+ADQ13+ADR13</f>
        <v/>
      </c>
      <c r="ADT13" s="12">
        <f>SUM(ADS$5:ADS13)</f>
        <v/>
      </c>
      <c r="ADU13" s="12">
        <f>OR(ADU12,IF(VATAgentMode,SUM($ADS$5:$ADS13)-SUM($ADZ$5:$ADZ13)&gt;=VATThreshold,SUM($ADS$5:$ADS13)&gt;=VATThreshold))</f>
        <v/>
      </c>
      <c r="ADV13" s="9">
        <f>IF(ADU13,IF(VATAgentMode,ADS13-((ADS13-ADZ13)-(ADS13-ADZ13)/(1+VATRate)),ADS13/(1+VATRate)),ADS13)</f>
        <v/>
      </c>
      <c r="ADW13" s="12">
        <f>ADS13-ADV13</f>
        <v/>
      </c>
      <c r="ADX13" s="12">
        <f>IF(ADU13=0,0,IF(ACP13=1,SUMPRODUCT(--(($ACQ$5:$ACQ13=$ACQ13-1)*($ACP$5:$ACP13&gt;=10)*($ACP$5:$ACP13&lt;=12)),$ADW$5:$ADW13),IF(ACP13=4,SUMPRODUCT(--(($ACQ$5:$ACQ13=$ACQ13)*($ACP$5:$ACP13&gt;=1)*($ACP$5:$ACP13&lt;=3)),$ADW$5:$ADW13),IF(ACP13=7,SUMPRODUCT(--(($ACQ$5:$ACQ13=$ACQ13)*($ACP$5:$ACP13&gt;=4)*($ACP$5:$ACP13&lt;=6)),$ADW$5:$ADW13),IF(ACP13=10,SUMPRODUCT(--(($ACQ$5:$ACQ13=$ACQ13)*($ACP$5:$ACP13&gt;=7)*($ACP$5:$ACP13&lt;=9)),$ADW$5:$ADW13),0)))))</f>
        <v/>
      </c>
      <c r="ADY13" s="12">
        <f>ADY12+ADW13-ADX13</f>
        <v/>
      </c>
      <c r="ADZ13" s="12">
        <f>IF(ProviderDelay&gt;=1,ADG12*BlendedProvPayEss+ADH12*BlendedProvPayPrem+ADI12*BlendedProvPayElite+ADJ12*BlendedProvPayEss+ADK12*BlendedProvPayPrem+ADL12*BlendedProvPayElite,ADG13*BlendedProvPayEss+ADH13*BlendedProvPayPrem+ADI13*BlendedProvPayElite+ADJ13*BlendedProvPayEss+ADK13*BlendedProvPayPrem+ADL13*BlendedProvPayElite)</f>
        <v/>
      </c>
      <c r="AEA13" s="12">
        <f>ADS13*PaymentFee</f>
        <v/>
      </c>
      <c r="AEB13" s="12">
        <f>ADM13*OpsAI</f>
        <v/>
      </c>
      <c r="AEC13" s="12">
        <f>MonthlyFixed</f>
        <v/>
      </c>
      <c r="AED13" s="12">
        <f>ACW13*ReferralReward</f>
        <v/>
      </c>
      <c r="AEE13" s="12">
        <f>ACU13</f>
        <v/>
      </c>
      <c r="AEF13" s="9">
        <f>ADV13-ADZ13-AEA13-AEB13-AEC13-AED13-AEE13</f>
        <v/>
      </c>
      <c r="AEG13" s="9">
        <f>AEG12+ADS13-(ADZ13+AEA13+AEB13+AEC13+AED13+AEE13+ADX13)</f>
        <v/>
      </c>
      <c r="AEH13" s="12">
        <f>IF(ADM13&gt;0,ADN13/ADM13,0)</f>
        <v/>
      </c>
      <c r="AEI13" s="11">
        <f>IF(ADM12&gt;0,MAX(0,(ADM12+ACX13-ADM13)/ADM12),0)</f>
        <v/>
      </c>
      <c r="AEK13" s="12" t="n">
        <v>9</v>
      </c>
      <c r="AEL13" s="12">
        <f>MOD(AEK13-1+LaunchMonth-1,12)+1</f>
        <v/>
      </c>
      <c r="AEM13" s="12">
        <f>INT((AEK13-1+LaunchMonth-1)/12)+1</f>
        <v/>
      </c>
      <c r="AEN13" s="12">
        <f>VLOOKUP(AEL13,SeasonTable,2,FALSE)</f>
        <v/>
      </c>
      <c r="AEO13" s="12">
        <f>(1+InflationRate)^INT((AEK13-1)/12)</f>
        <v/>
      </c>
      <c r="AEP13" s="11">
        <f>MonthlyChurn*VLOOKUP(AEL13,ChurnSeasonTable,4,FALSE)</f>
        <v/>
      </c>
      <c r="AEQ13" s="12">
        <f>MIN(MAX(MktMin7_12,AFO12*MktPct7_12),MAX(0,AGC12-CashBuffer))</f>
        <v/>
      </c>
      <c r="AER13" s="12">
        <f>IF(AEQ13&gt;0,MAX(1,ROUND(AEQ13/CAC*AEN13,0)),0)</f>
        <v/>
      </c>
      <c r="AES13" s="12">
        <f>IF(AER13&gt;0,ROUND(AER13*ReferralMix/(1-ReferralMix),0),0)</f>
        <v/>
      </c>
      <c r="AET13" s="12">
        <f>AER13+AES13</f>
        <v/>
      </c>
      <c r="AEU13" s="12">
        <f>ROUND(AET13*(1-'Sens - Annual Mix'!$A$14),0)</f>
        <v/>
      </c>
      <c r="AEV13" s="12">
        <f>AET13-AEU13</f>
        <v/>
      </c>
      <c r="AEW13" s="12">
        <f>ROUND(AEU13*EssentialMix,0)</f>
        <v/>
      </c>
      <c r="AEX13" s="12">
        <f>ROUND(AEU13*PremiumMix,0)</f>
        <v/>
      </c>
      <c r="AEY13" s="12">
        <f>AEU13-AEW13-AEX13</f>
        <v/>
      </c>
      <c r="AEZ13" s="12">
        <f>ROUND(AEV13*EssentialMix,0)</f>
        <v/>
      </c>
      <c r="AFA13" s="12">
        <f>ROUND(AEV13*PremiumMix,0)</f>
        <v/>
      </c>
      <c r="AFB13" s="12">
        <f>AEV13-AEZ13-AFA13</f>
        <v/>
      </c>
      <c r="AFC13" s="12">
        <f>AEW13+AEW12+AEW11+MAX(0,AFC12-AEW12-AEW11)*(1-AEP13)</f>
        <v/>
      </c>
      <c r="AFD13" s="12">
        <f>AEX13+AEX12+AEX11+MAX(0,AFD12-AEX12-AEX11)*(1-AEP13)</f>
        <v/>
      </c>
      <c r="AFE13" s="12">
        <f>AEY13+AEY12+AEY11+MAX(0,AFE12-AEY12-AEY11)*(1-AEP13)</f>
        <v/>
      </c>
      <c r="AFF13" s="12">
        <f>SUM(AEZ$5:AEZ13)</f>
        <v/>
      </c>
      <c r="AFG13" s="12">
        <f>SUM(AFA$5:AFA13)</f>
        <v/>
      </c>
      <c r="AFH13" s="12">
        <f>SUM(AFB$5:AFB13)</f>
        <v/>
      </c>
      <c r="AFI13" s="12">
        <f>AFC13+AFD13+AFE13+AFF13+AFG13+AFH13</f>
        <v/>
      </c>
      <c r="AFJ13" s="9">
        <f>AFC13*BlendedPriceEssMonthly*AEO13+AFD13*BlendedPricePremMonthly*AEO13+AFE13*BlendedPriceEliteMonthly*AEO13+AFF13*BlendedPriceEssAnnual*AEO13/12+AFG13*BlendedPricePremAnnual*AEO13/12+AFH13*BlendedPriceEliteAnnual*AEO13/12</f>
        <v/>
      </c>
      <c r="AFK13" s="9">
        <f>AFJ13*12</f>
        <v/>
      </c>
      <c r="AFL13" s="12">
        <f>AFC13*BlendedPriceEssMonthly*AEO13+AFD13*BlendedPricePremMonthly*AEO13+AFE13*BlendedPriceEliteMonthly*AEO13</f>
        <v/>
      </c>
      <c r="AFM13" s="12">
        <f>AEZ13*BlendedPriceEssAnnual*AEO13+AFA13*BlendedPricePremAnnual*AEO13+AFB13*BlendedPriceEliteAnnual*AEO13</f>
        <v/>
      </c>
      <c r="AFN13" s="12">
        <f>0+0+0</f>
        <v/>
      </c>
      <c r="AFO13" s="9">
        <f>AFL13+AFM13+AFN13</f>
        <v/>
      </c>
      <c r="AFP13" s="12">
        <f>SUM(AFO$5:AFO13)</f>
        <v/>
      </c>
      <c r="AFQ13" s="12">
        <f>OR(AFQ12,IF(VATAgentMode,SUM($AFO$5:$AFO13)-SUM($AFV$5:$AFV13)&gt;=VATThreshold,SUM($AFO$5:$AFO13)&gt;=VATThreshold))</f>
        <v/>
      </c>
      <c r="AFR13" s="9">
        <f>IF(AFQ13,IF(VATAgentMode,AFO13-((AFO13-AFV13)-(AFO13-AFV13)/(1+VATRate)),AFO13/(1+VATRate)),AFO13)</f>
        <v/>
      </c>
      <c r="AFS13" s="12">
        <f>AFO13-AFR13</f>
        <v/>
      </c>
      <c r="AFT13" s="12">
        <f>IF(AFQ13=0,0,IF(AEL13=1,SUMPRODUCT(--(($AEM$5:$AEM13=$AEM13-1)*($AEL$5:$AEL13&gt;=10)*($AEL$5:$AEL13&lt;=12)),$AFS$5:$AFS13),IF(AEL13=4,SUMPRODUCT(--(($AEM$5:$AEM13=$AEM13)*($AEL$5:$AEL13&gt;=1)*($AEL$5:$AEL13&lt;=3)),$AFS$5:$AFS13),IF(AEL13=7,SUMPRODUCT(--(($AEM$5:$AEM13=$AEM13)*($AEL$5:$AEL13&gt;=4)*($AEL$5:$AEL13&lt;=6)),$AFS$5:$AFS13),IF(AEL13=10,SUMPRODUCT(--(($AEM$5:$AEM13=$AEM13)*($AEL$5:$AEL13&gt;=7)*($AEL$5:$AEL13&lt;=9)),$AFS$5:$AFS13),0)))))</f>
        <v/>
      </c>
      <c r="AFU13" s="12">
        <f>AFU12+AFS13-AFT13</f>
        <v/>
      </c>
      <c r="AFV13" s="12">
        <f>IF(ProviderDelay&gt;=1,AFC12*BlendedProvPayEss+AFD12*BlendedProvPayPrem+AFE12*BlendedProvPayElite+AFF12*BlendedProvPayEss+AFG12*BlendedProvPayPrem+AFH12*BlendedProvPayElite,AFC13*BlendedProvPayEss+AFD13*BlendedProvPayPrem+AFE13*BlendedProvPayElite+AFF13*BlendedProvPayEss+AFG13*BlendedProvPayPrem+AFH13*BlendedProvPayElite)</f>
        <v/>
      </c>
      <c r="AFW13" s="12">
        <f>AFO13*PaymentFee</f>
        <v/>
      </c>
      <c r="AFX13" s="12">
        <f>AFI13*OpsAI</f>
        <v/>
      </c>
      <c r="AFY13" s="12">
        <f>MonthlyFixed</f>
        <v/>
      </c>
      <c r="AFZ13" s="12">
        <f>AES13*ReferralReward</f>
        <v/>
      </c>
      <c r="AGA13" s="12">
        <f>AEQ13</f>
        <v/>
      </c>
      <c r="AGB13" s="9">
        <f>AFR13-AFV13-AFW13-AFX13-AFY13-AFZ13-AGA13</f>
        <v/>
      </c>
      <c r="AGC13" s="9">
        <f>AGC12+AFO13-(AFV13+AFW13+AFX13+AFY13+AFZ13+AGA13+AFT13)</f>
        <v/>
      </c>
      <c r="AGD13" s="12">
        <f>IF(AFI13&gt;0,AFJ13/AFI13,0)</f>
        <v/>
      </c>
      <c r="AGE13" s="11">
        <f>IF(AFI12&gt;0,MAX(0,(AFI12+AET13-AFI13)/AFI12),0)</f>
        <v/>
      </c>
      <c r="AGG13" s="12" t="n">
        <v>9</v>
      </c>
      <c r="AGH13" s="12">
        <f>MOD(AGG13-1+LaunchMonth-1,12)+1</f>
        <v/>
      </c>
      <c r="AGI13" s="12">
        <f>INT((AGG13-1+LaunchMonth-1)/12)+1</f>
        <v/>
      </c>
      <c r="AGJ13" s="12">
        <f>VLOOKUP(AGH13,SeasonTable,2,FALSE)</f>
        <v/>
      </c>
      <c r="AGK13" s="12">
        <f>(1+InflationRate)^INT((AGG13-1)/12)</f>
        <v/>
      </c>
      <c r="AGL13" s="11">
        <f>MonthlyChurn*VLOOKUP(AGH13,ChurnSeasonTable,4,FALSE)</f>
        <v/>
      </c>
      <c r="AGM13" s="12">
        <f>MIN(MAX(MktMin7_12,AHK12*MktPct7_12),MAX(0,AHY12-CashBuffer))</f>
        <v/>
      </c>
      <c r="AGN13" s="12">
        <f>IF(AGM13&gt;0,MAX(1,ROUND(AGM13/CAC*AGJ13,0)),0)</f>
        <v/>
      </c>
      <c r="AGO13" s="12">
        <f>IF(AGN13&gt;0,ROUND(AGN13*ReferralMix/(1-ReferralMix),0),0)</f>
        <v/>
      </c>
      <c r="AGP13" s="12">
        <f>AGN13+AGO13</f>
        <v/>
      </c>
      <c r="AGQ13" s="12">
        <f>ROUND(AGP13*(1-'Sens - Annual Mix'!$A$15),0)</f>
        <v/>
      </c>
      <c r="AGR13" s="12">
        <f>AGP13-AGQ13</f>
        <v/>
      </c>
      <c r="AGS13" s="12">
        <f>ROUND(AGQ13*EssentialMix,0)</f>
        <v/>
      </c>
      <c r="AGT13" s="12">
        <f>ROUND(AGQ13*PremiumMix,0)</f>
        <v/>
      </c>
      <c r="AGU13" s="12">
        <f>AGQ13-AGS13-AGT13</f>
        <v/>
      </c>
      <c r="AGV13" s="12">
        <f>ROUND(AGR13*EssentialMix,0)</f>
        <v/>
      </c>
      <c r="AGW13" s="12">
        <f>ROUND(AGR13*PremiumMix,0)</f>
        <v/>
      </c>
      <c r="AGX13" s="12">
        <f>AGR13-AGV13-AGW13</f>
        <v/>
      </c>
      <c r="AGY13" s="12">
        <f>AGS13+AGS12+AGS11+MAX(0,AGY12-AGS12-AGS11)*(1-AGL13)</f>
        <v/>
      </c>
      <c r="AGZ13" s="12">
        <f>AGT13+AGT12+AGT11+MAX(0,AGZ12-AGT12-AGT11)*(1-AGL13)</f>
        <v/>
      </c>
      <c r="AHA13" s="12">
        <f>AGU13+AGU12+AGU11+MAX(0,AHA12-AGU12-AGU11)*(1-AGL13)</f>
        <v/>
      </c>
      <c r="AHB13" s="12">
        <f>SUM(AGV$5:AGV13)</f>
        <v/>
      </c>
      <c r="AHC13" s="12">
        <f>SUM(AGW$5:AGW13)</f>
        <v/>
      </c>
      <c r="AHD13" s="12">
        <f>SUM(AGX$5:AGX13)</f>
        <v/>
      </c>
      <c r="AHE13" s="12">
        <f>AGY13+AGZ13+AHA13+AHB13+AHC13+AHD13</f>
        <v/>
      </c>
      <c r="AHF13" s="9">
        <f>AGY13*BlendedPriceEssMonthly*AGK13+AGZ13*BlendedPricePremMonthly*AGK13+AHA13*BlendedPriceEliteMonthly*AGK13+AHB13*BlendedPriceEssAnnual*AGK13/12+AHC13*BlendedPricePremAnnual*AGK13/12+AHD13*BlendedPriceEliteAnnual*AGK13/12</f>
        <v/>
      </c>
      <c r="AHG13" s="9">
        <f>AHF13*12</f>
        <v/>
      </c>
      <c r="AHH13" s="12">
        <f>AGY13*BlendedPriceEssMonthly*AGK13+AGZ13*BlendedPricePremMonthly*AGK13+AHA13*BlendedPriceEliteMonthly*AGK13</f>
        <v/>
      </c>
      <c r="AHI13" s="12">
        <f>AGV13*BlendedPriceEssAnnual*AGK13+AGW13*BlendedPricePremAnnual*AGK13+AGX13*BlendedPriceEliteAnnual*AGK13</f>
        <v/>
      </c>
      <c r="AHJ13" s="12">
        <f>0+0+0</f>
        <v/>
      </c>
      <c r="AHK13" s="9">
        <f>AHH13+AHI13+AHJ13</f>
        <v/>
      </c>
      <c r="AHL13" s="12">
        <f>SUM(AHK$5:AHK13)</f>
        <v/>
      </c>
      <c r="AHM13" s="12">
        <f>OR(AHM12,IF(VATAgentMode,SUM($AHK$5:$AHK13)-SUM($AHR$5:$AHR13)&gt;=VATThreshold,SUM($AHK$5:$AHK13)&gt;=VATThreshold))</f>
        <v/>
      </c>
      <c r="AHN13" s="9">
        <f>IF(AHM13,IF(VATAgentMode,AHK13-((AHK13-AHR13)-(AHK13-AHR13)/(1+VATRate)),AHK13/(1+VATRate)),AHK13)</f>
        <v/>
      </c>
      <c r="AHO13" s="12">
        <f>AHK13-AHN13</f>
        <v/>
      </c>
      <c r="AHP13" s="12">
        <f>IF(AHM13=0,0,IF(AGH13=1,SUMPRODUCT(--(($AGI$5:$AGI13=$AGI13-1)*($AGH$5:$AGH13&gt;=10)*($AGH$5:$AGH13&lt;=12)),$AHO$5:$AHO13),IF(AGH13=4,SUMPRODUCT(--(($AGI$5:$AGI13=$AGI13)*($AGH$5:$AGH13&gt;=1)*($AGH$5:$AGH13&lt;=3)),$AHO$5:$AHO13),IF(AGH13=7,SUMPRODUCT(--(($AGI$5:$AGI13=$AGI13)*($AGH$5:$AGH13&gt;=4)*($AGH$5:$AGH13&lt;=6)),$AHO$5:$AHO13),IF(AGH13=10,SUMPRODUCT(--(($AGI$5:$AGI13=$AGI13)*($AGH$5:$AGH13&gt;=7)*($AGH$5:$AGH13&lt;=9)),$AHO$5:$AHO13),0)))))</f>
        <v/>
      </c>
      <c r="AHQ13" s="12">
        <f>AHQ12+AHO13-AHP13</f>
        <v/>
      </c>
      <c r="AHR13" s="12">
        <f>IF(ProviderDelay&gt;=1,AGY12*BlendedProvPayEss+AGZ12*BlendedProvPayPrem+AHA12*BlendedProvPayElite+AHB12*BlendedProvPayEss+AHC12*BlendedProvPayPrem+AHD12*BlendedProvPayElite,AGY13*BlendedProvPayEss+AGZ13*BlendedProvPayPrem+AHA13*BlendedProvPayElite+AHB13*BlendedProvPayEss+AHC13*BlendedProvPayPrem+AHD13*BlendedProvPayElite)</f>
        <v/>
      </c>
      <c r="AHS13" s="12">
        <f>AHK13*PaymentFee</f>
        <v/>
      </c>
      <c r="AHT13" s="12">
        <f>AHE13*OpsAI</f>
        <v/>
      </c>
      <c r="AHU13" s="12">
        <f>MonthlyFixed</f>
        <v/>
      </c>
      <c r="AHV13" s="12">
        <f>AGO13*ReferralReward</f>
        <v/>
      </c>
      <c r="AHW13" s="12">
        <f>AGM13</f>
        <v/>
      </c>
      <c r="AHX13" s="9">
        <f>AHN13-AHR13-AHS13-AHT13-AHU13-AHV13-AHW13</f>
        <v/>
      </c>
      <c r="AHY13" s="9">
        <f>AHY12+AHK13-(AHR13+AHS13+AHT13+AHU13+AHV13+AHW13+AHP13)</f>
        <v/>
      </c>
      <c r="AHZ13" s="12">
        <f>IF(AHE13&gt;0,AHF13/AHE13,0)</f>
        <v/>
      </c>
      <c r="AIA13" s="11">
        <f>IF(AHE12&gt;0,MAX(0,(AHE12+AGP13-AHE13)/AHE12),0)</f>
        <v/>
      </c>
      <c r="AIC13" s="12" t="n">
        <v>9</v>
      </c>
      <c r="AID13" s="12">
        <f>MOD(AIC13-1+LaunchMonth-1,12)+1</f>
        <v/>
      </c>
      <c r="AIE13" s="12">
        <f>INT((AIC13-1+LaunchMonth-1)/12)+1</f>
        <v/>
      </c>
      <c r="AIF13" s="12">
        <f>VLOOKUP(AID13,SeasonTable,2,FALSE)</f>
        <v/>
      </c>
      <c r="AIG13" s="12">
        <f>(1+InflationRate)^INT((AIC13-1)/12)</f>
        <v/>
      </c>
      <c r="AIH13" s="11">
        <f>MonthlyChurn*VLOOKUP(AID13,ChurnSeasonTable,4,FALSE)</f>
        <v/>
      </c>
      <c r="AII13" s="12">
        <f>MIN(MAX(MktMin7_12,AJG12*MktPct7_12),MAX(0,AJU12-CashBuffer))</f>
        <v/>
      </c>
      <c r="AIJ13" s="12">
        <f>IF(AII13&gt;0,MAX(1,ROUND(AII13/'Sens - CAC &amp; Marketing'!$A$9*AIF13,0)),0)</f>
        <v/>
      </c>
      <c r="AIK13" s="12">
        <f>IF(AIJ13&gt;0,ROUND(AIJ13*ReferralMix/(1-ReferralMix),0),0)</f>
        <v/>
      </c>
      <c r="AIL13" s="12">
        <f>AIJ13+AIK13</f>
        <v/>
      </c>
      <c r="AIM13" s="12">
        <f>ROUND(AIL13*(1-AnnualMix),0)</f>
        <v/>
      </c>
      <c r="AIN13" s="12">
        <f>AIL13-AIM13</f>
        <v/>
      </c>
      <c r="AIO13" s="12">
        <f>ROUND(AIM13*EssentialMix,0)</f>
        <v/>
      </c>
      <c r="AIP13" s="12">
        <f>ROUND(AIM13*PremiumMix,0)</f>
        <v/>
      </c>
      <c r="AIQ13" s="12">
        <f>AIM13-AIO13-AIP13</f>
        <v/>
      </c>
      <c r="AIR13" s="12">
        <f>ROUND(AIN13*EssentialMix,0)</f>
        <v/>
      </c>
      <c r="AIS13" s="12">
        <f>ROUND(AIN13*PremiumMix,0)</f>
        <v/>
      </c>
      <c r="AIT13" s="12">
        <f>AIN13-AIR13-AIS13</f>
        <v/>
      </c>
      <c r="AIU13" s="12">
        <f>AIO13+AIO12+AIO11+MAX(0,AIU12-AIO12-AIO11)*(1-AIH13)</f>
        <v/>
      </c>
      <c r="AIV13" s="12">
        <f>AIP13+AIP12+AIP11+MAX(0,AIV12-AIP12-AIP11)*(1-AIH13)</f>
        <v/>
      </c>
      <c r="AIW13" s="12">
        <f>AIQ13+AIQ12+AIQ11+MAX(0,AIW12-AIQ12-AIQ11)*(1-AIH13)</f>
        <v/>
      </c>
      <c r="AIX13" s="12">
        <f>SUM(AIR$5:AIR13)</f>
        <v/>
      </c>
      <c r="AIY13" s="12">
        <f>SUM(AIS$5:AIS13)</f>
        <v/>
      </c>
      <c r="AIZ13" s="12">
        <f>SUM(AIT$5:AIT13)</f>
        <v/>
      </c>
      <c r="AJA13" s="12">
        <f>AIU13+AIV13+AIW13+AIX13+AIY13+AIZ13</f>
        <v/>
      </c>
      <c r="AJB13" s="9">
        <f>AIU13*BlendedPriceEssMonthly*AIG13+AIV13*BlendedPricePremMonthly*AIG13+AIW13*BlendedPriceEliteMonthly*AIG13+AIX13*BlendedPriceEssAnnual*AIG13/12+AIY13*BlendedPricePremAnnual*AIG13/12+AIZ13*BlendedPriceEliteAnnual*AIG13/12</f>
        <v/>
      </c>
      <c r="AJC13" s="9">
        <f>AJB13*12</f>
        <v/>
      </c>
      <c r="AJD13" s="12">
        <f>AIU13*BlendedPriceEssMonthly*AIG13+AIV13*BlendedPricePremMonthly*AIG13+AIW13*BlendedPriceEliteMonthly*AIG13</f>
        <v/>
      </c>
      <c r="AJE13" s="12">
        <f>AIR13*BlendedPriceEssAnnual*AIG13+AIS13*BlendedPricePremAnnual*AIG13+AIT13*BlendedPriceEliteAnnual*AIG13</f>
        <v/>
      </c>
      <c r="AJF13" s="12">
        <f>0+0+0</f>
        <v/>
      </c>
      <c r="AJG13" s="9">
        <f>AJD13+AJE13+AJF13</f>
        <v/>
      </c>
      <c r="AJH13" s="12">
        <f>SUM(AJG$5:AJG13)</f>
        <v/>
      </c>
      <c r="AJI13" s="12">
        <f>OR(AJI12,IF(VATAgentMode,SUM($AJG$5:$AJG13)-SUM($AJN$5:$AJN13)&gt;=VATThreshold,SUM($AJG$5:$AJG13)&gt;=VATThreshold))</f>
        <v/>
      </c>
      <c r="AJJ13" s="9">
        <f>IF(AJI13,IF(VATAgentMode,AJG13-((AJG13-AJN13)-(AJG13-AJN13)/(1+VATRate)),AJG13/(1+VATRate)),AJG13)</f>
        <v/>
      </c>
      <c r="AJK13" s="12">
        <f>AJG13-AJJ13</f>
        <v/>
      </c>
      <c r="AJL13" s="12">
        <f>IF(AJI13=0,0,IF(AID13=1,SUMPRODUCT(--(($AIE$5:$AIE13=$AIE13-1)*($AID$5:$AID13&gt;=10)*($AID$5:$AID13&lt;=12)),$AJK$5:$AJK13),IF(AID13=4,SUMPRODUCT(--(($AIE$5:$AIE13=$AIE13)*($AID$5:$AID13&gt;=1)*($AID$5:$AID13&lt;=3)),$AJK$5:$AJK13),IF(AID13=7,SUMPRODUCT(--(($AIE$5:$AIE13=$AIE13)*($AID$5:$AID13&gt;=4)*($AID$5:$AID13&lt;=6)),$AJK$5:$AJK13),IF(AID13=10,SUMPRODUCT(--(($AIE$5:$AIE13=$AIE13)*($AID$5:$AID13&gt;=7)*($AID$5:$AID13&lt;=9)),$AJK$5:$AJK13),0)))))</f>
        <v/>
      </c>
      <c r="AJM13" s="12">
        <f>AJM12+AJK13-AJL13</f>
        <v/>
      </c>
      <c r="AJN13" s="12">
        <f>IF(ProviderDelay&gt;=1,AIU12*BlendedProvPayEss+AIV12*BlendedProvPayPrem+AIW12*BlendedProvPayElite+AIX12*BlendedProvPayEss+AIY12*BlendedProvPayPrem+AIZ12*BlendedProvPayElite,AIU13*BlendedProvPayEss+AIV13*BlendedProvPayPrem+AIW13*BlendedProvPayElite+AIX13*BlendedProvPayEss+AIY13*BlendedProvPayPrem+AIZ13*BlendedProvPayElite)</f>
        <v/>
      </c>
      <c r="AJO13" s="12">
        <f>AJG13*PaymentFee</f>
        <v/>
      </c>
      <c r="AJP13" s="12">
        <f>AJA13*OpsAI</f>
        <v/>
      </c>
      <c r="AJQ13" s="12">
        <f>MonthlyFixed</f>
        <v/>
      </c>
      <c r="AJR13" s="12">
        <f>AIK13*ReferralReward</f>
        <v/>
      </c>
      <c r="AJS13" s="12">
        <f>AII13</f>
        <v/>
      </c>
      <c r="AJT13" s="9">
        <f>AJJ13-AJN13-AJO13-AJP13-AJQ13-AJR13-AJS13</f>
        <v/>
      </c>
      <c r="AJU13" s="9">
        <f>AJU12+AJG13-(AJN13+AJO13+AJP13+AJQ13+AJR13+AJS13+AJL13)</f>
        <v/>
      </c>
      <c r="AJV13" s="12">
        <f>IF(AJA13&gt;0,AJB13/AJA13,0)</f>
        <v/>
      </c>
      <c r="AJW13" s="11">
        <f>IF(AJA12&gt;0,MAX(0,(AJA12+AIL13-AJA13)/AJA12),0)</f>
        <v/>
      </c>
      <c r="AJY13" s="12" t="n">
        <v>9</v>
      </c>
      <c r="AJZ13" s="12">
        <f>MOD(AJY13-1+LaunchMonth-1,12)+1</f>
        <v/>
      </c>
      <c r="AKA13" s="12">
        <f>INT((AJY13-1+LaunchMonth-1)/12)+1</f>
        <v/>
      </c>
      <c r="AKB13" s="12">
        <f>VLOOKUP(AJZ13,SeasonTable,2,FALSE)</f>
        <v/>
      </c>
      <c r="AKC13" s="12">
        <f>(1+InflationRate)^INT((AJY13-1)/12)</f>
        <v/>
      </c>
      <c r="AKD13" s="11">
        <f>MonthlyChurn*VLOOKUP(AJZ13,ChurnSeasonTable,4,FALSE)</f>
        <v/>
      </c>
      <c r="AKE13" s="12">
        <f>MIN(MAX(MktMin7_12,ALC12*MktPct7_12),MAX(0,ALQ12-CashBuffer))</f>
        <v/>
      </c>
      <c r="AKF13" s="12">
        <f>IF(AKE13&gt;0,MAX(1,ROUND(AKE13/'Sens - CAC &amp; Marketing'!$A$10*AKB13,0)),0)</f>
        <v/>
      </c>
      <c r="AKG13" s="12">
        <f>IF(AKF13&gt;0,ROUND(AKF13*ReferralMix/(1-ReferralMix),0),0)</f>
        <v/>
      </c>
      <c r="AKH13" s="12">
        <f>AKF13+AKG13</f>
        <v/>
      </c>
      <c r="AKI13" s="12">
        <f>ROUND(AKH13*(1-AnnualMix),0)</f>
        <v/>
      </c>
      <c r="AKJ13" s="12">
        <f>AKH13-AKI13</f>
        <v/>
      </c>
      <c r="AKK13" s="12">
        <f>ROUND(AKI13*EssentialMix,0)</f>
        <v/>
      </c>
      <c r="AKL13" s="12">
        <f>ROUND(AKI13*PremiumMix,0)</f>
        <v/>
      </c>
      <c r="AKM13" s="12">
        <f>AKI13-AKK13-AKL13</f>
        <v/>
      </c>
      <c r="AKN13" s="12">
        <f>ROUND(AKJ13*EssentialMix,0)</f>
        <v/>
      </c>
      <c r="AKO13" s="12">
        <f>ROUND(AKJ13*PremiumMix,0)</f>
        <v/>
      </c>
      <c r="AKP13" s="12">
        <f>AKJ13-AKN13-AKO13</f>
        <v/>
      </c>
      <c r="AKQ13" s="12">
        <f>AKK13+AKK12+AKK11+MAX(0,AKQ12-AKK12-AKK11)*(1-AKD13)</f>
        <v/>
      </c>
      <c r="AKR13" s="12">
        <f>AKL13+AKL12+AKL11+MAX(0,AKR12-AKL12-AKL11)*(1-AKD13)</f>
        <v/>
      </c>
      <c r="AKS13" s="12">
        <f>AKM13+AKM12+AKM11+MAX(0,AKS12-AKM12-AKM11)*(1-AKD13)</f>
        <v/>
      </c>
      <c r="AKT13" s="12">
        <f>SUM(AKN$5:AKN13)</f>
        <v/>
      </c>
      <c r="AKU13" s="12">
        <f>SUM(AKO$5:AKO13)</f>
        <v/>
      </c>
      <c r="AKV13" s="12">
        <f>SUM(AKP$5:AKP13)</f>
        <v/>
      </c>
      <c r="AKW13" s="12">
        <f>AKQ13+AKR13+AKS13+AKT13+AKU13+AKV13</f>
        <v/>
      </c>
      <c r="AKX13" s="9">
        <f>AKQ13*BlendedPriceEssMonthly*AKC13+AKR13*BlendedPricePremMonthly*AKC13+AKS13*BlendedPriceEliteMonthly*AKC13+AKT13*BlendedPriceEssAnnual*AKC13/12+AKU13*BlendedPricePremAnnual*AKC13/12+AKV13*BlendedPriceEliteAnnual*AKC13/12</f>
        <v/>
      </c>
      <c r="AKY13" s="9">
        <f>AKX13*12</f>
        <v/>
      </c>
      <c r="AKZ13" s="12">
        <f>AKQ13*BlendedPriceEssMonthly*AKC13+AKR13*BlendedPricePremMonthly*AKC13+AKS13*BlendedPriceEliteMonthly*AKC13</f>
        <v/>
      </c>
      <c r="ALA13" s="12">
        <f>AKN13*BlendedPriceEssAnnual*AKC13+AKO13*BlendedPricePremAnnual*AKC13+AKP13*BlendedPriceEliteAnnual*AKC13</f>
        <v/>
      </c>
      <c r="ALB13" s="12">
        <f>0+0+0</f>
        <v/>
      </c>
      <c r="ALC13" s="9">
        <f>AKZ13+ALA13+ALB13</f>
        <v/>
      </c>
      <c r="ALD13" s="12">
        <f>SUM(ALC$5:ALC13)</f>
        <v/>
      </c>
      <c r="ALE13" s="12">
        <f>OR(ALE12,IF(VATAgentMode,SUM($ALC$5:$ALC13)-SUM($ALJ$5:$ALJ13)&gt;=VATThreshold,SUM($ALC$5:$ALC13)&gt;=VATThreshold))</f>
        <v/>
      </c>
      <c r="ALF13" s="9">
        <f>IF(ALE13,IF(VATAgentMode,ALC13-((ALC13-ALJ13)-(ALC13-ALJ13)/(1+VATRate)),ALC13/(1+VATRate)),ALC13)</f>
        <v/>
      </c>
      <c r="ALG13" s="12">
        <f>ALC13-ALF13</f>
        <v/>
      </c>
      <c r="ALH13" s="12">
        <f>IF(ALE13=0,0,IF(AJZ13=1,SUMPRODUCT(--(($AKA$5:$AKA13=$AKA13-1)*($AJZ$5:$AJZ13&gt;=10)*($AJZ$5:$AJZ13&lt;=12)),$ALG$5:$ALG13),IF(AJZ13=4,SUMPRODUCT(--(($AKA$5:$AKA13=$AKA13)*($AJZ$5:$AJZ13&gt;=1)*($AJZ$5:$AJZ13&lt;=3)),$ALG$5:$ALG13),IF(AJZ13=7,SUMPRODUCT(--(($AKA$5:$AKA13=$AKA13)*($AJZ$5:$AJZ13&gt;=4)*($AJZ$5:$AJZ13&lt;=6)),$ALG$5:$ALG13),IF(AJZ13=10,SUMPRODUCT(--(($AKA$5:$AKA13=$AKA13)*($AJZ$5:$AJZ13&gt;=7)*($AJZ$5:$AJZ13&lt;=9)),$ALG$5:$ALG13),0)))))</f>
        <v/>
      </c>
      <c r="ALI13" s="12">
        <f>ALI12+ALG13-ALH13</f>
        <v/>
      </c>
      <c r="ALJ13" s="12">
        <f>IF(ProviderDelay&gt;=1,AKQ12*BlendedProvPayEss+AKR12*BlendedProvPayPrem+AKS12*BlendedProvPayElite+AKT12*BlendedProvPayEss+AKU12*BlendedProvPayPrem+AKV12*BlendedProvPayElite,AKQ13*BlendedProvPayEss+AKR13*BlendedProvPayPrem+AKS13*BlendedProvPayElite+AKT13*BlendedProvPayEss+AKU13*BlendedProvPayPrem+AKV13*BlendedProvPayElite)</f>
        <v/>
      </c>
      <c r="ALK13" s="12">
        <f>ALC13*PaymentFee</f>
        <v/>
      </c>
      <c r="ALL13" s="12">
        <f>AKW13*OpsAI</f>
        <v/>
      </c>
      <c r="ALM13" s="12">
        <f>MonthlyFixed</f>
        <v/>
      </c>
      <c r="ALN13" s="12">
        <f>AKG13*ReferralReward</f>
        <v/>
      </c>
      <c r="ALO13" s="12">
        <f>AKE13</f>
        <v/>
      </c>
      <c r="ALP13" s="9">
        <f>ALF13-ALJ13-ALK13-ALL13-ALM13-ALN13-ALO13</f>
        <v/>
      </c>
      <c r="ALQ13" s="9">
        <f>ALQ12+ALC13-(ALJ13+ALK13+ALL13+ALM13+ALN13+ALO13+ALH13)</f>
        <v/>
      </c>
      <c r="ALR13" s="12">
        <f>IF(AKW13&gt;0,AKX13/AKW13,0)</f>
        <v/>
      </c>
      <c r="ALS13" s="11">
        <f>IF(AKW12&gt;0,MAX(0,(AKW12+AKH13-AKW13)/AKW12),0)</f>
        <v/>
      </c>
      <c r="ALU13" s="12" t="n">
        <v>9</v>
      </c>
      <c r="ALV13" s="12">
        <f>MOD(ALU13-1+LaunchMonth-1,12)+1</f>
        <v/>
      </c>
      <c r="ALW13" s="12">
        <f>INT((ALU13-1+LaunchMonth-1)/12)+1</f>
        <v/>
      </c>
      <c r="ALX13" s="12">
        <f>VLOOKUP(ALV13,SeasonTable,2,FALSE)</f>
        <v/>
      </c>
      <c r="ALY13" s="12">
        <f>(1+InflationRate)^INT((ALU13-1)/12)</f>
        <v/>
      </c>
      <c r="ALZ13" s="11">
        <f>MonthlyChurn*VLOOKUP(ALV13,ChurnSeasonTable,4,FALSE)</f>
        <v/>
      </c>
      <c r="AMA13" s="12">
        <f>MIN(MAX(MktMin7_12,AMY12*MktPct7_12),MAX(0,ANM12-CashBuffer))</f>
        <v/>
      </c>
      <c r="AMB13" s="12">
        <f>IF(AMA13&gt;0,MAX(1,ROUND(AMA13/'Sens - CAC &amp; Marketing'!$A$11*ALX13,0)),0)</f>
        <v/>
      </c>
      <c r="AMC13" s="12">
        <f>IF(AMB13&gt;0,ROUND(AMB13*ReferralMix/(1-ReferralMix),0),0)</f>
        <v/>
      </c>
      <c r="AMD13" s="12">
        <f>AMB13+AMC13</f>
        <v/>
      </c>
      <c r="AME13" s="12">
        <f>ROUND(AMD13*(1-AnnualMix),0)</f>
        <v/>
      </c>
      <c r="AMF13" s="12">
        <f>AMD13-AME13</f>
        <v/>
      </c>
      <c r="AMG13" s="12">
        <f>ROUND(AME13*EssentialMix,0)</f>
        <v/>
      </c>
      <c r="AMH13" s="12">
        <f>ROUND(AME13*PremiumMix,0)</f>
        <v/>
      </c>
      <c r="AMI13" s="12">
        <f>AME13-AMG13-AMH13</f>
        <v/>
      </c>
      <c r="AMJ13" s="12">
        <f>ROUND(AMF13*EssentialMix,0)</f>
        <v/>
      </c>
      <c r="AMK13" s="12">
        <f>ROUND(AMF13*PremiumMix,0)</f>
        <v/>
      </c>
      <c r="AML13" s="12">
        <f>AMF13-AMJ13-AMK13</f>
        <v/>
      </c>
      <c r="AMM13" s="12">
        <f>AMG13+AMG12+AMG11+MAX(0,AMM12-AMG12-AMG11)*(1-ALZ13)</f>
        <v/>
      </c>
      <c r="AMN13" s="12">
        <f>AMH13+AMH12+AMH11+MAX(0,AMN12-AMH12-AMH11)*(1-ALZ13)</f>
        <v/>
      </c>
      <c r="AMO13" s="12">
        <f>AMI13+AMI12+AMI11+MAX(0,AMO12-AMI12-AMI11)*(1-ALZ13)</f>
        <v/>
      </c>
      <c r="AMP13" s="12">
        <f>SUM(AMJ$5:AMJ13)</f>
        <v/>
      </c>
      <c r="AMQ13" s="12">
        <f>SUM(AMK$5:AMK13)</f>
        <v/>
      </c>
      <c r="AMR13" s="12">
        <f>SUM(AML$5:AML13)</f>
        <v/>
      </c>
      <c r="AMS13" s="12">
        <f>AMM13+AMN13+AMO13+AMP13+AMQ13+AMR13</f>
        <v/>
      </c>
      <c r="AMT13" s="9">
        <f>AMM13*BlendedPriceEssMonthly*ALY13+AMN13*BlendedPricePremMonthly*ALY13+AMO13*BlendedPriceEliteMonthly*ALY13+AMP13*BlendedPriceEssAnnual*ALY13/12+AMQ13*BlendedPricePremAnnual*ALY13/12+AMR13*BlendedPriceEliteAnnual*ALY13/12</f>
        <v/>
      </c>
      <c r="AMU13" s="9">
        <f>AMT13*12</f>
        <v/>
      </c>
      <c r="AMV13" s="12">
        <f>AMM13*BlendedPriceEssMonthly*ALY13+AMN13*BlendedPricePremMonthly*ALY13+AMO13*BlendedPriceEliteMonthly*ALY13</f>
        <v/>
      </c>
      <c r="AMW13" s="12">
        <f>AMJ13*BlendedPriceEssAnnual*ALY13+AMK13*BlendedPricePremAnnual*ALY13+AML13*BlendedPriceEliteAnnual*ALY13</f>
        <v/>
      </c>
      <c r="AMX13" s="12">
        <f>0+0+0</f>
        <v/>
      </c>
      <c r="AMY13" s="9">
        <f>AMV13+AMW13+AMX13</f>
        <v/>
      </c>
      <c r="AMZ13" s="12">
        <f>SUM(AMY$5:AMY13)</f>
        <v/>
      </c>
      <c r="ANA13" s="12">
        <f>OR(ANA12,IF(VATAgentMode,SUM($AMY$5:$AMY13)-SUM($ANF$5:$ANF13)&gt;=VATThreshold,SUM($AMY$5:$AMY13)&gt;=VATThreshold))</f>
        <v/>
      </c>
      <c r="ANB13" s="9">
        <f>IF(ANA13,IF(VATAgentMode,AMY13-((AMY13-ANF13)-(AMY13-ANF13)/(1+VATRate)),AMY13/(1+VATRate)),AMY13)</f>
        <v/>
      </c>
      <c r="ANC13" s="12">
        <f>AMY13-ANB13</f>
        <v/>
      </c>
      <c r="AND13" s="12">
        <f>IF(ANA13=0,0,IF(ALV13=1,SUMPRODUCT(--(($ALW$5:$ALW13=$ALW13-1)*($ALV$5:$ALV13&gt;=10)*($ALV$5:$ALV13&lt;=12)),$ANC$5:$ANC13),IF(ALV13=4,SUMPRODUCT(--(($ALW$5:$ALW13=$ALW13)*($ALV$5:$ALV13&gt;=1)*($ALV$5:$ALV13&lt;=3)),$ANC$5:$ANC13),IF(ALV13=7,SUMPRODUCT(--(($ALW$5:$ALW13=$ALW13)*($ALV$5:$ALV13&gt;=4)*($ALV$5:$ALV13&lt;=6)),$ANC$5:$ANC13),IF(ALV13=10,SUMPRODUCT(--(($ALW$5:$ALW13=$ALW13)*($ALV$5:$ALV13&gt;=7)*($ALV$5:$ALV13&lt;=9)),$ANC$5:$ANC13),0)))))</f>
        <v/>
      </c>
      <c r="ANE13" s="12">
        <f>ANE12+ANC13-AND13</f>
        <v/>
      </c>
      <c r="ANF13" s="12">
        <f>IF(ProviderDelay&gt;=1,AMM12*BlendedProvPayEss+AMN12*BlendedProvPayPrem+AMO12*BlendedProvPayElite+AMP12*BlendedProvPayEss+AMQ12*BlendedProvPayPrem+AMR12*BlendedProvPayElite,AMM13*BlendedProvPayEss+AMN13*BlendedProvPayPrem+AMO13*BlendedProvPayElite+AMP13*BlendedProvPayEss+AMQ13*BlendedProvPayPrem+AMR13*BlendedProvPayElite)</f>
        <v/>
      </c>
      <c r="ANG13" s="12">
        <f>AMY13*PaymentFee</f>
        <v/>
      </c>
      <c r="ANH13" s="12">
        <f>AMS13*OpsAI</f>
        <v/>
      </c>
      <c r="ANI13" s="12">
        <f>MonthlyFixed</f>
        <v/>
      </c>
      <c r="ANJ13" s="12">
        <f>AMC13*ReferralReward</f>
        <v/>
      </c>
      <c r="ANK13" s="12">
        <f>AMA13</f>
        <v/>
      </c>
      <c r="ANL13" s="9">
        <f>ANB13-ANF13-ANG13-ANH13-ANI13-ANJ13-ANK13</f>
        <v/>
      </c>
      <c r="ANM13" s="9">
        <f>ANM12+AMY13-(ANF13+ANG13+ANH13+ANI13+ANJ13+ANK13+AND13)</f>
        <v/>
      </c>
      <c r="ANN13" s="12">
        <f>IF(AMS13&gt;0,AMT13/AMS13,0)</f>
        <v/>
      </c>
      <c r="ANO13" s="11">
        <f>IF(AMS12&gt;0,MAX(0,(AMS12+AMD13-AMS13)/AMS12),0)</f>
        <v/>
      </c>
      <c r="ANQ13" s="12" t="n">
        <v>9</v>
      </c>
      <c r="ANR13" s="12">
        <f>MOD(ANQ13-1+LaunchMonth-1,12)+1</f>
        <v/>
      </c>
      <c r="ANS13" s="12">
        <f>INT((ANQ13-1+LaunchMonth-1)/12)+1</f>
        <v/>
      </c>
      <c r="ANT13" s="12">
        <f>VLOOKUP(ANR13,SeasonTable,2,FALSE)</f>
        <v/>
      </c>
      <c r="ANU13" s="12">
        <f>(1+InflationRate)^INT((ANQ13-1)/12)</f>
        <v/>
      </c>
      <c r="ANV13" s="11">
        <f>MonthlyChurn*VLOOKUP(ANR13,ChurnSeasonTable,4,FALSE)</f>
        <v/>
      </c>
      <c r="ANW13" s="12">
        <f>MIN(MAX(MktMin7_12,AOU12*MktPct7_12),MAX(0,API12-CashBuffer))</f>
        <v/>
      </c>
      <c r="ANX13" s="12">
        <f>IF(ANW13&gt;0,MAX(1,ROUND(ANW13/'Sens - CAC &amp; Marketing'!$A$12*ANT13,0)),0)</f>
        <v/>
      </c>
      <c r="ANY13" s="12">
        <f>IF(ANX13&gt;0,ROUND(ANX13*ReferralMix/(1-ReferralMix),0),0)</f>
        <v/>
      </c>
      <c r="ANZ13" s="12">
        <f>ANX13+ANY13</f>
        <v/>
      </c>
      <c r="AOA13" s="12">
        <f>ROUND(ANZ13*(1-AnnualMix),0)</f>
        <v/>
      </c>
      <c r="AOB13" s="12">
        <f>ANZ13-AOA13</f>
        <v/>
      </c>
      <c r="AOC13" s="12">
        <f>ROUND(AOA13*EssentialMix,0)</f>
        <v/>
      </c>
      <c r="AOD13" s="12">
        <f>ROUND(AOA13*PremiumMix,0)</f>
        <v/>
      </c>
      <c r="AOE13" s="12">
        <f>AOA13-AOC13-AOD13</f>
        <v/>
      </c>
      <c r="AOF13" s="12">
        <f>ROUND(AOB13*EssentialMix,0)</f>
        <v/>
      </c>
      <c r="AOG13" s="12">
        <f>ROUND(AOB13*PremiumMix,0)</f>
        <v/>
      </c>
      <c r="AOH13" s="12">
        <f>AOB13-AOF13-AOG13</f>
        <v/>
      </c>
      <c r="AOI13" s="12">
        <f>AOC13+AOC12+AOC11+MAX(0,AOI12-AOC12-AOC11)*(1-ANV13)</f>
        <v/>
      </c>
      <c r="AOJ13" s="12">
        <f>AOD13+AOD12+AOD11+MAX(0,AOJ12-AOD12-AOD11)*(1-ANV13)</f>
        <v/>
      </c>
      <c r="AOK13" s="12">
        <f>AOE13+AOE12+AOE11+MAX(0,AOK12-AOE12-AOE11)*(1-ANV13)</f>
        <v/>
      </c>
      <c r="AOL13" s="12">
        <f>SUM(AOF$5:AOF13)</f>
        <v/>
      </c>
      <c r="AOM13" s="12">
        <f>SUM(AOG$5:AOG13)</f>
        <v/>
      </c>
      <c r="AON13" s="12">
        <f>SUM(AOH$5:AOH13)</f>
        <v/>
      </c>
      <c r="AOO13" s="12">
        <f>AOI13+AOJ13+AOK13+AOL13+AOM13+AON13</f>
        <v/>
      </c>
      <c r="AOP13" s="9">
        <f>AOI13*BlendedPriceEssMonthly*ANU13+AOJ13*BlendedPricePremMonthly*ANU13+AOK13*BlendedPriceEliteMonthly*ANU13+AOL13*BlendedPriceEssAnnual*ANU13/12+AOM13*BlendedPricePremAnnual*ANU13/12+AON13*BlendedPriceEliteAnnual*ANU13/12</f>
        <v/>
      </c>
      <c r="AOQ13" s="9">
        <f>AOP13*12</f>
        <v/>
      </c>
      <c r="AOR13" s="12">
        <f>AOI13*BlendedPriceEssMonthly*ANU13+AOJ13*BlendedPricePremMonthly*ANU13+AOK13*BlendedPriceEliteMonthly*ANU13</f>
        <v/>
      </c>
      <c r="AOS13" s="12">
        <f>AOF13*BlendedPriceEssAnnual*ANU13+AOG13*BlendedPricePremAnnual*ANU13+AOH13*BlendedPriceEliteAnnual*ANU13</f>
        <v/>
      </c>
      <c r="AOT13" s="12">
        <f>0+0+0</f>
        <v/>
      </c>
      <c r="AOU13" s="9">
        <f>AOR13+AOS13+AOT13</f>
        <v/>
      </c>
      <c r="AOV13" s="12">
        <f>SUM(AOU$5:AOU13)</f>
        <v/>
      </c>
      <c r="AOW13" s="12">
        <f>OR(AOW12,IF(VATAgentMode,SUM($AOU$5:$AOU13)-SUM($APB$5:$APB13)&gt;=VATThreshold,SUM($AOU$5:$AOU13)&gt;=VATThreshold))</f>
        <v/>
      </c>
      <c r="AOX13" s="9">
        <f>IF(AOW13,IF(VATAgentMode,AOU13-((AOU13-APB13)-(AOU13-APB13)/(1+VATRate)),AOU13/(1+VATRate)),AOU13)</f>
        <v/>
      </c>
      <c r="AOY13" s="12">
        <f>AOU13-AOX13</f>
        <v/>
      </c>
      <c r="AOZ13" s="12">
        <f>IF(AOW13=0,0,IF(ANR13=1,SUMPRODUCT(--(($ANS$5:$ANS13=$ANS13-1)*($ANR$5:$ANR13&gt;=10)*($ANR$5:$ANR13&lt;=12)),$AOY$5:$AOY13),IF(ANR13=4,SUMPRODUCT(--(($ANS$5:$ANS13=$ANS13)*($ANR$5:$ANR13&gt;=1)*($ANR$5:$ANR13&lt;=3)),$AOY$5:$AOY13),IF(ANR13=7,SUMPRODUCT(--(($ANS$5:$ANS13=$ANS13)*($ANR$5:$ANR13&gt;=4)*($ANR$5:$ANR13&lt;=6)),$AOY$5:$AOY13),IF(ANR13=10,SUMPRODUCT(--(($ANS$5:$ANS13=$ANS13)*($ANR$5:$ANR13&gt;=7)*($ANR$5:$ANR13&lt;=9)),$AOY$5:$AOY13),0)))))</f>
        <v/>
      </c>
      <c r="APA13" s="12">
        <f>APA12+AOY13-AOZ13</f>
        <v/>
      </c>
      <c r="APB13" s="12">
        <f>IF(ProviderDelay&gt;=1,AOI12*BlendedProvPayEss+AOJ12*BlendedProvPayPrem+AOK12*BlendedProvPayElite+AOL12*BlendedProvPayEss+AOM12*BlendedProvPayPrem+AON12*BlendedProvPayElite,AOI13*BlendedProvPayEss+AOJ13*BlendedProvPayPrem+AOK13*BlendedProvPayElite+AOL13*BlendedProvPayEss+AOM13*BlendedProvPayPrem+AON13*BlendedProvPayElite)</f>
        <v/>
      </c>
      <c r="APC13" s="12">
        <f>AOU13*PaymentFee</f>
        <v/>
      </c>
      <c r="APD13" s="12">
        <f>AOO13*OpsAI</f>
        <v/>
      </c>
      <c r="APE13" s="12">
        <f>MonthlyFixed</f>
        <v/>
      </c>
      <c r="APF13" s="12">
        <f>ANY13*ReferralReward</f>
        <v/>
      </c>
      <c r="APG13" s="12">
        <f>ANW13</f>
        <v/>
      </c>
      <c r="APH13" s="9">
        <f>AOX13-APB13-APC13-APD13-APE13-APF13-APG13</f>
        <v/>
      </c>
      <c r="API13" s="9">
        <f>API12+AOU13-(APB13+APC13+APD13+APE13+APF13+APG13+AOZ13)</f>
        <v/>
      </c>
      <c r="APJ13" s="12">
        <f>IF(AOO13&gt;0,AOP13/AOO13,0)</f>
        <v/>
      </c>
      <c r="APK13" s="11">
        <f>IF(AOO12&gt;0,MAX(0,(AOO12+ANZ13-AOO13)/AOO12),0)</f>
        <v/>
      </c>
      <c r="APM13" s="12" t="n">
        <v>9</v>
      </c>
      <c r="APN13" s="12">
        <f>MOD(APM13-1+LaunchMonth-1,12)+1</f>
        <v/>
      </c>
      <c r="APO13" s="12">
        <f>INT((APM13-1+LaunchMonth-1)/12)+1</f>
        <v/>
      </c>
      <c r="APP13" s="12">
        <f>VLOOKUP(APN13,SeasonTable,2,FALSE)</f>
        <v/>
      </c>
      <c r="APQ13" s="12">
        <f>(1+InflationRate)^INT((APM13-1)/12)</f>
        <v/>
      </c>
      <c r="APR13" s="11">
        <f>MonthlyChurn*VLOOKUP(APN13,ChurnSeasonTable,4,FALSE)</f>
        <v/>
      </c>
      <c r="APS13" s="12">
        <f>MIN(MAX(MktMin7_12,AQQ12*MktPct7_12),MAX(0,ARE12-CashBuffer))</f>
        <v/>
      </c>
      <c r="APT13" s="12">
        <f>IF(APS13&gt;0,MAX(1,ROUND(APS13/'Sens - CAC &amp; Marketing'!$A$13*APP13,0)),0)</f>
        <v/>
      </c>
      <c r="APU13" s="12">
        <f>IF(APT13&gt;0,ROUND(APT13*ReferralMix/(1-ReferralMix),0),0)</f>
        <v/>
      </c>
      <c r="APV13" s="12">
        <f>APT13+APU13</f>
        <v/>
      </c>
      <c r="APW13" s="12">
        <f>ROUND(APV13*(1-AnnualMix),0)</f>
        <v/>
      </c>
      <c r="APX13" s="12">
        <f>APV13-APW13</f>
        <v/>
      </c>
      <c r="APY13" s="12">
        <f>ROUND(APW13*EssentialMix,0)</f>
        <v/>
      </c>
      <c r="APZ13" s="12">
        <f>ROUND(APW13*PremiumMix,0)</f>
        <v/>
      </c>
      <c r="AQA13" s="12">
        <f>APW13-APY13-APZ13</f>
        <v/>
      </c>
      <c r="AQB13" s="12">
        <f>ROUND(APX13*EssentialMix,0)</f>
        <v/>
      </c>
      <c r="AQC13" s="12">
        <f>ROUND(APX13*PremiumMix,0)</f>
        <v/>
      </c>
      <c r="AQD13" s="12">
        <f>APX13-AQB13-AQC13</f>
        <v/>
      </c>
      <c r="AQE13" s="12">
        <f>APY13+APY12+APY11+MAX(0,AQE12-APY12-APY11)*(1-APR13)</f>
        <v/>
      </c>
      <c r="AQF13" s="12">
        <f>APZ13+APZ12+APZ11+MAX(0,AQF12-APZ12-APZ11)*(1-APR13)</f>
        <v/>
      </c>
      <c r="AQG13" s="12">
        <f>AQA13+AQA12+AQA11+MAX(0,AQG12-AQA12-AQA11)*(1-APR13)</f>
        <v/>
      </c>
      <c r="AQH13" s="12">
        <f>SUM(AQB$5:AQB13)</f>
        <v/>
      </c>
      <c r="AQI13" s="12">
        <f>SUM(AQC$5:AQC13)</f>
        <v/>
      </c>
      <c r="AQJ13" s="12">
        <f>SUM(AQD$5:AQD13)</f>
        <v/>
      </c>
      <c r="AQK13" s="12">
        <f>AQE13+AQF13+AQG13+AQH13+AQI13+AQJ13</f>
        <v/>
      </c>
      <c r="AQL13" s="9">
        <f>AQE13*BlendedPriceEssMonthly*APQ13+AQF13*BlendedPricePremMonthly*APQ13+AQG13*BlendedPriceEliteMonthly*APQ13+AQH13*BlendedPriceEssAnnual*APQ13/12+AQI13*BlendedPricePremAnnual*APQ13/12+AQJ13*BlendedPriceEliteAnnual*APQ13/12</f>
        <v/>
      </c>
      <c r="AQM13" s="9">
        <f>AQL13*12</f>
        <v/>
      </c>
      <c r="AQN13" s="12">
        <f>AQE13*BlendedPriceEssMonthly*APQ13+AQF13*BlendedPricePremMonthly*APQ13+AQG13*BlendedPriceEliteMonthly*APQ13</f>
        <v/>
      </c>
      <c r="AQO13" s="12">
        <f>AQB13*BlendedPriceEssAnnual*APQ13+AQC13*BlendedPricePremAnnual*APQ13+AQD13*BlendedPriceEliteAnnual*APQ13</f>
        <v/>
      </c>
      <c r="AQP13" s="12">
        <f>0+0+0</f>
        <v/>
      </c>
      <c r="AQQ13" s="9">
        <f>AQN13+AQO13+AQP13</f>
        <v/>
      </c>
      <c r="AQR13" s="12">
        <f>SUM(AQQ$5:AQQ13)</f>
        <v/>
      </c>
      <c r="AQS13" s="12">
        <f>OR(AQS12,IF(VATAgentMode,SUM($AQQ$5:$AQQ13)-SUM($AQX$5:$AQX13)&gt;=VATThreshold,SUM($AQQ$5:$AQQ13)&gt;=VATThreshold))</f>
        <v/>
      </c>
      <c r="AQT13" s="9">
        <f>IF(AQS13,IF(VATAgentMode,AQQ13-((AQQ13-AQX13)-(AQQ13-AQX13)/(1+VATRate)),AQQ13/(1+VATRate)),AQQ13)</f>
        <v/>
      </c>
      <c r="AQU13" s="12">
        <f>AQQ13-AQT13</f>
        <v/>
      </c>
      <c r="AQV13" s="12">
        <f>IF(AQS13=0,0,IF(APN13=1,SUMPRODUCT(--(($APO$5:$APO13=$APO13-1)*($APN$5:$APN13&gt;=10)*($APN$5:$APN13&lt;=12)),$AQU$5:$AQU13),IF(APN13=4,SUMPRODUCT(--(($APO$5:$APO13=$APO13)*($APN$5:$APN13&gt;=1)*($APN$5:$APN13&lt;=3)),$AQU$5:$AQU13),IF(APN13=7,SUMPRODUCT(--(($APO$5:$APO13=$APO13)*($APN$5:$APN13&gt;=4)*($APN$5:$APN13&lt;=6)),$AQU$5:$AQU13),IF(APN13=10,SUMPRODUCT(--(($APO$5:$APO13=$APO13)*($APN$5:$APN13&gt;=7)*($APN$5:$APN13&lt;=9)),$AQU$5:$AQU13),0)))))</f>
        <v/>
      </c>
      <c r="AQW13" s="12">
        <f>AQW12+AQU13-AQV13</f>
        <v/>
      </c>
      <c r="AQX13" s="12">
        <f>IF(ProviderDelay&gt;=1,AQE12*BlendedProvPayEss+AQF12*BlendedProvPayPrem+AQG12*BlendedProvPayElite+AQH12*BlendedProvPayEss+AQI12*BlendedProvPayPrem+AQJ12*BlendedProvPayElite,AQE13*BlendedProvPayEss+AQF13*BlendedProvPayPrem+AQG13*BlendedProvPayElite+AQH13*BlendedProvPayEss+AQI13*BlendedProvPayPrem+AQJ13*BlendedProvPayElite)</f>
        <v/>
      </c>
      <c r="AQY13" s="12">
        <f>AQQ13*PaymentFee</f>
        <v/>
      </c>
      <c r="AQZ13" s="12">
        <f>AQK13*OpsAI</f>
        <v/>
      </c>
      <c r="ARA13" s="12">
        <f>MonthlyFixed</f>
        <v/>
      </c>
      <c r="ARB13" s="12">
        <f>APU13*ReferralReward</f>
        <v/>
      </c>
      <c r="ARC13" s="12">
        <f>APS13</f>
        <v/>
      </c>
      <c r="ARD13" s="9">
        <f>AQT13-AQX13-AQY13-AQZ13-ARA13-ARB13-ARC13</f>
        <v/>
      </c>
      <c r="ARE13" s="9">
        <f>ARE12+AQQ13-(AQX13+AQY13+AQZ13+ARA13+ARB13+ARC13+AQV13)</f>
        <v/>
      </c>
      <c r="ARF13" s="12">
        <f>IF(AQK13&gt;0,AQL13/AQK13,0)</f>
        <v/>
      </c>
      <c r="ARG13" s="11">
        <f>IF(AQK12&gt;0,MAX(0,(AQK12+APV13-AQK13)/AQK12),0)</f>
        <v/>
      </c>
      <c r="ARI13" s="12" t="n">
        <v>9</v>
      </c>
      <c r="ARJ13" s="12">
        <f>MOD(ARI13-1+LaunchMonth-1,12)+1</f>
        <v/>
      </c>
      <c r="ARK13" s="12">
        <f>INT((ARI13-1+LaunchMonth-1)/12)+1</f>
        <v/>
      </c>
      <c r="ARL13" s="12">
        <f>VLOOKUP(ARJ13,SeasonTable,2,FALSE)</f>
        <v/>
      </c>
      <c r="ARM13" s="12">
        <f>(1+InflationRate)^INT((ARI13-1)/12)</f>
        <v/>
      </c>
      <c r="ARN13" s="11">
        <f>MonthlyChurn*VLOOKUP(ARJ13,ChurnSeasonTable,4,FALSE)</f>
        <v/>
      </c>
      <c r="ARO13" s="12">
        <f>MIN(MAX(MktMin7_12,ASM12*MktPct7_12),MAX(0,ATA12-CashBuffer))</f>
        <v/>
      </c>
      <c r="ARP13" s="12">
        <f>IF(ARO13&gt;0,MAX(1,ROUND(ARO13/'Sens - CAC &amp; Marketing'!$A$14*ARL13,0)),0)</f>
        <v/>
      </c>
      <c r="ARQ13" s="12">
        <f>IF(ARP13&gt;0,ROUND(ARP13*ReferralMix/(1-ReferralMix),0),0)</f>
        <v/>
      </c>
      <c r="ARR13" s="12">
        <f>ARP13+ARQ13</f>
        <v/>
      </c>
      <c r="ARS13" s="12">
        <f>ROUND(ARR13*(1-AnnualMix),0)</f>
        <v/>
      </c>
      <c r="ART13" s="12">
        <f>ARR13-ARS13</f>
        <v/>
      </c>
      <c r="ARU13" s="12">
        <f>ROUND(ARS13*EssentialMix,0)</f>
        <v/>
      </c>
      <c r="ARV13" s="12">
        <f>ROUND(ARS13*PremiumMix,0)</f>
        <v/>
      </c>
      <c r="ARW13" s="12">
        <f>ARS13-ARU13-ARV13</f>
        <v/>
      </c>
      <c r="ARX13" s="12">
        <f>ROUND(ART13*EssentialMix,0)</f>
        <v/>
      </c>
      <c r="ARY13" s="12">
        <f>ROUND(ART13*PremiumMix,0)</f>
        <v/>
      </c>
      <c r="ARZ13" s="12">
        <f>ART13-ARX13-ARY13</f>
        <v/>
      </c>
      <c r="ASA13" s="12">
        <f>ARU13+ARU12+ARU11+MAX(0,ASA12-ARU12-ARU11)*(1-ARN13)</f>
        <v/>
      </c>
      <c r="ASB13" s="12">
        <f>ARV13+ARV12+ARV11+MAX(0,ASB12-ARV12-ARV11)*(1-ARN13)</f>
        <v/>
      </c>
      <c r="ASC13" s="12">
        <f>ARW13+ARW12+ARW11+MAX(0,ASC12-ARW12-ARW11)*(1-ARN13)</f>
        <v/>
      </c>
      <c r="ASD13" s="12">
        <f>SUM(ARX$5:ARX13)</f>
        <v/>
      </c>
      <c r="ASE13" s="12">
        <f>SUM(ARY$5:ARY13)</f>
        <v/>
      </c>
      <c r="ASF13" s="12">
        <f>SUM(ARZ$5:ARZ13)</f>
        <v/>
      </c>
      <c r="ASG13" s="12">
        <f>ASA13+ASB13+ASC13+ASD13+ASE13+ASF13</f>
        <v/>
      </c>
      <c r="ASH13" s="9">
        <f>ASA13*BlendedPriceEssMonthly*ARM13+ASB13*BlendedPricePremMonthly*ARM13+ASC13*BlendedPriceEliteMonthly*ARM13+ASD13*BlendedPriceEssAnnual*ARM13/12+ASE13*BlendedPricePremAnnual*ARM13/12+ASF13*BlendedPriceEliteAnnual*ARM13/12</f>
        <v/>
      </c>
      <c r="ASI13" s="9">
        <f>ASH13*12</f>
        <v/>
      </c>
      <c r="ASJ13" s="12">
        <f>ASA13*BlendedPriceEssMonthly*ARM13+ASB13*BlendedPricePremMonthly*ARM13+ASC13*BlendedPriceEliteMonthly*ARM13</f>
        <v/>
      </c>
      <c r="ASK13" s="12">
        <f>ARX13*BlendedPriceEssAnnual*ARM13+ARY13*BlendedPricePremAnnual*ARM13+ARZ13*BlendedPriceEliteAnnual*ARM13</f>
        <v/>
      </c>
      <c r="ASL13" s="12">
        <f>0+0+0</f>
        <v/>
      </c>
      <c r="ASM13" s="9">
        <f>ASJ13+ASK13+ASL13</f>
        <v/>
      </c>
      <c r="ASN13" s="12">
        <f>SUM(ASM$5:ASM13)</f>
        <v/>
      </c>
      <c r="ASO13" s="12">
        <f>OR(ASO12,IF(VATAgentMode,SUM($ASM$5:$ASM13)-SUM($AST$5:$AST13)&gt;=VATThreshold,SUM($ASM$5:$ASM13)&gt;=VATThreshold))</f>
        <v/>
      </c>
      <c r="ASP13" s="9">
        <f>IF(ASO13,IF(VATAgentMode,ASM13-((ASM13-AST13)-(ASM13-AST13)/(1+VATRate)),ASM13/(1+VATRate)),ASM13)</f>
        <v/>
      </c>
      <c r="ASQ13" s="12">
        <f>ASM13-ASP13</f>
        <v/>
      </c>
      <c r="ASR13" s="12">
        <f>IF(ASO13=0,0,IF(ARJ13=1,SUMPRODUCT(--(($ARK$5:$ARK13=$ARK13-1)*($ARJ$5:$ARJ13&gt;=10)*($ARJ$5:$ARJ13&lt;=12)),$ASQ$5:$ASQ13),IF(ARJ13=4,SUMPRODUCT(--(($ARK$5:$ARK13=$ARK13)*($ARJ$5:$ARJ13&gt;=1)*($ARJ$5:$ARJ13&lt;=3)),$ASQ$5:$ASQ13),IF(ARJ13=7,SUMPRODUCT(--(($ARK$5:$ARK13=$ARK13)*($ARJ$5:$ARJ13&gt;=4)*($ARJ$5:$ARJ13&lt;=6)),$ASQ$5:$ASQ13),IF(ARJ13=10,SUMPRODUCT(--(($ARK$5:$ARK13=$ARK13)*($ARJ$5:$ARJ13&gt;=7)*($ARJ$5:$ARJ13&lt;=9)),$ASQ$5:$ASQ13),0)))))</f>
        <v/>
      </c>
      <c r="ASS13" s="12">
        <f>ASS12+ASQ13-ASR13</f>
        <v/>
      </c>
      <c r="AST13" s="12">
        <f>IF(ProviderDelay&gt;=1,ASA12*BlendedProvPayEss+ASB12*BlendedProvPayPrem+ASC12*BlendedProvPayElite+ASD12*BlendedProvPayEss+ASE12*BlendedProvPayPrem+ASF12*BlendedProvPayElite,ASA13*BlendedProvPayEss+ASB13*BlendedProvPayPrem+ASC13*BlendedProvPayElite+ASD13*BlendedProvPayEss+ASE13*BlendedProvPayPrem+ASF13*BlendedProvPayElite)</f>
        <v/>
      </c>
      <c r="ASU13" s="12">
        <f>ASM13*PaymentFee</f>
        <v/>
      </c>
      <c r="ASV13" s="12">
        <f>ASG13*OpsAI</f>
        <v/>
      </c>
      <c r="ASW13" s="12">
        <f>MonthlyFixed</f>
        <v/>
      </c>
      <c r="ASX13" s="12">
        <f>ARQ13*ReferralReward</f>
        <v/>
      </c>
      <c r="ASY13" s="12">
        <f>ARO13</f>
        <v/>
      </c>
      <c r="ASZ13" s="9">
        <f>ASP13-AST13-ASU13-ASV13-ASW13-ASX13-ASY13</f>
        <v/>
      </c>
      <c r="ATA13" s="9">
        <f>ATA12+ASM13-(AST13+ASU13+ASV13+ASW13+ASX13+ASY13+ASR13)</f>
        <v/>
      </c>
      <c r="ATB13" s="12">
        <f>IF(ASG13&gt;0,ASH13/ASG13,0)</f>
        <v/>
      </c>
      <c r="ATC13" s="11">
        <f>IF(ASG12&gt;0,MAX(0,(ASG12+ARR13-ASG13)/ASG12),0)</f>
        <v/>
      </c>
      <c r="ATE13" s="12" t="n">
        <v>9</v>
      </c>
      <c r="ATF13" s="12">
        <f>MOD(ATE13-1+LaunchMonth-1,12)+1</f>
        <v/>
      </c>
      <c r="ATG13" s="12">
        <f>INT((ATE13-1+LaunchMonth-1)/12)+1</f>
        <v/>
      </c>
      <c r="ATH13" s="12">
        <f>VLOOKUP(ATF13,SeasonTable,2,FALSE)</f>
        <v/>
      </c>
      <c r="ATI13" s="12">
        <f>(1+InflationRate)^INT((ATE13-1)/12)</f>
        <v/>
      </c>
      <c r="ATJ13" s="11">
        <f>MonthlyChurn*VLOOKUP(ATF13,ChurnSeasonTable,4,FALSE)</f>
        <v/>
      </c>
      <c r="ATK13" s="12">
        <f>MIN(MAX(MktMin7_12,AUI12*MktPct7_12),MAX(0,AUW12-CashBuffer))</f>
        <v/>
      </c>
      <c r="ATL13" s="12">
        <f>IF(ATK13&gt;0,MAX(1,ROUND(ATK13/'Sens - CAC &amp; Marketing'!$A$15*ATH13,0)),0)</f>
        <v/>
      </c>
      <c r="ATM13" s="12">
        <f>IF(ATL13&gt;0,ROUND(ATL13*ReferralMix/(1-ReferralMix),0),0)</f>
        <v/>
      </c>
      <c r="ATN13" s="12">
        <f>ATL13+ATM13</f>
        <v/>
      </c>
      <c r="ATO13" s="12">
        <f>ROUND(ATN13*(1-AnnualMix),0)</f>
        <v/>
      </c>
      <c r="ATP13" s="12">
        <f>ATN13-ATO13</f>
        <v/>
      </c>
      <c r="ATQ13" s="12">
        <f>ROUND(ATO13*EssentialMix,0)</f>
        <v/>
      </c>
      <c r="ATR13" s="12">
        <f>ROUND(ATO13*PremiumMix,0)</f>
        <v/>
      </c>
      <c r="ATS13" s="12">
        <f>ATO13-ATQ13-ATR13</f>
        <v/>
      </c>
      <c r="ATT13" s="12">
        <f>ROUND(ATP13*EssentialMix,0)</f>
        <v/>
      </c>
      <c r="ATU13" s="12">
        <f>ROUND(ATP13*PremiumMix,0)</f>
        <v/>
      </c>
      <c r="ATV13" s="12">
        <f>ATP13-ATT13-ATU13</f>
        <v/>
      </c>
      <c r="ATW13" s="12">
        <f>ATQ13+ATQ12+ATQ11+MAX(0,ATW12-ATQ12-ATQ11)*(1-ATJ13)</f>
        <v/>
      </c>
      <c r="ATX13" s="12">
        <f>ATR13+ATR12+ATR11+MAX(0,ATX12-ATR12-ATR11)*(1-ATJ13)</f>
        <v/>
      </c>
      <c r="ATY13" s="12">
        <f>ATS13+ATS12+ATS11+MAX(0,ATY12-ATS12-ATS11)*(1-ATJ13)</f>
        <v/>
      </c>
      <c r="ATZ13" s="12">
        <f>SUM(ATT$5:ATT13)</f>
        <v/>
      </c>
      <c r="AUA13" s="12">
        <f>SUM(ATU$5:ATU13)</f>
        <v/>
      </c>
      <c r="AUB13" s="12">
        <f>SUM(ATV$5:ATV13)</f>
        <v/>
      </c>
      <c r="AUC13" s="12">
        <f>ATW13+ATX13+ATY13+ATZ13+AUA13+AUB13</f>
        <v/>
      </c>
      <c r="AUD13" s="9">
        <f>ATW13*BlendedPriceEssMonthly*ATI13+ATX13*BlendedPricePremMonthly*ATI13+ATY13*BlendedPriceEliteMonthly*ATI13+ATZ13*BlendedPriceEssAnnual*ATI13/12+AUA13*BlendedPricePremAnnual*ATI13/12+AUB13*BlendedPriceEliteAnnual*ATI13/12</f>
        <v/>
      </c>
      <c r="AUE13" s="9">
        <f>AUD13*12</f>
        <v/>
      </c>
      <c r="AUF13" s="12">
        <f>ATW13*BlendedPriceEssMonthly*ATI13+ATX13*BlendedPricePremMonthly*ATI13+ATY13*BlendedPriceEliteMonthly*ATI13</f>
        <v/>
      </c>
      <c r="AUG13" s="12">
        <f>ATT13*BlendedPriceEssAnnual*ATI13+ATU13*BlendedPricePremAnnual*ATI13+ATV13*BlendedPriceEliteAnnual*ATI13</f>
        <v/>
      </c>
      <c r="AUH13" s="12">
        <f>0+0+0</f>
        <v/>
      </c>
      <c r="AUI13" s="9">
        <f>AUF13+AUG13+AUH13</f>
        <v/>
      </c>
      <c r="AUJ13" s="12">
        <f>SUM(AUI$5:AUI13)</f>
        <v/>
      </c>
      <c r="AUK13" s="12">
        <f>OR(AUK12,IF(VATAgentMode,SUM($AUI$5:$AUI13)-SUM($AUP$5:$AUP13)&gt;=VATThreshold,SUM($AUI$5:$AUI13)&gt;=VATThreshold))</f>
        <v/>
      </c>
      <c r="AUL13" s="9">
        <f>IF(AUK13,IF(VATAgentMode,AUI13-((AUI13-AUP13)-(AUI13-AUP13)/(1+VATRate)),AUI13/(1+VATRate)),AUI13)</f>
        <v/>
      </c>
      <c r="AUM13" s="12">
        <f>AUI13-AUL13</f>
        <v/>
      </c>
      <c r="AUN13" s="12">
        <f>IF(AUK13=0,0,IF(ATF13=1,SUMPRODUCT(--(($ATG$5:$ATG13=$ATG13-1)*($ATF$5:$ATF13&gt;=10)*($ATF$5:$ATF13&lt;=12)),$AUM$5:$AUM13),IF(ATF13=4,SUMPRODUCT(--(($ATG$5:$ATG13=$ATG13)*($ATF$5:$ATF13&gt;=1)*($ATF$5:$ATF13&lt;=3)),$AUM$5:$AUM13),IF(ATF13=7,SUMPRODUCT(--(($ATG$5:$ATG13=$ATG13)*($ATF$5:$ATF13&gt;=4)*($ATF$5:$ATF13&lt;=6)),$AUM$5:$AUM13),IF(ATF13=10,SUMPRODUCT(--(($ATG$5:$ATG13=$ATG13)*($ATF$5:$ATF13&gt;=7)*($ATF$5:$ATF13&lt;=9)),$AUM$5:$AUM13),0)))))</f>
        <v/>
      </c>
      <c r="AUO13" s="12">
        <f>AUO12+AUM13-AUN13</f>
        <v/>
      </c>
      <c r="AUP13" s="12">
        <f>IF(ProviderDelay&gt;=1,ATW12*BlendedProvPayEss+ATX12*BlendedProvPayPrem+ATY12*BlendedProvPayElite+ATZ12*BlendedProvPayEss+AUA12*BlendedProvPayPrem+AUB12*BlendedProvPayElite,ATW13*BlendedProvPayEss+ATX13*BlendedProvPayPrem+ATY13*BlendedProvPayElite+ATZ13*BlendedProvPayEss+AUA13*BlendedProvPayPrem+AUB13*BlendedProvPayElite)</f>
        <v/>
      </c>
      <c r="AUQ13" s="12">
        <f>AUI13*PaymentFee</f>
        <v/>
      </c>
      <c r="AUR13" s="12">
        <f>AUC13*OpsAI</f>
        <v/>
      </c>
      <c r="AUS13" s="12">
        <f>MonthlyFixed</f>
        <v/>
      </c>
      <c r="AUT13" s="12">
        <f>ATM13*ReferralReward</f>
        <v/>
      </c>
      <c r="AUU13" s="12">
        <f>ATK13</f>
        <v/>
      </c>
      <c r="AUV13" s="9">
        <f>AUL13-AUP13-AUQ13-AUR13-AUS13-AUT13-AUU13</f>
        <v/>
      </c>
      <c r="AUW13" s="9">
        <f>AUW12+AUI13-(AUP13+AUQ13+AUR13+AUS13+AUT13+AUU13+AUN13)</f>
        <v/>
      </c>
      <c r="AUX13" s="12">
        <f>IF(AUC13&gt;0,AUD13/AUC13,0)</f>
        <v/>
      </c>
      <c r="AUY13" s="11">
        <f>IF(AUC12&gt;0,MAX(0,(AUC12+ATN13-AUC13)/AUC12),0)</f>
        <v/>
      </c>
      <c r="AVA13" s="12" t="n">
        <v>9</v>
      </c>
      <c r="AVB13" s="12">
        <f>MOD(AVA13-1+LaunchMonth-1,12)+1</f>
        <v/>
      </c>
      <c r="AVC13" s="12">
        <f>INT((AVA13-1+LaunchMonth-1)/12)+1</f>
        <v/>
      </c>
      <c r="AVD13" s="12">
        <f>VLOOKUP(AVB13,WinterPivotSeasonTable,5,FALSE)</f>
        <v/>
      </c>
      <c r="AVE13" s="12">
        <f>(1+InflationRate)^INT((AVA13-1)/12)</f>
        <v/>
      </c>
      <c r="AVF13" s="11">
        <f>MonthlyChurn*VLOOKUP(AVB13,WinterPivotChurnTable,6,FALSE)</f>
        <v/>
      </c>
      <c r="AVG13" s="12">
        <f>MIN(MAX(MktMin7_12,AWE12*MktPct7_12),MAX(0,AWS12-CashBuffer))</f>
        <v/>
      </c>
      <c r="AVH13" s="12">
        <f>IF(AVG13&gt;0,MAX(1,ROUND(AVG13/CAC*AVD13,0)),0)</f>
        <v/>
      </c>
      <c r="AVI13" s="12">
        <f>IF(AVH13&gt;0,ROUND(AVH13*ReferralMix/(1-ReferralMix),0),0)</f>
        <v/>
      </c>
      <c r="AVJ13" s="12">
        <f>AVH13+AVI13</f>
        <v/>
      </c>
      <c r="AVK13" s="12">
        <f>ROUND(AVJ13*(1-AnnualMix),0)</f>
        <v/>
      </c>
      <c r="AVL13" s="12">
        <f>AVJ13-AVK13</f>
        <v/>
      </c>
      <c r="AVM13" s="12">
        <f>ROUND(AVK13*'Sens - Winter Pivot'!$B$6,0)</f>
        <v/>
      </c>
      <c r="AVN13" s="12">
        <f>ROUND(AVK13*PremiumMix,0)</f>
        <v/>
      </c>
      <c r="AVO13" s="12">
        <f>AVK13-AVM13-AVN13</f>
        <v/>
      </c>
      <c r="AVP13" s="12">
        <f>ROUND(AVL13*'Sens - Winter Pivot'!$B$6,0)</f>
        <v/>
      </c>
      <c r="AVQ13" s="12">
        <f>ROUND(AVL13*PremiumMix,0)</f>
        <v/>
      </c>
      <c r="AVR13" s="12">
        <f>AVL13-AVP13-AVQ13</f>
        <v/>
      </c>
      <c r="AVS13" s="12">
        <f>AVM13+AVM12+AVM11+MAX(0,AVS12-AVM12-AVM11)*(1-AVF13)</f>
        <v/>
      </c>
      <c r="AVT13" s="12">
        <f>AVN13+AVN12+AVN11+MAX(0,AVT12-AVN12-AVN11)*(1-AVF13)</f>
        <v/>
      </c>
      <c r="AVU13" s="12">
        <f>AVO13+AVO12+AVO11+MAX(0,AVU12-AVO12-AVO11)*(1-AVF13)</f>
        <v/>
      </c>
      <c r="AVV13" s="12">
        <f>SUM(AVP$5:AVP13)</f>
        <v/>
      </c>
      <c r="AVW13" s="12">
        <f>SUM(AVQ$5:AVQ13)</f>
        <v/>
      </c>
      <c r="AVX13" s="12">
        <f>SUM(AVR$5:AVR13)</f>
        <v/>
      </c>
      <c r="AVY13" s="12">
        <f>AVS13+AVT13+AVU13+AVV13+AVW13+AVX13</f>
        <v/>
      </c>
      <c r="AVZ13" s="9">
        <f>AVS13*BlendedPriceEssMonthly*AVE13+AVT13*(BlendedPricePremMonthly+'Sens - Winter Pivot'!$B$7)*AVE13+AVU13*BlendedPriceEliteMonthly*AVE13+AVV13*BlendedPriceEssAnnual*AVE13/12+AVW13*(BlendedPricePremAnnual+'Sens - Winter Pivot'!$B$7*12)*AVE13/12+AVX13*BlendedPriceEliteAnnual*AVE13/12</f>
        <v/>
      </c>
      <c r="AWA13" s="9">
        <f>AVZ13*12</f>
        <v/>
      </c>
      <c r="AWB13" s="12">
        <f>AVS13*BlendedPriceEssMonthly*AVE13+AVT13*(BlendedPricePremMonthly+'Sens - Winter Pivot'!$B$7)*AVE13+AVU13*BlendedPriceEliteMonthly*AVE13</f>
        <v/>
      </c>
      <c r="AWC13" s="12">
        <f>AVP13*BlendedPriceEssAnnual*AVE13+AVQ13*(BlendedPricePremAnnual+'Sens - Winter Pivot'!$B$7*12)*AVE13+AVR13*BlendedPriceEliteAnnual*AVE13</f>
        <v/>
      </c>
      <c r="AWD13" s="12">
        <f>0+0+0</f>
        <v/>
      </c>
      <c r="AWE13" s="9">
        <f>AWB13+AWC13+AWD13</f>
        <v/>
      </c>
      <c r="AWF13" s="12">
        <f>SUM(AWE$5:AWE13)</f>
        <v/>
      </c>
      <c r="AWG13" s="12">
        <f>OR(AWG12,IF(VATAgentMode,SUM($AWE$5:$AWE13)-SUM($AWL$5:$AWL13)&gt;=VATThreshold,SUM($AWE$5:$AWE13)&gt;=VATThreshold))</f>
        <v/>
      </c>
      <c r="AWH13" s="9">
        <f>IF(AWG13,IF(VATAgentMode,AWE13-((AWE13-AWL13)-(AWE13-AWL13)/(1+VATRate)),AWE13/(1+VATRate)),AWE13)</f>
        <v/>
      </c>
      <c r="AWI13" s="12">
        <f>AWE13-AWH13</f>
        <v/>
      </c>
      <c r="AWJ13" s="12">
        <f>IF(AWG13=0,0,IF(AVB13=1,SUMPRODUCT(--(($AVC$5:$AVC13=$AVC13-1)*($AVB$5:$AVB13&gt;=10)*($AVB$5:$AVB13&lt;=12)),$AWI$5:$AWI13),IF(AVB13=4,SUMPRODUCT(--(($AVC$5:$AVC13=$AVC13)*($AVB$5:$AVB13&gt;=1)*($AVB$5:$AVB13&lt;=3)),$AWI$5:$AWI13),IF(AVB13=7,SUMPRODUCT(--(($AVC$5:$AVC13=$AVC13)*($AVB$5:$AVB13&gt;=4)*($AVB$5:$AVB13&lt;=6)),$AWI$5:$AWI13),IF(AVB13=10,SUMPRODUCT(--(($AVC$5:$AVC13=$AVC13)*($AVB$5:$AVB13&gt;=7)*($AVB$5:$AVB13&lt;=9)),$AWI$5:$AWI13),0)))))</f>
        <v/>
      </c>
      <c r="AWK13" s="12">
        <f>AWK12+AWI13-AWJ13</f>
        <v/>
      </c>
      <c r="AWL13" s="12">
        <f>IF(ProviderDelay&gt;=1,AVS12*BlendedProvPayEss+AVT12*BlendedProvPayPrem+AVU12*BlendedProvPayElite+AVV12*BlendedProvPayEss+AVW12*BlendedProvPayPrem+AVX12*BlendedProvPayElite,AVS13*BlendedProvPayEss+AVT13*BlendedProvPayPrem+AVU13*BlendedProvPayElite+AVV13*BlendedProvPayEss+AVW13*BlendedProvPayPrem+AVX13*BlendedProvPayElite)</f>
        <v/>
      </c>
      <c r="AWM13" s="12">
        <f>AWE13*PaymentFee</f>
        <v/>
      </c>
      <c r="AWN13" s="12">
        <f>AVY13*OpsAI</f>
        <v/>
      </c>
      <c r="AWO13" s="12">
        <f>MonthlyFixed</f>
        <v/>
      </c>
      <c r="AWP13" s="12">
        <f>AVI13*ReferralReward</f>
        <v/>
      </c>
      <c r="AWQ13" s="12">
        <f>AVG13</f>
        <v/>
      </c>
      <c r="AWR13" s="9">
        <f>AWH13-AWL13-AWM13-AWN13-AWO13-AWP13-AWQ13</f>
        <v/>
      </c>
      <c r="AWS13" s="9">
        <f>AWS12+AWE13-(AWL13+AWM13+AWN13+AWO13+AWP13+AWQ13+AWJ13)</f>
        <v/>
      </c>
      <c r="AWT13" s="12">
        <f>IF(AVY13&gt;0,AVZ13/AVY13,0)</f>
        <v/>
      </c>
      <c r="AWU13" s="11">
        <f>IF(AVY12&gt;0,MAX(0,(AVY12+AVJ13-AVY13)/AVY12),0)</f>
        <v/>
      </c>
    </row>
    <row r="14">
      <c r="A14" s="12" t="n">
        <v>10</v>
      </c>
      <c r="B14" s="12">
        <f>MOD(A14-1+LaunchMonth-1,12)+1</f>
        <v/>
      </c>
      <c r="C14" s="12">
        <f>INT((A14-1+LaunchMonth-1)/12)+1</f>
        <v/>
      </c>
      <c r="D14" s="12">
        <f>VLOOKUP(B14,SeasonTable,2,FALSE)</f>
        <v/>
      </c>
      <c r="E14" s="12">
        <f>(1+InflationRate)^INT((A14-1)/12)</f>
        <v/>
      </c>
      <c r="F14" s="11">
        <f>'Sens - Scenarios'!$B$5*VLOOKUP(B14,ChurnSeasonTable,4,FALSE)</f>
        <v/>
      </c>
      <c r="G14" s="12">
        <f>MIN(MAX(MktMin7_12,AE13*MktPct7_12),MAX(0,AS13-CashBuffer))</f>
        <v/>
      </c>
      <c r="H14" s="12">
        <f>IF(G14&gt;0,MAX(1,ROUND(G14/'Sens - Scenarios'!$B$8*D14,0)),0)</f>
        <v/>
      </c>
      <c r="I14" s="12">
        <f>IF(H14&gt;0,ROUND(H14*ReferralMix/(1-ReferralMix),0),0)</f>
        <v/>
      </c>
      <c r="J14" s="12">
        <f>H14+I14</f>
        <v/>
      </c>
      <c r="K14" s="12">
        <f>ROUND(J14*(1-'Sens - Scenarios'!$B$7),0)</f>
        <v/>
      </c>
      <c r="L14" s="12">
        <f>J14-K14</f>
        <v/>
      </c>
      <c r="M14" s="12">
        <f>ROUND(K14*EssentialMix,0)</f>
        <v/>
      </c>
      <c r="N14" s="12">
        <f>ROUND(K14*PremiumMix,0)</f>
        <v/>
      </c>
      <c r="O14" s="12">
        <f>K14-M14-N14</f>
        <v/>
      </c>
      <c r="P14" s="12">
        <f>ROUND(L14*EssentialMix,0)</f>
        <v/>
      </c>
      <c r="Q14" s="12">
        <f>ROUND(L14*PremiumMix,0)</f>
        <v/>
      </c>
      <c r="R14" s="12">
        <f>L14-P14-Q14</f>
        <v/>
      </c>
      <c r="S14" s="12">
        <f>M14+M13+M12+MAX(0,S13-M13-M12)*(1-F14)</f>
        <v/>
      </c>
      <c r="T14" s="12">
        <f>N14+N13+N12+MAX(0,T13-N13-N12)*(1-F14)</f>
        <v/>
      </c>
      <c r="U14" s="12">
        <f>O14+O13+O12+MAX(0,U13-O13-O12)*(1-F14)</f>
        <v/>
      </c>
      <c r="V14" s="12">
        <f>SUM(P$5:P14)</f>
        <v/>
      </c>
      <c r="W14" s="12">
        <f>SUM(Q$5:Q14)</f>
        <v/>
      </c>
      <c r="X14" s="12">
        <f>SUM(R$5:R14)</f>
        <v/>
      </c>
      <c r="Y14" s="12">
        <f>S14+T14+U14+V14+W14+X14</f>
        <v/>
      </c>
      <c r="Z14" s="9">
        <f>S14*BlendedPriceEssMonthly*E14+T14*BlendedPricePremMonthly*E14+U14*BlendedPriceEliteMonthly*E14+V14*BlendedPriceEssAnnual*E14/12+W14*BlendedPricePremAnnual*E14/12+X14*BlendedPriceEliteAnnual*E14/12</f>
        <v/>
      </c>
      <c r="AA14" s="9">
        <f>Z14*12</f>
        <v/>
      </c>
      <c r="AB14" s="12">
        <f>S14*BlendedPriceEssMonthly*E14+T14*BlendedPricePremMonthly*E14+U14*BlendedPriceEliteMonthly*E14</f>
        <v/>
      </c>
      <c r="AC14" s="12">
        <f>P14*BlendedPriceEssAnnual*E14+Q14*BlendedPricePremAnnual*E14+R14*BlendedPriceEliteAnnual*E14</f>
        <v/>
      </c>
      <c r="AD14" s="12">
        <f>0+0+0</f>
        <v/>
      </c>
      <c r="AE14" s="9">
        <f>AB14+AC14+AD14</f>
        <v/>
      </c>
      <c r="AF14" s="12">
        <f>SUM(AE$5:AE14)</f>
        <v/>
      </c>
      <c r="AG14" s="12">
        <f>OR(AG13,IF(VATAgentMode,SUM($AE$5:$AE14)-SUM($AL$5:$AL14)&gt;=VATThreshold,SUM($AE$5:$AE14)&gt;=VATThreshold))</f>
        <v/>
      </c>
      <c r="AH14" s="9">
        <f>IF(AG14,IF(VATAgentMode,AE14-((AE14-AL14)-(AE14-AL14)/(1+VATRate)),AE14/(1+VATRate)),AE14)</f>
        <v/>
      </c>
      <c r="AI14" s="12">
        <f>AE14-AH14</f>
        <v/>
      </c>
      <c r="AJ14" s="12">
        <f>IF(AG14=0,0,IF(B14=1,SUMPRODUCT(--(($C$5:$C14=$C14-1)*($B$5:$B14&gt;=10)*($B$5:$B14&lt;=12)),$AI$5:$AI14),IF(B14=4,SUMPRODUCT(--(($C$5:$C14=$C14)*($B$5:$B14&gt;=1)*($B$5:$B14&lt;=3)),$AI$5:$AI14),IF(B14=7,SUMPRODUCT(--(($C$5:$C14=$C14)*($B$5:$B14&gt;=4)*($B$5:$B14&lt;=6)),$AI$5:$AI14),IF(B14=10,SUMPRODUCT(--(($C$5:$C14=$C14)*($B$5:$B14&gt;=7)*($B$5:$B14&lt;=9)),$AI$5:$AI14),0)))))</f>
        <v/>
      </c>
      <c r="AK14" s="12">
        <f>AK13+AI14-AJ14</f>
        <v/>
      </c>
      <c r="AL14" s="12">
        <f>IF(ProviderDelay&gt;=1,S13*BlendedProvPayEss+T13*BlendedProvPayPrem+U13*BlendedProvPayElite+V13*BlendedProvPayEss+W13*BlendedProvPayPrem+X13*BlendedProvPayElite,S14*BlendedProvPayEss+T14*BlendedProvPayPrem+U14*BlendedProvPayElite+V14*BlendedProvPayEss+W14*BlendedProvPayPrem+X14*BlendedProvPayElite)</f>
        <v/>
      </c>
      <c r="AM14" s="12">
        <f>AE14*PaymentFee</f>
        <v/>
      </c>
      <c r="AN14" s="12">
        <f>Y14*OpsAI</f>
        <v/>
      </c>
      <c r="AO14" s="12">
        <f>MonthlyFixed</f>
        <v/>
      </c>
      <c r="AP14" s="12">
        <f>I14*ReferralReward</f>
        <v/>
      </c>
      <c r="AQ14" s="12">
        <f>G14</f>
        <v/>
      </c>
      <c r="AR14" s="9">
        <f>AH14-AL14-AM14-AN14-AO14-AP14-AQ14</f>
        <v/>
      </c>
      <c r="AS14" s="9">
        <f>AS13+AE14-(AL14+AM14+AN14+AO14+AP14+AQ14+AJ14)</f>
        <v/>
      </c>
      <c r="AT14" s="12">
        <f>IF(Y14&gt;0,Z14/Y14,0)</f>
        <v/>
      </c>
      <c r="AU14" s="11">
        <f>IF(Y13&gt;0,MAX(0,(Y13+J14-Y14)/Y13),0)</f>
        <v/>
      </c>
      <c r="AW14" s="12" t="n">
        <v>10</v>
      </c>
      <c r="AX14" s="12">
        <f>MOD(AW14-1+LaunchMonth-1,12)+1</f>
        <v/>
      </c>
      <c r="AY14" s="12">
        <f>INT((AW14-1+LaunchMonth-1)/12)+1</f>
        <v/>
      </c>
      <c r="AZ14" s="12">
        <f>VLOOKUP(AX14,SeasonTable,2,FALSE)</f>
        <v/>
      </c>
      <c r="BA14" s="12">
        <f>(1+InflationRate)^INT((AW14-1)/12)</f>
        <v/>
      </c>
      <c r="BB14" s="11">
        <f>MonthlyChurn*VLOOKUP(AX14,ChurnSeasonTable,4,FALSE)</f>
        <v/>
      </c>
      <c r="BC14" s="12">
        <f>MIN(MAX(MktMin7_12,CA13*MktPct7_12),MAX(0,CO13-CashBuffer))</f>
        <v/>
      </c>
      <c r="BD14" s="12">
        <f>IF(BC14&gt;0,MAX(1,ROUND(BC14/CAC*AZ14,0)),0)</f>
        <v/>
      </c>
      <c r="BE14" s="12">
        <f>IF(BD14&gt;0,ROUND(BD14*ReferralMix/(1-ReferralMix),0),0)</f>
        <v/>
      </c>
      <c r="BF14" s="12">
        <f>BD14+BE14</f>
        <v/>
      </c>
      <c r="BG14" s="12">
        <f>ROUND(BF14*(1-AnnualMix),0)</f>
        <v/>
      </c>
      <c r="BH14" s="12">
        <f>BF14-BG14</f>
        <v/>
      </c>
      <c r="BI14" s="12">
        <f>ROUND(BG14*EssentialMix,0)</f>
        <v/>
      </c>
      <c r="BJ14" s="12">
        <f>ROUND(BG14*PremiumMix,0)</f>
        <v/>
      </c>
      <c r="BK14" s="12">
        <f>BG14-BI14-BJ14</f>
        <v/>
      </c>
      <c r="BL14" s="12">
        <f>ROUND(BH14*EssentialMix,0)</f>
        <v/>
      </c>
      <c r="BM14" s="12">
        <f>ROUND(BH14*PremiumMix,0)</f>
        <v/>
      </c>
      <c r="BN14" s="12">
        <f>BH14-BL14-BM14</f>
        <v/>
      </c>
      <c r="BO14" s="12">
        <f>BI14+BI13+BI12+MAX(0,BO13-BI13-BI12)*(1-BB14)</f>
        <v/>
      </c>
      <c r="BP14" s="12">
        <f>BJ14+BJ13+BJ12+MAX(0,BP13-BJ13-BJ12)*(1-BB14)</f>
        <v/>
      </c>
      <c r="BQ14" s="12">
        <f>BK14+BK13+BK12+MAX(0,BQ13-BK13-BK12)*(1-BB14)</f>
        <v/>
      </c>
      <c r="BR14" s="12">
        <f>SUM(BL$5:BL14)</f>
        <v/>
      </c>
      <c r="BS14" s="12">
        <f>SUM(BM$5:BM14)</f>
        <v/>
      </c>
      <c r="BT14" s="12">
        <f>SUM(BN$5:BN14)</f>
        <v/>
      </c>
      <c r="BU14" s="12">
        <f>BO14+BP14+BQ14+BR14+BS14+BT14</f>
        <v/>
      </c>
      <c r="BV14" s="9">
        <f>BO14*BlendedPriceEssMonthly*BA14+BP14*BlendedPricePremMonthly*BA14+BQ14*BlendedPriceEliteMonthly*BA14+BR14*BlendedPriceEssAnnual*BA14/12+BS14*BlendedPricePremAnnual*BA14/12+BT14*BlendedPriceEliteAnnual*BA14/12</f>
        <v/>
      </c>
      <c r="BW14" s="9">
        <f>BV14*12</f>
        <v/>
      </c>
      <c r="BX14" s="12">
        <f>BO14*BlendedPriceEssMonthly*BA14+BP14*BlendedPricePremMonthly*BA14+BQ14*BlendedPriceEliteMonthly*BA14</f>
        <v/>
      </c>
      <c r="BY14" s="12">
        <f>BL14*BlendedPriceEssAnnual*BA14+BM14*BlendedPricePremAnnual*BA14+BN14*BlendedPriceEliteAnnual*BA14</f>
        <v/>
      </c>
      <c r="BZ14" s="12">
        <f>0+0+0</f>
        <v/>
      </c>
      <c r="CA14" s="9">
        <f>BX14+BY14+BZ14</f>
        <v/>
      </c>
      <c r="CB14" s="12">
        <f>SUM(CA$5:CA14)</f>
        <v/>
      </c>
      <c r="CC14" s="12">
        <f>OR(CC13,IF(VATAgentMode,SUM($CA$5:$CA14)-SUM($CH$5:$CH14)&gt;=VATThreshold,SUM($CA$5:$CA14)&gt;=VATThreshold))</f>
        <v/>
      </c>
      <c r="CD14" s="9">
        <f>IF(CC14,IF(VATAgentMode,CA14-((CA14-CH14)-(CA14-CH14)/(1+VATRate)),CA14/(1+VATRate)),CA14)</f>
        <v/>
      </c>
      <c r="CE14" s="12">
        <f>CA14-CD14</f>
        <v/>
      </c>
      <c r="CF14" s="12">
        <f>IF(CC14=0,0,IF(AX14=1,SUMPRODUCT(--(($AY$5:$AY14=$AY14-1)*($AX$5:$AX14&gt;=10)*($AX$5:$AX14&lt;=12)),$CE$5:$CE14),IF(AX14=4,SUMPRODUCT(--(($AY$5:$AY14=$AY14)*($AX$5:$AX14&gt;=1)*($AX$5:$AX14&lt;=3)),$CE$5:$CE14),IF(AX14=7,SUMPRODUCT(--(($AY$5:$AY14=$AY14)*($AX$5:$AX14&gt;=4)*($AX$5:$AX14&lt;=6)),$CE$5:$CE14),IF(AX14=10,SUMPRODUCT(--(($AY$5:$AY14=$AY14)*($AX$5:$AX14&gt;=7)*($AX$5:$AX14&lt;=9)),$CE$5:$CE14),0)))))</f>
        <v/>
      </c>
      <c r="CG14" s="12">
        <f>CG13+CE14-CF14</f>
        <v/>
      </c>
      <c r="CH14" s="12">
        <f>IF(ProviderDelay&gt;=1,BO13*BlendedProvPayEss+BP13*BlendedProvPayPrem+BQ13*BlendedProvPayElite+BR13*BlendedProvPayEss+BS13*BlendedProvPayPrem+BT13*BlendedProvPayElite,BO14*BlendedProvPayEss+BP14*BlendedProvPayPrem+BQ14*BlendedProvPayElite+BR14*BlendedProvPayEss+BS14*BlendedProvPayPrem+BT14*BlendedProvPayElite)</f>
        <v/>
      </c>
      <c r="CI14" s="12">
        <f>CA14*PaymentFee</f>
        <v/>
      </c>
      <c r="CJ14" s="12">
        <f>BU14*OpsAI</f>
        <v/>
      </c>
      <c r="CK14" s="12">
        <f>MonthlyFixed</f>
        <v/>
      </c>
      <c r="CL14" s="12">
        <f>BE14*ReferralReward</f>
        <v/>
      </c>
      <c r="CM14" s="12">
        <f>BC14</f>
        <v/>
      </c>
      <c r="CN14" s="9">
        <f>CD14-CH14-CI14-CJ14-CK14-CL14-CM14</f>
        <v/>
      </c>
      <c r="CO14" s="9">
        <f>CO13+CA14-(CH14+CI14+CJ14+CK14+CL14+CM14+CF14)</f>
        <v/>
      </c>
      <c r="CP14" s="12">
        <f>IF(BU14&gt;0,BV14/BU14,0)</f>
        <v/>
      </c>
      <c r="CQ14" s="11">
        <f>IF(BU13&gt;0,MAX(0,(BU13+BF14-BU14)/BU13),0)</f>
        <v/>
      </c>
      <c r="CS14" s="12" t="n">
        <v>10</v>
      </c>
      <c r="CT14" s="12">
        <f>MOD(CS14-1+LaunchMonth-1,12)+1</f>
        <v/>
      </c>
      <c r="CU14" s="12">
        <f>INT((CS14-1+LaunchMonth-1)/12)+1</f>
        <v/>
      </c>
      <c r="CV14" s="12">
        <f>VLOOKUP(CT14,SeasonTable,2,FALSE)</f>
        <v/>
      </c>
      <c r="CW14" s="12">
        <f>(1+InflationRate)^INT((CS14-1)/12)</f>
        <v/>
      </c>
      <c r="CX14" s="11">
        <f>'Sens - Scenarios'!$D$5*VLOOKUP(CT14,ChurnSeasonTable,4,FALSE)</f>
        <v/>
      </c>
      <c r="CY14" s="12">
        <f>MIN(MAX(MktMin7_12,DW13*MktPct7_12),MAX(0,EK13-CashBuffer))</f>
        <v/>
      </c>
      <c r="CZ14" s="12">
        <f>IF(CY14&gt;0,MAX(1,ROUND(CY14/'Sens - Scenarios'!$D$8*CV14,0)),0)</f>
        <v/>
      </c>
      <c r="DA14" s="12">
        <f>IF(CZ14&gt;0,ROUND(CZ14*ReferralMix/(1-ReferralMix),0),0)</f>
        <v/>
      </c>
      <c r="DB14" s="12">
        <f>CZ14+DA14</f>
        <v/>
      </c>
      <c r="DC14" s="12">
        <f>ROUND(DB14*(1-'Sens - Scenarios'!$D$7),0)</f>
        <v/>
      </c>
      <c r="DD14" s="12">
        <f>DB14-DC14</f>
        <v/>
      </c>
      <c r="DE14" s="12">
        <f>ROUND(DC14*EssentialMix,0)</f>
        <v/>
      </c>
      <c r="DF14" s="12">
        <f>ROUND(DC14*PremiumMix,0)</f>
        <v/>
      </c>
      <c r="DG14" s="12">
        <f>DC14-DE14-DF14</f>
        <v/>
      </c>
      <c r="DH14" s="12">
        <f>ROUND(DD14*EssentialMix,0)</f>
        <v/>
      </c>
      <c r="DI14" s="12">
        <f>ROUND(DD14*PremiumMix,0)</f>
        <v/>
      </c>
      <c r="DJ14" s="12">
        <f>DD14-DH14-DI14</f>
        <v/>
      </c>
      <c r="DK14" s="12">
        <f>DE14+DE13+DE12+MAX(0,DK13-DE13-DE12)*(1-CX14)</f>
        <v/>
      </c>
      <c r="DL14" s="12">
        <f>DF14+DF13+DF12+MAX(0,DL13-DF13-DF12)*(1-CX14)</f>
        <v/>
      </c>
      <c r="DM14" s="12">
        <f>DG14+DG13+DG12+MAX(0,DM13-DG13-DG12)*(1-CX14)</f>
        <v/>
      </c>
      <c r="DN14" s="12">
        <f>SUM(DH$5:DH14)</f>
        <v/>
      </c>
      <c r="DO14" s="12">
        <f>SUM(DI$5:DI14)</f>
        <v/>
      </c>
      <c r="DP14" s="12">
        <f>SUM(DJ$5:DJ14)</f>
        <v/>
      </c>
      <c r="DQ14" s="12">
        <f>DK14+DL14+DM14+DN14+DO14+DP14</f>
        <v/>
      </c>
      <c r="DR14" s="9">
        <f>DK14*BlendedPriceEssMonthly*CW14+DL14*BlendedPricePremMonthly*CW14+DM14*BlendedPriceEliteMonthly*CW14+DN14*BlendedPriceEssAnnual*CW14/12+DO14*BlendedPricePremAnnual*CW14/12+DP14*BlendedPriceEliteAnnual*CW14/12</f>
        <v/>
      </c>
      <c r="DS14" s="9">
        <f>DR14*12</f>
        <v/>
      </c>
      <c r="DT14" s="12">
        <f>DK14*BlendedPriceEssMonthly*CW14+DL14*BlendedPricePremMonthly*CW14+DM14*BlendedPriceEliteMonthly*CW14</f>
        <v/>
      </c>
      <c r="DU14" s="12">
        <f>DH14*BlendedPriceEssAnnual*CW14+DI14*BlendedPricePremAnnual*CW14+DJ14*BlendedPriceEliteAnnual*CW14</f>
        <v/>
      </c>
      <c r="DV14" s="12">
        <f>0+0+0</f>
        <v/>
      </c>
      <c r="DW14" s="9">
        <f>DT14+DU14+DV14</f>
        <v/>
      </c>
      <c r="DX14" s="12">
        <f>SUM(DW$5:DW14)</f>
        <v/>
      </c>
      <c r="DY14" s="12">
        <f>OR(DY13,IF(VATAgentMode,SUM($DW$5:$DW14)-SUM($ED$5:$ED14)&gt;=VATThreshold,SUM($DW$5:$DW14)&gt;=VATThreshold))</f>
        <v/>
      </c>
      <c r="DZ14" s="9">
        <f>IF(DY14,IF(VATAgentMode,DW14-((DW14-ED14)-(DW14-ED14)/(1+VATRate)),DW14/(1+VATRate)),DW14)</f>
        <v/>
      </c>
      <c r="EA14" s="12">
        <f>DW14-DZ14</f>
        <v/>
      </c>
      <c r="EB14" s="12">
        <f>IF(DY14=0,0,IF(CT14=1,SUMPRODUCT(--(($CU$5:$CU14=$CU14-1)*($CT$5:$CT14&gt;=10)*($CT$5:$CT14&lt;=12)),$EA$5:$EA14),IF(CT14=4,SUMPRODUCT(--(($CU$5:$CU14=$CU14)*($CT$5:$CT14&gt;=1)*($CT$5:$CT14&lt;=3)),$EA$5:$EA14),IF(CT14=7,SUMPRODUCT(--(($CU$5:$CU14=$CU14)*($CT$5:$CT14&gt;=4)*($CT$5:$CT14&lt;=6)),$EA$5:$EA14),IF(CT14=10,SUMPRODUCT(--(($CU$5:$CU14=$CU14)*($CT$5:$CT14&gt;=7)*($CT$5:$CT14&lt;=9)),$EA$5:$EA14),0)))))</f>
        <v/>
      </c>
      <c r="EC14" s="12">
        <f>EC13+EA14-EB14</f>
        <v/>
      </c>
      <c r="ED14" s="12">
        <f>IF(ProviderDelay&gt;=1,DK13*BlendedProvPayEss+DL13*BlendedProvPayPrem+DM13*BlendedProvPayElite+DN13*BlendedProvPayEss+DO13*BlendedProvPayPrem+DP13*BlendedProvPayElite,DK14*BlendedProvPayEss+DL14*BlendedProvPayPrem+DM14*BlendedProvPayElite+DN14*BlendedProvPayEss+DO14*BlendedProvPayPrem+DP14*BlendedProvPayElite)</f>
        <v/>
      </c>
      <c r="EE14" s="12">
        <f>DW14*PaymentFee</f>
        <v/>
      </c>
      <c r="EF14" s="12">
        <f>DQ14*OpsAI</f>
        <v/>
      </c>
      <c r="EG14" s="12">
        <f>MonthlyFixed</f>
        <v/>
      </c>
      <c r="EH14" s="12">
        <f>DA14*ReferralReward</f>
        <v/>
      </c>
      <c r="EI14" s="12">
        <f>CY14</f>
        <v/>
      </c>
      <c r="EJ14" s="9">
        <f>DZ14-ED14-EE14-EF14-EG14-EH14-EI14</f>
        <v/>
      </c>
      <c r="EK14" s="9">
        <f>EK13+DW14-(ED14+EE14+EF14+EG14+EH14+EI14+EB14)</f>
        <v/>
      </c>
      <c r="EL14" s="12">
        <f>IF(DQ14&gt;0,DR14/DQ14,0)</f>
        <v/>
      </c>
      <c r="EM14" s="11">
        <f>IF(DQ13&gt;0,MAX(0,(DQ13+DB14-DQ14)/DQ13),0)</f>
        <v/>
      </c>
      <c r="EO14" s="12" t="n">
        <v>10</v>
      </c>
      <c r="EP14" s="12">
        <f>MOD(EO14-1+LaunchMonth-1,12)+1</f>
        <v/>
      </c>
      <c r="EQ14" s="12">
        <f>INT((EO14-1+LaunchMonth-1)/12)+1</f>
        <v/>
      </c>
      <c r="ER14" s="12">
        <f>VLOOKUP(EP14,SeasonTable,2,FALSE)</f>
        <v/>
      </c>
      <c r="ES14" s="12">
        <f>(1+InflationRate)^INT((EO14-1)/12)</f>
        <v/>
      </c>
      <c r="ET14" s="11">
        <f>'Sens - Churn'!$A$13*VLOOKUP(EP14,ChurnSeasonTable,4,FALSE)</f>
        <v/>
      </c>
      <c r="EU14" s="12">
        <f>MIN(MAX(MktMin7_12,FS13*MktPct7_12),MAX(0,GG13-CashBuffer))</f>
        <v/>
      </c>
      <c r="EV14" s="12">
        <f>IF(EU14&gt;0,MAX(1,ROUND(EU14/CAC*ER14,0)),0)</f>
        <v/>
      </c>
      <c r="EW14" s="12">
        <f>IF(EV14&gt;0,ROUND(EV14*ReferralMix/(1-ReferralMix),0),0)</f>
        <v/>
      </c>
      <c r="EX14" s="12">
        <f>EV14+EW14</f>
        <v/>
      </c>
      <c r="EY14" s="12">
        <f>ROUND(EX14*(1-AnnualMix),0)</f>
        <v/>
      </c>
      <c r="EZ14" s="12">
        <f>EX14-EY14</f>
        <v/>
      </c>
      <c r="FA14" s="12">
        <f>ROUND(EY14*EssentialMix,0)</f>
        <v/>
      </c>
      <c r="FB14" s="12">
        <f>ROUND(EY14*PremiumMix,0)</f>
        <v/>
      </c>
      <c r="FC14" s="12">
        <f>EY14-FA14-FB14</f>
        <v/>
      </c>
      <c r="FD14" s="12">
        <f>ROUND(EZ14*EssentialMix,0)</f>
        <v/>
      </c>
      <c r="FE14" s="12">
        <f>ROUND(EZ14*PremiumMix,0)</f>
        <v/>
      </c>
      <c r="FF14" s="12">
        <f>EZ14-FD14-FE14</f>
        <v/>
      </c>
      <c r="FG14" s="12">
        <f>FA14+FA13+FA12+MAX(0,FG13-FA13-FA12)*(1-ET14)</f>
        <v/>
      </c>
      <c r="FH14" s="12">
        <f>FB14+FB13+FB12+MAX(0,FH13-FB13-FB12)*(1-ET14)</f>
        <v/>
      </c>
      <c r="FI14" s="12">
        <f>FC14+FC13+FC12+MAX(0,FI13-FC13-FC12)*(1-ET14)</f>
        <v/>
      </c>
      <c r="FJ14" s="12">
        <f>SUM(FD$5:FD14)</f>
        <v/>
      </c>
      <c r="FK14" s="12">
        <f>SUM(FE$5:FE14)</f>
        <v/>
      </c>
      <c r="FL14" s="12">
        <f>SUM(FF$5:FF14)</f>
        <v/>
      </c>
      <c r="FM14" s="12">
        <f>FG14+FH14+FI14+FJ14+FK14+FL14</f>
        <v/>
      </c>
      <c r="FN14" s="9">
        <f>FG14*BlendedPriceEssMonthly*ES14+FH14*BlendedPricePremMonthly*ES14+FI14*BlendedPriceEliteMonthly*ES14+FJ14*BlendedPriceEssAnnual*ES14/12+FK14*BlendedPricePremAnnual*ES14/12+FL14*BlendedPriceEliteAnnual*ES14/12</f>
        <v/>
      </c>
      <c r="FO14" s="9">
        <f>FN14*12</f>
        <v/>
      </c>
      <c r="FP14" s="12">
        <f>FG14*BlendedPriceEssMonthly*ES14+FH14*BlendedPricePremMonthly*ES14+FI14*BlendedPriceEliteMonthly*ES14</f>
        <v/>
      </c>
      <c r="FQ14" s="12">
        <f>FD14*BlendedPriceEssAnnual*ES14+FE14*BlendedPricePremAnnual*ES14+FF14*BlendedPriceEliteAnnual*ES14</f>
        <v/>
      </c>
      <c r="FR14" s="12">
        <f>0+0+0</f>
        <v/>
      </c>
      <c r="FS14" s="9">
        <f>FP14+FQ14+FR14</f>
        <v/>
      </c>
      <c r="FT14" s="12">
        <f>SUM(FS$5:FS14)</f>
        <v/>
      </c>
      <c r="FU14" s="12">
        <f>OR(FU13,IF(VATAgentMode,SUM($FS$5:$FS14)-SUM($FZ$5:$FZ14)&gt;=VATThreshold,SUM($FS$5:$FS14)&gt;=VATThreshold))</f>
        <v/>
      </c>
      <c r="FV14" s="9">
        <f>IF(FU14,IF(VATAgentMode,FS14-((FS14-FZ14)-(FS14-FZ14)/(1+VATRate)),FS14/(1+VATRate)),FS14)</f>
        <v/>
      </c>
      <c r="FW14" s="12">
        <f>FS14-FV14</f>
        <v/>
      </c>
      <c r="FX14" s="12">
        <f>IF(FU14=0,0,IF(EP14=1,SUMPRODUCT(--(($EQ$5:$EQ14=$EQ14-1)*($EP$5:$EP14&gt;=10)*($EP$5:$EP14&lt;=12)),$FW$5:$FW14),IF(EP14=4,SUMPRODUCT(--(($EQ$5:$EQ14=$EQ14)*($EP$5:$EP14&gt;=1)*($EP$5:$EP14&lt;=3)),$FW$5:$FW14),IF(EP14=7,SUMPRODUCT(--(($EQ$5:$EQ14=$EQ14)*($EP$5:$EP14&gt;=4)*($EP$5:$EP14&lt;=6)),$FW$5:$FW14),IF(EP14=10,SUMPRODUCT(--(($EQ$5:$EQ14=$EQ14)*($EP$5:$EP14&gt;=7)*($EP$5:$EP14&lt;=9)),$FW$5:$FW14),0)))))</f>
        <v/>
      </c>
      <c r="FY14" s="12">
        <f>FY13+FW14-FX14</f>
        <v/>
      </c>
      <c r="FZ14" s="12">
        <f>IF(ProviderDelay&gt;=1,FG13*BlendedProvPayEss+FH13*BlendedProvPayPrem+FI13*BlendedProvPayElite+FJ13*BlendedProvPayEss+FK13*BlendedProvPayPrem+FL13*BlendedProvPayElite,FG14*BlendedProvPayEss+FH14*BlendedProvPayPrem+FI14*BlendedProvPayElite+FJ14*BlendedProvPayEss+FK14*BlendedProvPayPrem+FL14*BlendedProvPayElite)</f>
        <v/>
      </c>
      <c r="GA14" s="12">
        <f>FS14*PaymentFee</f>
        <v/>
      </c>
      <c r="GB14" s="12">
        <f>FM14*OpsAI</f>
        <v/>
      </c>
      <c r="GC14" s="12">
        <f>MonthlyFixed</f>
        <v/>
      </c>
      <c r="GD14" s="12">
        <f>EW14*ReferralReward</f>
        <v/>
      </c>
      <c r="GE14" s="12">
        <f>EU14</f>
        <v/>
      </c>
      <c r="GF14" s="9">
        <f>FV14-FZ14-GA14-GB14-GC14-GD14-GE14</f>
        <v/>
      </c>
      <c r="GG14" s="9">
        <f>GG13+FS14-(FZ14+GA14+GB14+GC14+GD14+GE14+FX14)</f>
        <v/>
      </c>
      <c r="GH14" s="12">
        <f>IF(FM14&gt;0,FN14/FM14,0)</f>
        <v/>
      </c>
      <c r="GI14" s="11">
        <f>IF(FM13&gt;0,MAX(0,(FM13+EX14-FM14)/FM13),0)</f>
        <v/>
      </c>
      <c r="GK14" s="12" t="n">
        <v>10</v>
      </c>
      <c r="GL14" s="12">
        <f>MOD(GK14-1+LaunchMonth-1,12)+1</f>
        <v/>
      </c>
      <c r="GM14" s="12">
        <f>INT((GK14-1+LaunchMonth-1)/12)+1</f>
        <v/>
      </c>
      <c r="GN14" s="12">
        <f>VLOOKUP(GL14,SeasonTable,2,FALSE)</f>
        <v/>
      </c>
      <c r="GO14" s="12">
        <f>(1+InflationRate)^INT((GK14-1)/12)</f>
        <v/>
      </c>
      <c r="GP14" s="11">
        <f>'Sens - Churn'!$A$14*VLOOKUP(GL14,ChurnSeasonTable,4,FALSE)</f>
        <v/>
      </c>
      <c r="GQ14" s="12">
        <f>MIN(MAX(MktMin7_12,HO13*MktPct7_12),MAX(0,IC13-CashBuffer))</f>
        <v/>
      </c>
      <c r="GR14" s="12">
        <f>IF(GQ14&gt;0,MAX(1,ROUND(GQ14/CAC*GN14,0)),0)</f>
        <v/>
      </c>
      <c r="GS14" s="12">
        <f>IF(GR14&gt;0,ROUND(GR14*ReferralMix/(1-ReferralMix),0),0)</f>
        <v/>
      </c>
      <c r="GT14" s="12">
        <f>GR14+GS14</f>
        <v/>
      </c>
      <c r="GU14" s="12">
        <f>ROUND(GT14*(1-AnnualMix),0)</f>
        <v/>
      </c>
      <c r="GV14" s="12">
        <f>GT14-GU14</f>
        <v/>
      </c>
      <c r="GW14" s="12">
        <f>ROUND(GU14*EssentialMix,0)</f>
        <v/>
      </c>
      <c r="GX14" s="12">
        <f>ROUND(GU14*PremiumMix,0)</f>
        <v/>
      </c>
      <c r="GY14" s="12">
        <f>GU14-GW14-GX14</f>
        <v/>
      </c>
      <c r="GZ14" s="12">
        <f>ROUND(GV14*EssentialMix,0)</f>
        <v/>
      </c>
      <c r="HA14" s="12">
        <f>ROUND(GV14*PremiumMix,0)</f>
        <v/>
      </c>
      <c r="HB14" s="12">
        <f>GV14-GZ14-HA14</f>
        <v/>
      </c>
      <c r="HC14" s="12">
        <f>GW14+GW13+GW12+MAX(0,HC13-GW13-GW12)*(1-GP14)</f>
        <v/>
      </c>
      <c r="HD14" s="12">
        <f>GX14+GX13+GX12+MAX(0,HD13-GX13-GX12)*(1-GP14)</f>
        <v/>
      </c>
      <c r="HE14" s="12">
        <f>GY14+GY13+GY12+MAX(0,HE13-GY13-GY12)*(1-GP14)</f>
        <v/>
      </c>
      <c r="HF14" s="12">
        <f>SUM(GZ$5:GZ14)</f>
        <v/>
      </c>
      <c r="HG14" s="12">
        <f>SUM(HA$5:HA14)</f>
        <v/>
      </c>
      <c r="HH14" s="12">
        <f>SUM(HB$5:HB14)</f>
        <v/>
      </c>
      <c r="HI14" s="12">
        <f>HC14+HD14+HE14+HF14+HG14+HH14</f>
        <v/>
      </c>
      <c r="HJ14" s="9">
        <f>HC14*BlendedPriceEssMonthly*GO14+HD14*BlendedPricePremMonthly*GO14+HE14*BlendedPriceEliteMonthly*GO14+HF14*BlendedPriceEssAnnual*GO14/12+HG14*BlendedPricePremAnnual*GO14/12+HH14*BlendedPriceEliteAnnual*GO14/12</f>
        <v/>
      </c>
      <c r="HK14" s="9">
        <f>HJ14*12</f>
        <v/>
      </c>
      <c r="HL14" s="12">
        <f>HC14*BlendedPriceEssMonthly*GO14+HD14*BlendedPricePremMonthly*GO14+HE14*BlendedPriceEliteMonthly*GO14</f>
        <v/>
      </c>
      <c r="HM14" s="12">
        <f>GZ14*BlendedPriceEssAnnual*GO14+HA14*BlendedPricePremAnnual*GO14+HB14*BlendedPriceEliteAnnual*GO14</f>
        <v/>
      </c>
      <c r="HN14" s="12">
        <f>0+0+0</f>
        <v/>
      </c>
      <c r="HO14" s="9">
        <f>HL14+HM14+HN14</f>
        <v/>
      </c>
      <c r="HP14" s="12">
        <f>SUM(HO$5:HO14)</f>
        <v/>
      </c>
      <c r="HQ14" s="12">
        <f>OR(HQ13,IF(VATAgentMode,SUM($HO$5:$HO14)-SUM($HV$5:$HV14)&gt;=VATThreshold,SUM($HO$5:$HO14)&gt;=VATThreshold))</f>
        <v/>
      </c>
      <c r="HR14" s="9">
        <f>IF(HQ14,IF(VATAgentMode,HO14-((HO14-HV14)-(HO14-HV14)/(1+VATRate)),HO14/(1+VATRate)),HO14)</f>
        <v/>
      </c>
      <c r="HS14" s="12">
        <f>HO14-HR14</f>
        <v/>
      </c>
      <c r="HT14" s="12">
        <f>IF(HQ14=0,0,IF(GL14=1,SUMPRODUCT(--(($GM$5:$GM14=$GM14-1)*($GL$5:$GL14&gt;=10)*($GL$5:$GL14&lt;=12)),$HS$5:$HS14),IF(GL14=4,SUMPRODUCT(--(($GM$5:$GM14=$GM14)*($GL$5:$GL14&gt;=1)*($GL$5:$GL14&lt;=3)),$HS$5:$HS14),IF(GL14=7,SUMPRODUCT(--(($GM$5:$GM14=$GM14)*($GL$5:$GL14&gt;=4)*($GL$5:$GL14&lt;=6)),$HS$5:$HS14),IF(GL14=10,SUMPRODUCT(--(($GM$5:$GM14=$GM14)*($GL$5:$GL14&gt;=7)*($GL$5:$GL14&lt;=9)),$HS$5:$HS14),0)))))</f>
        <v/>
      </c>
      <c r="HU14" s="12">
        <f>HU13+HS14-HT14</f>
        <v/>
      </c>
      <c r="HV14" s="12">
        <f>IF(ProviderDelay&gt;=1,HC13*BlendedProvPayEss+HD13*BlendedProvPayPrem+HE13*BlendedProvPayElite+HF13*BlendedProvPayEss+HG13*BlendedProvPayPrem+HH13*BlendedProvPayElite,HC14*BlendedProvPayEss+HD14*BlendedProvPayPrem+HE14*BlendedProvPayElite+HF14*BlendedProvPayEss+HG14*BlendedProvPayPrem+HH14*BlendedProvPayElite)</f>
        <v/>
      </c>
      <c r="HW14" s="12">
        <f>HO14*PaymentFee</f>
        <v/>
      </c>
      <c r="HX14" s="12">
        <f>HI14*OpsAI</f>
        <v/>
      </c>
      <c r="HY14" s="12">
        <f>MonthlyFixed</f>
        <v/>
      </c>
      <c r="HZ14" s="12">
        <f>GS14*ReferralReward</f>
        <v/>
      </c>
      <c r="IA14" s="12">
        <f>GQ14</f>
        <v/>
      </c>
      <c r="IB14" s="9">
        <f>HR14-HV14-HW14-HX14-HY14-HZ14-IA14</f>
        <v/>
      </c>
      <c r="IC14" s="9">
        <f>IC13+HO14-(HV14+HW14+HX14+HY14+HZ14+IA14+HT14)</f>
        <v/>
      </c>
      <c r="ID14" s="12">
        <f>IF(HI14&gt;0,HJ14/HI14,0)</f>
        <v/>
      </c>
      <c r="IE14" s="11">
        <f>IF(HI13&gt;0,MAX(0,(HI13+GT14-HI14)/HI13),0)</f>
        <v/>
      </c>
      <c r="IG14" s="12" t="n">
        <v>10</v>
      </c>
      <c r="IH14" s="12">
        <f>MOD(IG14-1+LaunchMonth-1,12)+1</f>
        <v/>
      </c>
      <c r="II14" s="12">
        <f>INT((IG14-1+LaunchMonth-1)/12)+1</f>
        <v/>
      </c>
      <c r="IJ14" s="12">
        <f>VLOOKUP(IH14,SeasonTable,2,FALSE)</f>
        <v/>
      </c>
      <c r="IK14" s="12">
        <f>(1+InflationRate)^INT((IG14-1)/12)</f>
        <v/>
      </c>
      <c r="IL14" s="11">
        <f>'Sens - Churn'!$A$15*VLOOKUP(IH14,ChurnSeasonTable,4,FALSE)</f>
        <v/>
      </c>
      <c r="IM14" s="12">
        <f>MIN(MAX(MktMin7_12,JK13*MktPct7_12),MAX(0,JY13-CashBuffer))</f>
        <v/>
      </c>
      <c r="IN14" s="12">
        <f>IF(IM14&gt;0,MAX(1,ROUND(IM14/CAC*IJ14,0)),0)</f>
        <v/>
      </c>
      <c r="IO14" s="12">
        <f>IF(IN14&gt;0,ROUND(IN14*ReferralMix/(1-ReferralMix),0),0)</f>
        <v/>
      </c>
      <c r="IP14" s="12">
        <f>IN14+IO14</f>
        <v/>
      </c>
      <c r="IQ14" s="12">
        <f>ROUND(IP14*(1-AnnualMix),0)</f>
        <v/>
      </c>
      <c r="IR14" s="12">
        <f>IP14-IQ14</f>
        <v/>
      </c>
      <c r="IS14" s="12">
        <f>ROUND(IQ14*EssentialMix,0)</f>
        <v/>
      </c>
      <c r="IT14" s="12">
        <f>ROUND(IQ14*PremiumMix,0)</f>
        <v/>
      </c>
      <c r="IU14" s="12">
        <f>IQ14-IS14-IT14</f>
        <v/>
      </c>
      <c r="IV14" s="12">
        <f>ROUND(IR14*EssentialMix,0)</f>
        <v/>
      </c>
      <c r="IW14" s="12">
        <f>ROUND(IR14*PremiumMix,0)</f>
        <v/>
      </c>
      <c r="IX14" s="12">
        <f>IR14-IV14-IW14</f>
        <v/>
      </c>
      <c r="IY14" s="12">
        <f>IS14+IS13+IS12+MAX(0,IY13-IS13-IS12)*(1-IL14)</f>
        <v/>
      </c>
      <c r="IZ14" s="12">
        <f>IT14+IT13+IT12+MAX(0,IZ13-IT13-IT12)*(1-IL14)</f>
        <v/>
      </c>
      <c r="JA14" s="12">
        <f>IU14+IU13+IU12+MAX(0,JA13-IU13-IU12)*(1-IL14)</f>
        <v/>
      </c>
      <c r="JB14" s="12">
        <f>SUM(IV$5:IV14)</f>
        <v/>
      </c>
      <c r="JC14" s="12">
        <f>SUM(IW$5:IW14)</f>
        <v/>
      </c>
      <c r="JD14" s="12">
        <f>SUM(IX$5:IX14)</f>
        <v/>
      </c>
      <c r="JE14" s="12">
        <f>IY14+IZ14+JA14+JB14+JC14+JD14</f>
        <v/>
      </c>
      <c r="JF14" s="9">
        <f>IY14*BlendedPriceEssMonthly*IK14+IZ14*BlendedPricePremMonthly*IK14+JA14*BlendedPriceEliteMonthly*IK14+JB14*BlendedPriceEssAnnual*IK14/12+JC14*BlendedPricePremAnnual*IK14/12+JD14*BlendedPriceEliteAnnual*IK14/12</f>
        <v/>
      </c>
      <c r="JG14" s="9">
        <f>JF14*12</f>
        <v/>
      </c>
      <c r="JH14" s="12">
        <f>IY14*BlendedPriceEssMonthly*IK14+IZ14*BlendedPricePremMonthly*IK14+JA14*BlendedPriceEliteMonthly*IK14</f>
        <v/>
      </c>
      <c r="JI14" s="12">
        <f>IV14*BlendedPriceEssAnnual*IK14+IW14*BlendedPricePremAnnual*IK14+IX14*BlendedPriceEliteAnnual*IK14</f>
        <v/>
      </c>
      <c r="JJ14" s="12">
        <f>0+0+0</f>
        <v/>
      </c>
      <c r="JK14" s="9">
        <f>JH14+JI14+JJ14</f>
        <v/>
      </c>
      <c r="JL14" s="12">
        <f>SUM(JK$5:JK14)</f>
        <v/>
      </c>
      <c r="JM14" s="12">
        <f>OR(JM13,IF(VATAgentMode,SUM($JK$5:$JK14)-SUM($JR$5:$JR14)&gt;=VATThreshold,SUM($JK$5:$JK14)&gt;=VATThreshold))</f>
        <v/>
      </c>
      <c r="JN14" s="9">
        <f>IF(JM14,IF(VATAgentMode,JK14-((JK14-JR14)-(JK14-JR14)/(1+VATRate)),JK14/(1+VATRate)),JK14)</f>
        <v/>
      </c>
      <c r="JO14" s="12">
        <f>JK14-JN14</f>
        <v/>
      </c>
      <c r="JP14" s="12">
        <f>IF(JM14=0,0,IF(IH14=1,SUMPRODUCT(--(($II$5:$II14=$II14-1)*($IH$5:$IH14&gt;=10)*($IH$5:$IH14&lt;=12)),$JO$5:$JO14),IF(IH14=4,SUMPRODUCT(--(($II$5:$II14=$II14)*($IH$5:$IH14&gt;=1)*($IH$5:$IH14&lt;=3)),$JO$5:$JO14),IF(IH14=7,SUMPRODUCT(--(($II$5:$II14=$II14)*($IH$5:$IH14&gt;=4)*($IH$5:$IH14&lt;=6)),$JO$5:$JO14),IF(IH14=10,SUMPRODUCT(--(($II$5:$II14=$II14)*($IH$5:$IH14&gt;=7)*($IH$5:$IH14&lt;=9)),$JO$5:$JO14),0)))))</f>
        <v/>
      </c>
      <c r="JQ14" s="12">
        <f>JQ13+JO14-JP14</f>
        <v/>
      </c>
      <c r="JR14" s="12">
        <f>IF(ProviderDelay&gt;=1,IY13*BlendedProvPayEss+IZ13*BlendedProvPayPrem+JA13*BlendedProvPayElite+JB13*BlendedProvPayEss+JC13*BlendedProvPayPrem+JD13*BlendedProvPayElite,IY14*BlendedProvPayEss+IZ14*BlendedProvPayPrem+JA14*BlendedProvPayElite+JB14*BlendedProvPayEss+JC14*BlendedProvPayPrem+JD14*BlendedProvPayElite)</f>
        <v/>
      </c>
      <c r="JS14" s="12">
        <f>JK14*PaymentFee</f>
        <v/>
      </c>
      <c r="JT14" s="12">
        <f>JE14*OpsAI</f>
        <v/>
      </c>
      <c r="JU14" s="12">
        <f>MonthlyFixed</f>
        <v/>
      </c>
      <c r="JV14" s="12">
        <f>IO14*ReferralReward</f>
        <v/>
      </c>
      <c r="JW14" s="12">
        <f>IM14</f>
        <v/>
      </c>
      <c r="JX14" s="9">
        <f>JN14-JR14-JS14-JT14-JU14-JV14-JW14</f>
        <v/>
      </c>
      <c r="JY14" s="9">
        <f>JY13+JK14-(JR14+JS14+JT14+JU14+JV14+JW14+JP14)</f>
        <v/>
      </c>
      <c r="JZ14" s="12">
        <f>IF(JE14&gt;0,JF14/JE14,0)</f>
        <v/>
      </c>
      <c r="KA14" s="11">
        <f>IF(JE13&gt;0,MAX(0,(JE13+IP14-JE14)/JE13),0)</f>
        <v/>
      </c>
      <c r="KC14" s="12" t="n">
        <v>10</v>
      </c>
      <c r="KD14" s="12">
        <f>MOD(KC14-1+LaunchMonth-1,12)+1</f>
        <v/>
      </c>
      <c r="KE14" s="12">
        <f>INT((KC14-1+LaunchMonth-1)/12)+1</f>
        <v/>
      </c>
      <c r="KF14" s="12">
        <f>VLOOKUP(KD14,SeasonTable,2,FALSE)</f>
        <v/>
      </c>
      <c r="KG14" s="12">
        <f>(1+InflationRate)^INT((KC14-1)/12)</f>
        <v/>
      </c>
      <c r="KH14" s="11">
        <f>'Sens - Churn'!$A$16*VLOOKUP(KD14,ChurnSeasonTable,4,FALSE)</f>
        <v/>
      </c>
      <c r="KI14" s="12">
        <f>MIN(MAX(MktMin7_12,LG13*MktPct7_12),MAX(0,LU13-CashBuffer))</f>
        <v/>
      </c>
      <c r="KJ14" s="12">
        <f>IF(KI14&gt;0,MAX(1,ROUND(KI14/CAC*KF14,0)),0)</f>
        <v/>
      </c>
      <c r="KK14" s="12">
        <f>IF(KJ14&gt;0,ROUND(KJ14*ReferralMix/(1-ReferralMix),0),0)</f>
        <v/>
      </c>
      <c r="KL14" s="12">
        <f>KJ14+KK14</f>
        <v/>
      </c>
      <c r="KM14" s="12">
        <f>ROUND(KL14*(1-AnnualMix),0)</f>
        <v/>
      </c>
      <c r="KN14" s="12">
        <f>KL14-KM14</f>
        <v/>
      </c>
      <c r="KO14" s="12">
        <f>ROUND(KM14*EssentialMix,0)</f>
        <v/>
      </c>
      <c r="KP14" s="12">
        <f>ROUND(KM14*PremiumMix,0)</f>
        <v/>
      </c>
      <c r="KQ14" s="12">
        <f>KM14-KO14-KP14</f>
        <v/>
      </c>
      <c r="KR14" s="12">
        <f>ROUND(KN14*EssentialMix,0)</f>
        <v/>
      </c>
      <c r="KS14" s="12">
        <f>ROUND(KN14*PremiumMix,0)</f>
        <v/>
      </c>
      <c r="KT14" s="12">
        <f>KN14-KR14-KS14</f>
        <v/>
      </c>
      <c r="KU14" s="12">
        <f>KO14+KO13+KO12+MAX(0,KU13-KO13-KO12)*(1-KH14)</f>
        <v/>
      </c>
      <c r="KV14" s="12">
        <f>KP14+KP13+KP12+MAX(0,KV13-KP13-KP12)*(1-KH14)</f>
        <v/>
      </c>
      <c r="KW14" s="12">
        <f>KQ14+KQ13+KQ12+MAX(0,KW13-KQ13-KQ12)*(1-KH14)</f>
        <v/>
      </c>
      <c r="KX14" s="12">
        <f>SUM(KR$5:KR14)</f>
        <v/>
      </c>
      <c r="KY14" s="12">
        <f>SUM(KS$5:KS14)</f>
        <v/>
      </c>
      <c r="KZ14" s="12">
        <f>SUM(KT$5:KT14)</f>
        <v/>
      </c>
      <c r="LA14" s="12">
        <f>KU14+KV14+KW14+KX14+KY14+KZ14</f>
        <v/>
      </c>
      <c r="LB14" s="9">
        <f>KU14*BlendedPriceEssMonthly*KG14+KV14*BlendedPricePremMonthly*KG14+KW14*BlendedPriceEliteMonthly*KG14+KX14*BlendedPriceEssAnnual*KG14/12+KY14*BlendedPricePremAnnual*KG14/12+KZ14*BlendedPriceEliteAnnual*KG14/12</f>
        <v/>
      </c>
      <c r="LC14" s="9">
        <f>LB14*12</f>
        <v/>
      </c>
      <c r="LD14" s="12">
        <f>KU14*BlendedPriceEssMonthly*KG14+KV14*BlendedPricePremMonthly*KG14+KW14*BlendedPriceEliteMonthly*KG14</f>
        <v/>
      </c>
      <c r="LE14" s="12">
        <f>KR14*BlendedPriceEssAnnual*KG14+KS14*BlendedPricePremAnnual*KG14+KT14*BlendedPriceEliteAnnual*KG14</f>
        <v/>
      </c>
      <c r="LF14" s="12">
        <f>0+0+0</f>
        <v/>
      </c>
      <c r="LG14" s="9">
        <f>LD14+LE14+LF14</f>
        <v/>
      </c>
      <c r="LH14" s="12">
        <f>SUM(LG$5:LG14)</f>
        <v/>
      </c>
      <c r="LI14" s="12">
        <f>OR(LI13,IF(VATAgentMode,SUM($LG$5:$LG14)-SUM($LN$5:$LN14)&gt;=VATThreshold,SUM($LG$5:$LG14)&gt;=VATThreshold))</f>
        <v/>
      </c>
      <c r="LJ14" s="9">
        <f>IF(LI14,IF(VATAgentMode,LG14-((LG14-LN14)-(LG14-LN14)/(1+VATRate)),LG14/(1+VATRate)),LG14)</f>
        <v/>
      </c>
      <c r="LK14" s="12">
        <f>LG14-LJ14</f>
        <v/>
      </c>
      <c r="LL14" s="12">
        <f>IF(LI14=0,0,IF(KD14=1,SUMPRODUCT(--(($KE$5:$KE14=$KE14-1)*($KD$5:$KD14&gt;=10)*($KD$5:$KD14&lt;=12)),$LK$5:$LK14),IF(KD14=4,SUMPRODUCT(--(($KE$5:$KE14=$KE14)*($KD$5:$KD14&gt;=1)*($KD$5:$KD14&lt;=3)),$LK$5:$LK14),IF(KD14=7,SUMPRODUCT(--(($KE$5:$KE14=$KE14)*($KD$5:$KD14&gt;=4)*($KD$5:$KD14&lt;=6)),$LK$5:$LK14),IF(KD14=10,SUMPRODUCT(--(($KE$5:$KE14=$KE14)*($KD$5:$KD14&gt;=7)*($KD$5:$KD14&lt;=9)),$LK$5:$LK14),0)))))</f>
        <v/>
      </c>
      <c r="LM14" s="12">
        <f>LM13+LK14-LL14</f>
        <v/>
      </c>
      <c r="LN14" s="12">
        <f>IF(ProviderDelay&gt;=1,KU13*BlendedProvPayEss+KV13*BlendedProvPayPrem+KW13*BlendedProvPayElite+KX13*BlendedProvPayEss+KY13*BlendedProvPayPrem+KZ13*BlendedProvPayElite,KU14*BlendedProvPayEss+KV14*BlendedProvPayPrem+KW14*BlendedProvPayElite+KX14*BlendedProvPayEss+KY14*BlendedProvPayPrem+KZ14*BlendedProvPayElite)</f>
        <v/>
      </c>
      <c r="LO14" s="12">
        <f>LG14*PaymentFee</f>
        <v/>
      </c>
      <c r="LP14" s="12">
        <f>LA14*OpsAI</f>
        <v/>
      </c>
      <c r="LQ14" s="12">
        <f>MonthlyFixed</f>
        <v/>
      </c>
      <c r="LR14" s="12">
        <f>KK14*ReferralReward</f>
        <v/>
      </c>
      <c r="LS14" s="12">
        <f>KI14</f>
        <v/>
      </c>
      <c r="LT14" s="9">
        <f>LJ14-LN14-LO14-LP14-LQ14-LR14-LS14</f>
        <v/>
      </c>
      <c r="LU14" s="9">
        <f>LU13+LG14-(LN14+LO14+LP14+LQ14+LR14+LS14+LL14)</f>
        <v/>
      </c>
      <c r="LV14" s="12">
        <f>IF(LA14&gt;0,LB14/LA14,0)</f>
        <v/>
      </c>
      <c r="LW14" s="11">
        <f>IF(LA13&gt;0,MAX(0,(LA13+KL14-LA14)/LA13),0)</f>
        <v/>
      </c>
      <c r="LY14" s="12" t="n">
        <v>10</v>
      </c>
      <c r="LZ14" s="12">
        <f>MOD(LY14-1+LaunchMonth-1,12)+1</f>
        <v/>
      </c>
      <c r="MA14" s="12">
        <f>INT((LY14-1+LaunchMonth-1)/12)+1</f>
        <v/>
      </c>
      <c r="MB14" s="12">
        <f>VLOOKUP(LZ14,SeasonTable,2,FALSE)</f>
        <v/>
      </c>
      <c r="MC14" s="12">
        <f>(1+InflationRate)^INT((LY14-1)/12)</f>
        <v/>
      </c>
      <c r="MD14" s="11">
        <f>'Sens - Churn'!$A$17*VLOOKUP(LZ14,ChurnSeasonTable,4,FALSE)</f>
        <v/>
      </c>
      <c r="ME14" s="12">
        <f>MIN(MAX(MktMin7_12,NC13*MktPct7_12),MAX(0,NQ13-CashBuffer))</f>
        <v/>
      </c>
      <c r="MF14" s="12">
        <f>IF(ME14&gt;0,MAX(1,ROUND(ME14/CAC*MB14,0)),0)</f>
        <v/>
      </c>
      <c r="MG14" s="12">
        <f>IF(MF14&gt;0,ROUND(MF14*ReferralMix/(1-ReferralMix),0),0)</f>
        <v/>
      </c>
      <c r="MH14" s="12">
        <f>MF14+MG14</f>
        <v/>
      </c>
      <c r="MI14" s="12">
        <f>ROUND(MH14*(1-AnnualMix),0)</f>
        <v/>
      </c>
      <c r="MJ14" s="12">
        <f>MH14-MI14</f>
        <v/>
      </c>
      <c r="MK14" s="12">
        <f>ROUND(MI14*EssentialMix,0)</f>
        <v/>
      </c>
      <c r="ML14" s="12">
        <f>ROUND(MI14*PremiumMix,0)</f>
        <v/>
      </c>
      <c r="MM14" s="12">
        <f>MI14-MK14-ML14</f>
        <v/>
      </c>
      <c r="MN14" s="12">
        <f>ROUND(MJ14*EssentialMix,0)</f>
        <v/>
      </c>
      <c r="MO14" s="12">
        <f>ROUND(MJ14*PremiumMix,0)</f>
        <v/>
      </c>
      <c r="MP14" s="12">
        <f>MJ14-MN14-MO14</f>
        <v/>
      </c>
      <c r="MQ14" s="12">
        <f>MK14+MK13+MK12+MAX(0,MQ13-MK13-MK12)*(1-MD14)</f>
        <v/>
      </c>
      <c r="MR14" s="12">
        <f>ML14+ML13+ML12+MAX(0,MR13-ML13-ML12)*(1-MD14)</f>
        <v/>
      </c>
      <c r="MS14" s="12">
        <f>MM14+MM13+MM12+MAX(0,MS13-MM13-MM12)*(1-MD14)</f>
        <v/>
      </c>
      <c r="MT14" s="12">
        <f>SUM(MN$5:MN14)</f>
        <v/>
      </c>
      <c r="MU14" s="12">
        <f>SUM(MO$5:MO14)</f>
        <v/>
      </c>
      <c r="MV14" s="12">
        <f>SUM(MP$5:MP14)</f>
        <v/>
      </c>
      <c r="MW14" s="12">
        <f>MQ14+MR14+MS14+MT14+MU14+MV14</f>
        <v/>
      </c>
      <c r="MX14" s="9">
        <f>MQ14*BlendedPriceEssMonthly*MC14+MR14*BlendedPricePremMonthly*MC14+MS14*BlendedPriceEliteMonthly*MC14+MT14*BlendedPriceEssAnnual*MC14/12+MU14*BlendedPricePremAnnual*MC14/12+MV14*BlendedPriceEliteAnnual*MC14/12</f>
        <v/>
      </c>
      <c r="MY14" s="9">
        <f>MX14*12</f>
        <v/>
      </c>
      <c r="MZ14" s="12">
        <f>MQ14*BlendedPriceEssMonthly*MC14+MR14*BlendedPricePremMonthly*MC14+MS14*BlendedPriceEliteMonthly*MC14</f>
        <v/>
      </c>
      <c r="NA14" s="12">
        <f>MN14*BlendedPriceEssAnnual*MC14+MO14*BlendedPricePremAnnual*MC14+MP14*BlendedPriceEliteAnnual*MC14</f>
        <v/>
      </c>
      <c r="NB14" s="12">
        <f>0+0+0</f>
        <v/>
      </c>
      <c r="NC14" s="9">
        <f>MZ14+NA14+NB14</f>
        <v/>
      </c>
      <c r="ND14" s="12">
        <f>SUM(NC$5:NC14)</f>
        <v/>
      </c>
      <c r="NE14" s="12">
        <f>OR(NE13,IF(VATAgentMode,SUM($NC$5:$NC14)-SUM($NJ$5:$NJ14)&gt;=VATThreshold,SUM($NC$5:$NC14)&gt;=VATThreshold))</f>
        <v/>
      </c>
      <c r="NF14" s="9">
        <f>IF(NE14,IF(VATAgentMode,NC14-((NC14-NJ14)-(NC14-NJ14)/(1+VATRate)),NC14/(1+VATRate)),NC14)</f>
        <v/>
      </c>
      <c r="NG14" s="12">
        <f>NC14-NF14</f>
        <v/>
      </c>
      <c r="NH14" s="12">
        <f>IF(NE14=0,0,IF(LZ14=1,SUMPRODUCT(--(($MA$5:$MA14=$MA14-1)*($LZ$5:$LZ14&gt;=10)*($LZ$5:$LZ14&lt;=12)),$NG$5:$NG14),IF(LZ14=4,SUMPRODUCT(--(($MA$5:$MA14=$MA14)*($LZ$5:$LZ14&gt;=1)*($LZ$5:$LZ14&lt;=3)),$NG$5:$NG14),IF(LZ14=7,SUMPRODUCT(--(($MA$5:$MA14=$MA14)*($LZ$5:$LZ14&gt;=4)*($LZ$5:$LZ14&lt;=6)),$NG$5:$NG14),IF(LZ14=10,SUMPRODUCT(--(($MA$5:$MA14=$MA14)*($LZ$5:$LZ14&gt;=7)*($LZ$5:$LZ14&lt;=9)),$NG$5:$NG14),0)))))</f>
        <v/>
      </c>
      <c r="NI14" s="12">
        <f>NI13+NG14-NH14</f>
        <v/>
      </c>
      <c r="NJ14" s="12">
        <f>IF(ProviderDelay&gt;=1,MQ13*BlendedProvPayEss+MR13*BlendedProvPayPrem+MS13*BlendedProvPayElite+MT13*BlendedProvPayEss+MU13*BlendedProvPayPrem+MV13*BlendedProvPayElite,MQ14*BlendedProvPayEss+MR14*BlendedProvPayPrem+MS14*BlendedProvPayElite+MT14*BlendedProvPayEss+MU14*BlendedProvPayPrem+MV14*BlendedProvPayElite)</f>
        <v/>
      </c>
      <c r="NK14" s="12">
        <f>NC14*PaymentFee</f>
        <v/>
      </c>
      <c r="NL14" s="12">
        <f>MW14*OpsAI</f>
        <v/>
      </c>
      <c r="NM14" s="12">
        <f>MonthlyFixed</f>
        <v/>
      </c>
      <c r="NN14" s="12">
        <f>MG14*ReferralReward</f>
        <v/>
      </c>
      <c r="NO14" s="12">
        <f>ME14</f>
        <v/>
      </c>
      <c r="NP14" s="9">
        <f>NF14-NJ14-NK14-NL14-NM14-NN14-NO14</f>
        <v/>
      </c>
      <c r="NQ14" s="9">
        <f>NQ13+NC14-(NJ14+NK14+NL14+NM14+NN14+NO14+NH14)</f>
        <v/>
      </c>
      <c r="NR14" s="12">
        <f>IF(MW14&gt;0,MX14/MW14,0)</f>
        <v/>
      </c>
      <c r="NS14" s="11">
        <f>IF(MW13&gt;0,MAX(0,(MW13+MH14-MW14)/MW13),0)</f>
        <v/>
      </c>
      <c r="NU14" s="12" t="n">
        <v>10</v>
      </c>
      <c r="NV14" s="12">
        <f>MOD(NU14-1+LaunchMonth-1,12)+1</f>
        <v/>
      </c>
      <c r="NW14" s="12">
        <f>INT((NU14-1+LaunchMonth-1)/12)+1</f>
        <v/>
      </c>
      <c r="NX14" s="12">
        <f>VLOOKUP(NV14,SeasonTable,2,FALSE)</f>
        <v/>
      </c>
      <c r="NY14" s="12">
        <f>(1+InflationRate)^INT((NU14-1)/12)</f>
        <v/>
      </c>
      <c r="NZ14" s="11">
        <f>'Sens - Churn'!$A$18*VLOOKUP(NV14,ChurnSeasonTable,4,FALSE)</f>
        <v/>
      </c>
      <c r="OA14" s="12">
        <f>MIN(MAX(MktMin7_12,OY13*MktPct7_12),MAX(0,PM13-CashBuffer))</f>
        <v/>
      </c>
      <c r="OB14" s="12">
        <f>IF(OA14&gt;0,MAX(1,ROUND(OA14/CAC*NX14,0)),0)</f>
        <v/>
      </c>
      <c r="OC14" s="12">
        <f>IF(OB14&gt;0,ROUND(OB14*ReferralMix/(1-ReferralMix),0),0)</f>
        <v/>
      </c>
      <c r="OD14" s="12">
        <f>OB14+OC14</f>
        <v/>
      </c>
      <c r="OE14" s="12">
        <f>ROUND(OD14*(1-AnnualMix),0)</f>
        <v/>
      </c>
      <c r="OF14" s="12">
        <f>OD14-OE14</f>
        <v/>
      </c>
      <c r="OG14" s="12">
        <f>ROUND(OE14*EssentialMix,0)</f>
        <v/>
      </c>
      <c r="OH14" s="12">
        <f>ROUND(OE14*PremiumMix,0)</f>
        <v/>
      </c>
      <c r="OI14" s="12">
        <f>OE14-OG14-OH14</f>
        <v/>
      </c>
      <c r="OJ14" s="12">
        <f>ROUND(OF14*EssentialMix,0)</f>
        <v/>
      </c>
      <c r="OK14" s="12">
        <f>ROUND(OF14*PremiumMix,0)</f>
        <v/>
      </c>
      <c r="OL14" s="12">
        <f>OF14-OJ14-OK14</f>
        <v/>
      </c>
      <c r="OM14" s="12">
        <f>OG14+OG13+OG12+MAX(0,OM13-OG13-OG12)*(1-NZ14)</f>
        <v/>
      </c>
      <c r="ON14" s="12">
        <f>OH14+OH13+OH12+MAX(0,ON13-OH13-OH12)*(1-NZ14)</f>
        <v/>
      </c>
      <c r="OO14" s="12">
        <f>OI14+OI13+OI12+MAX(0,OO13-OI13-OI12)*(1-NZ14)</f>
        <v/>
      </c>
      <c r="OP14" s="12">
        <f>SUM(OJ$5:OJ14)</f>
        <v/>
      </c>
      <c r="OQ14" s="12">
        <f>SUM(OK$5:OK14)</f>
        <v/>
      </c>
      <c r="OR14" s="12">
        <f>SUM(OL$5:OL14)</f>
        <v/>
      </c>
      <c r="OS14" s="12">
        <f>OM14+ON14+OO14+OP14+OQ14+OR14</f>
        <v/>
      </c>
      <c r="OT14" s="9">
        <f>OM14*BlendedPriceEssMonthly*NY14+ON14*BlendedPricePremMonthly*NY14+OO14*BlendedPriceEliteMonthly*NY14+OP14*BlendedPriceEssAnnual*NY14/12+OQ14*BlendedPricePremAnnual*NY14/12+OR14*BlendedPriceEliteAnnual*NY14/12</f>
        <v/>
      </c>
      <c r="OU14" s="9">
        <f>OT14*12</f>
        <v/>
      </c>
      <c r="OV14" s="12">
        <f>OM14*BlendedPriceEssMonthly*NY14+ON14*BlendedPricePremMonthly*NY14+OO14*BlendedPriceEliteMonthly*NY14</f>
        <v/>
      </c>
      <c r="OW14" s="12">
        <f>OJ14*BlendedPriceEssAnnual*NY14+OK14*BlendedPricePremAnnual*NY14+OL14*BlendedPriceEliteAnnual*NY14</f>
        <v/>
      </c>
      <c r="OX14" s="12">
        <f>0+0+0</f>
        <v/>
      </c>
      <c r="OY14" s="9">
        <f>OV14+OW14+OX14</f>
        <v/>
      </c>
      <c r="OZ14" s="12">
        <f>SUM(OY$5:OY14)</f>
        <v/>
      </c>
      <c r="PA14" s="12">
        <f>OR(PA13,IF(VATAgentMode,SUM($OY$5:$OY14)-SUM($PF$5:$PF14)&gt;=VATThreshold,SUM($OY$5:$OY14)&gt;=VATThreshold))</f>
        <v/>
      </c>
      <c r="PB14" s="9">
        <f>IF(PA14,IF(VATAgentMode,OY14-((OY14-PF14)-(OY14-PF14)/(1+VATRate)),OY14/(1+VATRate)),OY14)</f>
        <v/>
      </c>
      <c r="PC14" s="12">
        <f>OY14-PB14</f>
        <v/>
      </c>
      <c r="PD14" s="12">
        <f>IF(PA14=0,0,IF(NV14=1,SUMPRODUCT(--(($NW$5:$NW14=$NW14-1)*($NV$5:$NV14&gt;=10)*($NV$5:$NV14&lt;=12)),$PC$5:$PC14),IF(NV14=4,SUMPRODUCT(--(($NW$5:$NW14=$NW14)*($NV$5:$NV14&gt;=1)*($NV$5:$NV14&lt;=3)),$PC$5:$PC14),IF(NV14=7,SUMPRODUCT(--(($NW$5:$NW14=$NW14)*($NV$5:$NV14&gt;=4)*($NV$5:$NV14&lt;=6)),$PC$5:$PC14),IF(NV14=10,SUMPRODUCT(--(($NW$5:$NW14=$NW14)*($NV$5:$NV14&gt;=7)*($NV$5:$NV14&lt;=9)),$PC$5:$PC14),0)))))</f>
        <v/>
      </c>
      <c r="PE14" s="12">
        <f>PE13+PC14-PD14</f>
        <v/>
      </c>
      <c r="PF14" s="12">
        <f>IF(ProviderDelay&gt;=1,OM13*BlendedProvPayEss+ON13*BlendedProvPayPrem+OO13*BlendedProvPayElite+OP13*BlendedProvPayEss+OQ13*BlendedProvPayPrem+OR13*BlendedProvPayElite,OM14*BlendedProvPayEss+ON14*BlendedProvPayPrem+OO14*BlendedProvPayElite+OP14*BlendedProvPayEss+OQ14*BlendedProvPayPrem+OR14*BlendedProvPayElite)</f>
        <v/>
      </c>
      <c r="PG14" s="12">
        <f>OY14*PaymentFee</f>
        <v/>
      </c>
      <c r="PH14" s="12">
        <f>OS14*OpsAI</f>
        <v/>
      </c>
      <c r="PI14" s="12">
        <f>MonthlyFixed</f>
        <v/>
      </c>
      <c r="PJ14" s="12">
        <f>OC14*ReferralReward</f>
        <v/>
      </c>
      <c r="PK14" s="12">
        <f>OA14</f>
        <v/>
      </c>
      <c r="PL14" s="9">
        <f>PB14-PF14-PG14-PH14-PI14-PJ14-PK14</f>
        <v/>
      </c>
      <c r="PM14" s="9">
        <f>PM13+OY14-(PF14+PG14+PH14+PI14+PJ14+PK14+PD14)</f>
        <v/>
      </c>
      <c r="PN14" s="12">
        <f>IF(OS14&gt;0,OT14/OS14,0)</f>
        <v/>
      </c>
      <c r="PO14" s="11">
        <f>IF(OS13&gt;0,MAX(0,(OS13+OD14-OS14)/OS13),0)</f>
        <v/>
      </c>
      <c r="PQ14" s="12" t="n">
        <v>10</v>
      </c>
      <c r="PR14" s="12">
        <f>MOD(PQ14-1+LaunchMonth-1,12)+1</f>
        <v/>
      </c>
      <c r="PS14" s="12">
        <f>INT((PQ14-1+LaunchMonth-1)/12)+1</f>
        <v/>
      </c>
      <c r="PT14" s="12">
        <f>VLOOKUP(PR14,SeasonTable,2,FALSE)</f>
        <v/>
      </c>
      <c r="PU14" s="12">
        <f>(1+InflationRate)^INT((PQ14-1)/12)</f>
        <v/>
      </c>
      <c r="PV14" s="11">
        <f>'Sens - Churn'!$A$19*VLOOKUP(PR14,ChurnSeasonTable,4,FALSE)</f>
        <v/>
      </c>
      <c r="PW14" s="12">
        <f>MIN(MAX(MktMin7_12,QU13*MktPct7_12),MAX(0,RI13-CashBuffer))</f>
        <v/>
      </c>
      <c r="PX14" s="12">
        <f>IF(PW14&gt;0,MAX(1,ROUND(PW14/CAC*PT14,0)),0)</f>
        <v/>
      </c>
      <c r="PY14" s="12">
        <f>IF(PX14&gt;0,ROUND(PX14*ReferralMix/(1-ReferralMix),0),0)</f>
        <v/>
      </c>
      <c r="PZ14" s="12">
        <f>PX14+PY14</f>
        <v/>
      </c>
      <c r="QA14" s="12">
        <f>ROUND(PZ14*(1-AnnualMix),0)</f>
        <v/>
      </c>
      <c r="QB14" s="12">
        <f>PZ14-QA14</f>
        <v/>
      </c>
      <c r="QC14" s="12">
        <f>ROUND(QA14*EssentialMix,0)</f>
        <v/>
      </c>
      <c r="QD14" s="12">
        <f>ROUND(QA14*PremiumMix,0)</f>
        <v/>
      </c>
      <c r="QE14" s="12">
        <f>QA14-QC14-QD14</f>
        <v/>
      </c>
      <c r="QF14" s="12">
        <f>ROUND(QB14*EssentialMix,0)</f>
        <v/>
      </c>
      <c r="QG14" s="12">
        <f>ROUND(QB14*PremiumMix,0)</f>
        <v/>
      </c>
      <c r="QH14" s="12">
        <f>QB14-QF14-QG14</f>
        <v/>
      </c>
      <c r="QI14" s="12">
        <f>QC14+QC13+QC12+MAX(0,QI13-QC13-QC12)*(1-PV14)</f>
        <v/>
      </c>
      <c r="QJ14" s="12">
        <f>QD14+QD13+QD12+MAX(0,QJ13-QD13-QD12)*(1-PV14)</f>
        <v/>
      </c>
      <c r="QK14" s="12">
        <f>QE14+QE13+QE12+MAX(0,QK13-QE13-QE12)*(1-PV14)</f>
        <v/>
      </c>
      <c r="QL14" s="12">
        <f>SUM(QF$5:QF14)</f>
        <v/>
      </c>
      <c r="QM14" s="12">
        <f>SUM(QG$5:QG14)</f>
        <v/>
      </c>
      <c r="QN14" s="12">
        <f>SUM(QH$5:QH14)</f>
        <v/>
      </c>
      <c r="QO14" s="12">
        <f>QI14+QJ14+QK14+QL14+QM14+QN14</f>
        <v/>
      </c>
      <c r="QP14" s="9">
        <f>QI14*BlendedPriceEssMonthly*PU14+QJ14*BlendedPricePremMonthly*PU14+QK14*BlendedPriceEliteMonthly*PU14+QL14*BlendedPriceEssAnnual*PU14/12+QM14*BlendedPricePremAnnual*PU14/12+QN14*BlendedPriceEliteAnnual*PU14/12</f>
        <v/>
      </c>
      <c r="QQ14" s="9">
        <f>QP14*12</f>
        <v/>
      </c>
      <c r="QR14" s="12">
        <f>QI14*BlendedPriceEssMonthly*PU14+QJ14*BlendedPricePremMonthly*PU14+QK14*BlendedPriceEliteMonthly*PU14</f>
        <v/>
      </c>
      <c r="QS14" s="12">
        <f>QF14*BlendedPriceEssAnnual*PU14+QG14*BlendedPricePremAnnual*PU14+QH14*BlendedPriceEliteAnnual*PU14</f>
        <v/>
      </c>
      <c r="QT14" s="12">
        <f>0+0+0</f>
        <v/>
      </c>
      <c r="QU14" s="9">
        <f>QR14+QS14+QT14</f>
        <v/>
      </c>
      <c r="QV14" s="12">
        <f>SUM(QU$5:QU14)</f>
        <v/>
      </c>
      <c r="QW14" s="12">
        <f>OR(QW13,IF(VATAgentMode,SUM($QU$5:$QU14)-SUM($RB$5:$RB14)&gt;=VATThreshold,SUM($QU$5:$QU14)&gt;=VATThreshold))</f>
        <v/>
      </c>
      <c r="QX14" s="9">
        <f>IF(QW14,IF(VATAgentMode,QU14-((QU14-RB14)-(QU14-RB14)/(1+VATRate)),QU14/(1+VATRate)),QU14)</f>
        <v/>
      </c>
      <c r="QY14" s="12">
        <f>QU14-QX14</f>
        <v/>
      </c>
      <c r="QZ14" s="12">
        <f>IF(QW14=0,0,IF(PR14=1,SUMPRODUCT(--(($PS$5:$PS14=$PS14-1)*($PR$5:$PR14&gt;=10)*($PR$5:$PR14&lt;=12)),$QY$5:$QY14),IF(PR14=4,SUMPRODUCT(--(($PS$5:$PS14=$PS14)*($PR$5:$PR14&gt;=1)*($PR$5:$PR14&lt;=3)),$QY$5:$QY14),IF(PR14=7,SUMPRODUCT(--(($PS$5:$PS14=$PS14)*($PR$5:$PR14&gt;=4)*($PR$5:$PR14&lt;=6)),$QY$5:$QY14),IF(PR14=10,SUMPRODUCT(--(($PS$5:$PS14=$PS14)*($PR$5:$PR14&gt;=7)*($PR$5:$PR14&lt;=9)),$QY$5:$QY14),0)))))</f>
        <v/>
      </c>
      <c r="RA14" s="12">
        <f>RA13+QY14-QZ14</f>
        <v/>
      </c>
      <c r="RB14" s="12">
        <f>IF(ProviderDelay&gt;=1,QI13*BlendedProvPayEss+QJ13*BlendedProvPayPrem+QK13*BlendedProvPayElite+QL13*BlendedProvPayEss+QM13*BlendedProvPayPrem+QN13*BlendedProvPayElite,QI14*BlendedProvPayEss+QJ14*BlendedProvPayPrem+QK14*BlendedProvPayElite+QL14*BlendedProvPayEss+QM14*BlendedProvPayPrem+QN14*BlendedProvPayElite)</f>
        <v/>
      </c>
      <c r="RC14" s="12">
        <f>QU14*PaymentFee</f>
        <v/>
      </c>
      <c r="RD14" s="12">
        <f>QO14*OpsAI</f>
        <v/>
      </c>
      <c r="RE14" s="12">
        <f>MonthlyFixed</f>
        <v/>
      </c>
      <c r="RF14" s="12">
        <f>PY14*ReferralReward</f>
        <v/>
      </c>
      <c r="RG14" s="12">
        <f>PW14</f>
        <v/>
      </c>
      <c r="RH14" s="9">
        <f>QX14-RB14-RC14-RD14-RE14-RF14-RG14</f>
        <v/>
      </c>
      <c r="RI14" s="9">
        <f>RI13+QU14-(RB14+RC14+RD14+RE14+RF14+RG14+QZ14)</f>
        <v/>
      </c>
      <c r="RJ14" s="12">
        <f>IF(QO14&gt;0,QP14/QO14,0)</f>
        <v/>
      </c>
      <c r="RK14" s="11">
        <f>IF(QO13&gt;0,MAX(0,(QO13+PZ14-QO14)/QO13),0)</f>
        <v/>
      </c>
      <c r="RM14" s="12" t="n">
        <v>10</v>
      </c>
      <c r="RN14" s="12">
        <f>MOD(RM14-1+LaunchMonth-1,12)+1</f>
        <v/>
      </c>
      <c r="RO14" s="12">
        <f>INT((RM14-1+LaunchMonth-1)/12)+1</f>
        <v/>
      </c>
      <c r="RP14" s="12">
        <f>VLOOKUP(RN14,SeasonTable,2,FALSE)</f>
        <v/>
      </c>
      <c r="RQ14" s="12">
        <f>(1+InflationRate)^INT((RM14-1)/12)</f>
        <v/>
      </c>
      <c r="RR14" s="11">
        <f>'Sens - Churn'!$A$20*VLOOKUP(RN14,ChurnSeasonTable,4,FALSE)</f>
        <v/>
      </c>
      <c r="RS14" s="12">
        <f>MIN(MAX(MktMin7_12,SQ13*MktPct7_12),MAX(0,TE13-CashBuffer))</f>
        <v/>
      </c>
      <c r="RT14" s="12">
        <f>IF(RS14&gt;0,MAX(1,ROUND(RS14/CAC*RP14,0)),0)</f>
        <v/>
      </c>
      <c r="RU14" s="12">
        <f>IF(RT14&gt;0,ROUND(RT14*ReferralMix/(1-ReferralMix),0),0)</f>
        <v/>
      </c>
      <c r="RV14" s="12">
        <f>RT14+RU14</f>
        <v/>
      </c>
      <c r="RW14" s="12">
        <f>ROUND(RV14*(1-AnnualMix),0)</f>
        <v/>
      </c>
      <c r="RX14" s="12">
        <f>RV14-RW14</f>
        <v/>
      </c>
      <c r="RY14" s="12">
        <f>ROUND(RW14*EssentialMix,0)</f>
        <v/>
      </c>
      <c r="RZ14" s="12">
        <f>ROUND(RW14*PremiumMix,0)</f>
        <v/>
      </c>
      <c r="SA14" s="12">
        <f>RW14-RY14-RZ14</f>
        <v/>
      </c>
      <c r="SB14" s="12">
        <f>ROUND(RX14*EssentialMix,0)</f>
        <v/>
      </c>
      <c r="SC14" s="12">
        <f>ROUND(RX14*PremiumMix,0)</f>
        <v/>
      </c>
      <c r="SD14" s="12">
        <f>RX14-SB14-SC14</f>
        <v/>
      </c>
      <c r="SE14" s="12">
        <f>RY14+RY13+RY12+MAX(0,SE13-RY13-RY12)*(1-RR14)</f>
        <v/>
      </c>
      <c r="SF14" s="12">
        <f>RZ14+RZ13+RZ12+MAX(0,SF13-RZ13-RZ12)*(1-RR14)</f>
        <v/>
      </c>
      <c r="SG14" s="12">
        <f>SA14+SA13+SA12+MAX(0,SG13-SA13-SA12)*(1-RR14)</f>
        <v/>
      </c>
      <c r="SH14" s="12">
        <f>SUM(SB$5:SB14)</f>
        <v/>
      </c>
      <c r="SI14" s="12">
        <f>SUM(SC$5:SC14)</f>
        <v/>
      </c>
      <c r="SJ14" s="12">
        <f>SUM(SD$5:SD14)</f>
        <v/>
      </c>
      <c r="SK14" s="12">
        <f>SE14+SF14+SG14+SH14+SI14+SJ14</f>
        <v/>
      </c>
      <c r="SL14" s="9">
        <f>SE14*BlendedPriceEssMonthly*RQ14+SF14*BlendedPricePremMonthly*RQ14+SG14*BlendedPriceEliteMonthly*RQ14+SH14*BlendedPriceEssAnnual*RQ14/12+SI14*BlendedPricePremAnnual*RQ14/12+SJ14*BlendedPriceEliteAnnual*RQ14/12</f>
        <v/>
      </c>
      <c r="SM14" s="9">
        <f>SL14*12</f>
        <v/>
      </c>
      <c r="SN14" s="12">
        <f>SE14*BlendedPriceEssMonthly*RQ14+SF14*BlendedPricePremMonthly*RQ14+SG14*BlendedPriceEliteMonthly*RQ14</f>
        <v/>
      </c>
      <c r="SO14" s="12">
        <f>SB14*BlendedPriceEssAnnual*RQ14+SC14*BlendedPricePremAnnual*RQ14+SD14*BlendedPriceEliteAnnual*RQ14</f>
        <v/>
      </c>
      <c r="SP14" s="12">
        <f>0+0+0</f>
        <v/>
      </c>
      <c r="SQ14" s="9">
        <f>SN14+SO14+SP14</f>
        <v/>
      </c>
      <c r="SR14" s="12">
        <f>SUM(SQ$5:SQ14)</f>
        <v/>
      </c>
      <c r="SS14" s="12">
        <f>OR(SS13,IF(VATAgentMode,SUM($SQ$5:$SQ14)-SUM($SX$5:$SX14)&gt;=VATThreshold,SUM($SQ$5:$SQ14)&gt;=VATThreshold))</f>
        <v/>
      </c>
      <c r="ST14" s="9">
        <f>IF(SS14,IF(VATAgentMode,SQ14-((SQ14-SX14)-(SQ14-SX14)/(1+VATRate)),SQ14/(1+VATRate)),SQ14)</f>
        <v/>
      </c>
      <c r="SU14" s="12">
        <f>SQ14-ST14</f>
        <v/>
      </c>
      <c r="SV14" s="12">
        <f>IF(SS14=0,0,IF(RN14=1,SUMPRODUCT(--(($RO$5:$RO14=$RO14-1)*($RN$5:$RN14&gt;=10)*($RN$5:$RN14&lt;=12)),$SU$5:$SU14),IF(RN14=4,SUMPRODUCT(--(($RO$5:$RO14=$RO14)*($RN$5:$RN14&gt;=1)*($RN$5:$RN14&lt;=3)),$SU$5:$SU14),IF(RN14=7,SUMPRODUCT(--(($RO$5:$RO14=$RO14)*($RN$5:$RN14&gt;=4)*($RN$5:$RN14&lt;=6)),$SU$5:$SU14),IF(RN14=10,SUMPRODUCT(--(($RO$5:$RO14=$RO14)*($RN$5:$RN14&gt;=7)*($RN$5:$RN14&lt;=9)),$SU$5:$SU14),0)))))</f>
        <v/>
      </c>
      <c r="SW14" s="12">
        <f>SW13+SU14-SV14</f>
        <v/>
      </c>
      <c r="SX14" s="12">
        <f>IF(ProviderDelay&gt;=1,SE13*BlendedProvPayEss+SF13*BlendedProvPayPrem+SG13*BlendedProvPayElite+SH13*BlendedProvPayEss+SI13*BlendedProvPayPrem+SJ13*BlendedProvPayElite,SE14*BlendedProvPayEss+SF14*BlendedProvPayPrem+SG14*BlendedProvPayElite+SH14*BlendedProvPayEss+SI14*BlendedProvPayPrem+SJ14*BlendedProvPayElite)</f>
        <v/>
      </c>
      <c r="SY14" s="12">
        <f>SQ14*PaymentFee</f>
        <v/>
      </c>
      <c r="SZ14" s="12">
        <f>SK14*OpsAI</f>
        <v/>
      </c>
      <c r="TA14" s="12">
        <f>MonthlyFixed</f>
        <v/>
      </c>
      <c r="TB14" s="12">
        <f>RU14*ReferralReward</f>
        <v/>
      </c>
      <c r="TC14" s="12">
        <f>RS14</f>
        <v/>
      </c>
      <c r="TD14" s="9">
        <f>ST14-SX14-SY14-SZ14-TA14-TB14-TC14</f>
        <v/>
      </c>
      <c r="TE14" s="9">
        <f>TE13+SQ14-(SX14+SY14+SZ14+TA14+TB14+TC14+SV14)</f>
        <v/>
      </c>
      <c r="TF14" s="12">
        <f>IF(SK14&gt;0,SL14/SK14,0)</f>
        <v/>
      </c>
      <c r="TG14" s="11">
        <f>IF(SK13&gt;0,MAX(0,(SK13+RV14-SK14)/SK13),0)</f>
        <v/>
      </c>
      <c r="TI14" s="12" t="n">
        <v>10</v>
      </c>
      <c r="TJ14" s="12">
        <f>MOD(TI14-1+LaunchMonth-1,12)+1</f>
        <v/>
      </c>
      <c r="TK14" s="12">
        <f>INT((TI14-1+LaunchMonth-1)/12)+1</f>
        <v/>
      </c>
      <c r="TL14" s="12">
        <f>VLOOKUP(TJ14,SeasonTable,2,FALSE)</f>
        <v/>
      </c>
      <c r="TM14" s="12">
        <f>(1+InflationRate)^INT((TI14-1)/12)</f>
        <v/>
      </c>
      <c r="TN14" s="11">
        <f>'Sens - Churn'!$A$21*VLOOKUP(TJ14,ChurnSeasonTable,4,FALSE)</f>
        <v/>
      </c>
      <c r="TO14" s="12">
        <f>MIN(MAX(MktMin7_12,UM13*MktPct7_12),MAX(0,VA13-CashBuffer))</f>
        <v/>
      </c>
      <c r="TP14" s="12">
        <f>IF(TO14&gt;0,MAX(1,ROUND(TO14/CAC*TL14,0)),0)</f>
        <v/>
      </c>
      <c r="TQ14" s="12">
        <f>IF(TP14&gt;0,ROUND(TP14*ReferralMix/(1-ReferralMix),0),0)</f>
        <v/>
      </c>
      <c r="TR14" s="12">
        <f>TP14+TQ14</f>
        <v/>
      </c>
      <c r="TS14" s="12">
        <f>ROUND(TR14*(1-AnnualMix),0)</f>
        <v/>
      </c>
      <c r="TT14" s="12">
        <f>TR14-TS14</f>
        <v/>
      </c>
      <c r="TU14" s="12">
        <f>ROUND(TS14*EssentialMix,0)</f>
        <v/>
      </c>
      <c r="TV14" s="12">
        <f>ROUND(TS14*PremiumMix,0)</f>
        <v/>
      </c>
      <c r="TW14" s="12">
        <f>TS14-TU14-TV14</f>
        <v/>
      </c>
      <c r="TX14" s="12">
        <f>ROUND(TT14*EssentialMix,0)</f>
        <v/>
      </c>
      <c r="TY14" s="12">
        <f>ROUND(TT14*PremiumMix,0)</f>
        <v/>
      </c>
      <c r="TZ14" s="12">
        <f>TT14-TX14-TY14</f>
        <v/>
      </c>
      <c r="UA14" s="12">
        <f>TU14+TU13+TU12+MAX(0,UA13-TU13-TU12)*(1-TN14)</f>
        <v/>
      </c>
      <c r="UB14" s="12">
        <f>TV14+TV13+TV12+MAX(0,UB13-TV13-TV12)*(1-TN14)</f>
        <v/>
      </c>
      <c r="UC14" s="12">
        <f>TW14+TW13+TW12+MAX(0,UC13-TW13-TW12)*(1-TN14)</f>
        <v/>
      </c>
      <c r="UD14" s="12">
        <f>SUM(TX$5:TX14)</f>
        <v/>
      </c>
      <c r="UE14" s="12">
        <f>SUM(TY$5:TY14)</f>
        <v/>
      </c>
      <c r="UF14" s="12">
        <f>SUM(TZ$5:TZ14)</f>
        <v/>
      </c>
      <c r="UG14" s="12">
        <f>UA14+UB14+UC14+UD14+UE14+UF14</f>
        <v/>
      </c>
      <c r="UH14" s="9">
        <f>UA14*BlendedPriceEssMonthly*TM14+UB14*BlendedPricePremMonthly*TM14+UC14*BlendedPriceEliteMonthly*TM14+UD14*BlendedPriceEssAnnual*TM14/12+UE14*BlendedPricePremAnnual*TM14/12+UF14*BlendedPriceEliteAnnual*TM14/12</f>
        <v/>
      </c>
      <c r="UI14" s="9">
        <f>UH14*12</f>
        <v/>
      </c>
      <c r="UJ14" s="12">
        <f>UA14*BlendedPriceEssMonthly*TM14+UB14*BlendedPricePremMonthly*TM14+UC14*BlendedPriceEliteMonthly*TM14</f>
        <v/>
      </c>
      <c r="UK14" s="12">
        <f>TX14*BlendedPriceEssAnnual*TM14+TY14*BlendedPricePremAnnual*TM14+TZ14*BlendedPriceEliteAnnual*TM14</f>
        <v/>
      </c>
      <c r="UL14" s="12">
        <f>0+0+0</f>
        <v/>
      </c>
      <c r="UM14" s="9">
        <f>UJ14+UK14+UL14</f>
        <v/>
      </c>
      <c r="UN14" s="12">
        <f>SUM(UM$5:UM14)</f>
        <v/>
      </c>
      <c r="UO14" s="12">
        <f>OR(UO13,IF(VATAgentMode,SUM($UM$5:$UM14)-SUM($UT$5:$UT14)&gt;=VATThreshold,SUM($UM$5:$UM14)&gt;=VATThreshold))</f>
        <v/>
      </c>
      <c r="UP14" s="9">
        <f>IF(UO14,IF(VATAgentMode,UM14-((UM14-UT14)-(UM14-UT14)/(1+VATRate)),UM14/(1+VATRate)),UM14)</f>
        <v/>
      </c>
      <c r="UQ14" s="12">
        <f>UM14-UP14</f>
        <v/>
      </c>
      <c r="UR14" s="12">
        <f>IF(UO14=0,0,IF(TJ14=1,SUMPRODUCT(--(($TK$5:$TK14=$TK14-1)*($TJ$5:$TJ14&gt;=10)*($TJ$5:$TJ14&lt;=12)),$UQ$5:$UQ14),IF(TJ14=4,SUMPRODUCT(--(($TK$5:$TK14=$TK14)*($TJ$5:$TJ14&gt;=1)*($TJ$5:$TJ14&lt;=3)),$UQ$5:$UQ14),IF(TJ14=7,SUMPRODUCT(--(($TK$5:$TK14=$TK14)*($TJ$5:$TJ14&gt;=4)*($TJ$5:$TJ14&lt;=6)),$UQ$5:$UQ14),IF(TJ14=10,SUMPRODUCT(--(($TK$5:$TK14=$TK14)*($TJ$5:$TJ14&gt;=7)*($TJ$5:$TJ14&lt;=9)),$UQ$5:$UQ14),0)))))</f>
        <v/>
      </c>
      <c r="US14" s="12">
        <f>US13+UQ14-UR14</f>
        <v/>
      </c>
      <c r="UT14" s="12">
        <f>IF(ProviderDelay&gt;=1,UA13*BlendedProvPayEss+UB13*BlendedProvPayPrem+UC13*BlendedProvPayElite+UD13*BlendedProvPayEss+UE13*BlendedProvPayPrem+UF13*BlendedProvPayElite,UA14*BlendedProvPayEss+UB14*BlendedProvPayPrem+UC14*BlendedProvPayElite+UD14*BlendedProvPayEss+UE14*BlendedProvPayPrem+UF14*BlendedProvPayElite)</f>
        <v/>
      </c>
      <c r="UU14" s="12">
        <f>UM14*PaymentFee</f>
        <v/>
      </c>
      <c r="UV14" s="12">
        <f>UG14*OpsAI</f>
        <v/>
      </c>
      <c r="UW14" s="12">
        <f>MonthlyFixed</f>
        <v/>
      </c>
      <c r="UX14" s="12">
        <f>TQ14*ReferralReward</f>
        <v/>
      </c>
      <c r="UY14" s="12">
        <f>TO14</f>
        <v/>
      </c>
      <c r="UZ14" s="9">
        <f>UP14-UT14-UU14-UV14-UW14-UX14-UY14</f>
        <v/>
      </c>
      <c r="VA14" s="9">
        <f>VA13+UM14-(UT14+UU14+UV14+UW14+UX14+UY14+UR14)</f>
        <v/>
      </c>
      <c r="VB14" s="12">
        <f>IF(UG14&gt;0,UH14/UG14,0)</f>
        <v/>
      </c>
      <c r="VC14" s="11">
        <f>IF(UG13&gt;0,MAX(0,(UG13+TR14-UG14)/UG13),0)</f>
        <v/>
      </c>
      <c r="VE14" s="12" t="n">
        <v>10</v>
      </c>
      <c r="VF14" s="12">
        <f>MOD(VE14-1+LaunchMonth-1,12)+1</f>
        <v/>
      </c>
      <c r="VG14" s="12">
        <f>INT((VE14-1+LaunchMonth-1)/12)+1</f>
        <v/>
      </c>
      <c r="VH14" s="12">
        <f>VLOOKUP(VF14,SeasonTable,2,FALSE)</f>
        <v/>
      </c>
      <c r="VI14" s="12">
        <f>(1+InflationRate)^INT((VE14-1)/12)</f>
        <v/>
      </c>
      <c r="VJ14" s="11">
        <f>MonthlyChurn*VLOOKUP(VF14,ChurnSeasonTable,4,FALSE)</f>
        <v/>
      </c>
      <c r="VK14" s="12">
        <f>MIN(MAX(MktMin7_12,WI13*MktPct7_12),MAX(0,WW13-CashBuffer))</f>
        <v/>
      </c>
      <c r="VL14" s="12">
        <f>IF(VK14&gt;0,MAX(1,ROUND(VK14/CAC*VH14,0)),0)</f>
        <v/>
      </c>
      <c r="VM14" s="12">
        <f>IF(VL14&gt;0,ROUND(VL14*ReferralMix/(1-ReferralMix),0),0)</f>
        <v/>
      </c>
      <c r="VN14" s="12">
        <f>VL14+VM14</f>
        <v/>
      </c>
      <c r="VO14" s="12">
        <f>ROUND(VN14*(1-'Sens - Annual Mix'!$A$9),0)</f>
        <v/>
      </c>
      <c r="VP14" s="12">
        <f>VN14-VO14</f>
        <v/>
      </c>
      <c r="VQ14" s="12">
        <f>ROUND(VO14*EssentialMix,0)</f>
        <v/>
      </c>
      <c r="VR14" s="12">
        <f>ROUND(VO14*PremiumMix,0)</f>
        <v/>
      </c>
      <c r="VS14" s="12">
        <f>VO14-VQ14-VR14</f>
        <v/>
      </c>
      <c r="VT14" s="12">
        <f>ROUND(VP14*EssentialMix,0)</f>
        <v/>
      </c>
      <c r="VU14" s="12">
        <f>ROUND(VP14*PremiumMix,0)</f>
        <v/>
      </c>
      <c r="VV14" s="12">
        <f>VP14-VT14-VU14</f>
        <v/>
      </c>
      <c r="VW14" s="12">
        <f>VQ14+VQ13+VQ12+MAX(0,VW13-VQ13-VQ12)*(1-VJ14)</f>
        <v/>
      </c>
      <c r="VX14" s="12">
        <f>VR14+VR13+VR12+MAX(0,VX13-VR13-VR12)*(1-VJ14)</f>
        <v/>
      </c>
      <c r="VY14" s="12">
        <f>VS14+VS13+VS12+MAX(0,VY13-VS13-VS12)*(1-VJ14)</f>
        <v/>
      </c>
      <c r="VZ14" s="12">
        <f>SUM(VT$5:VT14)</f>
        <v/>
      </c>
      <c r="WA14" s="12">
        <f>SUM(VU$5:VU14)</f>
        <v/>
      </c>
      <c r="WB14" s="12">
        <f>SUM(VV$5:VV14)</f>
        <v/>
      </c>
      <c r="WC14" s="12">
        <f>VW14+VX14+VY14+VZ14+WA14+WB14</f>
        <v/>
      </c>
      <c r="WD14" s="9">
        <f>VW14*BlendedPriceEssMonthly*VI14+VX14*BlendedPricePremMonthly*VI14+VY14*BlendedPriceEliteMonthly*VI14+VZ14*BlendedPriceEssAnnual*VI14/12+WA14*BlendedPricePremAnnual*VI14/12+WB14*BlendedPriceEliteAnnual*VI14/12</f>
        <v/>
      </c>
      <c r="WE14" s="9">
        <f>WD14*12</f>
        <v/>
      </c>
      <c r="WF14" s="12">
        <f>VW14*BlendedPriceEssMonthly*VI14+VX14*BlendedPricePremMonthly*VI14+VY14*BlendedPriceEliteMonthly*VI14</f>
        <v/>
      </c>
      <c r="WG14" s="12">
        <f>VT14*BlendedPriceEssAnnual*VI14+VU14*BlendedPricePremAnnual*VI14+VV14*BlendedPriceEliteAnnual*VI14</f>
        <v/>
      </c>
      <c r="WH14" s="12">
        <f>0+0+0</f>
        <v/>
      </c>
      <c r="WI14" s="9">
        <f>WF14+WG14+WH14</f>
        <v/>
      </c>
      <c r="WJ14" s="12">
        <f>SUM(WI$5:WI14)</f>
        <v/>
      </c>
      <c r="WK14" s="12">
        <f>OR(WK13,IF(VATAgentMode,SUM($WI$5:$WI14)-SUM($WP$5:$WP14)&gt;=VATThreshold,SUM($WI$5:$WI14)&gt;=VATThreshold))</f>
        <v/>
      </c>
      <c r="WL14" s="9">
        <f>IF(WK14,IF(VATAgentMode,WI14-((WI14-WP14)-(WI14-WP14)/(1+VATRate)),WI14/(1+VATRate)),WI14)</f>
        <v/>
      </c>
      <c r="WM14" s="12">
        <f>WI14-WL14</f>
        <v/>
      </c>
      <c r="WN14" s="12">
        <f>IF(WK14=0,0,IF(VF14=1,SUMPRODUCT(--(($VG$5:$VG14=$VG14-1)*($VF$5:$VF14&gt;=10)*($VF$5:$VF14&lt;=12)),$WM$5:$WM14),IF(VF14=4,SUMPRODUCT(--(($VG$5:$VG14=$VG14)*($VF$5:$VF14&gt;=1)*($VF$5:$VF14&lt;=3)),$WM$5:$WM14),IF(VF14=7,SUMPRODUCT(--(($VG$5:$VG14=$VG14)*($VF$5:$VF14&gt;=4)*($VF$5:$VF14&lt;=6)),$WM$5:$WM14),IF(VF14=10,SUMPRODUCT(--(($VG$5:$VG14=$VG14)*($VF$5:$VF14&gt;=7)*($VF$5:$VF14&lt;=9)),$WM$5:$WM14),0)))))</f>
        <v/>
      </c>
      <c r="WO14" s="12">
        <f>WO13+WM14-WN14</f>
        <v/>
      </c>
      <c r="WP14" s="12">
        <f>IF(ProviderDelay&gt;=1,VW13*BlendedProvPayEss+VX13*BlendedProvPayPrem+VY13*BlendedProvPayElite+VZ13*BlendedProvPayEss+WA13*BlendedProvPayPrem+WB13*BlendedProvPayElite,VW14*BlendedProvPayEss+VX14*BlendedProvPayPrem+VY14*BlendedProvPayElite+VZ14*BlendedProvPayEss+WA14*BlendedProvPayPrem+WB14*BlendedProvPayElite)</f>
        <v/>
      </c>
      <c r="WQ14" s="12">
        <f>WI14*PaymentFee</f>
        <v/>
      </c>
      <c r="WR14" s="12">
        <f>WC14*OpsAI</f>
        <v/>
      </c>
      <c r="WS14" s="12">
        <f>MonthlyFixed</f>
        <v/>
      </c>
      <c r="WT14" s="12">
        <f>VM14*ReferralReward</f>
        <v/>
      </c>
      <c r="WU14" s="12">
        <f>VK14</f>
        <v/>
      </c>
      <c r="WV14" s="9">
        <f>WL14-WP14-WQ14-WR14-WS14-WT14-WU14</f>
        <v/>
      </c>
      <c r="WW14" s="9">
        <f>WW13+WI14-(WP14+WQ14+WR14+WS14+WT14+WU14+WN14)</f>
        <v/>
      </c>
      <c r="WX14" s="12">
        <f>IF(WC14&gt;0,WD14/WC14,0)</f>
        <v/>
      </c>
      <c r="WY14" s="11">
        <f>IF(WC13&gt;0,MAX(0,(WC13+VN14-WC14)/WC13),0)</f>
        <v/>
      </c>
      <c r="XA14" s="12" t="n">
        <v>10</v>
      </c>
      <c r="XB14" s="12">
        <f>MOD(XA14-1+LaunchMonth-1,12)+1</f>
        <v/>
      </c>
      <c r="XC14" s="12">
        <f>INT((XA14-1+LaunchMonth-1)/12)+1</f>
        <v/>
      </c>
      <c r="XD14" s="12">
        <f>VLOOKUP(XB14,SeasonTable,2,FALSE)</f>
        <v/>
      </c>
      <c r="XE14" s="12">
        <f>(1+InflationRate)^INT((XA14-1)/12)</f>
        <v/>
      </c>
      <c r="XF14" s="11">
        <f>MonthlyChurn*VLOOKUP(XB14,ChurnSeasonTable,4,FALSE)</f>
        <v/>
      </c>
      <c r="XG14" s="12">
        <f>MIN(MAX(MktMin7_12,YE13*MktPct7_12),MAX(0,YS13-CashBuffer))</f>
        <v/>
      </c>
      <c r="XH14" s="12">
        <f>IF(XG14&gt;0,MAX(1,ROUND(XG14/CAC*XD14,0)),0)</f>
        <v/>
      </c>
      <c r="XI14" s="12">
        <f>IF(XH14&gt;0,ROUND(XH14*ReferralMix/(1-ReferralMix),0),0)</f>
        <v/>
      </c>
      <c r="XJ14" s="12">
        <f>XH14+XI14</f>
        <v/>
      </c>
      <c r="XK14" s="12">
        <f>ROUND(XJ14*(1-'Sens - Annual Mix'!$A$10),0)</f>
        <v/>
      </c>
      <c r="XL14" s="12">
        <f>XJ14-XK14</f>
        <v/>
      </c>
      <c r="XM14" s="12">
        <f>ROUND(XK14*EssentialMix,0)</f>
        <v/>
      </c>
      <c r="XN14" s="12">
        <f>ROUND(XK14*PremiumMix,0)</f>
        <v/>
      </c>
      <c r="XO14" s="12">
        <f>XK14-XM14-XN14</f>
        <v/>
      </c>
      <c r="XP14" s="12">
        <f>ROUND(XL14*EssentialMix,0)</f>
        <v/>
      </c>
      <c r="XQ14" s="12">
        <f>ROUND(XL14*PremiumMix,0)</f>
        <v/>
      </c>
      <c r="XR14" s="12">
        <f>XL14-XP14-XQ14</f>
        <v/>
      </c>
      <c r="XS14" s="12">
        <f>XM14+XM13+XM12+MAX(0,XS13-XM13-XM12)*(1-XF14)</f>
        <v/>
      </c>
      <c r="XT14" s="12">
        <f>XN14+XN13+XN12+MAX(0,XT13-XN13-XN12)*(1-XF14)</f>
        <v/>
      </c>
      <c r="XU14" s="12">
        <f>XO14+XO13+XO12+MAX(0,XU13-XO13-XO12)*(1-XF14)</f>
        <v/>
      </c>
      <c r="XV14" s="12">
        <f>SUM(XP$5:XP14)</f>
        <v/>
      </c>
      <c r="XW14" s="12">
        <f>SUM(XQ$5:XQ14)</f>
        <v/>
      </c>
      <c r="XX14" s="12">
        <f>SUM(XR$5:XR14)</f>
        <v/>
      </c>
      <c r="XY14" s="12">
        <f>XS14+XT14+XU14+XV14+XW14+XX14</f>
        <v/>
      </c>
      <c r="XZ14" s="9">
        <f>XS14*BlendedPriceEssMonthly*XE14+XT14*BlendedPricePremMonthly*XE14+XU14*BlendedPriceEliteMonthly*XE14+XV14*BlendedPriceEssAnnual*XE14/12+XW14*BlendedPricePremAnnual*XE14/12+XX14*BlendedPriceEliteAnnual*XE14/12</f>
        <v/>
      </c>
      <c r="YA14" s="9">
        <f>XZ14*12</f>
        <v/>
      </c>
      <c r="YB14" s="12">
        <f>XS14*BlendedPriceEssMonthly*XE14+XT14*BlendedPricePremMonthly*XE14+XU14*BlendedPriceEliteMonthly*XE14</f>
        <v/>
      </c>
      <c r="YC14" s="12">
        <f>XP14*BlendedPriceEssAnnual*XE14+XQ14*BlendedPricePremAnnual*XE14+XR14*BlendedPriceEliteAnnual*XE14</f>
        <v/>
      </c>
      <c r="YD14" s="12">
        <f>0+0+0</f>
        <v/>
      </c>
      <c r="YE14" s="9">
        <f>YB14+YC14+YD14</f>
        <v/>
      </c>
      <c r="YF14" s="12">
        <f>SUM(YE$5:YE14)</f>
        <v/>
      </c>
      <c r="YG14" s="12">
        <f>OR(YG13,IF(VATAgentMode,SUM($YE$5:$YE14)-SUM($YL$5:$YL14)&gt;=VATThreshold,SUM($YE$5:$YE14)&gt;=VATThreshold))</f>
        <v/>
      </c>
      <c r="YH14" s="9">
        <f>IF(YG14,IF(VATAgentMode,YE14-((YE14-YL14)-(YE14-YL14)/(1+VATRate)),YE14/(1+VATRate)),YE14)</f>
        <v/>
      </c>
      <c r="YI14" s="12">
        <f>YE14-YH14</f>
        <v/>
      </c>
      <c r="YJ14" s="12">
        <f>IF(YG14=0,0,IF(XB14=1,SUMPRODUCT(--(($XC$5:$XC14=$XC14-1)*($XB$5:$XB14&gt;=10)*($XB$5:$XB14&lt;=12)),$YI$5:$YI14),IF(XB14=4,SUMPRODUCT(--(($XC$5:$XC14=$XC14)*($XB$5:$XB14&gt;=1)*($XB$5:$XB14&lt;=3)),$YI$5:$YI14),IF(XB14=7,SUMPRODUCT(--(($XC$5:$XC14=$XC14)*($XB$5:$XB14&gt;=4)*($XB$5:$XB14&lt;=6)),$YI$5:$YI14),IF(XB14=10,SUMPRODUCT(--(($XC$5:$XC14=$XC14)*($XB$5:$XB14&gt;=7)*($XB$5:$XB14&lt;=9)),$YI$5:$YI14),0)))))</f>
        <v/>
      </c>
      <c r="YK14" s="12">
        <f>YK13+YI14-YJ14</f>
        <v/>
      </c>
      <c r="YL14" s="12">
        <f>IF(ProviderDelay&gt;=1,XS13*BlendedProvPayEss+XT13*BlendedProvPayPrem+XU13*BlendedProvPayElite+XV13*BlendedProvPayEss+XW13*BlendedProvPayPrem+XX13*BlendedProvPayElite,XS14*BlendedProvPayEss+XT14*BlendedProvPayPrem+XU14*BlendedProvPayElite+XV14*BlendedProvPayEss+XW14*BlendedProvPayPrem+XX14*BlendedProvPayElite)</f>
        <v/>
      </c>
      <c r="YM14" s="12">
        <f>YE14*PaymentFee</f>
        <v/>
      </c>
      <c r="YN14" s="12">
        <f>XY14*OpsAI</f>
        <v/>
      </c>
      <c r="YO14" s="12">
        <f>MonthlyFixed</f>
        <v/>
      </c>
      <c r="YP14" s="12">
        <f>XI14*ReferralReward</f>
        <v/>
      </c>
      <c r="YQ14" s="12">
        <f>XG14</f>
        <v/>
      </c>
      <c r="YR14" s="9">
        <f>YH14-YL14-YM14-YN14-YO14-YP14-YQ14</f>
        <v/>
      </c>
      <c r="YS14" s="9">
        <f>YS13+YE14-(YL14+YM14+YN14+YO14+YP14+YQ14+YJ14)</f>
        <v/>
      </c>
      <c r="YT14" s="12">
        <f>IF(XY14&gt;0,XZ14/XY14,0)</f>
        <v/>
      </c>
      <c r="YU14" s="11">
        <f>IF(XY13&gt;0,MAX(0,(XY13+XJ14-XY14)/XY13),0)</f>
        <v/>
      </c>
      <c r="YW14" s="12" t="n">
        <v>10</v>
      </c>
      <c r="YX14" s="12">
        <f>MOD(YW14-1+LaunchMonth-1,12)+1</f>
        <v/>
      </c>
      <c r="YY14" s="12">
        <f>INT((YW14-1+LaunchMonth-1)/12)+1</f>
        <v/>
      </c>
      <c r="YZ14" s="12">
        <f>VLOOKUP(YX14,SeasonTable,2,FALSE)</f>
        <v/>
      </c>
      <c r="ZA14" s="12">
        <f>(1+InflationRate)^INT((YW14-1)/12)</f>
        <v/>
      </c>
      <c r="ZB14" s="11">
        <f>MonthlyChurn*VLOOKUP(YX14,ChurnSeasonTable,4,FALSE)</f>
        <v/>
      </c>
      <c r="ZC14" s="12">
        <f>MIN(MAX(MktMin7_12,AAA13*MktPct7_12),MAX(0,AAO13-CashBuffer))</f>
        <v/>
      </c>
      <c r="ZD14" s="12">
        <f>IF(ZC14&gt;0,MAX(1,ROUND(ZC14/CAC*YZ14,0)),0)</f>
        <v/>
      </c>
      <c r="ZE14" s="12">
        <f>IF(ZD14&gt;0,ROUND(ZD14*ReferralMix/(1-ReferralMix),0),0)</f>
        <v/>
      </c>
      <c r="ZF14" s="12">
        <f>ZD14+ZE14</f>
        <v/>
      </c>
      <c r="ZG14" s="12">
        <f>ROUND(ZF14*(1-'Sens - Annual Mix'!$A$11),0)</f>
        <v/>
      </c>
      <c r="ZH14" s="12">
        <f>ZF14-ZG14</f>
        <v/>
      </c>
      <c r="ZI14" s="12">
        <f>ROUND(ZG14*EssentialMix,0)</f>
        <v/>
      </c>
      <c r="ZJ14" s="12">
        <f>ROUND(ZG14*PremiumMix,0)</f>
        <v/>
      </c>
      <c r="ZK14" s="12">
        <f>ZG14-ZI14-ZJ14</f>
        <v/>
      </c>
      <c r="ZL14" s="12">
        <f>ROUND(ZH14*EssentialMix,0)</f>
        <v/>
      </c>
      <c r="ZM14" s="12">
        <f>ROUND(ZH14*PremiumMix,0)</f>
        <v/>
      </c>
      <c r="ZN14" s="12">
        <f>ZH14-ZL14-ZM14</f>
        <v/>
      </c>
      <c r="ZO14" s="12">
        <f>ZI14+ZI13+ZI12+MAX(0,ZO13-ZI13-ZI12)*(1-ZB14)</f>
        <v/>
      </c>
      <c r="ZP14" s="12">
        <f>ZJ14+ZJ13+ZJ12+MAX(0,ZP13-ZJ13-ZJ12)*(1-ZB14)</f>
        <v/>
      </c>
      <c r="ZQ14" s="12">
        <f>ZK14+ZK13+ZK12+MAX(0,ZQ13-ZK13-ZK12)*(1-ZB14)</f>
        <v/>
      </c>
      <c r="ZR14" s="12">
        <f>SUM(ZL$5:ZL14)</f>
        <v/>
      </c>
      <c r="ZS14" s="12">
        <f>SUM(ZM$5:ZM14)</f>
        <v/>
      </c>
      <c r="ZT14" s="12">
        <f>SUM(ZN$5:ZN14)</f>
        <v/>
      </c>
      <c r="ZU14" s="12">
        <f>ZO14+ZP14+ZQ14+ZR14+ZS14+ZT14</f>
        <v/>
      </c>
      <c r="ZV14" s="9">
        <f>ZO14*BlendedPriceEssMonthly*ZA14+ZP14*BlendedPricePremMonthly*ZA14+ZQ14*BlendedPriceEliteMonthly*ZA14+ZR14*BlendedPriceEssAnnual*ZA14/12+ZS14*BlendedPricePremAnnual*ZA14/12+ZT14*BlendedPriceEliteAnnual*ZA14/12</f>
        <v/>
      </c>
      <c r="ZW14" s="9">
        <f>ZV14*12</f>
        <v/>
      </c>
      <c r="ZX14" s="12">
        <f>ZO14*BlendedPriceEssMonthly*ZA14+ZP14*BlendedPricePremMonthly*ZA14+ZQ14*BlendedPriceEliteMonthly*ZA14</f>
        <v/>
      </c>
      <c r="ZY14" s="12">
        <f>ZL14*BlendedPriceEssAnnual*ZA14+ZM14*BlendedPricePremAnnual*ZA14+ZN14*BlendedPriceEliteAnnual*ZA14</f>
        <v/>
      </c>
      <c r="ZZ14" s="12">
        <f>0+0+0</f>
        <v/>
      </c>
      <c r="AAA14" s="9">
        <f>ZX14+ZY14+ZZ14</f>
        <v/>
      </c>
      <c r="AAB14" s="12">
        <f>SUM(AAA$5:AAA14)</f>
        <v/>
      </c>
      <c r="AAC14" s="12">
        <f>OR(AAC13,IF(VATAgentMode,SUM($AAA$5:$AAA14)-SUM($AAH$5:$AAH14)&gt;=VATThreshold,SUM($AAA$5:$AAA14)&gt;=VATThreshold))</f>
        <v/>
      </c>
      <c r="AAD14" s="9">
        <f>IF(AAC14,IF(VATAgentMode,AAA14-((AAA14-AAH14)-(AAA14-AAH14)/(1+VATRate)),AAA14/(1+VATRate)),AAA14)</f>
        <v/>
      </c>
      <c r="AAE14" s="12">
        <f>AAA14-AAD14</f>
        <v/>
      </c>
      <c r="AAF14" s="12">
        <f>IF(AAC14=0,0,IF(YX14=1,SUMPRODUCT(--(($YY$5:$YY14=$YY14-1)*($YX$5:$YX14&gt;=10)*($YX$5:$YX14&lt;=12)),$AAE$5:$AAE14),IF(YX14=4,SUMPRODUCT(--(($YY$5:$YY14=$YY14)*($YX$5:$YX14&gt;=1)*($YX$5:$YX14&lt;=3)),$AAE$5:$AAE14),IF(YX14=7,SUMPRODUCT(--(($YY$5:$YY14=$YY14)*($YX$5:$YX14&gt;=4)*($YX$5:$YX14&lt;=6)),$AAE$5:$AAE14),IF(YX14=10,SUMPRODUCT(--(($YY$5:$YY14=$YY14)*($YX$5:$YX14&gt;=7)*($YX$5:$YX14&lt;=9)),$AAE$5:$AAE14),0)))))</f>
        <v/>
      </c>
      <c r="AAG14" s="12">
        <f>AAG13+AAE14-AAF14</f>
        <v/>
      </c>
      <c r="AAH14" s="12">
        <f>IF(ProviderDelay&gt;=1,ZO13*BlendedProvPayEss+ZP13*BlendedProvPayPrem+ZQ13*BlendedProvPayElite+ZR13*BlendedProvPayEss+ZS13*BlendedProvPayPrem+ZT13*BlendedProvPayElite,ZO14*BlendedProvPayEss+ZP14*BlendedProvPayPrem+ZQ14*BlendedProvPayElite+ZR14*BlendedProvPayEss+ZS14*BlendedProvPayPrem+ZT14*BlendedProvPayElite)</f>
        <v/>
      </c>
      <c r="AAI14" s="12">
        <f>AAA14*PaymentFee</f>
        <v/>
      </c>
      <c r="AAJ14" s="12">
        <f>ZU14*OpsAI</f>
        <v/>
      </c>
      <c r="AAK14" s="12">
        <f>MonthlyFixed</f>
        <v/>
      </c>
      <c r="AAL14" s="12">
        <f>ZE14*ReferralReward</f>
        <v/>
      </c>
      <c r="AAM14" s="12">
        <f>ZC14</f>
        <v/>
      </c>
      <c r="AAN14" s="9">
        <f>AAD14-AAH14-AAI14-AAJ14-AAK14-AAL14-AAM14</f>
        <v/>
      </c>
      <c r="AAO14" s="9">
        <f>AAO13+AAA14-(AAH14+AAI14+AAJ14+AAK14+AAL14+AAM14+AAF14)</f>
        <v/>
      </c>
      <c r="AAP14" s="12">
        <f>IF(ZU14&gt;0,ZV14/ZU14,0)</f>
        <v/>
      </c>
      <c r="AAQ14" s="11">
        <f>IF(ZU13&gt;0,MAX(0,(ZU13+ZF14-ZU14)/ZU13),0)</f>
        <v/>
      </c>
      <c r="AAS14" s="12" t="n">
        <v>10</v>
      </c>
      <c r="AAT14" s="12">
        <f>MOD(AAS14-1+LaunchMonth-1,12)+1</f>
        <v/>
      </c>
      <c r="AAU14" s="12">
        <f>INT((AAS14-1+LaunchMonth-1)/12)+1</f>
        <v/>
      </c>
      <c r="AAV14" s="12">
        <f>VLOOKUP(AAT14,SeasonTable,2,FALSE)</f>
        <v/>
      </c>
      <c r="AAW14" s="12">
        <f>(1+InflationRate)^INT((AAS14-1)/12)</f>
        <v/>
      </c>
      <c r="AAX14" s="11">
        <f>MonthlyChurn*VLOOKUP(AAT14,ChurnSeasonTable,4,FALSE)</f>
        <v/>
      </c>
      <c r="AAY14" s="12">
        <f>MIN(MAX(MktMin7_12,ABW13*MktPct7_12),MAX(0,ACK13-CashBuffer))</f>
        <v/>
      </c>
      <c r="AAZ14" s="12">
        <f>IF(AAY14&gt;0,MAX(1,ROUND(AAY14/CAC*AAV14,0)),0)</f>
        <v/>
      </c>
      <c r="ABA14" s="12">
        <f>IF(AAZ14&gt;0,ROUND(AAZ14*ReferralMix/(1-ReferralMix),0),0)</f>
        <v/>
      </c>
      <c r="ABB14" s="12">
        <f>AAZ14+ABA14</f>
        <v/>
      </c>
      <c r="ABC14" s="12">
        <f>ROUND(ABB14*(1-'Sens - Annual Mix'!$A$12),0)</f>
        <v/>
      </c>
      <c r="ABD14" s="12">
        <f>ABB14-ABC14</f>
        <v/>
      </c>
      <c r="ABE14" s="12">
        <f>ROUND(ABC14*EssentialMix,0)</f>
        <v/>
      </c>
      <c r="ABF14" s="12">
        <f>ROUND(ABC14*PremiumMix,0)</f>
        <v/>
      </c>
      <c r="ABG14" s="12">
        <f>ABC14-ABE14-ABF14</f>
        <v/>
      </c>
      <c r="ABH14" s="12">
        <f>ROUND(ABD14*EssentialMix,0)</f>
        <v/>
      </c>
      <c r="ABI14" s="12">
        <f>ROUND(ABD14*PremiumMix,0)</f>
        <v/>
      </c>
      <c r="ABJ14" s="12">
        <f>ABD14-ABH14-ABI14</f>
        <v/>
      </c>
      <c r="ABK14" s="12">
        <f>ABE14+ABE13+ABE12+MAX(0,ABK13-ABE13-ABE12)*(1-AAX14)</f>
        <v/>
      </c>
      <c r="ABL14" s="12">
        <f>ABF14+ABF13+ABF12+MAX(0,ABL13-ABF13-ABF12)*(1-AAX14)</f>
        <v/>
      </c>
      <c r="ABM14" s="12">
        <f>ABG14+ABG13+ABG12+MAX(0,ABM13-ABG13-ABG12)*(1-AAX14)</f>
        <v/>
      </c>
      <c r="ABN14" s="12">
        <f>SUM(ABH$5:ABH14)</f>
        <v/>
      </c>
      <c r="ABO14" s="12">
        <f>SUM(ABI$5:ABI14)</f>
        <v/>
      </c>
      <c r="ABP14" s="12">
        <f>SUM(ABJ$5:ABJ14)</f>
        <v/>
      </c>
      <c r="ABQ14" s="12">
        <f>ABK14+ABL14+ABM14+ABN14+ABO14+ABP14</f>
        <v/>
      </c>
      <c r="ABR14" s="9">
        <f>ABK14*BlendedPriceEssMonthly*AAW14+ABL14*BlendedPricePremMonthly*AAW14+ABM14*BlendedPriceEliteMonthly*AAW14+ABN14*BlendedPriceEssAnnual*AAW14/12+ABO14*BlendedPricePremAnnual*AAW14/12+ABP14*BlendedPriceEliteAnnual*AAW14/12</f>
        <v/>
      </c>
      <c r="ABS14" s="9">
        <f>ABR14*12</f>
        <v/>
      </c>
      <c r="ABT14" s="12">
        <f>ABK14*BlendedPriceEssMonthly*AAW14+ABL14*BlendedPricePremMonthly*AAW14+ABM14*BlendedPriceEliteMonthly*AAW14</f>
        <v/>
      </c>
      <c r="ABU14" s="12">
        <f>ABH14*BlendedPriceEssAnnual*AAW14+ABI14*BlendedPricePremAnnual*AAW14+ABJ14*BlendedPriceEliteAnnual*AAW14</f>
        <v/>
      </c>
      <c r="ABV14" s="12">
        <f>0+0+0</f>
        <v/>
      </c>
      <c r="ABW14" s="9">
        <f>ABT14+ABU14+ABV14</f>
        <v/>
      </c>
      <c r="ABX14" s="12">
        <f>SUM(ABW$5:ABW14)</f>
        <v/>
      </c>
      <c r="ABY14" s="12">
        <f>OR(ABY13,IF(VATAgentMode,SUM($ABW$5:$ABW14)-SUM($ACD$5:$ACD14)&gt;=VATThreshold,SUM($ABW$5:$ABW14)&gt;=VATThreshold))</f>
        <v/>
      </c>
      <c r="ABZ14" s="9">
        <f>IF(ABY14,IF(VATAgentMode,ABW14-((ABW14-ACD14)-(ABW14-ACD14)/(1+VATRate)),ABW14/(1+VATRate)),ABW14)</f>
        <v/>
      </c>
      <c r="ACA14" s="12">
        <f>ABW14-ABZ14</f>
        <v/>
      </c>
      <c r="ACB14" s="12">
        <f>IF(ABY14=0,0,IF(AAT14=1,SUMPRODUCT(--(($AAU$5:$AAU14=$AAU14-1)*($AAT$5:$AAT14&gt;=10)*($AAT$5:$AAT14&lt;=12)),$ACA$5:$ACA14),IF(AAT14=4,SUMPRODUCT(--(($AAU$5:$AAU14=$AAU14)*($AAT$5:$AAT14&gt;=1)*($AAT$5:$AAT14&lt;=3)),$ACA$5:$ACA14),IF(AAT14=7,SUMPRODUCT(--(($AAU$5:$AAU14=$AAU14)*($AAT$5:$AAT14&gt;=4)*($AAT$5:$AAT14&lt;=6)),$ACA$5:$ACA14),IF(AAT14=10,SUMPRODUCT(--(($AAU$5:$AAU14=$AAU14)*($AAT$5:$AAT14&gt;=7)*($AAT$5:$AAT14&lt;=9)),$ACA$5:$ACA14),0)))))</f>
        <v/>
      </c>
      <c r="ACC14" s="12">
        <f>ACC13+ACA14-ACB14</f>
        <v/>
      </c>
      <c r="ACD14" s="12">
        <f>IF(ProviderDelay&gt;=1,ABK13*BlendedProvPayEss+ABL13*BlendedProvPayPrem+ABM13*BlendedProvPayElite+ABN13*BlendedProvPayEss+ABO13*BlendedProvPayPrem+ABP13*BlendedProvPayElite,ABK14*BlendedProvPayEss+ABL14*BlendedProvPayPrem+ABM14*BlendedProvPayElite+ABN14*BlendedProvPayEss+ABO14*BlendedProvPayPrem+ABP14*BlendedProvPayElite)</f>
        <v/>
      </c>
      <c r="ACE14" s="12">
        <f>ABW14*PaymentFee</f>
        <v/>
      </c>
      <c r="ACF14" s="12">
        <f>ABQ14*OpsAI</f>
        <v/>
      </c>
      <c r="ACG14" s="12">
        <f>MonthlyFixed</f>
        <v/>
      </c>
      <c r="ACH14" s="12">
        <f>ABA14*ReferralReward</f>
        <v/>
      </c>
      <c r="ACI14" s="12">
        <f>AAY14</f>
        <v/>
      </c>
      <c r="ACJ14" s="9">
        <f>ABZ14-ACD14-ACE14-ACF14-ACG14-ACH14-ACI14</f>
        <v/>
      </c>
      <c r="ACK14" s="9">
        <f>ACK13+ABW14-(ACD14+ACE14+ACF14+ACG14+ACH14+ACI14+ACB14)</f>
        <v/>
      </c>
      <c r="ACL14" s="12">
        <f>IF(ABQ14&gt;0,ABR14/ABQ14,0)</f>
        <v/>
      </c>
      <c r="ACM14" s="11">
        <f>IF(ABQ13&gt;0,MAX(0,(ABQ13+ABB14-ABQ14)/ABQ13),0)</f>
        <v/>
      </c>
      <c r="ACO14" s="12" t="n">
        <v>10</v>
      </c>
      <c r="ACP14" s="12">
        <f>MOD(ACO14-1+LaunchMonth-1,12)+1</f>
        <v/>
      </c>
      <c r="ACQ14" s="12">
        <f>INT((ACO14-1+LaunchMonth-1)/12)+1</f>
        <v/>
      </c>
      <c r="ACR14" s="12">
        <f>VLOOKUP(ACP14,SeasonTable,2,FALSE)</f>
        <v/>
      </c>
      <c r="ACS14" s="12">
        <f>(1+InflationRate)^INT((ACO14-1)/12)</f>
        <v/>
      </c>
      <c r="ACT14" s="11">
        <f>MonthlyChurn*VLOOKUP(ACP14,ChurnSeasonTable,4,FALSE)</f>
        <v/>
      </c>
      <c r="ACU14" s="12">
        <f>MIN(MAX(MktMin7_12,ADS13*MktPct7_12),MAX(0,AEG13-CashBuffer))</f>
        <v/>
      </c>
      <c r="ACV14" s="12">
        <f>IF(ACU14&gt;0,MAX(1,ROUND(ACU14/CAC*ACR14,0)),0)</f>
        <v/>
      </c>
      <c r="ACW14" s="12">
        <f>IF(ACV14&gt;0,ROUND(ACV14*ReferralMix/(1-ReferralMix),0),0)</f>
        <v/>
      </c>
      <c r="ACX14" s="12">
        <f>ACV14+ACW14</f>
        <v/>
      </c>
      <c r="ACY14" s="12">
        <f>ROUND(ACX14*(1-'Sens - Annual Mix'!$A$13),0)</f>
        <v/>
      </c>
      <c r="ACZ14" s="12">
        <f>ACX14-ACY14</f>
        <v/>
      </c>
      <c r="ADA14" s="12">
        <f>ROUND(ACY14*EssentialMix,0)</f>
        <v/>
      </c>
      <c r="ADB14" s="12">
        <f>ROUND(ACY14*PremiumMix,0)</f>
        <v/>
      </c>
      <c r="ADC14" s="12">
        <f>ACY14-ADA14-ADB14</f>
        <v/>
      </c>
      <c r="ADD14" s="12">
        <f>ROUND(ACZ14*EssentialMix,0)</f>
        <v/>
      </c>
      <c r="ADE14" s="12">
        <f>ROUND(ACZ14*PremiumMix,0)</f>
        <v/>
      </c>
      <c r="ADF14" s="12">
        <f>ACZ14-ADD14-ADE14</f>
        <v/>
      </c>
      <c r="ADG14" s="12">
        <f>ADA14+ADA13+ADA12+MAX(0,ADG13-ADA13-ADA12)*(1-ACT14)</f>
        <v/>
      </c>
      <c r="ADH14" s="12">
        <f>ADB14+ADB13+ADB12+MAX(0,ADH13-ADB13-ADB12)*(1-ACT14)</f>
        <v/>
      </c>
      <c r="ADI14" s="12">
        <f>ADC14+ADC13+ADC12+MAX(0,ADI13-ADC13-ADC12)*(1-ACT14)</f>
        <v/>
      </c>
      <c r="ADJ14" s="12">
        <f>SUM(ADD$5:ADD14)</f>
        <v/>
      </c>
      <c r="ADK14" s="12">
        <f>SUM(ADE$5:ADE14)</f>
        <v/>
      </c>
      <c r="ADL14" s="12">
        <f>SUM(ADF$5:ADF14)</f>
        <v/>
      </c>
      <c r="ADM14" s="12">
        <f>ADG14+ADH14+ADI14+ADJ14+ADK14+ADL14</f>
        <v/>
      </c>
      <c r="ADN14" s="9">
        <f>ADG14*BlendedPriceEssMonthly*ACS14+ADH14*BlendedPricePremMonthly*ACS14+ADI14*BlendedPriceEliteMonthly*ACS14+ADJ14*BlendedPriceEssAnnual*ACS14/12+ADK14*BlendedPricePremAnnual*ACS14/12+ADL14*BlendedPriceEliteAnnual*ACS14/12</f>
        <v/>
      </c>
      <c r="ADO14" s="9">
        <f>ADN14*12</f>
        <v/>
      </c>
      <c r="ADP14" s="12">
        <f>ADG14*BlendedPriceEssMonthly*ACS14+ADH14*BlendedPricePremMonthly*ACS14+ADI14*BlendedPriceEliteMonthly*ACS14</f>
        <v/>
      </c>
      <c r="ADQ14" s="12">
        <f>ADD14*BlendedPriceEssAnnual*ACS14+ADE14*BlendedPricePremAnnual*ACS14+ADF14*BlendedPriceEliteAnnual*ACS14</f>
        <v/>
      </c>
      <c r="ADR14" s="12">
        <f>0+0+0</f>
        <v/>
      </c>
      <c r="ADS14" s="9">
        <f>ADP14+ADQ14+ADR14</f>
        <v/>
      </c>
      <c r="ADT14" s="12">
        <f>SUM(ADS$5:ADS14)</f>
        <v/>
      </c>
      <c r="ADU14" s="12">
        <f>OR(ADU13,IF(VATAgentMode,SUM($ADS$5:$ADS14)-SUM($ADZ$5:$ADZ14)&gt;=VATThreshold,SUM($ADS$5:$ADS14)&gt;=VATThreshold))</f>
        <v/>
      </c>
      <c r="ADV14" s="9">
        <f>IF(ADU14,IF(VATAgentMode,ADS14-((ADS14-ADZ14)-(ADS14-ADZ14)/(1+VATRate)),ADS14/(1+VATRate)),ADS14)</f>
        <v/>
      </c>
      <c r="ADW14" s="12">
        <f>ADS14-ADV14</f>
        <v/>
      </c>
      <c r="ADX14" s="12">
        <f>IF(ADU14=0,0,IF(ACP14=1,SUMPRODUCT(--(($ACQ$5:$ACQ14=$ACQ14-1)*($ACP$5:$ACP14&gt;=10)*($ACP$5:$ACP14&lt;=12)),$ADW$5:$ADW14),IF(ACP14=4,SUMPRODUCT(--(($ACQ$5:$ACQ14=$ACQ14)*($ACP$5:$ACP14&gt;=1)*($ACP$5:$ACP14&lt;=3)),$ADW$5:$ADW14),IF(ACP14=7,SUMPRODUCT(--(($ACQ$5:$ACQ14=$ACQ14)*($ACP$5:$ACP14&gt;=4)*($ACP$5:$ACP14&lt;=6)),$ADW$5:$ADW14),IF(ACP14=10,SUMPRODUCT(--(($ACQ$5:$ACQ14=$ACQ14)*($ACP$5:$ACP14&gt;=7)*($ACP$5:$ACP14&lt;=9)),$ADW$5:$ADW14),0)))))</f>
        <v/>
      </c>
      <c r="ADY14" s="12">
        <f>ADY13+ADW14-ADX14</f>
        <v/>
      </c>
      <c r="ADZ14" s="12">
        <f>IF(ProviderDelay&gt;=1,ADG13*BlendedProvPayEss+ADH13*BlendedProvPayPrem+ADI13*BlendedProvPayElite+ADJ13*BlendedProvPayEss+ADK13*BlendedProvPayPrem+ADL13*BlendedProvPayElite,ADG14*BlendedProvPayEss+ADH14*BlendedProvPayPrem+ADI14*BlendedProvPayElite+ADJ14*BlendedProvPayEss+ADK14*BlendedProvPayPrem+ADL14*BlendedProvPayElite)</f>
        <v/>
      </c>
      <c r="AEA14" s="12">
        <f>ADS14*PaymentFee</f>
        <v/>
      </c>
      <c r="AEB14" s="12">
        <f>ADM14*OpsAI</f>
        <v/>
      </c>
      <c r="AEC14" s="12">
        <f>MonthlyFixed</f>
        <v/>
      </c>
      <c r="AED14" s="12">
        <f>ACW14*ReferralReward</f>
        <v/>
      </c>
      <c r="AEE14" s="12">
        <f>ACU14</f>
        <v/>
      </c>
      <c r="AEF14" s="9">
        <f>ADV14-ADZ14-AEA14-AEB14-AEC14-AED14-AEE14</f>
        <v/>
      </c>
      <c r="AEG14" s="9">
        <f>AEG13+ADS14-(ADZ14+AEA14+AEB14+AEC14+AED14+AEE14+ADX14)</f>
        <v/>
      </c>
      <c r="AEH14" s="12">
        <f>IF(ADM14&gt;0,ADN14/ADM14,0)</f>
        <v/>
      </c>
      <c r="AEI14" s="11">
        <f>IF(ADM13&gt;0,MAX(0,(ADM13+ACX14-ADM14)/ADM13),0)</f>
        <v/>
      </c>
      <c r="AEK14" s="12" t="n">
        <v>10</v>
      </c>
      <c r="AEL14" s="12">
        <f>MOD(AEK14-1+LaunchMonth-1,12)+1</f>
        <v/>
      </c>
      <c r="AEM14" s="12">
        <f>INT((AEK14-1+LaunchMonth-1)/12)+1</f>
        <v/>
      </c>
      <c r="AEN14" s="12">
        <f>VLOOKUP(AEL14,SeasonTable,2,FALSE)</f>
        <v/>
      </c>
      <c r="AEO14" s="12">
        <f>(1+InflationRate)^INT((AEK14-1)/12)</f>
        <v/>
      </c>
      <c r="AEP14" s="11">
        <f>MonthlyChurn*VLOOKUP(AEL14,ChurnSeasonTable,4,FALSE)</f>
        <v/>
      </c>
      <c r="AEQ14" s="12">
        <f>MIN(MAX(MktMin7_12,AFO13*MktPct7_12),MAX(0,AGC13-CashBuffer))</f>
        <v/>
      </c>
      <c r="AER14" s="12">
        <f>IF(AEQ14&gt;0,MAX(1,ROUND(AEQ14/CAC*AEN14,0)),0)</f>
        <v/>
      </c>
      <c r="AES14" s="12">
        <f>IF(AER14&gt;0,ROUND(AER14*ReferralMix/(1-ReferralMix),0),0)</f>
        <v/>
      </c>
      <c r="AET14" s="12">
        <f>AER14+AES14</f>
        <v/>
      </c>
      <c r="AEU14" s="12">
        <f>ROUND(AET14*(1-'Sens - Annual Mix'!$A$14),0)</f>
        <v/>
      </c>
      <c r="AEV14" s="12">
        <f>AET14-AEU14</f>
        <v/>
      </c>
      <c r="AEW14" s="12">
        <f>ROUND(AEU14*EssentialMix,0)</f>
        <v/>
      </c>
      <c r="AEX14" s="12">
        <f>ROUND(AEU14*PremiumMix,0)</f>
        <v/>
      </c>
      <c r="AEY14" s="12">
        <f>AEU14-AEW14-AEX14</f>
        <v/>
      </c>
      <c r="AEZ14" s="12">
        <f>ROUND(AEV14*EssentialMix,0)</f>
        <v/>
      </c>
      <c r="AFA14" s="12">
        <f>ROUND(AEV14*PremiumMix,0)</f>
        <v/>
      </c>
      <c r="AFB14" s="12">
        <f>AEV14-AEZ14-AFA14</f>
        <v/>
      </c>
      <c r="AFC14" s="12">
        <f>AEW14+AEW13+AEW12+MAX(0,AFC13-AEW13-AEW12)*(1-AEP14)</f>
        <v/>
      </c>
      <c r="AFD14" s="12">
        <f>AEX14+AEX13+AEX12+MAX(0,AFD13-AEX13-AEX12)*(1-AEP14)</f>
        <v/>
      </c>
      <c r="AFE14" s="12">
        <f>AEY14+AEY13+AEY12+MAX(0,AFE13-AEY13-AEY12)*(1-AEP14)</f>
        <v/>
      </c>
      <c r="AFF14" s="12">
        <f>SUM(AEZ$5:AEZ14)</f>
        <v/>
      </c>
      <c r="AFG14" s="12">
        <f>SUM(AFA$5:AFA14)</f>
        <v/>
      </c>
      <c r="AFH14" s="12">
        <f>SUM(AFB$5:AFB14)</f>
        <v/>
      </c>
      <c r="AFI14" s="12">
        <f>AFC14+AFD14+AFE14+AFF14+AFG14+AFH14</f>
        <v/>
      </c>
      <c r="AFJ14" s="9">
        <f>AFC14*BlendedPriceEssMonthly*AEO14+AFD14*BlendedPricePremMonthly*AEO14+AFE14*BlendedPriceEliteMonthly*AEO14+AFF14*BlendedPriceEssAnnual*AEO14/12+AFG14*BlendedPricePremAnnual*AEO14/12+AFH14*BlendedPriceEliteAnnual*AEO14/12</f>
        <v/>
      </c>
      <c r="AFK14" s="9">
        <f>AFJ14*12</f>
        <v/>
      </c>
      <c r="AFL14" s="12">
        <f>AFC14*BlendedPriceEssMonthly*AEO14+AFD14*BlendedPricePremMonthly*AEO14+AFE14*BlendedPriceEliteMonthly*AEO14</f>
        <v/>
      </c>
      <c r="AFM14" s="12">
        <f>AEZ14*BlendedPriceEssAnnual*AEO14+AFA14*BlendedPricePremAnnual*AEO14+AFB14*BlendedPriceEliteAnnual*AEO14</f>
        <v/>
      </c>
      <c r="AFN14" s="12">
        <f>0+0+0</f>
        <v/>
      </c>
      <c r="AFO14" s="9">
        <f>AFL14+AFM14+AFN14</f>
        <v/>
      </c>
      <c r="AFP14" s="12">
        <f>SUM(AFO$5:AFO14)</f>
        <v/>
      </c>
      <c r="AFQ14" s="12">
        <f>OR(AFQ13,IF(VATAgentMode,SUM($AFO$5:$AFO14)-SUM($AFV$5:$AFV14)&gt;=VATThreshold,SUM($AFO$5:$AFO14)&gt;=VATThreshold))</f>
        <v/>
      </c>
      <c r="AFR14" s="9">
        <f>IF(AFQ14,IF(VATAgentMode,AFO14-((AFO14-AFV14)-(AFO14-AFV14)/(1+VATRate)),AFO14/(1+VATRate)),AFO14)</f>
        <v/>
      </c>
      <c r="AFS14" s="12">
        <f>AFO14-AFR14</f>
        <v/>
      </c>
      <c r="AFT14" s="12">
        <f>IF(AFQ14=0,0,IF(AEL14=1,SUMPRODUCT(--(($AEM$5:$AEM14=$AEM14-1)*($AEL$5:$AEL14&gt;=10)*($AEL$5:$AEL14&lt;=12)),$AFS$5:$AFS14),IF(AEL14=4,SUMPRODUCT(--(($AEM$5:$AEM14=$AEM14)*($AEL$5:$AEL14&gt;=1)*($AEL$5:$AEL14&lt;=3)),$AFS$5:$AFS14),IF(AEL14=7,SUMPRODUCT(--(($AEM$5:$AEM14=$AEM14)*($AEL$5:$AEL14&gt;=4)*($AEL$5:$AEL14&lt;=6)),$AFS$5:$AFS14),IF(AEL14=10,SUMPRODUCT(--(($AEM$5:$AEM14=$AEM14)*($AEL$5:$AEL14&gt;=7)*($AEL$5:$AEL14&lt;=9)),$AFS$5:$AFS14),0)))))</f>
        <v/>
      </c>
      <c r="AFU14" s="12">
        <f>AFU13+AFS14-AFT14</f>
        <v/>
      </c>
      <c r="AFV14" s="12">
        <f>IF(ProviderDelay&gt;=1,AFC13*BlendedProvPayEss+AFD13*BlendedProvPayPrem+AFE13*BlendedProvPayElite+AFF13*BlendedProvPayEss+AFG13*BlendedProvPayPrem+AFH13*BlendedProvPayElite,AFC14*BlendedProvPayEss+AFD14*BlendedProvPayPrem+AFE14*BlendedProvPayElite+AFF14*BlendedProvPayEss+AFG14*BlendedProvPayPrem+AFH14*BlendedProvPayElite)</f>
        <v/>
      </c>
      <c r="AFW14" s="12">
        <f>AFO14*PaymentFee</f>
        <v/>
      </c>
      <c r="AFX14" s="12">
        <f>AFI14*OpsAI</f>
        <v/>
      </c>
      <c r="AFY14" s="12">
        <f>MonthlyFixed</f>
        <v/>
      </c>
      <c r="AFZ14" s="12">
        <f>AES14*ReferralReward</f>
        <v/>
      </c>
      <c r="AGA14" s="12">
        <f>AEQ14</f>
        <v/>
      </c>
      <c r="AGB14" s="9">
        <f>AFR14-AFV14-AFW14-AFX14-AFY14-AFZ14-AGA14</f>
        <v/>
      </c>
      <c r="AGC14" s="9">
        <f>AGC13+AFO14-(AFV14+AFW14+AFX14+AFY14+AFZ14+AGA14+AFT14)</f>
        <v/>
      </c>
      <c r="AGD14" s="12">
        <f>IF(AFI14&gt;0,AFJ14/AFI14,0)</f>
        <v/>
      </c>
      <c r="AGE14" s="11">
        <f>IF(AFI13&gt;0,MAX(0,(AFI13+AET14-AFI14)/AFI13),0)</f>
        <v/>
      </c>
      <c r="AGG14" s="12" t="n">
        <v>10</v>
      </c>
      <c r="AGH14" s="12">
        <f>MOD(AGG14-1+LaunchMonth-1,12)+1</f>
        <v/>
      </c>
      <c r="AGI14" s="12">
        <f>INT((AGG14-1+LaunchMonth-1)/12)+1</f>
        <v/>
      </c>
      <c r="AGJ14" s="12">
        <f>VLOOKUP(AGH14,SeasonTable,2,FALSE)</f>
        <v/>
      </c>
      <c r="AGK14" s="12">
        <f>(1+InflationRate)^INT((AGG14-1)/12)</f>
        <v/>
      </c>
      <c r="AGL14" s="11">
        <f>MonthlyChurn*VLOOKUP(AGH14,ChurnSeasonTable,4,FALSE)</f>
        <v/>
      </c>
      <c r="AGM14" s="12">
        <f>MIN(MAX(MktMin7_12,AHK13*MktPct7_12),MAX(0,AHY13-CashBuffer))</f>
        <v/>
      </c>
      <c r="AGN14" s="12">
        <f>IF(AGM14&gt;0,MAX(1,ROUND(AGM14/CAC*AGJ14,0)),0)</f>
        <v/>
      </c>
      <c r="AGO14" s="12">
        <f>IF(AGN14&gt;0,ROUND(AGN14*ReferralMix/(1-ReferralMix),0),0)</f>
        <v/>
      </c>
      <c r="AGP14" s="12">
        <f>AGN14+AGO14</f>
        <v/>
      </c>
      <c r="AGQ14" s="12">
        <f>ROUND(AGP14*(1-'Sens - Annual Mix'!$A$15),0)</f>
        <v/>
      </c>
      <c r="AGR14" s="12">
        <f>AGP14-AGQ14</f>
        <v/>
      </c>
      <c r="AGS14" s="12">
        <f>ROUND(AGQ14*EssentialMix,0)</f>
        <v/>
      </c>
      <c r="AGT14" s="12">
        <f>ROUND(AGQ14*PremiumMix,0)</f>
        <v/>
      </c>
      <c r="AGU14" s="12">
        <f>AGQ14-AGS14-AGT14</f>
        <v/>
      </c>
      <c r="AGV14" s="12">
        <f>ROUND(AGR14*EssentialMix,0)</f>
        <v/>
      </c>
      <c r="AGW14" s="12">
        <f>ROUND(AGR14*PremiumMix,0)</f>
        <v/>
      </c>
      <c r="AGX14" s="12">
        <f>AGR14-AGV14-AGW14</f>
        <v/>
      </c>
      <c r="AGY14" s="12">
        <f>AGS14+AGS13+AGS12+MAX(0,AGY13-AGS13-AGS12)*(1-AGL14)</f>
        <v/>
      </c>
      <c r="AGZ14" s="12">
        <f>AGT14+AGT13+AGT12+MAX(0,AGZ13-AGT13-AGT12)*(1-AGL14)</f>
        <v/>
      </c>
      <c r="AHA14" s="12">
        <f>AGU14+AGU13+AGU12+MAX(0,AHA13-AGU13-AGU12)*(1-AGL14)</f>
        <v/>
      </c>
      <c r="AHB14" s="12">
        <f>SUM(AGV$5:AGV14)</f>
        <v/>
      </c>
      <c r="AHC14" s="12">
        <f>SUM(AGW$5:AGW14)</f>
        <v/>
      </c>
      <c r="AHD14" s="12">
        <f>SUM(AGX$5:AGX14)</f>
        <v/>
      </c>
      <c r="AHE14" s="12">
        <f>AGY14+AGZ14+AHA14+AHB14+AHC14+AHD14</f>
        <v/>
      </c>
      <c r="AHF14" s="9">
        <f>AGY14*BlendedPriceEssMonthly*AGK14+AGZ14*BlendedPricePremMonthly*AGK14+AHA14*BlendedPriceEliteMonthly*AGK14+AHB14*BlendedPriceEssAnnual*AGK14/12+AHC14*BlendedPricePremAnnual*AGK14/12+AHD14*BlendedPriceEliteAnnual*AGK14/12</f>
        <v/>
      </c>
      <c r="AHG14" s="9">
        <f>AHF14*12</f>
        <v/>
      </c>
      <c r="AHH14" s="12">
        <f>AGY14*BlendedPriceEssMonthly*AGK14+AGZ14*BlendedPricePremMonthly*AGK14+AHA14*BlendedPriceEliteMonthly*AGK14</f>
        <v/>
      </c>
      <c r="AHI14" s="12">
        <f>AGV14*BlendedPriceEssAnnual*AGK14+AGW14*BlendedPricePremAnnual*AGK14+AGX14*BlendedPriceEliteAnnual*AGK14</f>
        <v/>
      </c>
      <c r="AHJ14" s="12">
        <f>0+0+0</f>
        <v/>
      </c>
      <c r="AHK14" s="9">
        <f>AHH14+AHI14+AHJ14</f>
        <v/>
      </c>
      <c r="AHL14" s="12">
        <f>SUM(AHK$5:AHK14)</f>
        <v/>
      </c>
      <c r="AHM14" s="12">
        <f>OR(AHM13,IF(VATAgentMode,SUM($AHK$5:$AHK14)-SUM($AHR$5:$AHR14)&gt;=VATThreshold,SUM($AHK$5:$AHK14)&gt;=VATThreshold))</f>
        <v/>
      </c>
      <c r="AHN14" s="9">
        <f>IF(AHM14,IF(VATAgentMode,AHK14-((AHK14-AHR14)-(AHK14-AHR14)/(1+VATRate)),AHK14/(1+VATRate)),AHK14)</f>
        <v/>
      </c>
      <c r="AHO14" s="12">
        <f>AHK14-AHN14</f>
        <v/>
      </c>
      <c r="AHP14" s="12">
        <f>IF(AHM14=0,0,IF(AGH14=1,SUMPRODUCT(--(($AGI$5:$AGI14=$AGI14-1)*($AGH$5:$AGH14&gt;=10)*($AGH$5:$AGH14&lt;=12)),$AHO$5:$AHO14),IF(AGH14=4,SUMPRODUCT(--(($AGI$5:$AGI14=$AGI14)*($AGH$5:$AGH14&gt;=1)*($AGH$5:$AGH14&lt;=3)),$AHO$5:$AHO14),IF(AGH14=7,SUMPRODUCT(--(($AGI$5:$AGI14=$AGI14)*($AGH$5:$AGH14&gt;=4)*($AGH$5:$AGH14&lt;=6)),$AHO$5:$AHO14),IF(AGH14=10,SUMPRODUCT(--(($AGI$5:$AGI14=$AGI14)*($AGH$5:$AGH14&gt;=7)*($AGH$5:$AGH14&lt;=9)),$AHO$5:$AHO14),0)))))</f>
        <v/>
      </c>
      <c r="AHQ14" s="12">
        <f>AHQ13+AHO14-AHP14</f>
        <v/>
      </c>
      <c r="AHR14" s="12">
        <f>IF(ProviderDelay&gt;=1,AGY13*BlendedProvPayEss+AGZ13*BlendedProvPayPrem+AHA13*BlendedProvPayElite+AHB13*BlendedProvPayEss+AHC13*BlendedProvPayPrem+AHD13*BlendedProvPayElite,AGY14*BlendedProvPayEss+AGZ14*BlendedProvPayPrem+AHA14*BlendedProvPayElite+AHB14*BlendedProvPayEss+AHC14*BlendedProvPayPrem+AHD14*BlendedProvPayElite)</f>
        <v/>
      </c>
      <c r="AHS14" s="12">
        <f>AHK14*PaymentFee</f>
        <v/>
      </c>
      <c r="AHT14" s="12">
        <f>AHE14*OpsAI</f>
        <v/>
      </c>
      <c r="AHU14" s="12">
        <f>MonthlyFixed</f>
        <v/>
      </c>
      <c r="AHV14" s="12">
        <f>AGO14*ReferralReward</f>
        <v/>
      </c>
      <c r="AHW14" s="12">
        <f>AGM14</f>
        <v/>
      </c>
      <c r="AHX14" s="9">
        <f>AHN14-AHR14-AHS14-AHT14-AHU14-AHV14-AHW14</f>
        <v/>
      </c>
      <c r="AHY14" s="9">
        <f>AHY13+AHK14-(AHR14+AHS14+AHT14+AHU14+AHV14+AHW14+AHP14)</f>
        <v/>
      </c>
      <c r="AHZ14" s="12">
        <f>IF(AHE14&gt;0,AHF14/AHE14,0)</f>
        <v/>
      </c>
      <c r="AIA14" s="11">
        <f>IF(AHE13&gt;0,MAX(0,(AHE13+AGP14-AHE14)/AHE13),0)</f>
        <v/>
      </c>
      <c r="AIC14" s="12" t="n">
        <v>10</v>
      </c>
      <c r="AID14" s="12">
        <f>MOD(AIC14-1+LaunchMonth-1,12)+1</f>
        <v/>
      </c>
      <c r="AIE14" s="12">
        <f>INT((AIC14-1+LaunchMonth-1)/12)+1</f>
        <v/>
      </c>
      <c r="AIF14" s="12">
        <f>VLOOKUP(AID14,SeasonTable,2,FALSE)</f>
        <v/>
      </c>
      <c r="AIG14" s="12">
        <f>(1+InflationRate)^INT((AIC14-1)/12)</f>
        <v/>
      </c>
      <c r="AIH14" s="11">
        <f>MonthlyChurn*VLOOKUP(AID14,ChurnSeasonTable,4,FALSE)</f>
        <v/>
      </c>
      <c r="AII14" s="12">
        <f>MIN(MAX(MktMin7_12,AJG13*MktPct7_12),MAX(0,AJU13-CashBuffer))</f>
        <v/>
      </c>
      <c r="AIJ14" s="12">
        <f>IF(AII14&gt;0,MAX(1,ROUND(AII14/'Sens - CAC &amp; Marketing'!$A$9*AIF14,0)),0)</f>
        <v/>
      </c>
      <c r="AIK14" s="12">
        <f>IF(AIJ14&gt;0,ROUND(AIJ14*ReferralMix/(1-ReferralMix),0),0)</f>
        <v/>
      </c>
      <c r="AIL14" s="12">
        <f>AIJ14+AIK14</f>
        <v/>
      </c>
      <c r="AIM14" s="12">
        <f>ROUND(AIL14*(1-AnnualMix),0)</f>
        <v/>
      </c>
      <c r="AIN14" s="12">
        <f>AIL14-AIM14</f>
        <v/>
      </c>
      <c r="AIO14" s="12">
        <f>ROUND(AIM14*EssentialMix,0)</f>
        <v/>
      </c>
      <c r="AIP14" s="12">
        <f>ROUND(AIM14*PremiumMix,0)</f>
        <v/>
      </c>
      <c r="AIQ14" s="12">
        <f>AIM14-AIO14-AIP14</f>
        <v/>
      </c>
      <c r="AIR14" s="12">
        <f>ROUND(AIN14*EssentialMix,0)</f>
        <v/>
      </c>
      <c r="AIS14" s="12">
        <f>ROUND(AIN14*PremiumMix,0)</f>
        <v/>
      </c>
      <c r="AIT14" s="12">
        <f>AIN14-AIR14-AIS14</f>
        <v/>
      </c>
      <c r="AIU14" s="12">
        <f>AIO14+AIO13+AIO12+MAX(0,AIU13-AIO13-AIO12)*(1-AIH14)</f>
        <v/>
      </c>
      <c r="AIV14" s="12">
        <f>AIP14+AIP13+AIP12+MAX(0,AIV13-AIP13-AIP12)*(1-AIH14)</f>
        <v/>
      </c>
      <c r="AIW14" s="12">
        <f>AIQ14+AIQ13+AIQ12+MAX(0,AIW13-AIQ13-AIQ12)*(1-AIH14)</f>
        <v/>
      </c>
      <c r="AIX14" s="12">
        <f>SUM(AIR$5:AIR14)</f>
        <v/>
      </c>
      <c r="AIY14" s="12">
        <f>SUM(AIS$5:AIS14)</f>
        <v/>
      </c>
      <c r="AIZ14" s="12">
        <f>SUM(AIT$5:AIT14)</f>
        <v/>
      </c>
      <c r="AJA14" s="12">
        <f>AIU14+AIV14+AIW14+AIX14+AIY14+AIZ14</f>
        <v/>
      </c>
      <c r="AJB14" s="9">
        <f>AIU14*BlendedPriceEssMonthly*AIG14+AIV14*BlendedPricePremMonthly*AIG14+AIW14*BlendedPriceEliteMonthly*AIG14+AIX14*BlendedPriceEssAnnual*AIG14/12+AIY14*BlendedPricePremAnnual*AIG14/12+AIZ14*BlendedPriceEliteAnnual*AIG14/12</f>
        <v/>
      </c>
      <c r="AJC14" s="9">
        <f>AJB14*12</f>
        <v/>
      </c>
      <c r="AJD14" s="12">
        <f>AIU14*BlendedPriceEssMonthly*AIG14+AIV14*BlendedPricePremMonthly*AIG14+AIW14*BlendedPriceEliteMonthly*AIG14</f>
        <v/>
      </c>
      <c r="AJE14" s="12">
        <f>AIR14*BlendedPriceEssAnnual*AIG14+AIS14*BlendedPricePremAnnual*AIG14+AIT14*BlendedPriceEliteAnnual*AIG14</f>
        <v/>
      </c>
      <c r="AJF14" s="12">
        <f>0+0+0</f>
        <v/>
      </c>
      <c r="AJG14" s="9">
        <f>AJD14+AJE14+AJF14</f>
        <v/>
      </c>
      <c r="AJH14" s="12">
        <f>SUM(AJG$5:AJG14)</f>
        <v/>
      </c>
      <c r="AJI14" s="12">
        <f>OR(AJI13,IF(VATAgentMode,SUM($AJG$5:$AJG14)-SUM($AJN$5:$AJN14)&gt;=VATThreshold,SUM($AJG$5:$AJG14)&gt;=VATThreshold))</f>
        <v/>
      </c>
      <c r="AJJ14" s="9">
        <f>IF(AJI14,IF(VATAgentMode,AJG14-((AJG14-AJN14)-(AJG14-AJN14)/(1+VATRate)),AJG14/(1+VATRate)),AJG14)</f>
        <v/>
      </c>
      <c r="AJK14" s="12">
        <f>AJG14-AJJ14</f>
        <v/>
      </c>
      <c r="AJL14" s="12">
        <f>IF(AJI14=0,0,IF(AID14=1,SUMPRODUCT(--(($AIE$5:$AIE14=$AIE14-1)*($AID$5:$AID14&gt;=10)*($AID$5:$AID14&lt;=12)),$AJK$5:$AJK14),IF(AID14=4,SUMPRODUCT(--(($AIE$5:$AIE14=$AIE14)*($AID$5:$AID14&gt;=1)*($AID$5:$AID14&lt;=3)),$AJK$5:$AJK14),IF(AID14=7,SUMPRODUCT(--(($AIE$5:$AIE14=$AIE14)*($AID$5:$AID14&gt;=4)*($AID$5:$AID14&lt;=6)),$AJK$5:$AJK14),IF(AID14=10,SUMPRODUCT(--(($AIE$5:$AIE14=$AIE14)*($AID$5:$AID14&gt;=7)*($AID$5:$AID14&lt;=9)),$AJK$5:$AJK14),0)))))</f>
        <v/>
      </c>
      <c r="AJM14" s="12">
        <f>AJM13+AJK14-AJL14</f>
        <v/>
      </c>
      <c r="AJN14" s="12">
        <f>IF(ProviderDelay&gt;=1,AIU13*BlendedProvPayEss+AIV13*BlendedProvPayPrem+AIW13*BlendedProvPayElite+AIX13*BlendedProvPayEss+AIY13*BlendedProvPayPrem+AIZ13*BlendedProvPayElite,AIU14*BlendedProvPayEss+AIV14*BlendedProvPayPrem+AIW14*BlendedProvPayElite+AIX14*BlendedProvPayEss+AIY14*BlendedProvPayPrem+AIZ14*BlendedProvPayElite)</f>
        <v/>
      </c>
      <c r="AJO14" s="12">
        <f>AJG14*PaymentFee</f>
        <v/>
      </c>
      <c r="AJP14" s="12">
        <f>AJA14*OpsAI</f>
        <v/>
      </c>
      <c r="AJQ14" s="12">
        <f>MonthlyFixed</f>
        <v/>
      </c>
      <c r="AJR14" s="12">
        <f>AIK14*ReferralReward</f>
        <v/>
      </c>
      <c r="AJS14" s="12">
        <f>AII14</f>
        <v/>
      </c>
      <c r="AJT14" s="9">
        <f>AJJ14-AJN14-AJO14-AJP14-AJQ14-AJR14-AJS14</f>
        <v/>
      </c>
      <c r="AJU14" s="9">
        <f>AJU13+AJG14-(AJN14+AJO14+AJP14+AJQ14+AJR14+AJS14+AJL14)</f>
        <v/>
      </c>
      <c r="AJV14" s="12">
        <f>IF(AJA14&gt;0,AJB14/AJA14,0)</f>
        <v/>
      </c>
      <c r="AJW14" s="11">
        <f>IF(AJA13&gt;0,MAX(0,(AJA13+AIL14-AJA14)/AJA13),0)</f>
        <v/>
      </c>
      <c r="AJY14" s="12" t="n">
        <v>10</v>
      </c>
      <c r="AJZ14" s="12">
        <f>MOD(AJY14-1+LaunchMonth-1,12)+1</f>
        <v/>
      </c>
      <c r="AKA14" s="12">
        <f>INT((AJY14-1+LaunchMonth-1)/12)+1</f>
        <v/>
      </c>
      <c r="AKB14" s="12">
        <f>VLOOKUP(AJZ14,SeasonTable,2,FALSE)</f>
        <v/>
      </c>
      <c r="AKC14" s="12">
        <f>(1+InflationRate)^INT((AJY14-1)/12)</f>
        <v/>
      </c>
      <c r="AKD14" s="11">
        <f>MonthlyChurn*VLOOKUP(AJZ14,ChurnSeasonTable,4,FALSE)</f>
        <v/>
      </c>
      <c r="AKE14" s="12">
        <f>MIN(MAX(MktMin7_12,ALC13*MktPct7_12),MAX(0,ALQ13-CashBuffer))</f>
        <v/>
      </c>
      <c r="AKF14" s="12">
        <f>IF(AKE14&gt;0,MAX(1,ROUND(AKE14/'Sens - CAC &amp; Marketing'!$A$10*AKB14,0)),0)</f>
        <v/>
      </c>
      <c r="AKG14" s="12">
        <f>IF(AKF14&gt;0,ROUND(AKF14*ReferralMix/(1-ReferralMix),0),0)</f>
        <v/>
      </c>
      <c r="AKH14" s="12">
        <f>AKF14+AKG14</f>
        <v/>
      </c>
      <c r="AKI14" s="12">
        <f>ROUND(AKH14*(1-AnnualMix),0)</f>
        <v/>
      </c>
      <c r="AKJ14" s="12">
        <f>AKH14-AKI14</f>
        <v/>
      </c>
      <c r="AKK14" s="12">
        <f>ROUND(AKI14*EssentialMix,0)</f>
        <v/>
      </c>
      <c r="AKL14" s="12">
        <f>ROUND(AKI14*PremiumMix,0)</f>
        <v/>
      </c>
      <c r="AKM14" s="12">
        <f>AKI14-AKK14-AKL14</f>
        <v/>
      </c>
      <c r="AKN14" s="12">
        <f>ROUND(AKJ14*EssentialMix,0)</f>
        <v/>
      </c>
      <c r="AKO14" s="12">
        <f>ROUND(AKJ14*PremiumMix,0)</f>
        <v/>
      </c>
      <c r="AKP14" s="12">
        <f>AKJ14-AKN14-AKO14</f>
        <v/>
      </c>
      <c r="AKQ14" s="12">
        <f>AKK14+AKK13+AKK12+MAX(0,AKQ13-AKK13-AKK12)*(1-AKD14)</f>
        <v/>
      </c>
      <c r="AKR14" s="12">
        <f>AKL14+AKL13+AKL12+MAX(0,AKR13-AKL13-AKL12)*(1-AKD14)</f>
        <v/>
      </c>
      <c r="AKS14" s="12">
        <f>AKM14+AKM13+AKM12+MAX(0,AKS13-AKM13-AKM12)*(1-AKD14)</f>
        <v/>
      </c>
      <c r="AKT14" s="12">
        <f>SUM(AKN$5:AKN14)</f>
        <v/>
      </c>
      <c r="AKU14" s="12">
        <f>SUM(AKO$5:AKO14)</f>
        <v/>
      </c>
      <c r="AKV14" s="12">
        <f>SUM(AKP$5:AKP14)</f>
        <v/>
      </c>
      <c r="AKW14" s="12">
        <f>AKQ14+AKR14+AKS14+AKT14+AKU14+AKV14</f>
        <v/>
      </c>
      <c r="AKX14" s="9">
        <f>AKQ14*BlendedPriceEssMonthly*AKC14+AKR14*BlendedPricePremMonthly*AKC14+AKS14*BlendedPriceEliteMonthly*AKC14+AKT14*BlendedPriceEssAnnual*AKC14/12+AKU14*BlendedPricePremAnnual*AKC14/12+AKV14*BlendedPriceEliteAnnual*AKC14/12</f>
        <v/>
      </c>
      <c r="AKY14" s="9">
        <f>AKX14*12</f>
        <v/>
      </c>
      <c r="AKZ14" s="12">
        <f>AKQ14*BlendedPriceEssMonthly*AKC14+AKR14*BlendedPricePremMonthly*AKC14+AKS14*BlendedPriceEliteMonthly*AKC14</f>
        <v/>
      </c>
      <c r="ALA14" s="12">
        <f>AKN14*BlendedPriceEssAnnual*AKC14+AKO14*BlendedPricePremAnnual*AKC14+AKP14*BlendedPriceEliteAnnual*AKC14</f>
        <v/>
      </c>
      <c r="ALB14" s="12">
        <f>0+0+0</f>
        <v/>
      </c>
      <c r="ALC14" s="9">
        <f>AKZ14+ALA14+ALB14</f>
        <v/>
      </c>
      <c r="ALD14" s="12">
        <f>SUM(ALC$5:ALC14)</f>
        <v/>
      </c>
      <c r="ALE14" s="12">
        <f>OR(ALE13,IF(VATAgentMode,SUM($ALC$5:$ALC14)-SUM($ALJ$5:$ALJ14)&gt;=VATThreshold,SUM($ALC$5:$ALC14)&gt;=VATThreshold))</f>
        <v/>
      </c>
      <c r="ALF14" s="9">
        <f>IF(ALE14,IF(VATAgentMode,ALC14-((ALC14-ALJ14)-(ALC14-ALJ14)/(1+VATRate)),ALC14/(1+VATRate)),ALC14)</f>
        <v/>
      </c>
      <c r="ALG14" s="12">
        <f>ALC14-ALF14</f>
        <v/>
      </c>
      <c r="ALH14" s="12">
        <f>IF(ALE14=0,0,IF(AJZ14=1,SUMPRODUCT(--(($AKA$5:$AKA14=$AKA14-1)*($AJZ$5:$AJZ14&gt;=10)*($AJZ$5:$AJZ14&lt;=12)),$ALG$5:$ALG14),IF(AJZ14=4,SUMPRODUCT(--(($AKA$5:$AKA14=$AKA14)*($AJZ$5:$AJZ14&gt;=1)*($AJZ$5:$AJZ14&lt;=3)),$ALG$5:$ALG14),IF(AJZ14=7,SUMPRODUCT(--(($AKA$5:$AKA14=$AKA14)*($AJZ$5:$AJZ14&gt;=4)*($AJZ$5:$AJZ14&lt;=6)),$ALG$5:$ALG14),IF(AJZ14=10,SUMPRODUCT(--(($AKA$5:$AKA14=$AKA14)*($AJZ$5:$AJZ14&gt;=7)*($AJZ$5:$AJZ14&lt;=9)),$ALG$5:$ALG14),0)))))</f>
        <v/>
      </c>
      <c r="ALI14" s="12">
        <f>ALI13+ALG14-ALH14</f>
        <v/>
      </c>
      <c r="ALJ14" s="12">
        <f>IF(ProviderDelay&gt;=1,AKQ13*BlendedProvPayEss+AKR13*BlendedProvPayPrem+AKS13*BlendedProvPayElite+AKT13*BlendedProvPayEss+AKU13*BlendedProvPayPrem+AKV13*BlendedProvPayElite,AKQ14*BlendedProvPayEss+AKR14*BlendedProvPayPrem+AKS14*BlendedProvPayElite+AKT14*BlendedProvPayEss+AKU14*BlendedProvPayPrem+AKV14*BlendedProvPayElite)</f>
        <v/>
      </c>
      <c r="ALK14" s="12">
        <f>ALC14*PaymentFee</f>
        <v/>
      </c>
      <c r="ALL14" s="12">
        <f>AKW14*OpsAI</f>
        <v/>
      </c>
      <c r="ALM14" s="12">
        <f>MonthlyFixed</f>
        <v/>
      </c>
      <c r="ALN14" s="12">
        <f>AKG14*ReferralReward</f>
        <v/>
      </c>
      <c r="ALO14" s="12">
        <f>AKE14</f>
        <v/>
      </c>
      <c r="ALP14" s="9">
        <f>ALF14-ALJ14-ALK14-ALL14-ALM14-ALN14-ALO14</f>
        <v/>
      </c>
      <c r="ALQ14" s="9">
        <f>ALQ13+ALC14-(ALJ14+ALK14+ALL14+ALM14+ALN14+ALO14+ALH14)</f>
        <v/>
      </c>
      <c r="ALR14" s="12">
        <f>IF(AKW14&gt;0,AKX14/AKW14,0)</f>
        <v/>
      </c>
      <c r="ALS14" s="11">
        <f>IF(AKW13&gt;0,MAX(0,(AKW13+AKH14-AKW14)/AKW13),0)</f>
        <v/>
      </c>
      <c r="ALU14" s="12" t="n">
        <v>10</v>
      </c>
      <c r="ALV14" s="12">
        <f>MOD(ALU14-1+LaunchMonth-1,12)+1</f>
        <v/>
      </c>
      <c r="ALW14" s="12">
        <f>INT((ALU14-1+LaunchMonth-1)/12)+1</f>
        <v/>
      </c>
      <c r="ALX14" s="12">
        <f>VLOOKUP(ALV14,SeasonTable,2,FALSE)</f>
        <v/>
      </c>
      <c r="ALY14" s="12">
        <f>(1+InflationRate)^INT((ALU14-1)/12)</f>
        <v/>
      </c>
      <c r="ALZ14" s="11">
        <f>MonthlyChurn*VLOOKUP(ALV14,ChurnSeasonTable,4,FALSE)</f>
        <v/>
      </c>
      <c r="AMA14" s="12">
        <f>MIN(MAX(MktMin7_12,AMY13*MktPct7_12),MAX(0,ANM13-CashBuffer))</f>
        <v/>
      </c>
      <c r="AMB14" s="12">
        <f>IF(AMA14&gt;0,MAX(1,ROUND(AMA14/'Sens - CAC &amp; Marketing'!$A$11*ALX14,0)),0)</f>
        <v/>
      </c>
      <c r="AMC14" s="12">
        <f>IF(AMB14&gt;0,ROUND(AMB14*ReferralMix/(1-ReferralMix),0),0)</f>
        <v/>
      </c>
      <c r="AMD14" s="12">
        <f>AMB14+AMC14</f>
        <v/>
      </c>
      <c r="AME14" s="12">
        <f>ROUND(AMD14*(1-AnnualMix),0)</f>
        <v/>
      </c>
      <c r="AMF14" s="12">
        <f>AMD14-AME14</f>
        <v/>
      </c>
      <c r="AMG14" s="12">
        <f>ROUND(AME14*EssentialMix,0)</f>
        <v/>
      </c>
      <c r="AMH14" s="12">
        <f>ROUND(AME14*PremiumMix,0)</f>
        <v/>
      </c>
      <c r="AMI14" s="12">
        <f>AME14-AMG14-AMH14</f>
        <v/>
      </c>
      <c r="AMJ14" s="12">
        <f>ROUND(AMF14*EssentialMix,0)</f>
        <v/>
      </c>
      <c r="AMK14" s="12">
        <f>ROUND(AMF14*PremiumMix,0)</f>
        <v/>
      </c>
      <c r="AML14" s="12">
        <f>AMF14-AMJ14-AMK14</f>
        <v/>
      </c>
      <c r="AMM14" s="12">
        <f>AMG14+AMG13+AMG12+MAX(0,AMM13-AMG13-AMG12)*(1-ALZ14)</f>
        <v/>
      </c>
      <c r="AMN14" s="12">
        <f>AMH14+AMH13+AMH12+MAX(0,AMN13-AMH13-AMH12)*(1-ALZ14)</f>
        <v/>
      </c>
      <c r="AMO14" s="12">
        <f>AMI14+AMI13+AMI12+MAX(0,AMO13-AMI13-AMI12)*(1-ALZ14)</f>
        <v/>
      </c>
      <c r="AMP14" s="12">
        <f>SUM(AMJ$5:AMJ14)</f>
        <v/>
      </c>
      <c r="AMQ14" s="12">
        <f>SUM(AMK$5:AMK14)</f>
        <v/>
      </c>
      <c r="AMR14" s="12">
        <f>SUM(AML$5:AML14)</f>
        <v/>
      </c>
      <c r="AMS14" s="12">
        <f>AMM14+AMN14+AMO14+AMP14+AMQ14+AMR14</f>
        <v/>
      </c>
      <c r="AMT14" s="9">
        <f>AMM14*BlendedPriceEssMonthly*ALY14+AMN14*BlendedPricePremMonthly*ALY14+AMO14*BlendedPriceEliteMonthly*ALY14+AMP14*BlendedPriceEssAnnual*ALY14/12+AMQ14*BlendedPricePremAnnual*ALY14/12+AMR14*BlendedPriceEliteAnnual*ALY14/12</f>
        <v/>
      </c>
      <c r="AMU14" s="9">
        <f>AMT14*12</f>
        <v/>
      </c>
      <c r="AMV14" s="12">
        <f>AMM14*BlendedPriceEssMonthly*ALY14+AMN14*BlendedPricePremMonthly*ALY14+AMO14*BlendedPriceEliteMonthly*ALY14</f>
        <v/>
      </c>
      <c r="AMW14" s="12">
        <f>AMJ14*BlendedPriceEssAnnual*ALY14+AMK14*BlendedPricePremAnnual*ALY14+AML14*BlendedPriceEliteAnnual*ALY14</f>
        <v/>
      </c>
      <c r="AMX14" s="12">
        <f>0+0+0</f>
        <v/>
      </c>
      <c r="AMY14" s="9">
        <f>AMV14+AMW14+AMX14</f>
        <v/>
      </c>
      <c r="AMZ14" s="12">
        <f>SUM(AMY$5:AMY14)</f>
        <v/>
      </c>
      <c r="ANA14" s="12">
        <f>OR(ANA13,IF(VATAgentMode,SUM($AMY$5:$AMY14)-SUM($ANF$5:$ANF14)&gt;=VATThreshold,SUM($AMY$5:$AMY14)&gt;=VATThreshold))</f>
        <v/>
      </c>
      <c r="ANB14" s="9">
        <f>IF(ANA14,IF(VATAgentMode,AMY14-((AMY14-ANF14)-(AMY14-ANF14)/(1+VATRate)),AMY14/(1+VATRate)),AMY14)</f>
        <v/>
      </c>
      <c r="ANC14" s="12">
        <f>AMY14-ANB14</f>
        <v/>
      </c>
      <c r="AND14" s="12">
        <f>IF(ANA14=0,0,IF(ALV14=1,SUMPRODUCT(--(($ALW$5:$ALW14=$ALW14-1)*($ALV$5:$ALV14&gt;=10)*($ALV$5:$ALV14&lt;=12)),$ANC$5:$ANC14),IF(ALV14=4,SUMPRODUCT(--(($ALW$5:$ALW14=$ALW14)*($ALV$5:$ALV14&gt;=1)*($ALV$5:$ALV14&lt;=3)),$ANC$5:$ANC14),IF(ALV14=7,SUMPRODUCT(--(($ALW$5:$ALW14=$ALW14)*($ALV$5:$ALV14&gt;=4)*($ALV$5:$ALV14&lt;=6)),$ANC$5:$ANC14),IF(ALV14=10,SUMPRODUCT(--(($ALW$5:$ALW14=$ALW14)*($ALV$5:$ALV14&gt;=7)*($ALV$5:$ALV14&lt;=9)),$ANC$5:$ANC14),0)))))</f>
        <v/>
      </c>
      <c r="ANE14" s="12">
        <f>ANE13+ANC14-AND14</f>
        <v/>
      </c>
      <c r="ANF14" s="12">
        <f>IF(ProviderDelay&gt;=1,AMM13*BlendedProvPayEss+AMN13*BlendedProvPayPrem+AMO13*BlendedProvPayElite+AMP13*BlendedProvPayEss+AMQ13*BlendedProvPayPrem+AMR13*BlendedProvPayElite,AMM14*BlendedProvPayEss+AMN14*BlendedProvPayPrem+AMO14*BlendedProvPayElite+AMP14*BlendedProvPayEss+AMQ14*BlendedProvPayPrem+AMR14*BlendedProvPayElite)</f>
        <v/>
      </c>
      <c r="ANG14" s="12">
        <f>AMY14*PaymentFee</f>
        <v/>
      </c>
      <c r="ANH14" s="12">
        <f>AMS14*OpsAI</f>
        <v/>
      </c>
      <c r="ANI14" s="12">
        <f>MonthlyFixed</f>
        <v/>
      </c>
      <c r="ANJ14" s="12">
        <f>AMC14*ReferralReward</f>
        <v/>
      </c>
      <c r="ANK14" s="12">
        <f>AMA14</f>
        <v/>
      </c>
      <c r="ANL14" s="9">
        <f>ANB14-ANF14-ANG14-ANH14-ANI14-ANJ14-ANK14</f>
        <v/>
      </c>
      <c r="ANM14" s="9">
        <f>ANM13+AMY14-(ANF14+ANG14+ANH14+ANI14+ANJ14+ANK14+AND14)</f>
        <v/>
      </c>
      <c r="ANN14" s="12">
        <f>IF(AMS14&gt;0,AMT14/AMS14,0)</f>
        <v/>
      </c>
      <c r="ANO14" s="11">
        <f>IF(AMS13&gt;0,MAX(0,(AMS13+AMD14-AMS14)/AMS13),0)</f>
        <v/>
      </c>
      <c r="ANQ14" s="12" t="n">
        <v>10</v>
      </c>
      <c r="ANR14" s="12">
        <f>MOD(ANQ14-1+LaunchMonth-1,12)+1</f>
        <v/>
      </c>
      <c r="ANS14" s="12">
        <f>INT((ANQ14-1+LaunchMonth-1)/12)+1</f>
        <v/>
      </c>
      <c r="ANT14" s="12">
        <f>VLOOKUP(ANR14,SeasonTable,2,FALSE)</f>
        <v/>
      </c>
      <c r="ANU14" s="12">
        <f>(1+InflationRate)^INT((ANQ14-1)/12)</f>
        <v/>
      </c>
      <c r="ANV14" s="11">
        <f>MonthlyChurn*VLOOKUP(ANR14,ChurnSeasonTable,4,FALSE)</f>
        <v/>
      </c>
      <c r="ANW14" s="12">
        <f>MIN(MAX(MktMin7_12,AOU13*MktPct7_12),MAX(0,API13-CashBuffer))</f>
        <v/>
      </c>
      <c r="ANX14" s="12">
        <f>IF(ANW14&gt;0,MAX(1,ROUND(ANW14/'Sens - CAC &amp; Marketing'!$A$12*ANT14,0)),0)</f>
        <v/>
      </c>
      <c r="ANY14" s="12">
        <f>IF(ANX14&gt;0,ROUND(ANX14*ReferralMix/(1-ReferralMix),0),0)</f>
        <v/>
      </c>
      <c r="ANZ14" s="12">
        <f>ANX14+ANY14</f>
        <v/>
      </c>
      <c r="AOA14" s="12">
        <f>ROUND(ANZ14*(1-AnnualMix),0)</f>
        <v/>
      </c>
      <c r="AOB14" s="12">
        <f>ANZ14-AOA14</f>
        <v/>
      </c>
      <c r="AOC14" s="12">
        <f>ROUND(AOA14*EssentialMix,0)</f>
        <v/>
      </c>
      <c r="AOD14" s="12">
        <f>ROUND(AOA14*PremiumMix,0)</f>
        <v/>
      </c>
      <c r="AOE14" s="12">
        <f>AOA14-AOC14-AOD14</f>
        <v/>
      </c>
      <c r="AOF14" s="12">
        <f>ROUND(AOB14*EssentialMix,0)</f>
        <v/>
      </c>
      <c r="AOG14" s="12">
        <f>ROUND(AOB14*PremiumMix,0)</f>
        <v/>
      </c>
      <c r="AOH14" s="12">
        <f>AOB14-AOF14-AOG14</f>
        <v/>
      </c>
      <c r="AOI14" s="12">
        <f>AOC14+AOC13+AOC12+MAX(0,AOI13-AOC13-AOC12)*(1-ANV14)</f>
        <v/>
      </c>
      <c r="AOJ14" s="12">
        <f>AOD14+AOD13+AOD12+MAX(0,AOJ13-AOD13-AOD12)*(1-ANV14)</f>
        <v/>
      </c>
      <c r="AOK14" s="12">
        <f>AOE14+AOE13+AOE12+MAX(0,AOK13-AOE13-AOE12)*(1-ANV14)</f>
        <v/>
      </c>
      <c r="AOL14" s="12">
        <f>SUM(AOF$5:AOF14)</f>
        <v/>
      </c>
      <c r="AOM14" s="12">
        <f>SUM(AOG$5:AOG14)</f>
        <v/>
      </c>
      <c r="AON14" s="12">
        <f>SUM(AOH$5:AOH14)</f>
        <v/>
      </c>
      <c r="AOO14" s="12">
        <f>AOI14+AOJ14+AOK14+AOL14+AOM14+AON14</f>
        <v/>
      </c>
      <c r="AOP14" s="9">
        <f>AOI14*BlendedPriceEssMonthly*ANU14+AOJ14*BlendedPricePremMonthly*ANU14+AOK14*BlendedPriceEliteMonthly*ANU14+AOL14*BlendedPriceEssAnnual*ANU14/12+AOM14*BlendedPricePremAnnual*ANU14/12+AON14*BlendedPriceEliteAnnual*ANU14/12</f>
        <v/>
      </c>
      <c r="AOQ14" s="9">
        <f>AOP14*12</f>
        <v/>
      </c>
      <c r="AOR14" s="12">
        <f>AOI14*BlendedPriceEssMonthly*ANU14+AOJ14*BlendedPricePremMonthly*ANU14+AOK14*BlendedPriceEliteMonthly*ANU14</f>
        <v/>
      </c>
      <c r="AOS14" s="12">
        <f>AOF14*BlendedPriceEssAnnual*ANU14+AOG14*BlendedPricePremAnnual*ANU14+AOH14*BlendedPriceEliteAnnual*ANU14</f>
        <v/>
      </c>
      <c r="AOT14" s="12">
        <f>0+0+0</f>
        <v/>
      </c>
      <c r="AOU14" s="9">
        <f>AOR14+AOS14+AOT14</f>
        <v/>
      </c>
      <c r="AOV14" s="12">
        <f>SUM(AOU$5:AOU14)</f>
        <v/>
      </c>
      <c r="AOW14" s="12">
        <f>OR(AOW13,IF(VATAgentMode,SUM($AOU$5:$AOU14)-SUM($APB$5:$APB14)&gt;=VATThreshold,SUM($AOU$5:$AOU14)&gt;=VATThreshold))</f>
        <v/>
      </c>
      <c r="AOX14" s="9">
        <f>IF(AOW14,IF(VATAgentMode,AOU14-((AOU14-APB14)-(AOU14-APB14)/(1+VATRate)),AOU14/(1+VATRate)),AOU14)</f>
        <v/>
      </c>
      <c r="AOY14" s="12">
        <f>AOU14-AOX14</f>
        <v/>
      </c>
      <c r="AOZ14" s="12">
        <f>IF(AOW14=0,0,IF(ANR14=1,SUMPRODUCT(--(($ANS$5:$ANS14=$ANS14-1)*($ANR$5:$ANR14&gt;=10)*($ANR$5:$ANR14&lt;=12)),$AOY$5:$AOY14),IF(ANR14=4,SUMPRODUCT(--(($ANS$5:$ANS14=$ANS14)*($ANR$5:$ANR14&gt;=1)*($ANR$5:$ANR14&lt;=3)),$AOY$5:$AOY14),IF(ANR14=7,SUMPRODUCT(--(($ANS$5:$ANS14=$ANS14)*($ANR$5:$ANR14&gt;=4)*($ANR$5:$ANR14&lt;=6)),$AOY$5:$AOY14),IF(ANR14=10,SUMPRODUCT(--(($ANS$5:$ANS14=$ANS14)*($ANR$5:$ANR14&gt;=7)*($ANR$5:$ANR14&lt;=9)),$AOY$5:$AOY14),0)))))</f>
        <v/>
      </c>
      <c r="APA14" s="12">
        <f>APA13+AOY14-AOZ14</f>
        <v/>
      </c>
      <c r="APB14" s="12">
        <f>IF(ProviderDelay&gt;=1,AOI13*BlendedProvPayEss+AOJ13*BlendedProvPayPrem+AOK13*BlendedProvPayElite+AOL13*BlendedProvPayEss+AOM13*BlendedProvPayPrem+AON13*BlendedProvPayElite,AOI14*BlendedProvPayEss+AOJ14*BlendedProvPayPrem+AOK14*BlendedProvPayElite+AOL14*BlendedProvPayEss+AOM14*BlendedProvPayPrem+AON14*BlendedProvPayElite)</f>
        <v/>
      </c>
      <c r="APC14" s="12">
        <f>AOU14*PaymentFee</f>
        <v/>
      </c>
      <c r="APD14" s="12">
        <f>AOO14*OpsAI</f>
        <v/>
      </c>
      <c r="APE14" s="12">
        <f>MonthlyFixed</f>
        <v/>
      </c>
      <c r="APF14" s="12">
        <f>ANY14*ReferralReward</f>
        <v/>
      </c>
      <c r="APG14" s="12">
        <f>ANW14</f>
        <v/>
      </c>
      <c r="APH14" s="9">
        <f>AOX14-APB14-APC14-APD14-APE14-APF14-APG14</f>
        <v/>
      </c>
      <c r="API14" s="9">
        <f>API13+AOU14-(APB14+APC14+APD14+APE14+APF14+APG14+AOZ14)</f>
        <v/>
      </c>
      <c r="APJ14" s="12">
        <f>IF(AOO14&gt;0,AOP14/AOO14,0)</f>
        <v/>
      </c>
      <c r="APK14" s="11">
        <f>IF(AOO13&gt;0,MAX(0,(AOO13+ANZ14-AOO14)/AOO13),0)</f>
        <v/>
      </c>
      <c r="APM14" s="12" t="n">
        <v>10</v>
      </c>
      <c r="APN14" s="12">
        <f>MOD(APM14-1+LaunchMonth-1,12)+1</f>
        <v/>
      </c>
      <c r="APO14" s="12">
        <f>INT((APM14-1+LaunchMonth-1)/12)+1</f>
        <v/>
      </c>
      <c r="APP14" s="12">
        <f>VLOOKUP(APN14,SeasonTable,2,FALSE)</f>
        <v/>
      </c>
      <c r="APQ14" s="12">
        <f>(1+InflationRate)^INT((APM14-1)/12)</f>
        <v/>
      </c>
      <c r="APR14" s="11">
        <f>MonthlyChurn*VLOOKUP(APN14,ChurnSeasonTable,4,FALSE)</f>
        <v/>
      </c>
      <c r="APS14" s="12">
        <f>MIN(MAX(MktMin7_12,AQQ13*MktPct7_12),MAX(0,ARE13-CashBuffer))</f>
        <v/>
      </c>
      <c r="APT14" s="12">
        <f>IF(APS14&gt;0,MAX(1,ROUND(APS14/'Sens - CAC &amp; Marketing'!$A$13*APP14,0)),0)</f>
        <v/>
      </c>
      <c r="APU14" s="12">
        <f>IF(APT14&gt;0,ROUND(APT14*ReferralMix/(1-ReferralMix),0),0)</f>
        <v/>
      </c>
      <c r="APV14" s="12">
        <f>APT14+APU14</f>
        <v/>
      </c>
      <c r="APW14" s="12">
        <f>ROUND(APV14*(1-AnnualMix),0)</f>
        <v/>
      </c>
      <c r="APX14" s="12">
        <f>APV14-APW14</f>
        <v/>
      </c>
      <c r="APY14" s="12">
        <f>ROUND(APW14*EssentialMix,0)</f>
        <v/>
      </c>
      <c r="APZ14" s="12">
        <f>ROUND(APW14*PremiumMix,0)</f>
        <v/>
      </c>
      <c r="AQA14" s="12">
        <f>APW14-APY14-APZ14</f>
        <v/>
      </c>
      <c r="AQB14" s="12">
        <f>ROUND(APX14*EssentialMix,0)</f>
        <v/>
      </c>
      <c r="AQC14" s="12">
        <f>ROUND(APX14*PremiumMix,0)</f>
        <v/>
      </c>
      <c r="AQD14" s="12">
        <f>APX14-AQB14-AQC14</f>
        <v/>
      </c>
      <c r="AQE14" s="12">
        <f>APY14+APY13+APY12+MAX(0,AQE13-APY13-APY12)*(1-APR14)</f>
        <v/>
      </c>
      <c r="AQF14" s="12">
        <f>APZ14+APZ13+APZ12+MAX(0,AQF13-APZ13-APZ12)*(1-APR14)</f>
        <v/>
      </c>
      <c r="AQG14" s="12">
        <f>AQA14+AQA13+AQA12+MAX(0,AQG13-AQA13-AQA12)*(1-APR14)</f>
        <v/>
      </c>
      <c r="AQH14" s="12">
        <f>SUM(AQB$5:AQB14)</f>
        <v/>
      </c>
      <c r="AQI14" s="12">
        <f>SUM(AQC$5:AQC14)</f>
        <v/>
      </c>
      <c r="AQJ14" s="12">
        <f>SUM(AQD$5:AQD14)</f>
        <v/>
      </c>
      <c r="AQK14" s="12">
        <f>AQE14+AQF14+AQG14+AQH14+AQI14+AQJ14</f>
        <v/>
      </c>
      <c r="AQL14" s="9">
        <f>AQE14*BlendedPriceEssMonthly*APQ14+AQF14*BlendedPricePremMonthly*APQ14+AQG14*BlendedPriceEliteMonthly*APQ14+AQH14*BlendedPriceEssAnnual*APQ14/12+AQI14*BlendedPricePremAnnual*APQ14/12+AQJ14*BlendedPriceEliteAnnual*APQ14/12</f>
        <v/>
      </c>
      <c r="AQM14" s="9">
        <f>AQL14*12</f>
        <v/>
      </c>
      <c r="AQN14" s="12">
        <f>AQE14*BlendedPriceEssMonthly*APQ14+AQF14*BlendedPricePremMonthly*APQ14+AQG14*BlendedPriceEliteMonthly*APQ14</f>
        <v/>
      </c>
      <c r="AQO14" s="12">
        <f>AQB14*BlendedPriceEssAnnual*APQ14+AQC14*BlendedPricePremAnnual*APQ14+AQD14*BlendedPriceEliteAnnual*APQ14</f>
        <v/>
      </c>
      <c r="AQP14" s="12">
        <f>0+0+0</f>
        <v/>
      </c>
      <c r="AQQ14" s="9">
        <f>AQN14+AQO14+AQP14</f>
        <v/>
      </c>
      <c r="AQR14" s="12">
        <f>SUM(AQQ$5:AQQ14)</f>
        <v/>
      </c>
      <c r="AQS14" s="12">
        <f>OR(AQS13,IF(VATAgentMode,SUM($AQQ$5:$AQQ14)-SUM($AQX$5:$AQX14)&gt;=VATThreshold,SUM($AQQ$5:$AQQ14)&gt;=VATThreshold))</f>
        <v/>
      </c>
      <c r="AQT14" s="9">
        <f>IF(AQS14,IF(VATAgentMode,AQQ14-((AQQ14-AQX14)-(AQQ14-AQX14)/(1+VATRate)),AQQ14/(1+VATRate)),AQQ14)</f>
        <v/>
      </c>
      <c r="AQU14" s="12">
        <f>AQQ14-AQT14</f>
        <v/>
      </c>
      <c r="AQV14" s="12">
        <f>IF(AQS14=0,0,IF(APN14=1,SUMPRODUCT(--(($APO$5:$APO14=$APO14-1)*($APN$5:$APN14&gt;=10)*($APN$5:$APN14&lt;=12)),$AQU$5:$AQU14),IF(APN14=4,SUMPRODUCT(--(($APO$5:$APO14=$APO14)*($APN$5:$APN14&gt;=1)*($APN$5:$APN14&lt;=3)),$AQU$5:$AQU14),IF(APN14=7,SUMPRODUCT(--(($APO$5:$APO14=$APO14)*($APN$5:$APN14&gt;=4)*($APN$5:$APN14&lt;=6)),$AQU$5:$AQU14),IF(APN14=10,SUMPRODUCT(--(($APO$5:$APO14=$APO14)*($APN$5:$APN14&gt;=7)*($APN$5:$APN14&lt;=9)),$AQU$5:$AQU14),0)))))</f>
        <v/>
      </c>
      <c r="AQW14" s="12">
        <f>AQW13+AQU14-AQV14</f>
        <v/>
      </c>
      <c r="AQX14" s="12">
        <f>IF(ProviderDelay&gt;=1,AQE13*BlendedProvPayEss+AQF13*BlendedProvPayPrem+AQG13*BlendedProvPayElite+AQH13*BlendedProvPayEss+AQI13*BlendedProvPayPrem+AQJ13*BlendedProvPayElite,AQE14*BlendedProvPayEss+AQF14*BlendedProvPayPrem+AQG14*BlendedProvPayElite+AQH14*BlendedProvPayEss+AQI14*BlendedProvPayPrem+AQJ14*BlendedProvPayElite)</f>
        <v/>
      </c>
      <c r="AQY14" s="12">
        <f>AQQ14*PaymentFee</f>
        <v/>
      </c>
      <c r="AQZ14" s="12">
        <f>AQK14*OpsAI</f>
        <v/>
      </c>
      <c r="ARA14" s="12">
        <f>MonthlyFixed</f>
        <v/>
      </c>
      <c r="ARB14" s="12">
        <f>APU14*ReferralReward</f>
        <v/>
      </c>
      <c r="ARC14" s="12">
        <f>APS14</f>
        <v/>
      </c>
      <c r="ARD14" s="9">
        <f>AQT14-AQX14-AQY14-AQZ14-ARA14-ARB14-ARC14</f>
        <v/>
      </c>
      <c r="ARE14" s="9">
        <f>ARE13+AQQ14-(AQX14+AQY14+AQZ14+ARA14+ARB14+ARC14+AQV14)</f>
        <v/>
      </c>
      <c r="ARF14" s="12">
        <f>IF(AQK14&gt;0,AQL14/AQK14,0)</f>
        <v/>
      </c>
      <c r="ARG14" s="11">
        <f>IF(AQK13&gt;0,MAX(0,(AQK13+APV14-AQK14)/AQK13),0)</f>
        <v/>
      </c>
      <c r="ARI14" s="12" t="n">
        <v>10</v>
      </c>
      <c r="ARJ14" s="12">
        <f>MOD(ARI14-1+LaunchMonth-1,12)+1</f>
        <v/>
      </c>
      <c r="ARK14" s="12">
        <f>INT((ARI14-1+LaunchMonth-1)/12)+1</f>
        <v/>
      </c>
      <c r="ARL14" s="12">
        <f>VLOOKUP(ARJ14,SeasonTable,2,FALSE)</f>
        <v/>
      </c>
      <c r="ARM14" s="12">
        <f>(1+InflationRate)^INT((ARI14-1)/12)</f>
        <v/>
      </c>
      <c r="ARN14" s="11">
        <f>MonthlyChurn*VLOOKUP(ARJ14,ChurnSeasonTable,4,FALSE)</f>
        <v/>
      </c>
      <c r="ARO14" s="12">
        <f>MIN(MAX(MktMin7_12,ASM13*MktPct7_12),MAX(0,ATA13-CashBuffer))</f>
        <v/>
      </c>
      <c r="ARP14" s="12">
        <f>IF(ARO14&gt;0,MAX(1,ROUND(ARO14/'Sens - CAC &amp; Marketing'!$A$14*ARL14,0)),0)</f>
        <v/>
      </c>
      <c r="ARQ14" s="12">
        <f>IF(ARP14&gt;0,ROUND(ARP14*ReferralMix/(1-ReferralMix),0),0)</f>
        <v/>
      </c>
      <c r="ARR14" s="12">
        <f>ARP14+ARQ14</f>
        <v/>
      </c>
      <c r="ARS14" s="12">
        <f>ROUND(ARR14*(1-AnnualMix),0)</f>
        <v/>
      </c>
      <c r="ART14" s="12">
        <f>ARR14-ARS14</f>
        <v/>
      </c>
      <c r="ARU14" s="12">
        <f>ROUND(ARS14*EssentialMix,0)</f>
        <v/>
      </c>
      <c r="ARV14" s="12">
        <f>ROUND(ARS14*PremiumMix,0)</f>
        <v/>
      </c>
      <c r="ARW14" s="12">
        <f>ARS14-ARU14-ARV14</f>
        <v/>
      </c>
      <c r="ARX14" s="12">
        <f>ROUND(ART14*EssentialMix,0)</f>
        <v/>
      </c>
      <c r="ARY14" s="12">
        <f>ROUND(ART14*PremiumMix,0)</f>
        <v/>
      </c>
      <c r="ARZ14" s="12">
        <f>ART14-ARX14-ARY14</f>
        <v/>
      </c>
      <c r="ASA14" s="12">
        <f>ARU14+ARU13+ARU12+MAX(0,ASA13-ARU13-ARU12)*(1-ARN14)</f>
        <v/>
      </c>
      <c r="ASB14" s="12">
        <f>ARV14+ARV13+ARV12+MAX(0,ASB13-ARV13-ARV12)*(1-ARN14)</f>
        <v/>
      </c>
      <c r="ASC14" s="12">
        <f>ARW14+ARW13+ARW12+MAX(0,ASC13-ARW13-ARW12)*(1-ARN14)</f>
        <v/>
      </c>
      <c r="ASD14" s="12">
        <f>SUM(ARX$5:ARX14)</f>
        <v/>
      </c>
      <c r="ASE14" s="12">
        <f>SUM(ARY$5:ARY14)</f>
        <v/>
      </c>
      <c r="ASF14" s="12">
        <f>SUM(ARZ$5:ARZ14)</f>
        <v/>
      </c>
      <c r="ASG14" s="12">
        <f>ASA14+ASB14+ASC14+ASD14+ASE14+ASF14</f>
        <v/>
      </c>
      <c r="ASH14" s="9">
        <f>ASA14*BlendedPriceEssMonthly*ARM14+ASB14*BlendedPricePremMonthly*ARM14+ASC14*BlendedPriceEliteMonthly*ARM14+ASD14*BlendedPriceEssAnnual*ARM14/12+ASE14*BlendedPricePremAnnual*ARM14/12+ASF14*BlendedPriceEliteAnnual*ARM14/12</f>
        <v/>
      </c>
      <c r="ASI14" s="9">
        <f>ASH14*12</f>
        <v/>
      </c>
      <c r="ASJ14" s="12">
        <f>ASA14*BlendedPriceEssMonthly*ARM14+ASB14*BlendedPricePremMonthly*ARM14+ASC14*BlendedPriceEliteMonthly*ARM14</f>
        <v/>
      </c>
      <c r="ASK14" s="12">
        <f>ARX14*BlendedPriceEssAnnual*ARM14+ARY14*BlendedPricePremAnnual*ARM14+ARZ14*BlendedPriceEliteAnnual*ARM14</f>
        <v/>
      </c>
      <c r="ASL14" s="12">
        <f>0+0+0</f>
        <v/>
      </c>
      <c r="ASM14" s="9">
        <f>ASJ14+ASK14+ASL14</f>
        <v/>
      </c>
      <c r="ASN14" s="12">
        <f>SUM(ASM$5:ASM14)</f>
        <v/>
      </c>
      <c r="ASO14" s="12">
        <f>OR(ASO13,IF(VATAgentMode,SUM($ASM$5:$ASM14)-SUM($AST$5:$AST14)&gt;=VATThreshold,SUM($ASM$5:$ASM14)&gt;=VATThreshold))</f>
        <v/>
      </c>
      <c r="ASP14" s="9">
        <f>IF(ASO14,IF(VATAgentMode,ASM14-((ASM14-AST14)-(ASM14-AST14)/(1+VATRate)),ASM14/(1+VATRate)),ASM14)</f>
        <v/>
      </c>
      <c r="ASQ14" s="12">
        <f>ASM14-ASP14</f>
        <v/>
      </c>
      <c r="ASR14" s="12">
        <f>IF(ASO14=0,0,IF(ARJ14=1,SUMPRODUCT(--(($ARK$5:$ARK14=$ARK14-1)*($ARJ$5:$ARJ14&gt;=10)*($ARJ$5:$ARJ14&lt;=12)),$ASQ$5:$ASQ14),IF(ARJ14=4,SUMPRODUCT(--(($ARK$5:$ARK14=$ARK14)*($ARJ$5:$ARJ14&gt;=1)*($ARJ$5:$ARJ14&lt;=3)),$ASQ$5:$ASQ14),IF(ARJ14=7,SUMPRODUCT(--(($ARK$5:$ARK14=$ARK14)*($ARJ$5:$ARJ14&gt;=4)*($ARJ$5:$ARJ14&lt;=6)),$ASQ$5:$ASQ14),IF(ARJ14=10,SUMPRODUCT(--(($ARK$5:$ARK14=$ARK14)*($ARJ$5:$ARJ14&gt;=7)*($ARJ$5:$ARJ14&lt;=9)),$ASQ$5:$ASQ14),0)))))</f>
        <v/>
      </c>
      <c r="ASS14" s="12">
        <f>ASS13+ASQ14-ASR14</f>
        <v/>
      </c>
      <c r="AST14" s="12">
        <f>IF(ProviderDelay&gt;=1,ASA13*BlendedProvPayEss+ASB13*BlendedProvPayPrem+ASC13*BlendedProvPayElite+ASD13*BlendedProvPayEss+ASE13*BlendedProvPayPrem+ASF13*BlendedProvPayElite,ASA14*BlendedProvPayEss+ASB14*BlendedProvPayPrem+ASC14*BlendedProvPayElite+ASD14*BlendedProvPayEss+ASE14*BlendedProvPayPrem+ASF14*BlendedProvPayElite)</f>
        <v/>
      </c>
      <c r="ASU14" s="12">
        <f>ASM14*PaymentFee</f>
        <v/>
      </c>
      <c r="ASV14" s="12">
        <f>ASG14*OpsAI</f>
        <v/>
      </c>
      <c r="ASW14" s="12">
        <f>MonthlyFixed</f>
        <v/>
      </c>
      <c r="ASX14" s="12">
        <f>ARQ14*ReferralReward</f>
        <v/>
      </c>
      <c r="ASY14" s="12">
        <f>ARO14</f>
        <v/>
      </c>
      <c r="ASZ14" s="9">
        <f>ASP14-AST14-ASU14-ASV14-ASW14-ASX14-ASY14</f>
        <v/>
      </c>
      <c r="ATA14" s="9">
        <f>ATA13+ASM14-(AST14+ASU14+ASV14+ASW14+ASX14+ASY14+ASR14)</f>
        <v/>
      </c>
      <c r="ATB14" s="12">
        <f>IF(ASG14&gt;0,ASH14/ASG14,0)</f>
        <v/>
      </c>
      <c r="ATC14" s="11">
        <f>IF(ASG13&gt;0,MAX(0,(ASG13+ARR14-ASG14)/ASG13),0)</f>
        <v/>
      </c>
      <c r="ATE14" s="12" t="n">
        <v>10</v>
      </c>
      <c r="ATF14" s="12">
        <f>MOD(ATE14-1+LaunchMonth-1,12)+1</f>
        <v/>
      </c>
      <c r="ATG14" s="12">
        <f>INT((ATE14-1+LaunchMonth-1)/12)+1</f>
        <v/>
      </c>
      <c r="ATH14" s="12">
        <f>VLOOKUP(ATF14,SeasonTable,2,FALSE)</f>
        <v/>
      </c>
      <c r="ATI14" s="12">
        <f>(1+InflationRate)^INT((ATE14-1)/12)</f>
        <v/>
      </c>
      <c r="ATJ14" s="11">
        <f>MonthlyChurn*VLOOKUP(ATF14,ChurnSeasonTable,4,FALSE)</f>
        <v/>
      </c>
      <c r="ATK14" s="12">
        <f>MIN(MAX(MktMin7_12,AUI13*MktPct7_12),MAX(0,AUW13-CashBuffer))</f>
        <v/>
      </c>
      <c r="ATL14" s="12">
        <f>IF(ATK14&gt;0,MAX(1,ROUND(ATK14/'Sens - CAC &amp; Marketing'!$A$15*ATH14,0)),0)</f>
        <v/>
      </c>
      <c r="ATM14" s="12">
        <f>IF(ATL14&gt;0,ROUND(ATL14*ReferralMix/(1-ReferralMix),0),0)</f>
        <v/>
      </c>
      <c r="ATN14" s="12">
        <f>ATL14+ATM14</f>
        <v/>
      </c>
      <c r="ATO14" s="12">
        <f>ROUND(ATN14*(1-AnnualMix),0)</f>
        <v/>
      </c>
      <c r="ATP14" s="12">
        <f>ATN14-ATO14</f>
        <v/>
      </c>
      <c r="ATQ14" s="12">
        <f>ROUND(ATO14*EssentialMix,0)</f>
        <v/>
      </c>
      <c r="ATR14" s="12">
        <f>ROUND(ATO14*PremiumMix,0)</f>
        <v/>
      </c>
      <c r="ATS14" s="12">
        <f>ATO14-ATQ14-ATR14</f>
        <v/>
      </c>
      <c r="ATT14" s="12">
        <f>ROUND(ATP14*EssentialMix,0)</f>
        <v/>
      </c>
      <c r="ATU14" s="12">
        <f>ROUND(ATP14*PremiumMix,0)</f>
        <v/>
      </c>
      <c r="ATV14" s="12">
        <f>ATP14-ATT14-ATU14</f>
        <v/>
      </c>
      <c r="ATW14" s="12">
        <f>ATQ14+ATQ13+ATQ12+MAX(0,ATW13-ATQ13-ATQ12)*(1-ATJ14)</f>
        <v/>
      </c>
      <c r="ATX14" s="12">
        <f>ATR14+ATR13+ATR12+MAX(0,ATX13-ATR13-ATR12)*(1-ATJ14)</f>
        <v/>
      </c>
      <c r="ATY14" s="12">
        <f>ATS14+ATS13+ATS12+MAX(0,ATY13-ATS13-ATS12)*(1-ATJ14)</f>
        <v/>
      </c>
      <c r="ATZ14" s="12">
        <f>SUM(ATT$5:ATT14)</f>
        <v/>
      </c>
      <c r="AUA14" s="12">
        <f>SUM(ATU$5:ATU14)</f>
        <v/>
      </c>
      <c r="AUB14" s="12">
        <f>SUM(ATV$5:ATV14)</f>
        <v/>
      </c>
      <c r="AUC14" s="12">
        <f>ATW14+ATX14+ATY14+ATZ14+AUA14+AUB14</f>
        <v/>
      </c>
      <c r="AUD14" s="9">
        <f>ATW14*BlendedPriceEssMonthly*ATI14+ATX14*BlendedPricePremMonthly*ATI14+ATY14*BlendedPriceEliteMonthly*ATI14+ATZ14*BlendedPriceEssAnnual*ATI14/12+AUA14*BlendedPricePremAnnual*ATI14/12+AUB14*BlendedPriceEliteAnnual*ATI14/12</f>
        <v/>
      </c>
      <c r="AUE14" s="9">
        <f>AUD14*12</f>
        <v/>
      </c>
      <c r="AUF14" s="12">
        <f>ATW14*BlendedPriceEssMonthly*ATI14+ATX14*BlendedPricePremMonthly*ATI14+ATY14*BlendedPriceEliteMonthly*ATI14</f>
        <v/>
      </c>
      <c r="AUG14" s="12">
        <f>ATT14*BlendedPriceEssAnnual*ATI14+ATU14*BlendedPricePremAnnual*ATI14+ATV14*BlendedPriceEliteAnnual*ATI14</f>
        <v/>
      </c>
      <c r="AUH14" s="12">
        <f>0+0+0</f>
        <v/>
      </c>
      <c r="AUI14" s="9">
        <f>AUF14+AUG14+AUH14</f>
        <v/>
      </c>
      <c r="AUJ14" s="12">
        <f>SUM(AUI$5:AUI14)</f>
        <v/>
      </c>
      <c r="AUK14" s="12">
        <f>OR(AUK13,IF(VATAgentMode,SUM($AUI$5:$AUI14)-SUM($AUP$5:$AUP14)&gt;=VATThreshold,SUM($AUI$5:$AUI14)&gt;=VATThreshold))</f>
        <v/>
      </c>
      <c r="AUL14" s="9">
        <f>IF(AUK14,IF(VATAgentMode,AUI14-((AUI14-AUP14)-(AUI14-AUP14)/(1+VATRate)),AUI14/(1+VATRate)),AUI14)</f>
        <v/>
      </c>
      <c r="AUM14" s="12">
        <f>AUI14-AUL14</f>
        <v/>
      </c>
      <c r="AUN14" s="12">
        <f>IF(AUK14=0,0,IF(ATF14=1,SUMPRODUCT(--(($ATG$5:$ATG14=$ATG14-1)*($ATF$5:$ATF14&gt;=10)*($ATF$5:$ATF14&lt;=12)),$AUM$5:$AUM14),IF(ATF14=4,SUMPRODUCT(--(($ATG$5:$ATG14=$ATG14)*($ATF$5:$ATF14&gt;=1)*($ATF$5:$ATF14&lt;=3)),$AUM$5:$AUM14),IF(ATF14=7,SUMPRODUCT(--(($ATG$5:$ATG14=$ATG14)*($ATF$5:$ATF14&gt;=4)*($ATF$5:$ATF14&lt;=6)),$AUM$5:$AUM14),IF(ATF14=10,SUMPRODUCT(--(($ATG$5:$ATG14=$ATG14)*($ATF$5:$ATF14&gt;=7)*($ATF$5:$ATF14&lt;=9)),$AUM$5:$AUM14),0)))))</f>
        <v/>
      </c>
      <c r="AUO14" s="12">
        <f>AUO13+AUM14-AUN14</f>
        <v/>
      </c>
      <c r="AUP14" s="12">
        <f>IF(ProviderDelay&gt;=1,ATW13*BlendedProvPayEss+ATX13*BlendedProvPayPrem+ATY13*BlendedProvPayElite+ATZ13*BlendedProvPayEss+AUA13*BlendedProvPayPrem+AUB13*BlendedProvPayElite,ATW14*BlendedProvPayEss+ATX14*BlendedProvPayPrem+ATY14*BlendedProvPayElite+ATZ14*BlendedProvPayEss+AUA14*BlendedProvPayPrem+AUB14*BlendedProvPayElite)</f>
        <v/>
      </c>
      <c r="AUQ14" s="12">
        <f>AUI14*PaymentFee</f>
        <v/>
      </c>
      <c r="AUR14" s="12">
        <f>AUC14*OpsAI</f>
        <v/>
      </c>
      <c r="AUS14" s="12">
        <f>MonthlyFixed</f>
        <v/>
      </c>
      <c r="AUT14" s="12">
        <f>ATM14*ReferralReward</f>
        <v/>
      </c>
      <c r="AUU14" s="12">
        <f>ATK14</f>
        <v/>
      </c>
      <c r="AUV14" s="9">
        <f>AUL14-AUP14-AUQ14-AUR14-AUS14-AUT14-AUU14</f>
        <v/>
      </c>
      <c r="AUW14" s="9">
        <f>AUW13+AUI14-(AUP14+AUQ14+AUR14+AUS14+AUT14+AUU14+AUN14)</f>
        <v/>
      </c>
      <c r="AUX14" s="12">
        <f>IF(AUC14&gt;0,AUD14/AUC14,0)</f>
        <v/>
      </c>
      <c r="AUY14" s="11">
        <f>IF(AUC13&gt;0,MAX(0,(AUC13+ATN14-AUC14)/AUC13),0)</f>
        <v/>
      </c>
      <c r="AVA14" s="12" t="n">
        <v>10</v>
      </c>
      <c r="AVB14" s="12">
        <f>MOD(AVA14-1+LaunchMonth-1,12)+1</f>
        <v/>
      </c>
      <c r="AVC14" s="12">
        <f>INT((AVA14-1+LaunchMonth-1)/12)+1</f>
        <v/>
      </c>
      <c r="AVD14" s="12">
        <f>VLOOKUP(AVB14,WinterPivotSeasonTable,5,FALSE)</f>
        <v/>
      </c>
      <c r="AVE14" s="12">
        <f>(1+InflationRate)^INT((AVA14-1)/12)</f>
        <v/>
      </c>
      <c r="AVF14" s="11">
        <f>MonthlyChurn*VLOOKUP(AVB14,WinterPivotChurnTable,6,FALSE)</f>
        <v/>
      </c>
      <c r="AVG14" s="12">
        <f>MIN(MAX(MktMin7_12,AWE13*MktPct7_12),MAX(0,AWS13-CashBuffer))</f>
        <v/>
      </c>
      <c r="AVH14" s="12">
        <f>IF(AVG14&gt;0,MAX(1,ROUND(AVG14/CAC*AVD14,0)),0)</f>
        <v/>
      </c>
      <c r="AVI14" s="12">
        <f>IF(AVH14&gt;0,ROUND(AVH14*ReferralMix/(1-ReferralMix),0),0)</f>
        <v/>
      </c>
      <c r="AVJ14" s="12">
        <f>AVH14+AVI14</f>
        <v/>
      </c>
      <c r="AVK14" s="12">
        <f>ROUND(AVJ14*(1-AnnualMix),0)</f>
        <v/>
      </c>
      <c r="AVL14" s="12">
        <f>AVJ14-AVK14</f>
        <v/>
      </c>
      <c r="AVM14" s="12">
        <f>ROUND(AVK14*'Sens - Winter Pivot'!$B$6,0)</f>
        <v/>
      </c>
      <c r="AVN14" s="12">
        <f>ROUND(AVK14*PremiumMix,0)</f>
        <v/>
      </c>
      <c r="AVO14" s="12">
        <f>AVK14-AVM14-AVN14</f>
        <v/>
      </c>
      <c r="AVP14" s="12">
        <f>ROUND(AVL14*'Sens - Winter Pivot'!$B$6,0)</f>
        <v/>
      </c>
      <c r="AVQ14" s="12">
        <f>ROUND(AVL14*PremiumMix,0)</f>
        <v/>
      </c>
      <c r="AVR14" s="12">
        <f>AVL14-AVP14-AVQ14</f>
        <v/>
      </c>
      <c r="AVS14" s="12">
        <f>AVM14+AVM13+AVM12+MAX(0,AVS13-AVM13-AVM12)*(1-AVF14)</f>
        <v/>
      </c>
      <c r="AVT14" s="12">
        <f>AVN14+AVN13+AVN12+MAX(0,AVT13-AVN13-AVN12)*(1-AVF14)</f>
        <v/>
      </c>
      <c r="AVU14" s="12">
        <f>AVO14+AVO13+AVO12+MAX(0,AVU13-AVO13-AVO12)*(1-AVF14)</f>
        <v/>
      </c>
      <c r="AVV14" s="12">
        <f>SUM(AVP$5:AVP14)</f>
        <v/>
      </c>
      <c r="AVW14" s="12">
        <f>SUM(AVQ$5:AVQ14)</f>
        <v/>
      </c>
      <c r="AVX14" s="12">
        <f>SUM(AVR$5:AVR14)</f>
        <v/>
      </c>
      <c r="AVY14" s="12">
        <f>AVS14+AVT14+AVU14+AVV14+AVW14+AVX14</f>
        <v/>
      </c>
      <c r="AVZ14" s="9">
        <f>AVS14*BlendedPriceEssMonthly*AVE14+AVT14*(BlendedPricePremMonthly+'Sens - Winter Pivot'!$B$7)*AVE14+AVU14*BlendedPriceEliteMonthly*AVE14+AVV14*BlendedPriceEssAnnual*AVE14/12+AVW14*(BlendedPricePremAnnual+'Sens - Winter Pivot'!$B$7*12)*AVE14/12+AVX14*BlendedPriceEliteAnnual*AVE14/12</f>
        <v/>
      </c>
      <c r="AWA14" s="9">
        <f>AVZ14*12</f>
        <v/>
      </c>
      <c r="AWB14" s="12">
        <f>AVS14*BlendedPriceEssMonthly*AVE14+AVT14*(BlendedPricePremMonthly+'Sens - Winter Pivot'!$B$7)*AVE14+AVU14*BlendedPriceEliteMonthly*AVE14</f>
        <v/>
      </c>
      <c r="AWC14" s="12">
        <f>AVP14*BlendedPriceEssAnnual*AVE14+AVQ14*(BlendedPricePremAnnual+'Sens - Winter Pivot'!$B$7*12)*AVE14+AVR14*BlendedPriceEliteAnnual*AVE14</f>
        <v/>
      </c>
      <c r="AWD14" s="12">
        <f>0+0+0</f>
        <v/>
      </c>
      <c r="AWE14" s="9">
        <f>AWB14+AWC14+AWD14</f>
        <v/>
      </c>
      <c r="AWF14" s="12">
        <f>SUM(AWE$5:AWE14)</f>
        <v/>
      </c>
      <c r="AWG14" s="12">
        <f>OR(AWG13,IF(VATAgentMode,SUM($AWE$5:$AWE14)-SUM($AWL$5:$AWL14)&gt;=VATThreshold,SUM($AWE$5:$AWE14)&gt;=VATThreshold))</f>
        <v/>
      </c>
      <c r="AWH14" s="9">
        <f>IF(AWG14,IF(VATAgentMode,AWE14-((AWE14-AWL14)-(AWE14-AWL14)/(1+VATRate)),AWE14/(1+VATRate)),AWE14)</f>
        <v/>
      </c>
      <c r="AWI14" s="12">
        <f>AWE14-AWH14</f>
        <v/>
      </c>
      <c r="AWJ14" s="12">
        <f>IF(AWG14=0,0,IF(AVB14=1,SUMPRODUCT(--(($AVC$5:$AVC14=$AVC14-1)*($AVB$5:$AVB14&gt;=10)*($AVB$5:$AVB14&lt;=12)),$AWI$5:$AWI14),IF(AVB14=4,SUMPRODUCT(--(($AVC$5:$AVC14=$AVC14)*($AVB$5:$AVB14&gt;=1)*($AVB$5:$AVB14&lt;=3)),$AWI$5:$AWI14),IF(AVB14=7,SUMPRODUCT(--(($AVC$5:$AVC14=$AVC14)*($AVB$5:$AVB14&gt;=4)*($AVB$5:$AVB14&lt;=6)),$AWI$5:$AWI14),IF(AVB14=10,SUMPRODUCT(--(($AVC$5:$AVC14=$AVC14)*($AVB$5:$AVB14&gt;=7)*($AVB$5:$AVB14&lt;=9)),$AWI$5:$AWI14),0)))))</f>
        <v/>
      </c>
      <c r="AWK14" s="12">
        <f>AWK13+AWI14-AWJ14</f>
        <v/>
      </c>
      <c r="AWL14" s="12">
        <f>IF(ProviderDelay&gt;=1,AVS13*BlendedProvPayEss+AVT13*BlendedProvPayPrem+AVU13*BlendedProvPayElite+AVV13*BlendedProvPayEss+AVW13*BlendedProvPayPrem+AVX13*BlendedProvPayElite,AVS14*BlendedProvPayEss+AVT14*BlendedProvPayPrem+AVU14*BlendedProvPayElite+AVV14*BlendedProvPayEss+AVW14*BlendedProvPayPrem+AVX14*BlendedProvPayElite)</f>
        <v/>
      </c>
      <c r="AWM14" s="12">
        <f>AWE14*PaymentFee</f>
        <v/>
      </c>
      <c r="AWN14" s="12">
        <f>AVY14*OpsAI</f>
        <v/>
      </c>
      <c r="AWO14" s="12">
        <f>MonthlyFixed</f>
        <v/>
      </c>
      <c r="AWP14" s="12">
        <f>AVI14*ReferralReward</f>
        <v/>
      </c>
      <c r="AWQ14" s="12">
        <f>AVG14</f>
        <v/>
      </c>
      <c r="AWR14" s="9">
        <f>AWH14-AWL14-AWM14-AWN14-AWO14-AWP14-AWQ14</f>
        <v/>
      </c>
      <c r="AWS14" s="9">
        <f>AWS13+AWE14-(AWL14+AWM14+AWN14+AWO14+AWP14+AWQ14+AWJ14)</f>
        <v/>
      </c>
      <c r="AWT14" s="12">
        <f>IF(AVY14&gt;0,AVZ14/AVY14,0)</f>
        <v/>
      </c>
      <c r="AWU14" s="11">
        <f>IF(AVY13&gt;0,MAX(0,(AVY13+AVJ14-AVY14)/AVY13),0)</f>
        <v/>
      </c>
    </row>
    <row r="15">
      <c r="A15" s="12" t="n">
        <v>11</v>
      </c>
      <c r="B15" s="12">
        <f>MOD(A15-1+LaunchMonth-1,12)+1</f>
        <v/>
      </c>
      <c r="C15" s="12">
        <f>INT((A15-1+LaunchMonth-1)/12)+1</f>
        <v/>
      </c>
      <c r="D15" s="12">
        <f>VLOOKUP(B15,SeasonTable,2,FALSE)</f>
        <v/>
      </c>
      <c r="E15" s="12">
        <f>(1+InflationRate)^INT((A15-1)/12)</f>
        <v/>
      </c>
      <c r="F15" s="11">
        <f>'Sens - Scenarios'!$B$5*VLOOKUP(B15,ChurnSeasonTable,4,FALSE)</f>
        <v/>
      </c>
      <c r="G15" s="12">
        <f>MIN(MAX(MktMin7_12,AE14*MktPct7_12),MAX(0,AS14-CashBuffer))</f>
        <v/>
      </c>
      <c r="H15" s="12">
        <f>IF(G15&gt;0,MAX(1,ROUND(G15/'Sens - Scenarios'!$B$8*D15,0)),0)</f>
        <v/>
      </c>
      <c r="I15" s="12">
        <f>IF(H15&gt;0,ROUND(H15*ReferralMix/(1-ReferralMix),0),0)</f>
        <v/>
      </c>
      <c r="J15" s="12">
        <f>H15+I15</f>
        <v/>
      </c>
      <c r="K15" s="12">
        <f>ROUND(J15*(1-'Sens - Scenarios'!$B$7),0)</f>
        <v/>
      </c>
      <c r="L15" s="12">
        <f>J15-K15</f>
        <v/>
      </c>
      <c r="M15" s="12">
        <f>ROUND(K15*EssentialMix,0)</f>
        <v/>
      </c>
      <c r="N15" s="12">
        <f>ROUND(K15*PremiumMix,0)</f>
        <v/>
      </c>
      <c r="O15" s="12">
        <f>K15-M15-N15</f>
        <v/>
      </c>
      <c r="P15" s="12">
        <f>ROUND(L15*EssentialMix,0)</f>
        <v/>
      </c>
      <c r="Q15" s="12">
        <f>ROUND(L15*PremiumMix,0)</f>
        <v/>
      </c>
      <c r="R15" s="12">
        <f>L15-P15-Q15</f>
        <v/>
      </c>
      <c r="S15" s="12">
        <f>M15+M14+M13+MAX(0,S14-M14-M13)*(1-F15)</f>
        <v/>
      </c>
      <c r="T15" s="12">
        <f>N15+N14+N13+MAX(0,T14-N14-N13)*(1-F15)</f>
        <v/>
      </c>
      <c r="U15" s="12">
        <f>O15+O14+O13+MAX(0,U14-O14-O13)*(1-F15)</f>
        <v/>
      </c>
      <c r="V15" s="12">
        <f>SUM(P$5:P15)</f>
        <v/>
      </c>
      <c r="W15" s="12">
        <f>SUM(Q$5:Q15)</f>
        <v/>
      </c>
      <c r="X15" s="12">
        <f>SUM(R$5:R15)</f>
        <v/>
      </c>
      <c r="Y15" s="12">
        <f>S15+T15+U15+V15+W15+X15</f>
        <v/>
      </c>
      <c r="Z15" s="9">
        <f>S15*BlendedPriceEssMonthly*E15+T15*BlendedPricePremMonthly*E15+U15*BlendedPriceEliteMonthly*E15+V15*BlendedPriceEssAnnual*E15/12+W15*BlendedPricePremAnnual*E15/12+X15*BlendedPriceEliteAnnual*E15/12</f>
        <v/>
      </c>
      <c r="AA15" s="9">
        <f>Z15*12</f>
        <v/>
      </c>
      <c r="AB15" s="12">
        <f>S15*BlendedPriceEssMonthly*E15+T15*BlendedPricePremMonthly*E15+U15*BlendedPriceEliteMonthly*E15</f>
        <v/>
      </c>
      <c r="AC15" s="12">
        <f>P15*BlendedPriceEssAnnual*E15+Q15*BlendedPricePremAnnual*E15+R15*BlendedPriceEliteAnnual*E15</f>
        <v/>
      </c>
      <c r="AD15" s="12">
        <f>0+0+0</f>
        <v/>
      </c>
      <c r="AE15" s="9">
        <f>AB15+AC15+AD15</f>
        <v/>
      </c>
      <c r="AF15" s="12">
        <f>SUM(AE$5:AE15)</f>
        <v/>
      </c>
      <c r="AG15" s="12">
        <f>OR(AG14,IF(VATAgentMode,SUM($AE$5:$AE15)-SUM($AL$5:$AL15)&gt;=VATThreshold,SUM($AE$5:$AE15)&gt;=VATThreshold))</f>
        <v/>
      </c>
      <c r="AH15" s="9">
        <f>IF(AG15,IF(VATAgentMode,AE15-((AE15-AL15)-(AE15-AL15)/(1+VATRate)),AE15/(1+VATRate)),AE15)</f>
        <v/>
      </c>
      <c r="AI15" s="12">
        <f>AE15-AH15</f>
        <v/>
      </c>
      <c r="AJ15" s="12">
        <f>IF(AG15=0,0,IF(B15=1,SUMPRODUCT(--(($C$5:$C15=$C15-1)*($B$5:$B15&gt;=10)*($B$5:$B15&lt;=12)),$AI$5:$AI15),IF(B15=4,SUMPRODUCT(--(($C$5:$C15=$C15)*($B$5:$B15&gt;=1)*($B$5:$B15&lt;=3)),$AI$5:$AI15),IF(B15=7,SUMPRODUCT(--(($C$5:$C15=$C15)*($B$5:$B15&gt;=4)*($B$5:$B15&lt;=6)),$AI$5:$AI15),IF(B15=10,SUMPRODUCT(--(($C$5:$C15=$C15)*($B$5:$B15&gt;=7)*($B$5:$B15&lt;=9)),$AI$5:$AI15),0)))))</f>
        <v/>
      </c>
      <c r="AK15" s="12">
        <f>AK14+AI15-AJ15</f>
        <v/>
      </c>
      <c r="AL15" s="12">
        <f>IF(ProviderDelay&gt;=1,S14*BlendedProvPayEss+T14*BlendedProvPayPrem+U14*BlendedProvPayElite+V14*BlendedProvPayEss+W14*BlendedProvPayPrem+X14*BlendedProvPayElite,S15*BlendedProvPayEss+T15*BlendedProvPayPrem+U15*BlendedProvPayElite+V15*BlendedProvPayEss+W15*BlendedProvPayPrem+X15*BlendedProvPayElite)</f>
        <v/>
      </c>
      <c r="AM15" s="12">
        <f>AE15*PaymentFee</f>
        <v/>
      </c>
      <c r="AN15" s="12">
        <f>Y15*OpsAI</f>
        <v/>
      </c>
      <c r="AO15" s="12">
        <f>MonthlyFixed</f>
        <v/>
      </c>
      <c r="AP15" s="12">
        <f>I15*ReferralReward</f>
        <v/>
      </c>
      <c r="AQ15" s="12">
        <f>G15</f>
        <v/>
      </c>
      <c r="AR15" s="9">
        <f>AH15-AL15-AM15-AN15-AO15-AP15-AQ15</f>
        <v/>
      </c>
      <c r="AS15" s="9">
        <f>AS14+AE15-(AL15+AM15+AN15+AO15+AP15+AQ15+AJ15)</f>
        <v/>
      </c>
      <c r="AT15" s="12">
        <f>IF(Y15&gt;0,Z15/Y15,0)</f>
        <v/>
      </c>
      <c r="AU15" s="11">
        <f>IF(Y14&gt;0,MAX(0,(Y14+J15-Y15)/Y14),0)</f>
        <v/>
      </c>
      <c r="AW15" s="12" t="n">
        <v>11</v>
      </c>
      <c r="AX15" s="12">
        <f>MOD(AW15-1+LaunchMonth-1,12)+1</f>
        <v/>
      </c>
      <c r="AY15" s="12">
        <f>INT((AW15-1+LaunchMonth-1)/12)+1</f>
        <v/>
      </c>
      <c r="AZ15" s="12">
        <f>VLOOKUP(AX15,SeasonTable,2,FALSE)</f>
        <v/>
      </c>
      <c r="BA15" s="12">
        <f>(1+InflationRate)^INT((AW15-1)/12)</f>
        <v/>
      </c>
      <c r="BB15" s="11">
        <f>MonthlyChurn*VLOOKUP(AX15,ChurnSeasonTable,4,FALSE)</f>
        <v/>
      </c>
      <c r="BC15" s="12">
        <f>MIN(MAX(MktMin7_12,CA14*MktPct7_12),MAX(0,CO14-CashBuffer))</f>
        <v/>
      </c>
      <c r="BD15" s="12">
        <f>IF(BC15&gt;0,MAX(1,ROUND(BC15/CAC*AZ15,0)),0)</f>
        <v/>
      </c>
      <c r="BE15" s="12">
        <f>IF(BD15&gt;0,ROUND(BD15*ReferralMix/(1-ReferralMix),0),0)</f>
        <v/>
      </c>
      <c r="BF15" s="12">
        <f>BD15+BE15</f>
        <v/>
      </c>
      <c r="BG15" s="12">
        <f>ROUND(BF15*(1-AnnualMix),0)</f>
        <v/>
      </c>
      <c r="BH15" s="12">
        <f>BF15-BG15</f>
        <v/>
      </c>
      <c r="BI15" s="12">
        <f>ROUND(BG15*EssentialMix,0)</f>
        <v/>
      </c>
      <c r="BJ15" s="12">
        <f>ROUND(BG15*PremiumMix,0)</f>
        <v/>
      </c>
      <c r="BK15" s="12">
        <f>BG15-BI15-BJ15</f>
        <v/>
      </c>
      <c r="BL15" s="12">
        <f>ROUND(BH15*EssentialMix,0)</f>
        <v/>
      </c>
      <c r="BM15" s="12">
        <f>ROUND(BH15*PremiumMix,0)</f>
        <v/>
      </c>
      <c r="BN15" s="12">
        <f>BH15-BL15-BM15</f>
        <v/>
      </c>
      <c r="BO15" s="12">
        <f>BI15+BI14+BI13+MAX(0,BO14-BI14-BI13)*(1-BB15)</f>
        <v/>
      </c>
      <c r="BP15" s="12">
        <f>BJ15+BJ14+BJ13+MAX(0,BP14-BJ14-BJ13)*(1-BB15)</f>
        <v/>
      </c>
      <c r="BQ15" s="12">
        <f>BK15+BK14+BK13+MAX(0,BQ14-BK14-BK13)*(1-BB15)</f>
        <v/>
      </c>
      <c r="BR15" s="12">
        <f>SUM(BL$5:BL15)</f>
        <v/>
      </c>
      <c r="BS15" s="12">
        <f>SUM(BM$5:BM15)</f>
        <v/>
      </c>
      <c r="BT15" s="12">
        <f>SUM(BN$5:BN15)</f>
        <v/>
      </c>
      <c r="BU15" s="12">
        <f>BO15+BP15+BQ15+BR15+BS15+BT15</f>
        <v/>
      </c>
      <c r="BV15" s="9">
        <f>BO15*BlendedPriceEssMonthly*BA15+BP15*BlendedPricePremMonthly*BA15+BQ15*BlendedPriceEliteMonthly*BA15+BR15*BlendedPriceEssAnnual*BA15/12+BS15*BlendedPricePremAnnual*BA15/12+BT15*BlendedPriceEliteAnnual*BA15/12</f>
        <v/>
      </c>
      <c r="BW15" s="9">
        <f>BV15*12</f>
        <v/>
      </c>
      <c r="BX15" s="12">
        <f>BO15*BlendedPriceEssMonthly*BA15+BP15*BlendedPricePremMonthly*BA15+BQ15*BlendedPriceEliteMonthly*BA15</f>
        <v/>
      </c>
      <c r="BY15" s="12">
        <f>BL15*BlendedPriceEssAnnual*BA15+BM15*BlendedPricePremAnnual*BA15+BN15*BlendedPriceEliteAnnual*BA15</f>
        <v/>
      </c>
      <c r="BZ15" s="12">
        <f>0+0+0</f>
        <v/>
      </c>
      <c r="CA15" s="9">
        <f>BX15+BY15+BZ15</f>
        <v/>
      </c>
      <c r="CB15" s="12">
        <f>SUM(CA$5:CA15)</f>
        <v/>
      </c>
      <c r="CC15" s="12">
        <f>OR(CC14,IF(VATAgentMode,SUM($CA$5:$CA15)-SUM($CH$5:$CH15)&gt;=VATThreshold,SUM($CA$5:$CA15)&gt;=VATThreshold))</f>
        <v/>
      </c>
      <c r="CD15" s="9">
        <f>IF(CC15,IF(VATAgentMode,CA15-((CA15-CH15)-(CA15-CH15)/(1+VATRate)),CA15/(1+VATRate)),CA15)</f>
        <v/>
      </c>
      <c r="CE15" s="12">
        <f>CA15-CD15</f>
        <v/>
      </c>
      <c r="CF15" s="12">
        <f>IF(CC15=0,0,IF(AX15=1,SUMPRODUCT(--(($AY$5:$AY15=$AY15-1)*($AX$5:$AX15&gt;=10)*($AX$5:$AX15&lt;=12)),$CE$5:$CE15),IF(AX15=4,SUMPRODUCT(--(($AY$5:$AY15=$AY15)*($AX$5:$AX15&gt;=1)*($AX$5:$AX15&lt;=3)),$CE$5:$CE15),IF(AX15=7,SUMPRODUCT(--(($AY$5:$AY15=$AY15)*($AX$5:$AX15&gt;=4)*($AX$5:$AX15&lt;=6)),$CE$5:$CE15),IF(AX15=10,SUMPRODUCT(--(($AY$5:$AY15=$AY15)*($AX$5:$AX15&gt;=7)*($AX$5:$AX15&lt;=9)),$CE$5:$CE15),0)))))</f>
        <v/>
      </c>
      <c r="CG15" s="12">
        <f>CG14+CE15-CF15</f>
        <v/>
      </c>
      <c r="CH15" s="12">
        <f>IF(ProviderDelay&gt;=1,BO14*BlendedProvPayEss+BP14*BlendedProvPayPrem+BQ14*BlendedProvPayElite+BR14*BlendedProvPayEss+BS14*BlendedProvPayPrem+BT14*BlendedProvPayElite,BO15*BlendedProvPayEss+BP15*BlendedProvPayPrem+BQ15*BlendedProvPayElite+BR15*BlendedProvPayEss+BS15*BlendedProvPayPrem+BT15*BlendedProvPayElite)</f>
        <v/>
      </c>
      <c r="CI15" s="12">
        <f>CA15*PaymentFee</f>
        <v/>
      </c>
      <c r="CJ15" s="12">
        <f>BU15*OpsAI</f>
        <v/>
      </c>
      <c r="CK15" s="12">
        <f>MonthlyFixed</f>
        <v/>
      </c>
      <c r="CL15" s="12">
        <f>BE15*ReferralReward</f>
        <v/>
      </c>
      <c r="CM15" s="12">
        <f>BC15</f>
        <v/>
      </c>
      <c r="CN15" s="9">
        <f>CD15-CH15-CI15-CJ15-CK15-CL15-CM15</f>
        <v/>
      </c>
      <c r="CO15" s="9">
        <f>CO14+CA15-(CH15+CI15+CJ15+CK15+CL15+CM15+CF15)</f>
        <v/>
      </c>
      <c r="CP15" s="12">
        <f>IF(BU15&gt;0,BV15/BU15,0)</f>
        <v/>
      </c>
      <c r="CQ15" s="11">
        <f>IF(BU14&gt;0,MAX(0,(BU14+BF15-BU15)/BU14),0)</f>
        <v/>
      </c>
      <c r="CS15" s="12" t="n">
        <v>11</v>
      </c>
      <c r="CT15" s="12">
        <f>MOD(CS15-1+LaunchMonth-1,12)+1</f>
        <v/>
      </c>
      <c r="CU15" s="12">
        <f>INT((CS15-1+LaunchMonth-1)/12)+1</f>
        <v/>
      </c>
      <c r="CV15" s="12">
        <f>VLOOKUP(CT15,SeasonTable,2,FALSE)</f>
        <v/>
      </c>
      <c r="CW15" s="12">
        <f>(1+InflationRate)^INT((CS15-1)/12)</f>
        <v/>
      </c>
      <c r="CX15" s="11">
        <f>'Sens - Scenarios'!$D$5*VLOOKUP(CT15,ChurnSeasonTable,4,FALSE)</f>
        <v/>
      </c>
      <c r="CY15" s="12">
        <f>MIN(MAX(MktMin7_12,DW14*MktPct7_12),MAX(0,EK14-CashBuffer))</f>
        <v/>
      </c>
      <c r="CZ15" s="12">
        <f>IF(CY15&gt;0,MAX(1,ROUND(CY15/'Sens - Scenarios'!$D$8*CV15,0)),0)</f>
        <v/>
      </c>
      <c r="DA15" s="12">
        <f>IF(CZ15&gt;0,ROUND(CZ15*ReferralMix/(1-ReferralMix),0),0)</f>
        <v/>
      </c>
      <c r="DB15" s="12">
        <f>CZ15+DA15</f>
        <v/>
      </c>
      <c r="DC15" s="12">
        <f>ROUND(DB15*(1-'Sens - Scenarios'!$D$7),0)</f>
        <v/>
      </c>
      <c r="DD15" s="12">
        <f>DB15-DC15</f>
        <v/>
      </c>
      <c r="DE15" s="12">
        <f>ROUND(DC15*EssentialMix,0)</f>
        <v/>
      </c>
      <c r="DF15" s="12">
        <f>ROUND(DC15*PremiumMix,0)</f>
        <v/>
      </c>
      <c r="DG15" s="12">
        <f>DC15-DE15-DF15</f>
        <v/>
      </c>
      <c r="DH15" s="12">
        <f>ROUND(DD15*EssentialMix,0)</f>
        <v/>
      </c>
      <c r="DI15" s="12">
        <f>ROUND(DD15*PremiumMix,0)</f>
        <v/>
      </c>
      <c r="DJ15" s="12">
        <f>DD15-DH15-DI15</f>
        <v/>
      </c>
      <c r="DK15" s="12">
        <f>DE15+DE14+DE13+MAX(0,DK14-DE14-DE13)*(1-CX15)</f>
        <v/>
      </c>
      <c r="DL15" s="12">
        <f>DF15+DF14+DF13+MAX(0,DL14-DF14-DF13)*(1-CX15)</f>
        <v/>
      </c>
      <c r="DM15" s="12">
        <f>DG15+DG14+DG13+MAX(0,DM14-DG14-DG13)*(1-CX15)</f>
        <v/>
      </c>
      <c r="DN15" s="12">
        <f>SUM(DH$5:DH15)</f>
        <v/>
      </c>
      <c r="DO15" s="12">
        <f>SUM(DI$5:DI15)</f>
        <v/>
      </c>
      <c r="DP15" s="12">
        <f>SUM(DJ$5:DJ15)</f>
        <v/>
      </c>
      <c r="DQ15" s="12">
        <f>DK15+DL15+DM15+DN15+DO15+DP15</f>
        <v/>
      </c>
      <c r="DR15" s="9">
        <f>DK15*BlendedPriceEssMonthly*CW15+DL15*BlendedPricePremMonthly*CW15+DM15*BlendedPriceEliteMonthly*CW15+DN15*BlendedPriceEssAnnual*CW15/12+DO15*BlendedPricePremAnnual*CW15/12+DP15*BlendedPriceEliteAnnual*CW15/12</f>
        <v/>
      </c>
      <c r="DS15" s="9">
        <f>DR15*12</f>
        <v/>
      </c>
      <c r="DT15" s="12">
        <f>DK15*BlendedPriceEssMonthly*CW15+DL15*BlendedPricePremMonthly*CW15+DM15*BlendedPriceEliteMonthly*CW15</f>
        <v/>
      </c>
      <c r="DU15" s="12">
        <f>DH15*BlendedPriceEssAnnual*CW15+DI15*BlendedPricePremAnnual*CW15+DJ15*BlendedPriceEliteAnnual*CW15</f>
        <v/>
      </c>
      <c r="DV15" s="12">
        <f>0+0+0</f>
        <v/>
      </c>
      <c r="DW15" s="9">
        <f>DT15+DU15+DV15</f>
        <v/>
      </c>
      <c r="DX15" s="12">
        <f>SUM(DW$5:DW15)</f>
        <v/>
      </c>
      <c r="DY15" s="12">
        <f>OR(DY14,IF(VATAgentMode,SUM($DW$5:$DW15)-SUM($ED$5:$ED15)&gt;=VATThreshold,SUM($DW$5:$DW15)&gt;=VATThreshold))</f>
        <v/>
      </c>
      <c r="DZ15" s="9">
        <f>IF(DY15,IF(VATAgentMode,DW15-((DW15-ED15)-(DW15-ED15)/(1+VATRate)),DW15/(1+VATRate)),DW15)</f>
        <v/>
      </c>
      <c r="EA15" s="12">
        <f>DW15-DZ15</f>
        <v/>
      </c>
      <c r="EB15" s="12">
        <f>IF(DY15=0,0,IF(CT15=1,SUMPRODUCT(--(($CU$5:$CU15=$CU15-1)*($CT$5:$CT15&gt;=10)*($CT$5:$CT15&lt;=12)),$EA$5:$EA15),IF(CT15=4,SUMPRODUCT(--(($CU$5:$CU15=$CU15)*($CT$5:$CT15&gt;=1)*($CT$5:$CT15&lt;=3)),$EA$5:$EA15),IF(CT15=7,SUMPRODUCT(--(($CU$5:$CU15=$CU15)*($CT$5:$CT15&gt;=4)*($CT$5:$CT15&lt;=6)),$EA$5:$EA15),IF(CT15=10,SUMPRODUCT(--(($CU$5:$CU15=$CU15)*($CT$5:$CT15&gt;=7)*($CT$5:$CT15&lt;=9)),$EA$5:$EA15),0)))))</f>
        <v/>
      </c>
      <c r="EC15" s="12">
        <f>EC14+EA15-EB15</f>
        <v/>
      </c>
      <c r="ED15" s="12">
        <f>IF(ProviderDelay&gt;=1,DK14*BlendedProvPayEss+DL14*BlendedProvPayPrem+DM14*BlendedProvPayElite+DN14*BlendedProvPayEss+DO14*BlendedProvPayPrem+DP14*BlendedProvPayElite,DK15*BlendedProvPayEss+DL15*BlendedProvPayPrem+DM15*BlendedProvPayElite+DN15*BlendedProvPayEss+DO15*BlendedProvPayPrem+DP15*BlendedProvPayElite)</f>
        <v/>
      </c>
      <c r="EE15" s="12">
        <f>DW15*PaymentFee</f>
        <v/>
      </c>
      <c r="EF15" s="12">
        <f>DQ15*OpsAI</f>
        <v/>
      </c>
      <c r="EG15" s="12">
        <f>MonthlyFixed</f>
        <v/>
      </c>
      <c r="EH15" s="12">
        <f>DA15*ReferralReward</f>
        <v/>
      </c>
      <c r="EI15" s="12">
        <f>CY15</f>
        <v/>
      </c>
      <c r="EJ15" s="9">
        <f>DZ15-ED15-EE15-EF15-EG15-EH15-EI15</f>
        <v/>
      </c>
      <c r="EK15" s="9">
        <f>EK14+DW15-(ED15+EE15+EF15+EG15+EH15+EI15+EB15)</f>
        <v/>
      </c>
      <c r="EL15" s="12">
        <f>IF(DQ15&gt;0,DR15/DQ15,0)</f>
        <v/>
      </c>
      <c r="EM15" s="11">
        <f>IF(DQ14&gt;0,MAX(0,(DQ14+DB15-DQ15)/DQ14),0)</f>
        <v/>
      </c>
      <c r="EO15" s="12" t="n">
        <v>11</v>
      </c>
      <c r="EP15" s="12">
        <f>MOD(EO15-1+LaunchMonth-1,12)+1</f>
        <v/>
      </c>
      <c r="EQ15" s="12">
        <f>INT((EO15-1+LaunchMonth-1)/12)+1</f>
        <v/>
      </c>
      <c r="ER15" s="12">
        <f>VLOOKUP(EP15,SeasonTable,2,FALSE)</f>
        <v/>
      </c>
      <c r="ES15" s="12">
        <f>(1+InflationRate)^INT((EO15-1)/12)</f>
        <v/>
      </c>
      <c r="ET15" s="11">
        <f>'Sens - Churn'!$A$13*VLOOKUP(EP15,ChurnSeasonTable,4,FALSE)</f>
        <v/>
      </c>
      <c r="EU15" s="12">
        <f>MIN(MAX(MktMin7_12,FS14*MktPct7_12),MAX(0,GG14-CashBuffer))</f>
        <v/>
      </c>
      <c r="EV15" s="12">
        <f>IF(EU15&gt;0,MAX(1,ROUND(EU15/CAC*ER15,0)),0)</f>
        <v/>
      </c>
      <c r="EW15" s="12">
        <f>IF(EV15&gt;0,ROUND(EV15*ReferralMix/(1-ReferralMix),0),0)</f>
        <v/>
      </c>
      <c r="EX15" s="12">
        <f>EV15+EW15</f>
        <v/>
      </c>
      <c r="EY15" s="12">
        <f>ROUND(EX15*(1-AnnualMix),0)</f>
        <v/>
      </c>
      <c r="EZ15" s="12">
        <f>EX15-EY15</f>
        <v/>
      </c>
      <c r="FA15" s="12">
        <f>ROUND(EY15*EssentialMix,0)</f>
        <v/>
      </c>
      <c r="FB15" s="12">
        <f>ROUND(EY15*PremiumMix,0)</f>
        <v/>
      </c>
      <c r="FC15" s="12">
        <f>EY15-FA15-FB15</f>
        <v/>
      </c>
      <c r="FD15" s="12">
        <f>ROUND(EZ15*EssentialMix,0)</f>
        <v/>
      </c>
      <c r="FE15" s="12">
        <f>ROUND(EZ15*PremiumMix,0)</f>
        <v/>
      </c>
      <c r="FF15" s="12">
        <f>EZ15-FD15-FE15</f>
        <v/>
      </c>
      <c r="FG15" s="12">
        <f>FA15+FA14+FA13+MAX(0,FG14-FA14-FA13)*(1-ET15)</f>
        <v/>
      </c>
      <c r="FH15" s="12">
        <f>FB15+FB14+FB13+MAX(0,FH14-FB14-FB13)*(1-ET15)</f>
        <v/>
      </c>
      <c r="FI15" s="12">
        <f>FC15+FC14+FC13+MAX(0,FI14-FC14-FC13)*(1-ET15)</f>
        <v/>
      </c>
      <c r="FJ15" s="12">
        <f>SUM(FD$5:FD15)</f>
        <v/>
      </c>
      <c r="FK15" s="12">
        <f>SUM(FE$5:FE15)</f>
        <v/>
      </c>
      <c r="FL15" s="12">
        <f>SUM(FF$5:FF15)</f>
        <v/>
      </c>
      <c r="FM15" s="12">
        <f>FG15+FH15+FI15+FJ15+FK15+FL15</f>
        <v/>
      </c>
      <c r="FN15" s="9">
        <f>FG15*BlendedPriceEssMonthly*ES15+FH15*BlendedPricePremMonthly*ES15+FI15*BlendedPriceEliteMonthly*ES15+FJ15*BlendedPriceEssAnnual*ES15/12+FK15*BlendedPricePremAnnual*ES15/12+FL15*BlendedPriceEliteAnnual*ES15/12</f>
        <v/>
      </c>
      <c r="FO15" s="9">
        <f>FN15*12</f>
        <v/>
      </c>
      <c r="FP15" s="12">
        <f>FG15*BlendedPriceEssMonthly*ES15+FH15*BlendedPricePremMonthly*ES15+FI15*BlendedPriceEliteMonthly*ES15</f>
        <v/>
      </c>
      <c r="FQ15" s="12">
        <f>FD15*BlendedPriceEssAnnual*ES15+FE15*BlendedPricePremAnnual*ES15+FF15*BlendedPriceEliteAnnual*ES15</f>
        <v/>
      </c>
      <c r="FR15" s="12">
        <f>0+0+0</f>
        <v/>
      </c>
      <c r="FS15" s="9">
        <f>FP15+FQ15+FR15</f>
        <v/>
      </c>
      <c r="FT15" s="12">
        <f>SUM(FS$5:FS15)</f>
        <v/>
      </c>
      <c r="FU15" s="12">
        <f>OR(FU14,IF(VATAgentMode,SUM($FS$5:$FS15)-SUM($FZ$5:$FZ15)&gt;=VATThreshold,SUM($FS$5:$FS15)&gt;=VATThreshold))</f>
        <v/>
      </c>
      <c r="FV15" s="9">
        <f>IF(FU15,IF(VATAgentMode,FS15-((FS15-FZ15)-(FS15-FZ15)/(1+VATRate)),FS15/(1+VATRate)),FS15)</f>
        <v/>
      </c>
      <c r="FW15" s="12">
        <f>FS15-FV15</f>
        <v/>
      </c>
      <c r="FX15" s="12">
        <f>IF(FU15=0,0,IF(EP15=1,SUMPRODUCT(--(($EQ$5:$EQ15=$EQ15-1)*($EP$5:$EP15&gt;=10)*($EP$5:$EP15&lt;=12)),$FW$5:$FW15),IF(EP15=4,SUMPRODUCT(--(($EQ$5:$EQ15=$EQ15)*($EP$5:$EP15&gt;=1)*($EP$5:$EP15&lt;=3)),$FW$5:$FW15),IF(EP15=7,SUMPRODUCT(--(($EQ$5:$EQ15=$EQ15)*($EP$5:$EP15&gt;=4)*($EP$5:$EP15&lt;=6)),$FW$5:$FW15),IF(EP15=10,SUMPRODUCT(--(($EQ$5:$EQ15=$EQ15)*($EP$5:$EP15&gt;=7)*($EP$5:$EP15&lt;=9)),$FW$5:$FW15),0)))))</f>
        <v/>
      </c>
      <c r="FY15" s="12">
        <f>FY14+FW15-FX15</f>
        <v/>
      </c>
      <c r="FZ15" s="12">
        <f>IF(ProviderDelay&gt;=1,FG14*BlendedProvPayEss+FH14*BlendedProvPayPrem+FI14*BlendedProvPayElite+FJ14*BlendedProvPayEss+FK14*BlendedProvPayPrem+FL14*BlendedProvPayElite,FG15*BlendedProvPayEss+FH15*BlendedProvPayPrem+FI15*BlendedProvPayElite+FJ15*BlendedProvPayEss+FK15*BlendedProvPayPrem+FL15*BlendedProvPayElite)</f>
        <v/>
      </c>
      <c r="GA15" s="12">
        <f>FS15*PaymentFee</f>
        <v/>
      </c>
      <c r="GB15" s="12">
        <f>FM15*OpsAI</f>
        <v/>
      </c>
      <c r="GC15" s="12">
        <f>MonthlyFixed</f>
        <v/>
      </c>
      <c r="GD15" s="12">
        <f>EW15*ReferralReward</f>
        <v/>
      </c>
      <c r="GE15" s="12">
        <f>EU15</f>
        <v/>
      </c>
      <c r="GF15" s="9">
        <f>FV15-FZ15-GA15-GB15-GC15-GD15-GE15</f>
        <v/>
      </c>
      <c r="GG15" s="9">
        <f>GG14+FS15-(FZ15+GA15+GB15+GC15+GD15+GE15+FX15)</f>
        <v/>
      </c>
      <c r="GH15" s="12">
        <f>IF(FM15&gt;0,FN15/FM15,0)</f>
        <v/>
      </c>
      <c r="GI15" s="11">
        <f>IF(FM14&gt;0,MAX(0,(FM14+EX15-FM15)/FM14),0)</f>
        <v/>
      </c>
      <c r="GK15" s="12" t="n">
        <v>11</v>
      </c>
      <c r="GL15" s="12">
        <f>MOD(GK15-1+LaunchMonth-1,12)+1</f>
        <v/>
      </c>
      <c r="GM15" s="12">
        <f>INT((GK15-1+LaunchMonth-1)/12)+1</f>
        <v/>
      </c>
      <c r="GN15" s="12">
        <f>VLOOKUP(GL15,SeasonTable,2,FALSE)</f>
        <v/>
      </c>
      <c r="GO15" s="12">
        <f>(1+InflationRate)^INT((GK15-1)/12)</f>
        <v/>
      </c>
      <c r="GP15" s="11">
        <f>'Sens - Churn'!$A$14*VLOOKUP(GL15,ChurnSeasonTable,4,FALSE)</f>
        <v/>
      </c>
      <c r="GQ15" s="12">
        <f>MIN(MAX(MktMin7_12,HO14*MktPct7_12),MAX(0,IC14-CashBuffer))</f>
        <v/>
      </c>
      <c r="GR15" s="12">
        <f>IF(GQ15&gt;0,MAX(1,ROUND(GQ15/CAC*GN15,0)),0)</f>
        <v/>
      </c>
      <c r="GS15" s="12">
        <f>IF(GR15&gt;0,ROUND(GR15*ReferralMix/(1-ReferralMix),0),0)</f>
        <v/>
      </c>
      <c r="GT15" s="12">
        <f>GR15+GS15</f>
        <v/>
      </c>
      <c r="GU15" s="12">
        <f>ROUND(GT15*(1-AnnualMix),0)</f>
        <v/>
      </c>
      <c r="GV15" s="12">
        <f>GT15-GU15</f>
        <v/>
      </c>
      <c r="GW15" s="12">
        <f>ROUND(GU15*EssentialMix,0)</f>
        <v/>
      </c>
      <c r="GX15" s="12">
        <f>ROUND(GU15*PremiumMix,0)</f>
        <v/>
      </c>
      <c r="GY15" s="12">
        <f>GU15-GW15-GX15</f>
        <v/>
      </c>
      <c r="GZ15" s="12">
        <f>ROUND(GV15*EssentialMix,0)</f>
        <v/>
      </c>
      <c r="HA15" s="12">
        <f>ROUND(GV15*PremiumMix,0)</f>
        <v/>
      </c>
      <c r="HB15" s="12">
        <f>GV15-GZ15-HA15</f>
        <v/>
      </c>
      <c r="HC15" s="12">
        <f>GW15+GW14+GW13+MAX(0,HC14-GW14-GW13)*(1-GP15)</f>
        <v/>
      </c>
      <c r="HD15" s="12">
        <f>GX15+GX14+GX13+MAX(0,HD14-GX14-GX13)*(1-GP15)</f>
        <v/>
      </c>
      <c r="HE15" s="12">
        <f>GY15+GY14+GY13+MAX(0,HE14-GY14-GY13)*(1-GP15)</f>
        <v/>
      </c>
      <c r="HF15" s="12">
        <f>SUM(GZ$5:GZ15)</f>
        <v/>
      </c>
      <c r="HG15" s="12">
        <f>SUM(HA$5:HA15)</f>
        <v/>
      </c>
      <c r="HH15" s="12">
        <f>SUM(HB$5:HB15)</f>
        <v/>
      </c>
      <c r="HI15" s="12">
        <f>HC15+HD15+HE15+HF15+HG15+HH15</f>
        <v/>
      </c>
      <c r="HJ15" s="9">
        <f>HC15*BlendedPriceEssMonthly*GO15+HD15*BlendedPricePremMonthly*GO15+HE15*BlendedPriceEliteMonthly*GO15+HF15*BlendedPriceEssAnnual*GO15/12+HG15*BlendedPricePremAnnual*GO15/12+HH15*BlendedPriceEliteAnnual*GO15/12</f>
        <v/>
      </c>
      <c r="HK15" s="9">
        <f>HJ15*12</f>
        <v/>
      </c>
      <c r="HL15" s="12">
        <f>HC15*BlendedPriceEssMonthly*GO15+HD15*BlendedPricePremMonthly*GO15+HE15*BlendedPriceEliteMonthly*GO15</f>
        <v/>
      </c>
      <c r="HM15" s="12">
        <f>GZ15*BlendedPriceEssAnnual*GO15+HA15*BlendedPricePremAnnual*GO15+HB15*BlendedPriceEliteAnnual*GO15</f>
        <v/>
      </c>
      <c r="HN15" s="12">
        <f>0+0+0</f>
        <v/>
      </c>
      <c r="HO15" s="9">
        <f>HL15+HM15+HN15</f>
        <v/>
      </c>
      <c r="HP15" s="12">
        <f>SUM(HO$5:HO15)</f>
        <v/>
      </c>
      <c r="HQ15" s="12">
        <f>OR(HQ14,IF(VATAgentMode,SUM($HO$5:$HO15)-SUM($HV$5:$HV15)&gt;=VATThreshold,SUM($HO$5:$HO15)&gt;=VATThreshold))</f>
        <v/>
      </c>
      <c r="HR15" s="9">
        <f>IF(HQ15,IF(VATAgentMode,HO15-((HO15-HV15)-(HO15-HV15)/(1+VATRate)),HO15/(1+VATRate)),HO15)</f>
        <v/>
      </c>
      <c r="HS15" s="12">
        <f>HO15-HR15</f>
        <v/>
      </c>
      <c r="HT15" s="12">
        <f>IF(HQ15=0,0,IF(GL15=1,SUMPRODUCT(--(($GM$5:$GM15=$GM15-1)*($GL$5:$GL15&gt;=10)*($GL$5:$GL15&lt;=12)),$HS$5:$HS15),IF(GL15=4,SUMPRODUCT(--(($GM$5:$GM15=$GM15)*($GL$5:$GL15&gt;=1)*($GL$5:$GL15&lt;=3)),$HS$5:$HS15),IF(GL15=7,SUMPRODUCT(--(($GM$5:$GM15=$GM15)*($GL$5:$GL15&gt;=4)*($GL$5:$GL15&lt;=6)),$HS$5:$HS15),IF(GL15=10,SUMPRODUCT(--(($GM$5:$GM15=$GM15)*($GL$5:$GL15&gt;=7)*($GL$5:$GL15&lt;=9)),$HS$5:$HS15),0)))))</f>
        <v/>
      </c>
      <c r="HU15" s="12">
        <f>HU14+HS15-HT15</f>
        <v/>
      </c>
      <c r="HV15" s="12">
        <f>IF(ProviderDelay&gt;=1,HC14*BlendedProvPayEss+HD14*BlendedProvPayPrem+HE14*BlendedProvPayElite+HF14*BlendedProvPayEss+HG14*BlendedProvPayPrem+HH14*BlendedProvPayElite,HC15*BlendedProvPayEss+HD15*BlendedProvPayPrem+HE15*BlendedProvPayElite+HF15*BlendedProvPayEss+HG15*BlendedProvPayPrem+HH15*BlendedProvPayElite)</f>
        <v/>
      </c>
      <c r="HW15" s="12">
        <f>HO15*PaymentFee</f>
        <v/>
      </c>
      <c r="HX15" s="12">
        <f>HI15*OpsAI</f>
        <v/>
      </c>
      <c r="HY15" s="12">
        <f>MonthlyFixed</f>
        <v/>
      </c>
      <c r="HZ15" s="12">
        <f>GS15*ReferralReward</f>
        <v/>
      </c>
      <c r="IA15" s="12">
        <f>GQ15</f>
        <v/>
      </c>
      <c r="IB15" s="9">
        <f>HR15-HV15-HW15-HX15-HY15-HZ15-IA15</f>
        <v/>
      </c>
      <c r="IC15" s="9">
        <f>IC14+HO15-(HV15+HW15+HX15+HY15+HZ15+IA15+HT15)</f>
        <v/>
      </c>
      <c r="ID15" s="12">
        <f>IF(HI15&gt;0,HJ15/HI15,0)</f>
        <v/>
      </c>
      <c r="IE15" s="11">
        <f>IF(HI14&gt;0,MAX(0,(HI14+GT15-HI15)/HI14),0)</f>
        <v/>
      </c>
      <c r="IG15" s="12" t="n">
        <v>11</v>
      </c>
      <c r="IH15" s="12">
        <f>MOD(IG15-1+LaunchMonth-1,12)+1</f>
        <v/>
      </c>
      <c r="II15" s="12">
        <f>INT((IG15-1+LaunchMonth-1)/12)+1</f>
        <v/>
      </c>
      <c r="IJ15" s="12">
        <f>VLOOKUP(IH15,SeasonTable,2,FALSE)</f>
        <v/>
      </c>
      <c r="IK15" s="12">
        <f>(1+InflationRate)^INT((IG15-1)/12)</f>
        <v/>
      </c>
      <c r="IL15" s="11">
        <f>'Sens - Churn'!$A$15*VLOOKUP(IH15,ChurnSeasonTable,4,FALSE)</f>
        <v/>
      </c>
      <c r="IM15" s="12">
        <f>MIN(MAX(MktMin7_12,JK14*MktPct7_12),MAX(0,JY14-CashBuffer))</f>
        <v/>
      </c>
      <c r="IN15" s="12">
        <f>IF(IM15&gt;0,MAX(1,ROUND(IM15/CAC*IJ15,0)),0)</f>
        <v/>
      </c>
      <c r="IO15" s="12">
        <f>IF(IN15&gt;0,ROUND(IN15*ReferralMix/(1-ReferralMix),0),0)</f>
        <v/>
      </c>
      <c r="IP15" s="12">
        <f>IN15+IO15</f>
        <v/>
      </c>
      <c r="IQ15" s="12">
        <f>ROUND(IP15*(1-AnnualMix),0)</f>
        <v/>
      </c>
      <c r="IR15" s="12">
        <f>IP15-IQ15</f>
        <v/>
      </c>
      <c r="IS15" s="12">
        <f>ROUND(IQ15*EssentialMix,0)</f>
        <v/>
      </c>
      <c r="IT15" s="12">
        <f>ROUND(IQ15*PremiumMix,0)</f>
        <v/>
      </c>
      <c r="IU15" s="12">
        <f>IQ15-IS15-IT15</f>
        <v/>
      </c>
      <c r="IV15" s="12">
        <f>ROUND(IR15*EssentialMix,0)</f>
        <v/>
      </c>
      <c r="IW15" s="12">
        <f>ROUND(IR15*PremiumMix,0)</f>
        <v/>
      </c>
      <c r="IX15" s="12">
        <f>IR15-IV15-IW15</f>
        <v/>
      </c>
      <c r="IY15" s="12">
        <f>IS15+IS14+IS13+MAX(0,IY14-IS14-IS13)*(1-IL15)</f>
        <v/>
      </c>
      <c r="IZ15" s="12">
        <f>IT15+IT14+IT13+MAX(0,IZ14-IT14-IT13)*(1-IL15)</f>
        <v/>
      </c>
      <c r="JA15" s="12">
        <f>IU15+IU14+IU13+MAX(0,JA14-IU14-IU13)*(1-IL15)</f>
        <v/>
      </c>
      <c r="JB15" s="12">
        <f>SUM(IV$5:IV15)</f>
        <v/>
      </c>
      <c r="JC15" s="12">
        <f>SUM(IW$5:IW15)</f>
        <v/>
      </c>
      <c r="JD15" s="12">
        <f>SUM(IX$5:IX15)</f>
        <v/>
      </c>
      <c r="JE15" s="12">
        <f>IY15+IZ15+JA15+JB15+JC15+JD15</f>
        <v/>
      </c>
      <c r="JF15" s="9">
        <f>IY15*BlendedPriceEssMonthly*IK15+IZ15*BlendedPricePremMonthly*IK15+JA15*BlendedPriceEliteMonthly*IK15+JB15*BlendedPriceEssAnnual*IK15/12+JC15*BlendedPricePremAnnual*IK15/12+JD15*BlendedPriceEliteAnnual*IK15/12</f>
        <v/>
      </c>
      <c r="JG15" s="9">
        <f>JF15*12</f>
        <v/>
      </c>
      <c r="JH15" s="12">
        <f>IY15*BlendedPriceEssMonthly*IK15+IZ15*BlendedPricePremMonthly*IK15+JA15*BlendedPriceEliteMonthly*IK15</f>
        <v/>
      </c>
      <c r="JI15" s="12">
        <f>IV15*BlendedPriceEssAnnual*IK15+IW15*BlendedPricePremAnnual*IK15+IX15*BlendedPriceEliteAnnual*IK15</f>
        <v/>
      </c>
      <c r="JJ15" s="12">
        <f>0+0+0</f>
        <v/>
      </c>
      <c r="JK15" s="9">
        <f>JH15+JI15+JJ15</f>
        <v/>
      </c>
      <c r="JL15" s="12">
        <f>SUM(JK$5:JK15)</f>
        <v/>
      </c>
      <c r="JM15" s="12">
        <f>OR(JM14,IF(VATAgentMode,SUM($JK$5:$JK15)-SUM($JR$5:$JR15)&gt;=VATThreshold,SUM($JK$5:$JK15)&gt;=VATThreshold))</f>
        <v/>
      </c>
      <c r="JN15" s="9">
        <f>IF(JM15,IF(VATAgentMode,JK15-((JK15-JR15)-(JK15-JR15)/(1+VATRate)),JK15/(1+VATRate)),JK15)</f>
        <v/>
      </c>
      <c r="JO15" s="12">
        <f>JK15-JN15</f>
        <v/>
      </c>
      <c r="JP15" s="12">
        <f>IF(JM15=0,0,IF(IH15=1,SUMPRODUCT(--(($II$5:$II15=$II15-1)*($IH$5:$IH15&gt;=10)*($IH$5:$IH15&lt;=12)),$JO$5:$JO15),IF(IH15=4,SUMPRODUCT(--(($II$5:$II15=$II15)*($IH$5:$IH15&gt;=1)*($IH$5:$IH15&lt;=3)),$JO$5:$JO15),IF(IH15=7,SUMPRODUCT(--(($II$5:$II15=$II15)*($IH$5:$IH15&gt;=4)*($IH$5:$IH15&lt;=6)),$JO$5:$JO15),IF(IH15=10,SUMPRODUCT(--(($II$5:$II15=$II15)*($IH$5:$IH15&gt;=7)*($IH$5:$IH15&lt;=9)),$JO$5:$JO15),0)))))</f>
        <v/>
      </c>
      <c r="JQ15" s="12">
        <f>JQ14+JO15-JP15</f>
        <v/>
      </c>
      <c r="JR15" s="12">
        <f>IF(ProviderDelay&gt;=1,IY14*BlendedProvPayEss+IZ14*BlendedProvPayPrem+JA14*BlendedProvPayElite+JB14*BlendedProvPayEss+JC14*BlendedProvPayPrem+JD14*BlendedProvPayElite,IY15*BlendedProvPayEss+IZ15*BlendedProvPayPrem+JA15*BlendedProvPayElite+JB15*BlendedProvPayEss+JC15*BlendedProvPayPrem+JD15*BlendedProvPayElite)</f>
        <v/>
      </c>
      <c r="JS15" s="12">
        <f>JK15*PaymentFee</f>
        <v/>
      </c>
      <c r="JT15" s="12">
        <f>JE15*OpsAI</f>
        <v/>
      </c>
      <c r="JU15" s="12">
        <f>MonthlyFixed</f>
        <v/>
      </c>
      <c r="JV15" s="12">
        <f>IO15*ReferralReward</f>
        <v/>
      </c>
      <c r="JW15" s="12">
        <f>IM15</f>
        <v/>
      </c>
      <c r="JX15" s="9">
        <f>JN15-JR15-JS15-JT15-JU15-JV15-JW15</f>
        <v/>
      </c>
      <c r="JY15" s="9">
        <f>JY14+JK15-(JR15+JS15+JT15+JU15+JV15+JW15+JP15)</f>
        <v/>
      </c>
      <c r="JZ15" s="12">
        <f>IF(JE15&gt;0,JF15/JE15,0)</f>
        <v/>
      </c>
      <c r="KA15" s="11">
        <f>IF(JE14&gt;0,MAX(0,(JE14+IP15-JE15)/JE14),0)</f>
        <v/>
      </c>
      <c r="KC15" s="12" t="n">
        <v>11</v>
      </c>
      <c r="KD15" s="12">
        <f>MOD(KC15-1+LaunchMonth-1,12)+1</f>
        <v/>
      </c>
      <c r="KE15" s="12">
        <f>INT((KC15-1+LaunchMonth-1)/12)+1</f>
        <v/>
      </c>
      <c r="KF15" s="12">
        <f>VLOOKUP(KD15,SeasonTable,2,FALSE)</f>
        <v/>
      </c>
      <c r="KG15" s="12">
        <f>(1+InflationRate)^INT((KC15-1)/12)</f>
        <v/>
      </c>
      <c r="KH15" s="11">
        <f>'Sens - Churn'!$A$16*VLOOKUP(KD15,ChurnSeasonTable,4,FALSE)</f>
        <v/>
      </c>
      <c r="KI15" s="12">
        <f>MIN(MAX(MktMin7_12,LG14*MktPct7_12),MAX(0,LU14-CashBuffer))</f>
        <v/>
      </c>
      <c r="KJ15" s="12">
        <f>IF(KI15&gt;0,MAX(1,ROUND(KI15/CAC*KF15,0)),0)</f>
        <v/>
      </c>
      <c r="KK15" s="12">
        <f>IF(KJ15&gt;0,ROUND(KJ15*ReferralMix/(1-ReferralMix),0),0)</f>
        <v/>
      </c>
      <c r="KL15" s="12">
        <f>KJ15+KK15</f>
        <v/>
      </c>
      <c r="KM15" s="12">
        <f>ROUND(KL15*(1-AnnualMix),0)</f>
        <v/>
      </c>
      <c r="KN15" s="12">
        <f>KL15-KM15</f>
        <v/>
      </c>
      <c r="KO15" s="12">
        <f>ROUND(KM15*EssentialMix,0)</f>
        <v/>
      </c>
      <c r="KP15" s="12">
        <f>ROUND(KM15*PremiumMix,0)</f>
        <v/>
      </c>
      <c r="KQ15" s="12">
        <f>KM15-KO15-KP15</f>
        <v/>
      </c>
      <c r="KR15" s="12">
        <f>ROUND(KN15*EssentialMix,0)</f>
        <v/>
      </c>
      <c r="KS15" s="12">
        <f>ROUND(KN15*PremiumMix,0)</f>
        <v/>
      </c>
      <c r="KT15" s="12">
        <f>KN15-KR15-KS15</f>
        <v/>
      </c>
      <c r="KU15" s="12">
        <f>KO15+KO14+KO13+MAX(0,KU14-KO14-KO13)*(1-KH15)</f>
        <v/>
      </c>
      <c r="KV15" s="12">
        <f>KP15+KP14+KP13+MAX(0,KV14-KP14-KP13)*(1-KH15)</f>
        <v/>
      </c>
      <c r="KW15" s="12">
        <f>KQ15+KQ14+KQ13+MAX(0,KW14-KQ14-KQ13)*(1-KH15)</f>
        <v/>
      </c>
      <c r="KX15" s="12">
        <f>SUM(KR$5:KR15)</f>
        <v/>
      </c>
      <c r="KY15" s="12">
        <f>SUM(KS$5:KS15)</f>
        <v/>
      </c>
      <c r="KZ15" s="12">
        <f>SUM(KT$5:KT15)</f>
        <v/>
      </c>
      <c r="LA15" s="12">
        <f>KU15+KV15+KW15+KX15+KY15+KZ15</f>
        <v/>
      </c>
      <c r="LB15" s="9">
        <f>KU15*BlendedPriceEssMonthly*KG15+KV15*BlendedPricePremMonthly*KG15+KW15*BlendedPriceEliteMonthly*KG15+KX15*BlendedPriceEssAnnual*KG15/12+KY15*BlendedPricePremAnnual*KG15/12+KZ15*BlendedPriceEliteAnnual*KG15/12</f>
        <v/>
      </c>
      <c r="LC15" s="9">
        <f>LB15*12</f>
        <v/>
      </c>
      <c r="LD15" s="12">
        <f>KU15*BlendedPriceEssMonthly*KG15+KV15*BlendedPricePremMonthly*KG15+KW15*BlendedPriceEliteMonthly*KG15</f>
        <v/>
      </c>
      <c r="LE15" s="12">
        <f>KR15*BlendedPriceEssAnnual*KG15+KS15*BlendedPricePremAnnual*KG15+KT15*BlendedPriceEliteAnnual*KG15</f>
        <v/>
      </c>
      <c r="LF15" s="12">
        <f>0+0+0</f>
        <v/>
      </c>
      <c r="LG15" s="9">
        <f>LD15+LE15+LF15</f>
        <v/>
      </c>
      <c r="LH15" s="12">
        <f>SUM(LG$5:LG15)</f>
        <v/>
      </c>
      <c r="LI15" s="12">
        <f>OR(LI14,IF(VATAgentMode,SUM($LG$5:$LG15)-SUM($LN$5:$LN15)&gt;=VATThreshold,SUM($LG$5:$LG15)&gt;=VATThreshold))</f>
        <v/>
      </c>
      <c r="LJ15" s="9">
        <f>IF(LI15,IF(VATAgentMode,LG15-((LG15-LN15)-(LG15-LN15)/(1+VATRate)),LG15/(1+VATRate)),LG15)</f>
        <v/>
      </c>
      <c r="LK15" s="12">
        <f>LG15-LJ15</f>
        <v/>
      </c>
      <c r="LL15" s="12">
        <f>IF(LI15=0,0,IF(KD15=1,SUMPRODUCT(--(($KE$5:$KE15=$KE15-1)*($KD$5:$KD15&gt;=10)*($KD$5:$KD15&lt;=12)),$LK$5:$LK15),IF(KD15=4,SUMPRODUCT(--(($KE$5:$KE15=$KE15)*($KD$5:$KD15&gt;=1)*($KD$5:$KD15&lt;=3)),$LK$5:$LK15),IF(KD15=7,SUMPRODUCT(--(($KE$5:$KE15=$KE15)*($KD$5:$KD15&gt;=4)*($KD$5:$KD15&lt;=6)),$LK$5:$LK15),IF(KD15=10,SUMPRODUCT(--(($KE$5:$KE15=$KE15)*($KD$5:$KD15&gt;=7)*($KD$5:$KD15&lt;=9)),$LK$5:$LK15),0)))))</f>
        <v/>
      </c>
      <c r="LM15" s="12">
        <f>LM14+LK15-LL15</f>
        <v/>
      </c>
      <c r="LN15" s="12">
        <f>IF(ProviderDelay&gt;=1,KU14*BlendedProvPayEss+KV14*BlendedProvPayPrem+KW14*BlendedProvPayElite+KX14*BlendedProvPayEss+KY14*BlendedProvPayPrem+KZ14*BlendedProvPayElite,KU15*BlendedProvPayEss+KV15*BlendedProvPayPrem+KW15*BlendedProvPayElite+KX15*BlendedProvPayEss+KY15*BlendedProvPayPrem+KZ15*BlendedProvPayElite)</f>
        <v/>
      </c>
      <c r="LO15" s="12">
        <f>LG15*PaymentFee</f>
        <v/>
      </c>
      <c r="LP15" s="12">
        <f>LA15*OpsAI</f>
        <v/>
      </c>
      <c r="LQ15" s="12">
        <f>MonthlyFixed</f>
        <v/>
      </c>
      <c r="LR15" s="12">
        <f>KK15*ReferralReward</f>
        <v/>
      </c>
      <c r="LS15" s="12">
        <f>KI15</f>
        <v/>
      </c>
      <c r="LT15" s="9">
        <f>LJ15-LN15-LO15-LP15-LQ15-LR15-LS15</f>
        <v/>
      </c>
      <c r="LU15" s="9">
        <f>LU14+LG15-(LN15+LO15+LP15+LQ15+LR15+LS15+LL15)</f>
        <v/>
      </c>
      <c r="LV15" s="12">
        <f>IF(LA15&gt;0,LB15/LA15,0)</f>
        <v/>
      </c>
      <c r="LW15" s="11">
        <f>IF(LA14&gt;0,MAX(0,(LA14+KL15-LA15)/LA14),0)</f>
        <v/>
      </c>
      <c r="LY15" s="12" t="n">
        <v>11</v>
      </c>
      <c r="LZ15" s="12">
        <f>MOD(LY15-1+LaunchMonth-1,12)+1</f>
        <v/>
      </c>
      <c r="MA15" s="12">
        <f>INT((LY15-1+LaunchMonth-1)/12)+1</f>
        <v/>
      </c>
      <c r="MB15" s="12">
        <f>VLOOKUP(LZ15,SeasonTable,2,FALSE)</f>
        <v/>
      </c>
      <c r="MC15" s="12">
        <f>(1+InflationRate)^INT((LY15-1)/12)</f>
        <v/>
      </c>
      <c r="MD15" s="11">
        <f>'Sens - Churn'!$A$17*VLOOKUP(LZ15,ChurnSeasonTable,4,FALSE)</f>
        <v/>
      </c>
      <c r="ME15" s="12">
        <f>MIN(MAX(MktMin7_12,NC14*MktPct7_12),MAX(0,NQ14-CashBuffer))</f>
        <v/>
      </c>
      <c r="MF15" s="12">
        <f>IF(ME15&gt;0,MAX(1,ROUND(ME15/CAC*MB15,0)),0)</f>
        <v/>
      </c>
      <c r="MG15" s="12">
        <f>IF(MF15&gt;0,ROUND(MF15*ReferralMix/(1-ReferralMix),0),0)</f>
        <v/>
      </c>
      <c r="MH15" s="12">
        <f>MF15+MG15</f>
        <v/>
      </c>
      <c r="MI15" s="12">
        <f>ROUND(MH15*(1-AnnualMix),0)</f>
        <v/>
      </c>
      <c r="MJ15" s="12">
        <f>MH15-MI15</f>
        <v/>
      </c>
      <c r="MK15" s="12">
        <f>ROUND(MI15*EssentialMix,0)</f>
        <v/>
      </c>
      <c r="ML15" s="12">
        <f>ROUND(MI15*PremiumMix,0)</f>
        <v/>
      </c>
      <c r="MM15" s="12">
        <f>MI15-MK15-ML15</f>
        <v/>
      </c>
      <c r="MN15" s="12">
        <f>ROUND(MJ15*EssentialMix,0)</f>
        <v/>
      </c>
      <c r="MO15" s="12">
        <f>ROUND(MJ15*PremiumMix,0)</f>
        <v/>
      </c>
      <c r="MP15" s="12">
        <f>MJ15-MN15-MO15</f>
        <v/>
      </c>
      <c r="MQ15" s="12">
        <f>MK15+MK14+MK13+MAX(0,MQ14-MK14-MK13)*(1-MD15)</f>
        <v/>
      </c>
      <c r="MR15" s="12">
        <f>ML15+ML14+ML13+MAX(0,MR14-ML14-ML13)*(1-MD15)</f>
        <v/>
      </c>
      <c r="MS15" s="12">
        <f>MM15+MM14+MM13+MAX(0,MS14-MM14-MM13)*(1-MD15)</f>
        <v/>
      </c>
      <c r="MT15" s="12">
        <f>SUM(MN$5:MN15)</f>
        <v/>
      </c>
      <c r="MU15" s="12">
        <f>SUM(MO$5:MO15)</f>
        <v/>
      </c>
      <c r="MV15" s="12">
        <f>SUM(MP$5:MP15)</f>
        <v/>
      </c>
      <c r="MW15" s="12">
        <f>MQ15+MR15+MS15+MT15+MU15+MV15</f>
        <v/>
      </c>
      <c r="MX15" s="9">
        <f>MQ15*BlendedPriceEssMonthly*MC15+MR15*BlendedPricePremMonthly*MC15+MS15*BlendedPriceEliteMonthly*MC15+MT15*BlendedPriceEssAnnual*MC15/12+MU15*BlendedPricePremAnnual*MC15/12+MV15*BlendedPriceEliteAnnual*MC15/12</f>
        <v/>
      </c>
      <c r="MY15" s="9">
        <f>MX15*12</f>
        <v/>
      </c>
      <c r="MZ15" s="12">
        <f>MQ15*BlendedPriceEssMonthly*MC15+MR15*BlendedPricePremMonthly*MC15+MS15*BlendedPriceEliteMonthly*MC15</f>
        <v/>
      </c>
      <c r="NA15" s="12">
        <f>MN15*BlendedPriceEssAnnual*MC15+MO15*BlendedPricePremAnnual*MC15+MP15*BlendedPriceEliteAnnual*MC15</f>
        <v/>
      </c>
      <c r="NB15" s="12">
        <f>0+0+0</f>
        <v/>
      </c>
      <c r="NC15" s="9">
        <f>MZ15+NA15+NB15</f>
        <v/>
      </c>
      <c r="ND15" s="12">
        <f>SUM(NC$5:NC15)</f>
        <v/>
      </c>
      <c r="NE15" s="12">
        <f>OR(NE14,IF(VATAgentMode,SUM($NC$5:$NC15)-SUM($NJ$5:$NJ15)&gt;=VATThreshold,SUM($NC$5:$NC15)&gt;=VATThreshold))</f>
        <v/>
      </c>
      <c r="NF15" s="9">
        <f>IF(NE15,IF(VATAgentMode,NC15-((NC15-NJ15)-(NC15-NJ15)/(1+VATRate)),NC15/(1+VATRate)),NC15)</f>
        <v/>
      </c>
      <c r="NG15" s="12">
        <f>NC15-NF15</f>
        <v/>
      </c>
      <c r="NH15" s="12">
        <f>IF(NE15=0,0,IF(LZ15=1,SUMPRODUCT(--(($MA$5:$MA15=$MA15-1)*($LZ$5:$LZ15&gt;=10)*($LZ$5:$LZ15&lt;=12)),$NG$5:$NG15),IF(LZ15=4,SUMPRODUCT(--(($MA$5:$MA15=$MA15)*($LZ$5:$LZ15&gt;=1)*($LZ$5:$LZ15&lt;=3)),$NG$5:$NG15),IF(LZ15=7,SUMPRODUCT(--(($MA$5:$MA15=$MA15)*($LZ$5:$LZ15&gt;=4)*($LZ$5:$LZ15&lt;=6)),$NG$5:$NG15),IF(LZ15=10,SUMPRODUCT(--(($MA$5:$MA15=$MA15)*($LZ$5:$LZ15&gt;=7)*($LZ$5:$LZ15&lt;=9)),$NG$5:$NG15),0)))))</f>
        <v/>
      </c>
      <c r="NI15" s="12">
        <f>NI14+NG15-NH15</f>
        <v/>
      </c>
      <c r="NJ15" s="12">
        <f>IF(ProviderDelay&gt;=1,MQ14*BlendedProvPayEss+MR14*BlendedProvPayPrem+MS14*BlendedProvPayElite+MT14*BlendedProvPayEss+MU14*BlendedProvPayPrem+MV14*BlendedProvPayElite,MQ15*BlendedProvPayEss+MR15*BlendedProvPayPrem+MS15*BlendedProvPayElite+MT15*BlendedProvPayEss+MU15*BlendedProvPayPrem+MV15*BlendedProvPayElite)</f>
        <v/>
      </c>
      <c r="NK15" s="12">
        <f>NC15*PaymentFee</f>
        <v/>
      </c>
      <c r="NL15" s="12">
        <f>MW15*OpsAI</f>
        <v/>
      </c>
      <c r="NM15" s="12">
        <f>MonthlyFixed</f>
        <v/>
      </c>
      <c r="NN15" s="12">
        <f>MG15*ReferralReward</f>
        <v/>
      </c>
      <c r="NO15" s="12">
        <f>ME15</f>
        <v/>
      </c>
      <c r="NP15" s="9">
        <f>NF15-NJ15-NK15-NL15-NM15-NN15-NO15</f>
        <v/>
      </c>
      <c r="NQ15" s="9">
        <f>NQ14+NC15-(NJ15+NK15+NL15+NM15+NN15+NO15+NH15)</f>
        <v/>
      </c>
      <c r="NR15" s="12">
        <f>IF(MW15&gt;0,MX15/MW15,0)</f>
        <v/>
      </c>
      <c r="NS15" s="11">
        <f>IF(MW14&gt;0,MAX(0,(MW14+MH15-MW15)/MW14),0)</f>
        <v/>
      </c>
      <c r="NU15" s="12" t="n">
        <v>11</v>
      </c>
      <c r="NV15" s="12">
        <f>MOD(NU15-1+LaunchMonth-1,12)+1</f>
        <v/>
      </c>
      <c r="NW15" s="12">
        <f>INT((NU15-1+LaunchMonth-1)/12)+1</f>
        <v/>
      </c>
      <c r="NX15" s="12">
        <f>VLOOKUP(NV15,SeasonTable,2,FALSE)</f>
        <v/>
      </c>
      <c r="NY15" s="12">
        <f>(1+InflationRate)^INT((NU15-1)/12)</f>
        <v/>
      </c>
      <c r="NZ15" s="11">
        <f>'Sens - Churn'!$A$18*VLOOKUP(NV15,ChurnSeasonTable,4,FALSE)</f>
        <v/>
      </c>
      <c r="OA15" s="12">
        <f>MIN(MAX(MktMin7_12,OY14*MktPct7_12),MAX(0,PM14-CashBuffer))</f>
        <v/>
      </c>
      <c r="OB15" s="12">
        <f>IF(OA15&gt;0,MAX(1,ROUND(OA15/CAC*NX15,0)),0)</f>
        <v/>
      </c>
      <c r="OC15" s="12">
        <f>IF(OB15&gt;0,ROUND(OB15*ReferralMix/(1-ReferralMix),0),0)</f>
        <v/>
      </c>
      <c r="OD15" s="12">
        <f>OB15+OC15</f>
        <v/>
      </c>
      <c r="OE15" s="12">
        <f>ROUND(OD15*(1-AnnualMix),0)</f>
        <v/>
      </c>
      <c r="OF15" s="12">
        <f>OD15-OE15</f>
        <v/>
      </c>
      <c r="OG15" s="12">
        <f>ROUND(OE15*EssentialMix,0)</f>
        <v/>
      </c>
      <c r="OH15" s="12">
        <f>ROUND(OE15*PremiumMix,0)</f>
        <v/>
      </c>
      <c r="OI15" s="12">
        <f>OE15-OG15-OH15</f>
        <v/>
      </c>
      <c r="OJ15" s="12">
        <f>ROUND(OF15*EssentialMix,0)</f>
        <v/>
      </c>
      <c r="OK15" s="12">
        <f>ROUND(OF15*PremiumMix,0)</f>
        <v/>
      </c>
      <c r="OL15" s="12">
        <f>OF15-OJ15-OK15</f>
        <v/>
      </c>
      <c r="OM15" s="12">
        <f>OG15+OG14+OG13+MAX(0,OM14-OG14-OG13)*(1-NZ15)</f>
        <v/>
      </c>
      <c r="ON15" s="12">
        <f>OH15+OH14+OH13+MAX(0,ON14-OH14-OH13)*(1-NZ15)</f>
        <v/>
      </c>
      <c r="OO15" s="12">
        <f>OI15+OI14+OI13+MAX(0,OO14-OI14-OI13)*(1-NZ15)</f>
        <v/>
      </c>
      <c r="OP15" s="12">
        <f>SUM(OJ$5:OJ15)</f>
        <v/>
      </c>
      <c r="OQ15" s="12">
        <f>SUM(OK$5:OK15)</f>
        <v/>
      </c>
      <c r="OR15" s="12">
        <f>SUM(OL$5:OL15)</f>
        <v/>
      </c>
      <c r="OS15" s="12">
        <f>OM15+ON15+OO15+OP15+OQ15+OR15</f>
        <v/>
      </c>
      <c r="OT15" s="9">
        <f>OM15*BlendedPriceEssMonthly*NY15+ON15*BlendedPricePremMonthly*NY15+OO15*BlendedPriceEliteMonthly*NY15+OP15*BlendedPriceEssAnnual*NY15/12+OQ15*BlendedPricePremAnnual*NY15/12+OR15*BlendedPriceEliteAnnual*NY15/12</f>
        <v/>
      </c>
      <c r="OU15" s="9">
        <f>OT15*12</f>
        <v/>
      </c>
      <c r="OV15" s="12">
        <f>OM15*BlendedPriceEssMonthly*NY15+ON15*BlendedPricePremMonthly*NY15+OO15*BlendedPriceEliteMonthly*NY15</f>
        <v/>
      </c>
      <c r="OW15" s="12">
        <f>OJ15*BlendedPriceEssAnnual*NY15+OK15*BlendedPricePremAnnual*NY15+OL15*BlendedPriceEliteAnnual*NY15</f>
        <v/>
      </c>
      <c r="OX15" s="12">
        <f>0+0+0</f>
        <v/>
      </c>
      <c r="OY15" s="9">
        <f>OV15+OW15+OX15</f>
        <v/>
      </c>
      <c r="OZ15" s="12">
        <f>SUM(OY$5:OY15)</f>
        <v/>
      </c>
      <c r="PA15" s="12">
        <f>OR(PA14,IF(VATAgentMode,SUM($OY$5:$OY15)-SUM($PF$5:$PF15)&gt;=VATThreshold,SUM($OY$5:$OY15)&gt;=VATThreshold))</f>
        <v/>
      </c>
      <c r="PB15" s="9">
        <f>IF(PA15,IF(VATAgentMode,OY15-((OY15-PF15)-(OY15-PF15)/(1+VATRate)),OY15/(1+VATRate)),OY15)</f>
        <v/>
      </c>
      <c r="PC15" s="12">
        <f>OY15-PB15</f>
        <v/>
      </c>
      <c r="PD15" s="12">
        <f>IF(PA15=0,0,IF(NV15=1,SUMPRODUCT(--(($NW$5:$NW15=$NW15-1)*($NV$5:$NV15&gt;=10)*($NV$5:$NV15&lt;=12)),$PC$5:$PC15),IF(NV15=4,SUMPRODUCT(--(($NW$5:$NW15=$NW15)*($NV$5:$NV15&gt;=1)*($NV$5:$NV15&lt;=3)),$PC$5:$PC15),IF(NV15=7,SUMPRODUCT(--(($NW$5:$NW15=$NW15)*($NV$5:$NV15&gt;=4)*($NV$5:$NV15&lt;=6)),$PC$5:$PC15),IF(NV15=10,SUMPRODUCT(--(($NW$5:$NW15=$NW15)*($NV$5:$NV15&gt;=7)*($NV$5:$NV15&lt;=9)),$PC$5:$PC15),0)))))</f>
        <v/>
      </c>
      <c r="PE15" s="12">
        <f>PE14+PC15-PD15</f>
        <v/>
      </c>
      <c r="PF15" s="12">
        <f>IF(ProviderDelay&gt;=1,OM14*BlendedProvPayEss+ON14*BlendedProvPayPrem+OO14*BlendedProvPayElite+OP14*BlendedProvPayEss+OQ14*BlendedProvPayPrem+OR14*BlendedProvPayElite,OM15*BlendedProvPayEss+ON15*BlendedProvPayPrem+OO15*BlendedProvPayElite+OP15*BlendedProvPayEss+OQ15*BlendedProvPayPrem+OR15*BlendedProvPayElite)</f>
        <v/>
      </c>
      <c r="PG15" s="12">
        <f>OY15*PaymentFee</f>
        <v/>
      </c>
      <c r="PH15" s="12">
        <f>OS15*OpsAI</f>
        <v/>
      </c>
      <c r="PI15" s="12">
        <f>MonthlyFixed</f>
        <v/>
      </c>
      <c r="PJ15" s="12">
        <f>OC15*ReferralReward</f>
        <v/>
      </c>
      <c r="PK15" s="12">
        <f>OA15</f>
        <v/>
      </c>
      <c r="PL15" s="9">
        <f>PB15-PF15-PG15-PH15-PI15-PJ15-PK15</f>
        <v/>
      </c>
      <c r="PM15" s="9">
        <f>PM14+OY15-(PF15+PG15+PH15+PI15+PJ15+PK15+PD15)</f>
        <v/>
      </c>
      <c r="PN15" s="12">
        <f>IF(OS15&gt;0,OT15/OS15,0)</f>
        <v/>
      </c>
      <c r="PO15" s="11">
        <f>IF(OS14&gt;0,MAX(0,(OS14+OD15-OS15)/OS14),0)</f>
        <v/>
      </c>
      <c r="PQ15" s="12" t="n">
        <v>11</v>
      </c>
      <c r="PR15" s="12">
        <f>MOD(PQ15-1+LaunchMonth-1,12)+1</f>
        <v/>
      </c>
      <c r="PS15" s="12">
        <f>INT((PQ15-1+LaunchMonth-1)/12)+1</f>
        <v/>
      </c>
      <c r="PT15" s="12">
        <f>VLOOKUP(PR15,SeasonTable,2,FALSE)</f>
        <v/>
      </c>
      <c r="PU15" s="12">
        <f>(1+InflationRate)^INT((PQ15-1)/12)</f>
        <v/>
      </c>
      <c r="PV15" s="11">
        <f>'Sens - Churn'!$A$19*VLOOKUP(PR15,ChurnSeasonTable,4,FALSE)</f>
        <v/>
      </c>
      <c r="PW15" s="12">
        <f>MIN(MAX(MktMin7_12,QU14*MktPct7_12),MAX(0,RI14-CashBuffer))</f>
        <v/>
      </c>
      <c r="PX15" s="12">
        <f>IF(PW15&gt;0,MAX(1,ROUND(PW15/CAC*PT15,0)),0)</f>
        <v/>
      </c>
      <c r="PY15" s="12">
        <f>IF(PX15&gt;0,ROUND(PX15*ReferralMix/(1-ReferralMix),0),0)</f>
        <v/>
      </c>
      <c r="PZ15" s="12">
        <f>PX15+PY15</f>
        <v/>
      </c>
      <c r="QA15" s="12">
        <f>ROUND(PZ15*(1-AnnualMix),0)</f>
        <v/>
      </c>
      <c r="QB15" s="12">
        <f>PZ15-QA15</f>
        <v/>
      </c>
      <c r="QC15" s="12">
        <f>ROUND(QA15*EssentialMix,0)</f>
        <v/>
      </c>
      <c r="QD15" s="12">
        <f>ROUND(QA15*PremiumMix,0)</f>
        <v/>
      </c>
      <c r="QE15" s="12">
        <f>QA15-QC15-QD15</f>
        <v/>
      </c>
      <c r="QF15" s="12">
        <f>ROUND(QB15*EssentialMix,0)</f>
        <v/>
      </c>
      <c r="QG15" s="12">
        <f>ROUND(QB15*PremiumMix,0)</f>
        <v/>
      </c>
      <c r="QH15" s="12">
        <f>QB15-QF15-QG15</f>
        <v/>
      </c>
      <c r="QI15" s="12">
        <f>QC15+QC14+QC13+MAX(0,QI14-QC14-QC13)*(1-PV15)</f>
        <v/>
      </c>
      <c r="QJ15" s="12">
        <f>QD15+QD14+QD13+MAX(0,QJ14-QD14-QD13)*(1-PV15)</f>
        <v/>
      </c>
      <c r="QK15" s="12">
        <f>QE15+QE14+QE13+MAX(0,QK14-QE14-QE13)*(1-PV15)</f>
        <v/>
      </c>
      <c r="QL15" s="12">
        <f>SUM(QF$5:QF15)</f>
        <v/>
      </c>
      <c r="QM15" s="12">
        <f>SUM(QG$5:QG15)</f>
        <v/>
      </c>
      <c r="QN15" s="12">
        <f>SUM(QH$5:QH15)</f>
        <v/>
      </c>
      <c r="QO15" s="12">
        <f>QI15+QJ15+QK15+QL15+QM15+QN15</f>
        <v/>
      </c>
      <c r="QP15" s="9">
        <f>QI15*BlendedPriceEssMonthly*PU15+QJ15*BlendedPricePremMonthly*PU15+QK15*BlendedPriceEliteMonthly*PU15+QL15*BlendedPriceEssAnnual*PU15/12+QM15*BlendedPricePremAnnual*PU15/12+QN15*BlendedPriceEliteAnnual*PU15/12</f>
        <v/>
      </c>
      <c r="QQ15" s="9">
        <f>QP15*12</f>
        <v/>
      </c>
      <c r="QR15" s="12">
        <f>QI15*BlendedPriceEssMonthly*PU15+QJ15*BlendedPricePremMonthly*PU15+QK15*BlendedPriceEliteMonthly*PU15</f>
        <v/>
      </c>
      <c r="QS15" s="12">
        <f>QF15*BlendedPriceEssAnnual*PU15+QG15*BlendedPricePremAnnual*PU15+QH15*BlendedPriceEliteAnnual*PU15</f>
        <v/>
      </c>
      <c r="QT15" s="12">
        <f>0+0+0</f>
        <v/>
      </c>
      <c r="QU15" s="9">
        <f>QR15+QS15+QT15</f>
        <v/>
      </c>
      <c r="QV15" s="12">
        <f>SUM(QU$5:QU15)</f>
        <v/>
      </c>
      <c r="QW15" s="12">
        <f>OR(QW14,IF(VATAgentMode,SUM($QU$5:$QU15)-SUM($RB$5:$RB15)&gt;=VATThreshold,SUM($QU$5:$QU15)&gt;=VATThreshold))</f>
        <v/>
      </c>
      <c r="QX15" s="9">
        <f>IF(QW15,IF(VATAgentMode,QU15-((QU15-RB15)-(QU15-RB15)/(1+VATRate)),QU15/(1+VATRate)),QU15)</f>
        <v/>
      </c>
      <c r="QY15" s="12">
        <f>QU15-QX15</f>
        <v/>
      </c>
      <c r="QZ15" s="12">
        <f>IF(QW15=0,0,IF(PR15=1,SUMPRODUCT(--(($PS$5:$PS15=$PS15-1)*($PR$5:$PR15&gt;=10)*($PR$5:$PR15&lt;=12)),$QY$5:$QY15),IF(PR15=4,SUMPRODUCT(--(($PS$5:$PS15=$PS15)*($PR$5:$PR15&gt;=1)*($PR$5:$PR15&lt;=3)),$QY$5:$QY15),IF(PR15=7,SUMPRODUCT(--(($PS$5:$PS15=$PS15)*($PR$5:$PR15&gt;=4)*($PR$5:$PR15&lt;=6)),$QY$5:$QY15),IF(PR15=10,SUMPRODUCT(--(($PS$5:$PS15=$PS15)*($PR$5:$PR15&gt;=7)*($PR$5:$PR15&lt;=9)),$QY$5:$QY15),0)))))</f>
        <v/>
      </c>
      <c r="RA15" s="12">
        <f>RA14+QY15-QZ15</f>
        <v/>
      </c>
      <c r="RB15" s="12">
        <f>IF(ProviderDelay&gt;=1,QI14*BlendedProvPayEss+QJ14*BlendedProvPayPrem+QK14*BlendedProvPayElite+QL14*BlendedProvPayEss+QM14*BlendedProvPayPrem+QN14*BlendedProvPayElite,QI15*BlendedProvPayEss+QJ15*BlendedProvPayPrem+QK15*BlendedProvPayElite+QL15*BlendedProvPayEss+QM15*BlendedProvPayPrem+QN15*BlendedProvPayElite)</f>
        <v/>
      </c>
      <c r="RC15" s="12">
        <f>QU15*PaymentFee</f>
        <v/>
      </c>
      <c r="RD15" s="12">
        <f>QO15*OpsAI</f>
        <v/>
      </c>
      <c r="RE15" s="12">
        <f>MonthlyFixed</f>
        <v/>
      </c>
      <c r="RF15" s="12">
        <f>PY15*ReferralReward</f>
        <v/>
      </c>
      <c r="RG15" s="12">
        <f>PW15</f>
        <v/>
      </c>
      <c r="RH15" s="9">
        <f>QX15-RB15-RC15-RD15-RE15-RF15-RG15</f>
        <v/>
      </c>
      <c r="RI15" s="9">
        <f>RI14+QU15-(RB15+RC15+RD15+RE15+RF15+RG15+QZ15)</f>
        <v/>
      </c>
      <c r="RJ15" s="12">
        <f>IF(QO15&gt;0,QP15/QO15,0)</f>
        <v/>
      </c>
      <c r="RK15" s="11">
        <f>IF(QO14&gt;0,MAX(0,(QO14+PZ15-QO15)/QO14),0)</f>
        <v/>
      </c>
      <c r="RM15" s="12" t="n">
        <v>11</v>
      </c>
      <c r="RN15" s="12">
        <f>MOD(RM15-1+LaunchMonth-1,12)+1</f>
        <v/>
      </c>
      <c r="RO15" s="12">
        <f>INT((RM15-1+LaunchMonth-1)/12)+1</f>
        <v/>
      </c>
      <c r="RP15" s="12">
        <f>VLOOKUP(RN15,SeasonTable,2,FALSE)</f>
        <v/>
      </c>
      <c r="RQ15" s="12">
        <f>(1+InflationRate)^INT((RM15-1)/12)</f>
        <v/>
      </c>
      <c r="RR15" s="11">
        <f>'Sens - Churn'!$A$20*VLOOKUP(RN15,ChurnSeasonTable,4,FALSE)</f>
        <v/>
      </c>
      <c r="RS15" s="12">
        <f>MIN(MAX(MktMin7_12,SQ14*MktPct7_12),MAX(0,TE14-CashBuffer))</f>
        <v/>
      </c>
      <c r="RT15" s="12">
        <f>IF(RS15&gt;0,MAX(1,ROUND(RS15/CAC*RP15,0)),0)</f>
        <v/>
      </c>
      <c r="RU15" s="12">
        <f>IF(RT15&gt;0,ROUND(RT15*ReferralMix/(1-ReferralMix),0),0)</f>
        <v/>
      </c>
      <c r="RV15" s="12">
        <f>RT15+RU15</f>
        <v/>
      </c>
      <c r="RW15" s="12">
        <f>ROUND(RV15*(1-AnnualMix),0)</f>
        <v/>
      </c>
      <c r="RX15" s="12">
        <f>RV15-RW15</f>
        <v/>
      </c>
      <c r="RY15" s="12">
        <f>ROUND(RW15*EssentialMix,0)</f>
        <v/>
      </c>
      <c r="RZ15" s="12">
        <f>ROUND(RW15*PremiumMix,0)</f>
        <v/>
      </c>
      <c r="SA15" s="12">
        <f>RW15-RY15-RZ15</f>
        <v/>
      </c>
      <c r="SB15" s="12">
        <f>ROUND(RX15*EssentialMix,0)</f>
        <v/>
      </c>
      <c r="SC15" s="12">
        <f>ROUND(RX15*PremiumMix,0)</f>
        <v/>
      </c>
      <c r="SD15" s="12">
        <f>RX15-SB15-SC15</f>
        <v/>
      </c>
      <c r="SE15" s="12">
        <f>RY15+RY14+RY13+MAX(0,SE14-RY14-RY13)*(1-RR15)</f>
        <v/>
      </c>
      <c r="SF15" s="12">
        <f>RZ15+RZ14+RZ13+MAX(0,SF14-RZ14-RZ13)*(1-RR15)</f>
        <v/>
      </c>
      <c r="SG15" s="12">
        <f>SA15+SA14+SA13+MAX(0,SG14-SA14-SA13)*(1-RR15)</f>
        <v/>
      </c>
      <c r="SH15" s="12">
        <f>SUM(SB$5:SB15)</f>
        <v/>
      </c>
      <c r="SI15" s="12">
        <f>SUM(SC$5:SC15)</f>
        <v/>
      </c>
      <c r="SJ15" s="12">
        <f>SUM(SD$5:SD15)</f>
        <v/>
      </c>
      <c r="SK15" s="12">
        <f>SE15+SF15+SG15+SH15+SI15+SJ15</f>
        <v/>
      </c>
      <c r="SL15" s="9">
        <f>SE15*BlendedPriceEssMonthly*RQ15+SF15*BlendedPricePremMonthly*RQ15+SG15*BlendedPriceEliteMonthly*RQ15+SH15*BlendedPriceEssAnnual*RQ15/12+SI15*BlendedPricePremAnnual*RQ15/12+SJ15*BlendedPriceEliteAnnual*RQ15/12</f>
        <v/>
      </c>
      <c r="SM15" s="9">
        <f>SL15*12</f>
        <v/>
      </c>
      <c r="SN15" s="12">
        <f>SE15*BlendedPriceEssMonthly*RQ15+SF15*BlendedPricePremMonthly*RQ15+SG15*BlendedPriceEliteMonthly*RQ15</f>
        <v/>
      </c>
      <c r="SO15" s="12">
        <f>SB15*BlendedPriceEssAnnual*RQ15+SC15*BlendedPricePremAnnual*RQ15+SD15*BlendedPriceEliteAnnual*RQ15</f>
        <v/>
      </c>
      <c r="SP15" s="12">
        <f>0+0+0</f>
        <v/>
      </c>
      <c r="SQ15" s="9">
        <f>SN15+SO15+SP15</f>
        <v/>
      </c>
      <c r="SR15" s="12">
        <f>SUM(SQ$5:SQ15)</f>
        <v/>
      </c>
      <c r="SS15" s="12">
        <f>OR(SS14,IF(VATAgentMode,SUM($SQ$5:$SQ15)-SUM($SX$5:$SX15)&gt;=VATThreshold,SUM($SQ$5:$SQ15)&gt;=VATThreshold))</f>
        <v/>
      </c>
      <c r="ST15" s="9">
        <f>IF(SS15,IF(VATAgentMode,SQ15-((SQ15-SX15)-(SQ15-SX15)/(1+VATRate)),SQ15/(1+VATRate)),SQ15)</f>
        <v/>
      </c>
      <c r="SU15" s="12">
        <f>SQ15-ST15</f>
        <v/>
      </c>
      <c r="SV15" s="12">
        <f>IF(SS15=0,0,IF(RN15=1,SUMPRODUCT(--(($RO$5:$RO15=$RO15-1)*($RN$5:$RN15&gt;=10)*($RN$5:$RN15&lt;=12)),$SU$5:$SU15),IF(RN15=4,SUMPRODUCT(--(($RO$5:$RO15=$RO15)*($RN$5:$RN15&gt;=1)*($RN$5:$RN15&lt;=3)),$SU$5:$SU15),IF(RN15=7,SUMPRODUCT(--(($RO$5:$RO15=$RO15)*($RN$5:$RN15&gt;=4)*($RN$5:$RN15&lt;=6)),$SU$5:$SU15),IF(RN15=10,SUMPRODUCT(--(($RO$5:$RO15=$RO15)*($RN$5:$RN15&gt;=7)*($RN$5:$RN15&lt;=9)),$SU$5:$SU15),0)))))</f>
        <v/>
      </c>
      <c r="SW15" s="12">
        <f>SW14+SU15-SV15</f>
        <v/>
      </c>
      <c r="SX15" s="12">
        <f>IF(ProviderDelay&gt;=1,SE14*BlendedProvPayEss+SF14*BlendedProvPayPrem+SG14*BlendedProvPayElite+SH14*BlendedProvPayEss+SI14*BlendedProvPayPrem+SJ14*BlendedProvPayElite,SE15*BlendedProvPayEss+SF15*BlendedProvPayPrem+SG15*BlendedProvPayElite+SH15*BlendedProvPayEss+SI15*BlendedProvPayPrem+SJ15*BlendedProvPayElite)</f>
        <v/>
      </c>
      <c r="SY15" s="12">
        <f>SQ15*PaymentFee</f>
        <v/>
      </c>
      <c r="SZ15" s="12">
        <f>SK15*OpsAI</f>
        <v/>
      </c>
      <c r="TA15" s="12">
        <f>MonthlyFixed</f>
        <v/>
      </c>
      <c r="TB15" s="12">
        <f>RU15*ReferralReward</f>
        <v/>
      </c>
      <c r="TC15" s="12">
        <f>RS15</f>
        <v/>
      </c>
      <c r="TD15" s="9">
        <f>ST15-SX15-SY15-SZ15-TA15-TB15-TC15</f>
        <v/>
      </c>
      <c r="TE15" s="9">
        <f>TE14+SQ15-(SX15+SY15+SZ15+TA15+TB15+TC15+SV15)</f>
        <v/>
      </c>
      <c r="TF15" s="12">
        <f>IF(SK15&gt;0,SL15/SK15,0)</f>
        <v/>
      </c>
      <c r="TG15" s="11">
        <f>IF(SK14&gt;0,MAX(0,(SK14+RV15-SK15)/SK14),0)</f>
        <v/>
      </c>
      <c r="TI15" s="12" t="n">
        <v>11</v>
      </c>
      <c r="TJ15" s="12">
        <f>MOD(TI15-1+LaunchMonth-1,12)+1</f>
        <v/>
      </c>
      <c r="TK15" s="12">
        <f>INT((TI15-1+LaunchMonth-1)/12)+1</f>
        <v/>
      </c>
      <c r="TL15" s="12">
        <f>VLOOKUP(TJ15,SeasonTable,2,FALSE)</f>
        <v/>
      </c>
      <c r="TM15" s="12">
        <f>(1+InflationRate)^INT((TI15-1)/12)</f>
        <v/>
      </c>
      <c r="TN15" s="11">
        <f>'Sens - Churn'!$A$21*VLOOKUP(TJ15,ChurnSeasonTable,4,FALSE)</f>
        <v/>
      </c>
      <c r="TO15" s="12">
        <f>MIN(MAX(MktMin7_12,UM14*MktPct7_12),MAX(0,VA14-CashBuffer))</f>
        <v/>
      </c>
      <c r="TP15" s="12">
        <f>IF(TO15&gt;0,MAX(1,ROUND(TO15/CAC*TL15,0)),0)</f>
        <v/>
      </c>
      <c r="TQ15" s="12">
        <f>IF(TP15&gt;0,ROUND(TP15*ReferralMix/(1-ReferralMix),0),0)</f>
        <v/>
      </c>
      <c r="TR15" s="12">
        <f>TP15+TQ15</f>
        <v/>
      </c>
      <c r="TS15" s="12">
        <f>ROUND(TR15*(1-AnnualMix),0)</f>
        <v/>
      </c>
      <c r="TT15" s="12">
        <f>TR15-TS15</f>
        <v/>
      </c>
      <c r="TU15" s="12">
        <f>ROUND(TS15*EssentialMix,0)</f>
        <v/>
      </c>
      <c r="TV15" s="12">
        <f>ROUND(TS15*PremiumMix,0)</f>
        <v/>
      </c>
      <c r="TW15" s="12">
        <f>TS15-TU15-TV15</f>
        <v/>
      </c>
      <c r="TX15" s="12">
        <f>ROUND(TT15*EssentialMix,0)</f>
        <v/>
      </c>
      <c r="TY15" s="12">
        <f>ROUND(TT15*PremiumMix,0)</f>
        <v/>
      </c>
      <c r="TZ15" s="12">
        <f>TT15-TX15-TY15</f>
        <v/>
      </c>
      <c r="UA15" s="12">
        <f>TU15+TU14+TU13+MAX(0,UA14-TU14-TU13)*(1-TN15)</f>
        <v/>
      </c>
      <c r="UB15" s="12">
        <f>TV15+TV14+TV13+MAX(0,UB14-TV14-TV13)*(1-TN15)</f>
        <v/>
      </c>
      <c r="UC15" s="12">
        <f>TW15+TW14+TW13+MAX(0,UC14-TW14-TW13)*(1-TN15)</f>
        <v/>
      </c>
      <c r="UD15" s="12">
        <f>SUM(TX$5:TX15)</f>
        <v/>
      </c>
      <c r="UE15" s="12">
        <f>SUM(TY$5:TY15)</f>
        <v/>
      </c>
      <c r="UF15" s="12">
        <f>SUM(TZ$5:TZ15)</f>
        <v/>
      </c>
      <c r="UG15" s="12">
        <f>UA15+UB15+UC15+UD15+UE15+UF15</f>
        <v/>
      </c>
      <c r="UH15" s="9">
        <f>UA15*BlendedPriceEssMonthly*TM15+UB15*BlendedPricePremMonthly*TM15+UC15*BlendedPriceEliteMonthly*TM15+UD15*BlendedPriceEssAnnual*TM15/12+UE15*BlendedPricePremAnnual*TM15/12+UF15*BlendedPriceEliteAnnual*TM15/12</f>
        <v/>
      </c>
      <c r="UI15" s="9">
        <f>UH15*12</f>
        <v/>
      </c>
      <c r="UJ15" s="12">
        <f>UA15*BlendedPriceEssMonthly*TM15+UB15*BlendedPricePremMonthly*TM15+UC15*BlendedPriceEliteMonthly*TM15</f>
        <v/>
      </c>
      <c r="UK15" s="12">
        <f>TX15*BlendedPriceEssAnnual*TM15+TY15*BlendedPricePremAnnual*TM15+TZ15*BlendedPriceEliteAnnual*TM15</f>
        <v/>
      </c>
      <c r="UL15" s="12">
        <f>0+0+0</f>
        <v/>
      </c>
      <c r="UM15" s="9">
        <f>UJ15+UK15+UL15</f>
        <v/>
      </c>
      <c r="UN15" s="12">
        <f>SUM(UM$5:UM15)</f>
        <v/>
      </c>
      <c r="UO15" s="12">
        <f>OR(UO14,IF(VATAgentMode,SUM($UM$5:$UM15)-SUM($UT$5:$UT15)&gt;=VATThreshold,SUM($UM$5:$UM15)&gt;=VATThreshold))</f>
        <v/>
      </c>
      <c r="UP15" s="9">
        <f>IF(UO15,IF(VATAgentMode,UM15-((UM15-UT15)-(UM15-UT15)/(1+VATRate)),UM15/(1+VATRate)),UM15)</f>
        <v/>
      </c>
      <c r="UQ15" s="12">
        <f>UM15-UP15</f>
        <v/>
      </c>
      <c r="UR15" s="12">
        <f>IF(UO15=0,0,IF(TJ15=1,SUMPRODUCT(--(($TK$5:$TK15=$TK15-1)*($TJ$5:$TJ15&gt;=10)*($TJ$5:$TJ15&lt;=12)),$UQ$5:$UQ15),IF(TJ15=4,SUMPRODUCT(--(($TK$5:$TK15=$TK15)*($TJ$5:$TJ15&gt;=1)*($TJ$5:$TJ15&lt;=3)),$UQ$5:$UQ15),IF(TJ15=7,SUMPRODUCT(--(($TK$5:$TK15=$TK15)*($TJ$5:$TJ15&gt;=4)*($TJ$5:$TJ15&lt;=6)),$UQ$5:$UQ15),IF(TJ15=10,SUMPRODUCT(--(($TK$5:$TK15=$TK15)*($TJ$5:$TJ15&gt;=7)*($TJ$5:$TJ15&lt;=9)),$UQ$5:$UQ15),0)))))</f>
        <v/>
      </c>
      <c r="US15" s="12">
        <f>US14+UQ15-UR15</f>
        <v/>
      </c>
      <c r="UT15" s="12">
        <f>IF(ProviderDelay&gt;=1,UA14*BlendedProvPayEss+UB14*BlendedProvPayPrem+UC14*BlendedProvPayElite+UD14*BlendedProvPayEss+UE14*BlendedProvPayPrem+UF14*BlendedProvPayElite,UA15*BlendedProvPayEss+UB15*BlendedProvPayPrem+UC15*BlendedProvPayElite+UD15*BlendedProvPayEss+UE15*BlendedProvPayPrem+UF15*BlendedProvPayElite)</f>
        <v/>
      </c>
      <c r="UU15" s="12">
        <f>UM15*PaymentFee</f>
        <v/>
      </c>
      <c r="UV15" s="12">
        <f>UG15*OpsAI</f>
        <v/>
      </c>
      <c r="UW15" s="12">
        <f>MonthlyFixed</f>
        <v/>
      </c>
      <c r="UX15" s="12">
        <f>TQ15*ReferralReward</f>
        <v/>
      </c>
      <c r="UY15" s="12">
        <f>TO15</f>
        <v/>
      </c>
      <c r="UZ15" s="9">
        <f>UP15-UT15-UU15-UV15-UW15-UX15-UY15</f>
        <v/>
      </c>
      <c r="VA15" s="9">
        <f>VA14+UM15-(UT15+UU15+UV15+UW15+UX15+UY15+UR15)</f>
        <v/>
      </c>
      <c r="VB15" s="12">
        <f>IF(UG15&gt;0,UH15/UG15,0)</f>
        <v/>
      </c>
      <c r="VC15" s="11">
        <f>IF(UG14&gt;0,MAX(0,(UG14+TR15-UG15)/UG14),0)</f>
        <v/>
      </c>
      <c r="VE15" s="12" t="n">
        <v>11</v>
      </c>
      <c r="VF15" s="12">
        <f>MOD(VE15-1+LaunchMonth-1,12)+1</f>
        <v/>
      </c>
      <c r="VG15" s="12">
        <f>INT((VE15-1+LaunchMonth-1)/12)+1</f>
        <v/>
      </c>
      <c r="VH15" s="12">
        <f>VLOOKUP(VF15,SeasonTable,2,FALSE)</f>
        <v/>
      </c>
      <c r="VI15" s="12">
        <f>(1+InflationRate)^INT((VE15-1)/12)</f>
        <v/>
      </c>
      <c r="VJ15" s="11">
        <f>MonthlyChurn*VLOOKUP(VF15,ChurnSeasonTable,4,FALSE)</f>
        <v/>
      </c>
      <c r="VK15" s="12">
        <f>MIN(MAX(MktMin7_12,WI14*MktPct7_12),MAX(0,WW14-CashBuffer))</f>
        <v/>
      </c>
      <c r="VL15" s="12">
        <f>IF(VK15&gt;0,MAX(1,ROUND(VK15/CAC*VH15,0)),0)</f>
        <v/>
      </c>
      <c r="VM15" s="12">
        <f>IF(VL15&gt;0,ROUND(VL15*ReferralMix/(1-ReferralMix),0),0)</f>
        <v/>
      </c>
      <c r="VN15" s="12">
        <f>VL15+VM15</f>
        <v/>
      </c>
      <c r="VO15" s="12">
        <f>ROUND(VN15*(1-'Sens - Annual Mix'!$A$9),0)</f>
        <v/>
      </c>
      <c r="VP15" s="12">
        <f>VN15-VO15</f>
        <v/>
      </c>
      <c r="VQ15" s="12">
        <f>ROUND(VO15*EssentialMix,0)</f>
        <v/>
      </c>
      <c r="VR15" s="12">
        <f>ROUND(VO15*PremiumMix,0)</f>
        <v/>
      </c>
      <c r="VS15" s="12">
        <f>VO15-VQ15-VR15</f>
        <v/>
      </c>
      <c r="VT15" s="12">
        <f>ROUND(VP15*EssentialMix,0)</f>
        <v/>
      </c>
      <c r="VU15" s="12">
        <f>ROUND(VP15*PremiumMix,0)</f>
        <v/>
      </c>
      <c r="VV15" s="12">
        <f>VP15-VT15-VU15</f>
        <v/>
      </c>
      <c r="VW15" s="12">
        <f>VQ15+VQ14+VQ13+MAX(0,VW14-VQ14-VQ13)*(1-VJ15)</f>
        <v/>
      </c>
      <c r="VX15" s="12">
        <f>VR15+VR14+VR13+MAX(0,VX14-VR14-VR13)*(1-VJ15)</f>
        <v/>
      </c>
      <c r="VY15" s="12">
        <f>VS15+VS14+VS13+MAX(0,VY14-VS14-VS13)*(1-VJ15)</f>
        <v/>
      </c>
      <c r="VZ15" s="12">
        <f>SUM(VT$5:VT15)</f>
        <v/>
      </c>
      <c r="WA15" s="12">
        <f>SUM(VU$5:VU15)</f>
        <v/>
      </c>
      <c r="WB15" s="12">
        <f>SUM(VV$5:VV15)</f>
        <v/>
      </c>
      <c r="WC15" s="12">
        <f>VW15+VX15+VY15+VZ15+WA15+WB15</f>
        <v/>
      </c>
      <c r="WD15" s="9">
        <f>VW15*BlendedPriceEssMonthly*VI15+VX15*BlendedPricePremMonthly*VI15+VY15*BlendedPriceEliteMonthly*VI15+VZ15*BlendedPriceEssAnnual*VI15/12+WA15*BlendedPricePremAnnual*VI15/12+WB15*BlendedPriceEliteAnnual*VI15/12</f>
        <v/>
      </c>
      <c r="WE15" s="9">
        <f>WD15*12</f>
        <v/>
      </c>
      <c r="WF15" s="12">
        <f>VW15*BlendedPriceEssMonthly*VI15+VX15*BlendedPricePremMonthly*VI15+VY15*BlendedPriceEliteMonthly*VI15</f>
        <v/>
      </c>
      <c r="WG15" s="12">
        <f>VT15*BlendedPriceEssAnnual*VI15+VU15*BlendedPricePremAnnual*VI15+VV15*BlendedPriceEliteAnnual*VI15</f>
        <v/>
      </c>
      <c r="WH15" s="12">
        <f>0+0+0</f>
        <v/>
      </c>
      <c r="WI15" s="9">
        <f>WF15+WG15+WH15</f>
        <v/>
      </c>
      <c r="WJ15" s="12">
        <f>SUM(WI$5:WI15)</f>
        <v/>
      </c>
      <c r="WK15" s="12">
        <f>OR(WK14,IF(VATAgentMode,SUM($WI$5:$WI15)-SUM($WP$5:$WP15)&gt;=VATThreshold,SUM($WI$5:$WI15)&gt;=VATThreshold))</f>
        <v/>
      </c>
      <c r="WL15" s="9">
        <f>IF(WK15,IF(VATAgentMode,WI15-((WI15-WP15)-(WI15-WP15)/(1+VATRate)),WI15/(1+VATRate)),WI15)</f>
        <v/>
      </c>
      <c r="WM15" s="12">
        <f>WI15-WL15</f>
        <v/>
      </c>
      <c r="WN15" s="12">
        <f>IF(WK15=0,0,IF(VF15=1,SUMPRODUCT(--(($VG$5:$VG15=$VG15-1)*($VF$5:$VF15&gt;=10)*($VF$5:$VF15&lt;=12)),$WM$5:$WM15),IF(VF15=4,SUMPRODUCT(--(($VG$5:$VG15=$VG15)*($VF$5:$VF15&gt;=1)*($VF$5:$VF15&lt;=3)),$WM$5:$WM15),IF(VF15=7,SUMPRODUCT(--(($VG$5:$VG15=$VG15)*($VF$5:$VF15&gt;=4)*($VF$5:$VF15&lt;=6)),$WM$5:$WM15),IF(VF15=10,SUMPRODUCT(--(($VG$5:$VG15=$VG15)*($VF$5:$VF15&gt;=7)*($VF$5:$VF15&lt;=9)),$WM$5:$WM15),0)))))</f>
        <v/>
      </c>
      <c r="WO15" s="12">
        <f>WO14+WM15-WN15</f>
        <v/>
      </c>
      <c r="WP15" s="12">
        <f>IF(ProviderDelay&gt;=1,VW14*BlendedProvPayEss+VX14*BlendedProvPayPrem+VY14*BlendedProvPayElite+VZ14*BlendedProvPayEss+WA14*BlendedProvPayPrem+WB14*BlendedProvPayElite,VW15*BlendedProvPayEss+VX15*BlendedProvPayPrem+VY15*BlendedProvPayElite+VZ15*BlendedProvPayEss+WA15*BlendedProvPayPrem+WB15*BlendedProvPayElite)</f>
        <v/>
      </c>
      <c r="WQ15" s="12">
        <f>WI15*PaymentFee</f>
        <v/>
      </c>
      <c r="WR15" s="12">
        <f>WC15*OpsAI</f>
        <v/>
      </c>
      <c r="WS15" s="12">
        <f>MonthlyFixed</f>
        <v/>
      </c>
      <c r="WT15" s="12">
        <f>VM15*ReferralReward</f>
        <v/>
      </c>
      <c r="WU15" s="12">
        <f>VK15</f>
        <v/>
      </c>
      <c r="WV15" s="9">
        <f>WL15-WP15-WQ15-WR15-WS15-WT15-WU15</f>
        <v/>
      </c>
      <c r="WW15" s="9">
        <f>WW14+WI15-(WP15+WQ15+WR15+WS15+WT15+WU15+WN15)</f>
        <v/>
      </c>
      <c r="WX15" s="12">
        <f>IF(WC15&gt;0,WD15/WC15,0)</f>
        <v/>
      </c>
      <c r="WY15" s="11">
        <f>IF(WC14&gt;0,MAX(0,(WC14+VN15-WC15)/WC14),0)</f>
        <v/>
      </c>
      <c r="XA15" s="12" t="n">
        <v>11</v>
      </c>
      <c r="XB15" s="12">
        <f>MOD(XA15-1+LaunchMonth-1,12)+1</f>
        <v/>
      </c>
      <c r="XC15" s="12">
        <f>INT((XA15-1+LaunchMonth-1)/12)+1</f>
        <v/>
      </c>
      <c r="XD15" s="12">
        <f>VLOOKUP(XB15,SeasonTable,2,FALSE)</f>
        <v/>
      </c>
      <c r="XE15" s="12">
        <f>(1+InflationRate)^INT((XA15-1)/12)</f>
        <v/>
      </c>
      <c r="XF15" s="11">
        <f>MonthlyChurn*VLOOKUP(XB15,ChurnSeasonTable,4,FALSE)</f>
        <v/>
      </c>
      <c r="XG15" s="12">
        <f>MIN(MAX(MktMin7_12,YE14*MktPct7_12),MAX(0,YS14-CashBuffer))</f>
        <v/>
      </c>
      <c r="XH15" s="12">
        <f>IF(XG15&gt;0,MAX(1,ROUND(XG15/CAC*XD15,0)),0)</f>
        <v/>
      </c>
      <c r="XI15" s="12">
        <f>IF(XH15&gt;0,ROUND(XH15*ReferralMix/(1-ReferralMix),0),0)</f>
        <v/>
      </c>
      <c r="XJ15" s="12">
        <f>XH15+XI15</f>
        <v/>
      </c>
      <c r="XK15" s="12">
        <f>ROUND(XJ15*(1-'Sens - Annual Mix'!$A$10),0)</f>
        <v/>
      </c>
      <c r="XL15" s="12">
        <f>XJ15-XK15</f>
        <v/>
      </c>
      <c r="XM15" s="12">
        <f>ROUND(XK15*EssentialMix,0)</f>
        <v/>
      </c>
      <c r="XN15" s="12">
        <f>ROUND(XK15*PremiumMix,0)</f>
        <v/>
      </c>
      <c r="XO15" s="12">
        <f>XK15-XM15-XN15</f>
        <v/>
      </c>
      <c r="XP15" s="12">
        <f>ROUND(XL15*EssentialMix,0)</f>
        <v/>
      </c>
      <c r="XQ15" s="12">
        <f>ROUND(XL15*PremiumMix,0)</f>
        <v/>
      </c>
      <c r="XR15" s="12">
        <f>XL15-XP15-XQ15</f>
        <v/>
      </c>
      <c r="XS15" s="12">
        <f>XM15+XM14+XM13+MAX(0,XS14-XM14-XM13)*(1-XF15)</f>
        <v/>
      </c>
      <c r="XT15" s="12">
        <f>XN15+XN14+XN13+MAX(0,XT14-XN14-XN13)*(1-XF15)</f>
        <v/>
      </c>
      <c r="XU15" s="12">
        <f>XO15+XO14+XO13+MAX(0,XU14-XO14-XO13)*(1-XF15)</f>
        <v/>
      </c>
      <c r="XV15" s="12">
        <f>SUM(XP$5:XP15)</f>
        <v/>
      </c>
      <c r="XW15" s="12">
        <f>SUM(XQ$5:XQ15)</f>
        <v/>
      </c>
      <c r="XX15" s="12">
        <f>SUM(XR$5:XR15)</f>
        <v/>
      </c>
      <c r="XY15" s="12">
        <f>XS15+XT15+XU15+XV15+XW15+XX15</f>
        <v/>
      </c>
      <c r="XZ15" s="9">
        <f>XS15*BlendedPriceEssMonthly*XE15+XT15*BlendedPricePremMonthly*XE15+XU15*BlendedPriceEliteMonthly*XE15+XV15*BlendedPriceEssAnnual*XE15/12+XW15*BlendedPricePremAnnual*XE15/12+XX15*BlendedPriceEliteAnnual*XE15/12</f>
        <v/>
      </c>
      <c r="YA15" s="9">
        <f>XZ15*12</f>
        <v/>
      </c>
      <c r="YB15" s="12">
        <f>XS15*BlendedPriceEssMonthly*XE15+XT15*BlendedPricePremMonthly*XE15+XU15*BlendedPriceEliteMonthly*XE15</f>
        <v/>
      </c>
      <c r="YC15" s="12">
        <f>XP15*BlendedPriceEssAnnual*XE15+XQ15*BlendedPricePremAnnual*XE15+XR15*BlendedPriceEliteAnnual*XE15</f>
        <v/>
      </c>
      <c r="YD15" s="12">
        <f>0+0+0</f>
        <v/>
      </c>
      <c r="YE15" s="9">
        <f>YB15+YC15+YD15</f>
        <v/>
      </c>
      <c r="YF15" s="12">
        <f>SUM(YE$5:YE15)</f>
        <v/>
      </c>
      <c r="YG15" s="12">
        <f>OR(YG14,IF(VATAgentMode,SUM($YE$5:$YE15)-SUM($YL$5:$YL15)&gt;=VATThreshold,SUM($YE$5:$YE15)&gt;=VATThreshold))</f>
        <v/>
      </c>
      <c r="YH15" s="9">
        <f>IF(YG15,IF(VATAgentMode,YE15-((YE15-YL15)-(YE15-YL15)/(1+VATRate)),YE15/(1+VATRate)),YE15)</f>
        <v/>
      </c>
      <c r="YI15" s="12">
        <f>YE15-YH15</f>
        <v/>
      </c>
      <c r="YJ15" s="12">
        <f>IF(YG15=0,0,IF(XB15=1,SUMPRODUCT(--(($XC$5:$XC15=$XC15-1)*($XB$5:$XB15&gt;=10)*($XB$5:$XB15&lt;=12)),$YI$5:$YI15),IF(XB15=4,SUMPRODUCT(--(($XC$5:$XC15=$XC15)*($XB$5:$XB15&gt;=1)*($XB$5:$XB15&lt;=3)),$YI$5:$YI15),IF(XB15=7,SUMPRODUCT(--(($XC$5:$XC15=$XC15)*($XB$5:$XB15&gt;=4)*($XB$5:$XB15&lt;=6)),$YI$5:$YI15),IF(XB15=10,SUMPRODUCT(--(($XC$5:$XC15=$XC15)*($XB$5:$XB15&gt;=7)*($XB$5:$XB15&lt;=9)),$YI$5:$YI15),0)))))</f>
        <v/>
      </c>
      <c r="YK15" s="12">
        <f>YK14+YI15-YJ15</f>
        <v/>
      </c>
      <c r="YL15" s="12">
        <f>IF(ProviderDelay&gt;=1,XS14*BlendedProvPayEss+XT14*BlendedProvPayPrem+XU14*BlendedProvPayElite+XV14*BlendedProvPayEss+XW14*BlendedProvPayPrem+XX14*BlendedProvPayElite,XS15*BlendedProvPayEss+XT15*BlendedProvPayPrem+XU15*BlendedProvPayElite+XV15*BlendedProvPayEss+XW15*BlendedProvPayPrem+XX15*BlendedProvPayElite)</f>
        <v/>
      </c>
      <c r="YM15" s="12">
        <f>YE15*PaymentFee</f>
        <v/>
      </c>
      <c r="YN15" s="12">
        <f>XY15*OpsAI</f>
        <v/>
      </c>
      <c r="YO15" s="12">
        <f>MonthlyFixed</f>
        <v/>
      </c>
      <c r="YP15" s="12">
        <f>XI15*ReferralReward</f>
        <v/>
      </c>
      <c r="YQ15" s="12">
        <f>XG15</f>
        <v/>
      </c>
      <c r="YR15" s="9">
        <f>YH15-YL15-YM15-YN15-YO15-YP15-YQ15</f>
        <v/>
      </c>
      <c r="YS15" s="9">
        <f>YS14+YE15-(YL15+YM15+YN15+YO15+YP15+YQ15+YJ15)</f>
        <v/>
      </c>
      <c r="YT15" s="12">
        <f>IF(XY15&gt;0,XZ15/XY15,0)</f>
        <v/>
      </c>
      <c r="YU15" s="11">
        <f>IF(XY14&gt;0,MAX(0,(XY14+XJ15-XY15)/XY14),0)</f>
        <v/>
      </c>
      <c r="YW15" s="12" t="n">
        <v>11</v>
      </c>
      <c r="YX15" s="12">
        <f>MOD(YW15-1+LaunchMonth-1,12)+1</f>
        <v/>
      </c>
      <c r="YY15" s="12">
        <f>INT((YW15-1+LaunchMonth-1)/12)+1</f>
        <v/>
      </c>
      <c r="YZ15" s="12">
        <f>VLOOKUP(YX15,SeasonTable,2,FALSE)</f>
        <v/>
      </c>
      <c r="ZA15" s="12">
        <f>(1+InflationRate)^INT((YW15-1)/12)</f>
        <v/>
      </c>
      <c r="ZB15" s="11">
        <f>MonthlyChurn*VLOOKUP(YX15,ChurnSeasonTable,4,FALSE)</f>
        <v/>
      </c>
      <c r="ZC15" s="12">
        <f>MIN(MAX(MktMin7_12,AAA14*MktPct7_12),MAX(0,AAO14-CashBuffer))</f>
        <v/>
      </c>
      <c r="ZD15" s="12">
        <f>IF(ZC15&gt;0,MAX(1,ROUND(ZC15/CAC*YZ15,0)),0)</f>
        <v/>
      </c>
      <c r="ZE15" s="12">
        <f>IF(ZD15&gt;0,ROUND(ZD15*ReferralMix/(1-ReferralMix),0),0)</f>
        <v/>
      </c>
      <c r="ZF15" s="12">
        <f>ZD15+ZE15</f>
        <v/>
      </c>
      <c r="ZG15" s="12">
        <f>ROUND(ZF15*(1-'Sens - Annual Mix'!$A$11),0)</f>
        <v/>
      </c>
      <c r="ZH15" s="12">
        <f>ZF15-ZG15</f>
        <v/>
      </c>
      <c r="ZI15" s="12">
        <f>ROUND(ZG15*EssentialMix,0)</f>
        <v/>
      </c>
      <c r="ZJ15" s="12">
        <f>ROUND(ZG15*PremiumMix,0)</f>
        <v/>
      </c>
      <c r="ZK15" s="12">
        <f>ZG15-ZI15-ZJ15</f>
        <v/>
      </c>
      <c r="ZL15" s="12">
        <f>ROUND(ZH15*EssentialMix,0)</f>
        <v/>
      </c>
      <c r="ZM15" s="12">
        <f>ROUND(ZH15*PremiumMix,0)</f>
        <v/>
      </c>
      <c r="ZN15" s="12">
        <f>ZH15-ZL15-ZM15</f>
        <v/>
      </c>
      <c r="ZO15" s="12">
        <f>ZI15+ZI14+ZI13+MAX(0,ZO14-ZI14-ZI13)*(1-ZB15)</f>
        <v/>
      </c>
      <c r="ZP15" s="12">
        <f>ZJ15+ZJ14+ZJ13+MAX(0,ZP14-ZJ14-ZJ13)*(1-ZB15)</f>
        <v/>
      </c>
      <c r="ZQ15" s="12">
        <f>ZK15+ZK14+ZK13+MAX(0,ZQ14-ZK14-ZK13)*(1-ZB15)</f>
        <v/>
      </c>
      <c r="ZR15" s="12">
        <f>SUM(ZL$5:ZL15)</f>
        <v/>
      </c>
      <c r="ZS15" s="12">
        <f>SUM(ZM$5:ZM15)</f>
        <v/>
      </c>
      <c r="ZT15" s="12">
        <f>SUM(ZN$5:ZN15)</f>
        <v/>
      </c>
      <c r="ZU15" s="12">
        <f>ZO15+ZP15+ZQ15+ZR15+ZS15+ZT15</f>
        <v/>
      </c>
      <c r="ZV15" s="9">
        <f>ZO15*BlendedPriceEssMonthly*ZA15+ZP15*BlendedPricePremMonthly*ZA15+ZQ15*BlendedPriceEliteMonthly*ZA15+ZR15*BlendedPriceEssAnnual*ZA15/12+ZS15*BlendedPricePremAnnual*ZA15/12+ZT15*BlendedPriceEliteAnnual*ZA15/12</f>
        <v/>
      </c>
      <c r="ZW15" s="9">
        <f>ZV15*12</f>
        <v/>
      </c>
      <c r="ZX15" s="12">
        <f>ZO15*BlendedPriceEssMonthly*ZA15+ZP15*BlendedPricePremMonthly*ZA15+ZQ15*BlendedPriceEliteMonthly*ZA15</f>
        <v/>
      </c>
      <c r="ZY15" s="12">
        <f>ZL15*BlendedPriceEssAnnual*ZA15+ZM15*BlendedPricePremAnnual*ZA15+ZN15*BlendedPriceEliteAnnual*ZA15</f>
        <v/>
      </c>
      <c r="ZZ15" s="12">
        <f>0+0+0</f>
        <v/>
      </c>
      <c r="AAA15" s="9">
        <f>ZX15+ZY15+ZZ15</f>
        <v/>
      </c>
      <c r="AAB15" s="12">
        <f>SUM(AAA$5:AAA15)</f>
        <v/>
      </c>
      <c r="AAC15" s="12">
        <f>OR(AAC14,IF(VATAgentMode,SUM($AAA$5:$AAA15)-SUM($AAH$5:$AAH15)&gt;=VATThreshold,SUM($AAA$5:$AAA15)&gt;=VATThreshold))</f>
        <v/>
      </c>
      <c r="AAD15" s="9">
        <f>IF(AAC15,IF(VATAgentMode,AAA15-((AAA15-AAH15)-(AAA15-AAH15)/(1+VATRate)),AAA15/(1+VATRate)),AAA15)</f>
        <v/>
      </c>
      <c r="AAE15" s="12">
        <f>AAA15-AAD15</f>
        <v/>
      </c>
      <c r="AAF15" s="12">
        <f>IF(AAC15=0,0,IF(YX15=1,SUMPRODUCT(--(($YY$5:$YY15=$YY15-1)*($YX$5:$YX15&gt;=10)*($YX$5:$YX15&lt;=12)),$AAE$5:$AAE15),IF(YX15=4,SUMPRODUCT(--(($YY$5:$YY15=$YY15)*($YX$5:$YX15&gt;=1)*($YX$5:$YX15&lt;=3)),$AAE$5:$AAE15),IF(YX15=7,SUMPRODUCT(--(($YY$5:$YY15=$YY15)*($YX$5:$YX15&gt;=4)*($YX$5:$YX15&lt;=6)),$AAE$5:$AAE15),IF(YX15=10,SUMPRODUCT(--(($YY$5:$YY15=$YY15)*($YX$5:$YX15&gt;=7)*($YX$5:$YX15&lt;=9)),$AAE$5:$AAE15),0)))))</f>
        <v/>
      </c>
      <c r="AAG15" s="12">
        <f>AAG14+AAE15-AAF15</f>
        <v/>
      </c>
      <c r="AAH15" s="12">
        <f>IF(ProviderDelay&gt;=1,ZO14*BlendedProvPayEss+ZP14*BlendedProvPayPrem+ZQ14*BlendedProvPayElite+ZR14*BlendedProvPayEss+ZS14*BlendedProvPayPrem+ZT14*BlendedProvPayElite,ZO15*BlendedProvPayEss+ZP15*BlendedProvPayPrem+ZQ15*BlendedProvPayElite+ZR15*BlendedProvPayEss+ZS15*BlendedProvPayPrem+ZT15*BlendedProvPayElite)</f>
        <v/>
      </c>
      <c r="AAI15" s="12">
        <f>AAA15*PaymentFee</f>
        <v/>
      </c>
      <c r="AAJ15" s="12">
        <f>ZU15*OpsAI</f>
        <v/>
      </c>
      <c r="AAK15" s="12">
        <f>MonthlyFixed</f>
        <v/>
      </c>
      <c r="AAL15" s="12">
        <f>ZE15*ReferralReward</f>
        <v/>
      </c>
      <c r="AAM15" s="12">
        <f>ZC15</f>
        <v/>
      </c>
      <c r="AAN15" s="9">
        <f>AAD15-AAH15-AAI15-AAJ15-AAK15-AAL15-AAM15</f>
        <v/>
      </c>
      <c r="AAO15" s="9">
        <f>AAO14+AAA15-(AAH15+AAI15+AAJ15+AAK15+AAL15+AAM15+AAF15)</f>
        <v/>
      </c>
      <c r="AAP15" s="12">
        <f>IF(ZU15&gt;0,ZV15/ZU15,0)</f>
        <v/>
      </c>
      <c r="AAQ15" s="11">
        <f>IF(ZU14&gt;0,MAX(0,(ZU14+ZF15-ZU15)/ZU14),0)</f>
        <v/>
      </c>
      <c r="AAS15" s="12" t="n">
        <v>11</v>
      </c>
      <c r="AAT15" s="12">
        <f>MOD(AAS15-1+LaunchMonth-1,12)+1</f>
        <v/>
      </c>
      <c r="AAU15" s="12">
        <f>INT((AAS15-1+LaunchMonth-1)/12)+1</f>
        <v/>
      </c>
      <c r="AAV15" s="12">
        <f>VLOOKUP(AAT15,SeasonTable,2,FALSE)</f>
        <v/>
      </c>
      <c r="AAW15" s="12">
        <f>(1+InflationRate)^INT((AAS15-1)/12)</f>
        <v/>
      </c>
      <c r="AAX15" s="11">
        <f>MonthlyChurn*VLOOKUP(AAT15,ChurnSeasonTable,4,FALSE)</f>
        <v/>
      </c>
      <c r="AAY15" s="12">
        <f>MIN(MAX(MktMin7_12,ABW14*MktPct7_12),MAX(0,ACK14-CashBuffer))</f>
        <v/>
      </c>
      <c r="AAZ15" s="12">
        <f>IF(AAY15&gt;0,MAX(1,ROUND(AAY15/CAC*AAV15,0)),0)</f>
        <v/>
      </c>
      <c r="ABA15" s="12">
        <f>IF(AAZ15&gt;0,ROUND(AAZ15*ReferralMix/(1-ReferralMix),0),0)</f>
        <v/>
      </c>
      <c r="ABB15" s="12">
        <f>AAZ15+ABA15</f>
        <v/>
      </c>
      <c r="ABC15" s="12">
        <f>ROUND(ABB15*(1-'Sens - Annual Mix'!$A$12),0)</f>
        <v/>
      </c>
      <c r="ABD15" s="12">
        <f>ABB15-ABC15</f>
        <v/>
      </c>
      <c r="ABE15" s="12">
        <f>ROUND(ABC15*EssentialMix,0)</f>
        <v/>
      </c>
      <c r="ABF15" s="12">
        <f>ROUND(ABC15*PremiumMix,0)</f>
        <v/>
      </c>
      <c r="ABG15" s="12">
        <f>ABC15-ABE15-ABF15</f>
        <v/>
      </c>
      <c r="ABH15" s="12">
        <f>ROUND(ABD15*EssentialMix,0)</f>
        <v/>
      </c>
      <c r="ABI15" s="12">
        <f>ROUND(ABD15*PremiumMix,0)</f>
        <v/>
      </c>
      <c r="ABJ15" s="12">
        <f>ABD15-ABH15-ABI15</f>
        <v/>
      </c>
      <c r="ABK15" s="12">
        <f>ABE15+ABE14+ABE13+MAX(0,ABK14-ABE14-ABE13)*(1-AAX15)</f>
        <v/>
      </c>
      <c r="ABL15" s="12">
        <f>ABF15+ABF14+ABF13+MAX(0,ABL14-ABF14-ABF13)*(1-AAX15)</f>
        <v/>
      </c>
      <c r="ABM15" s="12">
        <f>ABG15+ABG14+ABG13+MAX(0,ABM14-ABG14-ABG13)*(1-AAX15)</f>
        <v/>
      </c>
      <c r="ABN15" s="12">
        <f>SUM(ABH$5:ABH15)</f>
        <v/>
      </c>
      <c r="ABO15" s="12">
        <f>SUM(ABI$5:ABI15)</f>
        <v/>
      </c>
      <c r="ABP15" s="12">
        <f>SUM(ABJ$5:ABJ15)</f>
        <v/>
      </c>
      <c r="ABQ15" s="12">
        <f>ABK15+ABL15+ABM15+ABN15+ABO15+ABP15</f>
        <v/>
      </c>
      <c r="ABR15" s="9">
        <f>ABK15*BlendedPriceEssMonthly*AAW15+ABL15*BlendedPricePremMonthly*AAW15+ABM15*BlendedPriceEliteMonthly*AAW15+ABN15*BlendedPriceEssAnnual*AAW15/12+ABO15*BlendedPricePremAnnual*AAW15/12+ABP15*BlendedPriceEliteAnnual*AAW15/12</f>
        <v/>
      </c>
      <c r="ABS15" s="9">
        <f>ABR15*12</f>
        <v/>
      </c>
      <c r="ABT15" s="12">
        <f>ABK15*BlendedPriceEssMonthly*AAW15+ABL15*BlendedPricePremMonthly*AAW15+ABM15*BlendedPriceEliteMonthly*AAW15</f>
        <v/>
      </c>
      <c r="ABU15" s="12">
        <f>ABH15*BlendedPriceEssAnnual*AAW15+ABI15*BlendedPricePremAnnual*AAW15+ABJ15*BlendedPriceEliteAnnual*AAW15</f>
        <v/>
      </c>
      <c r="ABV15" s="12">
        <f>0+0+0</f>
        <v/>
      </c>
      <c r="ABW15" s="9">
        <f>ABT15+ABU15+ABV15</f>
        <v/>
      </c>
      <c r="ABX15" s="12">
        <f>SUM(ABW$5:ABW15)</f>
        <v/>
      </c>
      <c r="ABY15" s="12">
        <f>OR(ABY14,IF(VATAgentMode,SUM($ABW$5:$ABW15)-SUM($ACD$5:$ACD15)&gt;=VATThreshold,SUM($ABW$5:$ABW15)&gt;=VATThreshold))</f>
        <v/>
      </c>
      <c r="ABZ15" s="9">
        <f>IF(ABY15,IF(VATAgentMode,ABW15-((ABW15-ACD15)-(ABW15-ACD15)/(1+VATRate)),ABW15/(1+VATRate)),ABW15)</f>
        <v/>
      </c>
      <c r="ACA15" s="12">
        <f>ABW15-ABZ15</f>
        <v/>
      </c>
      <c r="ACB15" s="12">
        <f>IF(ABY15=0,0,IF(AAT15=1,SUMPRODUCT(--(($AAU$5:$AAU15=$AAU15-1)*($AAT$5:$AAT15&gt;=10)*($AAT$5:$AAT15&lt;=12)),$ACA$5:$ACA15),IF(AAT15=4,SUMPRODUCT(--(($AAU$5:$AAU15=$AAU15)*($AAT$5:$AAT15&gt;=1)*($AAT$5:$AAT15&lt;=3)),$ACA$5:$ACA15),IF(AAT15=7,SUMPRODUCT(--(($AAU$5:$AAU15=$AAU15)*($AAT$5:$AAT15&gt;=4)*($AAT$5:$AAT15&lt;=6)),$ACA$5:$ACA15),IF(AAT15=10,SUMPRODUCT(--(($AAU$5:$AAU15=$AAU15)*($AAT$5:$AAT15&gt;=7)*($AAT$5:$AAT15&lt;=9)),$ACA$5:$ACA15),0)))))</f>
        <v/>
      </c>
      <c r="ACC15" s="12">
        <f>ACC14+ACA15-ACB15</f>
        <v/>
      </c>
      <c r="ACD15" s="12">
        <f>IF(ProviderDelay&gt;=1,ABK14*BlendedProvPayEss+ABL14*BlendedProvPayPrem+ABM14*BlendedProvPayElite+ABN14*BlendedProvPayEss+ABO14*BlendedProvPayPrem+ABP14*BlendedProvPayElite,ABK15*BlendedProvPayEss+ABL15*BlendedProvPayPrem+ABM15*BlendedProvPayElite+ABN15*BlendedProvPayEss+ABO15*BlendedProvPayPrem+ABP15*BlendedProvPayElite)</f>
        <v/>
      </c>
      <c r="ACE15" s="12">
        <f>ABW15*PaymentFee</f>
        <v/>
      </c>
      <c r="ACF15" s="12">
        <f>ABQ15*OpsAI</f>
        <v/>
      </c>
      <c r="ACG15" s="12">
        <f>MonthlyFixed</f>
        <v/>
      </c>
      <c r="ACH15" s="12">
        <f>ABA15*ReferralReward</f>
        <v/>
      </c>
      <c r="ACI15" s="12">
        <f>AAY15</f>
        <v/>
      </c>
      <c r="ACJ15" s="9">
        <f>ABZ15-ACD15-ACE15-ACF15-ACG15-ACH15-ACI15</f>
        <v/>
      </c>
      <c r="ACK15" s="9">
        <f>ACK14+ABW15-(ACD15+ACE15+ACF15+ACG15+ACH15+ACI15+ACB15)</f>
        <v/>
      </c>
      <c r="ACL15" s="12">
        <f>IF(ABQ15&gt;0,ABR15/ABQ15,0)</f>
        <v/>
      </c>
      <c r="ACM15" s="11">
        <f>IF(ABQ14&gt;0,MAX(0,(ABQ14+ABB15-ABQ15)/ABQ14),0)</f>
        <v/>
      </c>
      <c r="ACO15" s="12" t="n">
        <v>11</v>
      </c>
      <c r="ACP15" s="12">
        <f>MOD(ACO15-1+LaunchMonth-1,12)+1</f>
        <v/>
      </c>
      <c r="ACQ15" s="12">
        <f>INT((ACO15-1+LaunchMonth-1)/12)+1</f>
        <v/>
      </c>
      <c r="ACR15" s="12">
        <f>VLOOKUP(ACP15,SeasonTable,2,FALSE)</f>
        <v/>
      </c>
      <c r="ACS15" s="12">
        <f>(1+InflationRate)^INT((ACO15-1)/12)</f>
        <v/>
      </c>
      <c r="ACT15" s="11">
        <f>MonthlyChurn*VLOOKUP(ACP15,ChurnSeasonTable,4,FALSE)</f>
        <v/>
      </c>
      <c r="ACU15" s="12">
        <f>MIN(MAX(MktMin7_12,ADS14*MktPct7_12),MAX(0,AEG14-CashBuffer))</f>
        <v/>
      </c>
      <c r="ACV15" s="12">
        <f>IF(ACU15&gt;0,MAX(1,ROUND(ACU15/CAC*ACR15,0)),0)</f>
        <v/>
      </c>
      <c r="ACW15" s="12">
        <f>IF(ACV15&gt;0,ROUND(ACV15*ReferralMix/(1-ReferralMix),0),0)</f>
        <v/>
      </c>
      <c r="ACX15" s="12">
        <f>ACV15+ACW15</f>
        <v/>
      </c>
      <c r="ACY15" s="12">
        <f>ROUND(ACX15*(1-'Sens - Annual Mix'!$A$13),0)</f>
        <v/>
      </c>
      <c r="ACZ15" s="12">
        <f>ACX15-ACY15</f>
        <v/>
      </c>
      <c r="ADA15" s="12">
        <f>ROUND(ACY15*EssentialMix,0)</f>
        <v/>
      </c>
      <c r="ADB15" s="12">
        <f>ROUND(ACY15*PremiumMix,0)</f>
        <v/>
      </c>
      <c r="ADC15" s="12">
        <f>ACY15-ADA15-ADB15</f>
        <v/>
      </c>
      <c r="ADD15" s="12">
        <f>ROUND(ACZ15*EssentialMix,0)</f>
        <v/>
      </c>
      <c r="ADE15" s="12">
        <f>ROUND(ACZ15*PremiumMix,0)</f>
        <v/>
      </c>
      <c r="ADF15" s="12">
        <f>ACZ15-ADD15-ADE15</f>
        <v/>
      </c>
      <c r="ADG15" s="12">
        <f>ADA15+ADA14+ADA13+MAX(0,ADG14-ADA14-ADA13)*(1-ACT15)</f>
        <v/>
      </c>
      <c r="ADH15" s="12">
        <f>ADB15+ADB14+ADB13+MAX(0,ADH14-ADB14-ADB13)*(1-ACT15)</f>
        <v/>
      </c>
      <c r="ADI15" s="12">
        <f>ADC15+ADC14+ADC13+MAX(0,ADI14-ADC14-ADC13)*(1-ACT15)</f>
        <v/>
      </c>
      <c r="ADJ15" s="12">
        <f>SUM(ADD$5:ADD15)</f>
        <v/>
      </c>
      <c r="ADK15" s="12">
        <f>SUM(ADE$5:ADE15)</f>
        <v/>
      </c>
      <c r="ADL15" s="12">
        <f>SUM(ADF$5:ADF15)</f>
        <v/>
      </c>
      <c r="ADM15" s="12">
        <f>ADG15+ADH15+ADI15+ADJ15+ADK15+ADL15</f>
        <v/>
      </c>
      <c r="ADN15" s="9">
        <f>ADG15*BlendedPriceEssMonthly*ACS15+ADH15*BlendedPricePremMonthly*ACS15+ADI15*BlendedPriceEliteMonthly*ACS15+ADJ15*BlendedPriceEssAnnual*ACS15/12+ADK15*BlendedPricePremAnnual*ACS15/12+ADL15*BlendedPriceEliteAnnual*ACS15/12</f>
        <v/>
      </c>
      <c r="ADO15" s="9">
        <f>ADN15*12</f>
        <v/>
      </c>
      <c r="ADP15" s="12">
        <f>ADG15*BlendedPriceEssMonthly*ACS15+ADH15*BlendedPricePremMonthly*ACS15+ADI15*BlendedPriceEliteMonthly*ACS15</f>
        <v/>
      </c>
      <c r="ADQ15" s="12">
        <f>ADD15*BlendedPriceEssAnnual*ACS15+ADE15*BlendedPricePremAnnual*ACS15+ADF15*BlendedPriceEliteAnnual*ACS15</f>
        <v/>
      </c>
      <c r="ADR15" s="12">
        <f>0+0+0</f>
        <v/>
      </c>
      <c r="ADS15" s="9">
        <f>ADP15+ADQ15+ADR15</f>
        <v/>
      </c>
      <c r="ADT15" s="12">
        <f>SUM(ADS$5:ADS15)</f>
        <v/>
      </c>
      <c r="ADU15" s="12">
        <f>OR(ADU14,IF(VATAgentMode,SUM($ADS$5:$ADS15)-SUM($ADZ$5:$ADZ15)&gt;=VATThreshold,SUM($ADS$5:$ADS15)&gt;=VATThreshold))</f>
        <v/>
      </c>
      <c r="ADV15" s="9">
        <f>IF(ADU15,IF(VATAgentMode,ADS15-((ADS15-ADZ15)-(ADS15-ADZ15)/(1+VATRate)),ADS15/(1+VATRate)),ADS15)</f>
        <v/>
      </c>
      <c r="ADW15" s="12">
        <f>ADS15-ADV15</f>
        <v/>
      </c>
      <c r="ADX15" s="12">
        <f>IF(ADU15=0,0,IF(ACP15=1,SUMPRODUCT(--(($ACQ$5:$ACQ15=$ACQ15-1)*($ACP$5:$ACP15&gt;=10)*($ACP$5:$ACP15&lt;=12)),$ADW$5:$ADW15),IF(ACP15=4,SUMPRODUCT(--(($ACQ$5:$ACQ15=$ACQ15)*($ACP$5:$ACP15&gt;=1)*($ACP$5:$ACP15&lt;=3)),$ADW$5:$ADW15),IF(ACP15=7,SUMPRODUCT(--(($ACQ$5:$ACQ15=$ACQ15)*($ACP$5:$ACP15&gt;=4)*($ACP$5:$ACP15&lt;=6)),$ADW$5:$ADW15),IF(ACP15=10,SUMPRODUCT(--(($ACQ$5:$ACQ15=$ACQ15)*($ACP$5:$ACP15&gt;=7)*($ACP$5:$ACP15&lt;=9)),$ADW$5:$ADW15),0)))))</f>
        <v/>
      </c>
      <c r="ADY15" s="12">
        <f>ADY14+ADW15-ADX15</f>
        <v/>
      </c>
      <c r="ADZ15" s="12">
        <f>IF(ProviderDelay&gt;=1,ADG14*BlendedProvPayEss+ADH14*BlendedProvPayPrem+ADI14*BlendedProvPayElite+ADJ14*BlendedProvPayEss+ADK14*BlendedProvPayPrem+ADL14*BlendedProvPayElite,ADG15*BlendedProvPayEss+ADH15*BlendedProvPayPrem+ADI15*BlendedProvPayElite+ADJ15*BlendedProvPayEss+ADK15*BlendedProvPayPrem+ADL15*BlendedProvPayElite)</f>
        <v/>
      </c>
      <c r="AEA15" s="12">
        <f>ADS15*PaymentFee</f>
        <v/>
      </c>
      <c r="AEB15" s="12">
        <f>ADM15*OpsAI</f>
        <v/>
      </c>
      <c r="AEC15" s="12">
        <f>MonthlyFixed</f>
        <v/>
      </c>
      <c r="AED15" s="12">
        <f>ACW15*ReferralReward</f>
        <v/>
      </c>
      <c r="AEE15" s="12">
        <f>ACU15</f>
        <v/>
      </c>
      <c r="AEF15" s="9">
        <f>ADV15-ADZ15-AEA15-AEB15-AEC15-AED15-AEE15</f>
        <v/>
      </c>
      <c r="AEG15" s="9">
        <f>AEG14+ADS15-(ADZ15+AEA15+AEB15+AEC15+AED15+AEE15+ADX15)</f>
        <v/>
      </c>
      <c r="AEH15" s="12">
        <f>IF(ADM15&gt;0,ADN15/ADM15,0)</f>
        <v/>
      </c>
      <c r="AEI15" s="11">
        <f>IF(ADM14&gt;0,MAX(0,(ADM14+ACX15-ADM15)/ADM14),0)</f>
        <v/>
      </c>
      <c r="AEK15" s="12" t="n">
        <v>11</v>
      </c>
      <c r="AEL15" s="12">
        <f>MOD(AEK15-1+LaunchMonth-1,12)+1</f>
        <v/>
      </c>
      <c r="AEM15" s="12">
        <f>INT((AEK15-1+LaunchMonth-1)/12)+1</f>
        <v/>
      </c>
      <c r="AEN15" s="12">
        <f>VLOOKUP(AEL15,SeasonTable,2,FALSE)</f>
        <v/>
      </c>
      <c r="AEO15" s="12">
        <f>(1+InflationRate)^INT((AEK15-1)/12)</f>
        <v/>
      </c>
      <c r="AEP15" s="11">
        <f>MonthlyChurn*VLOOKUP(AEL15,ChurnSeasonTable,4,FALSE)</f>
        <v/>
      </c>
      <c r="AEQ15" s="12">
        <f>MIN(MAX(MktMin7_12,AFO14*MktPct7_12),MAX(0,AGC14-CashBuffer))</f>
        <v/>
      </c>
      <c r="AER15" s="12">
        <f>IF(AEQ15&gt;0,MAX(1,ROUND(AEQ15/CAC*AEN15,0)),0)</f>
        <v/>
      </c>
      <c r="AES15" s="12">
        <f>IF(AER15&gt;0,ROUND(AER15*ReferralMix/(1-ReferralMix),0),0)</f>
        <v/>
      </c>
      <c r="AET15" s="12">
        <f>AER15+AES15</f>
        <v/>
      </c>
      <c r="AEU15" s="12">
        <f>ROUND(AET15*(1-'Sens - Annual Mix'!$A$14),0)</f>
        <v/>
      </c>
      <c r="AEV15" s="12">
        <f>AET15-AEU15</f>
        <v/>
      </c>
      <c r="AEW15" s="12">
        <f>ROUND(AEU15*EssentialMix,0)</f>
        <v/>
      </c>
      <c r="AEX15" s="12">
        <f>ROUND(AEU15*PremiumMix,0)</f>
        <v/>
      </c>
      <c r="AEY15" s="12">
        <f>AEU15-AEW15-AEX15</f>
        <v/>
      </c>
      <c r="AEZ15" s="12">
        <f>ROUND(AEV15*EssentialMix,0)</f>
        <v/>
      </c>
      <c r="AFA15" s="12">
        <f>ROUND(AEV15*PremiumMix,0)</f>
        <v/>
      </c>
      <c r="AFB15" s="12">
        <f>AEV15-AEZ15-AFA15</f>
        <v/>
      </c>
      <c r="AFC15" s="12">
        <f>AEW15+AEW14+AEW13+MAX(0,AFC14-AEW14-AEW13)*(1-AEP15)</f>
        <v/>
      </c>
      <c r="AFD15" s="12">
        <f>AEX15+AEX14+AEX13+MAX(0,AFD14-AEX14-AEX13)*(1-AEP15)</f>
        <v/>
      </c>
      <c r="AFE15" s="12">
        <f>AEY15+AEY14+AEY13+MAX(0,AFE14-AEY14-AEY13)*(1-AEP15)</f>
        <v/>
      </c>
      <c r="AFF15" s="12">
        <f>SUM(AEZ$5:AEZ15)</f>
        <v/>
      </c>
      <c r="AFG15" s="12">
        <f>SUM(AFA$5:AFA15)</f>
        <v/>
      </c>
      <c r="AFH15" s="12">
        <f>SUM(AFB$5:AFB15)</f>
        <v/>
      </c>
      <c r="AFI15" s="12">
        <f>AFC15+AFD15+AFE15+AFF15+AFG15+AFH15</f>
        <v/>
      </c>
      <c r="AFJ15" s="9">
        <f>AFC15*BlendedPriceEssMonthly*AEO15+AFD15*BlendedPricePremMonthly*AEO15+AFE15*BlendedPriceEliteMonthly*AEO15+AFF15*BlendedPriceEssAnnual*AEO15/12+AFG15*BlendedPricePremAnnual*AEO15/12+AFH15*BlendedPriceEliteAnnual*AEO15/12</f>
        <v/>
      </c>
      <c r="AFK15" s="9">
        <f>AFJ15*12</f>
        <v/>
      </c>
      <c r="AFL15" s="12">
        <f>AFC15*BlendedPriceEssMonthly*AEO15+AFD15*BlendedPricePremMonthly*AEO15+AFE15*BlendedPriceEliteMonthly*AEO15</f>
        <v/>
      </c>
      <c r="AFM15" s="12">
        <f>AEZ15*BlendedPriceEssAnnual*AEO15+AFA15*BlendedPricePremAnnual*AEO15+AFB15*BlendedPriceEliteAnnual*AEO15</f>
        <v/>
      </c>
      <c r="AFN15" s="12">
        <f>0+0+0</f>
        <v/>
      </c>
      <c r="AFO15" s="9">
        <f>AFL15+AFM15+AFN15</f>
        <v/>
      </c>
      <c r="AFP15" s="12">
        <f>SUM(AFO$5:AFO15)</f>
        <v/>
      </c>
      <c r="AFQ15" s="12">
        <f>OR(AFQ14,IF(VATAgentMode,SUM($AFO$5:$AFO15)-SUM($AFV$5:$AFV15)&gt;=VATThreshold,SUM($AFO$5:$AFO15)&gt;=VATThreshold))</f>
        <v/>
      </c>
      <c r="AFR15" s="9">
        <f>IF(AFQ15,IF(VATAgentMode,AFO15-((AFO15-AFV15)-(AFO15-AFV15)/(1+VATRate)),AFO15/(1+VATRate)),AFO15)</f>
        <v/>
      </c>
      <c r="AFS15" s="12">
        <f>AFO15-AFR15</f>
        <v/>
      </c>
      <c r="AFT15" s="12">
        <f>IF(AFQ15=0,0,IF(AEL15=1,SUMPRODUCT(--(($AEM$5:$AEM15=$AEM15-1)*($AEL$5:$AEL15&gt;=10)*($AEL$5:$AEL15&lt;=12)),$AFS$5:$AFS15),IF(AEL15=4,SUMPRODUCT(--(($AEM$5:$AEM15=$AEM15)*($AEL$5:$AEL15&gt;=1)*($AEL$5:$AEL15&lt;=3)),$AFS$5:$AFS15),IF(AEL15=7,SUMPRODUCT(--(($AEM$5:$AEM15=$AEM15)*($AEL$5:$AEL15&gt;=4)*($AEL$5:$AEL15&lt;=6)),$AFS$5:$AFS15),IF(AEL15=10,SUMPRODUCT(--(($AEM$5:$AEM15=$AEM15)*($AEL$5:$AEL15&gt;=7)*($AEL$5:$AEL15&lt;=9)),$AFS$5:$AFS15),0)))))</f>
        <v/>
      </c>
      <c r="AFU15" s="12">
        <f>AFU14+AFS15-AFT15</f>
        <v/>
      </c>
      <c r="AFV15" s="12">
        <f>IF(ProviderDelay&gt;=1,AFC14*BlendedProvPayEss+AFD14*BlendedProvPayPrem+AFE14*BlendedProvPayElite+AFF14*BlendedProvPayEss+AFG14*BlendedProvPayPrem+AFH14*BlendedProvPayElite,AFC15*BlendedProvPayEss+AFD15*BlendedProvPayPrem+AFE15*BlendedProvPayElite+AFF15*BlendedProvPayEss+AFG15*BlendedProvPayPrem+AFH15*BlendedProvPayElite)</f>
        <v/>
      </c>
      <c r="AFW15" s="12">
        <f>AFO15*PaymentFee</f>
        <v/>
      </c>
      <c r="AFX15" s="12">
        <f>AFI15*OpsAI</f>
        <v/>
      </c>
      <c r="AFY15" s="12">
        <f>MonthlyFixed</f>
        <v/>
      </c>
      <c r="AFZ15" s="12">
        <f>AES15*ReferralReward</f>
        <v/>
      </c>
      <c r="AGA15" s="12">
        <f>AEQ15</f>
        <v/>
      </c>
      <c r="AGB15" s="9">
        <f>AFR15-AFV15-AFW15-AFX15-AFY15-AFZ15-AGA15</f>
        <v/>
      </c>
      <c r="AGC15" s="9">
        <f>AGC14+AFO15-(AFV15+AFW15+AFX15+AFY15+AFZ15+AGA15+AFT15)</f>
        <v/>
      </c>
      <c r="AGD15" s="12">
        <f>IF(AFI15&gt;0,AFJ15/AFI15,0)</f>
        <v/>
      </c>
      <c r="AGE15" s="11">
        <f>IF(AFI14&gt;0,MAX(0,(AFI14+AET15-AFI15)/AFI14),0)</f>
        <v/>
      </c>
      <c r="AGG15" s="12" t="n">
        <v>11</v>
      </c>
      <c r="AGH15" s="12">
        <f>MOD(AGG15-1+LaunchMonth-1,12)+1</f>
        <v/>
      </c>
      <c r="AGI15" s="12">
        <f>INT((AGG15-1+LaunchMonth-1)/12)+1</f>
        <v/>
      </c>
      <c r="AGJ15" s="12">
        <f>VLOOKUP(AGH15,SeasonTable,2,FALSE)</f>
        <v/>
      </c>
      <c r="AGK15" s="12">
        <f>(1+InflationRate)^INT((AGG15-1)/12)</f>
        <v/>
      </c>
      <c r="AGL15" s="11">
        <f>MonthlyChurn*VLOOKUP(AGH15,ChurnSeasonTable,4,FALSE)</f>
        <v/>
      </c>
      <c r="AGM15" s="12">
        <f>MIN(MAX(MktMin7_12,AHK14*MktPct7_12),MAX(0,AHY14-CashBuffer))</f>
        <v/>
      </c>
      <c r="AGN15" s="12">
        <f>IF(AGM15&gt;0,MAX(1,ROUND(AGM15/CAC*AGJ15,0)),0)</f>
        <v/>
      </c>
      <c r="AGO15" s="12">
        <f>IF(AGN15&gt;0,ROUND(AGN15*ReferralMix/(1-ReferralMix),0),0)</f>
        <v/>
      </c>
      <c r="AGP15" s="12">
        <f>AGN15+AGO15</f>
        <v/>
      </c>
      <c r="AGQ15" s="12">
        <f>ROUND(AGP15*(1-'Sens - Annual Mix'!$A$15),0)</f>
        <v/>
      </c>
      <c r="AGR15" s="12">
        <f>AGP15-AGQ15</f>
        <v/>
      </c>
      <c r="AGS15" s="12">
        <f>ROUND(AGQ15*EssentialMix,0)</f>
        <v/>
      </c>
      <c r="AGT15" s="12">
        <f>ROUND(AGQ15*PremiumMix,0)</f>
        <v/>
      </c>
      <c r="AGU15" s="12">
        <f>AGQ15-AGS15-AGT15</f>
        <v/>
      </c>
      <c r="AGV15" s="12">
        <f>ROUND(AGR15*EssentialMix,0)</f>
        <v/>
      </c>
      <c r="AGW15" s="12">
        <f>ROUND(AGR15*PremiumMix,0)</f>
        <v/>
      </c>
      <c r="AGX15" s="12">
        <f>AGR15-AGV15-AGW15</f>
        <v/>
      </c>
      <c r="AGY15" s="12">
        <f>AGS15+AGS14+AGS13+MAX(0,AGY14-AGS14-AGS13)*(1-AGL15)</f>
        <v/>
      </c>
      <c r="AGZ15" s="12">
        <f>AGT15+AGT14+AGT13+MAX(0,AGZ14-AGT14-AGT13)*(1-AGL15)</f>
        <v/>
      </c>
      <c r="AHA15" s="12">
        <f>AGU15+AGU14+AGU13+MAX(0,AHA14-AGU14-AGU13)*(1-AGL15)</f>
        <v/>
      </c>
      <c r="AHB15" s="12">
        <f>SUM(AGV$5:AGV15)</f>
        <v/>
      </c>
      <c r="AHC15" s="12">
        <f>SUM(AGW$5:AGW15)</f>
        <v/>
      </c>
      <c r="AHD15" s="12">
        <f>SUM(AGX$5:AGX15)</f>
        <v/>
      </c>
      <c r="AHE15" s="12">
        <f>AGY15+AGZ15+AHA15+AHB15+AHC15+AHD15</f>
        <v/>
      </c>
      <c r="AHF15" s="9">
        <f>AGY15*BlendedPriceEssMonthly*AGK15+AGZ15*BlendedPricePremMonthly*AGK15+AHA15*BlendedPriceEliteMonthly*AGK15+AHB15*BlendedPriceEssAnnual*AGK15/12+AHC15*BlendedPricePremAnnual*AGK15/12+AHD15*BlendedPriceEliteAnnual*AGK15/12</f>
        <v/>
      </c>
      <c r="AHG15" s="9">
        <f>AHF15*12</f>
        <v/>
      </c>
      <c r="AHH15" s="12">
        <f>AGY15*BlendedPriceEssMonthly*AGK15+AGZ15*BlendedPricePremMonthly*AGK15+AHA15*BlendedPriceEliteMonthly*AGK15</f>
        <v/>
      </c>
      <c r="AHI15" s="12">
        <f>AGV15*BlendedPriceEssAnnual*AGK15+AGW15*BlendedPricePremAnnual*AGK15+AGX15*BlendedPriceEliteAnnual*AGK15</f>
        <v/>
      </c>
      <c r="AHJ15" s="12">
        <f>0+0+0</f>
        <v/>
      </c>
      <c r="AHK15" s="9">
        <f>AHH15+AHI15+AHJ15</f>
        <v/>
      </c>
      <c r="AHL15" s="12">
        <f>SUM(AHK$5:AHK15)</f>
        <v/>
      </c>
      <c r="AHM15" s="12">
        <f>OR(AHM14,IF(VATAgentMode,SUM($AHK$5:$AHK15)-SUM($AHR$5:$AHR15)&gt;=VATThreshold,SUM($AHK$5:$AHK15)&gt;=VATThreshold))</f>
        <v/>
      </c>
      <c r="AHN15" s="9">
        <f>IF(AHM15,IF(VATAgentMode,AHK15-((AHK15-AHR15)-(AHK15-AHR15)/(1+VATRate)),AHK15/(1+VATRate)),AHK15)</f>
        <v/>
      </c>
      <c r="AHO15" s="12">
        <f>AHK15-AHN15</f>
        <v/>
      </c>
      <c r="AHP15" s="12">
        <f>IF(AHM15=0,0,IF(AGH15=1,SUMPRODUCT(--(($AGI$5:$AGI15=$AGI15-1)*($AGH$5:$AGH15&gt;=10)*($AGH$5:$AGH15&lt;=12)),$AHO$5:$AHO15),IF(AGH15=4,SUMPRODUCT(--(($AGI$5:$AGI15=$AGI15)*($AGH$5:$AGH15&gt;=1)*($AGH$5:$AGH15&lt;=3)),$AHO$5:$AHO15),IF(AGH15=7,SUMPRODUCT(--(($AGI$5:$AGI15=$AGI15)*($AGH$5:$AGH15&gt;=4)*($AGH$5:$AGH15&lt;=6)),$AHO$5:$AHO15),IF(AGH15=10,SUMPRODUCT(--(($AGI$5:$AGI15=$AGI15)*($AGH$5:$AGH15&gt;=7)*($AGH$5:$AGH15&lt;=9)),$AHO$5:$AHO15),0)))))</f>
        <v/>
      </c>
      <c r="AHQ15" s="12">
        <f>AHQ14+AHO15-AHP15</f>
        <v/>
      </c>
      <c r="AHR15" s="12">
        <f>IF(ProviderDelay&gt;=1,AGY14*BlendedProvPayEss+AGZ14*BlendedProvPayPrem+AHA14*BlendedProvPayElite+AHB14*BlendedProvPayEss+AHC14*BlendedProvPayPrem+AHD14*BlendedProvPayElite,AGY15*BlendedProvPayEss+AGZ15*BlendedProvPayPrem+AHA15*BlendedProvPayElite+AHB15*BlendedProvPayEss+AHC15*BlendedProvPayPrem+AHD15*BlendedProvPayElite)</f>
        <v/>
      </c>
      <c r="AHS15" s="12">
        <f>AHK15*PaymentFee</f>
        <v/>
      </c>
      <c r="AHT15" s="12">
        <f>AHE15*OpsAI</f>
        <v/>
      </c>
      <c r="AHU15" s="12">
        <f>MonthlyFixed</f>
        <v/>
      </c>
      <c r="AHV15" s="12">
        <f>AGO15*ReferralReward</f>
        <v/>
      </c>
      <c r="AHW15" s="12">
        <f>AGM15</f>
        <v/>
      </c>
      <c r="AHX15" s="9">
        <f>AHN15-AHR15-AHS15-AHT15-AHU15-AHV15-AHW15</f>
        <v/>
      </c>
      <c r="AHY15" s="9">
        <f>AHY14+AHK15-(AHR15+AHS15+AHT15+AHU15+AHV15+AHW15+AHP15)</f>
        <v/>
      </c>
      <c r="AHZ15" s="12">
        <f>IF(AHE15&gt;0,AHF15/AHE15,0)</f>
        <v/>
      </c>
      <c r="AIA15" s="11">
        <f>IF(AHE14&gt;0,MAX(0,(AHE14+AGP15-AHE15)/AHE14),0)</f>
        <v/>
      </c>
      <c r="AIC15" s="12" t="n">
        <v>11</v>
      </c>
      <c r="AID15" s="12">
        <f>MOD(AIC15-1+LaunchMonth-1,12)+1</f>
        <v/>
      </c>
      <c r="AIE15" s="12">
        <f>INT((AIC15-1+LaunchMonth-1)/12)+1</f>
        <v/>
      </c>
      <c r="AIF15" s="12">
        <f>VLOOKUP(AID15,SeasonTable,2,FALSE)</f>
        <v/>
      </c>
      <c r="AIG15" s="12">
        <f>(1+InflationRate)^INT((AIC15-1)/12)</f>
        <v/>
      </c>
      <c r="AIH15" s="11">
        <f>MonthlyChurn*VLOOKUP(AID15,ChurnSeasonTable,4,FALSE)</f>
        <v/>
      </c>
      <c r="AII15" s="12">
        <f>MIN(MAX(MktMin7_12,AJG14*MktPct7_12),MAX(0,AJU14-CashBuffer))</f>
        <v/>
      </c>
      <c r="AIJ15" s="12">
        <f>IF(AII15&gt;0,MAX(1,ROUND(AII15/'Sens - CAC &amp; Marketing'!$A$9*AIF15,0)),0)</f>
        <v/>
      </c>
      <c r="AIK15" s="12">
        <f>IF(AIJ15&gt;0,ROUND(AIJ15*ReferralMix/(1-ReferralMix),0),0)</f>
        <v/>
      </c>
      <c r="AIL15" s="12">
        <f>AIJ15+AIK15</f>
        <v/>
      </c>
      <c r="AIM15" s="12">
        <f>ROUND(AIL15*(1-AnnualMix),0)</f>
        <v/>
      </c>
      <c r="AIN15" s="12">
        <f>AIL15-AIM15</f>
        <v/>
      </c>
      <c r="AIO15" s="12">
        <f>ROUND(AIM15*EssentialMix,0)</f>
        <v/>
      </c>
      <c r="AIP15" s="12">
        <f>ROUND(AIM15*PremiumMix,0)</f>
        <v/>
      </c>
      <c r="AIQ15" s="12">
        <f>AIM15-AIO15-AIP15</f>
        <v/>
      </c>
      <c r="AIR15" s="12">
        <f>ROUND(AIN15*EssentialMix,0)</f>
        <v/>
      </c>
      <c r="AIS15" s="12">
        <f>ROUND(AIN15*PremiumMix,0)</f>
        <v/>
      </c>
      <c r="AIT15" s="12">
        <f>AIN15-AIR15-AIS15</f>
        <v/>
      </c>
      <c r="AIU15" s="12">
        <f>AIO15+AIO14+AIO13+MAX(0,AIU14-AIO14-AIO13)*(1-AIH15)</f>
        <v/>
      </c>
      <c r="AIV15" s="12">
        <f>AIP15+AIP14+AIP13+MAX(0,AIV14-AIP14-AIP13)*(1-AIH15)</f>
        <v/>
      </c>
      <c r="AIW15" s="12">
        <f>AIQ15+AIQ14+AIQ13+MAX(0,AIW14-AIQ14-AIQ13)*(1-AIH15)</f>
        <v/>
      </c>
      <c r="AIX15" s="12">
        <f>SUM(AIR$5:AIR15)</f>
        <v/>
      </c>
      <c r="AIY15" s="12">
        <f>SUM(AIS$5:AIS15)</f>
        <v/>
      </c>
      <c r="AIZ15" s="12">
        <f>SUM(AIT$5:AIT15)</f>
        <v/>
      </c>
      <c r="AJA15" s="12">
        <f>AIU15+AIV15+AIW15+AIX15+AIY15+AIZ15</f>
        <v/>
      </c>
      <c r="AJB15" s="9">
        <f>AIU15*BlendedPriceEssMonthly*AIG15+AIV15*BlendedPricePremMonthly*AIG15+AIW15*BlendedPriceEliteMonthly*AIG15+AIX15*BlendedPriceEssAnnual*AIG15/12+AIY15*BlendedPricePremAnnual*AIG15/12+AIZ15*BlendedPriceEliteAnnual*AIG15/12</f>
        <v/>
      </c>
      <c r="AJC15" s="9">
        <f>AJB15*12</f>
        <v/>
      </c>
      <c r="AJD15" s="12">
        <f>AIU15*BlendedPriceEssMonthly*AIG15+AIV15*BlendedPricePremMonthly*AIG15+AIW15*BlendedPriceEliteMonthly*AIG15</f>
        <v/>
      </c>
      <c r="AJE15" s="12">
        <f>AIR15*BlendedPriceEssAnnual*AIG15+AIS15*BlendedPricePremAnnual*AIG15+AIT15*BlendedPriceEliteAnnual*AIG15</f>
        <v/>
      </c>
      <c r="AJF15" s="12">
        <f>0+0+0</f>
        <v/>
      </c>
      <c r="AJG15" s="9">
        <f>AJD15+AJE15+AJF15</f>
        <v/>
      </c>
      <c r="AJH15" s="12">
        <f>SUM(AJG$5:AJG15)</f>
        <v/>
      </c>
      <c r="AJI15" s="12">
        <f>OR(AJI14,IF(VATAgentMode,SUM($AJG$5:$AJG15)-SUM($AJN$5:$AJN15)&gt;=VATThreshold,SUM($AJG$5:$AJG15)&gt;=VATThreshold))</f>
        <v/>
      </c>
      <c r="AJJ15" s="9">
        <f>IF(AJI15,IF(VATAgentMode,AJG15-((AJG15-AJN15)-(AJG15-AJN15)/(1+VATRate)),AJG15/(1+VATRate)),AJG15)</f>
        <v/>
      </c>
      <c r="AJK15" s="12">
        <f>AJG15-AJJ15</f>
        <v/>
      </c>
      <c r="AJL15" s="12">
        <f>IF(AJI15=0,0,IF(AID15=1,SUMPRODUCT(--(($AIE$5:$AIE15=$AIE15-1)*($AID$5:$AID15&gt;=10)*($AID$5:$AID15&lt;=12)),$AJK$5:$AJK15),IF(AID15=4,SUMPRODUCT(--(($AIE$5:$AIE15=$AIE15)*($AID$5:$AID15&gt;=1)*($AID$5:$AID15&lt;=3)),$AJK$5:$AJK15),IF(AID15=7,SUMPRODUCT(--(($AIE$5:$AIE15=$AIE15)*($AID$5:$AID15&gt;=4)*($AID$5:$AID15&lt;=6)),$AJK$5:$AJK15),IF(AID15=10,SUMPRODUCT(--(($AIE$5:$AIE15=$AIE15)*($AID$5:$AID15&gt;=7)*($AID$5:$AID15&lt;=9)),$AJK$5:$AJK15),0)))))</f>
        <v/>
      </c>
      <c r="AJM15" s="12">
        <f>AJM14+AJK15-AJL15</f>
        <v/>
      </c>
      <c r="AJN15" s="12">
        <f>IF(ProviderDelay&gt;=1,AIU14*BlendedProvPayEss+AIV14*BlendedProvPayPrem+AIW14*BlendedProvPayElite+AIX14*BlendedProvPayEss+AIY14*BlendedProvPayPrem+AIZ14*BlendedProvPayElite,AIU15*BlendedProvPayEss+AIV15*BlendedProvPayPrem+AIW15*BlendedProvPayElite+AIX15*BlendedProvPayEss+AIY15*BlendedProvPayPrem+AIZ15*BlendedProvPayElite)</f>
        <v/>
      </c>
      <c r="AJO15" s="12">
        <f>AJG15*PaymentFee</f>
        <v/>
      </c>
      <c r="AJP15" s="12">
        <f>AJA15*OpsAI</f>
        <v/>
      </c>
      <c r="AJQ15" s="12">
        <f>MonthlyFixed</f>
        <v/>
      </c>
      <c r="AJR15" s="12">
        <f>AIK15*ReferralReward</f>
        <v/>
      </c>
      <c r="AJS15" s="12">
        <f>AII15</f>
        <v/>
      </c>
      <c r="AJT15" s="9">
        <f>AJJ15-AJN15-AJO15-AJP15-AJQ15-AJR15-AJS15</f>
        <v/>
      </c>
      <c r="AJU15" s="9">
        <f>AJU14+AJG15-(AJN15+AJO15+AJP15+AJQ15+AJR15+AJS15+AJL15)</f>
        <v/>
      </c>
      <c r="AJV15" s="12">
        <f>IF(AJA15&gt;0,AJB15/AJA15,0)</f>
        <v/>
      </c>
      <c r="AJW15" s="11">
        <f>IF(AJA14&gt;0,MAX(0,(AJA14+AIL15-AJA15)/AJA14),0)</f>
        <v/>
      </c>
      <c r="AJY15" s="12" t="n">
        <v>11</v>
      </c>
      <c r="AJZ15" s="12">
        <f>MOD(AJY15-1+LaunchMonth-1,12)+1</f>
        <v/>
      </c>
      <c r="AKA15" s="12">
        <f>INT((AJY15-1+LaunchMonth-1)/12)+1</f>
        <v/>
      </c>
      <c r="AKB15" s="12">
        <f>VLOOKUP(AJZ15,SeasonTable,2,FALSE)</f>
        <v/>
      </c>
      <c r="AKC15" s="12">
        <f>(1+InflationRate)^INT((AJY15-1)/12)</f>
        <v/>
      </c>
      <c r="AKD15" s="11">
        <f>MonthlyChurn*VLOOKUP(AJZ15,ChurnSeasonTable,4,FALSE)</f>
        <v/>
      </c>
      <c r="AKE15" s="12">
        <f>MIN(MAX(MktMin7_12,ALC14*MktPct7_12),MAX(0,ALQ14-CashBuffer))</f>
        <v/>
      </c>
      <c r="AKF15" s="12">
        <f>IF(AKE15&gt;0,MAX(1,ROUND(AKE15/'Sens - CAC &amp; Marketing'!$A$10*AKB15,0)),0)</f>
        <v/>
      </c>
      <c r="AKG15" s="12">
        <f>IF(AKF15&gt;0,ROUND(AKF15*ReferralMix/(1-ReferralMix),0),0)</f>
        <v/>
      </c>
      <c r="AKH15" s="12">
        <f>AKF15+AKG15</f>
        <v/>
      </c>
      <c r="AKI15" s="12">
        <f>ROUND(AKH15*(1-AnnualMix),0)</f>
        <v/>
      </c>
      <c r="AKJ15" s="12">
        <f>AKH15-AKI15</f>
        <v/>
      </c>
      <c r="AKK15" s="12">
        <f>ROUND(AKI15*EssentialMix,0)</f>
        <v/>
      </c>
      <c r="AKL15" s="12">
        <f>ROUND(AKI15*PremiumMix,0)</f>
        <v/>
      </c>
      <c r="AKM15" s="12">
        <f>AKI15-AKK15-AKL15</f>
        <v/>
      </c>
      <c r="AKN15" s="12">
        <f>ROUND(AKJ15*EssentialMix,0)</f>
        <v/>
      </c>
      <c r="AKO15" s="12">
        <f>ROUND(AKJ15*PremiumMix,0)</f>
        <v/>
      </c>
      <c r="AKP15" s="12">
        <f>AKJ15-AKN15-AKO15</f>
        <v/>
      </c>
      <c r="AKQ15" s="12">
        <f>AKK15+AKK14+AKK13+MAX(0,AKQ14-AKK14-AKK13)*(1-AKD15)</f>
        <v/>
      </c>
      <c r="AKR15" s="12">
        <f>AKL15+AKL14+AKL13+MAX(0,AKR14-AKL14-AKL13)*(1-AKD15)</f>
        <v/>
      </c>
      <c r="AKS15" s="12">
        <f>AKM15+AKM14+AKM13+MAX(0,AKS14-AKM14-AKM13)*(1-AKD15)</f>
        <v/>
      </c>
      <c r="AKT15" s="12">
        <f>SUM(AKN$5:AKN15)</f>
        <v/>
      </c>
      <c r="AKU15" s="12">
        <f>SUM(AKO$5:AKO15)</f>
        <v/>
      </c>
      <c r="AKV15" s="12">
        <f>SUM(AKP$5:AKP15)</f>
        <v/>
      </c>
      <c r="AKW15" s="12">
        <f>AKQ15+AKR15+AKS15+AKT15+AKU15+AKV15</f>
        <v/>
      </c>
      <c r="AKX15" s="9">
        <f>AKQ15*BlendedPriceEssMonthly*AKC15+AKR15*BlendedPricePremMonthly*AKC15+AKS15*BlendedPriceEliteMonthly*AKC15+AKT15*BlendedPriceEssAnnual*AKC15/12+AKU15*BlendedPricePremAnnual*AKC15/12+AKV15*BlendedPriceEliteAnnual*AKC15/12</f>
        <v/>
      </c>
      <c r="AKY15" s="9">
        <f>AKX15*12</f>
        <v/>
      </c>
      <c r="AKZ15" s="12">
        <f>AKQ15*BlendedPriceEssMonthly*AKC15+AKR15*BlendedPricePremMonthly*AKC15+AKS15*BlendedPriceEliteMonthly*AKC15</f>
        <v/>
      </c>
      <c r="ALA15" s="12">
        <f>AKN15*BlendedPriceEssAnnual*AKC15+AKO15*BlendedPricePremAnnual*AKC15+AKP15*BlendedPriceEliteAnnual*AKC15</f>
        <v/>
      </c>
      <c r="ALB15" s="12">
        <f>0+0+0</f>
        <v/>
      </c>
      <c r="ALC15" s="9">
        <f>AKZ15+ALA15+ALB15</f>
        <v/>
      </c>
      <c r="ALD15" s="12">
        <f>SUM(ALC$5:ALC15)</f>
        <v/>
      </c>
      <c r="ALE15" s="12">
        <f>OR(ALE14,IF(VATAgentMode,SUM($ALC$5:$ALC15)-SUM($ALJ$5:$ALJ15)&gt;=VATThreshold,SUM($ALC$5:$ALC15)&gt;=VATThreshold))</f>
        <v/>
      </c>
      <c r="ALF15" s="9">
        <f>IF(ALE15,IF(VATAgentMode,ALC15-((ALC15-ALJ15)-(ALC15-ALJ15)/(1+VATRate)),ALC15/(1+VATRate)),ALC15)</f>
        <v/>
      </c>
      <c r="ALG15" s="12">
        <f>ALC15-ALF15</f>
        <v/>
      </c>
      <c r="ALH15" s="12">
        <f>IF(ALE15=0,0,IF(AJZ15=1,SUMPRODUCT(--(($AKA$5:$AKA15=$AKA15-1)*($AJZ$5:$AJZ15&gt;=10)*($AJZ$5:$AJZ15&lt;=12)),$ALG$5:$ALG15),IF(AJZ15=4,SUMPRODUCT(--(($AKA$5:$AKA15=$AKA15)*($AJZ$5:$AJZ15&gt;=1)*($AJZ$5:$AJZ15&lt;=3)),$ALG$5:$ALG15),IF(AJZ15=7,SUMPRODUCT(--(($AKA$5:$AKA15=$AKA15)*($AJZ$5:$AJZ15&gt;=4)*($AJZ$5:$AJZ15&lt;=6)),$ALG$5:$ALG15),IF(AJZ15=10,SUMPRODUCT(--(($AKA$5:$AKA15=$AKA15)*($AJZ$5:$AJZ15&gt;=7)*($AJZ$5:$AJZ15&lt;=9)),$ALG$5:$ALG15),0)))))</f>
        <v/>
      </c>
      <c r="ALI15" s="12">
        <f>ALI14+ALG15-ALH15</f>
        <v/>
      </c>
      <c r="ALJ15" s="12">
        <f>IF(ProviderDelay&gt;=1,AKQ14*BlendedProvPayEss+AKR14*BlendedProvPayPrem+AKS14*BlendedProvPayElite+AKT14*BlendedProvPayEss+AKU14*BlendedProvPayPrem+AKV14*BlendedProvPayElite,AKQ15*BlendedProvPayEss+AKR15*BlendedProvPayPrem+AKS15*BlendedProvPayElite+AKT15*BlendedProvPayEss+AKU15*BlendedProvPayPrem+AKV15*BlendedProvPayElite)</f>
        <v/>
      </c>
      <c r="ALK15" s="12">
        <f>ALC15*PaymentFee</f>
        <v/>
      </c>
      <c r="ALL15" s="12">
        <f>AKW15*OpsAI</f>
        <v/>
      </c>
      <c r="ALM15" s="12">
        <f>MonthlyFixed</f>
        <v/>
      </c>
      <c r="ALN15" s="12">
        <f>AKG15*ReferralReward</f>
        <v/>
      </c>
      <c r="ALO15" s="12">
        <f>AKE15</f>
        <v/>
      </c>
      <c r="ALP15" s="9">
        <f>ALF15-ALJ15-ALK15-ALL15-ALM15-ALN15-ALO15</f>
        <v/>
      </c>
      <c r="ALQ15" s="9">
        <f>ALQ14+ALC15-(ALJ15+ALK15+ALL15+ALM15+ALN15+ALO15+ALH15)</f>
        <v/>
      </c>
      <c r="ALR15" s="12">
        <f>IF(AKW15&gt;0,AKX15/AKW15,0)</f>
        <v/>
      </c>
      <c r="ALS15" s="11">
        <f>IF(AKW14&gt;0,MAX(0,(AKW14+AKH15-AKW15)/AKW14),0)</f>
        <v/>
      </c>
      <c r="ALU15" s="12" t="n">
        <v>11</v>
      </c>
      <c r="ALV15" s="12">
        <f>MOD(ALU15-1+LaunchMonth-1,12)+1</f>
        <v/>
      </c>
      <c r="ALW15" s="12">
        <f>INT((ALU15-1+LaunchMonth-1)/12)+1</f>
        <v/>
      </c>
      <c r="ALX15" s="12">
        <f>VLOOKUP(ALV15,SeasonTable,2,FALSE)</f>
        <v/>
      </c>
      <c r="ALY15" s="12">
        <f>(1+InflationRate)^INT((ALU15-1)/12)</f>
        <v/>
      </c>
      <c r="ALZ15" s="11">
        <f>MonthlyChurn*VLOOKUP(ALV15,ChurnSeasonTable,4,FALSE)</f>
        <v/>
      </c>
      <c r="AMA15" s="12">
        <f>MIN(MAX(MktMin7_12,AMY14*MktPct7_12),MAX(0,ANM14-CashBuffer))</f>
        <v/>
      </c>
      <c r="AMB15" s="12">
        <f>IF(AMA15&gt;0,MAX(1,ROUND(AMA15/'Sens - CAC &amp; Marketing'!$A$11*ALX15,0)),0)</f>
        <v/>
      </c>
      <c r="AMC15" s="12">
        <f>IF(AMB15&gt;0,ROUND(AMB15*ReferralMix/(1-ReferralMix),0),0)</f>
        <v/>
      </c>
      <c r="AMD15" s="12">
        <f>AMB15+AMC15</f>
        <v/>
      </c>
      <c r="AME15" s="12">
        <f>ROUND(AMD15*(1-AnnualMix),0)</f>
        <v/>
      </c>
      <c r="AMF15" s="12">
        <f>AMD15-AME15</f>
        <v/>
      </c>
      <c r="AMG15" s="12">
        <f>ROUND(AME15*EssentialMix,0)</f>
        <v/>
      </c>
      <c r="AMH15" s="12">
        <f>ROUND(AME15*PremiumMix,0)</f>
        <v/>
      </c>
      <c r="AMI15" s="12">
        <f>AME15-AMG15-AMH15</f>
        <v/>
      </c>
      <c r="AMJ15" s="12">
        <f>ROUND(AMF15*EssentialMix,0)</f>
        <v/>
      </c>
      <c r="AMK15" s="12">
        <f>ROUND(AMF15*PremiumMix,0)</f>
        <v/>
      </c>
      <c r="AML15" s="12">
        <f>AMF15-AMJ15-AMK15</f>
        <v/>
      </c>
      <c r="AMM15" s="12">
        <f>AMG15+AMG14+AMG13+MAX(0,AMM14-AMG14-AMG13)*(1-ALZ15)</f>
        <v/>
      </c>
      <c r="AMN15" s="12">
        <f>AMH15+AMH14+AMH13+MAX(0,AMN14-AMH14-AMH13)*(1-ALZ15)</f>
        <v/>
      </c>
      <c r="AMO15" s="12">
        <f>AMI15+AMI14+AMI13+MAX(0,AMO14-AMI14-AMI13)*(1-ALZ15)</f>
        <v/>
      </c>
      <c r="AMP15" s="12">
        <f>SUM(AMJ$5:AMJ15)</f>
        <v/>
      </c>
      <c r="AMQ15" s="12">
        <f>SUM(AMK$5:AMK15)</f>
        <v/>
      </c>
      <c r="AMR15" s="12">
        <f>SUM(AML$5:AML15)</f>
        <v/>
      </c>
      <c r="AMS15" s="12">
        <f>AMM15+AMN15+AMO15+AMP15+AMQ15+AMR15</f>
        <v/>
      </c>
      <c r="AMT15" s="9">
        <f>AMM15*BlendedPriceEssMonthly*ALY15+AMN15*BlendedPricePremMonthly*ALY15+AMO15*BlendedPriceEliteMonthly*ALY15+AMP15*BlendedPriceEssAnnual*ALY15/12+AMQ15*BlendedPricePremAnnual*ALY15/12+AMR15*BlendedPriceEliteAnnual*ALY15/12</f>
        <v/>
      </c>
      <c r="AMU15" s="9">
        <f>AMT15*12</f>
        <v/>
      </c>
      <c r="AMV15" s="12">
        <f>AMM15*BlendedPriceEssMonthly*ALY15+AMN15*BlendedPricePremMonthly*ALY15+AMO15*BlendedPriceEliteMonthly*ALY15</f>
        <v/>
      </c>
      <c r="AMW15" s="12">
        <f>AMJ15*BlendedPriceEssAnnual*ALY15+AMK15*BlendedPricePremAnnual*ALY15+AML15*BlendedPriceEliteAnnual*ALY15</f>
        <v/>
      </c>
      <c r="AMX15" s="12">
        <f>0+0+0</f>
        <v/>
      </c>
      <c r="AMY15" s="9">
        <f>AMV15+AMW15+AMX15</f>
        <v/>
      </c>
      <c r="AMZ15" s="12">
        <f>SUM(AMY$5:AMY15)</f>
        <v/>
      </c>
      <c r="ANA15" s="12">
        <f>OR(ANA14,IF(VATAgentMode,SUM($AMY$5:$AMY15)-SUM($ANF$5:$ANF15)&gt;=VATThreshold,SUM($AMY$5:$AMY15)&gt;=VATThreshold))</f>
        <v/>
      </c>
      <c r="ANB15" s="9">
        <f>IF(ANA15,IF(VATAgentMode,AMY15-((AMY15-ANF15)-(AMY15-ANF15)/(1+VATRate)),AMY15/(1+VATRate)),AMY15)</f>
        <v/>
      </c>
      <c r="ANC15" s="12">
        <f>AMY15-ANB15</f>
        <v/>
      </c>
      <c r="AND15" s="12">
        <f>IF(ANA15=0,0,IF(ALV15=1,SUMPRODUCT(--(($ALW$5:$ALW15=$ALW15-1)*($ALV$5:$ALV15&gt;=10)*($ALV$5:$ALV15&lt;=12)),$ANC$5:$ANC15),IF(ALV15=4,SUMPRODUCT(--(($ALW$5:$ALW15=$ALW15)*($ALV$5:$ALV15&gt;=1)*($ALV$5:$ALV15&lt;=3)),$ANC$5:$ANC15),IF(ALV15=7,SUMPRODUCT(--(($ALW$5:$ALW15=$ALW15)*($ALV$5:$ALV15&gt;=4)*($ALV$5:$ALV15&lt;=6)),$ANC$5:$ANC15),IF(ALV15=10,SUMPRODUCT(--(($ALW$5:$ALW15=$ALW15)*($ALV$5:$ALV15&gt;=7)*($ALV$5:$ALV15&lt;=9)),$ANC$5:$ANC15),0)))))</f>
        <v/>
      </c>
      <c r="ANE15" s="12">
        <f>ANE14+ANC15-AND15</f>
        <v/>
      </c>
      <c r="ANF15" s="12">
        <f>IF(ProviderDelay&gt;=1,AMM14*BlendedProvPayEss+AMN14*BlendedProvPayPrem+AMO14*BlendedProvPayElite+AMP14*BlendedProvPayEss+AMQ14*BlendedProvPayPrem+AMR14*BlendedProvPayElite,AMM15*BlendedProvPayEss+AMN15*BlendedProvPayPrem+AMO15*BlendedProvPayElite+AMP15*BlendedProvPayEss+AMQ15*BlendedProvPayPrem+AMR15*BlendedProvPayElite)</f>
        <v/>
      </c>
      <c r="ANG15" s="12">
        <f>AMY15*PaymentFee</f>
        <v/>
      </c>
      <c r="ANH15" s="12">
        <f>AMS15*OpsAI</f>
        <v/>
      </c>
      <c r="ANI15" s="12">
        <f>MonthlyFixed</f>
        <v/>
      </c>
      <c r="ANJ15" s="12">
        <f>AMC15*ReferralReward</f>
        <v/>
      </c>
      <c r="ANK15" s="12">
        <f>AMA15</f>
        <v/>
      </c>
      <c r="ANL15" s="9">
        <f>ANB15-ANF15-ANG15-ANH15-ANI15-ANJ15-ANK15</f>
        <v/>
      </c>
      <c r="ANM15" s="9">
        <f>ANM14+AMY15-(ANF15+ANG15+ANH15+ANI15+ANJ15+ANK15+AND15)</f>
        <v/>
      </c>
      <c r="ANN15" s="12">
        <f>IF(AMS15&gt;0,AMT15/AMS15,0)</f>
        <v/>
      </c>
      <c r="ANO15" s="11">
        <f>IF(AMS14&gt;0,MAX(0,(AMS14+AMD15-AMS15)/AMS14),0)</f>
        <v/>
      </c>
      <c r="ANQ15" s="12" t="n">
        <v>11</v>
      </c>
      <c r="ANR15" s="12">
        <f>MOD(ANQ15-1+LaunchMonth-1,12)+1</f>
        <v/>
      </c>
      <c r="ANS15" s="12">
        <f>INT((ANQ15-1+LaunchMonth-1)/12)+1</f>
        <v/>
      </c>
      <c r="ANT15" s="12">
        <f>VLOOKUP(ANR15,SeasonTable,2,FALSE)</f>
        <v/>
      </c>
      <c r="ANU15" s="12">
        <f>(1+InflationRate)^INT((ANQ15-1)/12)</f>
        <v/>
      </c>
      <c r="ANV15" s="11">
        <f>MonthlyChurn*VLOOKUP(ANR15,ChurnSeasonTable,4,FALSE)</f>
        <v/>
      </c>
      <c r="ANW15" s="12">
        <f>MIN(MAX(MktMin7_12,AOU14*MktPct7_12),MAX(0,API14-CashBuffer))</f>
        <v/>
      </c>
      <c r="ANX15" s="12">
        <f>IF(ANW15&gt;0,MAX(1,ROUND(ANW15/'Sens - CAC &amp; Marketing'!$A$12*ANT15,0)),0)</f>
        <v/>
      </c>
      <c r="ANY15" s="12">
        <f>IF(ANX15&gt;0,ROUND(ANX15*ReferralMix/(1-ReferralMix),0),0)</f>
        <v/>
      </c>
      <c r="ANZ15" s="12">
        <f>ANX15+ANY15</f>
        <v/>
      </c>
      <c r="AOA15" s="12">
        <f>ROUND(ANZ15*(1-AnnualMix),0)</f>
        <v/>
      </c>
      <c r="AOB15" s="12">
        <f>ANZ15-AOA15</f>
        <v/>
      </c>
      <c r="AOC15" s="12">
        <f>ROUND(AOA15*EssentialMix,0)</f>
        <v/>
      </c>
      <c r="AOD15" s="12">
        <f>ROUND(AOA15*PremiumMix,0)</f>
        <v/>
      </c>
      <c r="AOE15" s="12">
        <f>AOA15-AOC15-AOD15</f>
        <v/>
      </c>
      <c r="AOF15" s="12">
        <f>ROUND(AOB15*EssentialMix,0)</f>
        <v/>
      </c>
      <c r="AOG15" s="12">
        <f>ROUND(AOB15*PremiumMix,0)</f>
        <v/>
      </c>
      <c r="AOH15" s="12">
        <f>AOB15-AOF15-AOG15</f>
        <v/>
      </c>
      <c r="AOI15" s="12">
        <f>AOC15+AOC14+AOC13+MAX(0,AOI14-AOC14-AOC13)*(1-ANV15)</f>
        <v/>
      </c>
      <c r="AOJ15" s="12">
        <f>AOD15+AOD14+AOD13+MAX(0,AOJ14-AOD14-AOD13)*(1-ANV15)</f>
        <v/>
      </c>
      <c r="AOK15" s="12">
        <f>AOE15+AOE14+AOE13+MAX(0,AOK14-AOE14-AOE13)*(1-ANV15)</f>
        <v/>
      </c>
      <c r="AOL15" s="12">
        <f>SUM(AOF$5:AOF15)</f>
        <v/>
      </c>
      <c r="AOM15" s="12">
        <f>SUM(AOG$5:AOG15)</f>
        <v/>
      </c>
      <c r="AON15" s="12">
        <f>SUM(AOH$5:AOH15)</f>
        <v/>
      </c>
      <c r="AOO15" s="12">
        <f>AOI15+AOJ15+AOK15+AOL15+AOM15+AON15</f>
        <v/>
      </c>
      <c r="AOP15" s="9">
        <f>AOI15*BlendedPriceEssMonthly*ANU15+AOJ15*BlendedPricePremMonthly*ANU15+AOK15*BlendedPriceEliteMonthly*ANU15+AOL15*BlendedPriceEssAnnual*ANU15/12+AOM15*BlendedPricePremAnnual*ANU15/12+AON15*BlendedPriceEliteAnnual*ANU15/12</f>
        <v/>
      </c>
      <c r="AOQ15" s="9">
        <f>AOP15*12</f>
        <v/>
      </c>
      <c r="AOR15" s="12">
        <f>AOI15*BlendedPriceEssMonthly*ANU15+AOJ15*BlendedPricePremMonthly*ANU15+AOK15*BlendedPriceEliteMonthly*ANU15</f>
        <v/>
      </c>
      <c r="AOS15" s="12">
        <f>AOF15*BlendedPriceEssAnnual*ANU15+AOG15*BlendedPricePremAnnual*ANU15+AOH15*BlendedPriceEliteAnnual*ANU15</f>
        <v/>
      </c>
      <c r="AOT15" s="12">
        <f>0+0+0</f>
        <v/>
      </c>
      <c r="AOU15" s="9">
        <f>AOR15+AOS15+AOT15</f>
        <v/>
      </c>
      <c r="AOV15" s="12">
        <f>SUM(AOU$5:AOU15)</f>
        <v/>
      </c>
      <c r="AOW15" s="12">
        <f>OR(AOW14,IF(VATAgentMode,SUM($AOU$5:$AOU15)-SUM($APB$5:$APB15)&gt;=VATThreshold,SUM($AOU$5:$AOU15)&gt;=VATThreshold))</f>
        <v/>
      </c>
      <c r="AOX15" s="9">
        <f>IF(AOW15,IF(VATAgentMode,AOU15-((AOU15-APB15)-(AOU15-APB15)/(1+VATRate)),AOU15/(1+VATRate)),AOU15)</f>
        <v/>
      </c>
      <c r="AOY15" s="12">
        <f>AOU15-AOX15</f>
        <v/>
      </c>
      <c r="AOZ15" s="12">
        <f>IF(AOW15=0,0,IF(ANR15=1,SUMPRODUCT(--(($ANS$5:$ANS15=$ANS15-1)*($ANR$5:$ANR15&gt;=10)*($ANR$5:$ANR15&lt;=12)),$AOY$5:$AOY15),IF(ANR15=4,SUMPRODUCT(--(($ANS$5:$ANS15=$ANS15)*($ANR$5:$ANR15&gt;=1)*($ANR$5:$ANR15&lt;=3)),$AOY$5:$AOY15),IF(ANR15=7,SUMPRODUCT(--(($ANS$5:$ANS15=$ANS15)*($ANR$5:$ANR15&gt;=4)*($ANR$5:$ANR15&lt;=6)),$AOY$5:$AOY15),IF(ANR15=10,SUMPRODUCT(--(($ANS$5:$ANS15=$ANS15)*($ANR$5:$ANR15&gt;=7)*($ANR$5:$ANR15&lt;=9)),$AOY$5:$AOY15),0)))))</f>
        <v/>
      </c>
      <c r="APA15" s="12">
        <f>APA14+AOY15-AOZ15</f>
        <v/>
      </c>
      <c r="APB15" s="12">
        <f>IF(ProviderDelay&gt;=1,AOI14*BlendedProvPayEss+AOJ14*BlendedProvPayPrem+AOK14*BlendedProvPayElite+AOL14*BlendedProvPayEss+AOM14*BlendedProvPayPrem+AON14*BlendedProvPayElite,AOI15*BlendedProvPayEss+AOJ15*BlendedProvPayPrem+AOK15*BlendedProvPayElite+AOL15*BlendedProvPayEss+AOM15*BlendedProvPayPrem+AON15*BlendedProvPayElite)</f>
        <v/>
      </c>
      <c r="APC15" s="12">
        <f>AOU15*PaymentFee</f>
        <v/>
      </c>
      <c r="APD15" s="12">
        <f>AOO15*OpsAI</f>
        <v/>
      </c>
      <c r="APE15" s="12">
        <f>MonthlyFixed</f>
        <v/>
      </c>
      <c r="APF15" s="12">
        <f>ANY15*ReferralReward</f>
        <v/>
      </c>
      <c r="APG15" s="12">
        <f>ANW15</f>
        <v/>
      </c>
      <c r="APH15" s="9">
        <f>AOX15-APB15-APC15-APD15-APE15-APF15-APG15</f>
        <v/>
      </c>
      <c r="API15" s="9">
        <f>API14+AOU15-(APB15+APC15+APD15+APE15+APF15+APG15+AOZ15)</f>
        <v/>
      </c>
      <c r="APJ15" s="12">
        <f>IF(AOO15&gt;0,AOP15/AOO15,0)</f>
        <v/>
      </c>
      <c r="APK15" s="11">
        <f>IF(AOO14&gt;0,MAX(0,(AOO14+ANZ15-AOO15)/AOO14),0)</f>
        <v/>
      </c>
      <c r="APM15" s="12" t="n">
        <v>11</v>
      </c>
      <c r="APN15" s="12">
        <f>MOD(APM15-1+LaunchMonth-1,12)+1</f>
        <v/>
      </c>
      <c r="APO15" s="12">
        <f>INT((APM15-1+LaunchMonth-1)/12)+1</f>
        <v/>
      </c>
      <c r="APP15" s="12">
        <f>VLOOKUP(APN15,SeasonTable,2,FALSE)</f>
        <v/>
      </c>
      <c r="APQ15" s="12">
        <f>(1+InflationRate)^INT((APM15-1)/12)</f>
        <v/>
      </c>
      <c r="APR15" s="11">
        <f>MonthlyChurn*VLOOKUP(APN15,ChurnSeasonTable,4,FALSE)</f>
        <v/>
      </c>
      <c r="APS15" s="12">
        <f>MIN(MAX(MktMin7_12,AQQ14*MktPct7_12),MAX(0,ARE14-CashBuffer))</f>
        <v/>
      </c>
      <c r="APT15" s="12">
        <f>IF(APS15&gt;0,MAX(1,ROUND(APS15/'Sens - CAC &amp; Marketing'!$A$13*APP15,0)),0)</f>
        <v/>
      </c>
      <c r="APU15" s="12">
        <f>IF(APT15&gt;0,ROUND(APT15*ReferralMix/(1-ReferralMix),0),0)</f>
        <v/>
      </c>
      <c r="APV15" s="12">
        <f>APT15+APU15</f>
        <v/>
      </c>
      <c r="APW15" s="12">
        <f>ROUND(APV15*(1-AnnualMix),0)</f>
        <v/>
      </c>
      <c r="APX15" s="12">
        <f>APV15-APW15</f>
        <v/>
      </c>
      <c r="APY15" s="12">
        <f>ROUND(APW15*EssentialMix,0)</f>
        <v/>
      </c>
      <c r="APZ15" s="12">
        <f>ROUND(APW15*PremiumMix,0)</f>
        <v/>
      </c>
      <c r="AQA15" s="12">
        <f>APW15-APY15-APZ15</f>
        <v/>
      </c>
      <c r="AQB15" s="12">
        <f>ROUND(APX15*EssentialMix,0)</f>
        <v/>
      </c>
      <c r="AQC15" s="12">
        <f>ROUND(APX15*PremiumMix,0)</f>
        <v/>
      </c>
      <c r="AQD15" s="12">
        <f>APX15-AQB15-AQC15</f>
        <v/>
      </c>
      <c r="AQE15" s="12">
        <f>APY15+APY14+APY13+MAX(0,AQE14-APY14-APY13)*(1-APR15)</f>
        <v/>
      </c>
      <c r="AQF15" s="12">
        <f>APZ15+APZ14+APZ13+MAX(0,AQF14-APZ14-APZ13)*(1-APR15)</f>
        <v/>
      </c>
      <c r="AQG15" s="12">
        <f>AQA15+AQA14+AQA13+MAX(0,AQG14-AQA14-AQA13)*(1-APR15)</f>
        <v/>
      </c>
      <c r="AQH15" s="12">
        <f>SUM(AQB$5:AQB15)</f>
        <v/>
      </c>
      <c r="AQI15" s="12">
        <f>SUM(AQC$5:AQC15)</f>
        <v/>
      </c>
      <c r="AQJ15" s="12">
        <f>SUM(AQD$5:AQD15)</f>
        <v/>
      </c>
      <c r="AQK15" s="12">
        <f>AQE15+AQF15+AQG15+AQH15+AQI15+AQJ15</f>
        <v/>
      </c>
      <c r="AQL15" s="9">
        <f>AQE15*BlendedPriceEssMonthly*APQ15+AQF15*BlendedPricePremMonthly*APQ15+AQG15*BlendedPriceEliteMonthly*APQ15+AQH15*BlendedPriceEssAnnual*APQ15/12+AQI15*BlendedPricePremAnnual*APQ15/12+AQJ15*BlendedPriceEliteAnnual*APQ15/12</f>
        <v/>
      </c>
      <c r="AQM15" s="9">
        <f>AQL15*12</f>
        <v/>
      </c>
      <c r="AQN15" s="12">
        <f>AQE15*BlendedPriceEssMonthly*APQ15+AQF15*BlendedPricePremMonthly*APQ15+AQG15*BlendedPriceEliteMonthly*APQ15</f>
        <v/>
      </c>
      <c r="AQO15" s="12">
        <f>AQB15*BlendedPriceEssAnnual*APQ15+AQC15*BlendedPricePremAnnual*APQ15+AQD15*BlendedPriceEliteAnnual*APQ15</f>
        <v/>
      </c>
      <c r="AQP15" s="12">
        <f>0+0+0</f>
        <v/>
      </c>
      <c r="AQQ15" s="9">
        <f>AQN15+AQO15+AQP15</f>
        <v/>
      </c>
      <c r="AQR15" s="12">
        <f>SUM(AQQ$5:AQQ15)</f>
        <v/>
      </c>
      <c r="AQS15" s="12">
        <f>OR(AQS14,IF(VATAgentMode,SUM($AQQ$5:$AQQ15)-SUM($AQX$5:$AQX15)&gt;=VATThreshold,SUM($AQQ$5:$AQQ15)&gt;=VATThreshold))</f>
        <v/>
      </c>
      <c r="AQT15" s="9">
        <f>IF(AQS15,IF(VATAgentMode,AQQ15-((AQQ15-AQX15)-(AQQ15-AQX15)/(1+VATRate)),AQQ15/(1+VATRate)),AQQ15)</f>
        <v/>
      </c>
      <c r="AQU15" s="12">
        <f>AQQ15-AQT15</f>
        <v/>
      </c>
      <c r="AQV15" s="12">
        <f>IF(AQS15=0,0,IF(APN15=1,SUMPRODUCT(--(($APO$5:$APO15=$APO15-1)*($APN$5:$APN15&gt;=10)*($APN$5:$APN15&lt;=12)),$AQU$5:$AQU15),IF(APN15=4,SUMPRODUCT(--(($APO$5:$APO15=$APO15)*($APN$5:$APN15&gt;=1)*($APN$5:$APN15&lt;=3)),$AQU$5:$AQU15),IF(APN15=7,SUMPRODUCT(--(($APO$5:$APO15=$APO15)*($APN$5:$APN15&gt;=4)*($APN$5:$APN15&lt;=6)),$AQU$5:$AQU15),IF(APN15=10,SUMPRODUCT(--(($APO$5:$APO15=$APO15)*($APN$5:$APN15&gt;=7)*($APN$5:$APN15&lt;=9)),$AQU$5:$AQU15),0)))))</f>
        <v/>
      </c>
      <c r="AQW15" s="12">
        <f>AQW14+AQU15-AQV15</f>
        <v/>
      </c>
      <c r="AQX15" s="12">
        <f>IF(ProviderDelay&gt;=1,AQE14*BlendedProvPayEss+AQF14*BlendedProvPayPrem+AQG14*BlendedProvPayElite+AQH14*BlendedProvPayEss+AQI14*BlendedProvPayPrem+AQJ14*BlendedProvPayElite,AQE15*BlendedProvPayEss+AQF15*BlendedProvPayPrem+AQG15*BlendedProvPayElite+AQH15*BlendedProvPayEss+AQI15*BlendedProvPayPrem+AQJ15*BlendedProvPayElite)</f>
        <v/>
      </c>
      <c r="AQY15" s="12">
        <f>AQQ15*PaymentFee</f>
        <v/>
      </c>
      <c r="AQZ15" s="12">
        <f>AQK15*OpsAI</f>
        <v/>
      </c>
      <c r="ARA15" s="12">
        <f>MonthlyFixed</f>
        <v/>
      </c>
      <c r="ARB15" s="12">
        <f>APU15*ReferralReward</f>
        <v/>
      </c>
      <c r="ARC15" s="12">
        <f>APS15</f>
        <v/>
      </c>
      <c r="ARD15" s="9">
        <f>AQT15-AQX15-AQY15-AQZ15-ARA15-ARB15-ARC15</f>
        <v/>
      </c>
      <c r="ARE15" s="9">
        <f>ARE14+AQQ15-(AQX15+AQY15+AQZ15+ARA15+ARB15+ARC15+AQV15)</f>
        <v/>
      </c>
      <c r="ARF15" s="12">
        <f>IF(AQK15&gt;0,AQL15/AQK15,0)</f>
        <v/>
      </c>
      <c r="ARG15" s="11">
        <f>IF(AQK14&gt;0,MAX(0,(AQK14+APV15-AQK15)/AQK14),0)</f>
        <v/>
      </c>
      <c r="ARI15" s="12" t="n">
        <v>11</v>
      </c>
      <c r="ARJ15" s="12">
        <f>MOD(ARI15-1+LaunchMonth-1,12)+1</f>
        <v/>
      </c>
      <c r="ARK15" s="12">
        <f>INT((ARI15-1+LaunchMonth-1)/12)+1</f>
        <v/>
      </c>
      <c r="ARL15" s="12">
        <f>VLOOKUP(ARJ15,SeasonTable,2,FALSE)</f>
        <v/>
      </c>
      <c r="ARM15" s="12">
        <f>(1+InflationRate)^INT((ARI15-1)/12)</f>
        <v/>
      </c>
      <c r="ARN15" s="11">
        <f>MonthlyChurn*VLOOKUP(ARJ15,ChurnSeasonTable,4,FALSE)</f>
        <v/>
      </c>
      <c r="ARO15" s="12">
        <f>MIN(MAX(MktMin7_12,ASM14*MktPct7_12),MAX(0,ATA14-CashBuffer))</f>
        <v/>
      </c>
      <c r="ARP15" s="12">
        <f>IF(ARO15&gt;0,MAX(1,ROUND(ARO15/'Sens - CAC &amp; Marketing'!$A$14*ARL15,0)),0)</f>
        <v/>
      </c>
      <c r="ARQ15" s="12">
        <f>IF(ARP15&gt;0,ROUND(ARP15*ReferralMix/(1-ReferralMix),0),0)</f>
        <v/>
      </c>
      <c r="ARR15" s="12">
        <f>ARP15+ARQ15</f>
        <v/>
      </c>
      <c r="ARS15" s="12">
        <f>ROUND(ARR15*(1-AnnualMix),0)</f>
        <v/>
      </c>
      <c r="ART15" s="12">
        <f>ARR15-ARS15</f>
        <v/>
      </c>
      <c r="ARU15" s="12">
        <f>ROUND(ARS15*EssentialMix,0)</f>
        <v/>
      </c>
      <c r="ARV15" s="12">
        <f>ROUND(ARS15*PremiumMix,0)</f>
        <v/>
      </c>
      <c r="ARW15" s="12">
        <f>ARS15-ARU15-ARV15</f>
        <v/>
      </c>
      <c r="ARX15" s="12">
        <f>ROUND(ART15*EssentialMix,0)</f>
        <v/>
      </c>
      <c r="ARY15" s="12">
        <f>ROUND(ART15*PremiumMix,0)</f>
        <v/>
      </c>
      <c r="ARZ15" s="12">
        <f>ART15-ARX15-ARY15</f>
        <v/>
      </c>
      <c r="ASA15" s="12">
        <f>ARU15+ARU14+ARU13+MAX(0,ASA14-ARU14-ARU13)*(1-ARN15)</f>
        <v/>
      </c>
      <c r="ASB15" s="12">
        <f>ARV15+ARV14+ARV13+MAX(0,ASB14-ARV14-ARV13)*(1-ARN15)</f>
        <v/>
      </c>
      <c r="ASC15" s="12">
        <f>ARW15+ARW14+ARW13+MAX(0,ASC14-ARW14-ARW13)*(1-ARN15)</f>
        <v/>
      </c>
      <c r="ASD15" s="12">
        <f>SUM(ARX$5:ARX15)</f>
        <v/>
      </c>
      <c r="ASE15" s="12">
        <f>SUM(ARY$5:ARY15)</f>
        <v/>
      </c>
      <c r="ASF15" s="12">
        <f>SUM(ARZ$5:ARZ15)</f>
        <v/>
      </c>
      <c r="ASG15" s="12">
        <f>ASA15+ASB15+ASC15+ASD15+ASE15+ASF15</f>
        <v/>
      </c>
      <c r="ASH15" s="9">
        <f>ASA15*BlendedPriceEssMonthly*ARM15+ASB15*BlendedPricePremMonthly*ARM15+ASC15*BlendedPriceEliteMonthly*ARM15+ASD15*BlendedPriceEssAnnual*ARM15/12+ASE15*BlendedPricePremAnnual*ARM15/12+ASF15*BlendedPriceEliteAnnual*ARM15/12</f>
        <v/>
      </c>
      <c r="ASI15" s="9">
        <f>ASH15*12</f>
        <v/>
      </c>
      <c r="ASJ15" s="12">
        <f>ASA15*BlendedPriceEssMonthly*ARM15+ASB15*BlendedPricePremMonthly*ARM15+ASC15*BlendedPriceEliteMonthly*ARM15</f>
        <v/>
      </c>
      <c r="ASK15" s="12">
        <f>ARX15*BlendedPriceEssAnnual*ARM15+ARY15*BlendedPricePremAnnual*ARM15+ARZ15*BlendedPriceEliteAnnual*ARM15</f>
        <v/>
      </c>
      <c r="ASL15" s="12">
        <f>0+0+0</f>
        <v/>
      </c>
      <c r="ASM15" s="9">
        <f>ASJ15+ASK15+ASL15</f>
        <v/>
      </c>
      <c r="ASN15" s="12">
        <f>SUM(ASM$5:ASM15)</f>
        <v/>
      </c>
      <c r="ASO15" s="12">
        <f>OR(ASO14,IF(VATAgentMode,SUM($ASM$5:$ASM15)-SUM($AST$5:$AST15)&gt;=VATThreshold,SUM($ASM$5:$ASM15)&gt;=VATThreshold))</f>
        <v/>
      </c>
      <c r="ASP15" s="9">
        <f>IF(ASO15,IF(VATAgentMode,ASM15-((ASM15-AST15)-(ASM15-AST15)/(1+VATRate)),ASM15/(1+VATRate)),ASM15)</f>
        <v/>
      </c>
      <c r="ASQ15" s="12">
        <f>ASM15-ASP15</f>
        <v/>
      </c>
      <c r="ASR15" s="12">
        <f>IF(ASO15=0,0,IF(ARJ15=1,SUMPRODUCT(--(($ARK$5:$ARK15=$ARK15-1)*($ARJ$5:$ARJ15&gt;=10)*($ARJ$5:$ARJ15&lt;=12)),$ASQ$5:$ASQ15),IF(ARJ15=4,SUMPRODUCT(--(($ARK$5:$ARK15=$ARK15)*($ARJ$5:$ARJ15&gt;=1)*($ARJ$5:$ARJ15&lt;=3)),$ASQ$5:$ASQ15),IF(ARJ15=7,SUMPRODUCT(--(($ARK$5:$ARK15=$ARK15)*($ARJ$5:$ARJ15&gt;=4)*($ARJ$5:$ARJ15&lt;=6)),$ASQ$5:$ASQ15),IF(ARJ15=10,SUMPRODUCT(--(($ARK$5:$ARK15=$ARK15)*($ARJ$5:$ARJ15&gt;=7)*($ARJ$5:$ARJ15&lt;=9)),$ASQ$5:$ASQ15),0)))))</f>
        <v/>
      </c>
      <c r="ASS15" s="12">
        <f>ASS14+ASQ15-ASR15</f>
        <v/>
      </c>
      <c r="AST15" s="12">
        <f>IF(ProviderDelay&gt;=1,ASA14*BlendedProvPayEss+ASB14*BlendedProvPayPrem+ASC14*BlendedProvPayElite+ASD14*BlendedProvPayEss+ASE14*BlendedProvPayPrem+ASF14*BlendedProvPayElite,ASA15*BlendedProvPayEss+ASB15*BlendedProvPayPrem+ASC15*BlendedProvPayElite+ASD15*BlendedProvPayEss+ASE15*BlendedProvPayPrem+ASF15*BlendedProvPayElite)</f>
        <v/>
      </c>
      <c r="ASU15" s="12">
        <f>ASM15*PaymentFee</f>
        <v/>
      </c>
      <c r="ASV15" s="12">
        <f>ASG15*OpsAI</f>
        <v/>
      </c>
      <c r="ASW15" s="12">
        <f>MonthlyFixed</f>
        <v/>
      </c>
      <c r="ASX15" s="12">
        <f>ARQ15*ReferralReward</f>
        <v/>
      </c>
      <c r="ASY15" s="12">
        <f>ARO15</f>
        <v/>
      </c>
      <c r="ASZ15" s="9">
        <f>ASP15-AST15-ASU15-ASV15-ASW15-ASX15-ASY15</f>
        <v/>
      </c>
      <c r="ATA15" s="9">
        <f>ATA14+ASM15-(AST15+ASU15+ASV15+ASW15+ASX15+ASY15+ASR15)</f>
        <v/>
      </c>
      <c r="ATB15" s="12">
        <f>IF(ASG15&gt;0,ASH15/ASG15,0)</f>
        <v/>
      </c>
      <c r="ATC15" s="11">
        <f>IF(ASG14&gt;0,MAX(0,(ASG14+ARR15-ASG15)/ASG14),0)</f>
        <v/>
      </c>
      <c r="ATE15" s="12" t="n">
        <v>11</v>
      </c>
      <c r="ATF15" s="12">
        <f>MOD(ATE15-1+LaunchMonth-1,12)+1</f>
        <v/>
      </c>
      <c r="ATG15" s="12">
        <f>INT((ATE15-1+LaunchMonth-1)/12)+1</f>
        <v/>
      </c>
      <c r="ATH15" s="12">
        <f>VLOOKUP(ATF15,SeasonTable,2,FALSE)</f>
        <v/>
      </c>
      <c r="ATI15" s="12">
        <f>(1+InflationRate)^INT((ATE15-1)/12)</f>
        <v/>
      </c>
      <c r="ATJ15" s="11">
        <f>MonthlyChurn*VLOOKUP(ATF15,ChurnSeasonTable,4,FALSE)</f>
        <v/>
      </c>
      <c r="ATK15" s="12">
        <f>MIN(MAX(MktMin7_12,AUI14*MktPct7_12),MAX(0,AUW14-CashBuffer))</f>
        <v/>
      </c>
      <c r="ATL15" s="12">
        <f>IF(ATK15&gt;0,MAX(1,ROUND(ATK15/'Sens - CAC &amp; Marketing'!$A$15*ATH15,0)),0)</f>
        <v/>
      </c>
      <c r="ATM15" s="12">
        <f>IF(ATL15&gt;0,ROUND(ATL15*ReferralMix/(1-ReferralMix),0),0)</f>
        <v/>
      </c>
      <c r="ATN15" s="12">
        <f>ATL15+ATM15</f>
        <v/>
      </c>
      <c r="ATO15" s="12">
        <f>ROUND(ATN15*(1-AnnualMix),0)</f>
        <v/>
      </c>
      <c r="ATP15" s="12">
        <f>ATN15-ATO15</f>
        <v/>
      </c>
      <c r="ATQ15" s="12">
        <f>ROUND(ATO15*EssentialMix,0)</f>
        <v/>
      </c>
      <c r="ATR15" s="12">
        <f>ROUND(ATO15*PremiumMix,0)</f>
        <v/>
      </c>
      <c r="ATS15" s="12">
        <f>ATO15-ATQ15-ATR15</f>
        <v/>
      </c>
      <c r="ATT15" s="12">
        <f>ROUND(ATP15*EssentialMix,0)</f>
        <v/>
      </c>
      <c r="ATU15" s="12">
        <f>ROUND(ATP15*PremiumMix,0)</f>
        <v/>
      </c>
      <c r="ATV15" s="12">
        <f>ATP15-ATT15-ATU15</f>
        <v/>
      </c>
      <c r="ATW15" s="12">
        <f>ATQ15+ATQ14+ATQ13+MAX(0,ATW14-ATQ14-ATQ13)*(1-ATJ15)</f>
        <v/>
      </c>
      <c r="ATX15" s="12">
        <f>ATR15+ATR14+ATR13+MAX(0,ATX14-ATR14-ATR13)*(1-ATJ15)</f>
        <v/>
      </c>
      <c r="ATY15" s="12">
        <f>ATS15+ATS14+ATS13+MAX(0,ATY14-ATS14-ATS13)*(1-ATJ15)</f>
        <v/>
      </c>
      <c r="ATZ15" s="12">
        <f>SUM(ATT$5:ATT15)</f>
        <v/>
      </c>
      <c r="AUA15" s="12">
        <f>SUM(ATU$5:ATU15)</f>
        <v/>
      </c>
      <c r="AUB15" s="12">
        <f>SUM(ATV$5:ATV15)</f>
        <v/>
      </c>
      <c r="AUC15" s="12">
        <f>ATW15+ATX15+ATY15+ATZ15+AUA15+AUB15</f>
        <v/>
      </c>
      <c r="AUD15" s="9">
        <f>ATW15*BlendedPriceEssMonthly*ATI15+ATX15*BlendedPricePremMonthly*ATI15+ATY15*BlendedPriceEliteMonthly*ATI15+ATZ15*BlendedPriceEssAnnual*ATI15/12+AUA15*BlendedPricePremAnnual*ATI15/12+AUB15*BlendedPriceEliteAnnual*ATI15/12</f>
        <v/>
      </c>
      <c r="AUE15" s="9">
        <f>AUD15*12</f>
        <v/>
      </c>
      <c r="AUF15" s="12">
        <f>ATW15*BlendedPriceEssMonthly*ATI15+ATX15*BlendedPricePremMonthly*ATI15+ATY15*BlendedPriceEliteMonthly*ATI15</f>
        <v/>
      </c>
      <c r="AUG15" s="12">
        <f>ATT15*BlendedPriceEssAnnual*ATI15+ATU15*BlendedPricePremAnnual*ATI15+ATV15*BlendedPriceEliteAnnual*ATI15</f>
        <v/>
      </c>
      <c r="AUH15" s="12">
        <f>0+0+0</f>
        <v/>
      </c>
      <c r="AUI15" s="9">
        <f>AUF15+AUG15+AUH15</f>
        <v/>
      </c>
      <c r="AUJ15" s="12">
        <f>SUM(AUI$5:AUI15)</f>
        <v/>
      </c>
      <c r="AUK15" s="12">
        <f>OR(AUK14,IF(VATAgentMode,SUM($AUI$5:$AUI15)-SUM($AUP$5:$AUP15)&gt;=VATThreshold,SUM($AUI$5:$AUI15)&gt;=VATThreshold))</f>
        <v/>
      </c>
      <c r="AUL15" s="9">
        <f>IF(AUK15,IF(VATAgentMode,AUI15-((AUI15-AUP15)-(AUI15-AUP15)/(1+VATRate)),AUI15/(1+VATRate)),AUI15)</f>
        <v/>
      </c>
      <c r="AUM15" s="12">
        <f>AUI15-AUL15</f>
        <v/>
      </c>
      <c r="AUN15" s="12">
        <f>IF(AUK15=0,0,IF(ATF15=1,SUMPRODUCT(--(($ATG$5:$ATG15=$ATG15-1)*($ATF$5:$ATF15&gt;=10)*($ATF$5:$ATF15&lt;=12)),$AUM$5:$AUM15),IF(ATF15=4,SUMPRODUCT(--(($ATG$5:$ATG15=$ATG15)*($ATF$5:$ATF15&gt;=1)*($ATF$5:$ATF15&lt;=3)),$AUM$5:$AUM15),IF(ATF15=7,SUMPRODUCT(--(($ATG$5:$ATG15=$ATG15)*($ATF$5:$ATF15&gt;=4)*($ATF$5:$ATF15&lt;=6)),$AUM$5:$AUM15),IF(ATF15=10,SUMPRODUCT(--(($ATG$5:$ATG15=$ATG15)*($ATF$5:$ATF15&gt;=7)*($ATF$5:$ATF15&lt;=9)),$AUM$5:$AUM15),0)))))</f>
        <v/>
      </c>
      <c r="AUO15" s="12">
        <f>AUO14+AUM15-AUN15</f>
        <v/>
      </c>
      <c r="AUP15" s="12">
        <f>IF(ProviderDelay&gt;=1,ATW14*BlendedProvPayEss+ATX14*BlendedProvPayPrem+ATY14*BlendedProvPayElite+ATZ14*BlendedProvPayEss+AUA14*BlendedProvPayPrem+AUB14*BlendedProvPayElite,ATW15*BlendedProvPayEss+ATX15*BlendedProvPayPrem+ATY15*BlendedProvPayElite+ATZ15*BlendedProvPayEss+AUA15*BlendedProvPayPrem+AUB15*BlendedProvPayElite)</f>
        <v/>
      </c>
      <c r="AUQ15" s="12">
        <f>AUI15*PaymentFee</f>
        <v/>
      </c>
      <c r="AUR15" s="12">
        <f>AUC15*OpsAI</f>
        <v/>
      </c>
      <c r="AUS15" s="12">
        <f>MonthlyFixed</f>
        <v/>
      </c>
      <c r="AUT15" s="12">
        <f>ATM15*ReferralReward</f>
        <v/>
      </c>
      <c r="AUU15" s="12">
        <f>ATK15</f>
        <v/>
      </c>
      <c r="AUV15" s="9">
        <f>AUL15-AUP15-AUQ15-AUR15-AUS15-AUT15-AUU15</f>
        <v/>
      </c>
      <c r="AUW15" s="9">
        <f>AUW14+AUI15-(AUP15+AUQ15+AUR15+AUS15+AUT15+AUU15+AUN15)</f>
        <v/>
      </c>
      <c r="AUX15" s="12">
        <f>IF(AUC15&gt;0,AUD15/AUC15,0)</f>
        <v/>
      </c>
      <c r="AUY15" s="11">
        <f>IF(AUC14&gt;0,MAX(0,(AUC14+ATN15-AUC15)/AUC14),0)</f>
        <v/>
      </c>
      <c r="AVA15" s="12" t="n">
        <v>11</v>
      </c>
      <c r="AVB15" s="12">
        <f>MOD(AVA15-1+LaunchMonth-1,12)+1</f>
        <v/>
      </c>
      <c r="AVC15" s="12">
        <f>INT((AVA15-1+LaunchMonth-1)/12)+1</f>
        <v/>
      </c>
      <c r="AVD15" s="12">
        <f>VLOOKUP(AVB15,WinterPivotSeasonTable,5,FALSE)</f>
        <v/>
      </c>
      <c r="AVE15" s="12">
        <f>(1+InflationRate)^INT((AVA15-1)/12)</f>
        <v/>
      </c>
      <c r="AVF15" s="11">
        <f>MonthlyChurn*VLOOKUP(AVB15,WinterPivotChurnTable,6,FALSE)</f>
        <v/>
      </c>
      <c r="AVG15" s="12">
        <f>MIN(MAX(MktMin7_12,AWE14*MktPct7_12),MAX(0,AWS14-CashBuffer))</f>
        <v/>
      </c>
      <c r="AVH15" s="12">
        <f>IF(AVG15&gt;0,MAX(1,ROUND(AVG15/CAC*AVD15,0)),0)</f>
        <v/>
      </c>
      <c r="AVI15" s="12">
        <f>IF(AVH15&gt;0,ROUND(AVH15*ReferralMix/(1-ReferralMix),0),0)</f>
        <v/>
      </c>
      <c r="AVJ15" s="12">
        <f>AVH15+AVI15</f>
        <v/>
      </c>
      <c r="AVK15" s="12">
        <f>ROUND(AVJ15*(1-AnnualMix),0)</f>
        <v/>
      </c>
      <c r="AVL15" s="12">
        <f>AVJ15-AVK15</f>
        <v/>
      </c>
      <c r="AVM15" s="12">
        <f>ROUND(AVK15*'Sens - Winter Pivot'!$B$6,0)</f>
        <v/>
      </c>
      <c r="AVN15" s="12">
        <f>ROUND(AVK15*PremiumMix,0)</f>
        <v/>
      </c>
      <c r="AVO15" s="12">
        <f>AVK15-AVM15-AVN15</f>
        <v/>
      </c>
      <c r="AVP15" s="12">
        <f>ROUND(AVL15*'Sens - Winter Pivot'!$B$6,0)</f>
        <v/>
      </c>
      <c r="AVQ15" s="12">
        <f>ROUND(AVL15*PremiumMix,0)</f>
        <v/>
      </c>
      <c r="AVR15" s="12">
        <f>AVL15-AVP15-AVQ15</f>
        <v/>
      </c>
      <c r="AVS15" s="12">
        <f>AVM15+AVM14+AVM13+MAX(0,AVS14-AVM14-AVM13)*(1-AVF15)</f>
        <v/>
      </c>
      <c r="AVT15" s="12">
        <f>AVN15+AVN14+AVN13+MAX(0,AVT14-AVN14-AVN13)*(1-AVF15)</f>
        <v/>
      </c>
      <c r="AVU15" s="12">
        <f>AVO15+AVO14+AVO13+MAX(0,AVU14-AVO14-AVO13)*(1-AVF15)</f>
        <v/>
      </c>
      <c r="AVV15" s="12">
        <f>SUM(AVP$5:AVP15)</f>
        <v/>
      </c>
      <c r="AVW15" s="12">
        <f>SUM(AVQ$5:AVQ15)</f>
        <v/>
      </c>
      <c r="AVX15" s="12">
        <f>SUM(AVR$5:AVR15)</f>
        <v/>
      </c>
      <c r="AVY15" s="12">
        <f>AVS15+AVT15+AVU15+AVV15+AVW15+AVX15</f>
        <v/>
      </c>
      <c r="AVZ15" s="9">
        <f>AVS15*BlendedPriceEssMonthly*AVE15+AVT15*(BlendedPricePremMonthly+'Sens - Winter Pivot'!$B$7)*AVE15+AVU15*BlendedPriceEliteMonthly*AVE15+AVV15*BlendedPriceEssAnnual*AVE15/12+AVW15*(BlendedPricePremAnnual+'Sens - Winter Pivot'!$B$7*12)*AVE15/12+AVX15*BlendedPriceEliteAnnual*AVE15/12</f>
        <v/>
      </c>
      <c r="AWA15" s="9">
        <f>AVZ15*12</f>
        <v/>
      </c>
      <c r="AWB15" s="12">
        <f>AVS15*BlendedPriceEssMonthly*AVE15+AVT15*(BlendedPricePremMonthly+'Sens - Winter Pivot'!$B$7)*AVE15+AVU15*BlendedPriceEliteMonthly*AVE15</f>
        <v/>
      </c>
      <c r="AWC15" s="12">
        <f>AVP15*BlendedPriceEssAnnual*AVE15+AVQ15*(BlendedPricePremAnnual+'Sens - Winter Pivot'!$B$7*12)*AVE15+AVR15*BlendedPriceEliteAnnual*AVE15</f>
        <v/>
      </c>
      <c r="AWD15" s="12">
        <f>0+0+0</f>
        <v/>
      </c>
      <c r="AWE15" s="9">
        <f>AWB15+AWC15+AWD15</f>
        <v/>
      </c>
      <c r="AWF15" s="12">
        <f>SUM(AWE$5:AWE15)</f>
        <v/>
      </c>
      <c r="AWG15" s="12">
        <f>OR(AWG14,IF(VATAgentMode,SUM($AWE$5:$AWE15)-SUM($AWL$5:$AWL15)&gt;=VATThreshold,SUM($AWE$5:$AWE15)&gt;=VATThreshold))</f>
        <v/>
      </c>
      <c r="AWH15" s="9">
        <f>IF(AWG15,IF(VATAgentMode,AWE15-((AWE15-AWL15)-(AWE15-AWL15)/(1+VATRate)),AWE15/(1+VATRate)),AWE15)</f>
        <v/>
      </c>
      <c r="AWI15" s="12">
        <f>AWE15-AWH15</f>
        <v/>
      </c>
      <c r="AWJ15" s="12">
        <f>IF(AWG15=0,0,IF(AVB15=1,SUMPRODUCT(--(($AVC$5:$AVC15=$AVC15-1)*($AVB$5:$AVB15&gt;=10)*($AVB$5:$AVB15&lt;=12)),$AWI$5:$AWI15),IF(AVB15=4,SUMPRODUCT(--(($AVC$5:$AVC15=$AVC15)*($AVB$5:$AVB15&gt;=1)*($AVB$5:$AVB15&lt;=3)),$AWI$5:$AWI15),IF(AVB15=7,SUMPRODUCT(--(($AVC$5:$AVC15=$AVC15)*($AVB$5:$AVB15&gt;=4)*($AVB$5:$AVB15&lt;=6)),$AWI$5:$AWI15),IF(AVB15=10,SUMPRODUCT(--(($AVC$5:$AVC15=$AVC15)*($AVB$5:$AVB15&gt;=7)*($AVB$5:$AVB15&lt;=9)),$AWI$5:$AWI15),0)))))</f>
        <v/>
      </c>
      <c r="AWK15" s="12">
        <f>AWK14+AWI15-AWJ15</f>
        <v/>
      </c>
      <c r="AWL15" s="12">
        <f>IF(ProviderDelay&gt;=1,AVS14*BlendedProvPayEss+AVT14*BlendedProvPayPrem+AVU14*BlendedProvPayElite+AVV14*BlendedProvPayEss+AVW14*BlendedProvPayPrem+AVX14*BlendedProvPayElite,AVS15*BlendedProvPayEss+AVT15*BlendedProvPayPrem+AVU15*BlendedProvPayElite+AVV15*BlendedProvPayEss+AVW15*BlendedProvPayPrem+AVX15*BlendedProvPayElite)</f>
        <v/>
      </c>
      <c r="AWM15" s="12">
        <f>AWE15*PaymentFee</f>
        <v/>
      </c>
      <c r="AWN15" s="12">
        <f>AVY15*OpsAI</f>
        <v/>
      </c>
      <c r="AWO15" s="12">
        <f>MonthlyFixed</f>
        <v/>
      </c>
      <c r="AWP15" s="12">
        <f>AVI15*ReferralReward</f>
        <v/>
      </c>
      <c r="AWQ15" s="12">
        <f>AVG15</f>
        <v/>
      </c>
      <c r="AWR15" s="9">
        <f>AWH15-AWL15-AWM15-AWN15-AWO15-AWP15-AWQ15</f>
        <v/>
      </c>
      <c r="AWS15" s="9">
        <f>AWS14+AWE15-(AWL15+AWM15+AWN15+AWO15+AWP15+AWQ15+AWJ15)</f>
        <v/>
      </c>
      <c r="AWT15" s="12">
        <f>IF(AVY15&gt;0,AVZ15/AVY15,0)</f>
        <v/>
      </c>
      <c r="AWU15" s="11">
        <f>IF(AVY14&gt;0,MAX(0,(AVY14+AVJ15-AVY15)/AVY14),0)</f>
        <v/>
      </c>
    </row>
    <row r="16">
      <c r="A16" s="12" t="n">
        <v>12</v>
      </c>
      <c r="B16" s="12">
        <f>MOD(A16-1+LaunchMonth-1,12)+1</f>
        <v/>
      </c>
      <c r="C16" s="12">
        <f>INT((A16-1+LaunchMonth-1)/12)+1</f>
        <v/>
      </c>
      <c r="D16" s="12">
        <f>VLOOKUP(B16,SeasonTable,2,FALSE)</f>
        <v/>
      </c>
      <c r="E16" s="12">
        <f>(1+InflationRate)^INT((A16-1)/12)</f>
        <v/>
      </c>
      <c r="F16" s="11">
        <f>'Sens - Scenarios'!$B$5*VLOOKUP(B16,ChurnSeasonTable,4,FALSE)</f>
        <v/>
      </c>
      <c r="G16" s="12">
        <f>MIN(MAX(MktMin7_12,AE15*MktPct7_12),MAX(0,AS15-CashBuffer))</f>
        <v/>
      </c>
      <c r="H16" s="12">
        <f>IF(G16&gt;0,MAX(1,ROUND(G16/'Sens - Scenarios'!$B$8*D16,0)),0)</f>
        <v/>
      </c>
      <c r="I16" s="12">
        <f>IF(H16&gt;0,ROUND(H16*ReferralMix/(1-ReferralMix),0),0)</f>
        <v/>
      </c>
      <c r="J16" s="12">
        <f>H16+I16</f>
        <v/>
      </c>
      <c r="K16" s="12">
        <f>ROUND(J16*(1-'Sens - Scenarios'!$B$7),0)</f>
        <v/>
      </c>
      <c r="L16" s="12">
        <f>J16-K16</f>
        <v/>
      </c>
      <c r="M16" s="12">
        <f>ROUND(K16*EssentialMix,0)</f>
        <v/>
      </c>
      <c r="N16" s="12">
        <f>ROUND(K16*PremiumMix,0)</f>
        <v/>
      </c>
      <c r="O16" s="12">
        <f>K16-M16-N16</f>
        <v/>
      </c>
      <c r="P16" s="12">
        <f>ROUND(L16*EssentialMix,0)</f>
        <v/>
      </c>
      <c r="Q16" s="12">
        <f>ROUND(L16*PremiumMix,0)</f>
        <v/>
      </c>
      <c r="R16" s="12">
        <f>L16-P16-Q16</f>
        <v/>
      </c>
      <c r="S16" s="12">
        <f>M16+M15+M14+MAX(0,S15-M15-M14)*(1-F16)</f>
        <v/>
      </c>
      <c r="T16" s="12">
        <f>N16+N15+N14+MAX(0,T15-N15-N14)*(1-F16)</f>
        <v/>
      </c>
      <c r="U16" s="12">
        <f>O16+O15+O14+MAX(0,U15-O15-O14)*(1-F16)</f>
        <v/>
      </c>
      <c r="V16" s="12">
        <f>SUM(P$5:P16)</f>
        <v/>
      </c>
      <c r="W16" s="12">
        <f>SUM(Q$5:Q16)</f>
        <v/>
      </c>
      <c r="X16" s="12">
        <f>SUM(R$5:R16)</f>
        <v/>
      </c>
      <c r="Y16" s="12">
        <f>S16+T16+U16+V16+W16+X16</f>
        <v/>
      </c>
      <c r="Z16" s="9">
        <f>S16*BlendedPriceEssMonthly*E16+T16*BlendedPricePremMonthly*E16+U16*BlendedPriceEliteMonthly*E16+V16*BlendedPriceEssAnnual*E16/12+W16*BlendedPricePremAnnual*E16/12+X16*BlendedPriceEliteAnnual*E16/12</f>
        <v/>
      </c>
      <c r="AA16" s="9">
        <f>Z16*12</f>
        <v/>
      </c>
      <c r="AB16" s="12">
        <f>S16*BlendedPriceEssMonthly*E16+T16*BlendedPricePremMonthly*E16+U16*BlendedPriceEliteMonthly*E16</f>
        <v/>
      </c>
      <c r="AC16" s="12">
        <f>P16*BlendedPriceEssAnnual*E16+Q16*BlendedPricePremAnnual*E16+R16*BlendedPriceEliteAnnual*E16</f>
        <v/>
      </c>
      <c r="AD16" s="12">
        <f>0+0+0</f>
        <v/>
      </c>
      <c r="AE16" s="9">
        <f>AB16+AC16+AD16</f>
        <v/>
      </c>
      <c r="AF16" s="12">
        <f>SUM(AE5:AE16)</f>
        <v/>
      </c>
      <c r="AG16" s="12">
        <f>OR(AG15,IF(VATAgentMode,SUM($AE5:$AE16)-SUM($AL5:$AL16)&gt;=VATThreshold,SUM($AE5:$AE16)&gt;=VATThreshold))</f>
        <v/>
      </c>
      <c r="AH16" s="9">
        <f>IF(AG16,IF(VATAgentMode,AE16-((AE16-AL16)-(AE16-AL16)/(1+VATRate)),AE16/(1+VATRate)),AE16)</f>
        <v/>
      </c>
      <c r="AI16" s="12">
        <f>AE16-AH16</f>
        <v/>
      </c>
      <c r="AJ16" s="12">
        <f>IF(AG16=0,0,IF(B16=1,SUMPRODUCT(--(($C$5:$C16=$C16-1)*($B$5:$B16&gt;=10)*($B$5:$B16&lt;=12)),$AI$5:$AI16),IF(B16=4,SUMPRODUCT(--(($C$5:$C16=$C16)*($B$5:$B16&gt;=1)*($B$5:$B16&lt;=3)),$AI$5:$AI16),IF(B16=7,SUMPRODUCT(--(($C$5:$C16=$C16)*($B$5:$B16&gt;=4)*($B$5:$B16&lt;=6)),$AI$5:$AI16),IF(B16=10,SUMPRODUCT(--(($C$5:$C16=$C16)*($B$5:$B16&gt;=7)*($B$5:$B16&lt;=9)),$AI$5:$AI16),0)))))</f>
        <v/>
      </c>
      <c r="AK16" s="12">
        <f>AK15+AI16-AJ16</f>
        <v/>
      </c>
      <c r="AL16" s="12">
        <f>IF(ProviderDelay&gt;=1,S15*BlendedProvPayEss+T15*BlendedProvPayPrem+U15*BlendedProvPayElite+V15*BlendedProvPayEss+W15*BlendedProvPayPrem+X15*BlendedProvPayElite,S16*BlendedProvPayEss+T16*BlendedProvPayPrem+U16*BlendedProvPayElite+V16*BlendedProvPayEss+W16*BlendedProvPayPrem+X16*BlendedProvPayElite)</f>
        <v/>
      </c>
      <c r="AM16" s="12">
        <f>AE16*PaymentFee</f>
        <v/>
      </c>
      <c r="AN16" s="12">
        <f>Y16*OpsAI</f>
        <v/>
      </c>
      <c r="AO16" s="12">
        <f>MonthlyFixed</f>
        <v/>
      </c>
      <c r="AP16" s="12">
        <f>I16*ReferralReward</f>
        <v/>
      </c>
      <c r="AQ16" s="12">
        <f>G16</f>
        <v/>
      </c>
      <c r="AR16" s="9">
        <f>AH16-AL16-AM16-AN16-AO16-AP16-AQ16</f>
        <v/>
      </c>
      <c r="AS16" s="9">
        <f>AS15+AE16-(AL16+AM16+AN16+AO16+AP16+AQ16+AJ16)</f>
        <v/>
      </c>
      <c r="AT16" s="12">
        <f>IF(Y16&gt;0,Z16/Y16,0)</f>
        <v/>
      </c>
      <c r="AU16" s="11">
        <f>IF(Y15&gt;0,MAX(0,(Y15+J16-Y16)/Y15),0)</f>
        <v/>
      </c>
      <c r="AW16" s="12" t="n">
        <v>12</v>
      </c>
      <c r="AX16" s="12">
        <f>MOD(AW16-1+LaunchMonth-1,12)+1</f>
        <v/>
      </c>
      <c r="AY16" s="12">
        <f>INT((AW16-1+LaunchMonth-1)/12)+1</f>
        <v/>
      </c>
      <c r="AZ16" s="12">
        <f>VLOOKUP(AX16,SeasonTable,2,FALSE)</f>
        <v/>
      </c>
      <c r="BA16" s="12">
        <f>(1+InflationRate)^INT((AW16-1)/12)</f>
        <v/>
      </c>
      <c r="BB16" s="11">
        <f>MonthlyChurn*VLOOKUP(AX16,ChurnSeasonTable,4,FALSE)</f>
        <v/>
      </c>
      <c r="BC16" s="12">
        <f>MIN(MAX(MktMin7_12,CA15*MktPct7_12),MAX(0,CO15-CashBuffer))</f>
        <v/>
      </c>
      <c r="BD16" s="12">
        <f>IF(BC16&gt;0,MAX(1,ROUND(BC16/CAC*AZ16,0)),0)</f>
        <v/>
      </c>
      <c r="BE16" s="12">
        <f>IF(BD16&gt;0,ROUND(BD16*ReferralMix/(1-ReferralMix),0),0)</f>
        <v/>
      </c>
      <c r="BF16" s="12">
        <f>BD16+BE16</f>
        <v/>
      </c>
      <c r="BG16" s="12">
        <f>ROUND(BF16*(1-AnnualMix),0)</f>
        <v/>
      </c>
      <c r="BH16" s="12">
        <f>BF16-BG16</f>
        <v/>
      </c>
      <c r="BI16" s="12">
        <f>ROUND(BG16*EssentialMix,0)</f>
        <v/>
      </c>
      <c r="BJ16" s="12">
        <f>ROUND(BG16*PremiumMix,0)</f>
        <v/>
      </c>
      <c r="BK16" s="12">
        <f>BG16-BI16-BJ16</f>
        <v/>
      </c>
      <c r="BL16" s="12">
        <f>ROUND(BH16*EssentialMix,0)</f>
        <v/>
      </c>
      <c r="BM16" s="12">
        <f>ROUND(BH16*PremiumMix,0)</f>
        <v/>
      </c>
      <c r="BN16" s="12">
        <f>BH16-BL16-BM16</f>
        <v/>
      </c>
      <c r="BO16" s="12">
        <f>BI16+BI15+BI14+MAX(0,BO15-BI15-BI14)*(1-BB16)</f>
        <v/>
      </c>
      <c r="BP16" s="12">
        <f>BJ16+BJ15+BJ14+MAX(0,BP15-BJ15-BJ14)*(1-BB16)</f>
        <v/>
      </c>
      <c r="BQ16" s="12">
        <f>BK16+BK15+BK14+MAX(0,BQ15-BK15-BK14)*(1-BB16)</f>
        <v/>
      </c>
      <c r="BR16" s="12">
        <f>SUM(BL$5:BL16)</f>
        <v/>
      </c>
      <c r="BS16" s="12">
        <f>SUM(BM$5:BM16)</f>
        <v/>
      </c>
      <c r="BT16" s="12">
        <f>SUM(BN$5:BN16)</f>
        <v/>
      </c>
      <c r="BU16" s="12">
        <f>BO16+BP16+BQ16+BR16+BS16+BT16</f>
        <v/>
      </c>
      <c r="BV16" s="9">
        <f>BO16*BlendedPriceEssMonthly*BA16+BP16*BlendedPricePremMonthly*BA16+BQ16*BlendedPriceEliteMonthly*BA16+BR16*BlendedPriceEssAnnual*BA16/12+BS16*BlendedPricePremAnnual*BA16/12+BT16*BlendedPriceEliteAnnual*BA16/12</f>
        <v/>
      </c>
      <c r="BW16" s="9">
        <f>BV16*12</f>
        <v/>
      </c>
      <c r="BX16" s="12">
        <f>BO16*BlendedPriceEssMonthly*BA16+BP16*BlendedPricePremMonthly*BA16+BQ16*BlendedPriceEliteMonthly*BA16</f>
        <v/>
      </c>
      <c r="BY16" s="12">
        <f>BL16*BlendedPriceEssAnnual*BA16+BM16*BlendedPricePremAnnual*BA16+BN16*BlendedPriceEliteAnnual*BA16</f>
        <v/>
      </c>
      <c r="BZ16" s="12">
        <f>0+0+0</f>
        <v/>
      </c>
      <c r="CA16" s="9">
        <f>BX16+BY16+BZ16</f>
        <v/>
      </c>
      <c r="CB16" s="12">
        <f>SUM(CA5:CA16)</f>
        <v/>
      </c>
      <c r="CC16" s="12">
        <f>OR(CC15,IF(VATAgentMode,SUM($CA5:$CA16)-SUM($CH5:$CH16)&gt;=VATThreshold,SUM($CA5:$CA16)&gt;=VATThreshold))</f>
        <v/>
      </c>
      <c r="CD16" s="9">
        <f>IF(CC16,IF(VATAgentMode,CA16-((CA16-CH16)-(CA16-CH16)/(1+VATRate)),CA16/(1+VATRate)),CA16)</f>
        <v/>
      </c>
      <c r="CE16" s="12">
        <f>CA16-CD16</f>
        <v/>
      </c>
      <c r="CF16" s="12">
        <f>IF(CC16=0,0,IF(AX16=1,SUMPRODUCT(--(($AY$5:$AY16=$AY16-1)*($AX$5:$AX16&gt;=10)*($AX$5:$AX16&lt;=12)),$CE$5:$CE16),IF(AX16=4,SUMPRODUCT(--(($AY$5:$AY16=$AY16)*($AX$5:$AX16&gt;=1)*($AX$5:$AX16&lt;=3)),$CE$5:$CE16),IF(AX16=7,SUMPRODUCT(--(($AY$5:$AY16=$AY16)*($AX$5:$AX16&gt;=4)*($AX$5:$AX16&lt;=6)),$CE$5:$CE16),IF(AX16=10,SUMPRODUCT(--(($AY$5:$AY16=$AY16)*($AX$5:$AX16&gt;=7)*($AX$5:$AX16&lt;=9)),$CE$5:$CE16),0)))))</f>
        <v/>
      </c>
      <c r="CG16" s="12">
        <f>CG15+CE16-CF16</f>
        <v/>
      </c>
      <c r="CH16" s="12">
        <f>IF(ProviderDelay&gt;=1,BO15*BlendedProvPayEss+BP15*BlendedProvPayPrem+BQ15*BlendedProvPayElite+BR15*BlendedProvPayEss+BS15*BlendedProvPayPrem+BT15*BlendedProvPayElite,BO16*BlendedProvPayEss+BP16*BlendedProvPayPrem+BQ16*BlendedProvPayElite+BR16*BlendedProvPayEss+BS16*BlendedProvPayPrem+BT16*BlendedProvPayElite)</f>
        <v/>
      </c>
      <c r="CI16" s="12">
        <f>CA16*PaymentFee</f>
        <v/>
      </c>
      <c r="CJ16" s="12">
        <f>BU16*OpsAI</f>
        <v/>
      </c>
      <c r="CK16" s="12">
        <f>MonthlyFixed</f>
        <v/>
      </c>
      <c r="CL16" s="12">
        <f>BE16*ReferralReward</f>
        <v/>
      </c>
      <c r="CM16" s="12">
        <f>BC16</f>
        <v/>
      </c>
      <c r="CN16" s="9">
        <f>CD16-CH16-CI16-CJ16-CK16-CL16-CM16</f>
        <v/>
      </c>
      <c r="CO16" s="9">
        <f>CO15+CA16-(CH16+CI16+CJ16+CK16+CL16+CM16+CF16)</f>
        <v/>
      </c>
      <c r="CP16" s="12">
        <f>IF(BU16&gt;0,BV16/BU16,0)</f>
        <v/>
      </c>
      <c r="CQ16" s="11">
        <f>IF(BU15&gt;0,MAX(0,(BU15+BF16-BU16)/BU15),0)</f>
        <v/>
      </c>
      <c r="CS16" s="12" t="n">
        <v>12</v>
      </c>
      <c r="CT16" s="12">
        <f>MOD(CS16-1+LaunchMonth-1,12)+1</f>
        <v/>
      </c>
      <c r="CU16" s="12">
        <f>INT((CS16-1+LaunchMonth-1)/12)+1</f>
        <v/>
      </c>
      <c r="CV16" s="12">
        <f>VLOOKUP(CT16,SeasonTable,2,FALSE)</f>
        <v/>
      </c>
      <c r="CW16" s="12">
        <f>(1+InflationRate)^INT((CS16-1)/12)</f>
        <v/>
      </c>
      <c r="CX16" s="11">
        <f>'Sens - Scenarios'!$D$5*VLOOKUP(CT16,ChurnSeasonTable,4,FALSE)</f>
        <v/>
      </c>
      <c r="CY16" s="12">
        <f>MIN(MAX(MktMin7_12,DW15*MktPct7_12),MAX(0,EK15-CashBuffer))</f>
        <v/>
      </c>
      <c r="CZ16" s="12">
        <f>IF(CY16&gt;0,MAX(1,ROUND(CY16/'Sens - Scenarios'!$D$8*CV16,0)),0)</f>
        <v/>
      </c>
      <c r="DA16" s="12">
        <f>IF(CZ16&gt;0,ROUND(CZ16*ReferralMix/(1-ReferralMix),0),0)</f>
        <v/>
      </c>
      <c r="DB16" s="12">
        <f>CZ16+DA16</f>
        <v/>
      </c>
      <c r="DC16" s="12">
        <f>ROUND(DB16*(1-'Sens - Scenarios'!$D$7),0)</f>
        <v/>
      </c>
      <c r="DD16" s="12">
        <f>DB16-DC16</f>
        <v/>
      </c>
      <c r="DE16" s="12">
        <f>ROUND(DC16*EssentialMix,0)</f>
        <v/>
      </c>
      <c r="DF16" s="12">
        <f>ROUND(DC16*PremiumMix,0)</f>
        <v/>
      </c>
      <c r="DG16" s="12">
        <f>DC16-DE16-DF16</f>
        <v/>
      </c>
      <c r="DH16" s="12">
        <f>ROUND(DD16*EssentialMix,0)</f>
        <v/>
      </c>
      <c r="DI16" s="12">
        <f>ROUND(DD16*PremiumMix,0)</f>
        <v/>
      </c>
      <c r="DJ16" s="12">
        <f>DD16-DH16-DI16</f>
        <v/>
      </c>
      <c r="DK16" s="12">
        <f>DE16+DE15+DE14+MAX(0,DK15-DE15-DE14)*(1-CX16)</f>
        <v/>
      </c>
      <c r="DL16" s="12">
        <f>DF16+DF15+DF14+MAX(0,DL15-DF15-DF14)*(1-CX16)</f>
        <v/>
      </c>
      <c r="DM16" s="12">
        <f>DG16+DG15+DG14+MAX(0,DM15-DG15-DG14)*(1-CX16)</f>
        <v/>
      </c>
      <c r="DN16" s="12">
        <f>SUM(DH$5:DH16)</f>
        <v/>
      </c>
      <c r="DO16" s="12">
        <f>SUM(DI$5:DI16)</f>
        <v/>
      </c>
      <c r="DP16" s="12">
        <f>SUM(DJ$5:DJ16)</f>
        <v/>
      </c>
      <c r="DQ16" s="12">
        <f>DK16+DL16+DM16+DN16+DO16+DP16</f>
        <v/>
      </c>
      <c r="DR16" s="9">
        <f>DK16*BlendedPriceEssMonthly*CW16+DL16*BlendedPricePremMonthly*CW16+DM16*BlendedPriceEliteMonthly*CW16+DN16*BlendedPriceEssAnnual*CW16/12+DO16*BlendedPricePremAnnual*CW16/12+DP16*BlendedPriceEliteAnnual*CW16/12</f>
        <v/>
      </c>
      <c r="DS16" s="9">
        <f>DR16*12</f>
        <v/>
      </c>
      <c r="DT16" s="12">
        <f>DK16*BlendedPriceEssMonthly*CW16+DL16*BlendedPricePremMonthly*CW16+DM16*BlendedPriceEliteMonthly*CW16</f>
        <v/>
      </c>
      <c r="DU16" s="12">
        <f>DH16*BlendedPriceEssAnnual*CW16+DI16*BlendedPricePremAnnual*CW16+DJ16*BlendedPriceEliteAnnual*CW16</f>
        <v/>
      </c>
      <c r="DV16" s="12">
        <f>0+0+0</f>
        <v/>
      </c>
      <c r="DW16" s="9">
        <f>DT16+DU16+DV16</f>
        <v/>
      </c>
      <c r="DX16" s="12">
        <f>SUM(DW5:DW16)</f>
        <v/>
      </c>
      <c r="DY16" s="12">
        <f>OR(DY15,IF(VATAgentMode,SUM($DW5:$DW16)-SUM($ED5:$ED16)&gt;=VATThreshold,SUM($DW5:$DW16)&gt;=VATThreshold))</f>
        <v/>
      </c>
      <c r="DZ16" s="9">
        <f>IF(DY16,IF(VATAgentMode,DW16-((DW16-ED16)-(DW16-ED16)/(1+VATRate)),DW16/(1+VATRate)),DW16)</f>
        <v/>
      </c>
      <c r="EA16" s="12">
        <f>DW16-DZ16</f>
        <v/>
      </c>
      <c r="EB16" s="12">
        <f>IF(DY16=0,0,IF(CT16=1,SUMPRODUCT(--(($CU$5:$CU16=$CU16-1)*($CT$5:$CT16&gt;=10)*($CT$5:$CT16&lt;=12)),$EA$5:$EA16),IF(CT16=4,SUMPRODUCT(--(($CU$5:$CU16=$CU16)*($CT$5:$CT16&gt;=1)*($CT$5:$CT16&lt;=3)),$EA$5:$EA16),IF(CT16=7,SUMPRODUCT(--(($CU$5:$CU16=$CU16)*($CT$5:$CT16&gt;=4)*($CT$5:$CT16&lt;=6)),$EA$5:$EA16),IF(CT16=10,SUMPRODUCT(--(($CU$5:$CU16=$CU16)*($CT$5:$CT16&gt;=7)*($CT$5:$CT16&lt;=9)),$EA$5:$EA16),0)))))</f>
        <v/>
      </c>
      <c r="EC16" s="12">
        <f>EC15+EA16-EB16</f>
        <v/>
      </c>
      <c r="ED16" s="12">
        <f>IF(ProviderDelay&gt;=1,DK15*BlendedProvPayEss+DL15*BlendedProvPayPrem+DM15*BlendedProvPayElite+DN15*BlendedProvPayEss+DO15*BlendedProvPayPrem+DP15*BlendedProvPayElite,DK16*BlendedProvPayEss+DL16*BlendedProvPayPrem+DM16*BlendedProvPayElite+DN16*BlendedProvPayEss+DO16*BlendedProvPayPrem+DP16*BlendedProvPayElite)</f>
        <v/>
      </c>
      <c r="EE16" s="12">
        <f>DW16*PaymentFee</f>
        <v/>
      </c>
      <c r="EF16" s="12">
        <f>DQ16*OpsAI</f>
        <v/>
      </c>
      <c r="EG16" s="12">
        <f>MonthlyFixed</f>
        <v/>
      </c>
      <c r="EH16" s="12">
        <f>DA16*ReferralReward</f>
        <v/>
      </c>
      <c r="EI16" s="12">
        <f>CY16</f>
        <v/>
      </c>
      <c r="EJ16" s="9">
        <f>DZ16-ED16-EE16-EF16-EG16-EH16-EI16</f>
        <v/>
      </c>
      <c r="EK16" s="9">
        <f>EK15+DW16-(ED16+EE16+EF16+EG16+EH16+EI16+EB16)</f>
        <v/>
      </c>
      <c r="EL16" s="12">
        <f>IF(DQ16&gt;0,DR16/DQ16,0)</f>
        <v/>
      </c>
      <c r="EM16" s="11">
        <f>IF(DQ15&gt;0,MAX(0,(DQ15+DB16-DQ16)/DQ15),0)</f>
        <v/>
      </c>
      <c r="EO16" s="12" t="n">
        <v>12</v>
      </c>
      <c r="EP16" s="12">
        <f>MOD(EO16-1+LaunchMonth-1,12)+1</f>
        <v/>
      </c>
      <c r="EQ16" s="12">
        <f>INT((EO16-1+LaunchMonth-1)/12)+1</f>
        <v/>
      </c>
      <c r="ER16" s="12">
        <f>VLOOKUP(EP16,SeasonTable,2,FALSE)</f>
        <v/>
      </c>
      <c r="ES16" s="12">
        <f>(1+InflationRate)^INT((EO16-1)/12)</f>
        <v/>
      </c>
      <c r="ET16" s="11">
        <f>'Sens - Churn'!$A$13*VLOOKUP(EP16,ChurnSeasonTable,4,FALSE)</f>
        <v/>
      </c>
      <c r="EU16" s="12">
        <f>MIN(MAX(MktMin7_12,FS15*MktPct7_12),MAX(0,GG15-CashBuffer))</f>
        <v/>
      </c>
      <c r="EV16" s="12">
        <f>IF(EU16&gt;0,MAX(1,ROUND(EU16/CAC*ER16,0)),0)</f>
        <v/>
      </c>
      <c r="EW16" s="12">
        <f>IF(EV16&gt;0,ROUND(EV16*ReferralMix/(1-ReferralMix),0),0)</f>
        <v/>
      </c>
      <c r="EX16" s="12">
        <f>EV16+EW16</f>
        <v/>
      </c>
      <c r="EY16" s="12">
        <f>ROUND(EX16*(1-AnnualMix),0)</f>
        <v/>
      </c>
      <c r="EZ16" s="12">
        <f>EX16-EY16</f>
        <v/>
      </c>
      <c r="FA16" s="12">
        <f>ROUND(EY16*EssentialMix,0)</f>
        <v/>
      </c>
      <c r="FB16" s="12">
        <f>ROUND(EY16*PremiumMix,0)</f>
        <v/>
      </c>
      <c r="FC16" s="12">
        <f>EY16-FA16-FB16</f>
        <v/>
      </c>
      <c r="FD16" s="12">
        <f>ROUND(EZ16*EssentialMix,0)</f>
        <v/>
      </c>
      <c r="FE16" s="12">
        <f>ROUND(EZ16*PremiumMix,0)</f>
        <v/>
      </c>
      <c r="FF16" s="12">
        <f>EZ16-FD16-FE16</f>
        <v/>
      </c>
      <c r="FG16" s="12">
        <f>FA16+FA15+FA14+MAX(0,FG15-FA15-FA14)*(1-ET16)</f>
        <v/>
      </c>
      <c r="FH16" s="12">
        <f>FB16+FB15+FB14+MAX(0,FH15-FB15-FB14)*(1-ET16)</f>
        <v/>
      </c>
      <c r="FI16" s="12">
        <f>FC16+FC15+FC14+MAX(0,FI15-FC15-FC14)*(1-ET16)</f>
        <v/>
      </c>
      <c r="FJ16" s="12">
        <f>SUM(FD$5:FD16)</f>
        <v/>
      </c>
      <c r="FK16" s="12">
        <f>SUM(FE$5:FE16)</f>
        <v/>
      </c>
      <c r="FL16" s="12">
        <f>SUM(FF$5:FF16)</f>
        <v/>
      </c>
      <c r="FM16" s="12">
        <f>FG16+FH16+FI16+FJ16+FK16+FL16</f>
        <v/>
      </c>
      <c r="FN16" s="9">
        <f>FG16*BlendedPriceEssMonthly*ES16+FH16*BlendedPricePremMonthly*ES16+FI16*BlendedPriceEliteMonthly*ES16+FJ16*BlendedPriceEssAnnual*ES16/12+FK16*BlendedPricePremAnnual*ES16/12+FL16*BlendedPriceEliteAnnual*ES16/12</f>
        <v/>
      </c>
      <c r="FO16" s="9">
        <f>FN16*12</f>
        <v/>
      </c>
      <c r="FP16" s="12">
        <f>FG16*BlendedPriceEssMonthly*ES16+FH16*BlendedPricePremMonthly*ES16+FI16*BlendedPriceEliteMonthly*ES16</f>
        <v/>
      </c>
      <c r="FQ16" s="12">
        <f>FD16*BlendedPriceEssAnnual*ES16+FE16*BlendedPricePremAnnual*ES16+FF16*BlendedPriceEliteAnnual*ES16</f>
        <v/>
      </c>
      <c r="FR16" s="12">
        <f>0+0+0</f>
        <v/>
      </c>
      <c r="FS16" s="9">
        <f>FP16+FQ16+FR16</f>
        <v/>
      </c>
      <c r="FT16" s="12">
        <f>SUM(FS5:FS16)</f>
        <v/>
      </c>
      <c r="FU16" s="12">
        <f>OR(FU15,IF(VATAgentMode,SUM($FS5:$FS16)-SUM($FZ5:$FZ16)&gt;=VATThreshold,SUM($FS5:$FS16)&gt;=VATThreshold))</f>
        <v/>
      </c>
      <c r="FV16" s="9">
        <f>IF(FU16,IF(VATAgentMode,FS16-((FS16-FZ16)-(FS16-FZ16)/(1+VATRate)),FS16/(1+VATRate)),FS16)</f>
        <v/>
      </c>
      <c r="FW16" s="12">
        <f>FS16-FV16</f>
        <v/>
      </c>
      <c r="FX16" s="12">
        <f>IF(FU16=0,0,IF(EP16=1,SUMPRODUCT(--(($EQ$5:$EQ16=$EQ16-1)*($EP$5:$EP16&gt;=10)*($EP$5:$EP16&lt;=12)),$FW$5:$FW16),IF(EP16=4,SUMPRODUCT(--(($EQ$5:$EQ16=$EQ16)*($EP$5:$EP16&gt;=1)*($EP$5:$EP16&lt;=3)),$FW$5:$FW16),IF(EP16=7,SUMPRODUCT(--(($EQ$5:$EQ16=$EQ16)*($EP$5:$EP16&gt;=4)*($EP$5:$EP16&lt;=6)),$FW$5:$FW16),IF(EP16=10,SUMPRODUCT(--(($EQ$5:$EQ16=$EQ16)*($EP$5:$EP16&gt;=7)*($EP$5:$EP16&lt;=9)),$FW$5:$FW16),0)))))</f>
        <v/>
      </c>
      <c r="FY16" s="12">
        <f>FY15+FW16-FX16</f>
        <v/>
      </c>
      <c r="FZ16" s="12">
        <f>IF(ProviderDelay&gt;=1,FG15*BlendedProvPayEss+FH15*BlendedProvPayPrem+FI15*BlendedProvPayElite+FJ15*BlendedProvPayEss+FK15*BlendedProvPayPrem+FL15*BlendedProvPayElite,FG16*BlendedProvPayEss+FH16*BlendedProvPayPrem+FI16*BlendedProvPayElite+FJ16*BlendedProvPayEss+FK16*BlendedProvPayPrem+FL16*BlendedProvPayElite)</f>
        <v/>
      </c>
      <c r="GA16" s="12">
        <f>FS16*PaymentFee</f>
        <v/>
      </c>
      <c r="GB16" s="12">
        <f>FM16*OpsAI</f>
        <v/>
      </c>
      <c r="GC16" s="12">
        <f>MonthlyFixed</f>
        <v/>
      </c>
      <c r="GD16" s="12">
        <f>EW16*ReferralReward</f>
        <v/>
      </c>
      <c r="GE16" s="12">
        <f>EU16</f>
        <v/>
      </c>
      <c r="GF16" s="9">
        <f>FV16-FZ16-GA16-GB16-GC16-GD16-GE16</f>
        <v/>
      </c>
      <c r="GG16" s="9">
        <f>GG15+FS16-(FZ16+GA16+GB16+GC16+GD16+GE16+FX16)</f>
        <v/>
      </c>
      <c r="GH16" s="12">
        <f>IF(FM16&gt;0,FN16/FM16,0)</f>
        <v/>
      </c>
      <c r="GI16" s="11">
        <f>IF(FM15&gt;0,MAX(0,(FM15+EX16-FM16)/FM15),0)</f>
        <v/>
      </c>
      <c r="GK16" s="12" t="n">
        <v>12</v>
      </c>
      <c r="GL16" s="12">
        <f>MOD(GK16-1+LaunchMonth-1,12)+1</f>
        <v/>
      </c>
      <c r="GM16" s="12">
        <f>INT((GK16-1+LaunchMonth-1)/12)+1</f>
        <v/>
      </c>
      <c r="GN16" s="12">
        <f>VLOOKUP(GL16,SeasonTable,2,FALSE)</f>
        <v/>
      </c>
      <c r="GO16" s="12">
        <f>(1+InflationRate)^INT((GK16-1)/12)</f>
        <v/>
      </c>
      <c r="GP16" s="11">
        <f>'Sens - Churn'!$A$14*VLOOKUP(GL16,ChurnSeasonTable,4,FALSE)</f>
        <v/>
      </c>
      <c r="GQ16" s="12">
        <f>MIN(MAX(MktMin7_12,HO15*MktPct7_12),MAX(0,IC15-CashBuffer))</f>
        <v/>
      </c>
      <c r="GR16" s="12">
        <f>IF(GQ16&gt;0,MAX(1,ROUND(GQ16/CAC*GN16,0)),0)</f>
        <v/>
      </c>
      <c r="GS16" s="12">
        <f>IF(GR16&gt;0,ROUND(GR16*ReferralMix/(1-ReferralMix),0),0)</f>
        <v/>
      </c>
      <c r="GT16" s="12">
        <f>GR16+GS16</f>
        <v/>
      </c>
      <c r="GU16" s="12">
        <f>ROUND(GT16*(1-AnnualMix),0)</f>
        <v/>
      </c>
      <c r="GV16" s="12">
        <f>GT16-GU16</f>
        <v/>
      </c>
      <c r="GW16" s="12">
        <f>ROUND(GU16*EssentialMix,0)</f>
        <v/>
      </c>
      <c r="GX16" s="12">
        <f>ROUND(GU16*PremiumMix,0)</f>
        <v/>
      </c>
      <c r="GY16" s="12">
        <f>GU16-GW16-GX16</f>
        <v/>
      </c>
      <c r="GZ16" s="12">
        <f>ROUND(GV16*EssentialMix,0)</f>
        <v/>
      </c>
      <c r="HA16" s="12">
        <f>ROUND(GV16*PremiumMix,0)</f>
        <v/>
      </c>
      <c r="HB16" s="12">
        <f>GV16-GZ16-HA16</f>
        <v/>
      </c>
      <c r="HC16" s="12">
        <f>GW16+GW15+GW14+MAX(0,HC15-GW15-GW14)*(1-GP16)</f>
        <v/>
      </c>
      <c r="HD16" s="12">
        <f>GX16+GX15+GX14+MAX(0,HD15-GX15-GX14)*(1-GP16)</f>
        <v/>
      </c>
      <c r="HE16" s="12">
        <f>GY16+GY15+GY14+MAX(0,HE15-GY15-GY14)*(1-GP16)</f>
        <v/>
      </c>
      <c r="HF16" s="12">
        <f>SUM(GZ$5:GZ16)</f>
        <v/>
      </c>
      <c r="HG16" s="12">
        <f>SUM(HA$5:HA16)</f>
        <v/>
      </c>
      <c r="HH16" s="12">
        <f>SUM(HB$5:HB16)</f>
        <v/>
      </c>
      <c r="HI16" s="12">
        <f>HC16+HD16+HE16+HF16+HG16+HH16</f>
        <v/>
      </c>
      <c r="HJ16" s="9">
        <f>HC16*BlendedPriceEssMonthly*GO16+HD16*BlendedPricePremMonthly*GO16+HE16*BlendedPriceEliteMonthly*GO16+HF16*BlendedPriceEssAnnual*GO16/12+HG16*BlendedPricePremAnnual*GO16/12+HH16*BlendedPriceEliteAnnual*GO16/12</f>
        <v/>
      </c>
      <c r="HK16" s="9">
        <f>HJ16*12</f>
        <v/>
      </c>
      <c r="HL16" s="12">
        <f>HC16*BlendedPriceEssMonthly*GO16+HD16*BlendedPricePremMonthly*GO16+HE16*BlendedPriceEliteMonthly*GO16</f>
        <v/>
      </c>
      <c r="HM16" s="12">
        <f>GZ16*BlendedPriceEssAnnual*GO16+HA16*BlendedPricePremAnnual*GO16+HB16*BlendedPriceEliteAnnual*GO16</f>
        <v/>
      </c>
      <c r="HN16" s="12">
        <f>0+0+0</f>
        <v/>
      </c>
      <c r="HO16" s="9">
        <f>HL16+HM16+HN16</f>
        <v/>
      </c>
      <c r="HP16" s="12">
        <f>SUM(HO5:HO16)</f>
        <v/>
      </c>
      <c r="HQ16" s="12">
        <f>OR(HQ15,IF(VATAgentMode,SUM($HO5:$HO16)-SUM($HV5:$HV16)&gt;=VATThreshold,SUM($HO5:$HO16)&gt;=VATThreshold))</f>
        <v/>
      </c>
      <c r="HR16" s="9">
        <f>IF(HQ16,IF(VATAgentMode,HO16-((HO16-HV16)-(HO16-HV16)/(1+VATRate)),HO16/(1+VATRate)),HO16)</f>
        <v/>
      </c>
      <c r="HS16" s="12">
        <f>HO16-HR16</f>
        <v/>
      </c>
      <c r="HT16" s="12">
        <f>IF(HQ16=0,0,IF(GL16=1,SUMPRODUCT(--(($GM$5:$GM16=$GM16-1)*($GL$5:$GL16&gt;=10)*($GL$5:$GL16&lt;=12)),$HS$5:$HS16),IF(GL16=4,SUMPRODUCT(--(($GM$5:$GM16=$GM16)*($GL$5:$GL16&gt;=1)*($GL$5:$GL16&lt;=3)),$HS$5:$HS16),IF(GL16=7,SUMPRODUCT(--(($GM$5:$GM16=$GM16)*($GL$5:$GL16&gt;=4)*($GL$5:$GL16&lt;=6)),$HS$5:$HS16),IF(GL16=10,SUMPRODUCT(--(($GM$5:$GM16=$GM16)*($GL$5:$GL16&gt;=7)*($GL$5:$GL16&lt;=9)),$HS$5:$HS16),0)))))</f>
        <v/>
      </c>
      <c r="HU16" s="12">
        <f>HU15+HS16-HT16</f>
        <v/>
      </c>
      <c r="HV16" s="12">
        <f>IF(ProviderDelay&gt;=1,HC15*BlendedProvPayEss+HD15*BlendedProvPayPrem+HE15*BlendedProvPayElite+HF15*BlendedProvPayEss+HG15*BlendedProvPayPrem+HH15*BlendedProvPayElite,HC16*BlendedProvPayEss+HD16*BlendedProvPayPrem+HE16*BlendedProvPayElite+HF16*BlendedProvPayEss+HG16*BlendedProvPayPrem+HH16*BlendedProvPayElite)</f>
        <v/>
      </c>
      <c r="HW16" s="12">
        <f>HO16*PaymentFee</f>
        <v/>
      </c>
      <c r="HX16" s="12">
        <f>HI16*OpsAI</f>
        <v/>
      </c>
      <c r="HY16" s="12">
        <f>MonthlyFixed</f>
        <v/>
      </c>
      <c r="HZ16" s="12">
        <f>GS16*ReferralReward</f>
        <v/>
      </c>
      <c r="IA16" s="12">
        <f>GQ16</f>
        <v/>
      </c>
      <c r="IB16" s="9">
        <f>HR16-HV16-HW16-HX16-HY16-HZ16-IA16</f>
        <v/>
      </c>
      <c r="IC16" s="9">
        <f>IC15+HO16-(HV16+HW16+HX16+HY16+HZ16+IA16+HT16)</f>
        <v/>
      </c>
      <c r="ID16" s="12">
        <f>IF(HI16&gt;0,HJ16/HI16,0)</f>
        <v/>
      </c>
      <c r="IE16" s="11">
        <f>IF(HI15&gt;0,MAX(0,(HI15+GT16-HI16)/HI15),0)</f>
        <v/>
      </c>
      <c r="IG16" s="12" t="n">
        <v>12</v>
      </c>
      <c r="IH16" s="12">
        <f>MOD(IG16-1+LaunchMonth-1,12)+1</f>
        <v/>
      </c>
      <c r="II16" s="12">
        <f>INT((IG16-1+LaunchMonth-1)/12)+1</f>
        <v/>
      </c>
      <c r="IJ16" s="12">
        <f>VLOOKUP(IH16,SeasonTable,2,FALSE)</f>
        <v/>
      </c>
      <c r="IK16" s="12">
        <f>(1+InflationRate)^INT((IG16-1)/12)</f>
        <v/>
      </c>
      <c r="IL16" s="11">
        <f>'Sens - Churn'!$A$15*VLOOKUP(IH16,ChurnSeasonTable,4,FALSE)</f>
        <v/>
      </c>
      <c r="IM16" s="12">
        <f>MIN(MAX(MktMin7_12,JK15*MktPct7_12),MAX(0,JY15-CashBuffer))</f>
        <v/>
      </c>
      <c r="IN16" s="12">
        <f>IF(IM16&gt;0,MAX(1,ROUND(IM16/CAC*IJ16,0)),0)</f>
        <v/>
      </c>
      <c r="IO16" s="12">
        <f>IF(IN16&gt;0,ROUND(IN16*ReferralMix/(1-ReferralMix),0),0)</f>
        <v/>
      </c>
      <c r="IP16" s="12">
        <f>IN16+IO16</f>
        <v/>
      </c>
      <c r="IQ16" s="12">
        <f>ROUND(IP16*(1-AnnualMix),0)</f>
        <v/>
      </c>
      <c r="IR16" s="12">
        <f>IP16-IQ16</f>
        <v/>
      </c>
      <c r="IS16" s="12">
        <f>ROUND(IQ16*EssentialMix,0)</f>
        <v/>
      </c>
      <c r="IT16" s="12">
        <f>ROUND(IQ16*PremiumMix,0)</f>
        <v/>
      </c>
      <c r="IU16" s="12">
        <f>IQ16-IS16-IT16</f>
        <v/>
      </c>
      <c r="IV16" s="12">
        <f>ROUND(IR16*EssentialMix,0)</f>
        <v/>
      </c>
      <c r="IW16" s="12">
        <f>ROUND(IR16*PremiumMix,0)</f>
        <v/>
      </c>
      <c r="IX16" s="12">
        <f>IR16-IV16-IW16</f>
        <v/>
      </c>
      <c r="IY16" s="12">
        <f>IS16+IS15+IS14+MAX(0,IY15-IS15-IS14)*(1-IL16)</f>
        <v/>
      </c>
      <c r="IZ16" s="12">
        <f>IT16+IT15+IT14+MAX(0,IZ15-IT15-IT14)*(1-IL16)</f>
        <v/>
      </c>
      <c r="JA16" s="12">
        <f>IU16+IU15+IU14+MAX(0,JA15-IU15-IU14)*(1-IL16)</f>
        <v/>
      </c>
      <c r="JB16" s="12">
        <f>SUM(IV$5:IV16)</f>
        <v/>
      </c>
      <c r="JC16" s="12">
        <f>SUM(IW$5:IW16)</f>
        <v/>
      </c>
      <c r="JD16" s="12">
        <f>SUM(IX$5:IX16)</f>
        <v/>
      </c>
      <c r="JE16" s="12">
        <f>IY16+IZ16+JA16+JB16+JC16+JD16</f>
        <v/>
      </c>
      <c r="JF16" s="9">
        <f>IY16*BlendedPriceEssMonthly*IK16+IZ16*BlendedPricePremMonthly*IK16+JA16*BlendedPriceEliteMonthly*IK16+JB16*BlendedPriceEssAnnual*IK16/12+JC16*BlendedPricePremAnnual*IK16/12+JD16*BlendedPriceEliteAnnual*IK16/12</f>
        <v/>
      </c>
      <c r="JG16" s="9">
        <f>JF16*12</f>
        <v/>
      </c>
      <c r="JH16" s="12">
        <f>IY16*BlendedPriceEssMonthly*IK16+IZ16*BlendedPricePremMonthly*IK16+JA16*BlendedPriceEliteMonthly*IK16</f>
        <v/>
      </c>
      <c r="JI16" s="12">
        <f>IV16*BlendedPriceEssAnnual*IK16+IW16*BlendedPricePremAnnual*IK16+IX16*BlendedPriceEliteAnnual*IK16</f>
        <v/>
      </c>
      <c r="JJ16" s="12">
        <f>0+0+0</f>
        <v/>
      </c>
      <c r="JK16" s="9">
        <f>JH16+JI16+JJ16</f>
        <v/>
      </c>
      <c r="JL16" s="12">
        <f>SUM(JK5:JK16)</f>
        <v/>
      </c>
      <c r="JM16" s="12">
        <f>OR(JM15,IF(VATAgentMode,SUM($JK5:$JK16)-SUM($JR5:$JR16)&gt;=VATThreshold,SUM($JK5:$JK16)&gt;=VATThreshold))</f>
        <v/>
      </c>
      <c r="JN16" s="9">
        <f>IF(JM16,IF(VATAgentMode,JK16-((JK16-JR16)-(JK16-JR16)/(1+VATRate)),JK16/(1+VATRate)),JK16)</f>
        <v/>
      </c>
      <c r="JO16" s="12">
        <f>JK16-JN16</f>
        <v/>
      </c>
      <c r="JP16" s="12">
        <f>IF(JM16=0,0,IF(IH16=1,SUMPRODUCT(--(($II$5:$II16=$II16-1)*($IH$5:$IH16&gt;=10)*($IH$5:$IH16&lt;=12)),$JO$5:$JO16),IF(IH16=4,SUMPRODUCT(--(($II$5:$II16=$II16)*($IH$5:$IH16&gt;=1)*($IH$5:$IH16&lt;=3)),$JO$5:$JO16),IF(IH16=7,SUMPRODUCT(--(($II$5:$II16=$II16)*($IH$5:$IH16&gt;=4)*($IH$5:$IH16&lt;=6)),$JO$5:$JO16),IF(IH16=10,SUMPRODUCT(--(($II$5:$II16=$II16)*($IH$5:$IH16&gt;=7)*($IH$5:$IH16&lt;=9)),$JO$5:$JO16),0)))))</f>
        <v/>
      </c>
      <c r="JQ16" s="12">
        <f>JQ15+JO16-JP16</f>
        <v/>
      </c>
      <c r="JR16" s="12">
        <f>IF(ProviderDelay&gt;=1,IY15*BlendedProvPayEss+IZ15*BlendedProvPayPrem+JA15*BlendedProvPayElite+JB15*BlendedProvPayEss+JC15*BlendedProvPayPrem+JD15*BlendedProvPayElite,IY16*BlendedProvPayEss+IZ16*BlendedProvPayPrem+JA16*BlendedProvPayElite+JB16*BlendedProvPayEss+JC16*BlendedProvPayPrem+JD16*BlendedProvPayElite)</f>
        <v/>
      </c>
      <c r="JS16" s="12">
        <f>JK16*PaymentFee</f>
        <v/>
      </c>
      <c r="JT16" s="12">
        <f>JE16*OpsAI</f>
        <v/>
      </c>
      <c r="JU16" s="12">
        <f>MonthlyFixed</f>
        <v/>
      </c>
      <c r="JV16" s="12">
        <f>IO16*ReferralReward</f>
        <v/>
      </c>
      <c r="JW16" s="12">
        <f>IM16</f>
        <v/>
      </c>
      <c r="JX16" s="9">
        <f>JN16-JR16-JS16-JT16-JU16-JV16-JW16</f>
        <v/>
      </c>
      <c r="JY16" s="9">
        <f>JY15+JK16-(JR16+JS16+JT16+JU16+JV16+JW16+JP16)</f>
        <v/>
      </c>
      <c r="JZ16" s="12">
        <f>IF(JE16&gt;0,JF16/JE16,0)</f>
        <v/>
      </c>
      <c r="KA16" s="11">
        <f>IF(JE15&gt;0,MAX(0,(JE15+IP16-JE16)/JE15),0)</f>
        <v/>
      </c>
      <c r="KC16" s="12" t="n">
        <v>12</v>
      </c>
      <c r="KD16" s="12">
        <f>MOD(KC16-1+LaunchMonth-1,12)+1</f>
        <v/>
      </c>
      <c r="KE16" s="12">
        <f>INT((KC16-1+LaunchMonth-1)/12)+1</f>
        <v/>
      </c>
      <c r="KF16" s="12">
        <f>VLOOKUP(KD16,SeasonTable,2,FALSE)</f>
        <v/>
      </c>
      <c r="KG16" s="12">
        <f>(1+InflationRate)^INT((KC16-1)/12)</f>
        <v/>
      </c>
      <c r="KH16" s="11">
        <f>'Sens - Churn'!$A$16*VLOOKUP(KD16,ChurnSeasonTable,4,FALSE)</f>
        <v/>
      </c>
      <c r="KI16" s="12">
        <f>MIN(MAX(MktMin7_12,LG15*MktPct7_12),MAX(0,LU15-CashBuffer))</f>
        <v/>
      </c>
      <c r="KJ16" s="12">
        <f>IF(KI16&gt;0,MAX(1,ROUND(KI16/CAC*KF16,0)),0)</f>
        <v/>
      </c>
      <c r="KK16" s="12">
        <f>IF(KJ16&gt;0,ROUND(KJ16*ReferralMix/(1-ReferralMix),0),0)</f>
        <v/>
      </c>
      <c r="KL16" s="12">
        <f>KJ16+KK16</f>
        <v/>
      </c>
      <c r="KM16" s="12">
        <f>ROUND(KL16*(1-AnnualMix),0)</f>
        <v/>
      </c>
      <c r="KN16" s="12">
        <f>KL16-KM16</f>
        <v/>
      </c>
      <c r="KO16" s="12">
        <f>ROUND(KM16*EssentialMix,0)</f>
        <v/>
      </c>
      <c r="KP16" s="12">
        <f>ROUND(KM16*PremiumMix,0)</f>
        <v/>
      </c>
      <c r="KQ16" s="12">
        <f>KM16-KO16-KP16</f>
        <v/>
      </c>
      <c r="KR16" s="12">
        <f>ROUND(KN16*EssentialMix,0)</f>
        <v/>
      </c>
      <c r="KS16" s="12">
        <f>ROUND(KN16*PremiumMix,0)</f>
        <v/>
      </c>
      <c r="KT16" s="12">
        <f>KN16-KR16-KS16</f>
        <v/>
      </c>
      <c r="KU16" s="12">
        <f>KO16+KO15+KO14+MAX(0,KU15-KO15-KO14)*(1-KH16)</f>
        <v/>
      </c>
      <c r="KV16" s="12">
        <f>KP16+KP15+KP14+MAX(0,KV15-KP15-KP14)*(1-KH16)</f>
        <v/>
      </c>
      <c r="KW16" s="12">
        <f>KQ16+KQ15+KQ14+MAX(0,KW15-KQ15-KQ14)*(1-KH16)</f>
        <v/>
      </c>
      <c r="KX16" s="12">
        <f>SUM(KR$5:KR16)</f>
        <v/>
      </c>
      <c r="KY16" s="12">
        <f>SUM(KS$5:KS16)</f>
        <v/>
      </c>
      <c r="KZ16" s="12">
        <f>SUM(KT$5:KT16)</f>
        <v/>
      </c>
      <c r="LA16" s="12">
        <f>KU16+KV16+KW16+KX16+KY16+KZ16</f>
        <v/>
      </c>
      <c r="LB16" s="9">
        <f>KU16*BlendedPriceEssMonthly*KG16+KV16*BlendedPricePremMonthly*KG16+KW16*BlendedPriceEliteMonthly*KG16+KX16*BlendedPriceEssAnnual*KG16/12+KY16*BlendedPricePremAnnual*KG16/12+KZ16*BlendedPriceEliteAnnual*KG16/12</f>
        <v/>
      </c>
      <c r="LC16" s="9">
        <f>LB16*12</f>
        <v/>
      </c>
      <c r="LD16" s="12">
        <f>KU16*BlendedPriceEssMonthly*KG16+KV16*BlendedPricePremMonthly*KG16+KW16*BlendedPriceEliteMonthly*KG16</f>
        <v/>
      </c>
      <c r="LE16" s="12">
        <f>KR16*BlendedPriceEssAnnual*KG16+KS16*BlendedPricePremAnnual*KG16+KT16*BlendedPriceEliteAnnual*KG16</f>
        <v/>
      </c>
      <c r="LF16" s="12">
        <f>0+0+0</f>
        <v/>
      </c>
      <c r="LG16" s="9">
        <f>LD16+LE16+LF16</f>
        <v/>
      </c>
      <c r="LH16" s="12">
        <f>SUM(LG5:LG16)</f>
        <v/>
      </c>
      <c r="LI16" s="12">
        <f>OR(LI15,IF(VATAgentMode,SUM($LG5:$LG16)-SUM($LN5:$LN16)&gt;=VATThreshold,SUM($LG5:$LG16)&gt;=VATThreshold))</f>
        <v/>
      </c>
      <c r="LJ16" s="9">
        <f>IF(LI16,IF(VATAgentMode,LG16-((LG16-LN16)-(LG16-LN16)/(1+VATRate)),LG16/(1+VATRate)),LG16)</f>
        <v/>
      </c>
      <c r="LK16" s="12">
        <f>LG16-LJ16</f>
        <v/>
      </c>
      <c r="LL16" s="12">
        <f>IF(LI16=0,0,IF(KD16=1,SUMPRODUCT(--(($KE$5:$KE16=$KE16-1)*($KD$5:$KD16&gt;=10)*($KD$5:$KD16&lt;=12)),$LK$5:$LK16),IF(KD16=4,SUMPRODUCT(--(($KE$5:$KE16=$KE16)*($KD$5:$KD16&gt;=1)*($KD$5:$KD16&lt;=3)),$LK$5:$LK16),IF(KD16=7,SUMPRODUCT(--(($KE$5:$KE16=$KE16)*($KD$5:$KD16&gt;=4)*($KD$5:$KD16&lt;=6)),$LK$5:$LK16),IF(KD16=10,SUMPRODUCT(--(($KE$5:$KE16=$KE16)*($KD$5:$KD16&gt;=7)*($KD$5:$KD16&lt;=9)),$LK$5:$LK16),0)))))</f>
        <v/>
      </c>
      <c r="LM16" s="12">
        <f>LM15+LK16-LL16</f>
        <v/>
      </c>
      <c r="LN16" s="12">
        <f>IF(ProviderDelay&gt;=1,KU15*BlendedProvPayEss+KV15*BlendedProvPayPrem+KW15*BlendedProvPayElite+KX15*BlendedProvPayEss+KY15*BlendedProvPayPrem+KZ15*BlendedProvPayElite,KU16*BlendedProvPayEss+KV16*BlendedProvPayPrem+KW16*BlendedProvPayElite+KX16*BlendedProvPayEss+KY16*BlendedProvPayPrem+KZ16*BlendedProvPayElite)</f>
        <v/>
      </c>
      <c r="LO16" s="12">
        <f>LG16*PaymentFee</f>
        <v/>
      </c>
      <c r="LP16" s="12">
        <f>LA16*OpsAI</f>
        <v/>
      </c>
      <c r="LQ16" s="12">
        <f>MonthlyFixed</f>
        <v/>
      </c>
      <c r="LR16" s="12">
        <f>KK16*ReferralReward</f>
        <v/>
      </c>
      <c r="LS16" s="12">
        <f>KI16</f>
        <v/>
      </c>
      <c r="LT16" s="9">
        <f>LJ16-LN16-LO16-LP16-LQ16-LR16-LS16</f>
        <v/>
      </c>
      <c r="LU16" s="9">
        <f>LU15+LG16-(LN16+LO16+LP16+LQ16+LR16+LS16+LL16)</f>
        <v/>
      </c>
      <c r="LV16" s="12">
        <f>IF(LA16&gt;0,LB16/LA16,0)</f>
        <v/>
      </c>
      <c r="LW16" s="11">
        <f>IF(LA15&gt;0,MAX(0,(LA15+KL16-LA16)/LA15),0)</f>
        <v/>
      </c>
      <c r="LY16" s="12" t="n">
        <v>12</v>
      </c>
      <c r="LZ16" s="12">
        <f>MOD(LY16-1+LaunchMonth-1,12)+1</f>
        <v/>
      </c>
      <c r="MA16" s="12">
        <f>INT((LY16-1+LaunchMonth-1)/12)+1</f>
        <v/>
      </c>
      <c r="MB16" s="12">
        <f>VLOOKUP(LZ16,SeasonTable,2,FALSE)</f>
        <v/>
      </c>
      <c r="MC16" s="12">
        <f>(1+InflationRate)^INT((LY16-1)/12)</f>
        <v/>
      </c>
      <c r="MD16" s="11">
        <f>'Sens - Churn'!$A$17*VLOOKUP(LZ16,ChurnSeasonTable,4,FALSE)</f>
        <v/>
      </c>
      <c r="ME16" s="12">
        <f>MIN(MAX(MktMin7_12,NC15*MktPct7_12),MAX(0,NQ15-CashBuffer))</f>
        <v/>
      </c>
      <c r="MF16" s="12">
        <f>IF(ME16&gt;0,MAX(1,ROUND(ME16/CAC*MB16,0)),0)</f>
        <v/>
      </c>
      <c r="MG16" s="12">
        <f>IF(MF16&gt;0,ROUND(MF16*ReferralMix/(1-ReferralMix),0),0)</f>
        <v/>
      </c>
      <c r="MH16" s="12">
        <f>MF16+MG16</f>
        <v/>
      </c>
      <c r="MI16" s="12">
        <f>ROUND(MH16*(1-AnnualMix),0)</f>
        <v/>
      </c>
      <c r="MJ16" s="12">
        <f>MH16-MI16</f>
        <v/>
      </c>
      <c r="MK16" s="12">
        <f>ROUND(MI16*EssentialMix,0)</f>
        <v/>
      </c>
      <c r="ML16" s="12">
        <f>ROUND(MI16*PremiumMix,0)</f>
        <v/>
      </c>
      <c r="MM16" s="12">
        <f>MI16-MK16-ML16</f>
        <v/>
      </c>
      <c r="MN16" s="12">
        <f>ROUND(MJ16*EssentialMix,0)</f>
        <v/>
      </c>
      <c r="MO16" s="12">
        <f>ROUND(MJ16*PremiumMix,0)</f>
        <v/>
      </c>
      <c r="MP16" s="12">
        <f>MJ16-MN16-MO16</f>
        <v/>
      </c>
      <c r="MQ16" s="12">
        <f>MK16+MK15+MK14+MAX(0,MQ15-MK15-MK14)*(1-MD16)</f>
        <v/>
      </c>
      <c r="MR16" s="12">
        <f>ML16+ML15+ML14+MAX(0,MR15-ML15-ML14)*(1-MD16)</f>
        <v/>
      </c>
      <c r="MS16" s="12">
        <f>MM16+MM15+MM14+MAX(0,MS15-MM15-MM14)*(1-MD16)</f>
        <v/>
      </c>
      <c r="MT16" s="12">
        <f>SUM(MN$5:MN16)</f>
        <v/>
      </c>
      <c r="MU16" s="12">
        <f>SUM(MO$5:MO16)</f>
        <v/>
      </c>
      <c r="MV16" s="12">
        <f>SUM(MP$5:MP16)</f>
        <v/>
      </c>
      <c r="MW16" s="12">
        <f>MQ16+MR16+MS16+MT16+MU16+MV16</f>
        <v/>
      </c>
      <c r="MX16" s="9">
        <f>MQ16*BlendedPriceEssMonthly*MC16+MR16*BlendedPricePremMonthly*MC16+MS16*BlendedPriceEliteMonthly*MC16+MT16*BlendedPriceEssAnnual*MC16/12+MU16*BlendedPricePremAnnual*MC16/12+MV16*BlendedPriceEliteAnnual*MC16/12</f>
        <v/>
      </c>
      <c r="MY16" s="9">
        <f>MX16*12</f>
        <v/>
      </c>
      <c r="MZ16" s="12">
        <f>MQ16*BlendedPriceEssMonthly*MC16+MR16*BlendedPricePremMonthly*MC16+MS16*BlendedPriceEliteMonthly*MC16</f>
        <v/>
      </c>
      <c r="NA16" s="12">
        <f>MN16*BlendedPriceEssAnnual*MC16+MO16*BlendedPricePremAnnual*MC16+MP16*BlendedPriceEliteAnnual*MC16</f>
        <v/>
      </c>
      <c r="NB16" s="12">
        <f>0+0+0</f>
        <v/>
      </c>
      <c r="NC16" s="9">
        <f>MZ16+NA16+NB16</f>
        <v/>
      </c>
      <c r="ND16" s="12">
        <f>SUM(NC5:NC16)</f>
        <v/>
      </c>
      <c r="NE16" s="12">
        <f>OR(NE15,IF(VATAgentMode,SUM($NC5:$NC16)-SUM($NJ5:$NJ16)&gt;=VATThreshold,SUM($NC5:$NC16)&gt;=VATThreshold))</f>
        <v/>
      </c>
      <c r="NF16" s="9">
        <f>IF(NE16,IF(VATAgentMode,NC16-((NC16-NJ16)-(NC16-NJ16)/(1+VATRate)),NC16/(1+VATRate)),NC16)</f>
        <v/>
      </c>
      <c r="NG16" s="12">
        <f>NC16-NF16</f>
        <v/>
      </c>
      <c r="NH16" s="12">
        <f>IF(NE16=0,0,IF(LZ16=1,SUMPRODUCT(--(($MA$5:$MA16=$MA16-1)*($LZ$5:$LZ16&gt;=10)*($LZ$5:$LZ16&lt;=12)),$NG$5:$NG16),IF(LZ16=4,SUMPRODUCT(--(($MA$5:$MA16=$MA16)*($LZ$5:$LZ16&gt;=1)*($LZ$5:$LZ16&lt;=3)),$NG$5:$NG16),IF(LZ16=7,SUMPRODUCT(--(($MA$5:$MA16=$MA16)*($LZ$5:$LZ16&gt;=4)*($LZ$5:$LZ16&lt;=6)),$NG$5:$NG16),IF(LZ16=10,SUMPRODUCT(--(($MA$5:$MA16=$MA16)*($LZ$5:$LZ16&gt;=7)*($LZ$5:$LZ16&lt;=9)),$NG$5:$NG16),0)))))</f>
        <v/>
      </c>
      <c r="NI16" s="12">
        <f>NI15+NG16-NH16</f>
        <v/>
      </c>
      <c r="NJ16" s="12">
        <f>IF(ProviderDelay&gt;=1,MQ15*BlendedProvPayEss+MR15*BlendedProvPayPrem+MS15*BlendedProvPayElite+MT15*BlendedProvPayEss+MU15*BlendedProvPayPrem+MV15*BlendedProvPayElite,MQ16*BlendedProvPayEss+MR16*BlendedProvPayPrem+MS16*BlendedProvPayElite+MT16*BlendedProvPayEss+MU16*BlendedProvPayPrem+MV16*BlendedProvPayElite)</f>
        <v/>
      </c>
      <c r="NK16" s="12">
        <f>NC16*PaymentFee</f>
        <v/>
      </c>
      <c r="NL16" s="12">
        <f>MW16*OpsAI</f>
        <v/>
      </c>
      <c r="NM16" s="12">
        <f>MonthlyFixed</f>
        <v/>
      </c>
      <c r="NN16" s="12">
        <f>MG16*ReferralReward</f>
        <v/>
      </c>
      <c r="NO16" s="12">
        <f>ME16</f>
        <v/>
      </c>
      <c r="NP16" s="9">
        <f>NF16-NJ16-NK16-NL16-NM16-NN16-NO16</f>
        <v/>
      </c>
      <c r="NQ16" s="9">
        <f>NQ15+NC16-(NJ16+NK16+NL16+NM16+NN16+NO16+NH16)</f>
        <v/>
      </c>
      <c r="NR16" s="12">
        <f>IF(MW16&gt;0,MX16/MW16,0)</f>
        <v/>
      </c>
      <c r="NS16" s="11">
        <f>IF(MW15&gt;0,MAX(0,(MW15+MH16-MW16)/MW15),0)</f>
        <v/>
      </c>
      <c r="NU16" s="12" t="n">
        <v>12</v>
      </c>
      <c r="NV16" s="12">
        <f>MOD(NU16-1+LaunchMonth-1,12)+1</f>
        <v/>
      </c>
      <c r="NW16" s="12">
        <f>INT((NU16-1+LaunchMonth-1)/12)+1</f>
        <v/>
      </c>
      <c r="NX16" s="12">
        <f>VLOOKUP(NV16,SeasonTable,2,FALSE)</f>
        <v/>
      </c>
      <c r="NY16" s="12">
        <f>(1+InflationRate)^INT((NU16-1)/12)</f>
        <v/>
      </c>
      <c r="NZ16" s="11">
        <f>'Sens - Churn'!$A$18*VLOOKUP(NV16,ChurnSeasonTable,4,FALSE)</f>
        <v/>
      </c>
      <c r="OA16" s="12">
        <f>MIN(MAX(MktMin7_12,OY15*MktPct7_12),MAX(0,PM15-CashBuffer))</f>
        <v/>
      </c>
      <c r="OB16" s="12">
        <f>IF(OA16&gt;0,MAX(1,ROUND(OA16/CAC*NX16,0)),0)</f>
        <v/>
      </c>
      <c r="OC16" s="12">
        <f>IF(OB16&gt;0,ROUND(OB16*ReferralMix/(1-ReferralMix),0),0)</f>
        <v/>
      </c>
      <c r="OD16" s="12">
        <f>OB16+OC16</f>
        <v/>
      </c>
      <c r="OE16" s="12">
        <f>ROUND(OD16*(1-AnnualMix),0)</f>
        <v/>
      </c>
      <c r="OF16" s="12">
        <f>OD16-OE16</f>
        <v/>
      </c>
      <c r="OG16" s="12">
        <f>ROUND(OE16*EssentialMix,0)</f>
        <v/>
      </c>
      <c r="OH16" s="12">
        <f>ROUND(OE16*PremiumMix,0)</f>
        <v/>
      </c>
      <c r="OI16" s="12">
        <f>OE16-OG16-OH16</f>
        <v/>
      </c>
      <c r="OJ16" s="12">
        <f>ROUND(OF16*EssentialMix,0)</f>
        <v/>
      </c>
      <c r="OK16" s="12">
        <f>ROUND(OF16*PremiumMix,0)</f>
        <v/>
      </c>
      <c r="OL16" s="12">
        <f>OF16-OJ16-OK16</f>
        <v/>
      </c>
      <c r="OM16" s="12">
        <f>OG16+OG15+OG14+MAX(0,OM15-OG15-OG14)*(1-NZ16)</f>
        <v/>
      </c>
      <c r="ON16" s="12">
        <f>OH16+OH15+OH14+MAX(0,ON15-OH15-OH14)*(1-NZ16)</f>
        <v/>
      </c>
      <c r="OO16" s="12">
        <f>OI16+OI15+OI14+MAX(0,OO15-OI15-OI14)*(1-NZ16)</f>
        <v/>
      </c>
      <c r="OP16" s="12">
        <f>SUM(OJ$5:OJ16)</f>
        <v/>
      </c>
      <c r="OQ16" s="12">
        <f>SUM(OK$5:OK16)</f>
        <v/>
      </c>
      <c r="OR16" s="12">
        <f>SUM(OL$5:OL16)</f>
        <v/>
      </c>
      <c r="OS16" s="12">
        <f>OM16+ON16+OO16+OP16+OQ16+OR16</f>
        <v/>
      </c>
      <c r="OT16" s="9">
        <f>OM16*BlendedPriceEssMonthly*NY16+ON16*BlendedPricePremMonthly*NY16+OO16*BlendedPriceEliteMonthly*NY16+OP16*BlendedPriceEssAnnual*NY16/12+OQ16*BlendedPricePremAnnual*NY16/12+OR16*BlendedPriceEliteAnnual*NY16/12</f>
        <v/>
      </c>
      <c r="OU16" s="9">
        <f>OT16*12</f>
        <v/>
      </c>
      <c r="OV16" s="12">
        <f>OM16*BlendedPriceEssMonthly*NY16+ON16*BlendedPricePremMonthly*NY16+OO16*BlendedPriceEliteMonthly*NY16</f>
        <v/>
      </c>
      <c r="OW16" s="12">
        <f>OJ16*BlendedPriceEssAnnual*NY16+OK16*BlendedPricePremAnnual*NY16+OL16*BlendedPriceEliteAnnual*NY16</f>
        <v/>
      </c>
      <c r="OX16" s="12">
        <f>0+0+0</f>
        <v/>
      </c>
      <c r="OY16" s="9">
        <f>OV16+OW16+OX16</f>
        <v/>
      </c>
      <c r="OZ16" s="12">
        <f>SUM(OY5:OY16)</f>
        <v/>
      </c>
      <c r="PA16" s="12">
        <f>OR(PA15,IF(VATAgentMode,SUM($OY5:$OY16)-SUM($PF5:$PF16)&gt;=VATThreshold,SUM($OY5:$OY16)&gt;=VATThreshold))</f>
        <v/>
      </c>
      <c r="PB16" s="9">
        <f>IF(PA16,IF(VATAgentMode,OY16-((OY16-PF16)-(OY16-PF16)/(1+VATRate)),OY16/(1+VATRate)),OY16)</f>
        <v/>
      </c>
      <c r="PC16" s="12">
        <f>OY16-PB16</f>
        <v/>
      </c>
      <c r="PD16" s="12">
        <f>IF(PA16=0,0,IF(NV16=1,SUMPRODUCT(--(($NW$5:$NW16=$NW16-1)*($NV$5:$NV16&gt;=10)*($NV$5:$NV16&lt;=12)),$PC$5:$PC16),IF(NV16=4,SUMPRODUCT(--(($NW$5:$NW16=$NW16)*($NV$5:$NV16&gt;=1)*($NV$5:$NV16&lt;=3)),$PC$5:$PC16),IF(NV16=7,SUMPRODUCT(--(($NW$5:$NW16=$NW16)*($NV$5:$NV16&gt;=4)*($NV$5:$NV16&lt;=6)),$PC$5:$PC16),IF(NV16=10,SUMPRODUCT(--(($NW$5:$NW16=$NW16)*($NV$5:$NV16&gt;=7)*($NV$5:$NV16&lt;=9)),$PC$5:$PC16),0)))))</f>
        <v/>
      </c>
      <c r="PE16" s="12">
        <f>PE15+PC16-PD16</f>
        <v/>
      </c>
      <c r="PF16" s="12">
        <f>IF(ProviderDelay&gt;=1,OM15*BlendedProvPayEss+ON15*BlendedProvPayPrem+OO15*BlendedProvPayElite+OP15*BlendedProvPayEss+OQ15*BlendedProvPayPrem+OR15*BlendedProvPayElite,OM16*BlendedProvPayEss+ON16*BlendedProvPayPrem+OO16*BlendedProvPayElite+OP16*BlendedProvPayEss+OQ16*BlendedProvPayPrem+OR16*BlendedProvPayElite)</f>
        <v/>
      </c>
      <c r="PG16" s="12">
        <f>OY16*PaymentFee</f>
        <v/>
      </c>
      <c r="PH16" s="12">
        <f>OS16*OpsAI</f>
        <v/>
      </c>
      <c r="PI16" s="12">
        <f>MonthlyFixed</f>
        <v/>
      </c>
      <c r="PJ16" s="12">
        <f>OC16*ReferralReward</f>
        <v/>
      </c>
      <c r="PK16" s="12">
        <f>OA16</f>
        <v/>
      </c>
      <c r="PL16" s="9">
        <f>PB16-PF16-PG16-PH16-PI16-PJ16-PK16</f>
        <v/>
      </c>
      <c r="PM16" s="9">
        <f>PM15+OY16-(PF16+PG16+PH16+PI16+PJ16+PK16+PD16)</f>
        <v/>
      </c>
      <c r="PN16" s="12">
        <f>IF(OS16&gt;0,OT16/OS16,0)</f>
        <v/>
      </c>
      <c r="PO16" s="11">
        <f>IF(OS15&gt;0,MAX(0,(OS15+OD16-OS16)/OS15),0)</f>
        <v/>
      </c>
      <c r="PQ16" s="12" t="n">
        <v>12</v>
      </c>
      <c r="PR16" s="12">
        <f>MOD(PQ16-1+LaunchMonth-1,12)+1</f>
        <v/>
      </c>
      <c r="PS16" s="12">
        <f>INT((PQ16-1+LaunchMonth-1)/12)+1</f>
        <v/>
      </c>
      <c r="PT16" s="12">
        <f>VLOOKUP(PR16,SeasonTable,2,FALSE)</f>
        <v/>
      </c>
      <c r="PU16" s="12">
        <f>(1+InflationRate)^INT((PQ16-1)/12)</f>
        <v/>
      </c>
      <c r="PV16" s="11">
        <f>'Sens - Churn'!$A$19*VLOOKUP(PR16,ChurnSeasonTable,4,FALSE)</f>
        <v/>
      </c>
      <c r="PW16" s="12">
        <f>MIN(MAX(MktMin7_12,QU15*MktPct7_12),MAX(0,RI15-CashBuffer))</f>
        <v/>
      </c>
      <c r="PX16" s="12">
        <f>IF(PW16&gt;0,MAX(1,ROUND(PW16/CAC*PT16,0)),0)</f>
        <v/>
      </c>
      <c r="PY16" s="12">
        <f>IF(PX16&gt;0,ROUND(PX16*ReferralMix/(1-ReferralMix),0),0)</f>
        <v/>
      </c>
      <c r="PZ16" s="12">
        <f>PX16+PY16</f>
        <v/>
      </c>
      <c r="QA16" s="12">
        <f>ROUND(PZ16*(1-AnnualMix),0)</f>
        <v/>
      </c>
      <c r="QB16" s="12">
        <f>PZ16-QA16</f>
        <v/>
      </c>
      <c r="QC16" s="12">
        <f>ROUND(QA16*EssentialMix,0)</f>
        <v/>
      </c>
      <c r="QD16" s="12">
        <f>ROUND(QA16*PremiumMix,0)</f>
        <v/>
      </c>
      <c r="QE16" s="12">
        <f>QA16-QC16-QD16</f>
        <v/>
      </c>
      <c r="QF16" s="12">
        <f>ROUND(QB16*EssentialMix,0)</f>
        <v/>
      </c>
      <c r="QG16" s="12">
        <f>ROUND(QB16*PremiumMix,0)</f>
        <v/>
      </c>
      <c r="QH16" s="12">
        <f>QB16-QF16-QG16</f>
        <v/>
      </c>
      <c r="QI16" s="12">
        <f>QC16+QC15+QC14+MAX(0,QI15-QC15-QC14)*(1-PV16)</f>
        <v/>
      </c>
      <c r="QJ16" s="12">
        <f>QD16+QD15+QD14+MAX(0,QJ15-QD15-QD14)*(1-PV16)</f>
        <v/>
      </c>
      <c r="QK16" s="12">
        <f>QE16+QE15+QE14+MAX(0,QK15-QE15-QE14)*(1-PV16)</f>
        <v/>
      </c>
      <c r="QL16" s="12">
        <f>SUM(QF$5:QF16)</f>
        <v/>
      </c>
      <c r="QM16" s="12">
        <f>SUM(QG$5:QG16)</f>
        <v/>
      </c>
      <c r="QN16" s="12">
        <f>SUM(QH$5:QH16)</f>
        <v/>
      </c>
      <c r="QO16" s="12">
        <f>QI16+QJ16+QK16+QL16+QM16+QN16</f>
        <v/>
      </c>
      <c r="QP16" s="9">
        <f>QI16*BlendedPriceEssMonthly*PU16+QJ16*BlendedPricePremMonthly*PU16+QK16*BlendedPriceEliteMonthly*PU16+QL16*BlendedPriceEssAnnual*PU16/12+QM16*BlendedPricePremAnnual*PU16/12+QN16*BlendedPriceEliteAnnual*PU16/12</f>
        <v/>
      </c>
      <c r="QQ16" s="9">
        <f>QP16*12</f>
        <v/>
      </c>
      <c r="QR16" s="12">
        <f>QI16*BlendedPriceEssMonthly*PU16+QJ16*BlendedPricePremMonthly*PU16+QK16*BlendedPriceEliteMonthly*PU16</f>
        <v/>
      </c>
      <c r="QS16" s="12">
        <f>QF16*BlendedPriceEssAnnual*PU16+QG16*BlendedPricePremAnnual*PU16+QH16*BlendedPriceEliteAnnual*PU16</f>
        <v/>
      </c>
      <c r="QT16" s="12">
        <f>0+0+0</f>
        <v/>
      </c>
      <c r="QU16" s="9">
        <f>QR16+QS16+QT16</f>
        <v/>
      </c>
      <c r="QV16" s="12">
        <f>SUM(QU5:QU16)</f>
        <v/>
      </c>
      <c r="QW16" s="12">
        <f>OR(QW15,IF(VATAgentMode,SUM($QU5:$QU16)-SUM($RB5:$RB16)&gt;=VATThreshold,SUM($QU5:$QU16)&gt;=VATThreshold))</f>
        <v/>
      </c>
      <c r="QX16" s="9">
        <f>IF(QW16,IF(VATAgentMode,QU16-((QU16-RB16)-(QU16-RB16)/(1+VATRate)),QU16/(1+VATRate)),QU16)</f>
        <v/>
      </c>
      <c r="QY16" s="12">
        <f>QU16-QX16</f>
        <v/>
      </c>
      <c r="QZ16" s="12">
        <f>IF(QW16=0,0,IF(PR16=1,SUMPRODUCT(--(($PS$5:$PS16=$PS16-1)*($PR$5:$PR16&gt;=10)*($PR$5:$PR16&lt;=12)),$QY$5:$QY16),IF(PR16=4,SUMPRODUCT(--(($PS$5:$PS16=$PS16)*($PR$5:$PR16&gt;=1)*($PR$5:$PR16&lt;=3)),$QY$5:$QY16),IF(PR16=7,SUMPRODUCT(--(($PS$5:$PS16=$PS16)*($PR$5:$PR16&gt;=4)*($PR$5:$PR16&lt;=6)),$QY$5:$QY16),IF(PR16=10,SUMPRODUCT(--(($PS$5:$PS16=$PS16)*($PR$5:$PR16&gt;=7)*($PR$5:$PR16&lt;=9)),$QY$5:$QY16),0)))))</f>
        <v/>
      </c>
      <c r="RA16" s="12">
        <f>RA15+QY16-QZ16</f>
        <v/>
      </c>
      <c r="RB16" s="12">
        <f>IF(ProviderDelay&gt;=1,QI15*BlendedProvPayEss+QJ15*BlendedProvPayPrem+QK15*BlendedProvPayElite+QL15*BlendedProvPayEss+QM15*BlendedProvPayPrem+QN15*BlendedProvPayElite,QI16*BlendedProvPayEss+QJ16*BlendedProvPayPrem+QK16*BlendedProvPayElite+QL16*BlendedProvPayEss+QM16*BlendedProvPayPrem+QN16*BlendedProvPayElite)</f>
        <v/>
      </c>
      <c r="RC16" s="12">
        <f>QU16*PaymentFee</f>
        <v/>
      </c>
      <c r="RD16" s="12">
        <f>QO16*OpsAI</f>
        <v/>
      </c>
      <c r="RE16" s="12">
        <f>MonthlyFixed</f>
        <v/>
      </c>
      <c r="RF16" s="12">
        <f>PY16*ReferralReward</f>
        <v/>
      </c>
      <c r="RG16" s="12">
        <f>PW16</f>
        <v/>
      </c>
      <c r="RH16" s="9">
        <f>QX16-RB16-RC16-RD16-RE16-RF16-RG16</f>
        <v/>
      </c>
      <c r="RI16" s="9">
        <f>RI15+QU16-(RB16+RC16+RD16+RE16+RF16+RG16+QZ16)</f>
        <v/>
      </c>
      <c r="RJ16" s="12">
        <f>IF(QO16&gt;0,QP16/QO16,0)</f>
        <v/>
      </c>
      <c r="RK16" s="11">
        <f>IF(QO15&gt;0,MAX(0,(QO15+PZ16-QO16)/QO15),0)</f>
        <v/>
      </c>
      <c r="RM16" s="12" t="n">
        <v>12</v>
      </c>
      <c r="RN16" s="12">
        <f>MOD(RM16-1+LaunchMonth-1,12)+1</f>
        <v/>
      </c>
      <c r="RO16" s="12">
        <f>INT((RM16-1+LaunchMonth-1)/12)+1</f>
        <v/>
      </c>
      <c r="RP16" s="12">
        <f>VLOOKUP(RN16,SeasonTable,2,FALSE)</f>
        <v/>
      </c>
      <c r="RQ16" s="12">
        <f>(1+InflationRate)^INT((RM16-1)/12)</f>
        <v/>
      </c>
      <c r="RR16" s="11">
        <f>'Sens - Churn'!$A$20*VLOOKUP(RN16,ChurnSeasonTable,4,FALSE)</f>
        <v/>
      </c>
      <c r="RS16" s="12">
        <f>MIN(MAX(MktMin7_12,SQ15*MktPct7_12),MAX(0,TE15-CashBuffer))</f>
        <v/>
      </c>
      <c r="RT16" s="12">
        <f>IF(RS16&gt;0,MAX(1,ROUND(RS16/CAC*RP16,0)),0)</f>
        <v/>
      </c>
      <c r="RU16" s="12">
        <f>IF(RT16&gt;0,ROUND(RT16*ReferralMix/(1-ReferralMix),0),0)</f>
        <v/>
      </c>
      <c r="RV16" s="12">
        <f>RT16+RU16</f>
        <v/>
      </c>
      <c r="RW16" s="12">
        <f>ROUND(RV16*(1-AnnualMix),0)</f>
        <v/>
      </c>
      <c r="RX16" s="12">
        <f>RV16-RW16</f>
        <v/>
      </c>
      <c r="RY16" s="12">
        <f>ROUND(RW16*EssentialMix,0)</f>
        <v/>
      </c>
      <c r="RZ16" s="12">
        <f>ROUND(RW16*PremiumMix,0)</f>
        <v/>
      </c>
      <c r="SA16" s="12">
        <f>RW16-RY16-RZ16</f>
        <v/>
      </c>
      <c r="SB16" s="12">
        <f>ROUND(RX16*EssentialMix,0)</f>
        <v/>
      </c>
      <c r="SC16" s="12">
        <f>ROUND(RX16*PremiumMix,0)</f>
        <v/>
      </c>
      <c r="SD16" s="12">
        <f>RX16-SB16-SC16</f>
        <v/>
      </c>
      <c r="SE16" s="12">
        <f>RY16+RY15+RY14+MAX(0,SE15-RY15-RY14)*(1-RR16)</f>
        <v/>
      </c>
      <c r="SF16" s="12">
        <f>RZ16+RZ15+RZ14+MAX(0,SF15-RZ15-RZ14)*(1-RR16)</f>
        <v/>
      </c>
      <c r="SG16" s="12">
        <f>SA16+SA15+SA14+MAX(0,SG15-SA15-SA14)*(1-RR16)</f>
        <v/>
      </c>
      <c r="SH16" s="12">
        <f>SUM(SB$5:SB16)</f>
        <v/>
      </c>
      <c r="SI16" s="12">
        <f>SUM(SC$5:SC16)</f>
        <v/>
      </c>
      <c r="SJ16" s="12">
        <f>SUM(SD$5:SD16)</f>
        <v/>
      </c>
      <c r="SK16" s="12">
        <f>SE16+SF16+SG16+SH16+SI16+SJ16</f>
        <v/>
      </c>
      <c r="SL16" s="9">
        <f>SE16*BlendedPriceEssMonthly*RQ16+SF16*BlendedPricePremMonthly*RQ16+SG16*BlendedPriceEliteMonthly*RQ16+SH16*BlendedPriceEssAnnual*RQ16/12+SI16*BlendedPricePremAnnual*RQ16/12+SJ16*BlendedPriceEliteAnnual*RQ16/12</f>
        <v/>
      </c>
      <c r="SM16" s="9">
        <f>SL16*12</f>
        <v/>
      </c>
      <c r="SN16" s="12">
        <f>SE16*BlendedPriceEssMonthly*RQ16+SF16*BlendedPricePremMonthly*RQ16+SG16*BlendedPriceEliteMonthly*RQ16</f>
        <v/>
      </c>
      <c r="SO16" s="12">
        <f>SB16*BlendedPriceEssAnnual*RQ16+SC16*BlendedPricePremAnnual*RQ16+SD16*BlendedPriceEliteAnnual*RQ16</f>
        <v/>
      </c>
      <c r="SP16" s="12">
        <f>0+0+0</f>
        <v/>
      </c>
      <c r="SQ16" s="9">
        <f>SN16+SO16+SP16</f>
        <v/>
      </c>
      <c r="SR16" s="12">
        <f>SUM(SQ5:SQ16)</f>
        <v/>
      </c>
      <c r="SS16" s="12">
        <f>OR(SS15,IF(VATAgentMode,SUM($SQ5:$SQ16)-SUM($SX5:$SX16)&gt;=VATThreshold,SUM($SQ5:$SQ16)&gt;=VATThreshold))</f>
        <v/>
      </c>
      <c r="ST16" s="9">
        <f>IF(SS16,IF(VATAgentMode,SQ16-((SQ16-SX16)-(SQ16-SX16)/(1+VATRate)),SQ16/(1+VATRate)),SQ16)</f>
        <v/>
      </c>
      <c r="SU16" s="12">
        <f>SQ16-ST16</f>
        <v/>
      </c>
      <c r="SV16" s="12">
        <f>IF(SS16=0,0,IF(RN16=1,SUMPRODUCT(--(($RO$5:$RO16=$RO16-1)*($RN$5:$RN16&gt;=10)*($RN$5:$RN16&lt;=12)),$SU$5:$SU16),IF(RN16=4,SUMPRODUCT(--(($RO$5:$RO16=$RO16)*($RN$5:$RN16&gt;=1)*($RN$5:$RN16&lt;=3)),$SU$5:$SU16),IF(RN16=7,SUMPRODUCT(--(($RO$5:$RO16=$RO16)*($RN$5:$RN16&gt;=4)*($RN$5:$RN16&lt;=6)),$SU$5:$SU16),IF(RN16=10,SUMPRODUCT(--(($RO$5:$RO16=$RO16)*($RN$5:$RN16&gt;=7)*($RN$5:$RN16&lt;=9)),$SU$5:$SU16),0)))))</f>
        <v/>
      </c>
      <c r="SW16" s="12">
        <f>SW15+SU16-SV16</f>
        <v/>
      </c>
      <c r="SX16" s="12">
        <f>IF(ProviderDelay&gt;=1,SE15*BlendedProvPayEss+SF15*BlendedProvPayPrem+SG15*BlendedProvPayElite+SH15*BlendedProvPayEss+SI15*BlendedProvPayPrem+SJ15*BlendedProvPayElite,SE16*BlendedProvPayEss+SF16*BlendedProvPayPrem+SG16*BlendedProvPayElite+SH16*BlendedProvPayEss+SI16*BlendedProvPayPrem+SJ16*BlendedProvPayElite)</f>
        <v/>
      </c>
      <c r="SY16" s="12">
        <f>SQ16*PaymentFee</f>
        <v/>
      </c>
      <c r="SZ16" s="12">
        <f>SK16*OpsAI</f>
        <v/>
      </c>
      <c r="TA16" s="12">
        <f>MonthlyFixed</f>
        <v/>
      </c>
      <c r="TB16" s="12">
        <f>RU16*ReferralReward</f>
        <v/>
      </c>
      <c r="TC16" s="12">
        <f>RS16</f>
        <v/>
      </c>
      <c r="TD16" s="9">
        <f>ST16-SX16-SY16-SZ16-TA16-TB16-TC16</f>
        <v/>
      </c>
      <c r="TE16" s="9">
        <f>TE15+SQ16-(SX16+SY16+SZ16+TA16+TB16+TC16+SV16)</f>
        <v/>
      </c>
      <c r="TF16" s="12">
        <f>IF(SK16&gt;0,SL16/SK16,0)</f>
        <v/>
      </c>
      <c r="TG16" s="11">
        <f>IF(SK15&gt;0,MAX(0,(SK15+RV16-SK16)/SK15),0)</f>
        <v/>
      </c>
      <c r="TI16" s="12" t="n">
        <v>12</v>
      </c>
      <c r="TJ16" s="12">
        <f>MOD(TI16-1+LaunchMonth-1,12)+1</f>
        <v/>
      </c>
      <c r="TK16" s="12">
        <f>INT((TI16-1+LaunchMonth-1)/12)+1</f>
        <v/>
      </c>
      <c r="TL16" s="12">
        <f>VLOOKUP(TJ16,SeasonTable,2,FALSE)</f>
        <v/>
      </c>
      <c r="TM16" s="12">
        <f>(1+InflationRate)^INT((TI16-1)/12)</f>
        <v/>
      </c>
      <c r="TN16" s="11">
        <f>'Sens - Churn'!$A$21*VLOOKUP(TJ16,ChurnSeasonTable,4,FALSE)</f>
        <v/>
      </c>
      <c r="TO16" s="12">
        <f>MIN(MAX(MktMin7_12,UM15*MktPct7_12),MAX(0,VA15-CashBuffer))</f>
        <v/>
      </c>
      <c r="TP16" s="12">
        <f>IF(TO16&gt;0,MAX(1,ROUND(TO16/CAC*TL16,0)),0)</f>
        <v/>
      </c>
      <c r="TQ16" s="12">
        <f>IF(TP16&gt;0,ROUND(TP16*ReferralMix/(1-ReferralMix),0),0)</f>
        <v/>
      </c>
      <c r="TR16" s="12">
        <f>TP16+TQ16</f>
        <v/>
      </c>
      <c r="TS16" s="12">
        <f>ROUND(TR16*(1-AnnualMix),0)</f>
        <v/>
      </c>
      <c r="TT16" s="12">
        <f>TR16-TS16</f>
        <v/>
      </c>
      <c r="TU16" s="12">
        <f>ROUND(TS16*EssentialMix,0)</f>
        <v/>
      </c>
      <c r="TV16" s="12">
        <f>ROUND(TS16*PremiumMix,0)</f>
        <v/>
      </c>
      <c r="TW16" s="12">
        <f>TS16-TU16-TV16</f>
        <v/>
      </c>
      <c r="TX16" s="12">
        <f>ROUND(TT16*EssentialMix,0)</f>
        <v/>
      </c>
      <c r="TY16" s="12">
        <f>ROUND(TT16*PremiumMix,0)</f>
        <v/>
      </c>
      <c r="TZ16" s="12">
        <f>TT16-TX16-TY16</f>
        <v/>
      </c>
      <c r="UA16" s="12">
        <f>TU16+TU15+TU14+MAX(0,UA15-TU15-TU14)*(1-TN16)</f>
        <v/>
      </c>
      <c r="UB16" s="12">
        <f>TV16+TV15+TV14+MAX(0,UB15-TV15-TV14)*(1-TN16)</f>
        <v/>
      </c>
      <c r="UC16" s="12">
        <f>TW16+TW15+TW14+MAX(0,UC15-TW15-TW14)*(1-TN16)</f>
        <v/>
      </c>
      <c r="UD16" s="12">
        <f>SUM(TX$5:TX16)</f>
        <v/>
      </c>
      <c r="UE16" s="12">
        <f>SUM(TY$5:TY16)</f>
        <v/>
      </c>
      <c r="UF16" s="12">
        <f>SUM(TZ$5:TZ16)</f>
        <v/>
      </c>
      <c r="UG16" s="12">
        <f>UA16+UB16+UC16+UD16+UE16+UF16</f>
        <v/>
      </c>
      <c r="UH16" s="9">
        <f>UA16*BlendedPriceEssMonthly*TM16+UB16*BlendedPricePremMonthly*TM16+UC16*BlendedPriceEliteMonthly*TM16+UD16*BlendedPriceEssAnnual*TM16/12+UE16*BlendedPricePremAnnual*TM16/12+UF16*BlendedPriceEliteAnnual*TM16/12</f>
        <v/>
      </c>
      <c r="UI16" s="9">
        <f>UH16*12</f>
        <v/>
      </c>
      <c r="UJ16" s="12">
        <f>UA16*BlendedPriceEssMonthly*TM16+UB16*BlendedPricePremMonthly*TM16+UC16*BlendedPriceEliteMonthly*TM16</f>
        <v/>
      </c>
      <c r="UK16" s="12">
        <f>TX16*BlendedPriceEssAnnual*TM16+TY16*BlendedPricePremAnnual*TM16+TZ16*BlendedPriceEliteAnnual*TM16</f>
        <v/>
      </c>
      <c r="UL16" s="12">
        <f>0+0+0</f>
        <v/>
      </c>
      <c r="UM16" s="9">
        <f>UJ16+UK16+UL16</f>
        <v/>
      </c>
      <c r="UN16" s="12">
        <f>SUM(UM5:UM16)</f>
        <v/>
      </c>
      <c r="UO16" s="12">
        <f>OR(UO15,IF(VATAgentMode,SUM($UM5:$UM16)-SUM($UT5:$UT16)&gt;=VATThreshold,SUM($UM5:$UM16)&gt;=VATThreshold))</f>
        <v/>
      </c>
      <c r="UP16" s="9">
        <f>IF(UO16,IF(VATAgentMode,UM16-((UM16-UT16)-(UM16-UT16)/(1+VATRate)),UM16/(1+VATRate)),UM16)</f>
        <v/>
      </c>
      <c r="UQ16" s="12">
        <f>UM16-UP16</f>
        <v/>
      </c>
      <c r="UR16" s="12">
        <f>IF(UO16=0,0,IF(TJ16=1,SUMPRODUCT(--(($TK$5:$TK16=$TK16-1)*($TJ$5:$TJ16&gt;=10)*($TJ$5:$TJ16&lt;=12)),$UQ$5:$UQ16),IF(TJ16=4,SUMPRODUCT(--(($TK$5:$TK16=$TK16)*($TJ$5:$TJ16&gt;=1)*($TJ$5:$TJ16&lt;=3)),$UQ$5:$UQ16),IF(TJ16=7,SUMPRODUCT(--(($TK$5:$TK16=$TK16)*($TJ$5:$TJ16&gt;=4)*($TJ$5:$TJ16&lt;=6)),$UQ$5:$UQ16),IF(TJ16=10,SUMPRODUCT(--(($TK$5:$TK16=$TK16)*($TJ$5:$TJ16&gt;=7)*($TJ$5:$TJ16&lt;=9)),$UQ$5:$UQ16),0)))))</f>
        <v/>
      </c>
      <c r="US16" s="12">
        <f>US15+UQ16-UR16</f>
        <v/>
      </c>
      <c r="UT16" s="12">
        <f>IF(ProviderDelay&gt;=1,UA15*BlendedProvPayEss+UB15*BlendedProvPayPrem+UC15*BlendedProvPayElite+UD15*BlendedProvPayEss+UE15*BlendedProvPayPrem+UF15*BlendedProvPayElite,UA16*BlendedProvPayEss+UB16*BlendedProvPayPrem+UC16*BlendedProvPayElite+UD16*BlendedProvPayEss+UE16*BlendedProvPayPrem+UF16*BlendedProvPayElite)</f>
        <v/>
      </c>
      <c r="UU16" s="12">
        <f>UM16*PaymentFee</f>
        <v/>
      </c>
      <c r="UV16" s="12">
        <f>UG16*OpsAI</f>
        <v/>
      </c>
      <c r="UW16" s="12">
        <f>MonthlyFixed</f>
        <v/>
      </c>
      <c r="UX16" s="12">
        <f>TQ16*ReferralReward</f>
        <v/>
      </c>
      <c r="UY16" s="12">
        <f>TO16</f>
        <v/>
      </c>
      <c r="UZ16" s="9">
        <f>UP16-UT16-UU16-UV16-UW16-UX16-UY16</f>
        <v/>
      </c>
      <c r="VA16" s="9">
        <f>VA15+UM16-(UT16+UU16+UV16+UW16+UX16+UY16+UR16)</f>
        <v/>
      </c>
      <c r="VB16" s="12">
        <f>IF(UG16&gt;0,UH16/UG16,0)</f>
        <v/>
      </c>
      <c r="VC16" s="11">
        <f>IF(UG15&gt;0,MAX(0,(UG15+TR16-UG16)/UG15),0)</f>
        <v/>
      </c>
      <c r="VE16" s="12" t="n">
        <v>12</v>
      </c>
      <c r="VF16" s="12">
        <f>MOD(VE16-1+LaunchMonth-1,12)+1</f>
        <v/>
      </c>
      <c r="VG16" s="12">
        <f>INT((VE16-1+LaunchMonth-1)/12)+1</f>
        <v/>
      </c>
      <c r="VH16" s="12">
        <f>VLOOKUP(VF16,SeasonTable,2,FALSE)</f>
        <v/>
      </c>
      <c r="VI16" s="12">
        <f>(1+InflationRate)^INT((VE16-1)/12)</f>
        <v/>
      </c>
      <c r="VJ16" s="11">
        <f>MonthlyChurn*VLOOKUP(VF16,ChurnSeasonTable,4,FALSE)</f>
        <v/>
      </c>
      <c r="VK16" s="12">
        <f>MIN(MAX(MktMin7_12,WI15*MktPct7_12),MAX(0,WW15-CashBuffer))</f>
        <v/>
      </c>
      <c r="VL16" s="12">
        <f>IF(VK16&gt;0,MAX(1,ROUND(VK16/CAC*VH16,0)),0)</f>
        <v/>
      </c>
      <c r="VM16" s="12">
        <f>IF(VL16&gt;0,ROUND(VL16*ReferralMix/(1-ReferralMix),0),0)</f>
        <v/>
      </c>
      <c r="VN16" s="12">
        <f>VL16+VM16</f>
        <v/>
      </c>
      <c r="VO16" s="12">
        <f>ROUND(VN16*(1-'Sens - Annual Mix'!$A$9),0)</f>
        <v/>
      </c>
      <c r="VP16" s="12">
        <f>VN16-VO16</f>
        <v/>
      </c>
      <c r="VQ16" s="12">
        <f>ROUND(VO16*EssentialMix,0)</f>
        <v/>
      </c>
      <c r="VR16" s="12">
        <f>ROUND(VO16*PremiumMix,0)</f>
        <v/>
      </c>
      <c r="VS16" s="12">
        <f>VO16-VQ16-VR16</f>
        <v/>
      </c>
      <c r="VT16" s="12">
        <f>ROUND(VP16*EssentialMix,0)</f>
        <v/>
      </c>
      <c r="VU16" s="12">
        <f>ROUND(VP16*PremiumMix,0)</f>
        <v/>
      </c>
      <c r="VV16" s="12">
        <f>VP16-VT16-VU16</f>
        <v/>
      </c>
      <c r="VW16" s="12">
        <f>VQ16+VQ15+VQ14+MAX(0,VW15-VQ15-VQ14)*(1-VJ16)</f>
        <v/>
      </c>
      <c r="VX16" s="12">
        <f>VR16+VR15+VR14+MAX(0,VX15-VR15-VR14)*(1-VJ16)</f>
        <v/>
      </c>
      <c r="VY16" s="12">
        <f>VS16+VS15+VS14+MAX(0,VY15-VS15-VS14)*(1-VJ16)</f>
        <v/>
      </c>
      <c r="VZ16" s="12">
        <f>SUM(VT$5:VT16)</f>
        <v/>
      </c>
      <c r="WA16" s="12">
        <f>SUM(VU$5:VU16)</f>
        <v/>
      </c>
      <c r="WB16" s="12">
        <f>SUM(VV$5:VV16)</f>
        <v/>
      </c>
      <c r="WC16" s="12">
        <f>VW16+VX16+VY16+VZ16+WA16+WB16</f>
        <v/>
      </c>
      <c r="WD16" s="9">
        <f>VW16*BlendedPriceEssMonthly*VI16+VX16*BlendedPricePremMonthly*VI16+VY16*BlendedPriceEliteMonthly*VI16+VZ16*BlendedPriceEssAnnual*VI16/12+WA16*BlendedPricePremAnnual*VI16/12+WB16*BlendedPriceEliteAnnual*VI16/12</f>
        <v/>
      </c>
      <c r="WE16" s="9">
        <f>WD16*12</f>
        <v/>
      </c>
      <c r="WF16" s="12">
        <f>VW16*BlendedPriceEssMonthly*VI16+VX16*BlendedPricePremMonthly*VI16+VY16*BlendedPriceEliteMonthly*VI16</f>
        <v/>
      </c>
      <c r="WG16" s="12">
        <f>VT16*BlendedPriceEssAnnual*VI16+VU16*BlendedPricePremAnnual*VI16+VV16*BlendedPriceEliteAnnual*VI16</f>
        <v/>
      </c>
      <c r="WH16" s="12">
        <f>0+0+0</f>
        <v/>
      </c>
      <c r="WI16" s="9">
        <f>WF16+WG16+WH16</f>
        <v/>
      </c>
      <c r="WJ16" s="12">
        <f>SUM(WI5:WI16)</f>
        <v/>
      </c>
      <c r="WK16" s="12">
        <f>OR(WK15,IF(VATAgentMode,SUM($WI5:$WI16)-SUM($WP5:$WP16)&gt;=VATThreshold,SUM($WI5:$WI16)&gt;=VATThreshold))</f>
        <v/>
      </c>
      <c r="WL16" s="9">
        <f>IF(WK16,IF(VATAgentMode,WI16-((WI16-WP16)-(WI16-WP16)/(1+VATRate)),WI16/(1+VATRate)),WI16)</f>
        <v/>
      </c>
      <c r="WM16" s="12">
        <f>WI16-WL16</f>
        <v/>
      </c>
      <c r="WN16" s="12">
        <f>IF(WK16=0,0,IF(VF16=1,SUMPRODUCT(--(($VG$5:$VG16=$VG16-1)*($VF$5:$VF16&gt;=10)*($VF$5:$VF16&lt;=12)),$WM$5:$WM16),IF(VF16=4,SUMPRODUCT(--(($VG$5:$VG16=$VG16)*($VF$5:$VF16&gt;=1)*($VF$5:$VF16&lt;=3)),$WM$5:$WM16),IF(VF16=7,SUMPRODUCT(--(($VG$5:$VG16=$VG16)*($VF$5:$VF16&gt;=4)*($VF$5:$VF16&lt;=6)),$WM$5:$WM16),IF(VF16=10,SUMPRODUCT(--(($VG$5:$VG16=$VG16)*($VF$5:$VF16&gt;=7)*($VF$5:$VF16&lt;=9)),$WM$5:$WM16),0)))))</f>
        <v/>
      </c>
      <c r="WO16" s="12">
        <f>WO15+WM16-WN16</f>
        <v/>
      </c>
      <c r="WP16" s="12">
        <f>IF(ProviderDelay&gt;=1,VW15*BlendedProvPayEss+VX15*BlendedProvPayPrem+VY15*BlendedProvPayElite+VZ15*BlendedProvPayEss+WA15*BlendedProvPayPrem+WB15*BlendedProvPayElite,VW16*BlendedProvPayEss+VX16*BlendedProvPayPrem+VY16*BlendedProvPayElite+VZ16*BlendedProvPayEss+WA16*BlendedProvPayPrem+WB16*BlendedProvPayElite)</f>
        <v/>
      </c>
      <c r="WQ16" s="12">
        <f>WI16*PaymentFee</f>
        <v/>
      </c>
      <c r="WR16" s="12">
        <f>WC16*OpsAI</f>
        <v/>
      </c>
      <c r="WS16" s="12">
        <f>MonthlyFixed</f>
        <v/>
      </c>
      <c r="WT16" s="12">
        <f>VM16*ReferralReward</f>
        <v/>
      </c>
      <c r="WU16" s="12">
        <f>VK16</f>
        <v/>
      </c>
      <c r="WV16" s="9">
        <f>WL16-WP16-WQ16-WR16-WS16-WT16-WU16</f>
        <v/>
      </c>
      <c r="WW16" s="9">
        <f>WW15+WI16-(WP16+WQ16+WR16+WS16+WT16+WU16+WN16)</f>
        <v/>
      </c>
      <c r="WX16" s="12">
        <f>IF(WC16&gt;0,WD16/WC16,0)</f>
        <v/>
      </c>
      <c r="WY16" s="11">
        <f>IF(WC15&gt;0,MAX(0,(WC15+VN16-WC16)/WC15),0)</f>
        <v/>
      </c>
      <c r="XA16" s="12" t="n">
        <v>12</v>
      </c>
      <c r="XB16" s="12">
        <f>MOD(XA16-1+LaunchMonth-1,12)+1</f>
        <v/>
      </c>
      <c r="XC16" s="12">
        <f>INT((XA16-1+LaunchMonth-1)/12)+1</f>
        <v/>
      </c>
      <c r="XD16" s="12">
        <f>VLOOKUP(XB16,SeasonTable,2,FALSE)</f>
        <v/>
      </c>
      <c r="XE16" s="12">
        <f>(1+InflationRate)^INT((XA16-1)/12)</f>
        <v/>
      </c>
      <c r="XF16" s="11">
        <f>MonthlyChurn*VLOOKUP(XB16,ChurnSeasonTable,4,FALSE)</f>
        <v/>
      </c>
      <c r="XG16" s="12">
        <f>MIN(MAX(MktMin7_12,YE15*MktPct7_12),MAX(0,YS15-CashBuffer))</f>
        <v/>
      </c>
      <c r="XH16" s="12">
        <f>IF(XG16&gt;0,MAX(1,ROUND(XG16/CAC*XD16,0)),0)</f>
        <v/>
      </c>
      <c r="XI16" s="12">
        <f>IF(XH16&gt;0,ROUND(XH16*ReferralMix/(1-ReferralMix),0),0)</f>
        <v/>
      </c>
      <c r="XJ16" s="12">
        <f>XH16+XI16</f>
        <v/>
      </c>
      <c r="XK16" s="12">
        <f>ROUND(XJ16*(1-'Sens - Annual Mix'!$A$10),0)</f>
        <v/>
      </c>
      <c r="XL16" s="12">
        <f>XJ16-XK16</f>
        <v/>
      </c>
      <c r="XM16" s="12">
        <f>ROUND(XK16*EssentialMix,0)</f>
        <v/>
      </c>
      <c r="XN16" s="12">
        <f>ROUND(XK16*PremiumMix,0)</f>
        <v/>
      </c>
      <c r="XO16" s="12">
        <f>XK16-XM16-XN16</f>
        <v/>
      </c>
      <c r="XP16" s="12">
        <f>ROUND(XL16*EssentialMix,0)</f>
        <v/>
      </c>
      <c r="XQ16" s="12">
        <f>ROUND(XL16*PremiumMix,0)</f>
        <v/>
      </c>
      <c r="XR16" s="12">
        <f>XL16-XP16-XQ16</f>
        <v/>
      </c>
      <c r="XS16" s="12">
        <f>XM16+XM15+XM14+MAX(0,XS15-XM15-XM14)*(1-XF16)</f>
        <v/>
      </c>
      <c r="XT16" s="12">
        <f>XN16+XN15+XN14+MAX(0,XT15-XN15-XN14)*(1-XF16)</f>
        <v/>
      </c>
      <c r="XU16" s="12">
        <f>XO16+XO15+XO14+MAX(0,XU15-XO15-XO14)*(1-XF16)</f>
        <v/>
      </c>
      <c r="XV16" s="12">
        <f>SUM(XP$5:XP16)</f>
        <v/>
      </c>
      <c r="XW16" s="12">
        <f>SUM(XQ$5:XQ16)</f>
        <v/>
      </c>
      <c r="XX16" s="12">
        <f>SUM(XR$5:XR16)</f>
        <v/>
      </c>
      <c r="XY16" s="12">
        <f>XS16+XT16+XU16+XV16+XW16+XX16</f>
        <v/>
      </c>
      <c r="XZ16" s="9">
        <f>XS16*BlendedPriceEssMonthly*XE16+XT16*BlendedPricePremMonthly*XE16+XU16*BlendedPriceEliteMonthly*XE16+XV16*BlendedPriceEssAnnual*XE16/12+XW16*BlendedPricePremAnnual*XE16/12+XX16*BlendedPriceEliteAnnual*XE16/12</f>
        <v/>
      </c>
      <c r="YA16" s="9">
        <f>XZ16*12</f>
        <v/>
      </c>
      <c r="YB16" s="12">
        <f>XS16*BlendedPriceEssMonthly*XE16+XT16*BlendedPricePremMonthly*XE16+XU16*BlendedPriceEliteMonthly*XE16</f>
        <v/>
      </c>
      <c r="YC16" s="12">
        <f>XP16*BlendedPriceEssAnnual*XE16+XQ16*BlendedPricePremAnnual*XE16+XR16*BlendedPriceEliteAnnual*XE16</f>
        <v/>
      </c>
      <c r="YD16" s="12">
        <f>0+0+0</f>
        <v/>
      </c>
      <c r="YE16" s="9">
        <f>YB16+YC16+YD16</f>
        <v/>
      </c>
      <c r="YF16" s="12">
        <f>SUM(YE5:YE16)</f>
        <v/>
      </c>
      <c r="YG16" s="12">
        <f>OR(YG15,IF(VATAgentMode,SUM($YE5:$YE16)-SUM($YL5:$YL16)&gt;=VATThreshold,SUM($YE5:$YE16)&gt;=VATThreshold))</f>
        <v/>
      </c>
      <c r="YH16" s="9">
        <f>IF(YG16,IF(VATAgentMode,YE16-((YE16-YL16)-(YE16-YL16)/(1+VATRate)),YE16/(1+VATRate)),YE16)</f>
        <v/>
      </c>
      <c r="YI16" s="12">
        <f>YE16-YH16</f>
        <v/>
      </c>
      <c r="YJ16" s="12">
        <f>IF(YG16=0,0,IF(XB16=1,SUMPRODUCT(--(($XC$5:$XC16=$XC16-1)*($XB$5:$XB16&gt;=10)*($XB$5:$XB16&lt;=12)),$YI$5:$YI16),IF(XB16=4,SUMPRODUCT(--(($XC$5:$XC16=$XC16)*($XB$5:$XB16&gt;=1)*($XB$5:$XB16&lt;=3)),$YI$5:$YI16),IF(XB16=7,SUMPRODUCT(--(($XC$5:$XC16=$XC16)*($XB$5:$XB16&gt;=4)*($XB$5:$XB16&lt;=6)),$YI$5:$YI16),IF(XB16=10,SUMPRODUCT(--(($XC$5:$XC16=$XC16)*($XB$5:$XB16&gt;=7)*($XB$5:$XB16&lt;=9)),$YI$5:$YI16),0)))))</f>
        <v/>
      </c>
      <c r="YK16" s="12">
        <f>YK15+YI16-YJ16</f>
        <v/>
      </c>
      <c r="YL16" s="12">
        <f>IF(ProviderDelay&gt;=1,XS15*BlendedProvPayEss+XT15*BlendedProvPayPrem+XU15*BlendedProvPayElite+XV15*BlendedProvPayEss+XW15*BlendedProvPayPrem+XX15*BlendedProvPayElite,XS16*BlendedProvPayEss+XT16*BlendedProvPayPrem+XU16*BlendedProvPayElite+XV16*BlendedProvPayEss+XW16*BlendedProvPayPrem+XX16*BlendedProvPayElite)</f>
        <v/>
      </c>
      <c r="YM16" s="12">
        <f>YE16*PaymentFee</f>
        <v/>
      </c>
      <c r="YN16" s="12">
        <f>XY16*OpsAI</f>
        <v/>
      </c>
      <c r="YO16" s="12">
        <f>MonthlyFixed</f>
        <v/>
      </c>
      <c r="YP16" s="12">
        <f>XI16*ReferralReward</f>
        <v/>
      </c>
      <c r="YQ16" s="12">
        <f>XG16</f>
        <v/>
      </c>
      <c r="YR16" s="9">
        <f>YH16-YL16-YM16-YN16-YO16-YP16-YQ16</f>
        <v/>
      </c>
      <c r="YS16" s="9">
        <f>YS15+YE16-(YL16+YM16+YN16+YO16+YP16+YQ16+YJ16)</f>
        <v/>
      </c>
      <c r="YT16" s="12">
        <f>IF(XY16&gt;0,XZ16/XY16,0)</f>
        <v/>
      </c>
      <c r="YU16" s="11">
        <f>IF(XY15&gt;0,MAX(0,(XY15+XJ16-XY16)/XY15),0)</f>
        <v/>
      </c>
      <c r="YW16" s="12" t="n">
        <v>12</v>
      </c>
      <c r="YX16" s="12">
        <f>MOD(YW16-1+LaunchMonth-1,12)+1</f>
        <v/>
      </c>
      <c r="YY16" s="12">
        <f>INT((YW16-1+LaunchMonth-1)/12)+1</f>
        <v/>
      </c>
      <c r="YZ16" s="12">
        <f>VLOOKUP(YX16,SeasonTable,2,FALSE)</f>
        <v/>
      </c>
      <c r="ZA16" s="12">
        <f>(1+InflationRate)^INT((YW16-1)/12)</f>
        <v/>
      </c>
      <c r="ZB16" s="11">
        <f>MonthlyChurn*VLOOKUP(YX16,ChurnSeasonTable,4,FALSE)</f>
        <v/>
      </c>
      <c r="ZC16" s="12">
        <f>MIN(MAX(MktMin7_12,AAA15*MktPct7_12),MAX(0,AAO15-CashBuffer))</f>
        <v/>
      </c>
      <c r="ZD16" s="12">
        <f>IF(ZC16&gt;0,MAX(1,ROUND(ZC16/CAC*YZ16,0)),0)</f>
        <v/>
      </c>
      <c r="ZE16" s="12">
        <f>IF(ZD16&gt;0,ROUND(ZD16*ReferralMix/(1-ReferralMix),0),0)</f>
        <v/>
      </c>
      <c r="ZF16" s="12">
        <f>ZD16+ZE16</f>
        <v/>
      </c>
      <c r="ZG16" s="12">
        <f>ROUND(ZF16*(1-'Sens - Annual Mix'!$A$11),0)</f>
        <v/>
      </c>
      <c r="ZH16" s="12">
        <f>ZF16-ZG16</f>
        <v/>
      </c>
      <c r="ZI16" s="12">
        <f>ROUND(ZG16*EssentialMix,0)</f>
        <v/>
      </c>
      <c r="ZJ16" s="12">
        <f>ROUND(ZG16*PremiumMix,0)</f>
        <v/>
      </c>
      <c r="ZK16" s="12">
        <f>ZG16-ZI16-ZJ16</f>
        <v/>
      </c>
      <c r="ZL16" s="12">
        <f>ROUND(ZH16*EssentialMix,0)</f>
        <v/>
      </c>
      <c r="ZM16" s="12">
        <f>ROUND(ZH16*PremiumMix,0)</f>
        <v/>
      </c>
      <c r="ZN16" s="12">
        <f>ZH16-ZL16-ZM16</f>
        <v/>
      </c>
      <c r="ZO16" s="12">
        <f>ZI16+ZI15+ZI14+MAX(0,ZO15-ZI15-ZI14)*(1-ZB16)</f>
        <v/>
      </c>
      <c r="ZP16" s="12">
        <f>ZJ16+ZJ15+ZJ14+MAX(0,ZP15-ZJ15-ZJ14)*(1-ZB16)</f>
        <v/>
      </c>
      <c r="ZQ16" s="12">
        <f>ZK16+ZK15+ZK14+MAX(0,ZQ15-ZK15-ZK14)*(1-ZB16)</f>
        <v/>
      </c>
      <c r="ZR16" s="12">
        <f>SUM(ZL$5:ZL16)</f>
        <v/>
      </c>
      <c r="ZS16" s="12">
        <f>SUM(ZM$5:ZM16)</f>
        <v/>
      </c>
      <c r="ZT16" s="12">
        <f>SUM(ZN$5:ZN16)</f>
        <v/>
      </c>
      <c r="ZU16" s="12">
        <f>ZO16+ZP16+ZQ16+ZR16+ZS16+ZT16</f>
        <v/>
      </c>
      <c r="ZV16" s="9">
        <f>ZO16*BlendedPriceEssMonthly*ZA16+ZP16*BlendedPricePremMonthly*ZA16+ZQ16*BlendedPriceEliteMonthly*ZA16+ZR16*BlendedPriceEssAnnual*ZA16/12+ZS16*BlendedPricePremAnnual*ZA16/12+ZT16*BlendedPriceEliteAnnual*ZA16/12</f>
        <v/>
      </c>
      <c r="ZW16" s="9">
        <f>ZV16*12</f>
        <v/>
      </c>
      <c r="ZX16" s="12">
        <f>ZO16*BlendedPriceEssMonthly*ZA16+ZP16*BlendedPricePremMonthly*ZA16+ZQ16*BlendedPriceEliteMonthly*ZA16</f>
        <v/>
      </c>
      <c r="ZY16" s="12">
        <f>ZL16*BlendedPriceEssAnnual*ZA16+ZM16*BlendedPricePremAnnual*ZA16+ZN16*BlendedPriceEliteAnnual*ZA16</f>
        <v/>
      </c>
      <c r="ZZ16" s="12">
        <f>0+0+0</f>
        <v/>
      </c>
      <c r="AAA16" s="9">
        <f>ZX16+ZY16+ZZ16</f>
        <v/>
      </c>
      <c r="AAB16" s="12">
        <f>SUM(AAA5:AAA16)</f>
        <v/>
      </c>
      <c r="AAC16" s="12">
        <f>OR(AAC15,IF(VATAgentMode,SUM($AAA5:$AAA16)-SUM($AAH5:$AAH16)&gt;=VATThreshold,SUM($AAA5:$AAA16)&gt;=VATThreshold))</f>
        <v/>
      </c>
      <c r="AAD16" s="9">
        <f>IF(AAC16,IF(VATAgentMode,AAA16-((AAA16-AAH16)-(AAA16-AAH16)/(1+VATRate)),AAA16/(1+VATRate)),AAA16)</f>
        <v/>
      </c>
      <c r="AAE16" s="12">
        <f>AAA16-AAD16</f>
        <v/>
      </c>
      <c r="AAF16" s="12">
        <f>IF(AAC16=0,0,IF(YX16=1,SUMPRODUCT(--(($YY$5:$YY16=$YY16-1)*($YX$5:$YX16&gt;=10)*($YX$5:$YX16&lt;=12)),$AAE$5:$AAE16),IF(YX16=4,SUMPRODUCT(--(($YY$5:$YY16=$YY16)*($YX$5:$YX16&gt;=1)*($YX$5:$YX16&lt;=3)),$AAE$5:$AAE16),IF(YX16=7,SUMPRODUCT(--(($YY$5:$YY16=$YY16)*($YX$5:$YX16&gt;=4)*($YX$5:$YX16&lt;=6)),$AAE$5:$AAE16),IF(YX16=10,SUMPRODUCT(--(($YY$5:$YY16=$YY16)*($YX$5:$YX16&gt;=7)*($YX$5:$YX16&lt;=9)),$AAE$5:$AAE16),0)))))</f>
        <v/>
      </c>
      <c r="AAG16" s="12">
        <f>AAG15+AAE16-AAF16</f>
        <v/>
      </c>
      <c r="AAH16" s="12">
        <f>IF(ProviderDelay&gt;=1,ZO15*BlendedProvPayEss+ZP15*BlendedProvPayPrem+ZQ15*BlendedProvPayElite+ZR15*BlendedProvPayEss+ZS15*BlendedProvPayPrem+ZT15*BlendedProvPayElite,ZO16*BlendedProvPayEss+ZP16*BlendedProvPayPrem+ZQ16*BlendedProvPayElite+ZR16*BlendedProvPayEss+ZS16*BlendedProvPayPrem+ZT16*BlendedProvPayElite)</f>
        <v/>
      </c>
      <c r="AAI16" s="12">
        <f>AAA16*PaymentFee</f>
        <v/>
      </c>
      <c r="AAJ16" s="12">
        <f>ZU16*OpsAI</f>
        <v/>
      </c>
      <c r="AAK16" s="12">
        <f>MonthlyFixed</f>
        <v/>
      </c>
      <c r="AAL16" s="12">
        <f>ZE16*ReferralReward</f>
        <v/>
      </c>
      <c r="AAM16" s="12">
        <f>ZC16</f>
        <v/>
      </c>
      <c r="AAN16" s="9">
        <f>AAD16-AAH16-AAI16-AAJ16-AAK16-AAL16-AAM16</f>
        <v/>
      </c>
      <c r="AAO16" s="9">
        <f>AAO15+AAA16-(AAH16+AAI16+AAJ16+AAK16+AAL16+AAM16+AAF16)</f>
        <v/>
      </c>
      <c r="AAP16" s="12">
        <f>IF(ZU16&gt;0,ZV16/ZU16,0)</f>
        <v/>
      </c>
      <c r="AAQ16" s="11">
        <f>IF(ZU15&gt;0,MAX(0,(ZU15+ZF16-ZU16)/ZU15),0)</f>
        <v/>
      </c>
      <c r="AAS16" s="12" t="n">
        <v>12</v>
      </c>
      <c r="AAT16" s="12">
        <f>MOD(AAS16-1+LaunchMonth-1,12)+1</f>
        <v/>
      </c>
      <c r="AAU16" s="12">
        <f>INT((AAS16-1+LaunchMonth-1)/12)+1</f>
        <v/>
      </c>
      <c r="AAV16" s="12">
        <f>VLOOKUP(AAT16,SeasonTable,2,FALSE)</f>
        <v/>
      </c>
      <c r="AAW16" s="12">
        <f>(1+InflationRate)^INT((AAS16-1)/12)</f>
        <v/>
      </c>
      <c r="AAX16" s="11">
        <f>MonthlyChurn*VLOOKUP(AAT16,ChurnSeasonTable,4,FALSE)</f>
        <v/>
      </c>
      <c r="AAY16" s="12">
        <f>MIN(MAX(MktMin7_12,ABW15*MktPct7_12),MAX(0,ACK15-CashBuffer))</f>
        <v/>
      </c>
      <c r="AAZ16" s="12">
        <f>IF(AAY16&gt;0,MAX(1,ROUND(AAY16/CAC*AAV16,0)),0)</f>
        <v/>
      </c>
      <c r="ABA16" s="12">
        <f>IF(AAZ16&gt;0,ROUND(AAZ16*ReferralMix/(1-ReferralMix),0),0)</f>
        <v/>
      </c>
      <c r="ABB16" s="12">
        <f>AAZ16+ABA16</f>
        <v/>
      </c>
      <c r="ABC16" s="12">
        <f>ROUND(ABB16*(1-'Sens - Annual Mix'!$A$12),0)</f>
        <v/>
      </c>
      <c r="ABD16" s="12">
        <f>ABB16-ABC16</f>
        <v/>
      </c>
      <c r="ABE16" s="12">
        <f>ROUND(ABC16*EssentialMix,0)</f>
        <v/>
      </c>
      <c r="ABF16" s="12">
        <f>ROUND(ABC16*PremiumMix,0)</f>
        <v/>
      </c>
      <c r="ABG16" s="12">
        <f>ABC16-ABE16-ABF16</f>
        <v/>
      </c>
      <c r="ABH16" s="12">
        <f>ROUND(ABD16*EssentialMix,0)</f>
        <v/>
      </c>
      <c r="ABI16" s="12">
        <f>ROUND(ABD16*PremiumMix,0)</f>
        <v/>
      </c>
      <c r="ABJ16" s="12">
        <f>ABD16-ABH16-ABI16</f>
        <v/>
      </c>
      <c r="ABK16" s="12">
        <f>ABE16+ABE15+ABE14+MAX(0,ABK15-ABE15-ABE14)*(1-AAX16)</f>
        <v/>
      </c>
      <c r="ABL16" s="12">
        <f>ABF16+ABF15+ABF14+MAX(0,ABL15-ABF15-ABF14)*(1-AAX16)</f>
        <v/>
      </c>
      <c r="ABM16" s="12">
        <f>ABG16+ABG15+ABG14+MAX(0,ABM15-ABG15-ABG14)*(1-AAX16)</f>
        <v/>
      </c>
      <c r="ABN16" s="12">
        <f>SUM(ABH$5:ABH16)</f>
        <v/>
      </c>
      <c r="ABO16" s="12">
        <f>SUM(ABI$5:ABI16)</f>
        <v/>
      </c>
      <c r="ABP16" s="12">
        <f>SUM(ABJ$5:ABJ16)</f>
        <v/>
      </c>
      <c r="ABQ16" s="12">
        <f>ABK16+ABL16+ABM16+ABN16+ABO16+ABP16</f>
        <v/>
      </c>
      <c r="ABR16" s="9">
        <f>ABK16*BlendedPriceEssMonthly*AAW16+ABL16*BlendedPricePremMonthly*AAW16+ABM16*BlendedPriceEliteMonthly*AAW16+ABN16*BlendedPriceEssAnnual*AAW16/12+ABO16*BlendedPricePremAnnual*AAW16/12+ABP16*BlendedPriceEliteAnnual*AAW16/12</f>
        <v/>
      </c>
      <c r="ABS16" s="9">
        <f>ABR16*12</f>
        <v/>
      </c>
      <c r="ABT16" s="12">
        <f>ABK16*BlendedPriceEssMonthly*AAW16+ABL16*BlendedPricePremMonthly*AAW16+ABM16*BlendedPriceEliteMonthly*AAW16</f>
        <v/>
      </c>
      <c r="ABU16" s="12">
        <f>ABH16*BlendedPriceEssAnnual*AAW16+ABI16*BlendedPricePremAnnual*AAW16+ABJ16*BlendedPriceEliteAnnual*AAW16</f>
        <v/>
      </c>
      <c r="ABV16" s="12">
        <f>0+0+0</f>
        <v/>
      </c>
      <c r="ABW16" s="9">
        <f>ABT16+ABU16+ABV16</f>
        <v/>
      </c>
      <c r="ABX16" s="12">
        <f>SUM(ABW5:ABW16)</f>
        <v/>
      </c>
      <c r="ABY16" s="12">
        <f>OR(ABY15,IF(VATAgentMode,SUM($ABW5:$ABW16)-SUM($ACD5:$ACD16)&gt;=VATThreshold,SUM($ABW5:$ABW16)&gt;=VATThreshold))</f>
        <v/>
      </c>
      <c r="ABZ16" s="9">
        <f>IF(ABY16,IF(VATAgentMode,ABW16-((ABW16-ACD16)-(ABW16-ACD16)/(1+VATRate)),ABW16/(1+VATRate)),ABW16)</f>
        <v/>
      </c>
      <c r="ACA16" s="12">
        <f>ABW16-ABZ16</f>
        <v/>
      </c>
      <c r="ACB16" s="12">
        <f>IF(ABY16=0,0,IF(AAT16=1,SUMPRODUCT(--(($AAU$5:$AAU16=$AAU16-1)*($AAT$5:$AAT16&gt;=10)*($AAT$5:$AAT16&lt;=12)),$ACA$5:$ACA16),IF(AAT16=4,SUMPRODUCT(--(($AAU$5:$AAU16=$AAU16)*($AAT$5:$AAT16&gt;=1)*($AAT$5:$AAT16&lt;=3)),$ACA$5:$ACA16),IF(AAT16=7,SUMPRODUCT(--(($AAU$5:$AAU16=$AAU16)*($AAT$5:$AAT16&gt;=4)*($AAT$5:$AAT16&lt;=6)),$ACA$5:$ACA16),IF(AAT16=10,SUMPRODUCT(--(($AAU$5:$AAU16=$AAU16)*($AAT$5:$AAT16&gt;=7)*($AAT$5:$AAT16&lt;=9)),$ACA$5:$ACA16),0)))))</f>
        <v/>
      </c>
      <c r="ACC16" s="12">
        <f>ACC15+ACA16-ACB16</f>
        <v/>
      </c>
      <c r="ACD16" s="12">
        <f>IF(ProviderDelay&gt;=1,ABK15*BlendedProvPayEss+ABL15*BlendedProvPayPrem+ABM15*BlendedProvPayElite+ABN15*BlendedProvPayEss+ABO15*BlendedProvPayPrem+ABP15*BlendedProvPayElite,ABK16*BlendedProvPayEss+ABL16*BlendedProvPayPrem+ABM16*BlendedProvPayElite+ABN16*BlendedProvPayEss+ABO16*BlendedProvPayPrem+ABP16*BlendedProvPayElite)</f>
        <v/>
      </c>
      <c r="ACE16" s="12">
        <f>ABW16*PaymentFee</f>
        <v/>
      </c>
      <c r="ACF16" s="12">
        <f>ABQ16*OpsAI</f>
        <v/>
      </c>
      <c r="ACG16" s="12">
        <f>MonthlyFixed</f>
        <v/>
      </c>
      <c r="ACH16" s="12">
        <f>ABA16*ReferralReward</f>
        <v/>
      </c>
      <c r="ACI16" s="12">
        <f>AAY16</f>
        <v/>
      </c>
      <c r="ACJ16" s="9">
        <f>ABZ16-ACD16-ACE16-ACF16-ACG16-ACH16-ACI16</f>
        <v/>
      </c>
      <c r="ACK16" s="9">
        <f>ACK15+ABW16-(ACD16+ACE16+ACF16+ACG16+ACH16+ACI16+ACB16)</f>
        <v/>
      </c>
      <c r="ACL16" s="12">
        <f>IF(ABQ16&gt;0,ABR16/ABQ16,0)</f>
        <v/>
      </c>
      <c r="ACM16" s="11">
        <f>IF(ABQ15&gt;0,MAX(0,(ABQ15+ABB16-ABQ16)/ABQ15),0)</f>
        <v/>
      </c>
      <c r="ACO16" s="12" t="n">
        <v>12</v>
      </c>
      <c r="ACP16" s="12">
        <f>MOD(ACO16-1+LaunchMonth-1,12)+1</f>
        <v/>
      </c>
      <c r="ACQ16" s="12">
        <f>INT((ACO16-1+LaunchMonth-1)/12)+1</f>
        <v/>
      </c>
      <c r="ACR16" s="12">
        <f>VLOOKUP(ACP16,SeasonTable,2,FALSE)</f>
        <v/>
      </c>
      <c r="ACS16" s="12">
        <f>(1+InflationRate)^INT((ACO16-1)/12)</f>
        <v/>
      </c>
      <c r="ACT16" s="11">
        <f>MonthlyChurn*VLOOKUP(ACP16,ChurnSeasonTable,4,FALSE)</f>
        <v/>
      </c>
      <c r="ACU16" s="12">
        <f>MIN(MAX(MktMin7_12,ADS15*MktPct7_12),MAX(0,AEG15-CashBuffer))</f>
        <v/>
      </c>
      <c r="ACV16" s="12">
        <f>IF(ACU16&gt;0,MAX(1,ROUND(ACU16/CAC*ACR16,0)),0)</f>
        <v/>
      </c>
      <c r="ACW16" s="12">
        <f>IF(ACV16&gt;0,ROUND(ACV16*ReferralMix/(1-ReferralMix),0),0)</f>
        <v/>
      </c>
      <c r="ACX16" s="12">
        <f>ACV16+ACW16</f>
        <v/>
      </c>
      <c r="ACY16" s="12">
        <f>ROUND(ACX16*(1-'Sens - Annual Mix'!$A$13),0)</f>
        <v/>
      </c>
      <c r="ACZ16" s="12">
        <f>ACX16-ACY16</f>
        <v/>
      </c>
      <c r="ADA16" s="12">
        <f>ROUND(ACY16*EssentialMix,0)</f>
        <v/>
      </c>
      <c r="ADB16" s="12">
        <f>ROUND(ACY16*PremiumMix,0)</f>
        <v/>
      </c>
      <c r="ADC16" s="12">
        <f>ACY16-ADA16-ADB16</f>
        <v/>
      </c>
      <c r="ADD16" s="12">
        <f>ROUND(ACZ16*EssentialMix,0)</f>
        <v/>
      </c>
      <c r="ADE16" s="12">
        <f>ROUND(ACZ16*PremiumMix,0)</f>
        <v/>
      </c>
      <c r="ADF16" s="12">
        <f>ACZ16-ADD16-ADE16</f>
        <v/>
      </c>
      <c r="ADG16" s="12">
        <f>ADA16+ADA15+ADA14+MAX(0,ADG15-ADA15-ADA14)*(1-ACT16)</f>
        <v/>
      </c>
      <c r="ADH16" s="12">
        <f>ADB16+ADB15+ADB14+MAX(0,ADH15-ADB15-ADB14)*(1-ACT16)</f>
        <v/>
      </c>
      <c r="ADI16" s="12">
        <f>ADC16+ADC15+ADC14+MAX(0,ADI15-ADC15-ADC14)*(1-ACT16)</f>
        <v/>
      </c>
      <c r="ADJ16" s="12">
        <f>SUM(ADD$5:ADD16)</f>
        <v/>
      </c>
      <c r="ADK16" s="12">
        <f>SUM(ADE$5:ADE16)</f>
        <v/>
      </c>
      <c r="ADL16" s="12">
        <f>SUM(ADF$5:ADF16)</f>
        <v/>
      </c>
      <c r="ADM16" s="12">
        <f>ADG16+ADH16+ADI16+ADJ16+ADK16+ADL16</f>
        <v/>
      </c>
      <c r="ADN16" s="9">
        <f>ADG16*BlendedPriceEssMonthly*ACS16+ADH16*BlendedPricePremMonthly*ACS16+ADI16*BlendedPriceEliteMonthly*ACS16+ADJ16*BlendedPriceEssAnnual*ACS16/12+ADK16*BlendedPricePremAnnual*ACS16/12+ADL16*BlendedPriceEliteAnnual*ACS16/12</f>
        <v/>
      </c>
      <c r="ADO16" s="9">
        <f>ADN16*12</f>
        <v/>
      </c>
      <c r="ADP16" s="12">
        <f>ADG16*BlendedPriceEssMonthly*ACS16+ADH16*BlendedPricePremMonthly*ACS16+ADI16*BlendedPriceEliteMonthly*ACS16</f>
        <v/>
      </c>
      <c r="ADQ16" s="12">
        <f>ADD16*BlendedPriceEssAnnual*ACS16+ADE16*BlendedPricePremAnnual*ACS16+ADF16*BlendedPriceEliteAnnual*ACS16</f>
        <v/>
      </c>
      <c r="ADR16" s="12">
        <f>0+0+0</f>
        <v/>
      </c>
      <c r="ADS16" s="9">
        <f>ADP16+ADQ16+ADR16</f>
        <v/>
      </c>
      <c r="ADT16" s="12">
        <f>SUM(ADS5:ADS16)</f>
        <v/>
      </c>
      <c r="ADU16" s="12">
        <f>OR(ADU15,IF(VATAgentMode,SUM($ADS5:$ADS16)-SUM($ADZ5:$ADZ16)&gt;=VATThreshold,SUM($ADS5:$ADS16)&gt;=VATThreshold))</f>
        <v/>
      </c>
      <c r="ADV16" s="9">
        <f>IF(ADU16,IF(VATAgentMode,ADS16-((ADS16-ADZ16)-(ADS16-ADZ16)/(1+VATRate)),ADS16/(1+VATRate)),ADS16)</f>
        <v/>
      </c>
      <c r="ADW16" s="12">
        <f>ADS16-ADV16</f>
        <v/>
      </c>
      <c r="ADX16" s="12">
        <f>IF(ADU16=0,0,IF(ACP16=1,SUMPRODUCT(--(($ACQ$5:$ACQ16=$ACQ16-1)*($ACP$5:$ACP16&gt;=10)*($ACP$5:$ACP16&lt;=12)),$ADW$5:$ADW16),IF(ACP16=4,SUMPRODUCT(--(($ACQ$5:$ACQ16=$ACQ16)*($ACP$5:$ACP16&gt;=1)*($ACP$5:$ACP16&lt;=3)),$ADW$5:$ADW16),IF(ACP16=7,SUMPRODUCT(--(($ACQ$5:$ACQ16=$ACQ16)*($ACP$5:$ACP16&gt;=4)*($ACP$5:$ACP16&lt;=6)),$ADW$5:$ADW16),IF(ACP16=10,SUMPRODUCT(--(($ACQ$5:$ACQ16=$ACQ16)*($ACP$5:$ACP16&gt;=7)*($ACP$5:$ACP16&lt;=9)),$ADW$5:$ADW16),0)))))</f>
        <v/>
      </c>
      <c r="ADY16" s="12">
        <f>ADY15+ADW16-ADX16</f>
        <v/>
      </c>
      <c r="ADZ16" s="12">
        <f>IF(ProviderDelay&gt;=1,ADG15*BlendedProvPayEss+ADH15*BlendedProvPayPrem+ADI15*BlendedProvPayElite+ADJ15*BlendedProvPayEss+ADK15*BlendedProvPayPrem+ADL15*BlendedProvPayElite,ADG16*BlendedProvPayEss+ADH16*BlendedProvPayPrem+ADI16*BlendedProvPayElite+ADJ16*BlendedProvPayEss+ADK16*BlendedProvPayPrem+ADL16*BlendedProvPayElite)</f>
        <v/>
      </c>
      <c r="AEA16" s="12">
        <f>ADS16*PaymentFee</f>
        <v/>
      </c>
      <c r="AEB16" s="12">
        <f>ADM16*OpsAI</f>
        <v/>
      </c>
      <c r="AEC16" s="12">
        <f>MonthlyFixed</f>
        <v/>
      </c>
      <c r="AED16" s="12">
        <f>ACW16*ReferralReward</f>
        <v/>
      </c>
      <c r="AEE16" s="12">
        <f>ACU16</f>
        <v/>
      </c>
      <c r="AEF16" s="9">
        <f>ADV16-ADZ16-AEA16-AEB16-AEC16-AED16-AEE16</f>
        <v/>
      </c>
      <c r="AEG16" s="9">
        <f>AEG15+ADS16-(ADZ16+AEA16+AEB16+AEC16+AED16+AEE16+ADX16)</f>
        <v/>
      </c>
      <c r="AEH16" s="12">
        <f>IF(ADM16&gt;0,ADN16/ADM16,0)</f>
        <v/>
      </c>
      <c r="AEI16" s="11">
        <f>IF(ADM15&gt;0,MAX(0,(ADM15+ACX16-ADM16)/ADM15),0)</f>
        <v/>
      </c>
      <c r="AEK16" s="12" t="n">
        <v>12</v>
      </c>
      <c r="AEL16" s="12">
        <f>MOD(AEK16-1+LaunchMonth-1,12)+1</f>
        <v/>
      </c>
      <c r="AEM16" s="12">
        <f>INT((AEK16-1+LaunchMonth-1)/12)+1</f>
        <v/>
      </c>
      <c r="AEN16" s="12">
        <f>VLOOKUP(AEL16,SeasonTable,2,FALSE)</f>
        <v/>
      </c>
      <c r="AEO16" s="12">
        <f>(1+InflationRate)^INT((AEK16-1)/12)</f>
        <v/>
      </c>
      <c r="AEP16" s="11">
        <f>MonthlyChurn*VLOOKUP(AEL16,ChurnSeasonTable,4,FALSE)</f>
        <v/>
      </c>
      <c r="AEQ16" s="12">
        <f>MIN(MAX(MktMin7_12,AFO15*MktPct7_12),MAX(0,AGC15-CashBuffer))</f>
        <v/>
      </c>
      <c r="AER16" s="12">
        <f>IF(AEQ16&gt;0,MAX(1,ROUND(AEQ16/CAC*AEN16,0)),0)</f>
        <v/>
      </c>
      <c r="AES16" s="12">
        <f>IF(AER16&gt;0,ROUND(AER16*ReferralMix/(1-ReferralMix),0),0)</f>
        <v/>
      </c>
      <c r="AET16" s="12">
        <f>AER16+AES16</f>
        <v/>
      </c>
      <c r="AEU16" s="12">
        <f>ROUND(AET16*(1-'Sens - Annual Mix'!$A$14),0)</f>
        <v/>
      </c>
      <c r="AEV16" s="12">
        <f>AET16-AEU16</f>
        <v/>
      </c>
      <c r="AEW16" s="12">
        <f>ROUND(AEU16*EssentialMix,0)</f>
        <v/>
      </c>
      <c r="AEX16" s="12">
        <f>ROUND(AEU16*PremiumMix,0)</f>
        <v/>
      </c>
      <c r="AEY16" s="12">
        <f>AEU16-AEW16-AEX16</f>
        <v/>
      </c>
      <c r="AEZ16" s="12">
        <f>ROUND(AEV16*EssentialMix,0)</f>
        <v/>
      </c>
      <c r="AFA16" s="12">
        <f>ROUND(AEV16*PremiumMix,0)</f>
        <v/>
      </c>
      <c r="AFB16" s="12">
        <f>AEV16-AEZ16-AFA16</f>
        <v/>
      </c>
      <c r="AFC16" s="12">
        <f>AEW16+AEW15+AEW14+MAX(0,AFC15-AEW15-AEW14)*(1-AEP16)</f>
        <v/>
      </c>
      <c r="AFD16" s="12">
        <f>AEX16+AEX15+AEX14+MAX(0,AFD15-AEX15-AEX14)*(1-AEP16)</f>
        <v/>
      </c>
      <c r="AFE16" s="12">
        <f>AEY16+AEY15+AEY14+MAX(0,AFE15-AEY15-AEY14)*(1-AEP16)</f>
        <v/>
      </c>
      <c r="AFF16" s="12">
        <f>SUM(AEZ$5:AEZ16)</f>
        <v/>
      </c>
      <c r="AFG16" s="12">
        <f>SUM(AFA$5:AFA16)</f>
        <v/>
      </c>
      <c r="AFH16" s="12">
        <f>SUM(AFB$5:AFB16)</f>
        <v/>
      </c>
      <c r="AFI16" s="12">
        <f>AFC16+AFD16+AFE16+AFF16+AFG16+AFH16</f>
        <v/>
      </c>
      <c r="AFJ16" s="9">
        <f>AFC16*BlendedPriceEssMonthly*AEO16+AFD16*BlendedPricePremMonthly*AEO16+AFE16*BlendedPriceEliteMonthly*AEO16+AFF16*BlendedPriceEssAnnual*AEO16/12+AFG16*BlendedPricePremAnnual*AEO16/12+AFH16*BlendedPriceEliteAnnual*AEO16/12</f>
        <v/>
      </c>
      <c r="AFK16" s="9">
        <f>AFJ16*12</f>
        <v/>
      </c>
      <c r="AFL16" s="12">
        <f>AFC16*BlendedPriceEssMonthly*AEO16+AFD16*BlendedPricePremMonthly*AEO16+AFE16*BlendedPriceEliteMonthly*AEO16</f>
        <v/>
      </c>
      <c r="AFM16" s="12">
        <f>AEZ16*BlendedPriceEssAnnual*AEO16+AFA16*BlendedPricePremAnnual*AEO16+AFB16*BlendedPriceEliteAnnual*AEO16</f>
        <v/>
      </c>
      <c r="AFN16" s="12">
        <f>0+0+0</f>
        <v/>
      </c>
      <c r="AFO16" s="9">
        <f>AFL16+AFM16+AFN16</f>
        <v/>
      </c>
      <c r="AFP16" s="12">
        <f>SUM(AFO5:AFO16)</f>
        <v/>
      </c>
      <c r="AFQ16" s="12">
        <f>OR(AFQ15,IF(VATAgentMode,SUM($AFO5:$AFO16)-SUM($AFV5:$AFV16)&gt;=VATThreshold,SUM($AFO5:$AFO16)&gt;=VATThreshold))</f>
        <v/>
      </c>
      <c r="AFR16" s="9">
        <f>IF(AFQ16,IF(VATAgentMode,AFO16-((AFO16-AFV16)-(AFO16-AFV16)/(1+VATRate)),AFO16/(1+VATRate)),AFO16)</f>
        <v/>
      </c>
      <c r="AFS16" s="12">
        <f>AFO16-AFR16</f>
        <v/>
      </c>
      <c r="AFT16" s="12">
        <f>IF(AFQ16=0,0,IF(AEL16=1,SUMPRODUCT(--(($AEM$5:$AEM16=$AEM16-1)*($AEL$5:$AEL16&gt;=10)*($AEL$5:$AEL16&lt;=12)),$AFS$5:$AFS16),IF(AEL16=4,SUMPRODUCT(--(($AEM$5:$AEM16=$AEM16)*($AEL$5:$AEL16&gt;=1)*($AEL$5:$AEL16&lt;=3)),$AFS$5:$AFS16),IF(AEL16=7,SUMPRODUCT(--(($AEM$5:$AEM16=$AEM16)*($AEL$5:$AEL16&gt;=4)*($AEL$5:$AEL16&lt;=6)),$AFS$5:$AFS16),IF(AEL16=10,SUMPRODUCT(--(($AEM$5:$AEM16=$AEM16)*($AEL$5:$AEL16&gt;=7)*($AEL$5:$AEL16&lt;=9)),$AFS$5:$AFS16),0)))))</f>
        <v/>
      </c>
      <c r="AFU16" s="12">
        <f>AFU15+AFS16-AFT16</f>
        <v/>
      </c>
      <c r="AFV16" s="12">
        <f>IF(ProviderDelay&gt;=1,AFC15*BlendedProvPayEss+AFD15*BlendedProvPayPrem+AFE15*BlendedProvPayElite+AFF15*BlendedProvPayEss+AFG15*BlendedProvPayPrem+AFH15*BlendedProvPayElite,AFC16*BlendedProvPayEss+AFD16*BlendedProvPayPrem+AFE16*BlendedProvPayElite+AFF16*BlendedProvPayEss+AFG16*BlendedProvPayPrem+AFH16*BlendedProvPayElite)</f>
        <v/>
      </c>
      <c r="AFW16" s="12">
        <f>AFO16*PaymentFee</f>
        <v/>
      </c>
      <c r="AFX16" s="12">
        <f>AFI16*OpsAI</f>
        <v/>
      </c>
      <c r="AFY16" s="12">
        <f>MonthlyFixed</f>
        <v/>
      </c>
      <c r="AFZ16" s="12">
        <f>AES16*ReferralReward</f>
        <v/>
      </c>
      <c r="AGA16" s="12">
        <f>AEQ16</f>
        <v/>
      </c>
      <c r="AGB16" s="9">
        <f>AFR16-AFV16-AFW16-AFX16-AFY16-AFZ16-AGA16</f>
        <v/>
      </c>
      <c r="AGC16" s="9">
        <f>AGC15+AFO16-(AFV16+AFW16+AFX16+AFY16+AFZ16+AGA16+AFT16)</f>
        <v/>
      </c>
      <c r="AGD16" s="12">
        <f>IF(AFI16&gt;0,AFJ16/AFI16,0)</f>
        <v/>
      </c>
      <c r="AGE16" s="11">
        <f>IF(AFI15&gt;0,MAX(0,(AFI15+AET16-AFI16)/AFI15),0)</f>
        <v/>
      </c>
      <c r="AGG16" s="12" t="n">
        <v>12</v>
      </c>
      <c r="AGH16" s="12">
        <f>MOD(AGG16-1+LaunchMonth-1,12)+1</f>
        <v/>
      </c>
      <c r="AGI16" s="12">
        <f>INT((AGG16-1+LaunchMonth-1)/12)+1</f>
        <v/>
      </c>
      <c r="AGJ16" s="12">
        <f>VLOOKUP(AGH16,SeasonTable,2,FALSE)</f>
        <v/>
      </c>
      <c r="AGK16" s="12">
        <f>(1+InflationRate)^INT((AGG16-1)/12)</f>
        <v/>
      </c>
      <c r="AGL16" s="11">
        <f>MonthlyChurn*VLOOKUP(AGH16,ChurnSeasonTable,4,FALSE)</f>
        <v/>
      </c>
      <c r="AGM16" s="12">
        <f>MIN(MAX(MktMin7_12,AHK15*MktPct7_12),MAX(0,AHY15-CashBuffer))</f>
        <v/>
      </c>
      <c r="AGN16" s="12">
        <f>IF(AGM16&gt;0,MAX(1,ROUND(AGM16/CAC*AGJ16,0)),0)</f>
        <v/>
      </c>
      <c r="AGO16" s="12">
        <f>IF(AGN16&gt;0,ROUND(AGN16*ReferralMix/(1-ReferralMix),0),0)</f>
        <v/>
      </c>
      <c r="AGP16" s="12">
        <f>AGN16+AGO16</f>
        <v/>
      </c>
      <c r="AGQ16" s="12">
        <f>ROUND(AGP16*(1-'Sens - Annual Mix'!$A$15),0)</f>
        <v/>
      </c>
      <c r="AGR16" s="12">
        <f>AGP16-AGQ16</f>
        <v/>
      </c>
      <c r="AGS16" s="12">
        <f>ROUND(AGQ16*EssentialMix,0)</f>
        <v/>
      </c>
      <c r="AGT16" s="12">
        <f>ROUND(AGQ16*PremiumMix,0)</f>
        <v/>
      </c>
      <c r="AGU16" s="12">
        <f>AGQ16-AGS16-AGT16</f>
        <v/>
      </c>
      <c r="AGV16" s="12">
        <f>ROUND(AGR16*EssentialMix,0)</f>
        <v/>
      </c>
      <c r="AGW16" s="12">
        <f>ROUND(AGR16*PremiumMix,0)</f>
        <v/>
      </c>
      <c r="AGX16" s="12">
        <f>AGR16-AGV16-AGW16</f>
        <v/>
      </c>
      <c r="AGY16" s="12">
        <f>AGS16+AGS15+AGS14+MAX(0,AGY15-AGS15-AGS14)*(1-AGL16)</f>
        <v/>
      </c>
      <c r="AGZ16" s="12">
        <f>AGT16+AGT15+AGT14+MAX(0,AGZ15-AGT15-AGT14)*(1-AGL16)</f>
        <v/>
      </c>
      <c r="AHA16" s="12">
        <f>AGU16+AGU15+AGU14+MAX(0,AHA15-AGU15-AGU14)*(1-AGL16)</f>
        <v/>
      </c>
      <c r="AHB16" s="12">
        <f>SUM(AGV$5:AGV16)</f>
        <v/>
      </c>
      <c r="AHC16" s="12">
        <f>SUM(AGW$5:AGW16)</f>
        <v/>
      </c>
      <c r="AHD16" s="12">
        <f>SUM(AGX$5:AGX16)</f>
        <v/>
      </c>
      <c r="AHE16" s="12">
        <f>AGY16+AGZ16+AHA16+AHB16+AHC16+AHD16</f>
        <v/>
      </c>
      <c r="AHF16" s="9">
        <f>AGY16*BlendedPriceEssMonthly*AGK16+AGZ16*BlendedPricePremMonthly*AGK16+AHA16*BlendedPriceEliteMonthly*AGK16+AHB16*BlendedPriceEssAnnual*AGK16/12+AHC16*BlendedPricePremAnnual*AGK16/12+AHD16*BlendedPriceEliteAnnual*AGK16/12</f>
        <v/>
      </c>
      <c r="AHG16" s="9">
        <f>AHF16*12</f>
        <v/>
      </c>
      <c r="AHH16" s="12">
        <f>AGY16*BlendedPriceEssMonthly*AGK16+AGZ16*BlendedPricePremMonthly*AGK16+AHA16*BlendedPriceEliteMonthly*AGK16</f>
        <v/>
      </c>
      <c r="AHI16" s="12">
        <f>AGV16*BlendedPriceEssAnnual*AGK16+AGW16*BlendedPricePremAnnual*AGK16+AGX16*BlendedPriceEliteAnnual*AGK16</f>
        <v/>
      </c>
      <c r="AHJ16" s="12">
        <f>0+0+0</f>
        <v/>
      </c>
      <c r="AHK16" s="9">
        <f>AHH16+AHI16+AHJ16</f>
        <v/>
      </c>
      <c r="AHL16" s="12">
        <f>SUM(AHK5:AHK16)</f>
        <v/>
      </c>
      <c r="AHM16" s="12">
        <f>OR(AHM15,IF(VATAgentMode,SUM($AHK5:$AHK16)-SUM($AHR5:$AHR16)&gt;=VATThreshold,SUM($AHK5:$AHK16)&gt;=VATThreshold))</f>
        <v/>
      </c>
      <c r="AHN16" s="9">
        <f>IF(AHM16,IF(VATAgentMode,AHK16-((AHK16-AHR16)-(AHK16-AHR16)/(1+VATRate)),AHK16/(1+VATRate)),AHK16)</f>
        <v/>
      </c>
      <c r="AHO16" s="12">
        <f>AHK16-AHN16</f>
        <v/>
      </c>
      <c r="AHP16" s="12">
        <f>IF(AHM16=0,0,IF(AGH16=1,SUMPRODUCT(--(($AGI$5:$AGI16=$AGI16-1)*($AGH$5:$AGH16&gt;=10)*($AGH$5:$AGH16&lt;=12)),$AHO$5:$AHO16),IF(AGH16=4,SUMPRODUCT(--(($AGI$5:$AGI16=$AGI16)*($AGH$5:$AGH16&gt;=1)*($AGH$5:$AGH16&lt;=3)),$AHO$5:$AHO16),IF(AGH16=7,SUMPRODUCT(--(($AGI$5:$AGI16=$AGI16)*($AGH$5:$AGH16&gt;=4)*($AGH$5:$AGH16&lt;=6)),$AHO$5:$AHO16),IF(AGH16=10,SUMPRODUCT(--(($AGI$5:$AGI16=$AGI16)*($AGH$5:$AGH16&gt;=7)*($AGH$5:$AGH16&lt;=9)),$AHO$5:$AHO16),0)))))</f>
        <v/>
      </c>
      <c r="AHQ16" s="12">
        <f>AHQ15+AHO16-AHP16</f>
        <v/>
      </c>
      <c r="AHR16" s="12">
        <f>IF(ProviderDelay&gt;=1,AGY15*BlendedProvPayEss+AGZ15*BlendedProvPayPrem+AHA15*BlendedProvPayElite+AHB15*BlendedProvPayEss+AHC15*BlendedProvPayPrem+AHD15*BlendedProvPayElite,AGY16*BlendedProvPayEss+AGZ16*BlendedProvPayPrem+AHA16*BlendedProvPayElite+AHB16*BlendedProvPayEss+AHC16*BlendedProvPayPrem+AHD16*BlendedProvPayElite)</f>
        <v/>
      </c>
      <c r="AHS16" s="12">
        <f>AHK16*PaymentFee</f>
        <v/>
      </c>
      <c r="AHT16" s="12">
        <f>AHE16*OpsAI</f>
        <v/>
      </c>
      <c r="AHU16" s="12">
        <f>MonthlyFixed</f>
        <v/>
      </c>
      <c r="AHV16" s="12">
        <f>AGO16*ReferralReward</f>
        <v/>
      </c>
      <c r="AHW16" s="12">
        <f>AGM16</f>
        <v/>
      </c>
      <c r="AHX16" s="9">
        <f>AHN16-AHR16-AHS16-AHT16-AHU16-AHV16-AHW16</f>
        <v/>
      </c>
      <c r="AHY16" s="9">
        <f>AHY15+AHK16-(AHR16+AHS16+AHT16+AHU16+AHV16+AHW16+AHP16)</f>
        <v/>
      </c>
      <c r="AHZ16" s="12">
        <f>IF(AHE16&gt;0,AHF16/AHE16,0)</f>
        <v/>
      </c>
      <c r="AIA16" s="11">
        <f>IF(AHE15&gt;0,MAX(0,(AHE15+AGP16-AHE16)/AHE15),0)</f>
        <v/>
      </c>
      <c r="AIC16" s="12" t="n">
        <v>12</v>
      </c>
      <c r="AID16" s="12">
        <f>MOD(AIC16-1+LaunchMonth-1,12)+1</f>
        <v/>
      </c>
      <c r="AIE16" s="12">
        <f>INT((AIC16-1+LaunchMonth-1)/12)+1</f>
        <v/>
      </c>
      <c r="AIF16" s="12">
        <f>VLOOKUP(AID16,SeasonTable,2,FALSE)</f>
        <v/>
      </c>
      <c r="AIG16" s="12">
        <f>(1+InflationRate)^INT((AIC16-1)/12)</f>
        <v/>
      </c>
      <c r="AIH16" s="11">
        <f>MonthlyChurn*VLOOKUP(AID16,ChurnSeasonTable,4,FALSE)</f>
        <v/>
      </c>
      <c r="AII16" s="12">
        <f>MIN(MAX(MktMin7_12,AJG15*MktPct7_12),MAX(0,AJU15-CashBuffer))</f>
        <v/>
      </c>
      <c r="AIJ16" s="12">
        <f>IF(AII16&gt;0,MAX(1,ROUND(AII16/'Sens - CAC &amp; Marketing'!$A$9*AIF16,0)),0)</f>
        <v/>
      </c>
      <c r="AIK16" s="12">
        <f>IF(AIJ16&gt;0,ROUND(AIJ16*ReferralMix/(1-ReferralMix),0),0)</f>
        <v/>
      </c>
      <c r="AIL16" s="12">
        <f>AIJ16+AIK16</f>
        <v/>
      </c>
      <c r="AIM16" s="12">
        <f>ROUND(AIL16*(1-AnnualMix),0)</f>
        <v/>
      </c>
      <c r="AIN16" s="12">
        <f>AIL16-AIM16</f>
        <v/>
      </c>
      <c r="AIO16" s="12">
        <f>ROUND(AIM16*EssentialMix,0)</f>
        <v/>
      </c>
      <c r="AIP16" s="12">
        <f>ROUND(AIM16*PremiumMix,0)</f>
        <v/>
      </c>
      <c r="AIQ16" s="12">
        <f>AIM16-AIO16-AIP16</f>
        <v/>
      </c>
      <c r="AIR16" s="12">
        <f>ROUND(AIN16*EssentialMix,0)</f>
        <v/>
      </c>
      <c r="AIS16" s="12">
        <f>ROUND(AIN16*PremiumMix,0)</f>
        <v/>
      </c>
      <c r="AIT16" s="12">
        <f>AIN16-AIR16-AIS16</f>
        <v/>
      </c>
      <c r="AIU16" s="12">
        <f>AIO16+AIO15+AIO14+MAX(0,AIU15-AIO15-AIO14)*(1-AIH16)</f>
        <v/>
      </c>
      <c r="AIV16" s="12">
        <f>AIP16+AIP15+AIP14+MAX(0,AIV15-AIP15-AIP14)*(1-AIH16)</f>
        <v/>
      </c>
      <c r="AIW16" s="12">
        <f>AIQ16+AIQ15+AIQ14+MAX(0,AIW15-AIQ15-AIQ14)*(1-AIH16)</f>
        <v/>
      </c>
      <c r="AIX16" s="12">
        <f>SUM(AIR$5:AIR16)</f>
        <v/>
      </c>
      <c r="AIY16" s="12">
        <f>SUM(AIS$5:AIS16)</f>
        <v/>
      </c>
      <c r="AIZ16" s="12">
        <f>SUM(AIT$5:AIT16)</f>
        <v/>
      </c>
      <c r="AJA16" s="12">
        <f>AIU16+AIV16+AIW16+AIX16+AIY16+AIZ16</f>
        <v/>
      </c>
      <c r="AJB16" s="9">
        <f>AIU16*BlendedPriceEssMonthly*AIG16+AIV16*BlendedPricePremMonthly*AIG16+AIW16*BlendedPriceEliteMonthly*AIG16+AIX16*BlendedPriceEssAnnual*AIG16/12+AIY16*BlendedPricePremAnnual*AIG16/12+AIZ16*BlendedPriceEliteAnnual*AIG16/12</f>
        <v/>
      </c>
      <c r="AJC16" s="9">
        <f>AJB16*12</f>
        <v/>
      </c>
      <c r="AJD16" s="12">
        <f>AIU16*BlendedPriceEssMonthly*AIG16+AIV16*BlendedPricePremMonthly*AIG16+AIW16*BlendedPriceEliteMonthly*AIG16</f>
        <v/>
      </c>
      <c r="AJE16" s="12">
        <f>AIR16*BlendedPriceEssAnnual*AIG16+AIS16*BlendedPricePremAnnual*AIG16+AIT16*BlendedPriceEliteAnnual*AIG16</f>
        <v/>
      </c>
      <c r="AJF16" s="12">
        <f>0+0+0</f>
        <v/>
      </c>
      <c r="AJG16" s="9">
        <f>AJD16+AJE16+AJF16</f>
        <v/>
      </c>
      <c r="AJH16" s="12">
        <f>SUM(AJG5:AJG16)</f>
        <v/>
      </c>
      <c r="AJI16" s="12">
        <f>OR(AJI15,IF(VATAgentMode,SUM($AJG5:$AJG16)-SUM($AJN5:$AJN16)&gt;=VATThreshold,SUM($AJG5:$AJG16)&gt;=VATThreshold))</f>
        <v/>
      </c>
      <c r="AJJ16" s="9">
        <f>IF(AJI16,IF(VATAgentMode,AJG16-((AJG16-AJN16)-(AJG16-AJN16)/(1+VATRate)),AJG16/(1+VATRate)),AJG16)</f>
        <v/>
      </c>
      <c r="AJK16" s="12">
        <f>AJG16-AJJ16</f>
        <v/>
      </c>
      <c r="AJL16" s="12">
        <f>IF(AJI16=0,0,IF(AID16=1,SUMPRODUCT(--(($AIE$5:$AIE16=$AIE16-1)*($AID$5:$AID16&gt;=10)*($AID$5:$AID16&lt;=12)),$AJK$5:$AJK16),IF(AID16=4,SUMPRODUCT(--(($AIE$5:$AIE16=$AIE16)*($AID$5:$AID16&gt;=1)*($AID$5:$AID16&lt;=3)),$AJK$5:$AJK16),IF(AID16=7,SUMPRODUCT(--(($AIE$5:$AIE16=$AIE16)*($AID$5:$AID16&gt;=4)*($AID$5:$AID16&lt;=6)),$AJK$5:$AJK16),IF(AID16=10,SUMPRODUCT(--(($AIE$5:$AIE16=$AIE16)*($AID$5:$AID16&gt;=7)*($AID$5:$AID16&lt;=9)),$AJK$5:$AJK16),0)))))</f>
        <v/>
      </c>
      <c r="AJM16" s="12">
        <f>AJM15+AJK16-AJL16</f>
        <v/>
      </c>
      <c r="AJN16" s="12">
        <f>IF(ProviderDelay&gt;=1,AIU15*BlendedProvPayEss+AIV15*BlendedProvPayPrem+AIW15*BlendedProvPayElite+AIX15*BlendedProvPayEss+AIY15*BlendedProvPayPrem+AIZ15*BlendedProvPayElite,AIU16*BlendedProvPayEss+AIV16*BlendedProvPayPrem+AIW16*BlendedProvPayElite+AIX16*BlendedProvPayEss+AIY16*BlendedProvPayPrem+AIZ16*BlendedProvPayElite)</f>
        <v/>
      </c>
      <c r="AJO16" s="12">
        <f>AJG16*PaymentFee</f>
        <v/>
      </c>
      <c r="AJP16" s="12">
        <f>AJA16*OpsAI</f>
        <v/>
      </c>
      <c r="AJQ16" s="12">
        <f>MonthlyFixed</f>
        <v/>
      </c>
      <c r="AJR16" s="12">
        <f>AIK16*ReferralReward</f>
        <v/>
      </c>
      <c r="AJS16" s="12">
        <f>AII16</f>
        <v/>
      </c>
      <c r="AJT16" s="9">
        <f>AJJ16-AJN16-AJO16-AJP16-AJQ16-AJR16-AJS16</f>
        <v/>
      </c>
      <c r="AJU16" s="9">
        <f>AJU15+AJG16-(AJN16+AJO16+AJP16+AJQ16+AJR16+AJS16+AJL16)</f>
        <v/>
      </c>
      <c r="AJV16" s="12">
        <f>IF(AJA16&gt;0,AJB16/AJA16,0)</f>
        <v/>
      </c>
      <c r="AJW16" s="11">
        <f>IF(AJA15&gt;0,MAX(0,(AJA15+AIL16-AJA16)/AJA15),0)</f>
        <v/>
      </c>
      <c r="AJY16" s="12" t="n">
        <v>12</v>
      </c>
      <c r="AJZ16" s="12">
        <f>MOD(AJY16-1+LaunchMonth-1,12)+1</f>
        <v/>
      </c>
      <c r="AKA16" s="12">
        <f>INT((AJY16-1+LaunchMonth-1)/12)+1</f>
        <v/>
      </c>
      <c r="AKB16" s="12">
        <f>VLOOKUP(AJZ16,SeasonTable,2,FALSE)</f>
        <v/>
      </c>
      <c r="AKC16" s="12">
        <f>(1+InflationRate)^INT((AJY16-1)/12)</f>
        <v/>
      </c>
      <c r="AKD16" s="11">
        <f>MonthlyChurn*VLOOKUP(AJZ16,ChurnSeasonTable,4,FALSE)</f>
        <v/>
      </c>
      <c r="AKE16" s="12">
        <f>MIN(MAX(MktMin7_12,ALC15*MktPct7_12),MAX(0,ALQ15-CashBuffer))</f>
        <v/>
      </c>
      <c r="AKF16" s="12">
        <f>IF(AKE16&gt;0,MAX(1,ROUND(AKE16/'Sens - CAC &amp; Marketing'!$A$10*AKB16,0)),0)</f>
        <v/>
      </c>
      <c r="AKG16" s="12">
        <f>IF(AKF16&gt;0,ROUND(AKF16*ReferralMix/(1-ReferralMix),0),0)</f>
        <v/>
      </c>
      <c r="AKH16" s="12">
        <f>AKF16+AKG16</f>
        <v/>
      </c>
      <c r="AKI16" s="12">
        <f>ROUND(AKH16*(1-AnnualMix),0)</f>
        <v/>
      </c>
      <c r="AKJ16" s="12">
        <f>AKH16-AKI16</f>
        <v/>
      </c>
      <c r="AKK16" s="12">
        <f>ROUND(AKI16*EssentialMix,0)</f>
        <v/>
      </c>
      <c r="AKL16" s="12">
        <f>ROUND(AKI16*PremiumMix,0)</f>
        <v/>
      </c>
      <c r="AKM16" s="12">
        <f>AKI16-AKK16-AKL16</f>
        <v/>
      </c>
      <c r="AKN16" s="12">
        <f>ROUND(AKJ16*EssentialMix,0)</f>
        <v/>
      </c>
      <c r="AKO16" s="12">
        <f>ROUND(AKJ16*PremiumMix,0)</f>
        <v/>
      </c>
      <c r="AKP16" s="12">
        <f>AKJ16-AKN16-AKO16</f>
        <v/>
      </c>
      <c r="AKQ16" s="12">
        <f>AKK16+AKK15+AKK14+MAX(0,AKQ15-AKK15-AKK14)*(1-AKD16)</f>
        <v/>
      </c>
      <c r="AKR16" s="12">
        <f>AKL16+AKL15+AKL14+MAX(0,AKR15-AKL15-AKL14)*(1-AKD16)</f>
        <v/>
      </c>
      <c r="AKS16" s="12">
        <f>AKM16+AKM15+AKM14+MAX(0,AKS15-AKM15-AKM14)*(1-AKD16)</f>
        <v/>
      </c>
      <c r="AKT16" s="12">
        <f>SUM(AKN$5:AKN16)</f>
        <v/>
      </c>
      <c r="AKU16" s="12">
        <f>SUM(AKO$5:AKO16)</f>
        <v/>
      </c>
      <c r="AKV16" s="12">
        <f>SUM(AKP$5:AKP16)</f>
        <v/>
      </c>
      <c r="AKW16" s="12">
        <f>AKQ16+AKR16+AKS16+AKT16+AKU16+AKV16</f>
        <v/>
      </c>
      <c r="AKX16" s="9">
        <f>AKQ16*BlendedPriceEssMonthly*AKC16+AKR16*BlendedPricePremMonthly*AKC16+AKS16*BlendedPriceEliteMonthly*AKC16+AKT16*BlendedPriceEssAnnual*AKC16/12+AKU16*BlendedPricePremAnnual*AKC16/12+AKV16*BlendedPriceEliteAnnual*AKC16/12</f>
        <v/>
      </c>
      <c r="AKY16" s="9">
        <f>AKX16*12</f>
        <v/>
      </c>
      <c r="AKZ16" s="12">
        <f>AKQ16*BlendedPriceEssMonthly*AKC16+AKR16*BlendedPricePremMonthly*AKC16+AKS16*BlendedPriceEliteMonthly*AKC16</f>
        <v/>
      </c>
      <c r="ALA16" s="12">
        <f>AKN16*BlendedPriceEssAnnual*AKC16+AKO16*BlendedPricePremAnnual*AKC16+AKP16*BlendedPriceEliteAnnual*AKC16</f>
        <v/>
      </c>
      <c r="ALB16" s="12">
        <f>0+0+0</f>
        <v/>
      </c>
      <c r="ALC16" s="9">
        <f>AKZ16+ALA16+ALB16</f>
        <v/>
      </c>
      <c r="ALD16" s="12">
        <f>SUM(ALC5:ALC16)</f>
        <v/>
      </c>
      <c r="ALE16" s="12">
        <f>OR(ALE15,IF(VATAgentMode,SUM($ALC5:$ALC16)-SUM($ALJ5:$ALJ16)&gt;=VATThreshold,SUM($ALC5:$ALC16)&gt;=VATThreshold))</f>
        <v/>
      </c>
      <c r="ALF16" s="9">
        <f>IF(ALE16,IF(VATAgentMode,ALC16-((ALC16-ALJ16)-(ALC16-ALJ16)/(1+VATRate)),ALC16/(1+VATRate)),ALC16)</f>
        <v/>
      </c>
      <c r="ALG16" s="12">
        <f>ALC16-ALF16</f>
        <v/>
      </c>
      <c r="ALH16" s="12">
        <f>IF(ALE16=0,0,IF(AJZ16=1,SUMPRODUCT(--(($AKA$5:$AKA16=$AKA16-1)*($AJZ$5:$AJZ16&gt;=10)*($AJZ$5:$AJZ16&lt;=12)),$ALG$5:$ALG16),IF(AJZ16=4,SUMPRODUCT(--(($AKA$5:$AKA16=$AKA16)*($AJZ$5:$AJZ16&gt;=1)*($AJZ$5:$AJZ16&lt;=3)),$ALG$5:$ALG16),IF(AJZ16=7,SUMPRODUCT(--(($AKA$5:$AKA16=$AKA16)*($AJZ$5:$AJZ16&gt;=4)*($AJZ$5:$AJZ16&lt;=6)),$ALG$5:$ALG16),IF(AJZ16=10,SUMPRODUCT(--(($AKA$5:$AKA16=$AKA16)*($AJZ$5:$AJZ16&gt;=7)*($AJZ$5:$AJZ16&lt;=9)),$ALG$5:$ALG16),0)))))</f>
        <v/>
      </c>
      <c r="ALI16" s="12">
        <f>ALI15+ALG16-ALH16</f>
        <v/>
      </c>
      <c r="ALJ16" s="12">
        <f>IF(ProviderDelay&gt;=1,AKQ15*BlendedProvPayEss+AKR15*BlendedProvPayPrem+AKS15*BlendedProvPayElite+AKT15*BlendedProvPayEss+AKU15*BlendedProvPayPrem+AKV15*BlendedProvPayElite,AKQ16*BlendedProvPayEss+AKR16*BlendedProvPayPrem+AKS16*BlendedProvPayElite+AKT16*BlendedProvPayEss+AKU16*BlendedProvPayPrem+AKV16*BlendedProvPayElite)</f>
        <v/>
      </c>
      <c r="ALK16" s="12">
        <f>ALC16*PaymentFee</f>
        <v/>
      </c>
      <c r="ALL16" s="12">
        <f>AKW16*OpsAI</f>
        <v/>
      </c>
      <c r="ALM16" s="12">
        <f>MonthlyFixed</f>
        <v/>
      </c>
      <c r="ALN16" s="12">
        <f>AKG16*ReferralReward</f>
        <v/>
      </c>
      <c r="ALO16" s="12">
        <f>AKE16</f>
        <v/>
      </c>
      <c r="ALP16" s="9">
        <f>ALF16-ALJ16-ALK16-ALL16-ALM16-ALN16-ALO16</f>
        <v/>
      </c>
      <c r="ALQ16" s="9">
        <f>ALQ15+ALC16-(ALJ16+ALK16+ALL16+ALM16+ALN16+ALO16+ALH16)</f>
        <v/>
      </c>
      <c r="ALR16" s="12">
        <f>IF(AKW16&gt;0,AKX16/AKW16,0)</f>
        <v/>
      </c>
      <c r="ALS16" s="11">
        <f>IF(AKW15&gt;0,MAX(0,(AKW15+AKH16-AKW16)/AKW15),0)</f>
        <v/>
      </c>
      <c r="ALU16" s="12" t="n">
        <v>12</v>
      </c>
      <c r="ALV16" s="12">
        <f>MOD(ALU16-1+LaunchMonth-1,12)+1</f>
        <v/>
      </c>
      <c r="ALW16" s="12">
        <f>INT((ALU16-1+LaunchMonth-1)/12)+1</f>
        <v/>
      </c>
      <c r="ALX16" s="12">
        <f>VLOOKUP(ALV16,SeasonTable,2,FALSE)</f>
        <v/>
      </c>
      <c r="ALY16" s="12">
        <f>(1+InflationRate)^INT((ALU16-1)/12)</f>
        <v/>
      </c>
      <c r="ALZ16" s="11">
        <f>MonthlyChurn*VLOOKUP(ALV16,ChurnSeasonTable,4,FALSE)</f>
        <v/>
      </c>
      <c r="AMA16" s="12">
        <f>MIN(MAX(MktMin7_12,AMY15*MktPct7_12),MAX(0,ANM15-CashBuffer))</f>
        <v/>
      </c>
      <c r="AMB16" s="12">
        <f>IF(AMA16&gt;0,MAX(1,ROUND(AMA16/'Sens - CAC &amp; Marketing'!$A$11*ALX16,0)),0)</f>
        <v/>
      </c>
      <c r="AMC16" s="12">
        <f>IF(AMB16&gt;0,ROUND(AMB16*ReferralMix/(1-ReferralMix),0),0)</f>
        <v/>
      </c>
      <c r="AMD16" s="12">
        <f>AMB16+AMC16</f>
        <v/>
      </c>
      <c r="AME16" s="12">
        <f>ROUND(AMD16*(1-AnnualMix),0)</f>
        <v/>
      </c>
      <c r="AMF16" s="12">
        <f>AMD16-AME16</f>
        <v/>
      </c>
      <c r="AMG16" s="12">
        <f>ROUND(AME16*EssentialMix,0)</f>
        <v/>
      </c>
      <c r="AMH16" s="12">
        <f>ROUND(AME16*PremiumMix,0)</f>
        <v/>
      </c>
      <c r="AMI16" s="12">
        <f>AME16-AMG16-AMH16</f>
        <v/>
      </c>
      <c r="AMJ16" s="12">
        <f>ROUND(AMF16*EssentialMix,0)</f>
        <v/>
      </c>
      <c r="AMK16" s="12">
        <f>ROUND(AMF16*PremiumMix,0)</f>
        <v/>
      </c>
      <c r="AML16" s="12">
        <f>AMF16-AMJ16-AMK16</f>
        <v/>
      </c>
      <c r="AMM16" s="12">
        <f>AMG16+AMG15+AMG14+MAX(0,AMM15-AMG15-AMG14)*(1-ALZ16)</f>
        <v/>
      </c>
      <c r="AMN16" s="12">
        <f>AMH16+AMH15+AMH14+MAX(0,AMN15-AMH15-AMH14)*(1-ALZ16)</f>
        <v/>
      </c>
      <c r="AMO16" s="12">
        <f>AMI16+AMI15+AMI14+MAX(0,AMO15-AMI15-AMI14)*(1-ALZ16)</f>
        <v/>
      </c>
      <c r="AMP16" s="12">
        <f>SUM(AMJ$5:AMJ16)</f>
        <v/>
      </c>
      <c r="AMQ16" s="12">
        <f>SUM(AMK$5:AMK16)</f>
        <v/>
      </c>
      <c r="AMR16" s="12">
        <f>SUM(AML$5:AML16)</f>
        <v/>
      </c>
      <c r="AMS16" s="12">
        <f>AMM16+AMN16+AMO16+AMP16+AMQ16+AMR16</f>
        <v/>
      </c>
      <c r="AMT16" s="9">
        <f>AMM16*BlendedPriceEssMonthly*ALY16+AMN16*BlendedPricePremMonthly*ALY16+AMO16*BlendedPriceEliteMonthly*ALY16+AMP16*BlendedPriceEssAnnual*ALY16/12+AMQ16*BlendedPricePremAnnual*ALY16/12+AMR16*BlendedPriceEliteAnnual*ALY16/12</f>
        <v/>
      </c>
      <c r="AMU16" s="9">
        <f>AMT16*12</f>
        <v/>
      </c>
      <c r="AMV16" s="12">
        <f>AMM16*BlendedPriceEssMonthly*ALY16+AMN16*BlendedPricePremMonthly*ALY16+AMO16*BlendedPriceEliteMonthly*ALY16</f>
        <v/>
      </c>
      <c r="AMW16" s="12">
        <f>AMJ16*BlendedPriceEssAnnual*ALY16+AMK16*BlendedPricePremAnnual*ALY16+AML16*BlendedPriceEliteAnnual*ALY16</f>
        <v/>
      </c>
      <c r="AMX16" s="12">
        <f>0+0+0</f>
        <v/>
      </c>
      <c r="AMY16" s="9">
        <f>AMV16+AMW16+AMX16</f>
        <v/>
      </c>
      <c r="AMZ16" s="12">
        <f>SUM(AMY5:AMY16)</f>
        <v/>
      </c>
      <c r="ANA16" s="12">
        <f>OR(ANA15,IF(VATAgentMode,SUM($AMY5:$AMY16)-SUM($ANF5:$ANF16)&gt;=VATThreshold,SUM($AMY5:$AMY16)&gt;=VATThreshold))</f>
        <v/>
      </c>
      <c r="ANB16" s="9">
        <f>IF(ANA16,IF(VATAgentMode,AMY16-((AMY16-ANF16)-(AMY16-ANF16)/(1+VATRate)),AMY16/(1+VATRate)),AMY16)</f>
        <v/>
      </c>
      <c r="ANC16" s="12">
        <f>AMY16-ANB16</f>
        <v/>
      </c>
      <c r="AND16" s="12">
        <f>IF(ANA16=0,0,IF(ALV16=1,SUMPRODUCT(--(($ALW$5:$ALW16=$ALW16-1)*($ALV$5:$ALV16&gt;=10)*($ALV$5:$ALV16&lt;=12)),$ANC$5:$ANC16),IF(ALV16=4,SUMPRODUCT(--(($ALW$5:$ALW16=$ALW16)*($ALV$5:$ALV16&gt;=1)*($ALV$5:$ALV16&lt;=3)),$ANC$5:$ANC16),IF(ALV16=7,SUMPRODUCT(--(($ALW$5:$ALW16=$ALW16)*($ALV$5:$ALV16&gt;=4)*($ALV$5:$ALV16&lt;=6)),$ANC$5:$ANC16),IF(ALV16=10,SUMPRODUCT(--(($ALW$5:$ALW16=$ALW16)*($ALV$5:$ALV16&gt;=7)*($ALV$5:$ALV16&lt;=9)),$ANC$5:$ANC16),0)))))</f>
        <v/>
      </c>
      <c r="ANE16" s="12">
        <f>ANE15+ANC16-AND16</f>
        <v/>
      </c>
      <c r="ANF16" s="12">
        <f>IF(ProviderDelay&gt;=1,AMM15*BlendedProvPayEss+AMN15*BlendedProvPayPrem+AMO15*BlendedProvPayElite+AMP15*BlendedProvPayEss+AMQ15*BlendedProvPayPrem+AMR15*BlendedProvPayElite,AMM16*BlendedProvPayEss+AMN16*BlendedProvPayPrem+AMO16*BlendedProvPayElite+AMP16*BlendedProvPayEss+AMQ16*BlendedProvPayPrem+AMR16*BlendedProvPayElite)</f>
        <v/>
      </c>
      <c r="ANG16" s="12">
        <f>AMY16*PaymentFee</f>
        <v/>
      </c>
      <c r="ANH16" s="12">
        <f>AMS16*OpsAI</f>
        <v/>
      </c>
      <c r="ANI16" s="12">
        <f>MonthlyFixed</f>
        <v/>
      </c>
      <c r="ANJ16" s="12">
        <f>AMC16*ReferralReward</f>
        <v/>
      </c>
      <c r="ANK16" s="12">
        <f>AMA16</f>
        <v/>
      </c>
      <c r="ANL16" s="9">
        <f>ANB16-ANF16-ANG16-ANH16-ANI16-ANJ16-ANK16</f>
        <v/>
      </c>
      <c r="ANM16" s="9">
        <f>ANM15+AMY16-(ANF16+ANG16+ANH16+ANI16+ANJ16+ANK16+AND16)</f>
        <v/>
      </c>
      <c r="ANN16" s="12">
        <f>IF(AMS16&gt;0,AMT16/AMS16,0)</f>
        <v/>
      </c>
      <c r="ANO16" s="11">
        <f>IF(AMS15&gt;0,MAX(0,(AMS15+AMD16-AMS16)/AMS15),0)</f>
        <v/>
      </c>
      <c r="ANQ16" s="12" t="n">
        <v>12</v>
      </c>
      <c r="ANR16" s="12">
        <f>MOD(ANQ16-1+LaunchMonth-1,12)+1</f>
        <v/>
      </c>
      <c r="ANS16" s="12">
        <f>INT((ANQ16-1+LaunchMonth-1)/12)+1</f>
        <v/>
      </c>
      <c r="ANT16" s="12">
        <f>VLOOKUP(ANR16,SeasonTable,2,FALSE)</f>
        <v/>
      </c>
      <c r="ANU16" s="12">
        <f>(1+InflationRate)^INT((ANQ16-1)/12)</f>
        <v/>
      </c>
      <c r="ANV16" s="11">
        <f>MonthlyChurn*VLOOKUP(ANR16,ChurnSeasonTable,4,FALSE)</f>
        <v/>
      </c>
      <c r="ANW16" s="12">
        <f>MIN(MAX(MktMin7_12,AOU15*MktPct7_12),MAX(0,API15-CashBuffer))</f>
        <v/>
      </c>
      <c r="ANX16" s="12">
        <f>IF(ANW16&gt;0,MAX(1,ROUND(ANW16/'Sens - CAC &amp; Marketing'!$A$12*ANT16,0)),0)</f>
        <v/>
      </c>
      <c r="ANY16" s="12">
        <f>IF(ANX16&gt;0,ROUND(ANX16*ReferralMix/(1-ReferralMix),0),0)</f>
        <v/>
      </c>
      <c r="ANZ16" s="12">
        <f>ANX16+ANY16</f>
        <v/>
      </c>
      <c r="AOA16" s="12">
        <f>ROUND(ANZ16*(1-AnnualMix),0)</f>
        <v/>
      </c>
      <c r="AOB16" s="12">
        <f>ANZ16-AOA16</f>
        <v/>
      </c>
      <c r="AOC16" s="12">
        <f>ROUND(AOA16*EssentialMix,0)</f>
        <v/>
      </c>
      <c r="AOD16" s="12">
        <f>ROUND(AOA16*PremiumMix,0)</f>
        <v/>
      </c>
      <c r="AOE16" s="12">
        <f>AOA16-AOC16-AOD16</f>
        <v/>
      </c>
      <c r="AOF16" s="12">
        <f>ROUND(AOB16*EssentialMix,0)</f>
        <v/>
      </c>
      <c r="AOG16" s="12">
        <f>ROUND(AOB16*PremiumMix,0)</f>
        <v/>
      </c>
      <c r="AOH16" s="12">
        <f>AOB16-AOF16-AOG16</f>
        <v/>
      </c>
      <c r="AOI16" s="12">
        <f>AOC16+AOC15+AOC14+MAX(0,AOI15-AOC15-AOC14)*(1-ANV16)</f>
        <v/>
      </c>
      <c r="AOJ16" s="12">
        <f>AOD16+AOD15+AOD14+MAX(0,AOJ15-AOD15-AOD14)*(1-ANV16)</f>
        <v/>
      </c>
      <c r="AOK16" s="12">
        <f>AOE16+AOE15+AOE14+MAX(0,AOK15-AOE15-AOE14)*(1-ANV16)</f>
        <v/>
      </c>
      <c r="AOL16" s="12">
        <f>SUM(AOF$5:AOF16)</f>
        <v/>
      </c>
      <c r="AOM16" s="12">
        <f>SUM(AOG$5:AOG16)</f>
        <v/>
      </c>
      <c r="AON16" s="12">
        <f>SUM(AOH$5:AOH16)</f>
        <v/>
      </c>
      <c r="AOO16" s="12">
        <f>AOI16+AOJ16+AOK16+AOL16+AOM16+AON16</f>
        <v/>
      </c>
      <c r="AOP16" s="9">
        <f>AOI16*BlendedPriceEssMonthly*ANU16+AOJ16*BlendedPricePremMonthly*ANU16+AOK16*BlendedPriceEliteMonthly*ANU16+AOL16*BlendedPriceEssAnnual*ANU16/12+AOM16*BlendedPricePremAnnual*ANU16/12+AON16*BlendedPriceEliteAnnual*ANU16/12</f>
        <v/>
      </c>
      <c r="AOQ16" s="9">
        <f>AOP16*12</f>
        <v/>
      </c>
      <c r="AOR16" s="12">
        <f>AOI16*BlendedPriceEssMonthly*ANU16+AOJ16*BlendedPricePremMonthly*ANU16+AOK16*BlendedPriceEliteMonthly*ANU16</f>
        <v/>
      </c>
      <c r="AOS16" s="12">
        <f>AOF16*BlendedPriceEssAnnual*ANU16+AOG16*BlendedPricePremAnnual*ANU16+AOH16*BlendedPriceEliteAnnual*ANU16</f>
        <v/>
      </c>
      <c r="AOT16" s="12">
        <f>0+0+0</f>
        <v/>
      </c>
      <c r="AOU16" s="9">
        <f>AOR16+AOS16+AOT16</f>
        <v/>
      </c>
      <c r="AOV16" s="12">
        <f>SUM(AOU5:AOU16)</f>
        <v/>
      </c>
      <c r="AOW16" s="12">
        <f>OR(AOW15,IF(VATAgentMode,SUM($AOU5:$AOU16)-SUM($APB5:$APB16)&gt;=VATThreshold,SUM($AOU5:$AOU16)&gt;=VATThreshold))</f>
        <v/>
      </c>
      <c r="AOX16" s="9">
        <f>IF(AOW16,IF(VATAgentMode,AOU16-((AOU16-APB16)-(AOU16-APB16)/(1+VATRate)),AOU16/(1+VATRate)),AOU16)</f>
        <v/>
      </c>
      <c r="AOY16" s="12">
        <f>AOU16-AOX16</f>
        <v/>
      </c>
      <c r="AOZ16" s="12">
        <f>IF(AOW16=0,0,IF(ANR16=1,SUMPRODUCT(--(($ANS$5:$ANS16=$ANS16-1)*($ANR$5:$ANR16&gt;=10)*($ANR$5:$ANR16&lt;=12)),$AOY$5:$AOY16),IF(ANR16=4,SUMPRODUCT(--(($ANS$5:$ANS16=$ANS16)*($ANR$5:$ANR16&gt;=1)*($ANR$5:$ANR16&lt;=3)),$AOY$5:$AOY16),IF(ANR16=7,SUMPRODUCT(--(($ANS$5:$ANS16=$ANS16)*($ANR$5:$ANR16&gt;=4)*($ANR$5:$ANR16&lt;=6)),$AOY$5:$AOY16),IF(ANR16=10,SUMPRODUCT(--(($ANS$5:$ANS16=$ANS16)*($ANR$5:$ANR16&gt;=7)*($ANR$5:$ANR16&lt;=9)),$AOY$5:$AOY16),0)))))</f>
        <v/>
      </c>
      <c r="APA16" s="12">
        <f>APA15+AOY16-AOZ16</f>
        <v/>
      </c>
      <c r="APB16" s="12">
        <f>IF(ProviderDelay&gt;=1,AOI15*BlendedProvPayEss+AOJ15*BlendedProvPayPrem+AOK15*BlendedProvPayElite+AOL15*BlendedProvPayEss+AOM15*BlendedProvPayPrem+AON15*BlendedProvPayElite,AOI16*BlendedProvPayEss+AOJ16*BlendedProvPayPrem+AOK16*BlendedProvPayElite+AOL16*BlendedProvPayEss+AOM16*BlendedProvPayPrem+AON16*BlendedProvPayElite)</f>
        <v/>
      </c>
      <c r="APC16" s="12">
        <f>AOU16*PaymentFee</f>
        <v/>
      </c>
      <c r="APD16" s="12">
        <f>AOO16*OpsAI</f>
        <v/>
      </c>
      <c r="APE16" s="12">
        <f>MonthlyFixed</f>
        <v/>
      </c>
      <c r="APF16" s="12">
        <f>ANY16*ReferralReward</f>
        <v/>
      </c>
      <c r="APG16" s="12">
        <f>ANW16</f>
        <v/>
      </c>
      <c r="APH16" s="9">
        <f>AOX16-APB16-APC16-APD16-APE16-APF16-APG16</f>
        <v/>
      </c>
      <c r="API16" s="9">
        <f>API15+AOU16-(APB16+APC16+APD16+APE16+APF16+APG16+AOZ16)</f>
        <v/>
      </c>
      <c r="APJ16" s="12">
        <f>IF(AOO16&gt;0,AOP16/AOO16,0)</f>
        <v/>
      </c>
      <c r="APK16" s="11">
        <f>IF(AOO15&gt;0,MAX(0,(AOO15+ANZ16-AOO16)/AOO15),0)</f>
        <v/>
      </c>
      <c r="APM16" s="12" t="n">
        <v>12</v>
      </c>
      <c r="APN16" s="12">
        <f>MOD(APM16-1+LaunchMonth-1,12)+1</f>
        <v/>
      </c>
      <c r="APO16" s="12">
        <f>INT((APM16-1+LaunchMonth-1)/12)+1</f>
        <v/>
      </c>
      <c r="APP16" s="12">
        <f>VLOOKUP(APN16,SeasonTable,2,FALSE)</f>
        <v/>
      </c>
      <c r="APQ16" s="12">
        <f>(1+InflationRate)^INT((APM16-1)/12)</f>
        <v/>
      </c>
      <c r="APR16" s="11">
        <f>MonthlyChurn*VLOOKUP(APN16,ChurnSeasonTable,4,FALSE)</f>
        <v/>
      </c>
      <c r="APS16" s="12">
        <f>MIN(MAX(MktMin7_12,AQQ15*MktPct7_12),MAX(0,ARE15-CashBuffer))</f>
        <v/>
      </c>
      <c r="APT16" s="12">
        <f>IF(APS16&gt;0,MAX(1,ROUND(APS16/'Sens - CAC &amp; Marketing'!$A$13*APP16,0)),0)</f>
        <v/>
      </c>
      <c r="APU16" s="12">
        <f>IF(APT16&gt;0,ROUND(APT16*ReferralMix/(1-ReferralMix),0),0)</f>
        <v/>
      </c>
      <c r="APV16" s="12">
        <f>APT16+APU16</f>
        <v/>
      </c>
      <c r="APW16" s="12">
        <f>ROUND(APV16*(1-AnnualMix),0)</f>
        <v/>
      </c>
      <c r="APX16" s="12">
        <f>APV16-APW16</f>
        <v/>
      </c>
      <c r="APY16" s="12">
        <f>ROUND(APW16*EssentialMix,0)</f>
        <v/>
      </c>
      <c r="APZ16" s="12">
        <f>ROUND(APW16*PremiumMix,0)</f>
        <v/>
      </c>
      <c r="AQA16" s="12">
        <f>APW16-APY16-APZ16</f>
        <v/>
      </c>
      <c r="AQB16" s="12">
        <f>ROUND(APX16*EssentialMix,0)</f>
        <v/>
      </c>
      <c r="AQC16" s="12">
        <f>ROUND(APX16*PremiumMix,0)</f>
        <v/>
      </c>
      <c r="AQD16" s="12">
        <f>APX16-AQB16-AQC16</f>
        <v/>
      </c>
      <c r="AQE16" s="12">
        <f>APY16+APY15+APY14+MAX(0,AQE15-APY15-APY14)*(1-APR16)</f>
        <v/>
      </c>
      <c r="AQF16" s="12">
        <f>APZ16+APZ15+APZ14+MAX(0,AQF15-APZ15-APZ14)*(1-APR16)</f>
        <v/>
      </c>
      <c r="AQG16" s="12">
        <f>AQA16+AQA15+AQA14+MAX(0,AQG15-AQA15-AQA14)*(1-APR16)</f>
        <v/>
      </c>
      <c r="AQH16" s="12">
        <f>SUM(AQB$5:AQB16)</f>
        <v/>
      </c>
      <c r="AQI16" s="12">
        <f>SUM(AQC$5:AQC16)</f>
        <v/>
      </c>
      <c r="AQJ16" s="12">
        <f>SUM(AQD$5:AQD16)</f>
        <v/>
      </c>
      <c r="AQK16" s="12">
        <f>AQE16+AQF16+AQG16+AQH16+AQI16+AQJ16</f>
        <v/>
      </c>
      <c r="AQL16" s="9">
        <f>AQE16*BlendedPriceEssMonthly*APQ16+AQF16*BlendedPricePremMonthly*APQ16+AQG16*BlendedPriceEliteMonthly*APQ16+AQH16*BlendedPriceEssAnnual*APQ16/12+AQI16*BlendedPricePremAnnual*APQ16/12+AQJ16*BlendedPriceEliteAnnual*APQ16/12</f>
        <v/>
      </c>
      <c r="AQM16" s="9">
        <f>AQL16*12</f>
        <v/>
      </c>
      <c r="AQN16" s="12">
        <f>AQE16*BlendedPriceEssMonthly*APQ16+AQF16*BlendedPricePremMonthly*APQ16+AQG16*BlendedPriceEliteMonthly*APQ16</f>
        <v/>
      </c>
      <c r="AQO16" s="12">
        <f>AQB16*BlendedPriceEssAnnual*APQ16+AQC16*BlendedPricePremAnnual*APQ16+AQD16*BlendedPriceEliteAnnual*APQ16</f>
        <v/>
      </c>
      <c r="AQP16" s="12">
        <f>0+0+0</f>
        <v/>
      </c>
      <c r="AQQ16" s="9">
        <f>AQN16+AQO16+AQP16</f>
        <v/>
      </c>
      <c r="AQR16" s="12">
        <f>SUM(AQQ5:AQQ16)</f>
        <v/>
      </c>
      <c r="AQS16" s="12">
        <f>OR(AQS15,IF(VATAgentMode,SUM($AQQ5:$AQQ16)-SUM($AQX5:$AQX16)&gt;=VATThreshold,SUM($AQQ5:$AQQ16)&gt;=VATThreshold))</f>
        <v/>
      </c>
      <c r="AQT16" s="9">
        <f>IF(AQS16,IF(VATAgentMode,AQQ16-((AQQ16-AQX16)-(AQQ16-AQX16)/(1+VATRate)),AQQ16/(1+VATRate)),AQQ16)</f>
        <v/>
      </c>
      <c r="AQU16" s="12">
        <f>AQQ16-AQT16</f>
        <v/>
      </c>
      <c r="AQV16" s="12">
        <f>IF(AQS16=0,0,IF(APN16=1,SUMPRODUCT(--(($APO$5:$APO16=$APO16-1)*($APN$5:$APN16&gt;=10)*($APN$5:$APN16&lt;=12)),$AQU$5:$AQU16),IF(APN16=4,SUMPRODUCT(--(($APO$5:$APO16=$APO16)*($APN$5:$APN16&gt;=1)*($APN$5:$APN16&lt;=3)),$AQU$5:$AQU16),IF(APN16=7,SUMPRODUCT(--(($APO$5:$APO16=$APO16)*($APN$5:$APN16&gt;=4)*($APN$5:$APN16&lt;=6)),$AQU$5:$AQU16),IF(APN16=10,SUMPRODUCT(--(($APO$5:$APO16=$APO16)*($APN$5:$APN16&gt;=7)*($APN$5:$APN16&lt;=9)),$AQU$5:$AQU16),0)))))</f>
        <v/>
      </c>
      <c r="AQW16" s="12">
        <f>AQW15+AQU16-AQV16</f>
        <v/>
      </c>
      <c r="AQX16" s="12">
        <f>IF(ProviderDelay&gt;=1,AQE15*BlendedProvPayEss+AQF15*BlendedProvPayPrem+AQG15*BlendedProvPayElite+AQH15*BlendedProvPayEss+AQI15*BlendedProvPayPrem+AQJ15*BlendedProvPayElite,AQE16*BlendedProvPayEss+AQF16*BlendedProvPayPrem+AQG16*BlendedProvPayElite+AQH16*BlendedProvPayEss+AQI16*BlendedProvPayPrem+AQJ16*BlendedProvPayElite)</f>
        <v/>
      </c>
      <c r="AQY16" s="12">
        <f>AQQ16*PaymentFee</f>
        <v/>
      </c>
      <c r="AQZ16" s="12">
        <f>AQK16*OpsAI</f>
        <v/>
      </c>
      <c r="ARA16" s="12">
        <f>MonthlyFixed</f>
        <v/>
      </c>
      <c r="ARB16" s="12">
        <f>APU16*ReferralReward</f>
        <v/>
      </c>
      <c r="ARC16" s="12">
        <f>APS16</f>
        <v/>
      </c>
      <c r="ARD16" s="9">
        <f>AQT16-AQX16-AQY16-AQZ16-ARA16-ARB16-ARC16</f>
        <v/>
      </c>
      <c r="ARE16" s="9">
        <f>ARE15+AQQ16-(AQX16+AQY16+AQZ16+ARA16+ARB16+ARC16+AQV16)</f>
        <v/>
      </c>
      <c r="ARF16" s="12">
        <f>IF(AQK16&gt;0,AQL16/AQK16,0)</f>
        <v/>
      </c>
      <c r="ARG16" s="11">
        <f>IF(AQK15&gt;0,MAX(0,(AQK15+APV16-AQK16)/AQK15),0)</f>
        <v/>
      </c>
      <c r="ARI16" s="12" t="n">
        <v>12</v>
      </c>
      <c r="ARJ16" s="12">
        <f>MOD(ARI16-1+LaunchMonth-1,12)+1</f>
        <v/>
      </c>
      <c r="ARK16" s="12">
        <f>INT((ARI16-1+LaunchMonth-1)/12)+1</f>
        <v/>
      </c>
      <c r="ARL16" s="12">
        <f>VLOOKUP(ARJ16,SeasonTable,2,FALSE)</f>
        <v/>
      </c>
      <c r="ARM16" s="12">
        <f>(1+InflationRate)^INT((ARI16-1)/12)</f>
        <v/>
      </c>
      <c r="ARN16" s="11">
        <f>MonthlyChurn*VLOOKUP(ARJ16,ChurnSeasonTable,4,FALSE)</f>
        <v/>
      </c>
      <c r="ARO16" s="12">
        <f>MIN(MAX(MktMin7_12,ASM15*MktPct7_12),MAX(0,ATA15-CashBuffer))</f>
        <v/>
      </c>
      <c r="ARP16" s="12">
        <f>IF(ARO16&gt;0,MAX(1,ROUND(ARO16/'Sens - CAC &amp; Marketing'!$A$14*ARL16,0)),0)</f>
        <v/>
      </c>
      <c r="ARQ16" s="12">
        <f>IF(ARP16&gt;0,ROUND(ARP16*ReferralMix/(1-ReferralMix),0),0)</f>
        <v/>
      </c>
      <c r="ARR16" s="12">
        <f>ARP16+ARQ16</f>
        <v/>
      </c>
      <c r="ARS16" s="12">
        <f>ROUND(ARR16*(1-AnnualMix),0)</f>
        <v/>
      </c>
      <c r="ART16" s="12">
        <f>ARR16-ARS16</f>
        <v/>
      </c>
      <c r="ARU16" s="12">
        <f>ROUND(ARS16*EssentialMix,0)</f>
        <v/>
      </c>
      <c r="ARV16" s="12">
        <f>ROUND(ARS16*PremiumMix,0)</f>
        <v/>
      </c>
      <c r="ARW16" s="12">
        <f>ARS16-ARU16-ARV16</f>
        <v/>
      </c>
      <c r="ARX16" s="12">
        <f>ROUND(ART16*EssentialMix,0)</f>
        <v/>
      </c>
      <c r="ARY16" s="12">
        <f>ROUND(ART16*PremiumMix,0)</f>
        <v/>
      </c>
      <c r="ARZ16" s="12">
        <f>ART16-ARX16-ARY16</f>
        <v/>
      </c>
      <c r="ASA16" s="12">
        <f>ARU16+ARU15+ARU14+MAX(0,ASA15-ARU15-ARU14)*(1-ARN16)</f>
        <v/>
      </c>
      <c r="ASB16" s="12">
        <f>ARV16+ARV15+ARV14+MAX(0,ASB15-ARV15-ARV14)*(1-ARN16)</f>
        <v/>
      </c>
      <c r="ASC16" s="12">
        <f>ARW16+ARW15+ARW14+MAX(0,ASC15-ARW15-ARW14)*(1-ARN16)</f>
        <v/>
      </c>
      <c r="ASD16" s="12">
        <f>SUM(ARX$5:ARX16)</f>
        <v/>
      </c>
      <c r="ASE16" s="12">
        <f>SUM(ARY$5:ARY16)</f>
        <v/>
      </c>
      <c r="ASF16" s="12">
        <f>SUM(ARZ$5:ARZ16)</f>
        <v/>
      </c>
      <c r="ASG16" s="12">
        <f>ASA16+ASB16+ASC16+ASD16+ASE16+ASF16</f>
        <v/>
      </c>
      <c r="ASH16" s="9">
        <f>ASA16*BlendedPriceEssMonthly*ARM16+ASB16*BlendedPricePremMonthly*ARM16+ASC16*BlendedPriceEliteMonthly*ARM16+ASD16*BlendedPriceEssAnnual*ARM16/12+ASE16*BlendedPricePremAnnual*ARM16/12+ASF16*BlendedPriceEliteAnnual*ARM16/12</f>
        <v/>
      </c>
      <c r="ASI16" s="9">
        <f>ASH16*12</f>
        <v/>
      </c>
      <c r="ASJ16" s="12">
        <f>ASA16*BlendedPriceEssMonthly*ARM16+ASB16*BlendedPricePremMonthly*ARM16+ASC16*BlendedPriceEliteMonthly*ARM16</f>
        <v/>
      </c>
      <c r="ASK16" s="12">
        <f>ARX16*BlendedPriceEssAnnual*ARM16+ARY16*BlendedPricePremAnnual*ARM16+ARZ16*BlendedPriceEliteAnnual*ARM16</f>
        <v/>
      </c>
      <c r="ASL16" s="12">
        <f>0+0+0</f>
        <v/>
      </c>
      <c r="ASM16" s="9">
        <f>ASJ16+ASK16+ASL16</f>
        <v/>
      </c>
      <c r="ASN16" s="12">
        <f>SUM(ASM5:ASM16)</f>
        <v/>
      </c>
      <c r="ASO16" s="12">
        <f>OR(ASO15,IF(VATAgentMode,SUM($ASM5:$ASM16)-SUM($AST5:$AST16)&gt;=VATThreshold,SUM($ASM5:$ASM16)&gt;=VATThreshold))</f>
        <v/>
      </c>
      <c r="ASP16" s="9">
        <f>IF(ASO16,IF(VATAgentMode,ASM16-((ASM16-AST16)-(ASM16-AST16)/(1+VATRate)),ASM16/(1+VATRate)),ASM16)</f>
        <v/>
      </c>
      <c r="ASQ16" s="12">
        <f>ASM16-ASP16</f>
        <v/>
      </c>
      <c r="ASR16" s="12">
        <f>IF(ASO16=0,0,IF(ARJ16=1,SUMPRODUCT(--(($ARK$5:$ARK16=$ARK16-1)*($ARJ$5:$ARJ16&gt;=10)*($ARJ$5:$ARJ16&lt;=12)),$ASQ$5:$ASQ16),IF(ARJ16=4,SUMPRODUCT(--(($ARK$5:$ARK16=$ARK16)*($ARJ$5:$ARJ16&gt;=1)*($ARJ$5:$ARJ16&lt;=3)),$ASQ$5:$ASQ16),IF(ARJ16=7,SUMPRODUCT(--(($ARK$5:$ARK16=$ARK16)*($ARJ$5:$ARJ16&gt;=4)*($ARJ$5:$ARJ16&lt;=6)),$ASQ$5:$ASQ16),IF(ARJ16=10,SUMPRODUCT(--(($ARK$5:$ARK16=$ARK16)*($ARJ$5:$ARJ16&gt;=7)*($ARJ$5:$ARJ16&lt;=9)),$ASQ$5:$ASQ16),0)))))</f>
        <v/>
      </c>
      <c r="ASS16" s="12">
        <f>ASS15+ASQ16-ASR16</f>
        <v/>
      </c>
      <c r="AST16" s="12">
        <f>IF(ProviderDelay&gt;=1,ASA15*BlendedProvPayEss+ASB15*BlendedProvPayPrem+ASC15*BlendedProvPayElite+ASD15*BlendedProvPayEss+ASE15*BlendedProvPayPrem+ASF15*BlendedProvPayElite,ASA16*BlendedProvPayEss+ASB16*BlendedProvPayPrem+ASC16*BlendedProvPayElite+ASD16*BlendedProvPayEss+ASE16*BlendedProvPayPrem+ASF16*BlendedProvPayElite)</f>
        <v/>
      </c>
      <c r="ASU16" s="12">
        <f>ASM16*PaymentFee</f>
        <v/>
      </c>
      <c r="ASV16" s="12">
        <f>ASG16*OpsAI</f>
        <v/>
      </c>
      <c r="ASW16" s="12">
        <f>MonthlyFixed</f>
        <v/>
      </c>
      <c r="ASX16" s="12">
        <f>ARQ16*ReferralReward</f>
        <v/>
      </c>
      <c r="ASY16" s="12">
        <f>ARO16</f>
        <v/>
      </c>
      <c r="ASZ16" s="9">
        <f>ASP16-AST16-ASU16-ASV16-ASW16-ASX16-ASY16</f>
        <v/>
      </c>
      <c r="ATA16" s="9">
        <f>ATA15+ASM16-(AST16+ASU16+ASV16+ASW16+ASX16+ASY16+ASR16)</f>
        <v/>
      </c>
      <c r="ATB16" s="12">
        <f>IF(ASG16&gt;0,ASH16/ASG16,0)</f>
        <v/>
      </c>
      <c r="ATC16" s="11">
        <f>IF(ASG15&gt;0,MAX(0,(ASG15+ARR16-ASG16)/ASG15),0)</f>
        <v/>
      </c>
      <c r="ATE16" s="12" t="n">
        <v>12</v>
      </c>
      <c r="ATF16" s="12">
        <f>MOD(ATE16-1+LaunchMonth-1,12)+1</f>
        <v/>
      </c>
      <c r="ATG16" s="12">
        <f>INT((ATE16-1+LaunchMonth-1)/12)+1</f>
        <v/>
      </c>
      <c r="ATH16" s="12">
        <f>VLOOKUP(ATF16,SeasonTable,2,FALSE)</f>
        <v/>
      </c>
      <c r="ATI16" s="12">
        <f>(1+InflationRate)^INT((ATE16-1)/12)</f>
        <v/>
      </c>
      <c r="ATJ16" s="11">
        <f>MonthlyChurn*VLOOKUP(ATF16,ChurnSeasonTable,4,FALSE)</f>
        <v/>
      </c>
      <c r="ATK16" s="12">
        <f>MIN(MAX(MktMin7_12,AUI15*MktPct7_12),MAX(0,AUW15-CashBuffer))</f>
        <v/>
      </c>
      <c r="ATL16" s="12">
        <f>IF(ATK16&gt;0,MAX(1,ROUND(ATK16/'Sens - CAC &amp; Marketing'!$A$15*ATH16,0)),0)</f>
        <v/>
      </c>
      <c r="ATM16" s="12">
        <f>IF(ATL16&gt;0,ROUND(ATL16*ReferralMix/(1-ReferralMix),0),0)</f>
        <v/>
      </c>
      <c r="ATN16" s="12">
        <f>ATL16+ATM16</f>
        <v/>
      </c>
      <c r="ATO16" s="12">
        <f>ROUND(ATN16*(1-AnnualMix),0)</f>
        <v/>
      </c>
      <c r="ATP16" s="12">
        <f>ATN16-ATO16</f>
        <v/>
      </c>
      <c r="ATQ16" s="12">
        <f>ROUND(ATO16*EssentialMix,0)</f>
        <v/>
      </c>
      <c r="ATR16" s="12">
        <f>ROUND(ATO16*PremiumMix,0)</f>
        <v/>
      </c>
      <c r="ATS16" s="12">
        <f>ATO16-ATQ16-ATR16</f>
        <v/>
      </c>
      <c r="ATT16" s="12">
        <f>ROUND(ATP16*EssentialMix,0)</f>
        <v/>
      </c>
      <c r="ATU16" s="12">
        <f>ROUND(ATP16*PremiumMix,0)</f>
        <v/>
      </c>
      <c r="ATV16" s="12">
        <f>ATP16-ATT16-ATU16</f>
        <v/>
      </c>
      <c r="ATW16" s="12">
        <f>ATQ16+ATQ15+ATQ14+MAX(0,ATW15-ATQ15-ATQ14)*(1-ATJ16)</f>
        <v/>
      </c>
      <c r="ATX16" s="12">
        <f>ATR16+ATR15+ATR14+MAX(0,ATX15-ATR15-ATR14)*(1-ATJ16)</f>
        <v/>
      </c>
      <c r="ATY16" s="12">
        <f>ATS16+ATS15+ATS14+MAX(0,ATY15-ATS15-ATS14)*(1-ATJ16)</f>
        <v/>
      </c>
      <c r="ATZ16" s="12">
        <f>SUM(ATT$5:ATT16)</f>
        <v/>
      </c>
      <c r="AUA16" s="12">
        <f>SUM(ATU$5:ATU16)</f>
        <v/>
      </c>
      <c r="AUB16" s="12">
        <f>SUM(ATV$5:ATV16)</f>
        <v/>
      </c>
      <c r="AUC16" s="12">
        <f>ATW16+ATX16+ATY16+ATZ16+AUA16+AUB16</f>
        <v/>
      </c>
      <c r="AUD16" s="9">
        <f>ATW16*BlendedPriceEssMonthly*ATI16+ATX16*BlendedPricePremMonthly*ATI16+ATY16*BlendedPriceEliteMonthly*ATI16+ATZ16*BlendedPriceEssAnnual*ATI16/12+AUA16*BlendedPricePremAnnual*ATI16/12+AUB16*BlendedPriceEliteAnnual*ATI16/12</f>
        <v/>
      </c>
      <c r="AUE16" s="9">
        <f>AUD16*12</f>
        <v/>
      </c>
      <c r="AUF16" s="12">
        <f>ATW16*BlendedPriceEssMonthly*ATI16+ATX16*BlendedPricePremMonthly*ATI16+ATY16*BlendedPriceEliteMonthly*ATI16</f>
        <v/>
      </c>
      <c r="AUG16" s="12">
        <f>ATT16*BlendedPriceEssAnnual*ATI16+ATU16*BlendedPricePremAnnual*ATI16+ATV16*BlendedPriceEliteAnnual*ATI16</f>
        <v/>
      </c>
      <c r="AUH16" s="12">
        <f>0+0+0</f>
        <v/>
      </c>
      <c r="AUI16" s="9">
        <f>AUF16+AUG16+AUH16</f>
        <v/>
      </c>
      <c r="AUJ16" s="12">
        <f>SUM(AUI5:AUI16)</f>
        <v/>
      </c>
      <c r="AUK16" s="12">
        <f>OR(AUK15,IF(VATAgentMode,SUM($AUI5:$AUI16)-SUM($AUP5:$AUP16)&gt;=VATThreshold,SUM($AUI5:$AUI16)&gt;=VATThreshold))</f>
        <v/>
      </c>
      <c r="AUL16" s="9">
        <f>IF(AUK16,IF(VATAgentMode,AUI16-((AUI16-AUP16)-(AUI16-AUP16)/(1+VATRate)),AUI16/(1+VATRate)),AUI16)</f>
        <v/>
      </c>
      <c r="AUM16" s="12">
        <f>AUI16-AUL16</f>
        <v/>
      </c>
      <c r="AUN16" s="12">
        <f>IF(AUK16=0,0,IF(ATF16=1,SUMPRODUCT(--(($ATG$5:$ATG16=$ATG16-1)*($ATF$5:$ATF16&gt;=10)*($ATF$5:$ATF16&lt;=12)),$AUM$5:$AUM16),IF(ATF16=4,SUMPRODUCT(--(($ATG$5:$ATG16=$ATG16)*($ATF$5:$ATF16&gt;=1)*($ATF$5:$ATF16&lt;=3)),$AUM$5:$AUM16),IF(ATF16=7,SUMPRODUCT(--(($ATG$5:$ATG16=$ATG16)*($ATF$5:$ATF16&gt;=4)*($ATF$5:$ATF16&lt;=6)),$AUM$5:$AUM16),IF(ATF16=10,SUMPRODUCT(--(($ATG$5:$ATG16=$ATG16)*($ATF$5:$ATF16&gt;=7)*($ATF$5:$ATF16&lt;=9)),$AUM$5:$AUM16),0)))))</f>
        <v/>
      </c>
      <c r="AUO16" s="12">
        <f>AUO15+AUM16-AUN16</f>
        <v/>
      </c>
      <c r="AUP16" s="12">
        <f>IF(ProviderDelay&gt;=1,ATW15*BlendedProvPayEss+ATX15*BlendedProvPayPrem+ATY15*BlendedProvPayElite+ATZ15*BlendedProvPayEss+AUA15*BlendedProvPayPrem+AUB15*BlendedProvPayElite,ATW16*BlendedProvPayEss+ATX16*BlendedProvPayPrem+ATY16*BlendedProvPayElite+ATZ16*BlendedProvPayEss+AUA16*BlendedProvPayPrem+AUB16*BlendedProvPayElite)</f>
        <v/>
      </c>
      <c r="AUQ16" s="12">
        <f>AUI16*PaymentFee</f>
        <v/>
      </c>
      <c r="AUR16" s="12">
        <f>AUC16*OpsAI</f>
        <v/>
      </c>
      <c r="AUS16" s="12">
        <f>MonthlyFixed</f>
        <v/>
      </c>
      <c r="AUT16" s="12">
        <f>ATM16*ReferralReward</f>
        <v/>
      </c>
      <c r="AUU16" s="12">
        <f>ATK16</f>
        <v/>
      </c>
      <c r="AUV16" s="9">
        <f>AUL16-AUP16-AUQ16-AUR16-AUS16-AUT16-AUU16</f>
        <v/>
      </c>
      <c r="AUW16" s="9">
        <f>AUW15+AUI16-(AUP16+AUQ16+AUR16+AUS16+AUT16+AUU16+AUN16)</f>
        <v/>
      </c>
      <c r="AUX16" s="12">
        <f>IF(AUC16&gt;0,AUD16/AUC16,0)</f>
        <v/>
      </c>
      <c r="AUY16" s="11">
        <f>IF(AUC15&gt;0,MAX(0,(AUC15+ATN16-AUC16)/AUC15),0)</f>
        <v/>
      </c>
      <c r="AVA16" s="12" t="n">
        <v>12</v>
      </c>
      <c r="AVB16" s="12">
        <f>MOD(AVA16-1+LaunchMonth-1,12)+1</f>
        <v/>
      </c>
      <c r="AVC16" s="12">
        <f>INT((AVA16-1+LaunchMonth-1)/12)+1</f>
        <v/>
      </c>
      <c r="AVD16" s="12">
        <f>VLOOKUP(AVB16,WinterPivotSeasonTable,5,FALSE)</f>
        <v/>
      </c>
      <c r="AVE16" s="12">
        <f>(1+InflationRate)^INT((AVA16-1)/12)</f>
        <v/>
      </c>
      <c r="AVF16" s="11">
        <f>MonthlyChurn*VLOOKUP(AVB16,WinterPivotChurnTable,6,FALSE)</f>
        <v/>
      </c>
      <c r="AVG16" s="12">
        <f>MIN(MAX(MktMin7_12,AWE15*MktPct7_12),MAX(0,AWS15-CashBuffer))</f>
        <v/>
      </c>
      <c r="AVH16" s="12">
        <f>IF(AVG16&gt;0,MAX(1,ROUND(AVG16/CAC*AVD16,0)),0)</f>
        <v/>
      </c>
      <c r="AVI16" s="12">
        <f>IF(AVH16&gt;0,ROUND(AVH16*ReferralMix/(1-ReferralMix),0),0)</f>
        <v/>
      </c>
      <c r="AVJ16" s="12">
        <f>AVH16+AVI16</f>
        <v/>
      </c>
      <c r="AVK16" s="12">
        <f>ROUND(AVJ16*(1-AnnualMix),0)</f>
        <v/>
      </c>
      <c r="AVL16" s="12">
        <f>AVJ16-AVK16</f>
        <v/>
      </c>
      <c r="AVM16" s="12">
        <f>ROUND(AVK16*'Sens - Winter Pivot'!$B$6,0)</f>
        <v/>
      </c>
      <c r="AVN16" s="12">
        <f>ROUND(AVK16*PremiumMix,0)</f>
        <v/>
      </c>
      <c r="AVO16" s="12">
        <f>AVK16-AVM16-AVN16</f>
        <v/>
      </c>
      <c r="AVP16" s="12">
        <f>ROUND(AVL16*'Sens - Winter Pivot'!$B$6,0)</f>
        <v/>
      </c>
      <c r="AVQ16" s="12">
        <f>ROUND(AVL16*PremiumMix,0)</f>
        <v/>
      </c>
      <c r="AVR16" s="12">
        <f>AVL16-AVP16-AVQ16</f>
        <v/>
      </c>
      <c r="AVS16" s="12">
        <f>AVM16+AVM15+AVM14+MAX(0,AVS15-AVM15-AVM14)*(1-AVF16)</f>
        <v/>
      </c>
      <c r="AVT16" s="12">
        <f>AVN16+AVN15+AVN14+MAX(0,AVT15-AVN15-AVN14)*(1-AVF16)</f>
        <v/>
      </c>
      <c r="AVU16" s="12">
        <f>AVO16+AVO15+AVO14+MAX(0,AVU15-AVO15-AVO14)*(1-AVF16)</f>
        <v/>
      </c>
      <c r="AVV16" s="12">
        <f>SUM(AVP$5:AVP16)</f>
        <v/>
      </c>
      <c r="AVW16" s="12">
        <f>SUM(AVQ$5:AVQ16)</f>
        <v/>
      </c>
      <c r="AVX16" s="12">
        <f>SUM(AVR$5:AVR16)</f>
        <v/>
      </c>
      <c r="AVY16" s="12">
        <f>AVS16+AVT16+AVU16+AVV16+AVW16+AVX16</f>
        <v/>
      </c>
      <c r="AVZ16" s="9">
        <f>AVS16*BlendedPriceEssMonthly*AVE16+AVT16*(BlendedPricePremMonthly+'Sens - Winter Pivot'!$B$7)*AVE16+AVU16*BlendedPriceEliteMonthly*AVE16+AVV16*BlendedPriceEssAnnual*AVE16/12+AVW16*(BlendedPricePremAnnual+'Sens - Winter Pivot'!$B$7*12)*AVE16/12+AVX16*BlendedPriceEliteAnnual*AVE16/12</f>
        <v/>
      </c>
      <c r="AWA16" s="9">
        <f>AVZ16*12</f>
        <v/>
      </c>
      <c r="AWB16" s="12">
        <f>AVS16*BlendedPriceEssMonthly*AVE16+AVT16*(BlendedPricePremMonthly+'Sens - Winter Pivot'!$B$7)*AVE16+AVU16*BlendedPriceEliteMonthly*AVE16</f>
        <v/>
      </c>
      <c r="AWC16" s="12">
        <f>AVP16*BlendedPriceEssAnnual*AVE16+AVQ16*(BlendedPricePremAnnual+'Sens - Winter Pivot'!$B$7*12)*AVE16+AVR16*BlendedPriceEliteAnnual*AVE16</f>
        <v/>
      </c>
      <c r="AWD16" s="12">
        <f>0+0+0</f>
        <v/>
      </c>
      <c r="AWE16" s="9">
        <f>AWB16+AWC16+AWD16</f>
        <v/>
      </c>
      <c r="AWF16" s="12">
        <f>SUM(AWE5:AWE16)</f>
        <v/>
      </c>
      <c r="AWG16" s="12">
        <f>OR(AWG15,IF(VATAgentMode,SUM($AWE5:$AWE16)-SUM($AWL5:$AWL16)&gt;=VATThreshold,SUM($AWE5:$AWE16)&gt;=VATThreshold))</f>
        <v/>
      </c>
      <c r="AWH16" s="9">
        <f>IF(AWG16,IF(VATAgentMode,AWE16-((AWE16-AWL16)-(AWE16-AWL16)/(1+VATRate)),AWE16/(1+VATRate)),AWE16)</f>
        <v/>
      </c>
      <c r="AWI16" s="12">
        <f>AWE16-AWH16</f>
        <v/>
      </c>
      <c r="AWJ16" s="12">
        <f>IF(AWG16=0,0,IF(AVB16=1,SUMPRODUCT(--(($AVC$5:$AVC16=$AVC16-1)*($AVB$5:$AVB16&gt;=10)*($AVB$5:$AVB16&lt;=12)),$AWI$5:$AWI16),IF(AVB16=4,SUMPRODUCT(--(($AVC$5:$AVC16=$AVC16)*($AVB$5:$AVB16&gt;=1)*($AVB$5:$AVB16&lt;=3)),$AWI$5:$AWI16),IF(AVB16=7,SUMPRODUCT(--(($AVC$5:$AVC16=$AVC16)*($AVB$5:$AVB16&gt;=4)*($AVB$5:$AVB16&lt;=6)),$AWI$5:$AWI16),IF(AVB16=10,SUMPRODUCT(--(($AVC$5:$AVC16=$AVC16)*($AVB$5:$AVB16&gt;=7)*($AVB$5:$AVB16&lt;=9)),$AWI$5:$AWI16),0)))))</f>
        <v/>
      </c>
      <c r="AWK16" s="12">
        <f>AWK15+AWI16-AWJ16</f>
        <v/>
      </c>
      <c r="AWL16" s="12">
        <f>IF(ProviderDelay&gt;=1,AVS15*BlendedProvPayEss+AVT15*BlendedProvPayPrem+AVU15*BlendedProvPayElite+AVV15*BlendedProvPayEss+AVW15*BlendedProvPayPrem+AVX15*BlendedProvPayElite,AVS16*BlendedProvPayEss+AVT16*BlendedProvPayPrem+AVU16*BlendedProvPayElite+AVV16*BlendedProvPayEss+AVW16*BlendedProvPayPrem+AVX16*BlendedProvPayElite)</f>
        <v/>
      </c>
      <c r="AWM16" s="12">
        <f>AWE16*PaymentFee</f>
        <v/>
      </c>
      <c r="AWN16" s="12">
        <f>AVY16*OpsAI</f>
        <v/>
      </c>
      <c r="AWO16" s="12">
        <f>MonthlyFixed</f>
        <v/>
      </c>
      <c r="AWP16" s="12">
        <f>AVI16*ReferralReward</f>
        <v/>
      </c>
      <c r="AWQ16" s="12">
        <f>AVG16</f>
        <v/>
      </c>
      <c r="AWR16" s="9">
        <f>AWH16-AWL16-AWM16-AWN16-AWO16-AWP16-AWQ16</f>
        <v/>
      </c>
      <c r="AWS16" s="9">
        <f>AWS15+AWE16-(AWL16+AWM16+AWN16+AWO16+AWP16+AWQ16+AWJ16)</f>
        <v/>
      </c>
      <c r="AWT16" s="12">
        <f>IF(AVY16&gt;0,AVZ16/AVY16,0)</f>
        <v/>
      </c>
      <c r="AWU16" s="11">
        <f>IF(AVY15&gt;0,MAX(0,(AVY15+AVJ16-AVY16)/AVY15),0)</f>
        <v/>
      </c>
    </row>
    <row r="17">
      <c r="A17" s="12" t="n">
        <v>13</v>
      </c>
      <c r="B17" s="12">
        <f>MOD(A17-1+LaunchMonth-1,12)+1</f>
        <v/>
      </c>
      <c r="C17" s="12">
        <f>INT((A17-1+LaunchMonth-1)/12)+1</f>
        <v/>
      </c>
      <c r="D17" s="12">
        <f>VLOOKUP(B17,SeasonTable,2,FALSE)</f>
        <v/>
      </c>
      <c r="E17" s="12">
        <f>(1+InflationRate)^INT((A17-1)/12)</f>
        <v/>
      </c>
      <c r="F17" s="11">
        <f>'Sens - Scenarios'!$B$5*VLOOKUP(B17,ChurnSeasonTable,4,FALSE)</f>
        <v/>
      </c>
      <c r="G17" s="12">
        <f>MIN(MAX(MktMin13_18,AE16*MktPct13_18),MAX(0,AS16-CashBuffer))</f>
        <v/>
      </c>
      <c r="H17" s="12">
        <f>IF(G17&gt;0,MAX(1,ROUND(G17/'Sens - Scenarios'!$B$8*D17,0)),0)</f>
        <v/>
      </c>
      <c r="I17" s="12">
        <f>IF(H17&gt;0,ROUND(H17*ReferralMix/(1-ReferralMix),0),0)</f>
        <v/>
      </c>
      <c r="J17" s="12">
        <f>H17+I17</f>
        <v/>
      </c>
      <c r="K17" s="12">
        <f>ROUND(J17*(1-'Sens - Scenarios'!$B$7),0)</f>
        <v/>
      </c>
      <c r="L17" s="12">
        <f>J17-K17</f>
        <v/>
      </c>
      <c r="M17" s="12">
        <f>ROUND(K17*EssentialMix,0)</f>
        <v/>
      </c>
      <c r="N17" s="12">
        <f>ROUND(K17*PremiumMix,0)</f>
        <v/>
      </c>
      <c r="O17" s="12">
        <f>K17-M17-N17</f>
        <v/>
      </c>
      <c r="P17" s="12">
        <f>ROUND(L17*EssentialMix,0)</f>
        <v/>
      </c>
      <c r="Q17" s="12">
        <f>ROUND(L17*PremiumMix,0)</f>
        <v/>
      </c>
      <c r="R17" s="12">
        <f>L17-P17-Q17</f>
        <v/>
      </c>
      <c r="S17" s="12">
        <f>M17+M16+M15+MAX(0,S16-M16-M15)*(1-F17)</f>
        <v/>
      </c>
      <c r="T17" s="12">
        <f>N17+N16+N15+MAX(0,T16-N16-N15)*(1-F17)</f>
        <v/>
      </c>
      <c r="U17" s="12">
        <f>O17+O16+O15+MAX(0,U16-O16-O15)*(1-F17)</f>
        <v/>
      </c>
      <c r="V17" s="12">
        <f>V16+P17-P5*('Sens - Scenarios'!$B$6*VLOOKUP(B17,ChurnSeasonTable,4,FALSE))*POWER(1-('Sens - Scenarios'!$B$6*VLOOKUP(B17,ChurnSeasonTable,4,FALSE)),0)</f>
        <v/>
      </c>
      <c r="W17" s="12">
        <f>W16+Q17-Q5*('Sens - Scenarios'!$B$6*VLOOKUP(B17,ChurnSeasonTable,4,FALSE))*POWER(1-('Sens - Scenarios'!$B$6*VLOOKUP(B17,ChurnSeasonTable,4,FALSE)),0)</f>
        <v/>
      </c>
      <c r="X17" s="12">
        <f>X16+R17-R5*('Sens - Scenarios'!$B$6*VLOOKUP(B17,ChurnSeasonTable,4,FALSE))*POWER(1-('Sens - Scenarios'!$B$6*VLOOKUP(B17,ChurnSeasonTable,4,FALSE)),0)</f>
        <v/>
      </c>
      <c r="Y17" s="12">
        <f>S17+T17+U17+V17+W17+X17</f>
        <v/>
      </c>
      <c r="Z17" s="9">
        <f>S17*BlendedPriceEssMonthly*E17+T17*BlendedPricePremMonthly*E17+U17*BlendedPriceEliteMonthly*E17+V17*BlendedPriceEssAnnual*E17/12+W17*BlendedPricePremAnnual*E17/12+X17*BlendedPriceEliteAnnual*E17/12</f>
        <v/>
      </c>
      <c r="AA17" s="9">
        <f>Z17*12</f>
        <v/>
      </c>
      <c r="AB17" s="12">
        <f>S17*BlendedPriceEssMonthly*E17+T17*BlendedPricePremMonthly*E17+U17*BlendedPriceEliteMonthly*E17</f>
        <v/>
      </c>
      <c r="AC17" s="12">
        <f>P17*BlendedPriceEssAnnual*E17+Q17*BlendedPricePremAnnual*E17+R17*BlendedPriceEliteAnnual*E17</f>
        <v/>
      </c>
      <c r="AD17" s="12">
        <f>P5*POWER(1-('Sens - Scenarios'!$B$6*VLOOKUP(B17,ChurnSeasonTable,4,FALSE)),1)*BlendedPriceEssAnnual*E17+Q5*POWER(1-('Sens - Scenarios'!$B$6*VLOOKUP(B17,ChurnSeasonTable,4,FALSE)),1)*BlendedPricePremAnnual*E17+R5*POWER(1-('Sens - Scenarios'!$B$6*VLOOKUP(B17,ChurnSeasonTable,4,FALSE)),1)*BlendedPriceEliteAnnual*E17</f>
        <v/>
      </c>
      <c r="AE17" s="9">
        <f>AB17+AC17+AD17</f>
        <v/>
      </c>
      <c r="AF17" s="12">
        <f>SUM(AE6:AE17)</f>
        <v/>
      </c>
      <c r="AG17" s="12">
        <f>OR(AG16,IF(VATAgentMode,SUM($AE6:$AE17)-SUM($AL6:$AL17)&gt;=VATThreshold,SUM($AE6:$AE17)&gt;=VATThreshold))</f>
        <v/>
      </c>
      <c r="AH17" s="9">
        <f>IF(AG17,IF(VATAgentMode,AE17-((AE17-AL17)-(AE17-AL17)/(1+VATRate)),AE17/(1+VATRate)),AE17)</f>
        <v/>
      </c>
      <c r="AI17" s="12">
        <f>AE17-AH17</f>
        <v/>
      </c>
      <c r="AJ17" s="12">
        <f>IF(AG17=0,0,IF(B17=1,SUMPRODUCT(--(($C$5:$C17=$C17-1)*($B$5:$B17&gt;=10)*($B$5:$B17&lt;=12)),$AI$5:$AI17),IF(B17=4,SUMPRODUCT(--(($C$5:$C17=$C17)*($B$5:$B17&gt;=1)*($B$5:$B17&lt;=3)),$AI$5:$AI17),IF(B17=7,SUMPRODUCT(--(($C$5:$C17=$C17)*($B$5:$B17&gt;=4)*($B$5:$B17&lt;=6)),$AI$5:$AI17),IF(B17=10,SUMPRODUCT(--(($C$5:$C17=$C17)*($B$5:$B17&gt;=7)*($B$5:$B17&lt;=9)),$AI$5:$AI17),0)))))</f>
        <v/>
      </c>
      <c r="AK17" s="12">
        <f>AK16+AI17-AJ17</f>
        <v/>
      </c>
      <c r="AL17" s="12">
        <f>IF(ProviderDelay&gt;=1,S16*BlendedProvPayEss+T16*BlendedProvPayPrem+U16*BlendedProvPayElite+V16*BlendedProvPayEss+W16*BlendedProvPayPrem+X16*BlendedProvPayElite,S17*BlendedProvPayEss+T17*BlendedProvPayPrem+U17*BlendedProvPayElite+V17*BlendedProvPayEss+W17*BlendedProvPayPrem+X17*BlendedProvPayElite)</f>
        <v/>
      </c>
      <c r="AM17" s="12">
        <f>AE17*PaymentFee</f>
        <v/>
      </c>
      <c r="AN17" s="12">
        <f>Y17*OpsAI</f>
        <v/>
      </c>
      <c r="AO17" s="12">
        <f>MonthlyFixed</f>
        <v/>
      </c>
      <c r="AP17" s="12">
        <f>I17*ReferralReward</f>
        <v/>
      </c>
      <c r="AQ17" s="12">
        <f>G17</f>
        <v/>
      </c>
      <c r="AR17" s="9">
        <f>AH17-AL17-AM17-AN17-AO17-AP17-AQ17</f>
        <v/>
      </c>
      <c r="AS17" s="9">
        <f>AS16+AE17-(AL17+AM17+AN17+AO17+AP17+AQ17+AJ17)</f>
        <v/>
      </c>
      <c r="AT17" s="12">
        <f>IF(Y17&gt;0,Z17/Y17,0)</f>
        <v/>
      </c>
      <c r="AU17" s="11">
        <f>IF(Y16&gt;0,MAX(0,(Y16+J17-Y17)/Y16),0)</f>
        <v/>
      </c>
      <c r="AW17" s="12" t="n">
        <v>13</v>
      </c>
      <c r="AX17" s="12">
        <f>MOD(AW17-1+LaunchMonth-1,12)+1</f>
        <v/>
      </c>
      <c r="AY17" s="12">
        <f>INT((AW17-1+LaunchMonth-1)/12)+1</f>
        <v/>
      </c>
      <c r="AZ17" s="12">
        <f>VLOOKUP(AX17,SeasonTable,2,FALSE)</f>
        <v/>
      </c>
      <c r="BA17" s="12">
        <f>(1+InflationRate)^INT((AW17-1)/12)</f>
        <v/>
      </c>
      <c r="BB17" s="11">
        <f>MonthlyChurn*VLOOKUP(AX17,ChurnSeasonTable,4,FALSE)</f>
        <v/>
      </c>
      <c r="BC17" s="12">
        <f>MIN(MAX(MktMin13_18,CA16*MktPct13_18),MAX(0,CO16-CashBuffer))</f>
        <v/>
      </c>
      <c r="BD17" s="12">
        <f>IF(BC17&gt;0,MAX(1,ROUND(BC17/CAC*AZ17,0)),0)</f>
        <v/>
      </c>
      <c r="BE17" s="12">
        <f>IF(BD17&gt;0,ROUND(BD17*ReferralMix/(1-ReferralMix),0),0)</f>
        <v/>
      </c>
      <c r="BF17" s="12">
        <f>BD17+BE17</f>
        <v/>
      </c>
      <c r="BG17" s="12">
        <f>ROUND(BF17*(1-AnnualMix),0)</f>
        <v/>
      </c>
      <c r="BH17" s="12">
        <f>BF17-BG17</f>
        <v/>
      </c>
      <c r="BI17" s="12">
        <f>ROUND(BG17*EssentialMix,0)</f>
        <v/>
      </c>
      <c r="BJ17" s="12">
        <f>ROUND(BG17*PremiumMix,0)</f>
        <v/>
      </c>
      <c r="BK17" s="12">
        <f>BG17-BI17-BJ17</f>
        <v/>
      </c>
      <c r="BL17" s="12">
        <f>ROUND(BH17*EssentialMix,0)</f>
        <v/>
      </c>
      <c r="BM17" s="12">
        <f>ROUND(BH17*PremiumMix,0)</f>
        <v/>
      </c>
      <c r="BN17" s="12">
        <f>BH17-BL17-BM17</f>
        <v/>
      </c>
      <c r="BO17" s="12">
        <f>BI17+BI16+BI15+MAX(0,BO16-BI16-BI15)*(1-BB17)</f>
        <v/>
      </c>
      <c r="BP17" s="12">
        <f>BJ17+BJ16+BJ15+MAX(0,BP16-BJ16-BJ15)*(1-BB17)</f>
        <v/>
      </c>
      <c r="BQ17" s="12">
        <f>BK17+BK16+BK15+MAX(0,BQ16-BK16-BK15)*(1-BB17)</f>
        <v/>
      </c>
      <c r="BR17" s="12">
        <f>BR16+BL17-BL5*(AnnualChurn*VLOOKUP(AX17,ChurnSeasonTable,4,FALSE))*POWER(1-(AnnualChurn*VLOOKUP(AX17,ChurnSeasonTable,4,FALSE)),0)</f>
        <v/>
      </c>
      <c r="BS17" s="12">
        <f>BS16+BM17-BM5*(AnnualChurn*VLOOKUP(AX17,ChurnSeasonTable,4,FALSE))*POWER(1-(AnnualChurn*VLOOKUP(AX17,ChurnSeasonTable,4,FALSE)),0)</f>
        <v/>
      </c>
      <c r="BT17" s="12">
        <f>BT16+BN17-BN5*(AnnualChurn*VLOOKUP(AX17,ChurnSeasonTable,4,FALSE))*POWER(1-(AnnualChurn*VLOOKUP(AX17,ChurnSeasonTable,4,FALSE)),0)</f>
        <v/>
      </c>
      <c r="BU17" s="12">
        <f>BO17+BP17+BQ17+BR17+BS17+BT17</f>
        <v/>
      </c>
      <c r="BV17" s="9">
        <f>BO17*BlendedPriceEssMonthly*BA17+BP17*BlendedPricePremMonthly*BA17+BQ17*BlendedPriceEliteMonthly*BA17+BR17*BlendedPriceEssAnnual*BA17/12+BS17*BlendedPricePremAnnual*BA17/12+BT17*BlendedPriceEliteAnnual*BA17/12</f>
        <v/>
      </c>
      <c r="BW17" s="9">
        <f>BV17*12</f>
        <v/>
      </c>
      <c r="BX17" s="12">
        <f>BO17*BlendedPriceEssMonthly*BA17+BP17*BlendedPricePremMonthly*BA17+BQ17*BlendedPriceEliteMonthly*BA17</f>
        <v/>
      </c>
      <c r="BY17" s="12">
        <f>BL17*BlendedPriceEssAnnual*BA17+BM17*BlendedPricePremAnnual*BA17+BN17*BlendedPriceEliteAnnual*BA17</f>
        <v/>
      </c>
      <c r="BZ17" s="12">
        <f>BL5*POWER(1-(AnnualChurn*VLOOKUP(AX17,ChurnSeasonTable,4,FALSE)),1)*BlendedPriceEssAnnual*BA17+BM5*POWER(1-(AnnualChurn*VLOOKUP(AX17,ChurnSeasonTable,4,FALSE)),1)*BlendedPricePremAnnual*BA17+BN5*POWER(1-(AnnualChurn*VLOOKUP(AX17,ChurnSeasonTable,4,FALSE)),1)*BlendedPriceEliteAnnual*BA17</f>
        <v/>
      </c>
      <c r="CA17" s="9">
        <f>BX17+BY17+BZ17</f>
        <v/>
      </c>
      <c r="CB17" s="12">
        <f>SUM(CA6:CA17)</f>
        <v/>
      </c>
      <c r="CC17" s="12">
        <f>OR(CC16,IF(VATAgentMode,SUM($CA6:$CA17)-SUM($CH6:$CH17)&gt;=VATThreshold,SUM($CA6:$CA17)&gt;=VATThreshold))</f>
        <v/>
      </c>
      <c r="CD17" s="9">
        <f>IF(CC17,IF(VATAgentMode,CA17-((CA17-CH17)-(CA17-CH17)/(1+VATRate)),CA17/(1+VATRate)),CA17)</f>
        <v/>
      </c>
      <c r="CE17" s="12">
        <f>CA17-CD17</f>
        <v/>
      </c>
      <c r="CF17" s="12">
        <f>IF(CC17=0,0,IF(AX17=1,SUMPRODUCT(--(($AY$5:$AY17=$AY17-1)*($AX$5:$AX17&gt;=10)*($AX$5:$AX17&lt;=12)),$CE$5:$CE17),IF(AX17=4,SUMPRODUCT(--(($AY$5:$AY17=$AY17)*($AX$5:$AX17&gt;=1)*($AX$5:$AX17&lt;=3)),$CE$5:$CE17),IF(AX17=7,SUMPRODUCT(--(($AY$5:$AY17=$AY17)*($AX$5:$AX17&gt;=4)*($AX$5:$AX17&lt;=6)),$CE$5:$CE17),IF(AX17=10,SUMPRODUCT(--(($AY$5:$AY17=$AY17)*($AX$5:$AX17&gt;=7)*($AX$5:$AX17&lt;=9)),$CE$5:$CE17),0)))))</f>
        <v/>
      </c>
      <c r="CG17" s="12">
        <f>CG16+CE17-CF17</f>
        <v/>
      </c>
      <c r="CH17" s="12">
        <f>IF(ProviderDelay&gt;=1,BO16*BlendedProvPayEss+BP16*BlendedProvPayPrem+BQ16*BlendedProvPayElite+BR16*BlendedProvPayEss+BS16*BlendedProvPayPrem+BT16*BlendedProvPayElite,BO17*BlendedProvPayEss+BP17*BlendedProvPayPrem+BQ17*BlendedProvPayElite+BR17*BlendedProvPayEss+BS17*BlendedProvPayPrem+BT17*BlendedProvPayElite)</f>
        <v/>
      </c>
      <c r="CI17" s="12">
        <f>CA17*PaymentFee</f>
        <v/>
      </c>
      <c r="CJ17" s="12">
        <f>BU17*OpsAI</f>
        <v/>
      </c>
      <c r="CK17" s="12">
        <f>MonthlyFixed</f>
        <v/>
      </c>
      <c r="CL17" s="12">
        <f>BE17*ReferralReward</f>
        <v/>
      </c>
      <c r="CM17" s="12">
        <f>BC17</f>
        <v/>
      </c>
      <c r="CN17" s="9">
        <f>CD17-CH17-CI17-CJ17-CK17-CL17-CM17</f>
        <v/>
      </c>
      <c r="CO17" s="9">
        <f>CO16+CA17-(CH17+CI17+CJ17+CK17+CL17+CM17+CF17)</f>
        <v/>
      </c>
      <c r="CP17" s="12">
        <f>IF(BU17&gt;0,BV17/BU17,0)</f>
        <v/>
      </c>
      <c r="CQ17" s="11">
        <f>IF(BU16&gt;0,MAX(0,(BU16+BF17-BU17)/BU16),0)</f>
        <v/>
      </c>
      <c r="CS17" s="12" t="n">
        <v>13</v>
      </c>
      <c r="CT17" s="12">
        <f>MOD(CS17-1+LaunchMonth-1,12)+1</f>
        <v/>
      </c>
      <c r="CU17" s="12">
        <f>INT((CS17-1+LaunchMonth-1)/12)+1</f>
        <v/>
      </c>
      <c r="CV17" s="12">
        <f>VLOOKUP(CT17,SeasonTable,2,FALSE)</f>
        <v/>
      </c>
      <c r="CW17" s="12">
        <f>(1+InflationRate)^INT((CS17-1)/12)</f>
        <v/>
      </c>
      <c r="CX17" s="11">
        <f>'Sens - Scenarios'!$D$5*VLOOKUP(CT17,ChurnSeasonTable,4,FALSE)</f>
        <v/>
      </c>
      <c r="CY17" s="12">
        <f>MIN(MAX(MktMin13_18,DW16*MktPct13_18),MAX(0,EK16-CashBuffer))</f>
        <v/>
      </c>
      <c r="CZ17" s="12">
        <f>IF(CY17&gt;0,MAX(1,ROUND(CY17/'Sens - Scenarios'!$D$8*CV17,0)),0)</f>
        <v/>
      </c>
      <c r="DA17" s="12">
        <f>IF(CZ17&gt;0,ROUND(CZ17*ReferralMix/(1-ReferralMix),0),0)</f>
        <v/>
      </c>
      <c r="DB17" s="12">
        <f>CZ17+DA17</f>
        <v/>
      </c>
      <c r="DC17" s="12">
        <f>ROUND(DB17*(1-'Sens - Scenarios'!$D$7),0)</f>
        <v/>
      </c>
      <c r="DD17" s="12">
        <f>DB17-DC17</f>
        <v/>
      </c>
      <c r="DE17" s="12">
        <f>ROUND(DC17*EssentialMix,0)</f>
        <v/>
      </c>
      <c r="DF17" s="12">
        <f>ROUND(DC17*PremiumMix,0)</f>
        <v/>
      </c>
      <c r="DG17" s="12">
        <f>DC17-DE17-DF17</f>
        <v/>
      </c>
      <c r="DH17" s="12">
        <f>ROUND(DD17*EssentialMix,0)</f>
        <v/>
      </c>
      <c r="DI17" s="12">
        <f>ROUND(DD17*PremiumMix,0)</f>
        <v/>
      </c>
      <c r="DJ17" s="12">
        <f>DD17-DH17-DI17</f>
        <v/>
      </c>
      <c r="DK17" s="12">
        <f>DE17+DE16+DE15+MAX(0,DK16-DE16-DE15)*(1-CX17)</f>
        <v/>
      </c>
      <c r="DL17" s="12">
        <f>DF17+DF16+DF15+MAX(0,DL16-DF16-DF15)*(1-CX17)</f>
        <v/>
      </c>
      <c r="DM17" s="12">
        <f>DG17+DG16+DG15+MAX(0,DM16-DG16-DG15)*(1-CX17)</f>
        <v/>
      </c>
      <c r="DN17" s="12">
        <f>DN16+DH17-DH5*('Sens - Scenarios'!$D$6*VLOOKUP(CT17,ChurnSeasonTable,4,FALSE))*POWER(1-('Sens - Scenarios'!$D$6*VLOOKUP(CT17,ChurnSeasonTable,4,FALSE)),0)</f>
        <v/>
      </c>
      <c r="DO17" s="12">
        <f>DO16+DI17-DI5*('Sens - Scenarios'!$D$6*VLOOKUP(CT17,ChurnSeasonTable,4,FALSE))*POWER(1-('Sens - Scenarios'!$D$6*VLOOKUP(CT17,ChurnSeasonTable,4,FALSE)),0)</f>
        <v/>
      </c>
      <c r="DP17" s="12">
        <f>DP16+DJ17-DJ5*('Sens - Scenarios'!$D$6*VLOOKUP(CT17,ChurnSeasonTable,4,FALSE))*POWER(1-('Sens - Scenarios'!$D$6*VLOOKUP(CT17,ChurnSeasonTable,4,FALSE)),0)</f>
        <v/>
      </c>
      <c r="DQ17" s="12">
        <f>DK17+DL17+DM17+DN17+DO17+DP17</f>
        <v/>
      </c>
      <c r="DR17" s="9">
        <f>DK17*BlendedPriceEssMonthly*CW17+DL17*BlendedPricePremMonthly*CW17+DM17*BlendedPriceEliteMonthly*CW17+DN17*BlendedPriceEssAnnual*CW17/12+DO17*BlendedPricePremAnnual*CW17/12+DP17*BlendedPriceEliteAnnual*CW17/12</f>
        <v/>
      </c>
      <c r="DS17" s="9">
        <f>DR17*12</f>
        <v/>
      </c>
      <c r="DT17" s="12">
        <f>DK17*BlendedPriceEssMonthly*CW17+DL17*BlendedPricePremMonthly*CW17+DM17*BlendedPriceEliteMonthly*CW17</f>
        <v/>
      </c>
      <c r="DU17" s="12">
        <f>DH17*BlendedPriceEssAnnual*CW17+DI17*BlendedPricePremAnnual*CW17+DJ17*BlendedPriceEliteAnnual*CW17</f>
        <v/>
      </c>
      <c r="DV17" s="12">
        <f>DH5*POWER(1-('Sens - Scenarios'!$D$6*VLOOKUP(CT17,ChurnSeasonTable,4,FALSE)),1)*BlendedPriceEssAnnual*CW17+DI5*POWER(1-('Sens - Scenarios'!$D$6*VLOOKUP(CT17,ChurnSeasonTable,4,FALSE)),1)*BlendedPricePremAnnual*CW17+DJ5*POWER(1-('Sens - Scenarios'!$D$6*VLOOKUP(CT17,ChurnSeasonTable,4,FALSE)),1)*BlendedPriceEliteAnnual*CW17</f>
        <v/>
      </c>
      <c r="DW17" s="9">
        <f>DT17+DU17+DV17</f>
        <v/>
      </c>
      <c r="DX17" s="12">
        <f>SUM(DW6:DW17)</f>
        <v/>
      </c>
      <c r="DY17" s="12">
        <f>OR(DY16,IF(VATAgentMode,SUM($DW6:$DW17)-SUM($ED6:$ED17)&gt;=VATThreshold,SUM($DW6:$DW17)&gt;=VATThreshold))</f>
        <v/>
      </c>
      <c r="DZ17" s="9">
        <f>IF(DY17,IF(VATAgentMode,DW17-((DW17-ED17)-(DW17-ED17)/(1+VATRate)),DW17/(1+VATRate)),DW17)</f>
        <v/>
      </c>
      <c r="EA17" s="12">
        <f>DW17-DZ17</f>
        <v/>
      </c>
      <c r="EB17" s="12">
        <f>IF(DY17=0,0,IF(CT17=1,SUMPRODUCT(--(($CU$5:$CU17=$CU17-1)*($CT$5:$CT17&gt;=10)*($CT$5:$CT17&lt;=12)),$EA$5:$EA17),IF(CT17=4,SUMPRODUCT(--(($CU$5:$CU17=$CU17)*($CT$5:$CT17&gt;=1)*($CT$5:$CT17&lt;=3)),$EA$5:$EA17),IF(CT17=7,SUMPRODUCT(--(($CU$5:$CU17=$CU17)*($CT$5:$CT17&gt;=4)*($CT$5:$CT17&lt;=6)),$EA$5:$EA17),IF(CT17=10,SUMPRODUCT(--(($CU$5:$CU17=$CU17)*($CT$5:$CT17&gt;=7)*($CT$5:$CT17&lt;=9)),$EA$5:$EA17),0)))))</f>
        <v/>
      </c>
      <c r="EC17" s="12">
        <f>EC16+EA17-EB17</f>
        <v/>
      </c>
      <c r="ED17" s="12">
        <f>IF(ProviderDelay&gt;=1,DK16*BlendedProvPayEss+DL16*BlendedProvPayPrem+DM16*BlendedProvPayElite+DN16*BlendedProvPayEss+DO16*BlendedProvPayPrem+DP16*BlendedProvPayElite,DK17*BlendedProvPayEss+DL17*BlendedProvPayPrem+DM17*BlendedProvPayElite+DN17*BlendedProvPayEss+DO17*BlendedProvPayPrem+DP17*BlendedProvPayElite)</f>
        <v/>
      </c>
      <c r="EE17" s="12">
        <f>DW17*PaymentFee</f>
        <v/>
      </c>
      <c r="EF17" s="12">
        <f>DQ17*OpsAI</f>
        <v/>
      </c>
      <c r="EG17" s="12">
        <f>MonthlyFixed</f>
        <v/>
      </c>
      <c r="EH17" s="12">
        <f>DA17*ReferralReward</f>
        <v/>
      </c>
      <c r="EI17" s="12">
        <f>CY17</f>
        <v/>
      </c>
      <c r="EJ17" s="9">
        <f>DZ17-ED17-EE17-EF17-EG17-EH17-EI17</f>
        <v/>
      </c>
      <c r="EK17" s="9">
        <f>EK16+DW17-(ED17+EE17+EF17+EG17+EH17+EI17+EB17)</f>
        <v/>
      </c>
      <c r="EL17" s="12">
        <f>IF(DQ17&gt;0,DR17/DQ17,0)</f>
        <v/>
      </c>
      <c r="EM17" s="11">
        <f>IF(DQ16&gt;0,MAX(0,(DQ16+DB17-DQ17)/DQ16),0)</f>
        <v/>
      </c>
      <c r="EO17" s="12" t="n">
        <v>13</v>
      </c>
      <c r="EP17" s="12">
        <f>MOD(EO17-1+LaunchMonth-1,12)+1</f>
        <v/>
      </c>
      <c r="EQ17" s="12">
        <f>INT((EO17-1+LaunchMonth-1)/12)+1</f>
        <v/>
      </c>
      <c r="ER17" s="12">
        <f>VLOOKUP(EP17,SeasonTable,2,FALSE)</f>
        <v/>
      </c>
      <c r="ES17" s="12">
        <f>(1+InflationRate)^INT((EO17-1)/12)</f>
        <v/>
      </c>
      <c r="ET17" s="11">
        <f>'Sens - Churn'!$A$13*VLOOKUP(EP17,ChurnSeasonTable,4,FALSE)</f>
        <v/>
      </c>
      <c r="EU17" s="12">
        <f>MIN(MAX(MktMin13_18,FS16*MktPct13_18),MAX(0,GG16-CashBuffer))</f>
        <v/>
      </c>
      <c r="EV17" s="12">
        <f>IF(EU17&gt;0,MAX(1,ROUND(EU17/CAC*ER17,0)),0)</f>
        <v/>
      </c>
      <c r="EW17" s="12">
        <f>IF(EV17&gt;0,ROUND(EV17*ReferralMix/(1-ReferralMix),0),0)</f>
        <v/>
      </c>
      <c r="EX17" s="12">
        <f>EV17+EW17</f>
        <v/>
      </c>
      <c r="EY17" s="12">
        <f>ROUND(EX17*(1-AnnualMix),0)</f>
        <v/>
      </c>
      <c r="EZ17" s="12">
        <f>EX17-EY17</f>
        <v/>
      </c>
      <c r="FA17" s="12">
        <f>ROUND(EY17*EssentialMix,0)</f>
        <v/>
      </c>
      <c r="FB17" s="12">
        <f>ROUND(EY17*PremiumMix,0)</f>
        <v/>
      </c>
      <c r="FC17" s="12">
        <f>EY17-FA17-FB17</f>
        <v/>
      </c>
      <c r="FD17" s="12">
        <f>ROUND(EZ17*EssentialMix,0)</f>
        <v/>
      </c>
      <c r="FE17" s="12">
        <f>ROUND(EZ17*PremiumMix,0)</f>
        <v/>
      </c>
      <c r="FF17" s="12">
        <f>EZ17-FD17-FE17</f>
        <v/>
      </c>
      <c r="FG17" s="12">
        <f>FA17+FA16+FA15+MAX(0,FG16-FA16-FA15)*(1-ET17)</f>
        <v/>
      </c>
      <c r="FH17" s="12">
        <f>FB17+FB16+FB15+MAX(0,FH16-FB16-FB15)*(1-ET17)</f>
        <v/>
      </c>
      <c r="FI17" s="12">
        <f>FC17+FC16+FC15+MAX(0,FI16-FC16-FC15)*(1-ET17)</f>
        <v/>
      </c>
      <c r="FJ17" s="12">
        <f>FJ16+FD17-FD5*(AnnualChurn*VLOOKUP(EP17,ChurnSeasonTable,4,FALSE))*POWER(1-(AnnualChurn*VLOOKUP(EP17,ChurnSeasonTable,4,FALSE)),0)</f>
        <v/>
      </c>
      <c r="FK17" s="12">
        <f>FK16+FE17-FE5*(AnnualChurn*VLOOKUP(EP17,ChurnSeasonTable,4,FALSE))*POWER(1-(AnnualChurn*VLOOKUP(EP17,ChurnSeasonTable,4,FALSE)),0)</f>
        <v/>
      </c>
      <c r="FL17" s="12">
        <f>FL16+FF17-FF5*(AnnualChurn*VLOOKUP(EP17,ChurnSeasonTable,4,FALSE))*POWER(1-(AnnualChurn*VLOOKUP(EP17,ChurnSeasonTable,4,FALSE)),0)</f>
        <v/>
      </c>
      <c r="FM17" s="12">
        <f>FG17+FH17+FI17+FJ17+FK17+FL17</f>
        <v/>
      </c>
      <c r="FN17" s="9">
        <f>FG17*BlendedPriceEssMonthly*ES17+FH17*BlendedPricePremMonthly*ES17+FI17*BlendedPriceEliteMonthly*ES17+FJ17*BlendedPriceEssAnnual*ES17/12+FK17*BlendedPricePremAnnual*ES17/12+FL17*BlendedPriceEliteAnnual*ES17/12</f>
        <v/>
      </c>
      <c r="FO17" s="9">
        <f>FN17*12</f>
        <v/>
      </c>
      <c r="FP17" s="12">
        <f>FG17*BlendedPriceEssMonthly*ES17+FH17*BlendedPricePremMonthly*ES17+FI17*BlendedPriceEliteMonthly*ES17</f>
        <v/>
      </c>
      <c r="FQ17" s="12">
        <f>FD17*BlendedPriceEssAnnual*ES17+FE17*BlendedPricePremAnnual*ES17+FF17*BlendedPriceEliteAnnual*ES17</f>
        <v/>
      </c>
      <c r="FR17" s="12">
        <f>FD5*POWER(1-(AnnualChurn*VLOOKUP(EP17,ChurnSeasonTable,4,FALSE)),1)*BlendedPriceEssAnnual*ES17+FE5*POWER(1-(AnnualChurn*VLOOKUP(EP17,ChurnSeasonTable,4,FALSE)),1)*BlendedPricePremAnnual*ES17+FF5*POWER(1-(AnnualChurn*VLOOKUP(EP17,ChurnSeasonTable,4,FALSE)),1)*BlendedPriceEliteAnnual*ES17</f>
        <v/>
      </c>
      <c r="FS17" s="9">
        <f>FP17+FQ17+FR17</f>
        <v/>
      </c>
      <c r="FT17" s="12">
        <f>SUM(FS6:FS17)</f>
        <v/>
      </c>
      <c r="FU17" s="12">
        <f>OR(FU16,IF(VATAgentMode,SUM($FS6:$FS17)-SUM($FZ6:$FZ17)&gt;=VATThreshold,SUM($FS6:$FS17)&gt;=VATThreshold))</f>
        <v/>
      </c>
      <c r="FV17" s="9">
        <f>IF(FU17,IF(VATAgentMode,FS17-((FS17-FZ17)-(FS17-FZ17)/(1+VATRate)),FS17/(1+VATRate)),FS17)</f>
        <v/>
      </c>
      <c r="FW17" s="12">
        <f>FS17-FV17</f>
        <v/>
      </c>
      <c r="FX17" s="12">
        <f>IF(FU17=0,0,IF(EP17=1,SUMPRODUCT(--(($EQ$5:$EQ17=$EQ17-1)*($EP$5:$EP17&gt;=10)*($EP$5:$EP17&lt;=12)),$FW$5:$FW17),IF(EP17=4,SUMPRODUCT(--(($EQ$5:$EQ17=$EQ17)*($EP$5:$EP17&gt;=1)*($EP$5:$EP17&lt;=3)),$FW$5:$FW17),IF(EP17=7,SUMPRODUCT(--(($EQ$5:$EQ17=$EQ17)*($EP$5:$EP17&gt;=4)*($EP$5:$EP17&lt;=6)),$FW$5:$FW17),IF(EP17=10,SUMPRODUCT(--(($EQ$5:$EQ17=$EQ17)*($EP$5:$EP17&gt;=7)*($EP$5:$EP17&lt;=9)),$FW$5:$FW17),0)))))</f>
        <v/>
      </c>
      <c r="FY17" s="12">
        <f>FY16+FW17-FX17</f>
        <v/>
      </c>
      <c r="FZ17" s="12">
        <f>IF(ProviderDelay&gt;=1,FG16*BlendedProvPayEss+FH16*BlendedProvPayPrem+FI16*BlendedProvPayElite+FJ16*BlendedProvPayEss+FK16*BlendedProvPayPrem+FL16*BlendedProvPayElite,FG17*BlendedProvPayEss+FH17*BlendedProvPayPrem+FI17*BlendedProvPayElite+FJ17*BlendedProvPayEss+FK17*BlendedProvPayPrem+FL17*BlendedProvPayElite)</f>
        <v/>
      </c>
      <c r="GA17" s="12">
        <f>FS17*PaymentFee</f>
        <v/>
      </c>
      <c r="GB17" s="12">
        <f>FM17*OpsAI</f>
        <v/>
      </c>
      <c r="GC17" s="12">
        <f>MonthlyFixed</f>
        <v/>
      </c>
      <c r="GD17" s="12">
        <f>EW17*ReferralReward</f>
        <v/>
      </c>
      <c r="GE17" s="12">
        <f>EU17</f>
        <v/>
      </c>
      <c r="GF17" s="9">
        <f>FV17-FZ17-GA17-GB17-GC17-GD17-GE17</f>
        <v/>
      </c>
      <c r="GG17" s="9">
        <f>GG16+FS17-(FZ17+GA17+GB17+GC17+GD17+GE17+FX17)</f>
        <v/>
      </c>
      <c r="GH17" s="12">
        <f>IF(FM17&gt;0,FN17/FM17,0)</f>
        <v/>
      </c>
      <c r="GI17" s="11">
        <f>IF(FM16&gt;0,MAX(0,(FM16+EX17-FM17)/FM16),0)</f>
        <v/>
      </c>
      <c r="GK17" s="12" t="n">
        <v>13</v>
      </c>
      <c r="GL17" s="12">
        <f>MOD(GK17-1+LaunchMonth-1,12)+1</f>
        <v/>
      </c>
      <c r="GM17" s="12">
        <f>INT((GK17-1+LaunchMonth-1)/12)+1</f>
        <v/>
      </c>
      <c r="GN17" s="12">
        <f>VLOOKUP(GL17,SeasonTable,2,FALSE)</f>
        <v/>
      </c>
      <c r="GO17" s="12">
        <f>(1+InflationRate)^INT((GK17-1)/12)</f>
        <v/>
      </c>
      <c r="GP17" s="11">
        <f>'Sens - Churn'!$A$14*VLOOKUP(GL17,ChurnSeasonTable,4,FALSE)</f>
        <v/>
      </c>
      <c r="GQ17" s="12">
        <f>MIN(MAX(MktMin13_18,HO16*MktPct13_18),MAX(0,IC16-CashBuffer))</f>
        <v/>
      </c>
      <c r="GR17" s="12">
        <f>IF(GQ17&gt;0,MAX(1,ROUND(GQ17/CAC*GN17,0)),0)</f>
        <v/>
      </c>
      <c r="GS17" s="12">
        <f>IF(GR17&gt;0,ROUND(GR17*ReferralMix/(1-ReferralMix),0),0)</f>
        <v/>
      </c>
      <c r="GT17" s="12">
        <f>GR17+GS17</f>
        <v/>
      </c>
      <c r="GU17" s="12">
        <f>ROUND(GT17*(1-AnnualMix),0)</f>
        <v/>
      </c>
      <c r="GV17" s="12">
        <f>GT17-GU17</f>
        <v/>
      </c>
      <c r="GW17" s="12">
        <f>ROUND(GU17*EssentialMix,0)</f>
        <v/>
      </c>
      <c r="GX17" s="12">
        <f>ROUND(GU17*PremiumMix,0)</f>
        <v/>
      </c>
      <c r="GY17" s="12">
        <f>GU17-GW17-GX17</f>
        <v/>
      </c>
      <c r="GZ17" s="12">
        <f>ROUND(GV17*EssentialMix,0)</f>
        <v/>
      </c>
      <c r="HA17" s="12">
        <f>ROUND(GV17*PremiumMix,0)</f>
        <v/>
      </c>
      <c r="HB17" s="12">
        <f>GV17-GZ17-HA17</f>
        <v/>
      </c>
      <c r="HC17" s="12">
        <f>GW17+GW16+GW15+MAX(0,HC16-GW16-GW15)*(1-GP17)</f>
        <v/>
      </c>
      <c r="HD17" s="12">
        <f>GX17+GX16+GX15+MAX(0,HD16-GX16-GX15)*(1-GP17)</f>
        <v/>
      </c>
      <c r="HE17" s="12">
        <f>GY17+GY16+GY15+MAX(0,HE16-GY16-GY15)*(1-GP17)</f>
        <v/>
      </c>
      <c r="HF17" s="12">
        <f>HF16+GZ17-GZ5*(AnnualChurn*VLOOKUP(GL17,ChurnSeasonTable,4,FALSE))*POWER(1-(AnnualChurn*VLOOKUP(GL17,ChurnSeasonTable,4,FALSE)),0)</f>
        <v/>
      </c>
      <c r="HG17" s="12">
        <f>HG16+HA17-HA5*(AnnualChurn*VLOOKUP(GL17,ChurnSeasonTable,4,FALSE))*POWER(1-(AnnualChurn*VLOOKUP(GL17,ChurnSeasonTable,4,FALSE)),0)</f>
        <v/>
      </c>
      <c r="HH17" s="12">
        <f>HH16+HB17-HB5*(AnnualChurn*VLOOKUP(GL17,ChurnSeasonTable,4,FALSE))*POWER(1-(AnnualChurn*VLOOKUP(GL17,ChurnSeasonTable,4,FALSE)),0)</f>
        <v/>
      </c>
      <c r="HI17" s="12">
        <f>HC17+HD17+HE17+HF17+HG17+HH17</f>
        <v/>
      </c>
      <c r="HJ17" s="9">
        <f>HC17*BlendedPriceEssMonthly*GO17+HD17*BlendedPricePremMonthly*GO17+HE17*BlendedPriceEliteMonthly*GO17+HF17*BlendedPriceEssAnnual*GO17/12+HG17*BlendedPricePremAnnual*GO17/12+HH17*BlendedPriceEliteAnnual*GO17/12</f>
        <v/>
      </c>
      <c r="HK17" s="9">
        <f>HJ17*12</f>
        <v/>
      </c>
      <c r="HL17" s="12">
        <f>HC17*BlendedPriceEssMonthly*GO17+HD17*BlendedPricePremMonthly*GO17+HE17*BlendedPriceEliteMonthly*GO17</f>
        <v/>
      </c>
      <c r="HM17" s="12">
        <f>GZ17*BlendedPriceEssAnnual*GO17+HA17*BlendedPricePremAnnual*GO17+HB17*BlendedPriceEliteAnnual*GO17</f>
        <v/>
      </c>
      <c r="HN17" s="12">
        <f>GZ5*POWER(1-(AnnualChurn*VLOOKUP(GL17,ChurnSeasonTable,4,FALSE)),1)*BlendedPriceEssAnnual*GO17+HA5*POWER(1-(AnnualChurn*VLOOKUP(GL17,ChurnSeasonTable,4,FALSE)),1)*BlendedPricePremAnnual*GO17+HB5*POWER(1-(AnnualChurn*VLOOKUP(GL17,ChurnSeasonTable,4,FALSE)),1)*BlendedPriceEliteAnnual*GO17</f>
        <v/>
      </c>
      <c r="HO17" s="9">
        <f>HL17+HM17+HN17</f>
        <v/>
      </c>
      <c r="HP17" s="12">
        <f>SUM(HO6:HO17)</f>
        <v/>
      </c>
      <c r="HQ17" s="12">
        <f>OR(HQ16,IF(VATAgentMode,SUM($HO6:$HO17)-SUM($HV6:$HV17)&gt;=VATThreshold,SUM($HO6:$HO17)&gt;=VATThreshold))</f>
        <v/>
      </c>
      <c r="HR17" s="9">
        <f>IF(HQ17,IF(VATAgentMode,HO17-((HO17-HV17)-(HO17-HV17)/(1+VATRate)),HO17/(1+VATRate)),HO17)</f>
        <v/>
      </c>
      <c r="HS17" s="12">
        <f>HO17-HR17</f>
        <v/>
      </c>
      <c r="HT17" s="12">
        <f>IF(HQ17=0,0,IF(GL17=1,SUMPRODUCT(--(($GM$5:$GM17=$GM17-1)*($GL$5:$GL17&gt;=10)*($GL$5:$GL17&lt;=12)),$HS$5:$HS17),IF(GL17=4,SUMPRODUCT(--(($GM$5:$GM17=$GM17)*($GL$5:$GL17&gt;=1)*($GL$5:$GL17&lt;=3)),$HS$5:$HS17),IF(GL17=7,SUMPRODUCT(--(($GM$5:$GM17=$GM17)*($GL$5:$GL17&gt;=4)*($GL$5:$GL17&lt;=6)),$HS$5:$HS17),IF(GL17=10,SUMPRODUCT(--(($GM$5:$GM17=$GM17)*($GL$5:$GL17&gt;=7)*($GL$5:$GL17&lt;=9)),$HS$5:$HS17),0)))))</f>
        <v/>
      </c>
      <c r="HU17" s="12">
        <f>HU16+HS17-HT17</f>
        <v/>
      </c>
      <c r="HV17" s="12">
        <f>IF(ProviderDelay&gt;=1,HC16*BlendedProvPayEss+HD16*BlendedProvPayPrem+HE16*BlendedProvPayElite+HF16*BlendedProvPayEss+HG16*BlendedProvPayPrem+HH16*BlendedProvPayElite,HC17*BlendedProvPayEss+HD17*BlendedProvPayPrem+HE17*BlendedProvPayElite+HF17*BlendedProvPayEss+HG17*BlendedProvPayPrem+HH17*BlendedProvPayElite)</f>
        <v/>
      </c>
      <c r="HW17" s="12">
        <f>HO17*PaymentFee</f>
        <v/>
      </c>
      <c r="HX17" s="12">
        <f>HI17*OpsAI</f>
        <v/>
      </c>
      <c r="HY17" s="12">
        <f>MonthlyFixed</f>
        <v/>
      </c>
      <c r="HZ17" s="12">
        <f>GS17*ReferralReward</f>
        <v/>
      </c>
      <c r="IA17" s="12">
        <f>GQ17</f>
        <v/>
      </c>
      <c r="IB17" s="9">
        <f>HR17-HV17-HW17-HX17-HY17-HZ17-IA17</f>
        <v/>
      </c>
      <c r="IC17" s="9">
        <f>IC16+HO17-(HV17+HW17+HX17+HY17+HZ17+IA17+HT17)</f>
        <v/>
      </c>
      <c r="ID17" s="12">
        <f>IF(HI17&gt;0,HJ17/HI17,0)</f>
        <v/>
      </c>
      <c r="IE17" s="11">
        <f>IF(HI16&gt;0,MAX(0,(HI16+GT17-HI17)/HI16),0)</f>
        <v/>
      </c>
      <c r="IG17" s="12" t="n">
        <v>13</v>
      </c>
      <c r="IH17" s="12">
        <f>MOD(IG17-1+LaunchMonth-1,12)+1</f>
        <v/>
      </c>
      <c r="II17" s="12">
        <f>INT((IG17-1+LaunchMonth-1)/12)+1</f>
        <v/>
      </c>
      <c r="IJ17" s="12">
        <f>VLOOKUP(IH17,SeasonTable,2,FALSE)</f>
        <v/>
      </c>
      <c r="IK17" s="12">
        <f>(1+InflationRate)^INT((IG17-1)/12)</f>
        <v/>
      </c>
      <c r="IL17" s="11">
        <f>'Sens - Churn'!$A$15*VLOOKUP(IH17,ChurnSeasonTable,4,FALSE)</f>
        <v/>
      </c>
      <c r="IM17" s="12">
        <f>MIN(MAX(MktMin13_18,JK16*MktPct13_18),MAX(0,JY16-CashBuffer))</f>
        <v/>
      </c>
      <c r="IN17" s="12">
        <f>IF(IM17&gt;0,MAX(1,ROUND(IM17/CAC*IJ17,0)),0)</f>
        <v/>
      </c>
      <c r="IO17" s="12">
        <f>IF(IN17&gt;0,ROUND(IN17*ReferralMix/(1-ReferralMix),0),0)</f>
        <v/>
      </c>
      <c r="IP17" s="12">
        <f>IN17+IO17</f>
        <v/>
      </c>
      <c r="IQ17" s="12">
        <f>ROUND(IP17*(1-AnnualMix),0)</f>
        <v/>
      </c>
      <c r="IR17" s="12">
        <f>IP17-IQ17</f>
        <v/>
      </c>
      <c r="IS17" s="12">
        <f>ROUND(IQ17*EssentialMix,0)</f>
        <v/>
      </c>
      <c r="IT17" s="12">
        <f>ROUND(IQ17*PremiumMix,0)</f>
        <v/>
      </c>
      <c r="IU17" s="12">
        <f>IQ17-IS17-IT17</f>
        <v/>
      </c>
      <c r="IV17" s="12">
        <f>ROUND(IR17*EssentialMix,0)</f>
        <v/>
      </c>
      <c r="IW17" s="12">
        <f>ROUND(IR17*PremiumMix,0)</f>
        <v/>
      </c>
      <c r="IX17" s="12">
        <f>IR17-IV17-IW17</f>
        <v/>
      </c>
      <c r="IY17" s="12">
        <f>IS17+IS16+IS15+MAX(0,IY16-IS16-IS15)*(1-IL17)</f>
        <v/>
      </c>
      <c r="IZ17" s="12">
        <f>IT17+IT16+IT15+MAX(0,IZ16-IT16-IT15)*(1-IL17)</f>
        <v/>
      </c>
      <c r="JA17" s="12">
        <f>IU17+IU16+IU15+MAX(0,JA16-IU16-IU15)*(1-IL17)</f>
        <v/>
      </c>
      <c r="JB17" s="12">
        <f>JB16+IV17-IV5*(AnnualChurn*VLOOKUP(IH17,ChurnSeasonTable,4,FALSE))*POWER(1-(AnnualChurn*VLOOKUP(IH17,ChurnSeasonTable,4,FALSE)),0)</f>
        <v/>
      </c>
      <c r="JC17" s="12">
        <f>JC16+IW17-IW5*(AnnualChurn*VLOOKUP(IH17,ChurnSeasonTable,4,FALSE))*POWER(1-(AnnualChurn*VLOOKUP(IH17,ChurnSeasonTable,4,FALSE)),0)</f>
        <v/>
      </c>
      <c r="JD17" s="12">
        <f>JD16+IX17-IX5*(AnnualChurn*VLOOKUP(IH17,ChurnSeasonTable,4,FALSE))*POWER(1-(AnnualChurn*VLOOKUP(IH17,ChurnSeasonTable,4,FALSE)),0)</f>
        <v/>
      </c>
      <c r="JE17" s="12">
        <f>IY17+IZ17+JA17+JB17+JC17+JD17</f>
        <v/>
      </c>
      <c r="JF17" s="9">
        <f>IY17*BlendedPriceEssMonthly*IK17+IZ17*BlendedPricePremMonthly*IK17+JA17*BlendedPriceEliteMonthly*IK17+JB17*BlendedPriceEssAnnual*IK17/12+JC17*BlendedPricePremAnnual*IK17/12+JD17*BlendedPriceEliteAnnual*IK17/12</f>
        <v/>
      </c>
      <c r="JG17" s="9">
        <f>JF17*12</f>
        <v/>
      </c>
      <c r="JH17" s="12">
        <f>IY17*BlendedPriceEssMonthly*IK17+IZ17*BlendedPricePremMonthly*IK17+JA17*BlendedPriceEliteMonthly*IK17</f>
        <v/>
      </c>
      <c r="JI17" s="12">
        <f>IV17*BlendedPriceEssAnnual*IK17+IW17*BlendedPricePremAnnual*IK17+IX17*BlendedPriceEliteAnnual*IK17</f>
        <v/>
      </c>
      <c r="JJ17" s="12">
        <f>IV5*POWER(1-(AnnualChurn*VLOOKUP(IH17,ChurnSeasonTable,4,FALSE)),1)*BlendedPriceEssAnnual*IK17+IW5*POWER(1-(AnnualChurn*VLOOKUP(IH17,ChurnSeasonTable,4,FALSE)),1)*BlendedPricePremAnnual*IK17+IX5*POWER(1-(AnnualChurn*VLOOKUP(IH17,ChurnSeasonTable,4,FALSE)),1)*BlendedPriceEliteAnnual*IK17</f>
        <v/>
      </c>
      <c r="JK17" s="9">
        <f>JH17+JI17+JJ17</f>
        <v/>
      </c>
      <c r="JL17" s="12">
        <f>SUM(JK6:JK17)</f>
        <v/>
      </c>
      <c r="JM17" s="12">
        <f>OR(JM16,IF(VATAgentMode,SUM($JK6:$JK17)-SUM($JR6:$JR17)&gt;=VATThreshold,SUM($JK6:$JK17)&gt;=VATThreshold))</f>
        <v/>
      </c>
      <c r="JN17" s="9">
        <f>IF(JM17,IF(VATAgentMode,JK17-((JK17-JR17)-(JK17-JR17)/(1+VATRate)),JK17/(1+VATRate)),JK17)</f>
        <v/>
      </c>
      <c r="JO17" s="12">
        <f>JK17-JN17</f>
        <v/>
      </c>
      <c r="JP17" s="12">
        <f>IF(JM17=0,0,IF(IH17=1,SUMPRODUCT(--(($II$5:$II17=$II17-1)*($IH$5:$IH17&gt;=10)*($IH$5:$IH17&lt;=12)),$JO$5:$JO17),IF(IH17=4,SUMPRODUCT(--(($II$5:$II17=$II17)*($IH$5:$IH17&gt;=1)*($IH$5:$IH17&lt;=3)),$JO$5:$JO17),IF(IH17=7,SUMPRODUCT(--(($II$5:$II17=$II17)*($IH$5:$IH17&gt;=4)*($IH$5:$IH17&lt;=6)),$JO$5:$JO17),IF(IH17=10,SUMPRODUCT(--(($II$5:$II17=$II17)*($IH$5:$IH17&gt;=7)*($IH$5:$IH17&lt;=9)),$JO$5:$JO17),0)))))</f>
        <v/>
      </c>
      <c r="JQ17" s="12">
        <f>JQ16+JO17-JP17</f>
        <v/>
      </c>
      <c r="JR17" s="12">
        <f>IF(ProviderDelay&gt;=1,IY16*BlendedProvPayEss+IZ16*BlendedProvPayPrem+JA16*BlendedProvPayElite+JB16*BlendedProvPayEss+JC16*BlendedProvPayPrem+JD16*BlendedProvPayElite,IY17*BlendedProvPayEss+IZ17*BlendedProvPayPrem+JA17*BlendedProvPayElite+JB17*BlendedProvPayEss+JC17*BlendedProvPayPrem+JD17*BlendedProvPayElite)</f>
        <v/>
      </c>
      <c r="JS17" s="12">
        <f>JK17*PaymentFee</f>
        <v/>
      </c>
      <c r="JT17" s="12">
        <f>JE17*OpsAI</f>
        <v/>
      </c>
      <c r="JU17" s="12">
        <f>MonthlyFixed</f>
        <v/>
      </c>
      <c r="JV17" s="12">
        <f>IO17*ReferralReward</f>
        <v/>
      </c>
      <c r="JW17" s="12">
        <f>IM17</f>
        <v/>
      </c>
      <c r="JX17" s="9">
        <f>JN17-JR17-JS17-JT17-JU17-JV17-JW17</f>
        <v/>
      </c>
      <c r="JY17" s="9">
        <f>JY16+JK17-(JR17+JS17+JT17+JU17+JV17+JW17+JP17)</f>
        <v/>
      </c>
      <c r="JZ17" s="12">
        <f>IF(JE17&gt;0,JF17/JE17,0)</f>
        <v/>
      </c>
      <c r="KA17" s="11">
        <f>IF(JE16&gt;0,MAX(0,(JE16+IP17-JE17)/JE16),0)</f>
        <v/>
      </c>
      <c r="KC17" s="12" t="n">
        <v>13</v>
      </c>
      <c r="KD17" s="12">
        <f>MOD(KC17-1+LaunchMonth-1,12)+1</f>
        <v/>
      </c>
      <c r="KE17" s="12">
        <f>INT((KC17-1+LaunchMonth-1)/12)+1</f>
        <v/>
      </c>
      <c r="KF17" s="12">
        <f>VLOOKUP(KD17,SeasonTable,2,FALSE)</f>
        <v/>
      </c>
      <c r="KG17" s="12">
        <f>(1+InflationRate)^INT((KC17-1)/12)</f>
        <v/>
      </c>
      <c r="KH17" s="11">
        <f>'Sens - Churn'!$A$16*VLOOKUP(KD17,ChurnSeasonTable,4,FALSE)</f>
        <v/>
      </c>
      <c r="KI17" s="12">
        <f>MIN(MAX(MktMin13_18,LG16*MktPct13_18),MAX(0,LU16-CashBuffer))</f>
        <v/>
      </c>
      <c r="KJ17" s="12">
        <f>IF(KI17&gt;0,MAX(1,ROUND(KI17/CAC*KF17,0)),0)</f>
        <v/>
      </c>
      <c r="KK17" s="12">
        <f>IF(KJ17&gt;0,ROUND(KJ17*ReferralMix/(1-ReferralMix),0),0)</f>
        <v/>
      </c>
      <c r="KL17" s="12">
        <f>KJ17+KK17</f>
        <v/>
      </c>
      <c r="KM17" s="12">
        <f>ROUND(KL17*(1-AnnualMix),0)</f>
        <v/>
      </c>
      <c r="KN17" s="12">
        <f>KL17-KM17</f>
        <v/>
      </c>
      <c r="KO17" s="12">
        <f>ROUND(KM17*EssentialMix,0)</f>
        <v/>
      </c>
      <c r="KP17" s="12">
        <f>ROUND(KM17*PremiumMix,0)</f>
        <v/>
      </c>
      <c r="KQ17" s="12">
        <f>KM17-KO17-KP17</f>
        <v/>
      </c>
      <c r="KR17" s="12">
        <f>ROUND(KN17*EssentialMix,0)</f>
        <v/>
      </c>
      <c r="KS17" s="12">
        <f>ROUND(KN17*PremiumMix,0)</f>
        <v/>
      </c>
      <c r="KT17" s="12">
        <f>KN17-KR17-KS17</f>
        <v/>
      </c>
      <c r="KU17" s="12">
        <f>KO17+KO16+KO15+MAX(0,KU16-KO16-KO15)*(1-KH17)</f>
        <v/>
      </c>
      <c r="KV17" s="12">
        <f>KP17+KP16+KP15+MAX(0,KV16-KP16-KP15)*(1-KH17)</f>
        <v/>
      </c>
      <c r="KW17" s="12">
        <f>KQ17+KQ16+KQ15+MAX(0,KW16-KQ16-KQ15)*(1-KH17)</f>
        <v/>
      </c>
      <c r="KX17" s="12">
        <f>KX16+KR17-KR5*(AnnualChurn*VLOOKUP(KD17,ChurnSeasonTable,4,FALSE))*POWER(1-(AnnualChurn*VLOOKUP(KD17,ChurnSeasonTable,4,FALSE)),0)</f>
        <v/>
      </c>
      <c r="KY17" s="12">
        <f>KY16+KS17-KS5*(AnnualChurn*VLOOKUP(KD17,ChurnSeasonTable,4,FALSE))*POWER(1-(AnnualChurn*VLOOKUP(KD17,ChurnSeasonTable,4,FALSE)),0)</f>
        <v/>
      </c>
      <c r="KZ17" s="12">
        <f>KZ16+KT17-KT5*(AnnualChurn*VLOOKUP(KD17,ChurnSeasonTable,4,FALSE))*POWER(1-(AnnualChurn*VLOOKUP(KD17,ChurnSeasonTable,4,FALSE)),0)</f>
        <v/>
      </c>
      <c r="LA17" s="12">
        <f>KU17+KV17+KW17+KX17+KY17+KZ17</f>
        <v/>
      </c>
      <c r="LB17" s="9">
        <f>KU17*BlendedPriceEssMonthly*KG17+KV17*BlendedPricePremMonthly*KG17+KW17*BlendedPriceEliteMonthly*KG17+KX17*BlendedPriceEssAnnual*KG17/12+KY17*BlendedPricePremAnnual*KG17/12+KZ17*BlendedPriceEliteAnnual*KG17/12</f>
        <v/>
      </c>
      <c r="LC17" s="9">
        <f>LB17*12</f>
        <v/>
      </c>
      <c r="LD17" s="12">
        <f>KU17*BlendedPriceEssMonthly*KG17+KV17*BlendedPricePremMonthly*KG17+KW17*BlendedPriceEliteMonthly*KG17</f>
        <v/>
      </c>
      <c r="LE17" s="12">
        <f>KR17*BlendedPriceEssAnnual*KG17+KS17*BlendedPricePremAnnual*KG17+KT17*BlendedPriceEliteAnnual*KG17</f>
        <v/>
      </c>
      <c r="LF17" s="12">
        <f>KR5*POWER(1-(AnnualChurn*VLOOKUP(KD17,ChurnSeasonTable,4,FALSE)),1)*BlendedPriceEssAnnual*KG17+KS5*POWER(1-(AnnualChurn*VLOOKUP(KD17,ChurnSeasonTable,4,FALSE)),1)*BlendedPricePremAnnual*KG17+KT5*POWER(1-(AnnualChurn*VLOOKUP(KD17,ChurnSeasonTable,4,FALSE)),1)*BlendedPriceEliteAnnual*KG17</f>
        <v/>
      </c>
      <c r="LG17" s="9">
        <f>LD17+LE17+LF17</f>
        <v/>
      </c>
      <c r="LH17" s="12">
        <f>SUM(LG6:LG17)</f>
        <v/>
      </c>
      <c r="LI17" s="12">
        <f>OR(LI16,IF(VATAgentMode,SUM($LG6:$LG17)-SUM($LN6:$LN17)&gt;=VATThreshold,SUM($LG6:$LG17)&gt;=VATThreshold))</f>
        <v/>
      </c>
      <c r="LJ17" s="9">
        <f>IF(LI17,IF(VATAgentMode,LG17-((LG17-LN17)-(LG17-LN17)/(1+VATRate)),LG17/(1+VATRate)),LG17)</f>
        <v/>
      </c>
      <c r="LK17" s="12">
        <f>LG17-LJ17</f>
        <v/>
      </c>
      <c r="LL17" s="12">
        <f>IF(LI17=0,0,IF(KD17=1,SUMPRODUCT(--(($KE$5:$KE17=$KE17-1)*($KD$5:$KD17&gt;=10)*($KD$5:$KD17&lt;=12)),$LK$5:$LK17),IF(KD17=4,SUMPRODUCT(--(($KE$5:$KE17=$KE17)*($KD$5:$KD17&gt;=1)*($KD$5:$KD17&lt;=3)),$LK$5:$LK17),IF(KD17=7,SUMPRODUCT(--(($KE$5:$KE17=$KE17)*($KD$5:$KD17&gt;=4)*($KD$5:$KD17&lt;=6)),$LK$5:$LK17),IF(KD17=10,SUMPRODUCT(--(($KE$5:$KE17=$KE17)*($KD$5:$KD17&gt;=7)*($KD$5:$KD17&lt;=9)),$LK$5:$LK17),0)))))</f>
        <v/>
      </c>
      <c r="LM17" s="12">
        <f>LM16+LK17-LL17</f>
        <v/>
      </c>
      <c r="LN17" s="12">
        <f>IF(ProviderDelay&gt;=1,KU16*BlendedProvPayEss+KV16*BlendedProvPayPrem+KW16*BlendedProvPayElite+KX16*BlendedProvPayEss+KY16*BlendedProvPayPrem+KZ16*BlendedProvPayElite,KU17*BlendedProvPayEss+KV17*BlendedProvPayPrem+KW17*BlendedProvPayElite+KX17*BlendedProvPayEss+KY17*BlendedProvPayPrem+KZ17*BlendedProvPayElite)</f>
        <v/>
      </c>
      <c r="LO17" s="12">
        <f>LG17*PaymentFee</f>
        <v/>
      </c>
      <c r="LP17" s="12">
        <f>LA17*OpsAI</f>
        <v/>
      </c>
      <c r="LQ17" s="12">
        <f>MonthlyFixed</f>
        <v/>
      </c>
      <c r="LR17" s="12">
        <f>KK17*ReferralReward</f>
        <v/>
      </c>
      <c r="LS17" s="12">
        <f>KI17</f>
        <v/>
      </c>
      <c r="LT17" s="9">
        <f>LJ17-LN17-LO17-LP17-LQ17-LR17-LS17</f>
        <v/>
      </c>
      <c r="LU17" s="9">
        <f>LU16+LG17-(LN17+LO17+LP17+LQ17+LR17+LS17+LL17)</f>
        <v/>
      </c>
      <c r="LV17" s="12">
        <f>IF(LA17&gt;0,LB17/LA17,0)</f>
        <v/>
      </c>
      <c r="LW17" s="11">
        <f>IF(LA16&gt;0,MAX(0,(LA16+KL17-LA17)/LA16),0)</f>
        <v/>
      </c>
      <c r="LY17" s="12" t="n">
        <v>13</v>
      </c>
      <c r="LZ17" s="12">
        <f>MOD(LY17-1+LaunchMonth-1,12)+1</f>
        <v/>
      </c>
      <c r="MA17" s="12">
        <f>INT((LY17-1+LaunchMonth-1)/12)+1</f>
        <v/>
      </c>
      <c r="MB17" s="12">
        <f>VLOOKUP(LZ17,SeasonTable,2,FALSE)</f>
        <v/>
      </c>
      <c r="MC17" s="12">
        <f>(1+InflationRate)^INT((LY17-1)/12)</f>
        <v/>
      </c>
      <c r="MD17" s="11">
        <f>'Sens - Churn'!$A$17*VLOOKUP(LZ17,ChurnSeasonTable,4,FALSE)</f>
        <v/>
      </c>
      <c r="ME17" s="12">
        <f>MIN(MAX(MktMin13_18,NC16*MktPct13_18),MAX(0,NQ16-CashBuffer))</f>
        <v/>
      </c>
      <c r="MF17" s="12">
        <f>IF(ME17&gt;0,MAX(1,ROUND(ME17/CAC*MB17,0)),0)</f>
        <v/>
      </c>
      <c r="MG17" s="12">
        <f>IF(MF17&gt;0,ROUND(MF17*ReferralMix/(1-ReferralMix),0),0)</f>
        <v/>
      </c>
      <c r="MH17" s="12">
        <f>MF17+MG17</f>
        <v/>
      </c>
      <c r="MI17" s="12">
        <f>ROUND(MH17*(1-AnnualMix),0)</f>
        <v/>
      </c>
      <c r="MJ17" s="12">
        <f>MH17-MI17</f>
        <v/>
      </c>
      <c r="MK17" s="12">
        <f>ROUND(MI17*EssentialMix,0)</f>
        <v/>
      </c>
      <c r="ML17" s="12">
        <f>ROUND(MI17*PremiumMix,0)</f>
        <v/>
      </c>
      <c r="MM17" s="12">
        <f>MI17-MK17-ML17</f>
        <v/>
      </c>
      <c r="MN17" s="12">
        <f>ROUND(MJ17*EssentialMix,0)</f>
        <v/>
      </c>
      <c r="MO17" s="12">
        <f>ROUND(MJ17*PremiumMix,0)</f>
        <v/>
      </c>
      <c r="MP17" s="12">
        <f>MJ17-MN17-MO17</f>
        <v/>
      </c>
      <c r="MQ17" s="12">
        <f>MK17+MK16+MK15+MAX(0,MQ16-MK16-MK15)*(1-MD17)</f>
        <v/>
      </c>
      <c r="MR17" s="12">
        <f>ML17+ML16+ML15+MAX(0,MR16-ML16-ML15)*(1-MD17)</f>
        <v/>
      </c>
      <c r="MS17" s="12">
        <f>MM17+MM16+MM15+MAX(0,MS16-MM16-MM15)*(1-MD17)</f>
        <v/>
      </c>
      <c r="MT17" s="12">
        <f>MT16+MN17-MN5*(AnnualChurn*VLOOKUP(LZ17,ChurnSeasonTable,4,FALSE))*POWER(1-(AnnualChurn*VLOOKUP(LZ17,ChurnSeasonTable,4,FALSE)),0)</f>
        <v/>
      </c>
      <c r="MU17" s="12">
        <f>MU16+MO17-MO5*(AnnualChurn*VLOOKUP(LZ17,ChurnSeasonTable,4,FALSE))*POWER(1-(AnnualChurn*VLOOKUP(LZ17,ChurnSeasonTable,4,FALSE)),0)</f>
        <v/>
      </c>
      <c r="MV17" s="12">
        <f>MV16+MP17-MP5*(AnnualChurn*VLOOKUP(LZ17,ChurnSeasonTable,4,FALSE))*POWER(1-(AnnualChurn*VLOOKUP(LZ17,ChurnSeasonTable,4,FALSE)),0)</f>
        <v/>
      </c>
      <c r="MW17" s="12">
        <f>MQ17+MR17+MS17+MT17+MU17+MV17</f>
        <v/>
      </c>
      <c r="MX17" s="9">
        <f>MQ17*BlendedPriceEssMonthly*MC17+MR17*BlendedPricePremMonthly*MC17+MS17*BlendedPriceEliteMonthly*MC17+MT17*BlendedPriceEssAnnual*MC17/12+MU17*BlendedPricePremAnnual*MC17/12+MV17*BlendedPriceEliteAnnual*MC17/12</f>
        <v/>
      </c>
      <c r="MY17" s="9">
        <f>MX17*12</f>
        <v/>
      </c>
      <c r="MZ17" s="12">
        <f>MQ17*BlendedPriceEssMonthly*MC17+MR17*BlendedPricePremMonthly*MC17+MS17*BlendedPriceEliteMonthly*MC17</f>
        <v/>
      </c>
      <c r="NA17" s="12">
        <f>MN17*BlendedPriceEssAnnual*MC17+MO17*BlendedPricePremAnnual*MC17+MP17*BlendedPriceEliteAnnual*MC17</f>
        <v/>
      </c>
      <c r="NB17" s="12">
        <f>MN5*POWER(1-(AnnualChurn*VLOOKUP(LZ17,ChurnSeasonTable,4,FALSE)),1)*BlendedPriceEssAnnual*MC17+MO5*POWER(1-(AnnualChurn*VLOOKUP(LZ17,ChurnSeasonTable,4,FALSE)),1)*BlendedPricePremAnnual*MC17+MP5*POWER(1-(AnnualChurn*VLOOKUP(LZ17,ChurnSeasonTable,4,FALSE)),1)*BlendedPriceEliteAnnual*MC17</f>
        <v/>
      </c>
      <c r="NC17" s="9">
        <f>MZ17+NA17+NB17</f>
        <v/>
      </c>
      <c r="ND17" s="12">
        <f>SUM(NC6:NC17)</f>
        <v/>
      </c>
      <c r="NE17" s="12">
        <f>OR(NE16,IF(VATAgentMode,SUM($NC6:$NC17)-SUM($NJ6:$NJ17)&gt;=VATThreshold,SUM($NC6:$NC17)&gt;=VATThreshold))</f>
        <v/>
      </c>
      <c r="NF17" s="9">
        <f>IF(NE17,IF(VATAgentMode,NC17-((NC17-NJ17)-(NC17-NJ17)/(1+VATRate)),NC17/(1+VATRate)),NC17)</f>
        <v/>
      </c>
      <c r="NG17" s="12">
        <f>NC17-NF17</f>
        <v/>
      </c>
      <c r="NH17" s="12">
        <f>IF(NE17=0,0,IF(LZ17=1,SUMPRODUCT(--(($MA$5:$MA17=$MA17-1)*($LZ$5:$LZ17&gt;=10)*($LZ$5:$LZ17&lt;=12)),$NG$5:$NG17),IF(LZ17=4,SUMPRODUCT(--(($MA$5:$MA17=$MA17)*($LZ$5:$LZ17&gt;=1)*($LZ$5:$LZ17&lt;=3)),$NG$5:$NG17),IF(LZ17=7,SUMPRODUCT(--(($MA$5:$MA17=$MA17)*($LZ$5:$LZ17&gt;=4)*($LZ$5:$LZ17&lt;=6)),$NG$5:$NG17),IF(LZ17=10,SUMPRODUCT(--(($MA$5:$MA17=$MA17)*($LZ$5:$LZ17&gt;=7)*($LZ$5:$LZ17&lt;=9)),$NG$5:$NG17),0)))))</f>
        <v/>
      </c>
      <c r="NI17" s="12">
        <f>NI16+NG17-NH17</f>
        <v/>
      </c>
      <c r="NJ17" s="12">
        <f>IF(ProviderDelay&gt;=1,MQ16*BlendedProvPayEss+MR16*BlendedProvPayPrem+MS16*BlendedProvPayElite+MT16*BlendedProvPayEss+MU16*BlendedProvPayPrem+MV16*BlendedProvPayElite,MQ17*BlendedProvPayEss+MR17*BlendedProvPayPrem+MS17*BlendedProvPayElite+MT17*BlendedProvPayEss+MU17*BlendedProvPayPrem+MV17*BlendedProvPayElite)</f>
        <v/>
      </c>
      <c r="NK17" s="12">
        <f>NC17*PaymentFee</f>
        <v/>
      </c>
      <c r="NL17" s="12">
        <f>MW17*OpsAI</f>
        <v/>
      </c>
      <c r="NM17" s="12">
        <f>MonthlyFixed</f>
        <v/>
      </c>
      <c r="NN17" s="12">
        <f>MG17*ReferralReward</f>
        <v/>
      </c>
      <c r="NO17" s="12">
        <f>ME17</f>
        <v/>
      </c>
      <c r="NP17" s="9">
        <f>NF17-NJ17-NK17-NL17-NM17-NN17-NO17</f>
        <v/>
      </c>
      <c r="NQ17" s="9">
        <f>NQ16+NC17-(NJ17+NK17+NL17+NM17+NN17+NO17+NH17)</f>
        <v/>
      </c>
      <c r="NR17" s="12">
        <f>IF(MW17&gt;0,MX17/MW17,0)</f>
        <v/>
      </c>
      <c r="NS17" s="11">
        <f>IF(MW16&gt;0,MAX(0,(MW16+MH17-MW17)/MW16),0)</f>
        <v/>
      </c>
      <c r="NU17" s="12" t="n">
        <v>13</v>
      </c>
      <c r="NV17" s="12">
        <f>MOD(NU17-1+LaunchMonth-1,12)+1</f>
        <v/>
      </c>
      <c r="NW17" s="12">
        <f>INT((NU17-1+LaunchMonth-1)/12)+1</f>
        <v/>
      </c>
      <c r="NX17" s="12">
        <f>VLOOKUP(NV17,SeasonTable,2,FALSE)</f>
        <v/>
      </c>
      <c r="NY17" s="12">
        <f>(1+InflationRate)^INT((NU17-1)/12)</f>
        <v/>
      </c>
      <c r="NZ17" s="11">
        <f>'Sens - Churn'!$A$18*VLOOKUP(NV17,ChurnSeasonTable,4,FALSE)</f>
        <v/>
      </c>
      <c r="OA17" s="12">
        <f>MIN(MAX(MktMin13_18,OY16*MktPct13_18),MAX(0,PM16-CashBuffer))</f>
        <v/>
      </c>
      <c r="OB17" s="12">
        <f>IF(OA17&gt;0,MAX(1,ROUND(OA17/CAC*NX17,0)),0)</f>
        <v/>
      </c>
      <c r="OC17" s="12">
        <f>IF(OB17&gt;0,ROUND(OB17*ReferralMix/(1-ReferralMix),0),0)</f>
        <v/>
      </c>
      <c r="OD17" s="12">
        <f>OB17+OC17</f>
        <v/>
      </c>
      <c r="OE17" s="12">
        <f>ROUND(OD17*(1-AnnualMix),0)</f>
        <v/>
      </c>
      <c r="OF17" s="12">
        <f>OD17-OE17</f>
        <v/>
      </c>
      <c r="OG17" s="12">
        <f>ROUND(OE17*EssentialMix,0)</f>
        <v/>
      </c>
      <c r="OH17" s="12">
        <f>ROUND(OE17*PremiumMix,0)</f>
        <v/>
      </c>
      <c r="OI17" s="12">
        <f>OE17-OG17-OH17</f>
        <v/>
      </c>
      <c r="OJ17" s="12">
        <f>ROUND(OF17*EssentialMix,0)</f>
        <v/>
      </c>
      <c r="OK17" s="12">
        <f>ROUND(OF17*PremiumMix,0)</f>
        <v/>
      </c>
      <c r="OL17" s="12">
        <f>OF17-OJ17-OK17</f>
        <v/>
      </c>
      <c r="OM17" s="12">
        <f>OG17+OG16+OG15+MAX(0,OM16-OG16-OG15)*(1-NZ17)</f>
        <v/>
      </c>
      <c r="ON17" s="12">
        <f>OH17+OH16+OH15+MAX(0,ON16-OH16-OH15)*(1-NZ17)</f>
        <v/>
      </c>
      <c r="OO17" s="12">
        <f>OI17+OI16+OI15+MAX(0,OO16-OI16-OI15)*(1-NZ17)</f>
        <v/>
      </c>
      <c r="OP17" s="12">
        <f>OP16+OJ17-OJ5*(AnnualChurn*VLOOKUP(NV17,ChurnSeasonTable,4,FALSE))*POWER(1-(AnnualChurn*VLOOKUP(NV17,ChurnSeasonTable,4,FALSE)),0)</f>
        <v/>
      </c>
      <c r="OQ17" s="12">
        <f>OQ16+OK17-OK5*(AnnualChurn*VLOOKUP(NV17,ChurnSeasonTable,4,FALSE))*POWER(1-(AnnualChurn*VLOOKUP(NV17,ChurnSeasonTable,4,FALSE)),0)</f>
        <v/>
      </c>
      <c r="OR17" s="12">
        <f>OR16+OL17-OL5*(AnnualChurn*VLOOKUP(NV17,ChurnSeasonTable,4,FALSE))*POWER(1-(AnnualChurn*VLOOKUP(NV17,ChurnSeasonTable,4,FALSE)),0)</f>
        <v/>
      </c>
      <c r="OS17" s="12">
        <f>OM17+ON17+OO17+OP17+OQ17+OR17</f>
        <v/>
      </c>
      <c r="OT17" s="9">
        <f>OM17*BlendedPriceEssMonthly*NY17+ON17*BlendedPricePremMonthly*NY17+OO17*BlendedPriceEliteMonthly*NY17+OP17*BlendedPriceEssAnnual*NY17/12+OQ17*BlendedPricePremAnnual*NY17/12+OR17*BlendedPriceEliteAnnual*NY17/12</f>
        <v/>
      </c>
      <c r="OU17" s="9">
        <f>OT17*12</f>
        <v/>
      </c>
      <c r="OV17" s="12">
        <f>OM17*BlendedPriceEssMonthly*NY17+ON17*BlendedPricePremMonthly*NY17+OO17*BlendedPriceEliteMonthly*NY17</f>
        <v/>
      </c>
      <c r="OW17" s="12">
        <f>OJ17*BlendedPriceEssAnnual*NY17+OK17*BlendedPricePremAnnual*NY17+OL17*BlendedPriceEliteAnnual*NY17</f>
        <v/>
      </c>
      <c r="OX17" s="12">
        <f>OJ5*POWER(1-(AnnualChurn*VLOOKUP(NV17,ChurnSeasonTable,4,FALSE)),1)*BlendedPriceEssAnnual*NY17+OK5*POWER(1-(AnnualChurn*VLOOKUP(NV17,ChurnSeasonTable,4,FALSE)),1)*BlendedPricePremAnnual*NY17+OL5*POWER(1-(AnnualChurn*VLOOKUP(NV17,ChurnSeasonTable,4,FALSE)),1)*BlendedPriceEliteAnnual*NY17</f>
        <v/>
      </c>
      <c r="OY17" s="9">
        <f>OV17+OW17+OX17</f>
        <v/>
      </c>
      <c r="OZ17" s="12">
        <f>SUM(OY6:OY17)</f>
        <v/>
      </c>
      <c r="PA17" s="12">
        <f>OR(PA16,IF(VATAgentMode,SUM($OY6:$OY17)-SUM($PF6:$PF17)&gt;=VATThreshold,SUM($OY6:$OY17)&gt;=VATThreshold))</f>
        <v/>
      </c>
      <c r="PB17" s="9">
        <f>IF(PA17,IF(VATAgentMode,OY17-((OY17-PF17)-(OY17-PF17)/(1+VATRate)),OY17/(1+VATRate)),OY17)</f>
        <v/>
      </c>
      <c r="PC17" s="12">
        <f>OY17-PB17</f>
        <v/>
      </c>
      <c r="PD17" s="12">
        <f>IF(PA17=0,0,IF(NV17=1,SUMPRODUCT(--(($NW$5:$NW17=$NW17-1)*($NV$5:$NV17&gt;=10)*($NV$5:$NV17&lt;=12)),$PC$5:$PC17),IF(NV17=4,SUMPRODUCT(--(($NW$5:$NW17=$NW17)*($NV$5:$NV17&gt;=1)*($NV$5:$NV17&lt;=3)),$PC$5:$PC17),IF(NV17=7,SUMPRODUCT(--(($NW$5:$NW17=$NW17)*($NV$5:$NV17&gt;=4)*($NV$5:$NV17&lt;=6)),$PC$5:$PC17),IF(NV17=10,SUMPRODUCT(--(($NW$5:$NW17=$NW17)*($NV$5:$NV17&gt;=7)*($NV$5:$NV17&lt;=9)),$PC$5:$PC17),0)))))</f>
        <v/>
      </c>
      <c r="PE17" s="12">
        <f>PE16+PC17-PD17</f>
        <v/>
      </c>
      <c r="PF17" s="12">
        <f>IF(ProviderDelay&gt;=1,OM16*BlendedProvPayEss+ON16*BlendedProvPayPrem+OO16*BlendedProvPayElite+OP16*BlendedProvPayEss+OQ16*BlendedProvPayPrem+OR16*BlendedProvPayElite,OM17*BlendedProvPayEss+ON17*BlendedProvPayPrem+OO17*BlendedProvPayElite+OP17*BlendedProvPayEss+OQ17*BlendedProvPayPrem+OR17*BlendedProvPayElite)</f>
        <v/>
      </c>
      <c r="PG17" s="12">
        <f>OY17*PaymentFee</f>
        <v/>
      </c>
      <c r="PH17" s="12">
        <f>OS17*OpsAI</f>
        <v/>
      </c>
      <c r="PI17" s="12">
        <f>MonthlyFixed</f>
        <v/>
      </c>
      <c r="PJ17" s="12">
        <f>OC17*ReferralReward</f>
        <v/>
      </c>
      <c r="PK17" s="12">
        <f>OA17</f>
        <v/>
      </c>
      <c r="PL17" s="9">
        <f>PB17-PF17-PG17-PH17-PI17-PJ17-PK17</f>
        <v/>
      </c>
      <c r="PM17" s="9">
        <f>PM16+OY17-(PF17+PG17+PH17+PI17+PJ17+PK17+PD17)</f>
        <v/>
      </c>
      <c r="PN17" s="12">
        <f>IF(OS17&gt;0,OT17/OS17,0)</f>
        <v/>
      </c>
      <c r="PO17" s="11">
        <f>IF(OS16&gt;0,MAX(0,(OS16+OD17-OS17)/OS16),0)</f>
        <v/>
      </c>
      <c r="PQ17" s="12" t="n">
        <v>13</v>
      </c>
      <c r="PR17" s="12">
        <f>MOD(PQ17-1+LaunchMonth-1,12)+1</f>
        <v/>
      </c>
      <c r="PS17" s="12">
        <f>INT((PQ17-1+LaunchMonth-1)/12)+1</f>
        <v/>
      </c>
      <c r="PT17" s="12">
        <f>VLOOKUP(PR17,SeasonTable,2,FALSE)</f>
        <v/>
      </c>
      <c r="PU17" s="12">
        <f>(1+InflationRate)^INT((PQ17-1)/12)</f>
        <v/>
      </c>
      <c r="PV17" s="11">
        <f>'Sens - Churn'!$A$19*VLOOKUP(PR17,ChurnSeasonTable,4,FALSE)</f>
        <v/>
      </c>
      <c r="PW17" s="12">
        <f>MIN(MAX(MktMin13_18,QU16*MktPct13_18),MAX(0,RI16-CashBuffer))</f>
        <v/>
      </c>
      <c r="PX17" s="12">
        <f>IF(PW17&gt;0,MAX(1,ROUND(PW17/CAC*PT17,0)),0)</f>
        <v/>
      </c>
      <c r="PY17" s="12">
        <f>IF(PX17&gt;0,ROUND(PX17*ReferralMix/(1-ReferralMix),0),0)</f>
        <v/>
      </c>
      <c r="PZ17" s="12">
        <f>PX17+PY17</f>
        <v/>
      </c>
      <c r="QA17" s="12">
        <f>ROUND(PZ17*(1-AnnualMix),0)</f>
        <v/>
      </c>
      <c r="QB17" s="12">
        <f>PZ17-QA17</f>
        <v/>
      </c>
      <c r="QC17" s="12">
        <f>ROUND(QA17*EssentialMix,0)</f>
        <v/>
      </c>
      <c r="QD17" s="12">
        <f>ROUND(QA17*PremiumMix,0)</f>
        <v/>
      </c>
      <c r="QE17" s="12">
        <f>QA17-QC17-QD17</f>
        <v/>
      </c>
      <c r="QF17" s="12">
        <f>ROUND(QB17*EssentialMix,0)</f>
        <v/>
      </c>
      <c r="QG17" s="12">
        <f>ROUND(QB17*PremiumMix,0)</f>
        <v/>
      </c>
      <c r="QH17" s="12">
        <f>QB17-QF17-QG17</f>
        <v/>
      </c>
      <c r="QI17" s="12">
        <f>QC17+QC16+QC15+MAX(0,QI16-QC16-QC15)*(1-PV17)</f>
        <v/>
      </c>
      <c r="QJ17" s="12">
        <f>QD17+QD16+QD15+MAX(0,QJ16-QD16-QD15)*(1-PV17)</f>
        <v/>
      </c>
      <c r="QK17" s="12">
        <f>QE17+QE16+QE15+MAX(0,QK16-QE16-QE15)*(1-PV17)</f>
        <v/>
      </c>
      <c r="QL17" s="12">
        <f>QL16+QF17-QF5*(AnnualChurn*VLOOKUP(PR17,ChurnSeasonTable,4,FALSE))*POWER(1-(AnnualChurn*VLOOKUP(PR17,ChurnSeasonTable,4,FALSE)),0)</f>
        <v/>
      </c>
      <c r="QM17" s="12">
        <f>QM16+QG17-QG5*(AnnualChurn*VLOOKUP(PR17,ChurnSeasonTable,4,FALSE))*POWER(1-(AnnualChurn*VLOOKUP(PR17,ChurnSeasonTable,4,FALSE)),0)</f>
        <v/>
      </c>
      <c r="QN17" s="12">
        <f>QN16+QH17-QH5*(AnnualChurn*VLOOKUP(PR17,ChurnSeasonTable,4,FALSE))*POWER(1-(AnnualChurn*VLOOKUP(PR17,ChurnSeasonTable,4,FALSE)),0)</f>
        <v/>
      </c>
      <c r="QO17" s="12">
        <f>QI17+QJ17+QK17+QL17+QM17+QN17</f>
        <v/>
      </c>
      <c r="QP17" s="9">
        <f>QI17*BlendedPriceEssMonthly*PU17+QJ17*BlendedPricePremMonthly*PU17+QK17*BlendedPriceEliteMonthly*PU17+QL17*BlendedPriceEssAnnual*PU17/12+QM17*BlendedPricePremAnnual*PU17/12+QN17*BlendedPriceEliteAnnual*PU17/12</f>
        <v/>
      </c>
      <c r="QQ17" s="9">
        <f>QP17*12</f>
        <v/>
      </c>
      <c r="QR17" s="12">
        <f>QI17*BlendedPriceEssMonthly*PU17+QJ17*BlendedPricePremMonthly*PU17+QK17*BlendedPriceEliteMonthly*PU17</f>
        <v/>
      </c>
      <c r="QS17" s="12">
        <f>QF17*BlendedPriceEssAnnual*PU17+QG17*BlendedPricePremAnnual*PU17+QH17*BlendedPriceEliteAnnual*PU17</f>
        <v/>
      </c>
      <c r="QT17" s="12">
        <f>QF5*POWER(1-(AnnualChurn*VLOOKUP(PR17,ChurnSeasonTable,4,FALSE)),1)*BlendedPriceEssAnnual*PU17+QG5*POWER(1-(AnnualChurn*VLOOKUP(PR17,ChurnSeasonTable,4,FALSE)),1)*BlendedPricePremAnnual*PU17+QH5*POWER(1-(AnnualChurn*VLOOKUP(PR17,ChurnSeasonTable,4,FALSE)),1)*BlendedPriceEliteAnnual*PU17</f>
        <v/>
      </c>
      <c r="QU17" s="9">
        <f>QR17+QS17+QT17</f>
        <v/>
      </c>
      <c r="QV17" s="12">
        <f>SUM(QU6:QU17)</f>
        <v/>
      </c>
      <c r="QW17" s="12">
        <f>OR(QW16,IF(VATAgentMode,SUM($QU6:$QU17)-SUM($RB6:$RB17)&gt;=VATThreshold,SUM($QU6:$QU17)&gt;=VATThreshold))</f>
        <v/>
      </c>
      <c r="QX17" s="9">
        <f>IF(QW17,IF(VATAgentMode,QU17-((QU17-RB17)-(QU17-RB17)/(1+VATRate)),QU17/(1+VATRate)),QU17)</f>
        <v/>
      </c>
      <c r="QY17" s="12">
        <f>QU17-QX17</f>
        <v/>
      </c>
      <c r="QZ17" s="12">
        <f>IF(QW17=0,0,IF(PR17=1,SUMPRODUCT(--(($PS$5:$PS17=$PS17-1)*($PR$5:$PR17&gt;=10)*($PR$5:$PR17&lt;=12)),$QY$5:$QY17),IF(PR17=4,SUMPRODUCT(--(($PS$5:$PS17=$PS17)*($PR$5:$PR17&gt;=1)*($PR$5:$PR17&lt;=3)),$QY$5:$QY17),IF(PR17=7,SUMPRODUCT(--(($PS$5:$PS17=$PS17)*($PR$5:$PR17&gt;=4)*($PR$5:$PR17&lt;=6)),$QY$5:$QY17),IF(PR17=10,SUMPRODUCT(--(($PS$5:$PS17=$PS17)*($PR$5:$PR17&gt;=7)*($PR$5:$PR17&lt;=9)),$QY$5:$QY17),0)))))</f>
        <v/>
      </c>
      <c r="RA17" s="12">
        <f>RA16+QY17-QZ17</f>
        <v/>
      </c>
      <c r="RB17" s="12">
        <f>IF(ProviderDelay&gt;=1,QI16*BlendedProvPayEss+QJ16*BlendedProvPayPrem+QK16*BlendedProvPayElite+QL16*BlendedProvPayEss+QM16*BlendedProvPayPrem+QN16*BlendedProvPayElite,QI17*BlendedProvPayEss+QJ17*BlendedProvPayPrem+QK17*BlendedProvPayElite+QL17*BlendedProvPayEss+QM17*BlendedProvPayPrem+QN17*BlendedProvPayElite)</f>
        <v/>
      </c>
      <c r="RC17" s="12">
        <f>QU17*PaymentFee</f>
        <v/>
      </c>
      <c r="RD17" s="12">
        <f>QO17*OpsAI</f>
        <v/>
      </c>
      <c r="RE17" s="12">
        <f>MonthlyFixed</f>
        <v/>
      </c>
      <c r="RF17" s="12">
        <f>PY17*ReferralReward</f>
        <v/>
      </c>
      <c r="RG17" s="12">
        <f>PW17</f>
        <v/>
      </c>
      <c r="RH17" s="9">
        <f>QX17-RB17-RC17-RD17-RE17-RF17-RG17</f>
        <v/>
      </c>
      <c r="RI17" s="9">
        <f>RI16+QU17-(RB17+RC17+RD17+RE17+RF17+RG17+QZ17)</f>
        <v/>
      </c>
      <c r="RJ17" s="12">
        <f>IF(QO17&gt;0,QP17/QO17,0)</f>
        <v/>
      </c>
      <c r="RK17" s="11">
        <f>IF(QO16&gt;0,MAX(0,(QO16+PZ17-QO17)/QO16),0)</f>
        <v/>
      </c>
      <c r="RM17" s="12" t="n">
        <v>13</v>
      </c>
      <c r="RN17" s="12">
        <f>MOD(RM17-1+LaunchMonth-1,12)+1</f>
        <v/>
      </c>
      <c r="RO17" s="12">
        <f>INT((RM17-1+LaunchMonth-1)/12)+1</f>
        <v/>
      </c>
      <c r="RP17" s="12">
        <f>VLOOKUP(RN17,SeasonTable,2,FALSE)</f>
        <v/>
      </c>
      <c r="RQ17" s="12">
        <f>(1+InflationRate)^INT((RM17-1)/12)</f>
        <v/>
      </c>
      <c r="RR17" s="11">
        <f>'Sens - Churn'!$A$20*VLOOKUP(RN17,ChurnSeasonTable,4,FALSE)</f>
        <v/>
      </c>
      <c r="RS17" s="12">
        <f>MIN(MAX(MktMin13_18,SQ16*MktPct13_18),MAX(0,TE16-CashBuffer))</f>
        <v/>
      </c>
      <c r="RT17" s="12">
        <f>IF(RS17&gt;0,MAX(1,ROUND(RS17/CAC*RP17,0)),0)</f>
        <v/>
      </c>
      <c r="RU17" s="12">
        <f>IF(RT17&gt;0,ROUND(RT17*ReferralMix/(1-ReferralMix),0),0)</f>
        <v/>
      </c>
      <c r="RV17" s="12">
        <f>RT17+RU17</f>
        <v/>
      </c>
      <c r="RW17" s="12">
        <f>ROUND(RV17*(1-AnnualMix),0)</f>
        <v/>
      </c>
      <c r="RX17" s="12">
        <f>RV17-RW17</f>
        <v/>
      </c>
      <c r="RY17" s="12">
        <f>ROUND(RW17*EssentialMix,0)</f>
        <v/>
      </c>
      <c r="RZ17" s="12">
        <f>ROUND(RW17*PremiumMix,0)</f>
        <v/>
      </c>
      <c r="SA17" s="12">
        <f>RW17-RY17-RZ17</f>
        <v/>
      </c>
      <c r="SB17" s="12">
        <f>ROUND(RX17*EssentialMix,0)</f>
        <v/>
      </c>
      <c r="SC17" s="12">
        <f>ROUND(RX17*PremiumMix,0)</f>
        <v/>
      </c>
      <c r="SD17" s="12">
        <f>RX17-SB17-SC17</f>
        <v/>
      </c>
      <c r="SE17" s="12">
        <f>RY17+RY16+RY15+MAX(0,SE16-RY16-RY15)*(1-RR17)</f>
        <v/>
      </c>
      <c r="SF17" s="12">
        <f>RZ17+RZ16+RZ15+MAX(0,SF16-RZ16-RZ15)*(1-RR17)</f>
        <v/>
      </c>
      <c r="SG17" s="12">
        <f>SA17+SA16+SA15+MAX(0,SG16-SA16-SA15)*(1-RR17)</f>
        <v/>
      </c>
      <c r="SH17" s="12">
        <f>SH16+SB17-SB5*(AnnualChurn*VLOOKUP(RN17,ChurnSeasonTable,4,FALSE))*POWER(1-(AnnualChurn*VLOOKUP(RN17,ChurnSeasonTable,4,FALSE)),0)</f>
        <v/>
      </c>
      <c r="SI17" s="12">
        <f>SI16+SC17-SC5*(AnnualChurn*VLOOKUP(RN17,ChurnSeasonTable,4,FALSE))*POWER(1-(AnnualChurn*VLOOKUP(RN17,ChurnSeasonTable,4,FALSE)),0)</f>
        <v/>
      </c>
      <c r="SJ17" s="12">
        <f>SJ16+SD17-SD5*(AnnualChurn*VLOOKUP(RN17,ChurnSeasonTable,4,FALSE))*POWER(1-(AnnualChurn*VLOOKUP(RN17,ChurnSeasonTable,4,FALSE)),0)</f>
        <v/>
      </c>
      <c r="SK17" s="12">
        <f>SE17+SF17+SG17+SH17+SI17+SJ17</f>
        <v/>
      </c>
      <c r="SL17" s="9">
        <f>SE17*BlendedPriceEssMonthly*RQ17+SF17*BlendedPricePremMonthly*RQ17+SG17*BlendedPriceEliteMonthly*RQ17+SH17*BlendedPriceEssAnnual*RQ17/12+SI17*BlendedPricePremAnnual*RQ17/12+SJ17*BlendedPriceEliteAnnual*RQ17/12</f>
        <v/>
      </c>
      <c r="SM17" s="9">
        <f>SL17*12</f>
        <v/>
      </c>
      <c r="SN17" s="12">
        <f>SE17*BlendedPriceEssMonthly*RQ17+SF17*BlendedPricePremMonthly*RQ17+SG17*BlendedPriceEliteMonthly*RQ17</f>
        <v/>
      </c>
      <c r="SO17" s="12">
        <f>SB17*BlendedPriceEssAnnual*RQ17+SC17*BlendedPricePremAnnual*RQ17+SD17*BlendedPriceEliteAnnual*RQ17</f>
        <v/>
      </c>
      <c r="SP17" s="12">
        <f>SB5*POWER(1-(AnnualChurn*VLOOKUP(RN17,ChurnSeasonTable,4,FALSE)),1)*BlendedPriceEssAnnual*RQ17+SC5*POWER(1-(AnnualChurn*VLOOKUP(RN17,ChurnSeasonTable,4,FALSE)),1)*BlendedPricePremAnnual*RQ17+SD5*POWER(1-(AnnualChurn*VLOOKUP(RN17,ChurnSeasonTable,4,FALSE)),1)*BlendedPriceEliteAnnual*RQ17</f>
        <v/>
      </c>
      <c r="SQ17" s="9">
        <f>SN17+SO17+SP17</f>
        <v/>
      </c>
      <c r="SR17" s="12">
        <f>SUM(SQ6:SQ17)</f>
        <v/>
      </c>
      <c r="SS17" s="12">
        <f>OR(SS16,IF(VATAgentMode,SUM($SQ6:$SQ17)-SUM($SX6:$SX17)&gt;=VATThreshold,SUM($SQ6:$SQ17)&gt;=VATThreshold))</f>
        <v/>
      </c>
      <c r="ST17" s="9">
        <f>IF(SS17,IF(VATAgentMode,SQ17-((SQ17-SX17)-(SQ17-SX17)/(1+VATRate)),SQ17/(1+VATRate)),SQ17)</f>
        <v/>
      </c>
      <c r="SU17" s="12">
        <f>SQ17-ST17</f>
        <v/>
      </c>
      <c r="SV17" s="12">
        <f>IF(SS17=0,0,IF(RN17=1,SUMPRODUCT(--(($RO$5:$RO17=$RO17-1)*($RN$5:$RN17&gt;=10)*($RN$5:$RN17&lt;=12)),$SU$5:$SU17),IF(RN17=4,SUMPRODUCT(--(($RO$5:$RO17=$RO17)*($RN$5:$RN17&gt;=1)*($RN$5:$RN17&lt;=3)),$SU$5:$SU17),IF(RN17=7,SUMPRODUCT(--(($RO$5:$RO17=$RO17)*($RN$5:$RN17&gt;=4)*($RN$5:$RN17&lt;=6)),$SU$5:$SU17),IF(RN17=10,SUMPRODUCT(--(($RO$5:$RO17=$RO17)*($RN$5:$RN17&gt;=7)*($RN$5:$RN17&lt;=9)),$SU$5:$SU17),0)))))</f>
        <v/>
      </c>
      <c r="SW17" s="12">
        <f>SW16+SU17-SV17</f>
        <v/>
      </c>
      <c r="SX17" s="12">
        <f>IF(ProviderDelay&gt;=1,SE16*BlendedProvPayEss+SF16*BlendedProvPayPrem+SG16*BlendedProvPayElite+SH16*BlendedProvPayEss+SI16*BlendedProvPayPrem+SJ16*BlendedProvPayElite,SE17*BlendedProvPayEss+SF17*BlendedProvPayPrem+SG17*BlendedProvPayElite+SH17*BlendedProvPayEss+SI17*BlendedProvPayPrem+SJ17*BlendedProvPayElite)</f>
        <v/>
      </c>
      <c r="SY17" s="12">
        <f>SQ17*PaymentFee</f>
        <v/>
      </c>
      <c r="SZ17" s="12">
        <f>SK17*OpsAI</f>
        <v/>
      </c>
      <c r="TA17" s="12">
        <f>MonthlyFixed</f>
        <v/>
      </c>
      <c r="TB17" s="12">
        <f>RU17*ReferralReward</f>
        <v/>
      </c>
      <c r="TC17" s="12">
        <f>RS17</f>
        <v/>
      </c>
      <c r="TD17" s="9">
        <f>ST17-SX17-SY17-SZ17-TA17-TB17-TC17</f>
        <v/>
      </c>
      <c r="TE17" s="9">
        <f>TE16+SQ17-(SX17+SY17+SZ17+TA17+TB17+TC17+SV17)</f>
        <v/>
      </c>
      <c r="TF17" s="12">
        <f>IF(SK17&gt;0,SL17/SK17,0)</f>
        <v/>
      </c>
      <c r="TG17" s="11">
        <f>IF(SK16&gt;0,MAX(0,(SK16+RV17-SK17)/SK16),0)</f>
        <v/>
      </c>
      <c r="TI17" s="12" t="n">
        <v>13</v>
      </c>
      <c r="TJ17" s="12">
        <f>MOD(TI17-1+LaunchMonth-1,12)+1</f>
        <v/>
      </c>
      <c r="TK17" s="12">
        <f>INT((TI17-1+LaunchMonth-1)/12)+1</f>
        <v/>
      </c>
      <c r="TL17" s="12">
        <f>VLOOKUP(TJ17,SeasonTable,2,FALSE)</f>
        <v/>
      </c>
      <c r="TM17" s="12">
        <f>(1+InflationRate)^INT((TI17-1)/12)</f>
        <v/>
      </c>
      <c r="TN17" s="11">
        <f>'Sens - Churn'!$A$21*VLOOKUP(TJ17,ChurnSeasonTable,4,FALSE)</f>
        <v/>
      </c>
      <c r="TO17" s="12">
        <f>MIN(MAX(MktMin13_18,UM16*MktPct13_18),MAX(0,VA16-CashBuffer))</f>
        <v/>
      </c>
      <c r="TP17" s="12">
        <f>IF(TO17&gt;0,MAX(1,ROUND(TO17/CAC*TL17,0)),0)</f>
        <v/>
      </c>
      <c r="TQ17" s="12">
        <f>IF(TP17&gt;0,ROUND(TP17*ReferralMix/(1-ReferralMix),0),0)</f>
        <v/>
      </c>
      <c r="TR17" s="12">
        <f>TP17+TQ17</f>
        <v/>
      </c>
      <c r="TS17" s="12">
        <f>ROUND(TR17*(1-AnnualMix),0)</f>
        <v/>
      </c>
      <c r="TT17" s="12">
        <f>TR17-TS17</f>
        <v/>
      </c>
      <c r="TU17" s="12">
        <f>ROUND(TS17*EssentialMix,0)</f>
        <v/>
      </c>
      <c r="TV17" s="12">
        <f>ROUND(TS17*PremiumMix,0)</f>
        <v/>
      </c>
      <c r="TW17" s="12">
        <f>TS17-TU17-TV17</f>
        <v/>
      </c>
      <c r="TX17" s="12">
        <f>ROUND(TT17*EssentialMix,0)</f>
        <v/>
      </c>
      <c r="TY17" s="12">
        <f>ROUND(TT17*PremiumMix,0)</f>
        <v/>
      </c>
      <c r="TZ17" s="12">
        <f>TT17-TX17-TY17</f>
        <v/>
      </c>
      <c r="UA17" s="12">
        <f>TU17+TU16+TU15+MAX(0,UA16-TU16-TU15)*(1-TN17)</f>
        <v/>
      </c>
      <c r="UB17" s="12">
        <f>TV17+TV16+TV15+MAX(0,UB16-TV16-TV15)*(1-TN17)</f>
        <v/>
      </c>
      <c r="UC17" s="12">
        <f>TW17+TW16+TW15+MAX(0,UC16-TW16-TW15)*(1-TN17)</f>
        <v/>
      </c>
      <c r="UD17" s="12">
        <f>UD16+TX17-TX5*(AnnualChurn*VLOOKUP(TJ17,ChurnSeasonTable,4,FALSE))*POWER(1-(AnnualChurn*VLOOKUP(TJ17,ChurnSeasonTable,4,FALSE)),0)</f>
        <v/>
      </c>
      <c r="UE17" s="12">
        <f>UE16+TY17-TY5*(AnnualChurn*VLOOKUP(TJ17,ChurnSeasonTable,4,FALSE))*POWER(1-(AnnualChurn*VLOOKUP(TJ17,ChurnSeasonTable,4,FALSE)),0)</f>
        <v/>
      </c>
      <c r="UF17" s="12">
        <f>UF16+TZ17-TZ5*(AnnualChurn*VLOOKUP(TJ17,ChurnSeasonTable,4,FALSE))*POWER(1-(AnnualChurn*VLOOKUP(TJ17,ChurnSeasonTable,4,FALSE)),0)</f>
        <v/>
      </c>
      <c r="UG17" s="12">
        <f>UA17+UB17+UC17+UD17+UE17+UF17</f>
        <v/>
      </c>
      <c r="UH17" s="9">
        <f>UA17*BlendedPriceEssMonthly*TM17+UB17*BlendedPricePremMonthly*TM17+UC17*BlendedPriceEliteMonthly*TM17+UD17*BlendedPriceEssAnnual*TM17/12+UE17*BlendedPricePremAnnual*TM17/12+UF17*BlendedPriceEliteAnnual*TM17/12</f>
        <v/>
      </c>
      <c r="UI17" s="9">
        <f>UH17*12</f>
        <v/>
      </c>
      <c r="UJ17" s="12">
        <f>UA17*BlendedPriceEssMonthly*TM17+UB17*BlendedPricePremMonthly*TM17+UC17*BlendedPriceEliteMonthly*TM17</f>
        <v/>
      </c>
      <c r="UK17" s="12">
        <f>TX17*BlendedPriceEssAnnual*TM17+TY17*BlendedPricePremAnnual*TM17+TZ17*BlendedPriceEliteAnnual*TM17</f>
        <v/>
      </c>
      <c r="UL17" s="12">
        <f>TX5*POWER(1-(AnnualChurn*VLOOKUP(TJ17,ChurnSeasonTable,4,FALSE)),1)*BlendedPriceEssAnnual*TM17+TY5*POWER(1-(AnnualChurn*VLOOKUP(TJ17,ChurnSeasonTable,4,FALSE)),1)*BlendedPricePremAnnual*TM17+TZ5*POWER(1-(AnnualChurn*VLOOKUP(TJ17,ChurnSeasonTable,4,FALSE)),1)*BlendedPriceEliteAnnual*TM17</f>
        <v/>
      </c>
      <c r="UM17" s="9">
        <f>UJ17+UK17+UL17</f>
        <v/>
      </c>
      <c r="UN17" s="12">
        <f>SUM(UM6:UM17)</f>
        <v/>
      </c>
      <c r="UO17" s="12">
        <f>OR(UO16,IF(VATAgentMode,SUM($UM6:$UM17)-SUM($UT6:$UT17)&gt;=VATThreshold,SUM($UM6:$UM17)&gt;=VATThreshold))</f>
        <v/>
      </c>
      <c r="UP17" s="9">
        <f>IF(UO17,IF(VATAgentMode,UM17-((UM17-UT17)-(UM17-UT17)/(1+VATRate)),UM17/(1+VATRate)),UM17)</f>
        <v/>
      </c>
      <c r="UQ17" s="12">
        <f>UM17-UP17</f>
        <v/>
      </c>
      <c r="UR17" s="12">
        <f>IF(UO17=0,0,IF(TJ17=1,SUMPRODUCT(--(($TK$5:$TK17=$TK17-1)*($TJ$5:$TJ17&gt;=10)*($TJ$5:$TJ17&lt;=12)),$UQ$5:$UQ17),IF(TJ17=4,SUMPRODUCT(--(($TK$5:$TK17=$TK17)*($TJ$5:$TJ17&gt;=1)*($TJ$5:$TJ17&lt;=3)),$UQ$5:$UQ17),IF(TJ17=7,SUMPRODUCT(--(($TK$5:$TK17=$TK17)*($TJ$5:$TJ17&gt;=4)*($TJ$5:$TJ17&lt;=6)),$UQ$5:$UQ17),IF(TJ17=10,SUMPRODUCT(--(($TK$5:$TK17=$TK17)*($TJ$5:$TJ17&gt;=7)*($TJ$5:$TJ17&lt;=9)),$UQ$5:$UQ17),0)))))</f>
        <v/>
      </c>
      <c r="US17" s="12">
        <f>US16+UQ17-UR17</f>
        <v/>
      </c>
      <c r="UT17" s="12">
        <f>IF(ProviderDelay&gt;=1,UA16*BlendedProvPayEss+UB16*BlendedProvPayPrem+UC16*BlendedProvPayElite+UD16*BlendedProvPayEss+UE16*BlendedProvPayPrem+UF16*BlendedProvPayElite,UA17*BlendedProvPayEss+UB17*BlendedProvPayPrem+UC17*BlendedProvPayElite+UD17*BlendedProvPayEss+UE17*BlendedProvPayPrem+UF17*BlendedProvPayElite)</f>
        <v/>
      </c>
      <c r="UU17" s="12">
        <f>UM17*PaymentFee</f>
        <v/>
      </c>
      <c r="UV17" s="12">
        <f>UG17*OpsAI</f>
        <v/>
      </c>
      <c r="UW17" s="12">
        <f>MonthlyFixed</f>
        <v/>
      </c>
      <c r="UX17" s="12">
        <f>TQ17*ReferralReward</f>
        <v/>
      </c>
      <c r="UY17" s="12">
        <f>TO17</f>
        <v/>
      </c>
      <c r="UZ17" s="9">
        <f>UP17-UT17-UU17-UV17-UW17-UX17-UY17</f>
        <v/>
      </c>
      <c r="VA17" s="9">
        <f>VA16+UM17-(UT17+UU17+UV17+UW17+UX17+UY17+UR17)</f>
        <v/>
      </c>
      <c r="VB17" s="12">
        <f>IF(UG17&gt;0,UH17/UG17,0)</f>
        <v/>
      </c>
      <c r="VC17" s="11">
        <f>IF(UG16&gt;0,MAX(0,(UG16+TR17-UG17)/UG16),0)</f>
        <v/>
      </c>
      <c r="VE17" s="12" t="n">
        <v>13</v>
      </c>
      <c r="VF17" s="12">
        <f>MOD(VE17-1+LaunchMonth-1,12)+1</f>
        <v/>
      </c>
      <c r="VG17" s="12">
        <f>INT((VE17-1+LaunchMonth-1)/12)+1</f>
        <v/>
      </c>
      <c r="VH17" s="12">
        <f>VLOOKUP(VF17,SeasonTable,2,FALSE)</f>
        <v/>
      </c>
      <c r="VI17" s="12">
        <f>(1+InflationRate)^INT((VE17-1)/12)</f>
        <v/>
      </c>
      <c r="VJ17" s="11">
        <f>MonthlyChurn*VLOOKUP(VF17,ChurnSeasonTable,4,FALSE)</f>
        <v/>
      </c>
      <c r="VK17" s="12">
        <f>MIN(MAX(MktMin13_18,WI16*MktPct13_18),MAX(0,WW16-CashBuffer))</f>
        <v/>
      </c>
      <c r="VL17" s="12">
        <f>IF(VK17&gt;0,MAX(1,ROUND(VK17/CAC*VH17,0)),0)</f>
        <v/>
      </c>
      <c r="VM17" s="12">
        <f>IF(VL17&gt;0,ROUND(VL17*ReferralMix/(1-ReferralMix),0),0)</f>
        <v/>
      </c>
      <c r="VN17" s="12">
        <f>VL17+VM17</f>
        <v/>
      </c>
      <c r="VO17" s="12">
        <f>ROUND(VN17*(1-'Sens - Annual Mix'!$A$9),0)</f>
        <v/>
      </c>
      <c r="VP17" s="12">
        <f>VN17-VO17</f>
        <v/>
      </c>
      <c r="VQ17" s="12">
        <f>ROUND(VO17*EssentialMix,0)</f>
        <v/>
      </c>
      <c r="VR17" s="12">
        <f>ROUND(VO17*PremiumMix,0)</f>
        <v/>
      </c>
      <c r="VS17" s="12">
        <f>VO17-VQ17-VR17</f>
        <v/>
      </c>
      <c r="VT17" s="12">
        <f>ROUND(VP17*EssentialMix,0)</f>
        <v/>
      </c>
      <c r="VU17" s="12">
        <f>ROUND(VP17*PremiumMix,0)</f>
        <v/>
      </c>
      <c r="VV17" s="12">
        <f>VP17-VT17-VU17</f>
        <v/>
      </c>
      <c r="VW17" s="12">
        <f>VQ17+VQ16+VQ15+MAX(0,VW16-VQ16-VQ15)*(1-VJ17)</f>
        <v/>
      </c>
      <c r="VX17" s="12">
        <f>VR17+VR16+VR15+MAX(0,VX16-VR16-VR15)*(1-VJ17)</f>
        <v/>
      </c>
      <c r="VY17" s="12">
        <f>VS17+VS16+VS15+MAX(0,VY16-VS16-VS15)*(1-VJ17)</f>
        <v/>
      </c>
      <c r="VZ17" s="12">
        <f>VZ16+VT17-VT5*(AnnualChurn*VLOOKUP(VF17,ChurnSeasonTable,4,FALSE))*POWER(1-(AnnualChurn*VLOOKUP(VF17,ChurnSeasonTable,4,FALSE)),0)</f>
        <v/>
      </c>
      <c r="WA17" s="12">
        <f>WA16+VU17-VU5*(AnnualChurn*VLOOKUP(VF17,ChurnSeasonTable,4,FALSE))*POWER(1-(AnnualChurn*VLOOKUP(VF17,ChurnSeasonTable,4,FALSE)),0)</f>
        <v/>
      </c>
      <c r="WB17" s="12">
        <f>WB16+VV17-VV5*(AnnualChurn*VLOOKUP(VF17,ChurnSeasonTable,4,FALSE))*POWER(1-(AnnualChurn*VLOOKUP(VF17,ChurnSeasonTable,4,FALSE)),0)</f>
        <v/>
      </c>
      <c r="WC17" s="12">
        <f>VW17+VX17+VY17+VZ17+WA17+WB17</f>
        <v/>
      </c>
      <c r="WD17" s="9">
        <f>VW17*BlendedPriceEssMonthly*VI17+VX17*BlendedPricePremMonthly*VI17+VY17*BlendedPriceEliteMonthly*VI17+VZ17*BlendedPriceEssAnnual*VI17/12+WA17*BlendedPricePremAnnual*VI17/12+WB17*BlendedPriceEliteAnnual*VI17/12</f>
        <v/>
      </c>
      <c r="WE17" s="9">
        <f>WD17*12</f>
        <v/>
      </c>
      <c r="WF17" s="12">
        <f>VW17*BlendedPriceEssMonthly*VI17+VX17*BlendedPricePremMonthly*VI17+VY17*BlendedPriceEliteMonthly*VI17</f>
        <v/>
      </c>
      <c r="WG17" s="12">
        <f>VT17*BlendedPriceEssAnnual*VI17+VU17*BlendedPricePremAnnual*VI17+VV17*BlendedPriceEliteAnnual*VI17</f>
        <v/>
      </c>
      <c r="WH17" s="12">
        <f>VT5*POWER(1-(AnnualChurn*VLOOKUP(VF17,ChurnSeasonTable,4,FALSE)),1)*BlendedPriceEssAnnual*VI17+VU5*POWER(1-(AnnualChurn*VLOOKUP(VF17,ChurnSeasonTable,4,FALSE)),1)*BlendedPricePremAnnual*VI17+VV5*POWER(1-(AnnualChurn*VLOOKUP(VF17,ChurnSeasonTable,4,FALSE)),1)*BlendedPriceEliteAnnual*VI17</f>
        <v/>
      </c>
      <c r="WI17" s="9">
        <f>WF17+WG17+WH17</f>
        <v/>
      </c>
      <c r="WJ17" s="12">
        <f>SUM(WI6:WI17)</f>
        <v/>
      </c>
      <c r="WK17" s="12">
        <f>OR(WK16,IF(VATAgentMode,SUM($WI6:$WI17)-SUM($WP6:$WP17)&gt;=VATThreshold,SUM($WI6:$WI17)&gt;=VATThreshold))</f>
        <v/>
      </c>
      <c r="WL17" s="9">
        <f>IF(WK17,IF(VATAgentMode,WI17-((WI17-WP17)-(WI17-WP17)/(1+VATRate)),WI17/(1+VATRate)),WI17)</f>
        <v/>
      </c>
      <c r="WM17" s="12">
        <f>WI17-WL17</f>
        <v/>
      </c>
      <c r="WN17" s="12">
        <f>IF(WK17=0,0,IF(VF17=1,SUMPRODUCT(--(($VG$5:$VG17=$VG17-1)*($VF$5:$VF17&gt;=10)*($VF$5:$VF17&lt;=12)),$WM$5:$WM17),IF(VF17=4,SUMPRODUCT(--(($VG$5:$VG17=$VG17)*($VF$5:$VF17&gt;=1)*($VF$5:$VF17&lt;=3)),$WM$5:$WM17),IF(VF17=7,SUMPRODUCT(--(($VG$5:$VG17=$VG17)*($VF$5:$VF17&gt;=4)*($VF$5:$VF17&lt;=6)),$WM$5:$WM17),IF(VF17=10,SUMPRODUCT(--(($VG$5:$VG17=$VG17)*($VF$5:$VF17&gt;=7)*($VF$5:$VF17&lt;=9)),$WM$5:$WM17),0)))))</f>
        <v/>
      </c>
      <c r="WO17" s="12">
        <f>WO16+WM17-WN17</f>
        <v/>
      </c>
      <c r="WP17" s="12">
        <f>IF(ProviderDelay&gt;=1,VW16*BlendedProvPayEss+VX16*BlendedProvPayPrem+VY16*BlendedProvPayElite+VZ16*BlendedProvPayEss+WA16*BlendedProvPayPrem+WB16*BlendedProvPayElite,VW17*BlendedProvPayEss+VX17*BlendedProvPayPrem+VY17*BlendedProvPayElite+VZ17*BlendedProvPayEss+WA17*BlendedProvPayPrem+WB17*BlendedProvPayElite)</f>
        <v/>
      </c>
      <c r="WQ17" s="12">
        <f>WI17*PaymentFee</f>
        <v/>
      </c>
      <c r="WR17" s="12">
        <f>WC17*OpsAI</f>
        <v/>
      </c>
      <c r="WS17" s="12">
        <f>MonthlyFixed</f>
        <v/>
      </c>
      <c r="WT17" s="12">
        <f>VM17*ReferralReward</f>
        <v/>
      </c>
      <c r="WU17" s="12">
        <f>VK17</f>
        <v/>
      </c>
      <c r="WV17" s="9">
        <f>WL17-WP17-WQ17-WR17-WS17-WT17-WU17</f>
        <v/>
      </c>
      <c r="WW17" s="9">
        <f>WW16+WI17-(WP17+WQ17+WR17+WS17+WT17+WU17+WN17)</f>
        <v/>
      </c>
      <c r="WX17" s="12">
        <f>IF(WC17&gt;0,WD17/WC17,0)</f>
        <v/>
      </c>
      <c r="WY17" s="11">
        <f>IF(WC16&gt;0,MAX(0,(WC16+VN17-WC17)/WC16),0)</f>
        <v/>
      </c>
      <c r="XA17" s="12" t="n">
        <v>13</v>
      </c>
      <c r="XB17" s="12">
        <f>MOD(XA17-1+LaunchMonth-1,12)+1</f>
        <v/>
      </c>
      <c r="XC17" s="12">
        <f>INT((XA17-1+LaunchMonth-1)/12)+1</f>
        <v/>
      </c>
      <c r="XD17" s="12">
        <f>VLOOKUP(XB17,SeasonTable,2,FALSE)</f>
        <v/>
      </c>
      <c r="XE17" s="12">
        <f>(1+InflationRate)^INT((XA17-1)/12)</f>
        <v/>
      </c>
      <c r="XF17" s="11">
        <f>MonthlyChurn*VLOOKUP(XB17,ChurnSeasonTable,4,FALSE)</f>
        <v/>
      </c>
      <c r="XG17" s="12">
        <f>MIN(MAX(MktMin13_18,YE16*MktPct13_18),MAX(0,YS16-CashBuffer))</f>
        <v/>
      </c>
      <c r="XH17" s="12">
        <f>IF(XG17&gt;0,MAX(1,ROUND(XG17/CAC*XD17,0)),0)</f>
        <v/>
      </c>
      <c r="XI17" s="12">
        <f>IF(XH17&gt;0,ROUND(XH17*ReferralMix/(1-ReferralMix),0),0)</f>
        <v/>
      </c>
      <c r="XJ17" s="12">
        <f>XH17+XI17</f>
        <v/>
      </c>
      <c r="XK17" s="12">
        <f>ROUND(XJ17*(1-'Sens - Annual Mix'!$A$10),0)</f>
        <v/>
      </c>
      <c r="XL17" s="12">
        <f>XJ17-XK17</f>
        <v/>
      </c>
      <c r="XM17" s="12">
        <f>ROUND(XK17*EssentialMix,0)</f>
        <v/>
      </c>
      <c r="XN17" s="12">
        <f>ROUND(XK17*PremiumMix,0)</f>
        <v/>
      </c>
      <c r="XO17" s="12">
        <f>XK17-XM17-XN17</f>
        <v/>
      </c>
      <c r="XP17" s="12">
        <f>ROUND(XL17*EssentialMix,0)</f>
        <v/>
      </c>
      <c r="XQ17" s="12">
        <f>ROUND(XL17*PremiumMix,0)</f>
        <v/>
      </c>
      <c r="XR17" s="12">
        <f>XL17-XP17-XQ17</f>
        <v/>
      </c>
      <c r="XS17" s="12">
        <f>XM17+XM16+XM15+MAX(0,XS16-XM16-XM15)*(1-XF17)</f>
        <v/>
      </c>
      <c r="XT17" s="12">
        <f>XN17+XN16+XN15+MAX(0,XT16-XN16-XN15)*(1-XF17)</f>
        <v/>
      </c>
      <c r="XU17" s="12">
        <f>XO17+XO16+XO15+MAX(0,XU16-XO16-XO15)*(1-XF17)</f>
        <v/>
      </c>
      <c r="XV17" s="12">
        <f>XV16+XP17-XP5*(AnnualChurn*VLOOKUP(XB17,ChurnSeasonTable,4,FALSE))*POWER(1-(AnnualChurn*VLOOKUP(XB17,ChurnSeasonTable,4,FALSE)),0)</f>
        <v/>
      </c>
      <c r="XW17" s="12">
        <f>XW16+XQ17-XQ5*(AnnualChurn*VLOOKUP(XB17,ChurnSeasonTable,4,FALSE))*POWER(1-(AnnualChurn*VLOOKUP(XB17,ChurnSeasonTable,4,FALSE)),0)</f>
        <v/>
      </c>
      <c r="XX17" s="12">
        <f>XX16+XR17-XR5*(AnnualChurn*VLOOKUP(XB17,ChurnSeasonTable,4,FALSE))*POWER(1-(AnnualChurn*VLOOKUP(XB17,ChurnSeasonTable,4,FALSE)),0)</f>
        <v/>
      </c>
      <c r="XY17" s="12">
        <f>XS17+XT17+XU17+XV17+XW17+XX17</f>
        <v/>
      </c>
      <c r="XZ17" s="9">
        <f>XS17*BlendedPriceEssMonthly*XE17+XT17*BlendedPricePremMonthly*XE17+XU17*BlendedPriceEliteMonthly*XE17+XV17*BlendedPriceEssAnnual*XE17/12+XW17*BlendedPricePremAnnual*XE17/12+XX17*BlendedPriceEliteAnnual*XE17/12</f>
        <v/>
      </c>
      <c r="YA17" s="9">
        <f>XZ17*12</f>
        <v/>
      </c>
      <c r="YB17" s="12">
        <f>XS17*BlendedPriceEssMonthly*XE17+XT17*BlendedPricePremMonthly*XE17+XU17*BlendedPriceEliteMonthly*XE17</f>
        <v/>
      </c>
      <c r="YC17" s="12">
        <f>XP17*BlendedPriceEssAnnual*XE17+XQ17*BlendedPricePremAnnual*XE17+XR17*BlendedPriceEliteAnnual*XE17</f>
        <v/>
      </c>
      <c r="YD17" s="12">
        <f>XP5*POWER(1-(AnnualChurn*VLOOKUP(XB17,ChurnSeasonTable,4,FALSE)),1)*BlendedPriceEssAnnual*XE17+XQ5*POWER(1-(AnnualChurn*VLOOKUP(XB17,ChurnSeasonTable,4,FALSE)),1)*BlendedPricePremAnnual*XE17+XR5*POWER(1-(AnnualChurn*VLOOKUP(XB17,ChurnSeasonTable,4,FALSE)),1)*BlendedPriceEliteAnnual*XE17</f>
        <v/>
      </c>
      <c r="YE17" s="9">
        <f>YB17+YC17+YD17</f>
        <v/>
      </c>
      <c r="YF17" s="12">
        <f>SUM(YE6:YE17)</f>
        <v/>
      </c>
      <c r="YG17" s="12">
        <f>OR(YG16,IF(VATAgentMode,SUM($YE6:$YE17)-SUM($YL6:$YL17)&gt;=VATThreshold,SUM($YE6:$YE17)&gt;=VATThreshold))</f>
        <v/>
      </c>
      <c r="YH17" s="9">
        <f>IF(YG17,IF(VATAgentMode,YE17-((YE17-YL17)-(YE17-YL17)/(1+VATRate)),YE17/(1+VATRate)),YE17)</f>
        <v/>
      </c>
      <c r="YI17" s="12">
        <f>YE17-YH17</f>
        <v/>
      </c>
      <c r="YJ17" s="12">
        <f>IF(YG17=0,0,IF(XB17=1,SUMPRODUCT(--(($XC$5:$XC17=$XC17-1)*($XB$5:$XB17&gt;=10)*($XB$5:$XB17&lt;=12)),$YI$5:$YI17),IF(XB17=4,SUMPRODUCT(--(($XC$5:$XC17=$XC17)*($XB$5:$XB17&gt;=1)*($XB$5:$XB17&lt;=3)),$YI$5:$YI17),IF(XB17=7,SUMPRODUCT(--(($XC$5:$XC17=$XC17)*($XB$5:$XB17&gt;=4)*($XB$5:$XB17&lt;=6)),$YI$5:$YI17),IF(XB17=10,SUMPRODUCT(--(($XC$5:$XC17=$XC17)*($XB$5:$XB17&gt;=7)*($XB$5:$XB17&lt;=9)),$YI$5:$YI17),0)))))</f>
        <v/>
      </c>
      <c r="YK17" s="12">
        <f>YK16+YI17-YJ17</f>
        <v/>
      </c>
      <c r="YL17" s="12">
        <f>IF(ProviderDelay&gt;=1,XS16*BlendedProvPayEss+XT16*BlendedProvPayPrem+XU16*BlendedProvPayElite+XV16*BlendedProvPayEss+XW16*BlendedProvPayPrem+XX16*BlendedProvPayElite,XS17*BlendedProvPayEss+XT17*BlendedProvPayPrem+XU17*BlendedProvPayElite+XV17*BlendedProvPayEss+XW17*BlendedProvPayPrem+XX17*BlendedProvPayElite)</f>
        <v/>
      </c>
      <c r="YM17" s="12">
        <f>YE17*PaymentFee</f>
        <v/>
      </c>
      <c r="YN17" s="12">
        <f>XY17*OpsAI</f>
        <v/>
      </c>
      <c r="YO17" s="12">
        <f>MonthlyFixed</f>
        <v/>
      </c>
      <c r="YP17" s="12">
        <f>XI17*ReferralReward</f>
        <v/>
      </c>
      <c r="YQ17" s="12">
        <f>XG17</f>
        <v/>
      </c>
      <c r="YR17" s="9">
        <f>YH17-YL17-YM17-YN17-YO17-YP17-YQ17</f>
        <v/>
      </c>
      <c r="YS17" s="9">
        <f>YS16+YE17-(YL17+YM17+YN17+YO17+YP17+YQ17+YJ17)</f>
        <v/>
      </c>
      <c r="YT17" s="12">
        <f>IF(XY17&gt;0,XZ17/XY17,0)</f>
        <v/>
      </c>
      <c r="YU17" s="11">
        <f>IF(XY16&gt;0,MAX(0,(XY16+XJ17-XY17)/XY16),0)</f>
        <v/>
      </c>
      <c r="YW17" s="12" t="n">
        <v>13</v>
      </c>
      <c r="YX17" s="12">
        <f>MOD(YW17-1+LaunchMonth-1,12)+1</f>
        <v/>
      </c>
      <c r="YY17" s="12">
        <f>INT((YW17-1+LaunchMonth-1)/12)+1</f>
        <v/>
      </c>
      <c r="YZ17" s="12">
        <f>VLOOKUP(YX17,SeasonTable,2,FALSE)</f>
        <v/>
      </c>
      <c r="ZA17" s="12">
        <f>(1+InflationRate)^INT((YW17-1)/12)</f>
        <v/>
      </c>
      <c r="ZB17" s="11">
        <f>MonthlyChurn*VLOOKUP(YX17,ChurnSeasonTable,4,FALSE)</f>
        <v/>
      </c>
      <c r="ZC17" s="12">
        <f>MIN(MAX(MktMin13_18,AAA16*MktPct13_18),MAX(0,AAO16-CashBuffer))</f>
        <v/>
      </c>
      <c r="ZD17" s="12">
        <f>IF(ZC17&gt;0,MAX(1,ROUND(ZC17/CAC*YZ17,0)),0)</f>
        <v/>
      </c>
      <c r="ZE17" s="12">
        <f>IF(ZD17&gt;0,ROUND(ZD17*ReferralMix/(1-ReferralMix),0),0)</f>
        <v/>
      </c>
      <c r="ZF17" s="12">
        <f>ZD17+ZE17</f>
        <v/>
      </c>
      <c r="ZG17" s="12">
        <f>ROUND(ZF17*(1-'Sens - Annual Mix'!$A$11),0)</f>
        <v/>
      </c>
      <c r="ZH17" s="12">
        <f>ZF17-ZG17</f>
        <v/>
      </c>
      <c r="ZI17" s="12">
        <f>ROUND(ZG17*EssentialMix,0)</f>
        <v/>
      </c>
      <c r="ZJ17" s="12">
        <f>ROUND(ZG17*PremiumMix,0)</f>
        <v/>
      </c>
      <c r="ZK17" s="12">
        <f>ZG17-ZI17-ZJ17</f>
        <v/>
      </c>
      <c r="ZL17" s="12">
        <f>ROUND(ZH17*EssentialMix,0)</f>
        <v/>
      </c>
      <c r="ZM17" s="12">
        <f>ROUND(ZH17*PremiumMix,0)</f>
        <v/>
      </c>
      <c r="ZN17" s="12">
        <f>ZH17-ZL17-ZM17</f>
        <v/>
      </c>
      <c r="ZO17" s="12">
        <f>ZI17+ZI16+ZI15+MAX(0,ZO16-ZI16-ZI15)*(1-ZB17)</f>
        <v/>
      </c>
      <c r="ZP17" s="12">
        <f>ZJ17+ZJ16+ZJ15+MAX(0,ZP16-ZJ16-ZJ15)*(1-ZB17)</f>
        <v/>
      </c>
      <c r="ZQ17" s="12">
        <f>ZK17+ZK16+ZK15+MAX(0,ZQ16-ZK16-ZK15)*(1-ZB17)</f>
        <v/>
      </c>
      <c r="ZR17" s="12">
        <f>ZR16+ZL17-ZL5*(AnnualChurn*VLOOKUP(YX17,ChurnSeasonTable,4,FALSE))*POWER(1-(AnnualChurn*VLOOKUP(YX17,ChurnSeasonTable,4,FALSE)),0)</f>
        <v/>
      </c>
      <c r="ZS17" s="12">
        <f>ZS16+ZM17-ZM5*(AnnualChurn*VLOOKUP(YX17,ChurnSeasonTable,4,FALSE))*POWER(1-(AnnualChurn*VLOOKUP(YX17,ChurnSeasonTable,4,FALSE)),0)</f>
        <v/>
      </c>
      <c r="ZT17" s="12">
        <f>ZT16+ZN17-ZN5*(AnnualChurn*VLOOKUP(YX17,ChurnSeasonTable,4,FALSE))*POWER(1-(AnnualChurn*VLOOKUP(YX17,ChurnSeasonTable,4,FALSE)),0)</f>
        <v/>
      </c>
      <c r="ZU17" s="12">
        <f>ZO17+ZP17+ZQ17+ZR17+ZS17+ZT17</f>
        <v/>
      </c>
      <c r="ZV17" s="9">
        <f>ZO17*BlendedPriceEssMonthly*ZA17+ZP17*BlendedPricePremMonthly*ZA17+ZQ17*BlendedPriceEliteMonthly*ZA17+ZR17*BlendedPriceEssAnnual*ZA17/12+ZS17*BlendedPricePremAnnual*ZA17/12+ZT17*BlendedPriceEliteAnnual*ZA17/12</f>
        <v/>
      </c>
      <c r="ZW17" s="9">
        <f>ZV17*12</f>
        <v/>
      </c>
      <c r="ZX17" s="12">
        <f>ZO17*BlendedPriceEssMonthly*ZA17+ZP17*BlendedPricePremMonthly*ZA17+ZQ17*BlendedPriceEliteMonthly*ZA17</f>
        <v/>
      </c>
      <c r="ZY17" s="12">
        <f>ZL17*BlendedPriceEssAnnual*ZA17+ZM17*BlendedPricePremAnnual*ZA17+ZN17*BlendedPriceEliteAnnual*ZA17</f>
        <v/>
      </c>
      <c r="ZZ17" s="12">
        <f>ZL5*POWER(1-(AnnualChurn*VLOOKUP(YX17,ChurnSeasonTable,4,FALSE)),1)*BlendedPriceEssAnnual*ZA17+ZM5*POWER(1-(AnnualChurn*VLOOKUP(YX17,ChurnSeasonTable,4,FALSE)),1)*BlendedPricePremAnnual*ZA17+ZN5*POWER(1-(AnnualChurn*VLOOKUP(YX17,ChurnSeasonTable,4,FALSE)),1)*BlendedPriceEliteAnnual*ZA17</f>
        <v/>
      </c>
      <c r="AAA17" s="9">
        <f>ZX17+ZY17+ZZ17</f>
        <v/>
      </c>
      <c r="AAB17" s="12">
        <f>SUM(AAA6:AAA17)</f>
        <v/>
      </c>
      <c r="AAC17" s="12">
        <f>OR(AAC16,IF(VATAgentMode,SUM($AAA6:$AAA17)-SUM($AAH6:$AAH17)&gt;=VATThreshold,SUM($AAA6:$AAA17)&gt;=VATThreshold))</f>
        <v/>
      </c>
      <c r="AAD17" s="9">
        <f>IF(AAC17,IF(VATAgentMode,AAA17-((AAA17-AAH17)-(AAA17-AAH17)/(1+VATRate)),AAA17/(1+VATRate)),AAA17)</f>
        <v/>
      </c>
      <c r="AAE17" s="12">
        <f>AAA17-AAD17</f>
        <v/>
      </c>
      <c r="AAF17" s="12">
        <f>IF(AAC17=0,0,IF(YX17=1,SUMPRODUCT(--(($YY$5:$YY17=$YY17-1)*($YX$5:$YX17&gt;=10)*($YX$5:$YX17&lt;=12)),$AAE$5:$AAE17),IF(YX17=4,SUMPRODUCT(--(($YY$5:$YY17=$YY17)*($YX$5:$YX17&gt;=1)*($YX$5:$YX17&lt;=3)),$AAE$5:$AAE17),IF(YX17=7,SUMPRODUCT(--(($YY$5:$YY17=$YY17)*($YX$5:$YX17&gt;=4)*($YX$5:$YX17&lt;=6)),$AAE$5:$AAE17),IF(YX17=10,SUMPRODUCT(--(($YY$5:$YY17=$YY17)*($YX$5:$YX17&gt;=7)*($YX$5:$YX17&lt;=9)),$AAE$5:$AAE17),0)))))</f>
        <v/>
      </c>
      <c r="AAG17" s="12">
        <f>AAG16+AAE17-AAF17</f>
        <v/>
      </c>
      <c r="AAH17" s="12">
        <f>IF(ProviderDelay&gt;=1,ZO16*BlendedProvPayEss+ZP16*BlendedProvPayPrem+ZQ16*BlendedProvPayElite+ZR16*BlendedProvPayEss+ZS16*BlendedProvPayPrem+ZT16*BlendedProvPayElite,ZO17*BlendedProvPayEss+ZP17*BlendedProvPayPrem+ZQ17*BlendedProvPayElite+ZR17*BlendedProvPayEss+ZS17*BlendedProvPayPrem+ZT17*BlendedProvPayElite)</f>
        <v/>
      </c>
      <c r="AAI17" s="12">
        <f>AAA17*PaymentFee</f>
        <v/>
      </c>
      <c r="AAJ17" s="12">
        <f>ZU17*OpsAI</f>
        <v/>
      </c>
      <c r="AAK17" s="12">
        <f>MonthlyFixed</f>
        <v/>
      </c>
      <c r="AAL17" s="12">
        <f>ZE17*ReferralReward</f>
        <v/>
      </c>
      <c r="AAM17" s="12">
        <f>ZC17</f>
        <v/>
      </c>
      <c r="AAN17" s="9">
        <f>AAD17-AAH17-AAI17-AAJ17-AAK17-AAL17-AAM17</f>
        <v/>
      </c>
      <c r="AAO17" s="9">
        <f>AAO16+AAA17-(AAH17+AAI17+AAJ17+AAK17+AAL17+AAM17+AAF17)</f>
        <v/>
      </c>
      <c r="AAP17" s="12">
        <f>IF(ZU17&gt;0,ZV17/ZU17,0)</f>
        <v/>
      </c>
      <c r="AAQ17" s="11">
        <f>IF(ZU16&gt;0,MAX(0,(ZU16+ZF17-ZU17)/ZU16),0)</f>
        <v/>
      </c>
      <c r="AAS17" s="12" t="n">
        <v>13</v>
      </c>
      <c r="AAT17" s="12">
        <f>MOD(AAS17-1+LaunchMonth-1,12)+1</f>
        <v/>
      </c>
      <c r="AAU17" s="12">
        <f>INT((AAS17-1+LaunchMonth-1)/12)+1</f>
        <v/>
      </c>
      <c r="AAV17" s="12">
        <f>VLOOKUP(AAT17,SeasonTable,2,FALSE)</f>
        <v/>
      </c>
      <c r="AAW17" s="12">
        <f>(1+InflationRate)^INT((AAS17-1)/12)</f>
        <v/>
      </c>
      <c r="AAX17" s="11">
        <f>MonthlyChurn*VLOOKUP(AAT17,ChurnSeasonTable,4,FALSE)</f>
        <v/>
      </c>
      <c r="AAY17" s="12">
        <f>MIN(MAX(MktMin13_18,ABW16*MktPct13_18),MAX(0,ACK16-CashBuffer))</f>
        <v/>
      </c>
      <c r="AAZ17" s="12">
        <f>IF(AAY17&gt;0,MAX(1,ROUND(AAY17/CAC*AAV17,0)),0)</f>
        <v/>
      </c>
      <c r="ABA17" s="12">
        <f>IF(AAZ17&gt;0,ROUND(AAZ17*ReferralMix/(1-ReferralMix),0),0)</f>
        <v/>
      </c>
      <c r="ABB17" s="12">
        <f>AAZ17+ABA17</f>
        <v/>
      </c>
      <c r="ABC17" s="12">
        <f>ROUND(ABB17*(1-'Sens - Annual Mix'!$A$12),0)</f>
        <v/>
      </c>
      <c r="ABD17" s="12">
        <f>ABB17-ABC17</f>
        <v/>
      </c>
      <c r="ABE17" s="12">
        <f>ROUND(ABC17*EssentialMix,0)</f>
        <v/>
      </c>
      <c r="ABF17" s="12">
        <f>ROUND(ABC17*PremiumMix,0)</f>
        <v/>
      </c>
      <c r="ABG17" s="12">
        <f>ABC17-ABE17-ABF17</f>
        <v/>
      </c>
      <c r="ABH17" s="12">
        <f>ROUND(ABD17*EssentialMix,0)</f>
        <v/>
      </c>
      <c r="ABI17" s="12">
        <f>ROUND(ABD17*PremiumMix,0)</f>
        <v/>
      </c>
      <c r="ABJ17" s="12">
        <f>ABD17-ABH17-ABI17</f>
        <v/>
      </c>
      <c r="ABK17" s="12">
        <f>ABE17+ABE16+ABE15+MAX(0,ABK16-ABE16-ABE15)*(1-AAX17)</f>
        <v/>
      </c>
      <c r="ABL17" s="12">
        <f>ABF17+ABF16+ABF15+MAX(0,ABL16-ABF16-ABF15)*(1-AAX17)</f>
        <v/>
      </c>
      <c r="ABM17" s="12">
        <f>ABG17+ABG16+ABG15+MAX(0,ABM16-ABG16-ABG15)*(1-AAX17)</f>
        <v/>
      </c>
      <c r="ABN17" s="12">
        <f>ABN16+ABH17-ABH5*(AnnualChurn*VLOOKUP(AAT17,ChurnSeasonTable,4,FALSE))*POWER(1-(AnnualChurn*VLOOKUP(AAT17,ChurnSeasonTable,4,FALSE)),0)</f>
        <v/>
      </c>
      <c r="ABO17" s="12">
        <f>ABO16+ABI17-ABI5*(AnnualChurn*VLOOKUP(AAT17,ChurnSeasonTable,4,FALSE))*POWER(1-(AnnualChurn*VLOOKUP(AAT17,ChurnSeasonTable,4,FALSE)),0)</f>
        <v/>
      </c>
      <c r="ABP17" s="12">
        <f>ABP16+ABJ17-ABJ5*(AnnualChurn*VLOOKUP(AAT17,ChurnSeasonTable,4,FALSE))*POWER(1-(AnnualChurn*VLOOKUP(AAT17,ChurnSeasonTable,4,FALSE)),0)</f>
        <v/>
      </c>
      <c r="ABQ17" s="12">
        <f>ABK17+ABL17+ABM17+ABN17+ABO17+ABP17</f>
        <v/>
      </c>
      <c r="ABR17" s="9">
        <f>ABK17*BlendedPriceEssMonthly*AAW17+ABL17*BlendedPricePremMonthly*AAW17+ABM17*BlendedPriceEliteMonthly*AAW17+ABN17*BlendedPriceEssAnnual*AAW17/12+ABO17*BlendedPricePremAnnual*AAW17/12+ABP17*BlendedPriceEliteAnnual*AAW17/12</f>
        <v/>
      </c>
      <c r="ABS17" s="9">
        <f>ABR17*12</f>
        <v/>
      </c>
      <c r="ABT17" s="12">
        <f>ABK17*BlendedPriceEssMonthly*AAW17+ABL17*BlendedPricePremMonthly*AAW17+ABM17*BlendedPriceEliteMonthly*AAW17</f>
        <v/>
      </c>
      <c r="ABU17" s="12">
        <f>ABH17*BlendedPriceEssAnnual*AAW17+ABI17*BlendedPricePremAnnual*AAW17+ABJ17*BlendedPriceEliteAnnual*AAW17</f>
        <v/>
      </c>
      <c r="ABV17" s="12">
        <f>ABH5*POWER(1-(AnnualChurn*VLOOKUP(AAT17,ChurnSeasonTable,4,FALSE)),1)*BlendedPriceEssAnnual*AAW17+ABI5*POWER(1-(AnnualChurn*VLOOKUP(AAT17,ChurnSeasonTable,4,FALSE)),1)*BlendedPricePremAnnual*AAW17+ABJ5*POWER(1-(AnnualChurn*VLOOKUP(AAT17,ChurnSeasonTable,4,FALSE)),1)*BlendedPriceEliteAnnual*AAW17</f>
        <v/>
      </c>
      <c r="ABW17" s="9">
        <f>ABT17+ABU17+ABV17</f>
        <v/>
      </c>
      <c r="ABX17" s="12">
        <f>SUM(ABW6:ABW17)</f>
        <v/>
      </c>
      <c r="ABY17" s="12">
        <f>OR(ABY16,IF(VATAgentMode,SUM($ABW6:$ABW17)-SUM($ACD6:$ACD17)&gt;=VATThreshold,SUM($ABW6:$ABW17)&gt;=VATThreshold))</f>
        <v/>
      </c>
      <c r="ABZ17" s="9">
        <f>IF(ABY17,IF(VATAgentMode,ABW17-((ABW17-ACD17)-(ABW17-ACD17)/(1+VATRate)),ABW17/(1+VATRate)),ABW17)</f>
        <v/>
      </c>
      <c r="ACA17" s="12">
        <f>ABW17-ABZ17</f>
        <v/>
      </c>
      <c r="ACB17" s="12">
        <f>IF(ABY17=0,0,IF(AAT17=1,SUMPRODUCT(--(($AAU$5:$AAU17=$AAU17-1)*($AAT$5:$AAT17&gt;=10)*($AAT$5:$AAT17&lt;=12)),$ACA$5:$ACA17),IF(AAT17=4,SUMPRODUCT(--(($AAU$5:$AAU17=$AAU17)*($AAT$5:$AAT17&gt;=1)*($AAT$5:$AAT17&lt;=3)),$ACA$5:$ACA17),IF(AAT17=7,SUMPRODUCT(--(($AAU$5:$AAU17=$AAU17)*($AAT$5:$AAT17&gt;=4)*($AAT$5:$AAT17&lt;=6)),$ACA$5:$ACA17),IF(AAT17=10,SUMPRODUCT(--(($AAU$5:$AAU17=$AAU17)*($AAT$5:$AAT17&gt;=7)*($AAT$5:$AAT17&lt;=9)),$ACA$5:$ACA17),0)))))</f>
        <v/>
      </c>
      <c r="ACC17" s="12">
        <f>ACC16+ACA17-ACB17</f>
        <v/>
      </c>
      <c r="ACD17" s="12">
        <f>IF(ProviderDelay&gt;=1,ABK16*BlendedProvPayEss+ABL16*BlendedProvPayPrem+ABM16*BlendedProvPayElite+ABN16*BlendedProvPayEss+ABO16*BlendedProvPayPrem+ABP16*BlendedProvPayElite,ABK17*BlendedProvPayEss+ABL17*BlendedProvPayPrem+ABM17*BlendedProvPayElite+ABN17*BlendedProvPayEss+ABO17*BlendedProvPayPrem+ABP17*BlendedProvPayElite)</f>
        <v/>
      </c>
      <c r="ACE17" s="12">
        <f>ABW17*PaymentFee</f>
        <v/>
      </c>
      <c r="ACF17" s="12">
        <f>ABQ17*OpsAI</f>
        <v/>
      </c>
      <c r="ACG17" s="12">
        <f>MonthlyFixed</f>
        <v/>
      </c>
      <c r="ACH17" s="12">
        <f>ABA17*ReferralReward</f>
        <v/>
      </c>
      <c r="ACI17" s="12">
        <f>AAY17</f>
        <v/>
      </c>
      <c r="ACJ17" s="9">
        <f>ABZ17-ACD17-ACE17-ACF17-ACG17-ACH17-ACI17</f>
        <v/>
      </c>
      <c r="ACK17" s="9">
        <f>ACK16+ABW17-(ACD17+ACE17+ACF17+ACG17+ACH17+ACI17+ACB17)</f>
        <v/>
      </c>
      <c r="ACL17" s="12">
        <f>IF(ABQ17&gt;0,ABR17/ABQ17,0)</f>
        <v/>
      </c>
      <c r="ACM17" s="11">
        <f>IF(ABQ16&gt;0,MAX(0,(ABQ16+ABB17-ABQ17)/ABQ16),0)</f>
        <v/>
      </c>
      <c r="ACO17" s="12" t="n">
        <v>13</v>
      </c>
      <c r="ACP17" s="12">
        <f>MOD(ACO17-1+LaunchMonth-1,12)+1</f>
        <v/>
      </c>
      <c r="ACQ17" s="12">
        <f>INT((ACO17-1+LaunchMonth-1)/12)+1</f>
        <v/>
      </c>
      <c r="ACR17" s="12">
        <f>VLOOKUP(ACP17,SeasonTable,2,FALSE)</f>
        <v/>
      </c>
      <c r="ACS17" s="12">
        <f>(1+InflationRate)^INT((ACO17-1)/12)</f>
        <v/>
      </c>
      <c r="ACT17" s="11">
        <f>MonthlyChurn*VLOOKUP(ACP17,ChurnSeasonTable,4,FALSE)</f>
        <v/>
      </c>
      <c r="ACU17" s="12">
        <f>MIN(MAX(MktMin13_18,ADS16*MktPct13_18),MAX(0,AEG16-CashBuffer))</f>
        <v/>
      </c>
      <c r="ACV17" s="12">
        <f>IF(ACU17&gt;0,MAX(1,ROUND(ACU17/CAC*ACR17,0)),0)</f>
        <v/>
      </c>
      <c r="ACW17" s="12">
        <f>IF(ACV17&gt;0,ROUND(ACV17*ReferralMix/(1-ReferralMix),0),0)</f>
        <v/>
      </c>
      <c r="ACX17" s="12">
        <f>ACV17+ACW17</f>
        <v/>
      </c>
      <c r="ACY17" s="12">
        <f>ROUND(ACX17*(1-'Sens - Annual Mix'!$A$13),0)</f>
        <v/>
      </c>
      <c r="ACZ17" s="12">
        <f>ACX17-ACY17</f>
        <v/>
      </c>
      <c r="ADA17" s="12">
        <f>ROUND(ACY17*EssentialMix,0)</f>
        <v/>
      </c>
      <c r="ADB17" s="12">
        <f>ROUND(ACY17*PremiumMix,0)</f>
        <v/>
      </c>
      <c r="ADC17" s="12">
        <f>ACY17-ADA17-ADB17</f>
        <v/>
      </c>
      <c r="ADD17" s="12">
        <f>ROUND(ACZ17*EssentialMix,0)</f>
        <v/>
      </c>
      <c r="ADE17" s="12">
        <f>ROUND(ACZ17*PremiumMix,0)</f>
        <v/>
      </c>
      <c r="ADF17" s="12">
        <f>ACZ17-ADD17-ADE17</f>
        <v/>
      </c>
      <c r="ADG17" s="12">
        <f>ADA17+ADA16+ADA15+MAX(0,ADG16-ADA16-ADA15)*(1-ACT17)</f>
        <v/>
      </c>
      <c r="ADH17" s="12">
        <f>ADB17+ADB16+ADB15+MAX(0,ADH16-ADB16-ADB15)*(1-ACT17)</f>
        <v/>
      </c>
      <c r="ADI17" s="12">
        <f>ADC17+ADC16+ADC15+MAX(0,ADI16-ADC16-ADC15)*(1-ACT17)</f>
        <v/>
      </c>
      <c r="ADJ17" s="12">
        <f>ADJ16+ADD17-ADD5*(AnnualChurn*VLOOKUP(ACP17,ChurnSeasonTable,4,FALSE))*POWER(1-(AnnualChurn*VLOOKUP(ACP17,ChurnSeasonTable,4,FALSE)),0)</f>
        <v/>
      </c>
      <c r="ADK17" s="12">
        <f>ADK16+ADE17-ADE5*(AnnualChurn*VLOOKUP(ACP17,ChurnSeasonTable,4,FALSE))*POWER(1-(AnnualChurn*VLOOKUP(ACP17,ChurnSeasonTable,4,FALSE)),0)</f>
        <v/>
      </c>
      <c r="ADL17" s="12">
        <f>ADL16+ADF17-ADF5*(AnnualChurn*VLOOKUP(ACP17,ChurnSeasonTable,4,FALSE))*POWER(1-(AnnualChurn*VLOOKUP(ACP17,ChurnSeasonTable,4,FALSE)),0)</f>
        <v/>
      </c>
      <c r="ADM17" s="12">
        <f>ADG17+ADH17+ADI17+ADJ17+ADK17+ADL17</f>
        <v/>
      </c>
      <c r="ADN17" s="9">
        <f>ADG17*BlendedPriceEssMonthly*ACS17+ADH17*BlendedPricePremMonthly*ACS17+ADI17*BlendedPriceEliteMonthly*ACS17+ADJ17*BlendedPriceEssAnnual*ACS17/12+ADK17*BlendedPricePremAnnual*ACS17/12+ADL17*BlendedPriceEliteAnnual*ACS17/12</f>
        <v/>
      </c>
      <c r="ADO17" s="9">
        <f>ADN17*12</f>
        <v/>
      </c>
      <c r="ADP17" s="12">
        <f>ADG17*BlendedPriceEssMonthly*ACS17+ADH17*BlendedPricePremMonthly*ACS17+ADI17*BlendedPriceEliteMonthly*ACS17</f>
        <v/>
      </c>
      <c r="ADQ17" s="12">
        <f>ADD17*BlendedPriceEssAnnual*ACS17+ADE17*BlendedPricePremAnnual*ACS17+ADF17*BlendedPriceEliteAnnual*ACS17</f>
        <v/>
      </c>
      <c r="ADR17" s="12">
        <f>ADD5*POWER(1-(AnnualChurn*VLOOKUP(ACP17,ChurnSeasonTable,4,FALSE)),1)*BlendedPriceEssAnnual*ACS17+ADE5*POWER(1-(AnnualChurn*VLOOKUP(ACP17,ChurnSeasonTable,4,FALSE)),1)*BlendedPricePremAnnual*ACS17+ADF5*POWER(1-(AnnualChurn*VLOOKUP(ACP17,ChurnSeasonTable,4,FALSE)),1)*BlendedPriceEliteAnnual*ACS17</f>
        <v/>
      </c>
      <c r="ADS17" s="9">
        <f>ADP17+ADQ17+ADR17</f>
        <v/>
      </c>
      <c r="ADT17" s="12">
        <f>SUM(ADS6:ADS17)</f>
        <v/>
      </c>
      <c r="ADU17" s="12">
        <f>OR(ADU16,IF(VATAgentMode,SUM($ADS6:$ADS17)-SUM($ADZ6:$ADZ17)&gt;=VATThreshold,SUM($ADS6:$ADS17)&gt;=VATThreshold))</f>
        <v/>
      </c>
      <c r="ADV17" s="9">
        <f>IF(ADU17,IF(VATAgentMode,ADS17-((ADS17-ADZ17)-(ADS17-ADZ17)/(1+VATRate)),ADS17/(1+VATRate)),ADS17)</f>
        <v/>
      </c>
      <c r="ADW17" s="12">
        <f>ADS17-ADV17</f>
        <v/>
      </c>
      <c r="ADX17" s="12">
        <f>IF(ADU17=0,0,IF(ACP17=1,SUMPRODUCT(--(($ACQ$5:$ACQ17=$ACQ17-1)*($ACP$5:$ACP17&gt;=10)*($ACP$5:$ACP17&lt;=12)),$ADW$5:$ADW17),IF(ACP17=4,SUMPRODUCT(--(($ACQ$5:$ACQ17=$ACQ17)*($ACP$5:$ACP17&gt;=1)*($ACP$5:$ACP17&lt;=3)),$ADW$5:$ADW17),IF(ACP17=7,SUMPRODUCT(--(($ACQ$5:$ACQ17=$ACQ17)*($ACP$5:$ACP17&gt;=4)*($ACP$5:$ACP17&lt;=6)),$ADW$5:$ADW17),IF(ACP17=10,SUMPRODUCT(--(($ACQ$5:$ACQ17=$ACQ17)*($ACP$5:$ACP17&gt;=7)*($ACP$5:$ACP17&lt;=9)),$ADW$5:$ADW17),0)))))</f>
        <v/>
      </c>
      <c r="ADY17" s="12">
        <f>ADY16+ADW17-ADX17</f>
        <v/>
      </c>
      <c r="ADZ17" s="12">
        <f>IF(ProviderDelay&gt;=1,ADG16*BlendedProvPayEss+ADH16*BlendedProvPayPrem+ADI16*BlendedProvPayElite+ADJ16*BlendedProvPayEss+ADK16*BlendedProvPayPrem+ADL16*BlendedProvPayElite,ADG17*BlendedProvPayEss+ADH17*BlendedProvPayPrem+ADI17*BlendedProvPayElite+ADJ17*BlendedProvPayEss+ADK17*BlendedProvPayPrem+ADL17*BlendedProvPayElite)</f>
        <v/>
      </c>
      <c r="AEA17" s="12">
        <f>ADS17*PaymentFee</f>
        <v/>
      </c>
      <c r="AEB17" s="12">
        <f>ADM17*OpsAI</f>
        <v/>
      </c>
      <c r="AEC17" s="12">
        <f>MonthlyFixed</f>
        <v/>
      </c>
      <c r="AED17" s="12">
        <f>ACW17*ReferralReward</f>
        <v/>
      </c>
      <c r="AEE17" s="12">
        <f>ACU17</f>
        <v/>
      </c>
      <c r="AEF17" s="9">
        <f>ADV17-ADZ17-AEA17-AEB17-AEC17-AED17-AEE17</f>
        <v/>
      </c>
      <c r="AEG17" s="9">
        <f>AEG16+ADS17-(ADZ17+AEA17+AEB17+AEC17+AED17+AEE17+ADX17)</f>
        <v/>
      </c>
      <c r="AEH17" s="12">
        <f>IF(ADM17&gt;0,ADN17/ADM17,0)</f>
        <v/>
      </c>
      <c r="AEI17" s="11">
        <f>IF(ADM16&gt;0,MAX(0,(ADM16+ACX17-ADM17)/ADM16),0)</f>
        <v/>
      </c>
      <c r="AEK17" s="12" t="n">
        <v>13</v>
      </c>
      <c r="AEL17" s="12">
        <f>MOD(AEK17-1+LaunchMonth-1,12)+1</f>
        <v/>
      </c>
      <c r="AEM17" s="12">
        <f>INT((AEK17-1+LaunchMonth-1)/12)+1</f>
        <v/>
      </c>
      <c r="AEN17" s="12">
        <f>VLOOKUP(AEL17,SeasonTable,2,FALSE)</f>
        <v/>
      </c>
      <c r="AEO17" s="12">
        <f>(1+InflationRate)^INT((AEK17-1)/12)</f>
        <v/>
      </c>
      <c r="AEP17" s="11">
        <f>MonthlyChurn*VLOOKUP(AEL17,ChurnSeasonTable,4,FALSE)</f>
        <v/>
      </c>
      <c r="AEQ17" s="12">
        <f>MIN(MAX(MktMin13_18,AFO16*MktPct13_18),MAX(0,AGC16-CashBuffer))</f>
        <v/>
      </c>
      <c r="AER17" s="12">
        <f>IF(AEQ17&gt;0,MAX(1,ROUND(AEQ17/CAC*AEN17,0)),0)</f>
        <v/>
      </c>
      <c r="AES17" s="12">
        <f>IF(AER17&gt;0,ROUND(AER17*ReferralMix/(1-ReferralMix),0),0)</f>
        <v/>
      </c>
      <c r="AET17" s="12">
        <f>AER17+AES17</f>
        <v/>
      </c>
      <c r="AEU17" s="12">
        <f>ROUND(AET17*(1-'Sens - Annual Mix'!$A$14),0)</f>
        <v/>
      </c>
      <c r="AEV17" s="12">
        <f>AET17-AEU17</f>
        <v/>
      </c>
      <c r="AEW17" s="12">
        <f>ROUND(AEU17*EssentialMix,0)</f>
        <v/>
      </c>
      <c r="AEX17" s="12">
        <f>ROUND(AEU17*PremiumMix,0)</f>
        <v/>
      </c>
      <c r="AEY17" s="12">
        <f>AEU17-AEW17-AEX17</f>
        <v/>
      </c>
      <c r="AEZ17" s="12">
        <f>ROUND(AEV17*EssentialMix,0)</f>
        <v/>
      </c>
      <c r="AFA17" s="12">
        <f>ROUND(AEV17*PremiumMix,0)</f>
        <v/>
      </c>
      <c r="AFB17" s="12">
        <f>AEV17-AEZ17-AFA17</f>
        <v/>
      </c>
      <c r="AFC17" s="12">
        <f>AEW17+AEW16+AEW15+MAX(0,AFC16-AEW16-AEW15)*(1-AEP17)</f>
        <v/>
      </c>
      <c r="AFD17" s="12">
        <f>AEX17+AEX16+AEX15+MAX(0,AFD16-AEX16-AEX15)*(1-AEP17)</f>
        <v/>
      </c>
      <c r="AFE17" s="12">
        <f>AEY17+AEY16+AEY15+MAX(0,AFE16-AEY16-AEY15)*(1-AEP17)</f>
        <v/>
      </c>
      <c r="AFF17" s="12">
        <f>AFF16+AEZ17-AEZ5*(AnnualChurn*VLOOKUP(AEL17,ChurnSeasonTable,4,FALSE))*POWER(1-(AnnualChurn*VLOOKUP(AEL17,ChurnSeasonTable,4,FALSE)),0)</f>
        <v/>
      </c>
      <c r="AFG17" s="12">
        <f>AFG16+AFA17-AFA5*(AnnualChurn*VLOOKUP(AEL17,ChurnSeasonTable,4,FALSE))*POWER(1-(AnnualChurn*VLOOKUP(AEL17,ChurnSeasonTable,4,FALSE)),0)</f>
        <v/>
      </c>
      <c r="AFH17" s="12">
        <f>AFH16+AFB17-AFB5*(AnnualChurn*VLOOKUP(AEL17,ChurnSeasonTable,4,FALSE))*POWER(1-(AnnualChurn*VLOOKUP(AEL17,ChurnSeasonTable,4,FALSE)),0)</f>
        <v/>
      </c>
      <c r="AFI17" s="12">
        <f>AFC17+AFD17+AFE17+AFF17+AFG17+AFH17</f>
        <v/>
      </c>
      <c r="AFJ17" s="9">
        <f>AFC17*BlendedPriceEssMonthly*AEO17+AFD17*BlendedPricePremMonthly*AEO17+AFE17*BlendedPriceEliteMonthly*AEO17+AFF17*BlendedPriceEssAnnual*AEO17/12+AFG17*BlendedPricePremAnnual*AEO17/12+AFH17*BlendedPriceEliteAnnual*AEO17/12</f>
        <v/>
      </c>
      <c r="AFK17" s="9">
        <f>AFJ17*12</f>
        <v/>
      </c>
      <c r="AFL17" s="12">
        <f>AFC17*BlendedPriceEssMonthly*AEO17+AFD17*BlendedPricePremMonthly*AEO17+AFE17*BlendedPriceEliteMonthly*AEO17</f>
        <v/>
      </c>
      <c r="AFM17" s="12">
        <f>AEZ17*BlendedPriceEssAnnual*AEO17+AFA17*BlendedPricePremAnnual*AEO17+AFB17*BlendedPriceEliteAnnual*AEO17</f>
        <v/>
      </c>
      <c r="AFN17" s="12">
        <f>AEZ5*POWER(1-(AnnualChurn*VLOOKUP(AEL17,ChurnSeasonTable,4,FALSE)),1)*BlendedPriceEssAnnual*AEO17+AFA5*POWER(1-(AnnualChurn*VLOOKUP(AEL17,ChurnSeasonTable,4,FALSE)),1)*BlendedPricePremAnnual*AEO17+AFB5*POWER(1-(AnnualChurn*VLOOKUP(AEL17,ChurnSeasonTable,4,FALSE)),1)*BlendedPriceEliteAnnual*AEO17</f>
        <v/>
      </c>
      <c r="AFO17" s="9">
        <f>AFL17+AFM17+AFN17</f>
        <v/>
      </c>
      <c r="AFP17" s="12">
        <f>SUM(AFO6:AFO17)</f>
        <v/>
      </c>
      <c r="AFQ17" s="12">
        <f>OR(AFQ16,IF(VATAgentMode,SUM($AFO6:$AFO17)-SUM($AFV6:$AFV17)&gt;=VATThreshold,SUM($AFO6:$AFO17)&gt;=VATThreshold))</f>
        <v/>
      </c>
      <c r="AFR17" s="9">
        <f>IF(AFQ17,IF(VATAgentMode,AFO17-((AFO17-AFV17)-(AFO17-AFV17)/(1+VATRate)),AFO17/(1+VATRate)),AFO17)</f>
        <v/>
      </c>
      <c r="AFS17" s="12">
        <f>AFO17-AFR17</f>
        <v/>
      </c>
      <c r="AFT17" s="12">
        <f>IF(AFQ17=0,0,IF(AEL17=1,SUMPRODUCT(--(($AEM$5:$AEM17=$AEM17-1)*($AEL$5:$AEL17&gt;=10)*($AEL$5:$AEL17&lt;=12)),$AFS$5:$AFS17),IF(AEL17=4,SUMPRODUCT(--(($AEM$5:$AEM17=$AEM17)*($AEL$5:$AEL17&gt;=1)*($AEL$5:$AEL17&lt;=3)),$AFS$5:$AFS17),IF(AEL17=7,SUMPRODUCT(--(($AEM$5:$AEM17=$AEM17)*($AEL$5:$AEL17&gt;=4)*($AEL$5:$AEL17&lt;=6)),$AFS$5:$AFS17),IF(AEL17=10,SUMPRODUCT(--(($AEM$5:$AEM17=$AEM17)*($AEL$5:$AEL17&gt;=7)*($AEL$5:$AEL17&lt;=9)),$AFS$5:$AFS17),0)))))</f>
        <v/>
      </c>
      <c r="AFU17" s="12">
        <f>AFU16+AFS17-AFT17</f>
        <v/>
      </c>
      <c r="AFV17" s="12">
        <f>IF(ProviderDelay&gt;=1,AFC16*BlendedProvPayEss+AFD16*BlendedProvPayPrem+AFE16*BlendedProvPayElite+AFF16*BlendedProvPayEss+AFG16*BlendedProvPayPrem+AFH16*BlendedProvPayElite,AFC17*BlendedProvPayEss+AFD17*BlendedProvPayPrem+AFE17*BlendedProvPayElite+AFF17*BlendedProvPayEss+AFG17*BlendedProvPayPrem+AFH17*BlendedProvPayElite)</f>
        <v/>
      </c>
      <c r="AFW17" s="12">
        <f>AFO17*PaymentFee</f>
        <v/>
      </c>
      <c r="AFX17" s="12">
        <f>AFI17*OpsAI</f>
        <v/>
      </c>
      <c r="AFY17" s="12">
        <f>MonthlyFixed</f>
        <v/>
      </c>
      <c r="AFZ17" s="12">
        <f>AES17*ReferralReward</f>
        <v/>
      </c>
      <c r="AGA17" s="12">
        <f>AEQ17</f>
        <v/>
      </c>
      <c r="AGB17" s="9">
        <f>AFR17-AFV17-AFW17-AFX17-AFY17-AFZ17-AGA17</f>
        <v/>
      </c>
      <c r="AGC17" s="9">
        <f>AGC16+AFO17-(AFV17+AFW17+AFX17+AFY17+AFZ17+AGA17+AFT17)</f>
        <v/>
      </c>
      <c r="AGD17" s="12">
        <f>IF(AFI17&gt;0,AFJ17/AFI17,0)</f>
        <v/>
      </c>
      <c r="AGE17" s="11">
        <f>IF(AFI16&gt;0,MAX(0,(AFI16+AET17-AFI17)/AFI16),0)</f>
        <v/>
      </c>
      <c r="AGG17" s="12" t="n">
        <v>13</v>
      </c>
      <c r="AGH17" s="12">
        <f>MOD(AGG17-1+LaunchMonth-1,12)+1</f>
        <v/>
      </c>
      <c r="AGI17" s="12">
        <f>INT((AGG17-1+LaunchMonth-1)/12)+1</f>
        <v/>
      </c>
      <c r="AGJ17" s="12">
        <f>VLOOKUP(AGH17,SeasonTable,2,FALSE)</f>
        <v/>
      </c>
      <c r="AGK17" s="12">
        <f>(1+InflationRate)^INT((AGG17-1)/12)</f>
        <v/>
      </c>
      <c r="AGL17" s="11">
        <f>MonthlyChurn*VLOOKUP(AGH17,ChurnSeasonTable,4,FALSE)</f>
        <v/>
      </c>
      <c r="AGM17" s="12">
        <f>MIN(MAX(MktMin13_18,AHK16*MktPct13_18),MAX(0,AHY16-CashBuffer))</f>
        <v/>
      </c>
      <c r="AGN17" s="12">
        <f>IF(AGM17&gt;0,MAX(1,ROUND(AGM17/CAC*AGJ17,0)),0)</f>
        <v/>
      </c>
      <c r="AGO17" s="12">
        <f>IF(AGN17&gt;0,ROUND(AGN17*ReferralMix/(1-ReferralMix),0),0)</f>
        <v/>
      </c>
      <c r="AGP17" s="12">
        <f>AGN17+AGO17</f>
        <v/>
      </c>
      <c r="AGQ17" s="12">
        <f>ROUND(AGP17*(1-'Sens - Annual Mix'!$A$15),0)</f>
        <v/>
      </c>
      <c r="AGR17" s="12">
        <f>AGP17-AGQ17</f>
        <v/>
      </c>
      <c r="AGS17" s="12">
        <f>ROUND(AGQ17*EssentialMix,0)</f>
        <v/>
      </c>
      <c r="AGT17" s="12">
        <f>ROUND(AGQ17*PremiumMix,0)</f>
        <v/>
      </c>
      <c r="AGU17" s="12">
        <f>AGQ17-AGS17-AGT17</f>
        <v/>
      </c>
      <c r="AGV17" s="12">
        <f>ROUND(AGR17*EssentialMix,0)</f>
        <v/>
      </c>
      <c r="AGW17" s="12">
        <f>ROUND(AGR17*PremiumMix,0)</f>
        <v/>
      </c>
      <c r="AGX17" s="12">
        <f>AGR17-AGV17-AGW17</f>
        <v/>
      </c>
      <c r="AGY17" s="12">
        <f>AGS17+AGS16+AGS15+MAX(0,AGY16-AGS16-AGS15)*(1-AGL17)</f>
        <v/>
      </c>
      <c r="AGZ17" s="12">
        <f>AGT17+AGT16+AGT15+MAX(0,AGZ16-AGT16-AGT15)*(1-AGL17)</f>
        <v/>
      </c>
      <c r="AHA17" s="12">
        <f>AGU17+AGU16+AGU15+MAX(0,AHA16-AGU16-AGU15)*(1-AGL17)</f>
        <v/>
      </c>
      <c r="AHB17" s="12">
        <f>AHB16+AGV17-AGV5*(AnnualChurn*VLOOKUP(AGH17,ChurnSeasonTable,4,FALSE))*POWER(1-(AnnualChurn*VLOOKUP(AGH17,ChurnSeasonTable,4,FALSE)),0)</f>
        <v/>
      </c>
      <c r="AHC17" s="12">
        <f>AHC16+AGW17-AGW5*(AnnualChurn*VLOOKUP(AGH17,ChurnSeasonTable,4,FALSE))*POWER(1-(AnnualChurn*VLOOKUP(AGH17,ChurnSeasonTable,4,FALSE)),0)</f>
        <v/>
      </c>
      <c r="AHD17" s="12">
        <f>AHD16+AGX17-AGX5*(AnnualChurn*VLOOKUP(AGH17,ChurnSeasonTable,4,FALSE))*POWER(1-(AnnualChurn*VLOOKUP(AGH17,ChurnSeasonTable,4,FALSE)),0)</f>
        <v/>
      </c>
      <c r="AHE17" s="12">
        <f>AGY17+AGZ17+AHA17+AHB17+AHC17+AHD17</f>
        <v/>
      </c>
      <c r="AHF17" s="9">
        <f>AGY17*BlendedPriceEssMonthly*AGK17+AGZ17*BlendedPricePremMonthly*AGK17+AHA17*BlendedPriceEliteMonthly*AGK17+AHB17*BlendedPriceEssAnnual*AGK17/12+AHC17*BlendedPricePremAnnual*AGK17/12+AHD17*BlendedPriceEliteAnnual*AGK17/12</f>
        <v/>
      </c>
      <c r="AHG17" s="9">
        <f>AHF17*12</f>
        <v/>
      </c>
      <c r="AHH17" s="12">
        <f>AGY17*BlendedPriceEssMonthly*AGK17+AGZ17*BlendedPricePremMonthly*AGK17+AHA17*BlendedPriceEliteMonthly*AGK17</f>
        <v/>
      </c>
      <c r="AHI17" s="12">
        <f>AGV17*BlendedPriceEssAnnual*AGK17+AGW17*BlendedPricePremAnnual*AGK17+AGX17*BlendedPriceEliteAnnual*AGK17</f>
        <v/>
      </c>
      <c r="AHJ17" s="12">
        <f>AGV5*POWER(1-(AnnualChurn*VLOOKUP(AGH17,ChurnSeasonTable,4,FALSE)),1)*BlendedPriceEssAnnual*AGK17+AGW5*POWER(1-(AnnualChurn*VLOOKUP(AGH17,ChurnSeasonTable,4,FALSE)),1)*BlendedPricePremAnnual*AGK17+AGX5*POWER(1-(AnnualChurn*VLOOKUP(AGH17,ChurnSeasonTable,4,FALSE)),1)*BlendedPriceEliteAnnual*AGK17</f>
        <v/>
      </c>
      <c r="AHK17" s="9">
        <f>AHH17+AHI17+AHJ17</f>
        <v/>
      </c>
      <c r="AHL17" s="12">
        <f>SUM(AHK6:AHK17)</f>
        <v/>
      </c>
      <c r="AHM17" s="12">
        <f>OR(AHM16,IF(VATAgentMode,SUM($AHK6:$AHK17)-SUM($AHR6:$AHR17)&gt;=VATThreshold,SUM($AHK6:$AHK17)&gt;=VATThreshold))</f>
        <v/>
      </c>
      <c r="AHN17" s="9">
        <f>IF(AHM17,IF(VATAgentMode,AHK17-((AHK17-AHR17)-(AHK17-AHR17)/(1+VATRate)),AHK17/(1+VATRate)),AHK17)</f>
        <v/>
      </c>
      <c r="AHO17" s="12">
        <f>AHK17-AHN17</f>
        <v/>
      </c>
      <c r="AHP17" s="12">
        <f>IF(AHM17=0,0,IF(AGH17=1,SUMPRODUCT(--(($AGI$5:$AGI17=$AGI17-1)*($AGH$5:$AGH17&gt;=10)*($AGH$5:$AGH17&lt;=12)),$AHO$5:$AHO17),IF(AGH17=4,SUMPRODUCT(--(($AGI$5:$AGI17=$AGI17)*($AGH$5:$AGH17&gt;=1)*($AGH$5:$AGH17&lt;=3)),$AHO$5:$AHO17),IF(AGH17=7,SUMPRODUCT(--(($AGI$5:$AGI17=$AGI17)*($AGH$5:$AGH17&gt;=4)*($AGH$5:$AGH17&lt;=6)),$AHO$5:$AHO17),IF(AGH17=10,SUMPRODUCT(--(($AGI$5:$AGI17=$AGI17)*($AGH$5:$AGH17&gt;=7)*($AGH$5:$AGH17&lt;=9)),$AHO$5:$AHO17),0)))))</f>
        <v/>
      </c>
      <c r="AHQ17" s="12">
        <f>AHQ16+AHO17-AHP17</f>
        <v/>
      </c>
      <c r="AHR17" s="12">
        <f>IF(ProviderDelay&gt;=1,AGY16*BlendedProvPayEss+AGZ16*BlendedProvPayPrem+AHA16*BlendedProvPayElite+AHB16*BlendedProvPayEss+AHC16*BlendedProvPayPrem+AHD16*BlendedProvPayElite,AGY17*BlendedProvPayEss+AGZ17*BlendedProvPayPrem+AHA17*BlendedProvPayElite+AHB17*BlendedProvPayEss+AHC17*BlendedProvPayPrem+AHD17*BlendedProvPayElite)</f>
        <v/>
      </c>
      <c r="AHS17" s="12">
        <f>AHK17*PaymentFee</f>
        <v/>
      </c>
      <c r="AHT17" s="12">
        <f>AHE17*OpsAI</f>
        <v/>
      </c>
      <c r="AHU17" s="12">
        <f>MonthlyFixed</f>
        <v/>
      </c>
      <c r="AHV17" s="12">
        <f>AGO17*ReferralReward</f>
        <v/>
      </c>
      <c r="AHW17" s="12">
        <f>AGM17</f>
        <v/>
      </c>
      <c r="AHX17" s="9">
        <f>AHN17-AHR17-AHS17-AHT17-AHU17-AHV17-AHW17</f>
        <v/>
      </c>
      <c r="AHY17" s="9">
        <f>AHY16+AHK17-(AHR17+AHS17+AHT17+AHU17+AHV17+AHW17+AHP17)</f>
        <v/>
      </c>
      <c r="AHZ17" s="12">
        <f>IF(AHE17&gt;0,AHF17/AHE17,0)</f>
        <v/>
      </c>
      <c r="AIA17" s="11">
        <f>IF(AHE16&gt;0,MAX(0,(AHE16+AGP17-AHE17)/AHE16),0)</f>
        <v/>
      </c>
      <c r="AIC17" s="12" t="n">
        <v>13</v>
      </c>
      <c r="AID17" s="12">
        <f>MOD(AIC17-1+LaunchMonth-1,12)+1</f>
        <v/>
      </c>
      <c r="AIE17" s="12">
        <f>INT((AIC17-1+LaunchMonth-1)/12)+1</f>
        <v/>
      </c>
      <c r="AIF17" s="12">
        <f>VLOOKUP(AID17,SeasonTable,2,FALSE)</f>
        <v/>
      </c>
      <c r="AIG17" s="12">
        <f>(1+InflationRate)^INT((AIC17-1)/12)</f>
        <v/>
      </c>
      <c r="AIH17" s="11">
        <f>MonthlyChurn*VLOOKUP(AID17,ChurnSeasonTable,4,FALSE)</f>
        <v/>
      </c>
      <c r="AII17" s="12">
        <f>MIN(MAX(MktMin13_18,AJG16*MktPct13_18),MAX(0,AJU16-CashBuffer))</f>
        <v/>
      </c>
      <c r="AIJ17" s="12">
        <f>IF(AII17&gt;0,MAX(1,ROUND(AII17/'Sens - CAC &amp; Marketing'!$A$9*AIF17,0)),0)</f>
        <v/>
      </c>
      <c r="AIK17" s="12">
        <f>IF(AIJ17&gt;0,ROUND(AIJ17*ReferralMix/(1-ReferralMix),0),0)</f>
        <v/>
      </c>
      <c r="AIL17" s="12">
        <f>AIJ17+AIK17</f>
        <v/>
      </c>
      <c r="AIM17" s="12">
        <f>ROUND(AIL17*(1-AnnualMix),0)</f>
        <v/>
      </c>
      <c r="AIN17" s="12">
        <f>AIL17-AIM17</f>
        <v/>
      </c>
      <c r="AIO17" s="12">
        <f>ROUND(AIM17*EssentialMix,0)</f>
        <v/>
      </c>
      <c r="AIP17" s="12">
        <f>ROUND(AIM17*PremiumMix,0)</f>
        <v/>
      </c>
      <c r="AIQ17" s="12">
        <f>AIM17-AIO17-AIP17</f>
        <v/>
      </c>
      <c r="AIR17" s="12">
        <f>ROUND(AIN17*EssentialMix,0)</f>
        <v/>
      </c>
      <c r="AIS17" s="12">
        <f>ROUND(AIN17*PremiumMix,0)</f>
        <v/>
      </c>
      <c r="AIT17" s="12">
        <f>AIN17-AIR17-AIS17</f>
        <v/>
      </c>
      <c r="AIU17" s="12">
        <f>AIO17+AIO16+AIO15+MAX(0,AIU16-AIO16-AIO15)*(1-AIH17)</f>
        <v/>
      </c>
      <c r="AIV17" s="12">
        <f>AIP17+AIP16+AIP15+MAX(0,AIV16-AIP16-AIP15)*(1-AIH17)</f>
        <v/>
      </c>
      <c r="AIW17" s="12">
        <f>AIQ17+AIQ16+AIQ15+MAX(0,AIW16-AIQ16-AIQ15)*(1-AIH17)</f>
        <v/>
      </c>
      <c r="AIX17" s="12">
        <f>AIX16+AIR17-AIR5*(AnnualChurn*VLOOKUP(AID17,ChurnSeasonTable,4,FALSE))*POWER(1-(AnnualChurn*VLOOKUP(AID17,ChurnSeasonTable,4,FALSE)),0)</f>
        <v/>
      </c>
      <c r="AIY17" s="12">
        <f>AIY16+AIS17-AIS5*(AnnualChurn*VLOOKUP(AID17,ChurnSeasonTable,4,FALSE))*POWER(1-(AnnualChurn*VLOOKUP(AID17,ChurnSeasonTable,4,FALSE)),0)</f>
        <v/>
      </c>
      <c r="AIZ17" s="12">
        <f>AIZ16+AIT17-AIT5*(AnnualChurn*VLOOKUP(AID17,ChurnSeasonTable,4,FALSE))*POWER(1-(AnnualChurn*VLOOKUP(AID17,ChurnSeasonTable,4,FALSE)),0)</f>
        <v/>
      </c>
      <c r="AJA17" s="12">
        <f>AIU17+AIV17+AIW17+AIX17+AIY17+AIZ17</f>
        <v/>
      </c>
      <c r="AJB17" s="9">
        <f>AIU17*BlendedPriceEssMonthly*AIG17+AIV17*BlendedPricePremMonthly*AIG17+AIW17*BlendedPriceEliteMonthly*AIG17+AIX17*BlendedPriceEssAnnual*AIG17/12+AIY17*BlendedPricePremAnnual*AIG17/12+AIZ17*BlendedPriceEliteAnnual*AIG17/12</f>
        <v/>
      </c>
      <c r="AJC17" s="9">
        <f>AJB17*12</f>
        <v/>
      </c>
      <c r="AJD17" s="12">
        <f>AIU17*BlendedPriceEssMonthly*AIG17+AIV17*BlendedPricePremMonthly*AIG17+AIW17*BlendedPriceEliteMonthly*AIG17</f>
        <v/>
      </c>
      <c r="AJE17" s="12">
        <f>AIR17*BlendedPriceEssAnnual*AIG17+AIS17*BlendedPricePremAnnual*AIG17+AIT17*BlendedPriceEliteAnnual*AIG17</f>
        <v/>
      </c>
      <c r="AJF17" s="12">
        <f>AIR5*POWER(1-(AnnualChurn*VLOOKUP(AID17,ChurnSeasonTable,4,FALSE)),1)*BlendedPriceEssAnnual*AIG17+AIS5*POWER(1-(AnnualChurn*VLOOKUP(AID17,ChurnSeasonTable,4,FALSE)),1)*BlendedPricePremAnnual*AIG17+AIT5*POWER(1-(AnnualChurn*VLOOKUP(AID17,ChurnSeasonTable,4,FALSE)),1)*BlendedPriceEliteAnnual*AIG17</f>
        <v/>
      </c>
      <c r="AJG17" s="9">
        <f>AJD17+AJE17+AJF17</f>
        <v/>
      </c>
      <c r="AJH17" s="12">
        <f>SUM(AJG6:AJG17)</f>
        <v/>
      </c>
      <c r="AJI17" s="12">
        <f>OR(AJI16,IF(VATAgentMode,SUM($AJG6:$AJG17)-SUM($AJN6:$AJN17)&gt;=VATThreshold,SUM($AJG6:$AJG17)&gt;=VATThreshold))</f>
        <v/>
      </c>
      <c r="AJJ17" s="9">
        <f>IF(AJI17,IF(VATAgentMode,AJG17-((AJG17-AJN17)-(AJG17-AJN17)/(1+VATRate)),AJG17/(1+VATRate)),AJG17)</f>
        <v/>
      </c>
      <c r="AJK17" s="12">
        <f>AJG17-AJJ17</f>
        <v/>
      </c>
      <c r="AJL17" s="12">
        <f>IF(AJI17=0,0,IF(AID17=1,SUMPRODUCT(--(($AIE$5:$AIE17=$AIE17-1)*($AID$5:$AID17&gt;=10)*($AID$5:$AID17&lt;=12)),$AJK$5:$AJK17),IF(AID17=4,SUMPRODUCT(--(($AIE$5:$AIE17=$AIE17)*($AID$5:$AID17&gt;=1)*($AID$5:$AID17&lt;=3)),$AJK$5:$AJK17),IF(AID17=7,SUMPRODUCT(--(($AIE$5:$AIE17=$AIE17)*($AID$5:$AID17&gt;=4)*($AID$5:$AID17&lt;=6)),$AJK$5:$AJK17),IF(AID17=10,SUMPRODUCT(--(($AIE$5:$AIE17=$AIE17)*($AID$5:$AID17&gt;=7)*($AID$5:$AID17&lt;=9)),$AJK$5:$AJK17),0)))))</f>
        <v/>
      </c>
      <c r="AJM17" s="12">
        <f>AJM16+AJK17-AJL17</f>
        <v/>
      </c>
      <c r="AJN17" s="12">
        <f>IF(ProviderDelay&gt;=1,AIU16*BlendedProvPayEss+AIV16*BlendedProvPayPrem+AIW16*BlendedProvPayElite+AIX16*BlendedProvPayEss+AIY16*BlendedProvPayPrem+AIZ16*BlendedProvPayElite,AIU17*BlendedProvPayEss+AIV17*BlendedProvPayPrem+AIW17*BlendedProvPayElite+AIX17*BlendedProvPayEss+AIY17*BlendedProvPayPrem+AIZ17*BlendedProvPayElite)</f>
        <v/>
      </c>
      <c r="AJO17" s="12">
        <f>AJG17*PaymentFee</f>
        <v/>
      </c>
      <c r="AJP17" s="12">
        <f>AJA17*OpsAI</f>
        <v/>
      </c>
      <c r="AJQ17" s="12">
        <f>MonthlyFixed</f>
        <v/>
      </c>
      <c r="AJR17" s="12">
        <f>AIK17*ReferralReward</f>
        <v/>
      </c>
      <c r="AJS17" s="12">
        <f>AII17</f>
        <v/>
      </c>
      <c r="AJT17" s="9">
        <f>AJJ17-AJN17-AJO17-AJP17-AJQ17-AJR17-AJS17</f>
        <v/>
      </c>
      <c r="AJU17" s="9">
        <f>AJU16+AJG17-(AJN17+AJO17+AJP17+AJQ17+AJR17+AJS17+AJL17)</f>
        <v/>
      </c>
      <c r="AJV17" s="12">
        <f>IF(AJA17&gt;0,AJB17/AJA17,0)</f>
        <v/>
      </c>
      <c r="AJW17" s="11">
        <f>IF(AJA16&gt;0,MAX(0,(AJA16+AIL17-AJA17)/AJA16),0)</f>
        <v/>
      </c>
      <c r="AJY17" s="12" t="n">
        <v>13</v>
      </c>
      <c r="AJZ17" s="12">
        <f>MOD(AJY17-1+LaunchMonth-1,12)+1</f>
        <v/>
      </c>
      <c r="AKA17" s="12">
        <f>INT((AJY17-1+LaunchMonth-1)/12)+1</f>
        <v/>
      </c>
      <c r="AKB17" s="12">
        <f>VLOOKUP(AJZ17,SeasonTable,2,FALSE)</f>
        <v/>
      </c>
      <c r="AKC17" s="12">
        <f>(1+InflationRate)^INT((AJY17-1)/12)</f>
        <v/>
      </c>
      <c r="AKD17" s="11">
        <f>MonthlyChurn*VLOOKUP(AJZ17,ChurnSeasonTable,4,FALSE)</f>
        <v/>
      </c>
      <c r="AKE17" s="12">
        <f>MIN(MAX(MktMin13_18,ALC16*MktPct13_18),MAX(0,ALQ16-CashBuffer))</f>
        <v/>
      </c>
      <c r="AKF17" s="12">
        <f>IF(AKE17&gt;0,MAX(1,ROUND(AKE17/'Sens - CAC &amp; Marketing'!$A$10*AKB17,0)),0)</f>
        <v/>
      </c>
      <c r="AKG17" s="12">
        <f>IF(AKF17&gt;0,ROUND(AKF17*ReferralMix/(1-ReferralMix),0),0)</f>
        <v/>
      </c>
      <c r="AKH17" s="12">
        <f>AKF17+AKG17</f>
        <v/>
      </c>
      <c r="AKI17" s="12">
        <f>ROUND(AKH17*(1-AnnualMix),0)</f>
        <v/>
      </c>
      <c r="AKJ17" s="12">
        <f>AKH17-AKI17</f>
        <v/>
      </c>
      <c r="AKK17" s="12">
        <f>ROUND(AKI17*EssentialMix,0)</f>
        <v/>
      </c>
      <c r="AKL17" s="12">
        <f>ROUND(AKI17*PremiumMix,0)</f>
        <v/>
      </c>
      <c r="AKM17" s="12">
        <f>AKI17-AKK17-AKL17</f>
        <v/>
      </c>
      <c r="AKN17" s="12">
        <f>ROUND(AKJ17*EssentialMix,0)</f>
        <v/>
      </c>
      <c r="AKO17" s="12">
        <f>ROUND(AKJ17*PremiumMix,0)</f>
        <v/>
      </c>
      <c r="AKP17" s="12">
        <f>AKJ17-AKN17-AKO17</f>
        <v/>
      </c>
      <c r="AKQ17" s="12">
        <f>AKK17+AKK16+AKK15+MAX(0,AKQ16-AKK16-AKK15)*(1-AKD17)</f>
        <v/>
      </c>
      <c r="AKR17" s="12">
        <f>AKL17+AKL16+AKL15+MAX(0,AKR16-AKL16-AKL15)*(1-AKD17)</f>
        <v/>
      </c>
      <c r="AKS17" s="12">
        <f>AKM17+AKM16+AKM15+MAX(0,AKS16-AKM16-AKM15)*(1-AKD17)</f>
        <v/>
      </c>
      <c r="AKT17" s="12">
        <f>AKT16+AKN17-AKN5*(AnnualChurn*VLOOKUP(AJZ17,ChurnSeasonTable,4,FALSE))*POWER(1-(AnnualChurn*VLOOKUP(AJZ17,ChurnSeasonTable,4,FALSE)),0)</f>
        <v/>
      </c>
      <c r="AKU17" s="12">
        <f>AKU16+AKO17-AKO5*(AnnualChurn*VLOOKUP(AJZ17,ChurnSeasonTable,4,FALSE))*POWER(1-(AnnualChurn*VLOOKUP(AJZ17,ChurnSeasonTable,4,FALSE)),0)</f>
        <v/>
      </c>
      <c r="AKV17" s="12">
        <f>AKV16+AKP17-AKP5*(AnnualChurn*VLOOKUP(AJZ17,ChurnSeasonTable,4,FALSE))*POWER(1-(AnnualChurn*VLOOKUP(AJZ17,ChurnSeasonTable,4,FALSE)),0)</f>
        <v/>
      </c>
      <c r="AKW17" s="12">
        <f>AKQ17+AKR17+AKS17+AKT17+AKU17+AKV17</f>
        <v/>
      </c>
      <c r="AKX17" s="9">
        <f>AKQ17*BlendedPriceEssMonthly*AKC17+AKR17*BlendedPricePremMonthly*AKC17+AKS17*BlendedPriceEliteMonthly*AKC17+AKT17*BlendedPriceEssAnnual*AKC17/12+AKU17*BlendedPricePremAnnual*AKC17/12+AKV17*BlendedPriceEliteAnnual*AKC17/12</f>
        <v/>
      </c>
      <c r="AKY17" s="9">
        <f>AKX17*12</f>
        <v/>
      </c>
      <c r="AKZ17" s="12">
        <f>AKQ17*BlendedPriceEssMonthly*AKC17+AKR17*BlendedPricePremMonthly*AKC17+AKS17*BlendedPriceEliteMonthly*AKC17</f>
        <v/>
      </c>
      <c r="ALA17" s="12">
        <f>AKN17*BlendedPriceEssAnnual*AKC17+AKO17*BlendedPricePremAnnual*AKC17+AKP17*BlendedPriceEliteAnnual*AKC17</f>
        <v/>
      </c>
      <c r="ALB17" s="12">
        <f>AKN5*POWER(1-(AnnualChurn*VLOOKUP(AJZ17,ChurnSeasonTable,4,FALSE)),1)*BlendedPriceEssAnnual*AKC17+AKO5*POWER(1-(AnnualChurn*VLOOKUP(AJZ17,ChurnSeasonTable,4,FALSE)),1)*BlendedPricePremAnnual*AKC17+AKP5*POWER(1-(AnnualChurn*VLOOKUP(AJZ17,ChurnSeasonTable,4,FALSE)),1)*BlendedPriceEliteAnnual*AKC17</f>
        <v/>
      </c>
      <c r="ALC17" s="9">
        <f>AKZ17+ALA17+ALB17</f>
        <v/>
      </c>
      <c r="ALD17" s="12">
        <f>SUM(ALC6:ALC17)</f>
        <v/>
      </c>
      <c r="ALE17" s="12">
        <f>OR(ALE16,IF(VATAgentMode,SUM($ALC6:$ALC17)-SUM($ALJ6:$ALJ17)&gt;=VATThreshold,SUM($ALC6:$ALC17)&gt;=VATThreshold))</f>
        <v/>
      </c>
      <c r="ALF17" s="9">
        <f>IF(ALE17,IF(VATAgentMode,ALC17-((ALC17-ALJ17)-(ALC17-ALJ17)/(1+VATRate)),ALC17/(1+VATRate)),ALC17)</f>
        <v/>
      </c>
      <c r="ALG17" s="12">
        <f>ALC17-ALF17</f>
        <v/>
      </c>
      <c r="ALH17" s="12">
        <f>IF(ALE17=0,0,IF(AJZ17=1,SUMPRODUCT(--(($AKA$5:$AKA17=$AKA17-1)*($AJZ$5:$AJZ17&gt;=10)*($AJZ$5:$AJZ17&lt;=12)),$ALG$5:$ALG17),IF(AJZ17=4,SUMPRODUCT(--(($AKA$5:$AKA17=$AKA17)*($AJZ$5:$AJZ17&gt;=1)*($AJZ$5:$AJZ17&lt;=3)),$ALG$5:$ALG17),IF(AJZ17=7,SUMPRODUCT(--(($AKA$5:$AKA17=$AKA17)*($AJZ$5:$AJZ17&gt;=4)*($AJZ$5:$AJZ17&lt;=6)),$ALG$5:$ALG17),IF(AJZ17=10,SUMPRODUCT(--(($AKA$5:$AKA17=$AKA17)*($AJZ$5:$AJZ17&gt;=7)*($AJZ$5:$AJZ17&lt;=9)),$ALG$5:$ALG17),0)))))</f>
        <v/>
      </c>
      <c r="ALI17" s="12">
        <f>ALI16+ALG17-ALH17</f>
        <v/>
      </c>
      <c r="ALJ17" s="12">
        <f>IF(ProviderDelay&gt;=1,AKQ16*BlendedProvPayEss+AKR16*BlendedProvPayPrem+AKS16*BlendedProvPayElite+AKT16*BlendedProvPayEss+AKU16*BlendedProvPayPrem+AKV16*BlendedProvPayElite,AKQ17*BlendedProvPayEss+AKR17*BlendedProvPayPrem+AKS17*BlendedProvPayElite+AKT17*BlendedProvPayEss+AKU17*BlendedProvPayPrem+AKV17*BlendedProvPayElite)</f>
        <v/>
      </c>
      <c r="ALK17" s="12">
        <f>ALC17*PaymentFee</f>
        <v/>
      </c>
      <c r="ALL17" s="12">
        <f>AKW17*OpsAI</f>
        <v/>
      </c>
      <c r="ALM17" s="12">
        <f>MonthlyFixed</f>
        <v/>
      </c>
      <c r="ALN17" s="12">
        <f>AKG17*ReferralReward</f>
        <v/>
      </c>
      <c r="ALO17" s="12">
        <f>AKE17</f>
        <v/>
      </c>
      <c r="ALP17" s="9">
        <f>ALF17-ALJ17-ALK17-ALL17-ALM17-ALN17-ALO17</f>
        <v/>
      </c>
      <c r="ALQ17" s="9">
        <f>ALQ16+ALC17-(ALJ17+ALK17+ALL17+ALM17+ALN17+ALO17+ALH17)</f>
        <v/>
      </c>
      <c r="ALR17" s="12">
        <f>IF(AKW17&gt;0,AKX17/AKW17,0)</f>
        <v/>
      </c>
      <c r="ALS17" s="11">
        <f>IF(AKW16&gt;0,MAX(0,(AKW16+AKH17-AKW17)/AKW16),0)</f>
        <v/>
      </c>
      <c r="ALU17" s="12" t="n">
        <v>13</v>
      </c>
      <c r="ALV17" s="12">
        <f>MOD(ALU17-1+LaunchMonth-1,12)+1</f>
        <v/>
      </c>
      <c r="ALW17" s="12">
        <f>INT((ALU17-1+LaunchMonth-1)/12)+1</f>
        <v/>
      </c>
      <c r="ALX17" s="12">
        <f>VLOOKUP(ALV17,SeasonTable,2,FALSE)</f>
        <v/>
      </c>
      <c r="ALY17" s="12">
        <f>(1+InflationRate)^INT((ALU17-1)/12)</f>
        <v/>
      </c>
      <c r="ALZ17" s="11">
        <f>MonthlyChurn*VLOOKUP(ALV17,ChurnSeasonTable,4,FALSE)</f>
        <v/>
      </c>
      <c r="AMA17" s="12">
        <f>MIN(MAX(MktMin13_18,AMY16*MktPct13_18),MAX(0,ANM16-CashBuffer))</f>
        <v/>
      </c>
      <c r="AMB17" s="12">
        <f>IF(AMA17&gt;0,MAX(1,ROUND(AMA17/'Sens - CAC &amp; Marketing'!$A$11*ALX17,0)),0)</f>
        <v/>
      </c>
      <c r="AMC17" s="12">
        <f>IF(AMB17&gt;0,ROUND(AMB17*ReferralMix/(1-ReferralMix),0),0)</f>
        <v/>
      </c>
      <c r="AMD17" s="12">
        <f>AMB17+AMC17</f>
        <v/>
      </c>
      <c r="AME17" s="12">
        <f>ROUND(AMD17*(1-AnnualMix),0)</f>
        <v/>
      </c>
      <c r="AMF17" s="12">
        <f>AMD17-AME17</f>
        <v/>
      </c>
      <c r="AMG17" s="12">
        <f>ROUND(AME17*EssentialMix,0)</f>
        <v/>
      </c>
      <c r="AMH17" s="12">
        <f>ROUND(AME17*PremiumMix,0)</f>
        <v/>
      </c>
      <c r="AMI17" s="12">
        <f>AME17-AMG17-AMH17</f>
        <v/>
      </c>
      <c r="AMJ17" s="12">
        <f>ROUND(AMF17*EssentialMix,0)</f>
        <v/>
      </c>
      <c r="AMK17" s="12">
        <f>ROUND(AMF17*PremiumMix,0)</f>
        <v/>
      </c>
      <c r="AML17" s="12">
        <f>AMF17-AMJ17-AMK17</f>
        <v/>
      </c>
      <c r="AMM17" s="12">
        <f>AMG17+AMG16+AMG15+MAX(0,AMM16-AMG16-AMG15)*(1-ALZ17)</f>
        <v/>
      </c>
      <c r="AMN17" s="12">
        <f>AMH17+AMH16+AMH15+MAX(0,AMN16-AMH16-AMH15)*(1-ALZ17)</f>
        <v/>
      </c>
      <c r="AMO17" s="12">
        <f>AMI17+AMI16+AMI15+MAX(0,AMO16-AMI16-AMI15)*(1-ALZ17)</f>
        <v/>
      </c>
      <c r="AMP17" s="12">
        <f>AMP16+AMJ17-AMJ5*(AnnualChurn*VLOOKUP(ALV17,ChurnSeasonTable,4,FALSE))*POWER(1-(AnnualChurn*VLOOKUP(ALV17,ChurnSeasonTable,4,FALSE)),0)</f>
        <v/>
      </c>
      <c r="AMQ17" s="12">
        <f>AMQ16+AMK17-AMK5*(AnnualChurn*VLOOKUP(ALV17,ChurnSeasonTable,4,FALSE))*POWER(1-(AnnualChurn*VLOOKUP(ALV17,ChurnSeasonTable,4,FALSE)),0)</f>
        <v/>
      </c>
      <c r="AMR17" s="12">
        <f>AMR16+AML17-AML5*(AnnualChurn*VLOOKUP(ALV17,ChurnSeasonTable,4,FALSE))*POWER(1-(AnnualChurn*VLOOKUP(ALV17,ChurnSeasonTable,4,FALSE)),0)</f>
        <v/>
      </c>
      <c r="AMS17" s="12">
        <f>AMM17+AMN17+AMO17+AMP17+AMQ17+AMR17</f>
        <v/>
      </c>
      <c r="AMT17" s="9">
        <f>AMM17*BlendedPriceEssMonthly*ALY17+AMN17*BlendedPricePremMonthly*ALY17+AMO17*BlendedPriceEliteMonthly*ALY17+AMP17*BlendedPriceEssAnnual*ALY17/12+AMQ17*BlendedPricePremAnnual*ALY17/12+AMR17*BlendedPriceEliteAnnual*ALY17/12</f>
        <v/>
      </c>
      <c r="AMU17" s="9">
        <f>AMT17*12</f>
        <v/>
      </c>
      <c r="AMV17" s="12">
        <f>AMM17*BlendedPriceEssMonthly*ALY17+AMN17*BlendedPricePremMonthly*ALY17+AMO17*BlendedPriceEliteMonthly*ALY17</f>
        <v/>
      </c>
      <c r="AMW17" s="12">
        <f>AMJ17*BlendedPriceEssAnnual*ALY17+AMK17*BlendedPricePremAnnual*ALY17+AML17*BlendedPriceEliteAnnual*ALY17</f>
        <v/>
      </c>
      <c r="AMX17" s="12">
        <f>AMJ5*POWER(1-(AnnualChurn*VLOOKUP(ALV17,ChurnSeasonTable,4,FALSE)),1)*BlendedPriceEssAnnual*ALY17+AMK5*POWER(1-(AnnualChurn*VLOOKUP(ALV17,ChurnSeasonTable,4,FALSE)),1)*BlendedPricePremAnnual*ALY17+AML5*POWER(1-(AnnualChurn*VLOOKUP(ALV17,ChurnSeasonTable,4,FALSE)),1)*BlendedPriceEliteAnnual*ALY17</f>
        <v/>
      </c>
      <c r="AMY17" s="9">
        <f>AMV17+AMW17+AMX17</f>
        <v/>
      </c>
      <c r="AMZ17" s="12">
        <f>SUM(AMY6:AMY17)</f>
        <v/>
      </c>
      <c r="ANA17" s="12">
        <f>OR(ANA16,IF(VATAgentMode,SUM($AMY6:$AMY17)-SUM($ANF6:$ANF17)&gt;=VATThreshold,SUM($AMY6:$AMY17)&gt;=VATThreshold))</f>
        <v/>
      </c>
      <c r="ANB17" s="9">
        <f>IF(ANA17,IF(VATAgentMode,AMY17-((AMY17-ANF17)-(AMY17-ANF17)/(1+VATRate)),AMY17/(1+VATRate)),AMY17)</f>
        <v/>
      </c>
      <c r="ANC17" s="12">
        <f>AMY17-ANB17</f>
        <v/>
      </c>
      <c r="AND17" s="12">
        <f>IF(ANA17=0,0,IF(ALV17=1,SUMPRODUCT(--(($ALW$5:$ALW17=$ALW17-1)*($ALV$5:$ALV17&gt;=10)*($ALV$5:$ALV17&lt;=12)),$ANC$5:$ANC17),IF(ALV17=4,SUMPRODUCT(--(($ALW$5:$ALW17=$ALW17)*($ALV$5:$ALV17&gt;=1)*($ALV$5:$ALV17&lt;=3)),$ANC$5:$ANC17),IF(ALV17=7,SUMPRODUCT(--(($ALW$5:$ALW17=$ALW17)*($ALV$5:$ALV17&gt;=4)*($ALV$5:$ALV17&lt;=6)),$ANC$5:$ANC17),IF(ALV17=10,SUMPRODUCT(--(($ALW$5:$ALW17=$ALW17)*($ALV$5:$ALV17&gt;=7)*($ALV$5:$ALV17&lt;=9)),$ANC$5:$ANC17),0)))))</f>
        <v/>
      </c>
      <c r="ANE17" s="12">
        <f>ANE16+ANC17-AND17</f>
        <v/>
      </c>
      <c r="ANF17" s="12">
        <f>IF(ProviderDelay&gt;=1,AMM16*BlendedProvPayEss+AMN16*BlendedProvPayPrem+AMO16*BlendedProvPayElite+AMP16*BlendedProvPayEss+AMQ16*BlendedProvPayPrem+AMR16*BlendedProvPayElite,AMM17*BlendedProvPayEss+AMN17*BlendedProvPayPrem+AMO17*BlendedProvPayElite+AMP17*BlendedProvPayEss+AMQ17*BlendedProvPayPrem+AMR17*BlendedProvPayElite)</f>
        <v/>
      </c>
      <c r="ANG17" s="12">
        <f>AMY17*PaymentFee</f>
        <v/>
      </c>
      <c r="ANH17" s="12">
        <f>AMS17*OpsAI</f>
        <v/>
      </c>
      <c r="ANI17" s="12">
        <f>MonthlyFixed</f>
        <v/>
      </c>
      <c r="ANJ17" s="12">
        <f>AMC17*ReferralReward</f>
        <v/>
      </c>
      <c r="ANK17" s="12">
        <f>AMA17</f>
        <v/>
      </c>
      <c r="ANL17" s="9">
        <f>ANB17-ANF17-ANG17-ANH17-ANI17-ANJ17-ANK17</f>
        <v/>
      </c>
      <c r="ANM17" s="9">
        <f>ANM16+AMY17-(ANF17+ANG17+ANH17+ANI17+ANJ17+ANK17+AND17)</f>
        <v/>
      </c>
      <c r="ANN17" s="12">
        <f>IF(AMS17&gt;0,AMT17/AMS17,0)</f>
        <v/>
      </c>
      <c r="ANO17" s="11">
        <f>IF(AMS16&gt;0,MAX(0,(AMS16+AMD17-AMS17)/AMS16),0)</f>
        <v/>
      </c>
      <c r="ANQ17" s="12" t="n">
        <v>13</v>
      </c>
      <c r="ANR17" s="12">
        <f>MOD(ANQ17-1+LaunchMonth-1,12)+1</f>
        <v/>
      </c>
      <c r="ANS17" s="12">
        <f>INT((ANQ17-1+LaunchMonth-1)/12)+1</f>
        <v/>
      </c>
      <c r="ANT17" s="12">
        <f>VLOOKUP(ANR17,SeasonTable,2,FALSE)</f>
        <v/>
      </c>
      <c r="ANU17" s="12">
        <f>(1+InflationRate)^INT((ANQ17-1)/12)</f>
        <v/>
      </c>
      <c r="ANV17" s="11">
        <f>MonthlyChurn*VLOOKUP(ANR17,ChurnSeasonTable,4,FALSE)</f>
        <v/>
      </c>
      <c r="ANW17" s="12">
        <f>MIN(MAX(MktMin13_18,AOU16*MktPct13_18),MAX(0,API16-CashBuffer))</f>
        <v/>
      </c>
      <c r="ANX17" s="12">
        <f>IF(ANW17&gt;0,MAX(1,ROUND(ANW17/'Sens - CAC &amp; Marketing'!$A$12*ANT17,0)),0)</f>
        <v/>
      </c>
      <c r="ANY17" s="12">
        <f>IF(ANX17&gt;0,ROUND(ANX17*ReferralMix/(1-ReferralMix),0),0)</f>
        <v/>
      </c>
      <c r="ANZ17" s="12">
        <f>ANX17+ANY17</f>
        <v/>
      </c>
      <c r="AOA17" s="12">
        <f>ROUND(ANZ17*(1-AnnualMix),0)</f>
        <v/>
      </c>
      <c r="AOB17" s="12">
        <f>ANZ17-AOA17</f>
        <v/>
      </c>
      <c r="AOC17" s="12">
        <f>ROUND(AOA17*EssentialMix,0)</f>
        <v/>
      </c>
      <c r="AOD17" s="12">
        <f>ROUND(AOA17*PremiumMix,0)</f>
        <v/>
      </c>
      <c r="AOE17" s="12">
        <f>AOA17-AOC17-AOD17</f>
        <v/>
      </c>
      <c r="AOF17" s="12">
        <f>ROUND(AOB17*EssentialMix,0)</f>
        <v/>
      </c>
      <c r="AOG17" s="12">
        <f>ROUND(AOB17*PremiumMix,0)</f>
        <v/>
      </c>
      <c r="AOH17" s="12">
        <f>AOB17-AOF17-AOG17</f>
        <v/>
      </c>
      <c r="AOI17" s="12">
        <f>AOC17+AOC16+AOC15+MAX(0,AOI16-AOC16-AOC15)*(1-ANV17)</f>
        <v/>
      </c>
      <c r="AOJ17" s="12">
        <f>AOD17+AOD16+AOD15+MAX(0,AOJ16-AOD16-AOD15)*(1-ANV17)</f>
        <v/>
      </c>
      <c r="AOK17" s="12">
        <f>AOE17+AOE16+AOE15+MAX(0,AOK16-AOE16-AOE15)*(1-ANV17)</f>
        <v/>
      </c>
      <c r="AOL17" s="12">
        <f>AOL16+AOF17-AOF5*(AnnualChurn*VLOOKUP(ANR17,ChurnSeasonTable,4,FALSE))*POWER(1-(AnnualChurn*VLOOKUP(ANR17,ChurnSeasonTable,4,FALSE)),0)</f>
        <v/>
      </c>
      <c r="AOM17" s="12">
        <f>AOM16+AOG17-AOG5*(AnnualChurn*VLOOKUP(ANR17,ChurnSeasonTable,4,FALSE))*POWER(1-(AnnualChurn*VLOOKUP(ANR17,ChurnSeasonTable,4,FALSE)),0)</f>
        <v/>
      </c>
      <c r="AON17" s="12">
        <f>AON16+AOH17-AOH5*(AnnualChurn*VLOOKUP(ANR17,ChurnSeasonTable,4,FALSE))*POWER(1-(AnnualChurn*VLOOKUP(ANR17,ChurnSeasonTable,4,FALSE)),0)</f>
        <v/>
      </c>
      <c r="AOO17" s="12">
        <f>AOI17+AOJ17+AOK17+AOL17+AOM17+AON17</f>
        <v/>
      </c>
      <c r="AOP17" s="9">
        <f>AOI17*BlendedPriceEssMonthly*ANU17+AOJ17*BlendedPricePremMonthly*ANU17+AOK17*BlendedPriceEliteMonthly*ANU17+AOL17*BlendedPriceEssAnnual*ANU17/12+AOM17*BlendedPricePremAnnual*ANU17/12+AON17*BlendedPriceEliteAnnual*ANU17/12</f>
        <v/>
      </c>
      <c r="AOQ17" s="9">
        <f>AOP17*12</f>
        <v/>
      </c>
      <c r="AOR17" s="12">
        <f>AOI17*BlendedPriceEssMonthly*ANU17+AOJ17*BlendedPricePremMonthly*ANU17+AOK17*BlendedPriceEliteMonthly*ANU17</f>
        <v/>
      </c>
      <c r="AOS17" s="12">
        <f>AOF17*BlendedPriceEssAnnual*ANU17+AOG17*BlendedPricePremAnnual*ANU17+AOH17*BlendedPriceEliteAnnual*ANU17</f>
        <v/>
      </c>
      <c r="AOT17" s="12">
        <f>AOF5*POWER(1-(AnnualChurn*VLOOKUP(ANR17,ChurnSeasonTable,4,FALSE)),1)*BlendedPriceEssAnnual*ANU17+AOG5*POWER(1-(AnnualChurn*VLOOKUP(ANR17,ChurnSeasonTable,4,FALSE)),1)*BlendedPricePremAnnual*ANU17+AOH5*POWER(1-(AnnualChurn*VLOOKUP(ANR17,ChurnSeasonTable,4,FALSE)),1)*BlendedPriceEliteAnnual*ANU17</f>
        <v/>
      </c>
      <c r="AOU17" s="9">
        <f>AOR17+AOS17+AOT17</f>
        <v/>
      </c>
      <c r="AOV17" s="12">
        <f>SUM(AOU6:AOU17)</f>
        <v/>
      </c>
      <c r="AOW17" s="12">
        <f>OR(AOW16,IF(VATAgentMode,SUM($AOU6:$AOU17)-SUM($APB6:$APB17)&gt;=VATThreshold,SUM($AOU6:$AOU17)&gt;=VATThreshold))</f>
        <v/>
      </c>
      <c r="AOX17" s="9">
        <f>IF(AOW17,IF(VATAgentMode,AOU17-((AOU17-APB17)-(AOU17-APB17)/(1+VATRate)),AOU17/(1+VATRate)),AOU17)</f>
        <v/>
      </c>
      <c r="AOY17" s="12">
        <f>AOU17-AOX17</f>
        <v/>
      </c>
      <c r="AOZ17" s="12">
        <f>IF(AOW17=0,0,IF(ANR17=1,SUMPRODUCT(--(($ANS$5:$ANS17=$ANS17-1)*($ANR$5:$ANR17&gt;=10)*($ANR$5:$ANR17&lt;=12)),$AOY$5:$AOY17),IF(ANR17=4,SUMPRODUCT(--(($ANS$5:$ANS17=$ANS17)*($ANR$5:$ANR17&gt;=1)*($ANR$5:$ANR17&lt;=3)),$AOY$5:$AOY17),IF(ANR17=7,SUMPRODUCT(--(($ANS$5:$ANS17=$ANS17)*($ANR$5:$ANR17&gt;=4)*($ANR$5:$ANR17&lt;=6)),$AOY$5:$AOY17),IF(ANR17=10,SUMPRODUCT(--(($ANS$5:$ANS17=$ANS17)*($ANR$5:$ANR17&gt;=7)*($ANR$5:$ANR17&lt;=9)),$AOY$5:$AOY17),0)))))</f>
        <v/>
      </c>
      <c r="APA17" s="12">
        <f>APA16+AOY17-AOZ17</f>
        <v/>
      </c>
      <c r="APB17" s="12">
        <f>IF(ProviderDelay&gt;=1,AOI16*BlendedProvPayEss+AOJ16*BlendedProvPayPrem+AOK16*BlendedProvPayElite+AOL16*BlendedProvPayEss+AOM16*BlendedProvPayPrem+AON16*BlendedProvPayElite,AOI17*BlendedProvPayEss+AOJ17*BlendedProvPayPrem+AOK17*BlendedProvPayElite+AOL17*BlendedProvPayEss+AOM17*BlendedProvPayPrem+AON17*BlendedProvPayElite)</f>
        <v/>
      </c>
      <c r="APC17" s="12">
        <f>AOU17*PaymentFee</f>
        <v/>
      </c>
      <c r="APD17" s="12">
        <f>AOO17*OpsAI</f>
        <v/>
      </c>
      <c r="APE17" s="12">
        <f>MonthlyFixed</f>
        <v/>
      </c>
      <c r="APF17" s="12">
        <f>ANY17*ReferralReward</f>
        <v/>
      </c>
      <c r="APG17" s="12">
        <f>ANW17</f>
        <v/>
      </c>
      <c r="APH17" s="9">
        <f>AOX17-APB17-APC17-APD17-APE17-APF17-APG17</f>
        <v/>
      </c>
      <c r="API17" s="9">
        <f>API16+AOU17-(APB17+APC17+APD17+APE17+APF17+APG17+AOZ17)</f>
        <v/>
      </c>
      <c r="APJ17" s="12">
        <f>IF(AOO17&gt;0,AOP17/AOO17,0)</f>
        <v/>
      </c>
      <c r="APK17" s="11">
        <f>IF(AOO16&gt;0,MAX(0,(AOO16+ANZ17-AOO17)/AOO16),0)</f>
        <v/>
      </c>
      <c r="APM17" s="12" t="n">
        <v>13</v>
      </c>
      <c r="APN17" s="12">
        <f>MOD(APM17-1+LaunchMonth-1,12)+1</f>
        <v/>
      </c>
      <c r="APO17" s="12">
        <f>INT((APM17-1+LaunchMonth-1)/12)+1</f>
        <v/>
      </c>
      <c r="APP17" s="12">
        <f>VLOOKUP(APN17,SeasonTable,2,FALSE)</f>
        <v/>
      </c>
      <c r="APQ17" s="12">
        <f>(1+InflationRate)^INT((APM17-1)/12)</f>
        <v/>
      </c>
      <c r="APR17" s="11">
        <f>MonthlyChurn*VLOOKUP(APN17,ChurnSeasonTable,4,FALSE)</f>
        <v/>
      </c>
      <c r="APS17" s="12">
        <f>MIN(MAX(MktMin13_18,AQQ16*MktPct13_18),MAX(0,ARE16-CashBuffer))</f>
        <v/>
      </c>
      <c r="APT17" s="12">
        <f>IF(APS17&gt;0,MAX(1,ROUND(APS17/'Sens - CAC &amp; Marketing'!$A$13*APP17,0)),0)</f>
        <v/>
      </c>
      <c r="APU17" s="12">
        <f>IF(APT17&gt;0,ROUND(APT17*ReferralMix/(1-ReferralMix),0),0)</f>
        <v/>
      </c>
      <c r="APV17" s="12">
        <f>APT17+APU17</f>
        <v/>
      </c>
      <c r="APW17" s="12">
        <f>ROUND(APV17*(1-AnnualMix),0)</f>
        <v/>
      </c>
      <c r="APX17" s="12">
        <f>APV17-APW17</f>
        <v/>
      </c>
      <c r="APY17" s="12">
        <f>ROUND(APW17*EssentialMix,0)</f>
        <v/>
      </c>
      <c r="APZ17" s="12">
        <f>ROUND(APW17*PremiumMix,0)</f>
        <v/>
      </c>
      <c r="AQA17" s="12">
        <f>APW17-APY17-APZ17</f>
        <v/>
      </c>
      <c r="AQB17" s="12">
        <f>ROUND(APX17*EssentialMix,0)</f>
        <v/>
      </c>
      <c r="AQC17" s="12">
        <f>ROUND(APX17*PremiumMix,0)</f>
        <v/>
      </c>
      <c r="AQD17" s="12">
        <f>APX17-AQB17-AQC17</f>
        <v/>
      </c>
      <c r="AQE17" s="12">
        <f>APY17+APY16+APY15+MAX(0,AQE16-APY16-APY15)*(1-APR17)</f>
        <v/>
      </c>
      <c r="AQF17" s="12">
        <f>APZ17+APZ16+APZ15+MAX(0,AQF16-APZ16-APZ15)*(1-APR17)</f>
        <v/>
      </c>
      <c r="AQG17" s="12">
        <f>AQA17+AQA16+AQA15+MAX(0,AQG16-AQA16-AQA15)*(1-APR17)</f>
        <v/>
      </c>
      <c r="AQH17" s="12">
        <f>AQH16+AQB17-AQB5*(AnnualChurn*VLOOKUP(APN17,ChurnSeasonTable,4,FALSE))*POWER(1-(AnnualChurn*VLOOKUP(APN17,ChurnSeasonTable,4,FALSE)),0)</f>
        <v/>
      </c>
      <c r="AQI17" s="12">
        <f>AQI16+AQC17-AQC5*(AnnualChurn*VLOOKUP(APN17,ChurnSeasonTable,4,FALSE))*POWER(1-(AnnualChurn*VLOOKUP(APN17,ChurnSeasonTable,4,FALSE)),0)</f>
        <v/>
      </c>
      <c r="AQJ17" s="12">
        <f>AQJ16+AQD17-AQD5*(AnnualChurn*VLOOKUP(APN17,ChurnSeasonTable,4,FALSE))*POWER(1-(AnnualChurn*VLOOKUP(APN17,ChurnSeasonTable,4,FALSE)),0)</f>
        <v/>
      </c>
      <c r="AQK17" s="12">
        <f>AQE17+AQF17+AQG17+AQH17+AQI17+AQJ17</f>
        <v/>
      </c>
      <c r="AQL17" s="9">
        <f>AQE17*BlendedPriceEssMonthly*APQ17+AQF17*BlendedPricePremMonthly*APQ17+AQG17*BlendedPriceEliteMonthly*APQ17+AQH17*BlendedPriceEssAnnual*APQ17/12+AQI17*BlendedPricePremAnnual*APQ17/12+AQJ17*BlendedPriceEliteAnnual*APQ17/12</f>
        <v/>
      </c>
      <c r="AQM17" s="9">
        <f>AQL17*12</f>
        <v/>
      </c>
      <c r="AQN17" s="12">
        <f>AQE17*BlendedPriceEssMonthly*APQ17+AQF17*BlendedPricePremMonthly*APQ17+AQG17*BlendedPriceEliteMonthly*APQ17</f>
        <v/>
      </c>
      <c r="AQO17" s="12">
        <f>AQB17*BlendedPriceEssAnnual*APQ17+AQC17*BlendedPricePremAnnual*APQ17+AQD17*BlendedPriceEliteAnnual*APQ17</f>
        <v/>
      </c>
      <c r="AQP17" s="12">
        <f>AQB5*POWER(1-(AnnualChurn*VLOOKUP(APN17,ChurnSeasonTable,4,FALSE)),1)*BlendedPriceEssAnnual*APQ17+AQC5*POWER(1-(AnnualChurn*VLOOKUP(APN17,ChurnSeasonTable,4,FALSE)),1)*BlendedPricePremAnnual*APQ17+AQD5*POWER(1-(AnnualChurn*VLOOKUP(APN17,ChurnSeasonTable,4,FALSE)),1)*BlendedPriceEliteAnnual*APQ17</f>
        <v/>
      </c>
      <c r="AQQ17" s="9">
        <f>AQN17+AQO17+AQP17</f>
        <v/>
      </c>
      <c r="AQR17" s="12">
        <f>SUM(AQQ6:AQQ17)</f>
        <v/>
      </c>
      <c r="AQS17" s="12">
        <f>OR(AQS16,IF(VATAgentMode,SUM($AQQ6:$AQQ17)-SUM($AQX6:$AQX17)&gt;=VATThreshold,SUM($AQQ6:$AQQ17)&gt;=VATThreshold))</f>
        <v/>
      </c>
      <c r="AQT17" s="9">
        <f>IF(AQS17,IF(VATAgentMode,AQQ17-((AQQ17-AQX17)-(AQQ17-AQX17)/(1+VATRate)),AQQ17/(1+VATRate)),AQQ17)</f>
        <v/>
      </c>
      <c r="AQU17" s="12">
        <f>AQQ17-AQT17</f>
        <v/>
      </c>
      <c r="AQV17" s="12">
        <f>IF(AQS17=0,0,IF(APN17=1,SUMPRODUCT(--(($APO$5:$APO17=$APO17-1)*($APN$5:$APN17&gt;=10)*($APN$5:$APN17&lt;=12)),$AQU$5:$AQU17),IF(APN17=4,SUMPRODUCT(--(($APO$5:$APO17=$APO17)*($APN$5:$APN17&gt;=1)*($APN$5:$APN17&lt;=3)),$AQU$5:$AQU17),IF(APN17=7,SUMPRODUCT(--(($APO$5:$APO17=$APO17)*($APN$5:$APN17&gt;=4)*($APN$5:$APN17&lt;=6)),$AQU$5:$AQU17),IF(APN17=10,SUMPRODUCT(--(($APO$5:$APO17=$APO17)*($APN$5:$APN17&gt;=7)*($APN$5:$APN17&lt;=9)),$AQU$5:$AQU17),0)))))</f>
        <v/>
      </c>
      <c r="AQW17" s="12">
        <f>AQW16+AQU17-AQV17</f>
        <v/>
      </c>
      <c r="AQX17" s="12">
        <f>IF(ProviderDelay&gt;=1,AQE16*BlendedProvPayEss+AQF16*BlendedProvPayPrem+AQG16*BlendedProvPayElite+AQH16*BlendedProvPayEss+AQI16*BlendedProvPayPrem+AQJ16*BlendedProvPayElite,AQE17*BlendedProvPayEss+AQF17*BlendedProvPayPrem+AQG17*BlendedProvPayElite+AQH17*BlendedProvPayEss+AQI17*BlendedProvPayPrem+AQJ17*BlendedProvPayElite)</f>
        <v/>
      </c>
      <c r="AQY17" s="12">
        <f>AQQ17*PaymentFee</f>
        <v/>
      </c>
      <c r="AQZ17" s="12">
        <f>AQK17*OpsAI</f>
        <v/>
      </c>
      <c r="ARA17" s="12">
        <f>MonthlyFixed</f>
        <v/>
      </c>
      <c r="ARB17" s="12">
        <f>APU17*ReferralReward</f>
        <v/>
      </c>
      <c r="ARC17" s="12">
        <f>APS17</f>
        <v/>
      </c>
      <c r="ARD17" s="9">
        <f>AQT17-AQX17-AQY17-AQZ17-ARA17-ARB17-ARC17</f>
        <v/>
      </c>
      <c r="ARE17" s="9">
        <f>ARE16+AQQ17-(AQX17+AQY17+AQZ17+ARA17+ARB17+ARC17+AQV17)</f>
        <v/>
      </c>
      <c r="ARF17" s="12">
        <f>IF(AQK17&gt;0,AQL17/AQK17,0)</f>
        <v/>
      </c>
      <c r="ARG17" s="11">
        <f>IF(AQK16&gt;0,MAX(0,(AQK16+APV17-AQK17)/AQK16),0)</f>
        <v/>
      </c>
      <c r="ARI17" s="12" t="n">
        <v>13</v>
      </c>
      <c r="ARJ17" s="12">
        <f>MOD(ARI17-1+LaunchMonth-1,12)+1</f>
        <v/>
      </c>
      <c r="ARK17" s="12">
        <f>INT((ARI17-1+LaunchMonth-1)/12)+1</f>
        <v/>
      </c>
      <c r="ARL17" s="12">
        <f>VLOOKUP(ARJ17,SeasonTable,2,FALSE)</f>
        <v/>
      </c>
      <c r="ARM17" s="12">
        <f>(1+InflationRate)^INT((ARI17-1)/12)</f>
        <v/>
      </c>
      <c r="ARN17" s="11">
        <f>MonthlyChurn*VLOOKUP(ARJ17,ChurnSeasonTable,4,FALSE)</f>
        <v/>
      </c>
      <c r="ARO17" s="12">
        <f>MIN(MAX(MktMin13_18,ASM16*MktPct13_18),MAX(0,ATA16-CashBuffer))</f>
        <v/>
      </c>
      <c r="ARP17" s="12">
        <f>IF(ARO17&gt;0,MAX(1,ROUND(ARO17/'Sens - CAC &amp; Marketing'!$A$14*ARL17,0)),0)</f>
        <v/>
      </c>
      <c r="ARQ17" s="12">
        <f>IF(ARP17&gt;0,ROUND(ARP17*ReferralMix/(1-ReferralMix),0),0)</f>
        <v/>
      </c>
      <c r="ARR17" s="12">
        <f>ARP17+ARQ17</f>
        <v/>
      </c>
      <c r="ARS17" s="12">
        <f>ROUND(ARR17*(1-AnnualMix),0)</f>
        <v/>
      </c>
      <c r="ART17" s="12">
        <f>ARR17-ARS17</f>
        <v/>
      </c>
      <c r="ARU17" s="12">
        <f>ROUND(ARS17*EssentialMix,0)</f>
        <v/>
      </c>
      <c r="ARV17" s="12">
        <f>ROUND(ARS17*PremiumMix,0)</f>
        <v/>
      </c>
      <c r="ARW17" s="12">
        <f>ARS17-ARU17-ARV17</f>
        <v/>
      </c>
      <c r="ARX17" s="12">
        <f>ROUND(ART17*EssentialMix,0)</f>
        <v/>
      </c>
      <c r="ARY17" s="12">
        <f>ROUND(ART17*PremiumMix,0)</f>
        <v/>
      </c>
      <c r="ARZ17" s="12">
        <f>ART17-ARX17-ARY17</f>
        <v/>
      </c>
      <c r="ASA17" s="12">
        <f>ARU17+ARU16+ARU15+MAX(0,ASA16-ARU16-ARU15)*(1-ARN17)</f>
        <v/>
      </c>
      <c r="ASB17" s="12">
        <f>ARV17+ARV16+ARV15+MAX(0,ASB16-ARV16-ARV15)*(1-ARN17)</f>
        <v/>
      </c>
      <c r="ASC17" s="12">
        <f>ARW17+ARW16+ARW15+MAX(0,ASC16-ARW16-ARW15)*(1-ARN17)</f>
        <v/>
      </c>
      <c r="ASD17" s="12">
        <f>ASD16+ARX17-ARX5*(AnnualChurn*VLOOKUP(ARJ17,ChurnSeasonTable,4,FALSE))*POWER(1-(AnnualChurn*VLOOKUP(ARJ17,ChurnSeasonTable,4,FALSE)),0)</f>
        <v/>
      </c>
      <c r="ASE17" s="12">
        <f>ASE16+ARY17-ARY5*(AnnualChurn*VLOOKUP(ARJ17,ChurnSeasonTable,4,FALSE))*POWER(1-(AnnualChurn*VLOOKUP(ARJ17,ChurnSeasonTable,4,FALSE)),0)</f>
        <v/>
      </c>
      <c r="ASF17" s="12">
        <f>ASF16+ARZ17-ARZ5*(AnnualChurn*VLOOKUP(ARJ17,ChurnSeasonTable,4,FALSE))*POWER(1-(AnnualChurn*VLOOKUP(ARJ17,ChurnSeasonTable,4,FALSE)),0)</f>
        <v/>
      </c>
      <c r="ASG17" s="12">
        <f>ASA17+ASB17+ASC17+ASD17+ASE17+ASF17</f>
        <v/>
      </c>
      <c r="ASH17" s="9">
        <f>ASA17*BlendedPriceEssMonthly*ARM17+ASB17*BlendedPricePremMonthly*ARM17+ASC17*BlendedPriceEliteMonthly*ARM17+ASD17*BlendedPriceEssAnnual*ARM17/12+ASE17*BlendedPricePremAnnual*ARM17/12+ASF17*BlendedPriceEliteAnnual*ARM17/12</f>
        <v/>
      </c>
      <c r="ASI17" s="9">
        <f>ASH17*12</f>
        <v/>
      </c>
      <c r="ASJ17" s="12">
        <f>ASA17*BlendedPriceEssMonthly*ARM17+ASB17*BlendedPricePremMonthly*ARM17+ASC17*BlendedPriceEliteMonthly*ARM17</f>
        <v/>
      </c>
      <c r="ASK17" s="12">
        <f>ARX17*BlendedPriceEssAnnual*ARM17+ARY17*BlendedPricePremAnnual*ARM17+ARZ17*BlendedPriceEliteAnnual*ARM17</f>
        <v/>
      </c>
      <c r="ASL17" s="12">
        <f>ARX5*POWER(1-(AnnualChurn*VLOOKUP(ARJ17,ChurnSeasonTable,4,FALSE)),1)*BlendedPriceEssAnnual*ARM17+ARY5*POWER(1-(AnnualChurn*VLOOKUP(ARJ17,ChurnSeasonTable,4,FALSE)),1)*BlendedPricePremAnnual*ARM17+ARZ5*POWER(1-(AnnualChurn*VLOOKUP(ARJ17,ChurnSeasonTable,4,FALSE)),1)*BlendedPriceEliteAnnual*ARM17</f>
        <v/>
      </c>
      <c r="ASM17" s="9">
        <f>ASJ17+ASK17+ASL17</f>
        <v/>
      </c>
      <c r="ASN17" s="12">
        <f>SUM(ASM6:ASM17)</f>
        <v/>
      </c>
      <c r="ASO17" s="12">
        <f>OR(ASO16,IF(VATAgentMode,SUM($ASM6:$ASM17)-SUM($AST6:$AST17)&gt;=VATThreshold,SUM($ASM6:$ASM17)&gt;=VATThreshold))</f>
        <v/>
      </c>
      <c r="ASP17" s="9">
        <f>IF(ASO17,IF(VATAgentMode,ASM17-((ASM17-AST17)-(ASM17-AST17)/(1+VATRate)),ASM17/(1+VATRate)),ASM17)</f>
        <v/>
      </c>
      <c r="ASQ17" s="12">
        <f>ASM17-ASP17</f>
        <v/>
      </c>
      <c r="ASR17" s="12">
        <f>IF(ASO17=0,0,IF(ARJ17=1,SUMPRODUCT(--(($ARK$5:$ARK17=$ARK17-1)*($ARJ$5:$ARJ17&gt;=10)*($ARJ$5:$ARJ17&lt;=12)),$ASQ$5:$ASQ17),IF(ARJ17=4,SUMPRODUCT(--(($ARK$5:$ARK17=$ARK17)*($ARJ$5:$ARJ17&gt;=1)*($ARJ$5:$ARJ17&lt;=3)),$ASQ$5:$ASQ17),IF(ARJ17=7,SUMPRODUCT(--(($ARK$5:$ARK17=$ARK17)*($ARJ$5:$ARJ17&gt;=4)*($ARJ$5:$ARJ17&lt;=6)),$ASQ$5:$ASQ17),IF(ARJ17=10,SUMPRODUCT(--(($ARK$5:$ARK17=$ARK17)*($ARJ$5:$ARJ17&gt;=7)*($ARJ$5:$ARJ17&lt;=9)),$ASQ$5:$ASQ17),0)))))</f>
        <v/>
      </c>
      <c r="ASS17" s="12">
        <f>ASS16+ASQ17-ASR17</f>
        <v/>
      </c>
      <c r="AST17" s="12">
        <f>IF(ProviderDelay&gt;=1,ASA16*BlendedProvPayEss+ASB16*BlendedProvPayPrem+ASC16*BlendedProvPayElite+ASD16*BlendedProvPayEss+ASE16*BlendedProvPayPrem+ASF16*BlendedProvPayElite,ASA17*BlendedProvPayEss+ASB17*BlendedProvPayPrem+ASC17*BlendedProvPayElite+ASD17*BlendedProvPayEss+ASE17*BlendedProvPayPrem+ASF17*BlendedProvPayElite)</f>
        <v/>
      </c>
      <c r="ASU17" s="12">
        <f>ASM17*PaymentFee</f>
        <v/>
      </c>
      <c r="ASV17" s="12">
        <f>ASG17*OpsAI</f>
        <v/>
      </c>
      <c r="ASW17" s="12">
        <f>MonthlyFixed</f>
        <v/>
      </c>
      <c r="ASX17" s="12">
        <f>ARQ17*ReferralReward</f>
        <v/>
      </c>
      <c r="ASY17" s="12">
        <f>ARO17</f>
        <v/>
      </c>
      <c r="ASZ17" s="9">
        <f>ASP17-AST17-ASU17-ASV17-ASW17-ASX17-ASY17</f>
        <v/>
      </c>
      <c r="ATA17" s="9">
        <f>ATA16+ASM17-(AST17+ASU17+ASV17+ASW17+ASX17+ASY17+ASR17)</f>
        <v/>
      </c>
      <c r="ATB17" s="12">
        <f>IF(ASG17&gt;0,ASH17/ASG17,0)</f>
        <v/>
      </c>
      <c r="ATC17" s="11">
        <f>IF(ASG16&gt;0,MAX(0,(ASG16+ARR17-ASG17)/ASG16),0)</f>
        <v/>
      </c>
      <c r="ATE17" s="12" t="n">
        <v>13</v>
      </c>
      <c r="ATF17" s="12">
        <f>MOD(ATE17-1+LaunchMonth-1,12)+1</f>
        <v/>
      </c>
      <c r="ATG17" s="12">
        <f>INT((ATE17-1+LaunchMonth-1)/12)+1</f>
        <v/>
      </c>
      <c r="ATH17" s="12">
        <f>VLOOKUP(ATF17,SeasonTable,2,FALSE)</f>
        <v/>
      </c>
      <c r="ATI17" s="12">
        <f>(1+InflationRate)^INT((ATE17-1)/12)</f>
        <v/>
      </c>
      <c r="ATJ17" s="11">
        <f>MonthlyChurn*VLOOKUP(ATF17,ChurnSeasonTable,4,FALSE)</f>
        <v/>
      </c>
      <c r="ATK17" s="12">
        <f>MIN(MAX(MktMin13_18,AUI16*MktPct13_18),MAX(0,AUW16-CashBuffer))</f>
        <v/>
      </c>
      <c r="ATL17" s="12">
        <f>IF(ATK17&gt;0,MAX(1,ROUND(ATK17/'Sens - CAC &amp; Marketing'!$A$15*ATH17,0)),0)</f>
        <v/>
      </c>
      <c r="ATM17" s="12">
        <f>IF(ATL17&gt;0,ROUND(ATL17*ReferralMix/(1-ReferralMix),0),0)</f>
        <v/>
      </c>
      <c r="ATN17" s="12">
        <f>ATL17+ATM17</f>
        <v/>
      </c>
      <c r="ATO17" s="12">
        <f>ROUND(ATN17*(1-AnnualMix),0)</f>
        <v/>
      </c>
      <c r="ATP17" s="12">
        <f>ATN17-ATO17</f>
        <v/>
      </c>
      <c r="ATQ17" s="12">
        <f>ROUND(ATO17*EssentialMix,0)</f>
        <v/>
      </c>
      <c r="ATR17" s="12">
        <f>ROUND(ATO17*PremiumMix,0)</f>
        <v/>
      </c>
      <c r="ATS17" s="12">
        <f>ATO17-ATQ17-ATR17</f>
        <v/>
      </c>
      <c r="ATT17" s="12">
        <f>ROUND(ATP17*EssentialMix,0)</f>
        <v/>
      </c>
      <c r="ATU17" s="12">
        <f>ROUND(ATP17*PremiumMix,0)</f>
        <v/>
      </c>
      <c r="ATV17" s="12">
        <f>ATP17-ATT17-ATU17</f>
        <v/>
      </c>
      <c r="ATW17" s="12">
        <f>ATQ17+ATQ16+ATQ15+MAX(0,ATW16-ATQ16-ATQ15)*(1-ATJ17)</f>
        <v/>
      </c>
      <c r="ATX17" s="12">
        <f>ATR17+ATR16+ATR15+MAX(0,ATX16-ATR16-ATR15)*(1-ATJ17)</f>
        <v/>
      </c>
      <c r="ATY17" s="12">
        <f>ATS17+ATS16+ATS15+MAX(0,ATY16-ATS16-ATS15)*(1-ATJ17)</f>
        <v/>
      </c>
      <c r="ATZ17" s="12">
        <f>ATZ16+ATT17-ATT5*(AnnualChurn*VLOOKUP(ATF17,ChurnSeasonTable,4,FALSE))*POWER(1-(AnnualChurn*VLOOKUP(ATF17,ChurnSeasonTable,4,FALSE)),0)</f>
        <v/>
      </c>
      <c r="AUA17" s="12">
        <f>AUA16+ATU17-ATU5*(AnnualChurn*VLOOKUP(ATF17,ChurnSeasonTable,4,FALSE))*POWER(1-(AnnualChurn*VLOOKUP(ATF17,ChurnSeasonTable,4,FALSE)),0)</f>
        <v/>
      </c>
      <c r="AUB17" s="12">
        <f>AUB16+ATV17-ATV5*(AnnualChurn*VLOOKUP(ATF17,ChurnSeasonTable,4,FALSE))*POWER(1-(AnnualChurn*VLOOKUP(ATF17,ChurnSeasonTable,4,FALSE)),0)</f>
        <v/>
      </c>
      <c r="AUC17" s="12">
        <f>ATW17+ATX17+ATY17+ATZ17+AUA17+AUB17</f>
        <v/>
      </c>
      <c r="AUD17" s="9">
        <f>ATW17*BlendedPriceEssMonthly*ATI17+ATX17*BlendedPricePremMonthly*ATI17+ATY17*BlendedPriceEliteMonthly*ATI17+ATZ17*BlendedPriceEssAnnual*ATI17/12+AUA17*BlendedPricePremAnnual*ATI17/12+AUB17*BlendedPriceEliteAnnual*ATI17/12</f>
        <v/>
      </c>
      <c r="AUE17" s="9">
        <f>AUD17*12</f>
        <v/>
      </c>
      <c r="AUF17" s="12">
        <f>ATW17*BlendedPriceEssMonthly*ATI17+ATX17*BlendedPricePremMonthly*ATI17+ATY17*BlendedPriceEliteMonthly*ATI17</f>
        <v/>
      </c>
      <c r="AUG17" s="12">
        <f>ATT17*BlendedPriceEssAnnual*ATI17+ATU17*BlendedPricePremAnnual*ATI17+ATV17*BlendedPriceEliteAnnual*ATI17</f>
        <v/>
      </c>
      <c r="AUH17" s="12">
        <f>ATT5*POWER(1-(AnnualChurn*VLOOKUP(ATF17,ChurnSeasonTable,4,FALSE)),1)*BlendedPriceEssAnnual*ATI17+ATU5*POWER(1-(AnnualChurn*VLOOKUP(ATF17,ChurnSeasonTable,4,FALSE)),1)*BlendedPricePremAnnual*ATI17+ATV5*POWER(1-(AnnualChurn*VLOOKUP(ATF17,ChurnSeasonTable,4,FALSE)),1)*BlendedPriceEliteAnnual*ATI17</f>
        <v/>
      </c>
      <c r="AUI17" s="9">
        <f>AUF17+AUG17+AUH17</f>
        <v/>
      </c>
      <c r="AUJ17" s="12">
        <f>SUM(AUI6:AUI17)</f>
        <v/>
      </c>
      <c r="AUK17" s="12">
        <f>OR(AUK16,IF(VATAgentMode,SUM($AUI6:$AUI17)-SUM($AUP6:$AUP17)&gt;=VATThreshold,SUM($AUI6:$AUI17)&gt;=VATThreshold))</f>
        <v/>
      </c>
      <c r="AUL17" s="9">
        <f>IF(AUK17,IF(VATAgentMode,AUI17-((AUI17-AUP17)-(AUI17-AUP17)/(1+VATRate)),AUI17/(1+VATRate)),AUI17)</f>
        <v/>
      </c>
      <c r="AUM17" s="12">
        <f>AUI17-AUL17</f>
        <v/>
      </c>
      <c r="AUN17" s="12">
        <f>IF(AUK17=0,0,IF(ATF17=1,SUMPRODUCT(--(($ATG$5:$ATG17=$ATG17-1)*($ATF$5:$ATF17&gt;=10)*($ATF$5:$ATF17&lt;=12)),$AUM$5:$AUM17),IF(ATF17=4,SUMPRODUCT(--(($ATG$5:$ATG17=$ATG17)*($ATF$5:$ATF17&gt;=1)*($ATF$5:$ATF17&lt;=3)),$AUM$5:$AUM17),IF(ATF17=7,SUMPRODUCT(--(($ATG$5:$ATG17=$ATG17)*($ATF$5:$ATF17&gt;=4)*($ATF$5:$ATF17&lt;=6)),$AUM$5:$AUM17),IF(ATF17=10,SUMPRODUCT(--(($ATG$5:$ATG17=$ATG17)*($ATF$5:$ATF17&gt;=7)*($ATF$5:$ATF17&lt;=9)),$AUM$5:$AUM17),0)))))</f>
        <v/>
      </c>
      <c r="AUO17" s="12">
        <f>AUO16+AUM17-AUN17</f>
        <v/>
      </c>
      <c r="AUP17" s="12">
        <f>IF(ProviderDelay&gt;=1,ATW16*BlendedProvPayEss+ATX16*BlendedProvPayPrem+ATY16*BlendedProvPayElite+ATZ16*BlendedProvPayEss+AUA16*BlendedProvPayPrem+AUB16*BlendedProvPayElite,ATW17*BlendedProvPayEss+ATX17*BlendedProvPayPrem+ATY17*BlendedProvPayElite+ATZ17*BlendedProvPayEss+AUA17*BlendedProvPayPrem+AUB17*BlendedProvPayElite)</f>
        <v/>
      </c>
      <c r="AUQ17" s="12">
        <f>AUI17*PaymentFee</f>
        <v/>
      </c>
      <c r="AUR17" s="12">
        <f>AUC17*OpsAI</f>
        <v/>
      </c>
      <c r="AUS17" s="12">
        <f>MonthlyFixed</f>
        <v/>
      </c>
      <c r="AUT17" s="12">
        <f>ATM17*ReferralReward</f>
        <v/>
      </c>
      <c r="AUU17" s="12">
        <f>ATK17</f>
        <v/>
      </c>
      <c r="AUV17" s="9">
        <f>AUL17-AUP17-AUQ17-AUR17-AUS17-AUT17-AUU17</f>
        <v/>
      </c>
      <c r="AUW17" s="9">
        <f>AUW16+AUI17-(AUP17+AUQ17+AUR17+AUS17+AUT17+AUU17+AUN17)</f>
        <v/>
      </c>
      <c r="AUX17" s="12">
        <f>IF(AUC17&gt;0,AUD17/AUC17,0)</f>
        <v/>
      </c>
      <c r="AUY17" s="11">
        <f>IF(AUC16&gt;0,MAX(0,(AUC16+ATN17-AUC17)/AUC16),0)</f>
        <v/>
      </c>
      <c r="AVA17" s="12" t="n">
        <v>13</v>
      </c>
      <c r="AVB17" s="12">
        <f>MOD(AVA17-1+LaunchMonth-1,12)+1</f>
        <v/>
      </c>
      <c r="AVC17" s="12">
        <f>INT((AVA17-1+LaunchMonth-1)/12)+1</f>
        <v/>
      </c>
      <c r="AVD17" s="12">
        <f>VLOOKUP(AVB17,WinterPivotSeasonTable,5,FALSE)</f>
        <v/>
      </c>
      <c r="AVE17" s="12">
        <f>(1+InflationRate)^INT((AVA17-1)/12)</f>
        <v/>
      </c>
      <c r="AVF17" s="11">
        <f>MonthlyChurn*VLOOKUP(AVB17,WinterPivotChurnTable,6,FALSE)</f>
        <v/>
      </c>
      <c r="AVG17" s="12">
        <f>MIN(MAX(MktMin13_18,AWE16*MktPct13_18),MAX(0,AWS16-CashBuffer))</f>
        <v/>
      </c>
      <c r="AVH17" s="12">
        <f>IF(AVG17&gt;0,MAX(1,ROUND(AVG17/CAC*AVD17,0)),0)</f>
        <v/>
      </c>
      <c r="AVI17" s="12">
        <f>IF(AVH17&gt;0,ROUND(AVH17*ReferralMix/(1-ReferralMix),0),0)</f>
        <v/>
      </c>
      <c r="AVJ17" s="12">
        <f>AVH17+AVI17</f>
        <v/>
      </c>
      <c r="AVK17" s="12">
        <f>ROUND(AVJ17*(1-AnnualMix),0)</f>
        <v/>
      </c>
      <c r="AVL17" s="12">
        <f>AVJ17-AVK17</f>
        <v/>
      </c>
      <c r="AVM17" s="12">
        <f>ROUND(AVK17*'Sens - Winter Pivot'!$B$6,0)</f>
        <v/>
      </c>
      <c r="AVN17" s="12">
        <f>ROUND(AVK17*PremiumMix,0)</f>
        <v/>
      </c>
      <c r="AVO17" s="12">
        <f>AVK17-AVM17-AVN17</f>
        <v/>
      </c>
      <c r="AVP17" s="12">
        <f>ROUND(AVL17*'Sens - Winter Pivot'!$B$6,0)</f>
        <v/>
      </c>
      <c r="AVQ17" s="12">
        <f>ROUND(AVL17*PremiumMix,0)</f>
        <v/>
      </c>
      <c r="AVR17" s="12">
        <f>AVL17-AVP17-AVQ17</f>
        <v/>
      </c>
      <c r="AVS17" s="12">
        <f>AVM17+AVM16+AVM15+MAX(0,AVS16-AVM16-AVM15)*(1-AVF17)</f>
        <v/>
      </c>
      <c r="AVT17" s="12">
        <f>AVN17+AVN16+AVN15+MAX(0,AVT16-AVN16-AVN15)*(1-AVF17)</f>
        <v/>
      </c>
      <c r="AVU17" s="12">
        <f>AVO17+AVO16+AVO15+MAX(0,AVU16-AVO16-AVO15)*(1-AVF17)</f>
        <v/>
      </c>
      <c r="AVV17" s="12">
        <f>AVV16+AVP17-AVP5*(AnnualChurn*VLOOKUP(AVB17,ChurnSeasonTable,4,FALSE))*POWER(1-(AnnualChurn*VLOOKUP(AVB17,ChurnSeasonTable,4,FALSE)),0)</f>
        <v/>
      </c>
      <c r="AVW17" s="12">
        <f>AVW16+AVQ17-AVQ5*(AnnualChurn*VLOOKUP(AVB17,ChurnSeasonTable,4,FALSE))*POWER(1-(AnnualChurn*VLOOKUP(AVB17,ChurnSeasonTable,4,FALSE)),0)</f>
        <v/>
      </c>
      <c r="AVX17" s="12">
        <f>AVX16+AVR17-AVR5*(AnnualChurn*VLOOKUP(AVB17,ChurnSeasonTable,4,FALSE))*POWER(1-(AnnualChurn*VLOOKUP(AVB17,ChurnSeasonTable,4,FALSE)),0)</f>
        <v/>
      </c>
      <c r="AVY17" s="12">
        <f>AVS17+AVT17+AVU17+AVV17+AVW17+AVX17</f>
        <v/>
      </c>
      <c r="AVZ17" s="9">
        <f>AVS17*BlendedPriceEssMonthly*AVE17+AVT17*(BlendedPricePremMonthly+'Sens - Winter Pivot'!$B$7)*AVE17+AVU17*BlendedPriceEliteMonthly*AVE17+AVV17*BlendedPriceEssAnnual*AVE17/12+AVW17*(BlendedPricePremAnnual+'Sens - Winter Pivot'!$B$7*12)*AVE17/12+AVX17*BlendedPriceEliteAnnual*AVE17/12</f>
        <v/>
      </c>
      <c r="AWA17" s="9">
        <f>AVZ17*12</f>
        <v/>
      </c>
      <c r="AWB17" s="12">
        <f>AVS17*BlendedPriceEssMonthly*AVE17+AVT17*(BlendedPricePremMonthly+'Sens - Winter Pivot'!$B$7)*AVE17+AVU17*BlendedPriceEliteMonthly*AVE17</f>
        <v/>
      </c>
      <c r="AWC17" s="12">
        <f>AVP17*BlendedPriceEssAnnual*AVE17+AVQ17*(BlendedPricePremAnnual+'Sens - Winter Pivot'!$B$7*12)*AVE17+AVR17*BlendedPriceEliteAnnual*AVE17</f>
        <v/>
      </c>
      <c r="AWD17" s="12">
        <f>AVP5*POWER(1-(AnnualChurn*VLOOKUP(AVB17,ChurnSeasonTable,4,FALSE)),1)*BlendedPriceEssAnnual*AVE17+AVQ5*POWER(1-(AnnualChurn*VLOOKUP(AVB17,ChurnSeasonTable,4,FALSE)),1)*BlendedPricePremAnnual*AVE17+AVR5*POWER(1-(AnnualChurn*VLOOKUP(AVB17,ChurnSeasonTable,4,FALSE)),1)*BlendedPriceEliteAnnual*AVE17</f>
        <v/>
      </c>
      <c r="AWE17" s="9">
        <f>AWB17+AWC17+AWD17</f>
        <v/>
      </c>
      <c r="AWF17" s="12">
        <f>SUM(AWE6:AWE17)</f>
        <v/>
      </c>
      <c r="AWG17" s="12">
        <f>OR(AWG16,IF(VATAgentMode,SUM($AWE6:$AWE17)-SUM($AWL6:$AWL17)&gt;=VATThreshold,SUM($AWE6:$AWE17)&gt;=VATThreshold))</f>
        <v/>
      </c>
      <c r="AWH17" s="9">
        <f>IF(AWG17,IF(VATAgentMode,AWE17-((AWE17-AWL17)-(AWE17-AWL17)/(1+VATRate)),AWE17/(1+VATRate)),AWE17)</f>
        <v/>
      </c>
      <c r="AWI17" s="12">
        <f>AWE17-AWH17</f>
        <v/>
      </c>
      <c r="AWJ17" s="12">
        <f>IF(AWG17=0,0,IF(AVB17=1,SUMPRODUCT(--(($AVC$5:$AVC17=$AVC17-1)*($AVB$5:$AVB17&gt;=10)*($AVB$5:$AVB17&lt;=12)),$AWI$5:$AWI17),IF(AVB17=4,SUMPRODUCT(--(($AVC$5:$AVC17=$AVC17)*($AVB$5:$AVB17&gt;=1)*($AVB$5:$AVB17&lt;=3)),$AWI$5:$AWI17),IF(AVB17=7,SUMPRODUCT(--(($AVC$5:$AVC17=$AVC17)*($AVB$5:$AVB17&gt;=4)*($AVB$5:$AVB17&lt;=6)),$AWI$5:$AWI17),IF(AVB17=10,SUMPRODUCT(--(($AVC$5:$AVC17=$AVC17)*($AVB$5:$AVB17&gt;=7)*($AVB$5:$AVB17&lt;=9)),$AWI$5:$AWI17),0)))))</f>
        <v/>
      </c>
      <c r="AWK17" s="12">
        <f>AWK16+AWI17-AWJ17</f>
        <v/>
      </c>
      <c r="AWL17" s="12">
        <f>IF(ProviderDelay&gt;=1,AVS16*BlendedProvPayEss+AVT16*BlendedProvPayPrem+AVU16*BlendedProvPayElite+AVV16*BlendedProvPayEss+AVW16*BlendedProvPayPrem+AVX16*BlendedProvPayElite,AVS17*BlendedProvPayEss+AVT17*BlendedProvPayPrem+AVU17*BlendedProvPayElite+AVV17*BlendedProvPayEss+AVW17*BlendedProvPayPrem+AVX17*BlendedProvPayElite)</f>
        <v/>
      </c>
      <c r="AWM17" s="12">
        <f>AWE17*PaymentFee</f>
        <v/>
      </c>
      <c r="AWN17" s="12">
        <f>AVY17*OpsAI</f>
        <v/>
      </c>
      <c r="AWO17" s="12">
        <f>MonthlyFixed</f>
        <v/>
      </c>
      <c r="AWP17" s="12">
        <f>AVI17*ReferralReward</f>
        <v/>
      </c>
      <c r="AWQ17" s="12">
        <f>AVG17</f>
        <v/>
      </c>
      <c r="AWR17" s="9">
        <f>AWH17-AWL17-AWM17-AWN17-AWO17-AWP17-AWQ17</f>
        <v/>
      </c>
      <c r="AWS17" s="9">
        <f>AWS16+AWE17-(AWL17+AWM17+AWN17+AWO17+AWP17+AWQ17+AWJ17)</f>
        <v/>
      </c>
      <c r="AWT17" s="12">
        <f>IF(AVY17&gt;0,AVZ17/AVY17,0)</f>
        <v/>
      </c>
      <c r="AWU17" s="11">
        <f>IF(AVY16&gt;0,MAX(0,(AVY16+AVJ17-AVY17)/AVY16),0)</f>
        <v/>
      </c>
    </row>
    <row r="18">
      <c r="A18" s="12" t="n">
        <v>14</v>
      </c>
      <c r="B18" s="12">
        <f>MOD(A18-1+LaunchMonth-1,12)+1</f>
        <v/>
      </c>
      <c r="C18" s="12">
        <f>INT((A18-1+LaunchMonth-1)/12)+1</f>
        <v/>
      </c>
      <c r="D18" s="12">
        <f>VLOOKUP(B18,SeasonTable,2,FALSE)</f>
        <v/>
      </c>
      <c r="E18" s="12">
        <f>(1+InflationRate)^INT((A18-1)/12)</f>
        <v/>
      </c>
      <c r="F18" s="11">
        <f>'Sens - Scenarios'!$B$5*VLOOKUP(B18,ChurnSeasonTable,4,FALSE)</f>
        <v/>
      </c>
      <c r="G18" s="12">
        <f>MIN(MAX(MktMin13_18,AE17*MktPct13_18),MAX(0,AS17-CashBuffer))</f>
        <v/>
      </c>
      <c r="H18" s="12">
        <f>IF(G18&gt;0,MAX(1,ROUND(G18/'Sens - Scenarios'!$B$8*D18,0)),0)</f>
        <v/>
      </c>
      <c r="I18" s="12">
        <f>IF(H18&gt;0,ROUND(H18*ReferralMix/(1-ReferralMix),0),0)</f>
        <v/>
      </c>
      <c r="J18" s="12">
        <f>H18+I18</f>
        <v/>
      </c>
      <c r="K18" s="12">
        <f>ROUND(J18*(1-'Sens - Scenarios'!$B$7),0)</f>
        <v/>
      </c>
      <c r="L18" s="12">
        <f>J18-K18</f>
        <v/>
      </c>
      <c r="M18" s="12">
        <f>ROUND(K18*EssentialMix,0)</f>
        <v/>
      </c>
      <c r="N18" s="12">
        <f>ROUND(K18*PremiumMix,0)</f>
        <v/>
      </c>
      <c r="O18" s="12">
        <f>K18-M18-N18</f>
        <v/>
      </c>
      <c r="P18" s="12">
        <f>ROUND(L18*EssentialMix,0)</f>
        <v/>
      </c>
      <c r="Q18" s="12">
        <f>ROUND(L18*PremiumMix,0)</f>
        <v/>
      </c>
      <c r="R18" s="12">
        <f>L18-P18-Q18</f>
        <v/>
      </c>
      <c r="S18" s="12">
        <f>M18+M17+M16+MAX(0,S17-M17-M16)*(1-F18)</f>
        <v/>
      </c>
      <c r="T18" s="12">
        <f>N18+N17+N16+MAX(0,T17-N17-N16)*(1-F18)</f>
        <v/>
      </c>
      <c r="U18" s="12">
        <f>O18+O17+O16+MAX(0,U17-O17-O16)*(1-F18)</f>
        <v/>
      </c>
      <c r="V18" s="12">
        <f>V17+P18-P6*('Sens - Scenarios'!$B$6*VLOOKUP(B18,ChurnSeasonTable,4,FALSE))*POWER(1-('Sens - Scenarios'!$B$6*VLOOKUP(B18,ChurnSeasonTable,4,FALSE)),0)</f>
        <v/>
      </c>
      <c r="W18" s="12">
        <f>W17+Q18-Q6*('Sens - Scenarios'!$B$6*VLOOKUP(B18,ChurnSeasonTable,4,FALSE))*POWER(1-('Sens - Scenarios'!$B$6*VLOOKUP(B18,ChurnSeasonTable,4,FALSE)),0)</f>
        <v/>
      </c>
      <c r="X18" s="12">
        <f>X17+R18-R6*('Sens - Scenarios'!$B$6*VLOOKUP(B18,ChurnSeasonTable,4,FALSE))*POWER(1-('Sens - Scenarios'!$B$6*VLOOKUP(B18,ChurnSeasonTable,4,FALSE)),0)</f>
        <v/>
      </c>
      <c r="Y18" s="12">
        <f>S18+T18+U18+V18+W18+X18</f>
        <v/>
      </c>
      <c r="Z18" s="9">
        <f>S18*BlendedPriceEssMonthly*E18+T18*BlendedPricePremMonthly*E18+U18*BlendedPriceEliteMonthly*E18+V18*BlendedPriceEssAnnual*E18/12+W18*BlendedPricePremAnnual*E18/12+X18*BlendedPriceEliteAnnual*E18/12</f>
        <v/>
      </c>
      <c r="AA18" s="9">
        <f>Z18*12</f>
        <v/>
      </c>
      <c r="AB18" s="12">
        <f>S18*BlendedPriceEssMonthly*E18+T18*BlendedPricePremMonthly*E18+U18*BlendedPriceEliteMonthly*E18</f>
        <v/>
      </c>
      <c r="AC18" s="12">
        <f>P18*BlendedPriceEssAnnual*E18+Q18*BlendedPricePremAnnual*E18+R18*BlendedPriceEliteAnnual*E18</f>
        <v/>
      </c>
      <c r="AD18" s="12">
        <f>P6*POWER(1-('Sens - Scenarios'!$B$6*VLOOKUP(B18,ChurnSeasonTable,4,FALSE)),1)*BlendedPriceEssAnnual*E18+Q6*POWER(1-('Sens - Scenarios'!$B$6*VLOOKUP(B18,ChurnSeasonTable,4,FALSE)),1)*BlendedPricePremAnnual*E18+R6*POWER(1-('Sens - Scenarios'!$B$6*VLOOKUP(B18,ChurnSeasonTable,4,FALSE)),1)*BlendedPriceEliteAnnual*E18</f>
        <v/>
      </c>
      <c r="AE18" s="9">
        <f>AB18+AC18+AD18</f>
        <v/>
      </c>
      <c r="AF18" s="12">
        <f>SUM(AE7:AE18)</f>
        <v/>
      </c>
      <c r="AG18" s="12">
        <f>OR(AG17,IF(VATAgentMode,SUM($AE7:$AE18)-SUM($AL7:$AL18)&gt;=VATThreshold,SUM($AE7:$AE18)&gt;=VATThreshold))</f>
        <v/>
      </c>
      <c r="AH18" s="9">
        <f>IF(AG18,IF(VATAgentMode,AE18-((AE18-AL18)-(AE18-AL18)/(1+VATRate)),AE18/(1+VATRate)),AE18)</f>
        <v/>
      </c>
      <c r="AI18" s="12">
        <f>AE18-AH18</f>
        <v/>
      </c>
      <c r="AJ18" s="12">
        <f>IF(AG18=0,0,IF(B18=1,SUMPRODUCT(--(($C$5:$C18=$C18-1)*($B$5:$B18&gt;=10)*($B$5:$B18&lt;=12)),$AI$5:$AI18),IF(B18=4,SUMPRODUCT(--(($C$5:$C18=$C18)*($B$5:$B18&gt;=1)*($B$5:$B18&lt;=3)),$AI$5:$AI18),IF(B18=7,SUMPRODUCT(--(($C$5:$C18=$C18)*($B$5:$B18&gt;=4)*($B$5:$B18&lt;=6)),$AI$5:$AI18),IF(B18=10,SUMPRODUCT(--(($C$5:$C18=$C18)*($B$5:$B18&gt;=7)*($B$5:$B18&lt;=9)),$AI$5:$AI18),0)))))</f>
        <v/>
      </c>
      <c r="AK18" s="12">
        <f>AK17+AI18-AJ18</f>
        <v/>
      </c>
      <c r="AL18" s="12">
        <f>IF(ProviderDelay&gt;=1,S17*BlendedProvPayEss+T17*BlendedProvPayPrem+U17*BlendedProvPayElite+V17*BlendedProvPayEss+W17*BlendedProvPayPrem+X17*BlendedProvPayElite,S18*BlendedProvPayEss+T18*BlendedProvPayPrem+U18*BlendedProvPayElite+V18*BlendedProvPayEss+W18*BlendedProvPayPrem+X18*BlendedProvPayElite)</f>
        <v/>
      </c>
      <c r="AM18" s="12">
        <f>AE18*PaymentFee</f>
        <v/>
      </c>
      <c r="AN18" s="12">
        <f>Y18*OpsAI</f>
        <v/>
      </c>
      <c r="AO18" s="12">
        <f>MonthlyFixed</f>
        <v/>
      </c>
      <c r="AP18" s="12">
        <f>I18*ReferralReward</f>
        <v/>
      </c>
      <c r="AQ18" s="12">
        <f>G18</f>
        <v/>
      </c>
      <c r="AR18" s="9">
        <f>AH18-AL18-AM18-AN18-AO18-AP18-AQ18</f>
        <v/>
      </c>
      <c r="AS18" s="9">
        <f>AS17+AE18-(AL18+AM18+AN18+AO18+AP18+AQ18+AJ18)</f>
        <v/>
      </c>
      <c r="AT18" s="12">
        <f>IF(Y18&gt;0,Z18/Y18,0)</f>
        <v/>
      </c>
      <c r="AU18" s="11">
        <f>IF(Y17&gt;0,MAX(0,(Y17+J18-Y18)/Y17),0)</f>
        <v/>
      </c>
      <c r="AW18" s="12" t="n">
        <v>14</v>
      </c>
      <c r="AX18" s="12">
        <f>MOD(AW18-1+LaunchMonth-1,12)+1</f>
        <v/>
      </c>
      <c r="AY18" s="12">
        <f>INT((AW18-1+LaunchMonth-1)/12)+1</f>
        <v/>
      </c>
      <c r="AZ18" s="12">
        <f>VLOOKUP(AX18,SeasonTable,2,FALSE)</f>
        <v/>
      </c>
      <c r="BA18" s="12">
        <f>(1+InflationRate)^INT((AW18-1)/12)</f>
        <v/>
      </c>
      <c r="BB18" s="11">
        <f>MonthlyChurn*VLOOKUP(AX18,ChurnSeasonTable,4,FALSE)</f>
        <v/>
      </c>
      <c r="BC18" s="12">
        <f>MIN(MAX(MktMin13_18,CA17*MktPct13_18),MAX(0,CO17-CashBuffer))</f>
        <v/>
      </c>
      <c r="BD18" s="12">
        <f>IF(BC18&gt;0,MAX(1,ROUND(BC18/CAC*AZ18,0)),0)</f>
        <v/>
      </c>
      <c r="BE18" s="12">
        <f>IF(BD18&gt;0,ROUND(BD18*ReferralMix/(1-ReferralMix),0),0)</f>
        <v/>
      </c>
      <c r="BF18" s="12">
        <f>BD18+BE18</f>
        <v/>
      </c>
      <c r="BG18" s="12">
        <f>ROUND(BF18*(1-AnnualMix),0)</f>
        <v/>
      </c>
      <c r="BH18" s="12">
        <f>BF18-BG18</f>
        <v/>
      </c>
      <c r="BI18" s="12">
        <f>ROUND(BG18*EssentialMix,0)</f>
        <v/>
      </c>
      <c r="BJ18" s="12">
        <f>ROUND(BG18*PremiumMix,0)</f>
        <v/>
      </c>
      <c r="BK18" s="12">
        <f>BG18-BI18-BJ18</f>
        <v/>
      </c>
      <c r="BL18" s="12">
        <f>ROUND(BH18*EssentialMix,0)</f>
        <v/>
      </c>
      <c r="BM18" s="12">
        <f>ROUND(BH18*PremiumMix,0)</f>
        <v/>
      </c>
      <c r="BN18" s="12">
        <f>BH18-BL18-BM18</f>
        <v/>
      </c>
      <c r="BO18" s="12">
        <f>BI18+BI17+BI16+MAX(0,BO17-BI17-BI16)*(1-BB18)</f>
        <v/>
      </c>
      <c r="BP18" s="12">
        <f>BJ18+BJ17+BJ16+MAX(0,BP17-BJ17-BJ16)*(1-BB18)</f>
        <v/>
      </c>
      <c r="BQ18" s="12">
        <f>BK18+BK17+BK16+MAX(0,BQ17-BK17-BK16)*(1-BB18)</f>
        <v/>
      </c>
      <c r="BR18" s="12">
        <f>BR17+BL18-BL6*(AnnualChurn*VLOOKUP(AX18,ChurnSeasonTable,4,FALSE))*POWER(1-(AnnualChurn*VLOOKUP(AX18,ChurnSeasonTable,4,FALSE)),0)</f>
        <v/>
      </c>
      <c r="BS18" s="12">
        <f>BS17+BM18-BM6*(AnnualChurn*VLOOKUP(AX18,ChurnSeasonTable,4,FALSE))*POWER(1-(AnnualChurn*VLOOKUP(AX18,ChurnSeasonTable,4,FALSE)),0)</f>
        <v/>
      </c>
      <c r="BT18" s="12">
        <f>BT17+BN18-BN6*(AnnualChurn*VLOOKUP(AX18,ChurnSeasonTable,4,FALSE))*POWER(1-(AnnualChurn*VLOOKUP(AX18,ChurnSeasonTable,4,FALSE)),0)</f>
        <v/>
      </c>
      <c r="BU18" s="12">
        <f>BO18+BP18+BQ18+BR18+BS18+BT18</f>
        <v/>
      </c>
      <c r="BV18" s="9">
        <f>BO18*BlendedPriceEssMonthly*BA18+BP18*BlendedPricePremMonthly*BA18+BQ18*BlendedPriceEliteMonthly*BA18+BR18*BlendedPriceEssAnnual*BA18/12+BS18*BlendedPricePremAnnual*BA18/12+BT18*BlendedPriceEliteAnnual*BA18/12</f>
        <v/>
      </c>
      <c r="BW18" s="9">
        <f>BV18*12</f>
        <v/>
      </c>
      <c r="BX18" s="12">
        <f>BO18*BlendedPriceEssMonthly*BA18+BP18*BlendedPricePremMonthly*BA18+BQ18*BlendedPriceEliteMonthly*BA18</f>
        <v/>
      </c>
      <c r="BY18" s="12">
        <f>BL18*BlendedPriceEssAnnual*BA18+BM18*BlendedPricePremAnnual*BA18+BN18*BlendedPriceEliteAnnual*BA18</f>
        <v/>
      </c>
      <c r="BZ18" s="12">
        <f>BL6*POWER(1-(AnnualChurn*VLOOKUP(AX18,ChurnSeasonTable,4,FALSE)),1)*BlendedPriceEssAnnual*BA18+BM6*POWER(1-(AnnualChurn*VLOOKUP(AX18,ChurnSeasonTable,4,FALSE)),1)*BlendedPricePremAnnual*BA18+BN6*POWER(1-(AnnualChurn*VLOOKUP(AX18,ChurnSeasonTable,4,FALSE)),1)*BlendedPriceEliteAnnual*BA18</f>
        <v/>
      </c>
      <c r="CA18" s="9">
        <f>BX18+BY18+BZ18</f>
        <v/>
      </c>
      <c r="CB18" s="12">
        <f>SUM(CA7:CA18)</f>
        <v/>
      </c>
      <c r="CC18" s="12">
        <f>OR(CC17,IF(VATAgentMode,SUM($CA7:$CA18)-SUM($CH7:$CH18)&gt;=VATThreshold,SUM($CA7:$CA18)&gt;=VATThreshold))</f>
        <v/>
      </c>
      <c r="CD18" s="9">
        <f>IF(CC18,IF(VATAgentMode,CA18-((CA18-CH18)-(CA18-CH18)/(1+VATRate)),CA18/(1+VATRate)),CA18)</f>
        <v/>
      </c>
      <c r="CE18" s="12">
        <f>CA18-CD18</f>
        <v/>
      </c>
      <c r="CF18" s="12">
        <f>IF(CC18=0,0,IF(AX18=1,SUMPRODUCT(--(($AY$5:$AY18=$AY18-1)*($AX$5:$AX18&gt;=10)*($AX$5:$AX18&lt;=12)),$CE$5:$CE18),IF(AX18=4,SUMPRODUCT(--(($AY$5:$AY18=$AY18)*($AX$5:$AX18&gt;=1)*($AX$5:$AX18&lt;=3)),$CE$5:$CE18),IF(AX18=7,SUMPRODUCT(--(($AY$5:$AY18=$AY18)*($AX$5:$AX18&gt;=4)*($AX$5:$AX18&lt;=6)),$CE$5:$CE18),IF(AX18=10,SUMPRODUCT(--(($AY$5:$AY18=$AY18)*($AX$5:$AX18&gt;=7)*($AX$5:$AX18&lt;=9)),$CE$5:$CE18),0)))))</f>
        <v/>
      </c>
      <c r="CG18" s="12">
        <f>CG17+CE18-CF18</f>
        <v/>
      </c>
      <c r="CH18" s="12">
        <f>IF(ProviderDelay&gt;=1,BO17*BlendedProvPayEss+BP17*BlendedProvPayPrem+BQ17*BlendedProvPayElite+BR17*BlendedProvPayEss+BS17*BlendedProvPayPrem+BT17*BlendedProvPayElite,BO18*BlendedProvPayEss+BP18*BlendedProvPayPrem+BQ18*BlendedProvPayElite+BR18*BlendedProvPayEss+BS18*BlendedProvPayPrem+BT18*BlendedProvPayElite)</f>
        <v/>
      </c>
      <c r="CI18" s="12">
        <f>CA18*PaymentFee</f>
        <v/>
      </c>
      <c r="CJ18" s="12">
        <f>BU18*OpsAI</f>
        <v/>
      </c>
      <c r="CK18" s="12">
        <f>MonthlyFixed</f>
        <v/>
      </c>
      <c r="CL18" s="12">
        <f>BE18*ReferralReward</f>
        <v/>
      </c>
      <c r="CM18" s="12">
        <f>BC18</f>
        <v/>
      </c>
      <c r="CN18" s="9">
        <f>CD18-CH18-CI18-CJ18-CK18-CL18-CM18</f>
        <v/>
      </c>
      <c r="CO18" s="9">
        <f>CO17+CA18-(CH18+CI18+CJ18+CK18+CL18+CM18+CF18)</f>
        <v/>
      </c>
      <c r="CP18" s="12">
        <f>IF(BU18&gt;0,BV18/BU18,0)</f>
        <v/>
      </c>
      <c r="CQ18" s="11">
        <f>IF(BU17&gt;0,MAX(0,(BU17+BF18-BU18)/BU17),0)</f>
        <v/>
      </c>
      <c r="CS18" s="12" t="n">
        <v>14</v>
      </c>
      <c r="CT18" s="12">
        <f>MOD(CS18-1+LaunchMonth-1,12)+1</f>
        <v/>
      </c>
      <c r="CU18" s="12">
        <f>INT((CS18-1+LaunchMonth-1)/12)+1</f>
        <v/>
      </c>
      <c r="CV18" s="12">
        <f>VLOOKUP(CT18,SeasonTable,2,FALSE)</f>
        <v/>
      </c>
      <c r="CW18" s="12">
        <f>(1+InflationRate)^INT((CS18-1)/12)</f>
        <v/>
      </c>
      <c r="CX18" s="11">
        <f>'Sens - Scenarios'!$D$5*VLOOKUP(CT18,ChurnSeasonTable,4,FALSE)</f>
        <v/>
      </c>
      <c r="CY18" s="12">
        <f>MIN(MAX(MktMin13_18,DW17*MktPct13_18),MAX(0,EK17-CashBuffer))</f>
        <v/>
      </c>
      <c r="CZ18" s="12">
        <f>IF(CY18&gt;0,MAX(1,ROUND(CY18/'Sens - Scenarios'!$D$8*CV18,0)),0)</f>
        <v/>
      </c>
      <c r="DA18" s="12">
        <f>IF(CZ18&gt;0,ROUND(CZ18*ReferralMix/(1-ReferralMix),0),0)</f>
        <v/>
      </c>
      <c r="DB18" s="12">
        <f>CZ18+DA18</f>
        <v/>
      </c>
      <c r="DC18" s="12">
        <f>ROUND(DB18*(1-'Sens - Scenarios'!$D$7),0)</f>
        <v/>
      </c>
      <c r="DD18" s="12">
        <f>DB18-DC18</f>
        <v/>
      </c>
      <c r="DE18" s="12">
        <f>ROUND(DC18*EssentialMix,0)</f>
        <v/>
      </c>
      <c r="DF18" s="12">
        <f>ROUND(DC18*PremiumMix,0)</f>
        <v/>
      </c>
      <c r="DG18" s="12">
        <f>DC18-DE18-DF18</f>
        <v/>
      </c>
      <c r="DH18" s="12">
        <f>ROUND(DD18*EssentialMix,0)</f>
        <v/>
      </c>
      <c r="DI18" s="12">
        <f>ROUND(DD18*PremiumMix,0)</f>
        <v/>
      </c>
      <c r="DJ18" s="12">
        <f>DD18-DH18-DI18</f>
        <v/>
      </c>
      <c r="DK18" s="12">
        <f>DE18+DE17+DE16+MAX(0,DK17-DE17-DE16)*(1-CX18)</f>
        <v/>
      </c>
      <c r="DL18" s="12">
        <f>DF18+DF17+DF16+MAX(0,DL17-DF17-DF16)*(1-CX18)</f>
        <v/>
      </c>
      <c r="DM18" s="12">
        <f>DG18+DG17+DG16+MAX(0,DM17-DG17-DG16)*(1-CX18)</f>
        <v/>
      </c>
      <c r="DN18" s="12">
        <f>DN17+DH18-DH6*('Sens - Scenarios'!$D$6*VLOOKUP(CT18,ChurnSeasonTable,4,FALSE))*POWER(1-('Sens - Scenarios'!$D$6*VLOOKUP(CT18,ChurnSeasonTable,4,FALSE)),0)</f>
        <v/>
      </c>
      <c r="DO18" s="12">
        <f>DO17+DI18-DI6*('Sens - Scenarios'!$D$6*VLOOKUP(CT18,ChurnSeasonTable,4,FALSE))*POWER(1-('Sens - Scenarios'!$D$6*VLOOKUP(CT18,ChurnSeasonTable,4,FALSE)),0)</f>
        <v/>
      </c>
      <c r="DP18" s="12">
        <f>DP17+DJ18-DJ6*('Sens - Scenarios'!$D$6*VLOOKUP(CT18,ChurnSeasonTable,4,FALSE))*POWER(1-('Sens - Scenarios'!$D$6*VLOOKUP(CT18,ChurnSeasonTable,4,FALSE)),0)</f>
        <v/>
      </c>
      <c r="DQ18" s="12">
        <f>DK18+DL18+DM18+DN18+DO18+DP18</f>
        <v/>
      </c>
      <c r="DR18" s="9">
        <f>DK18*BlendedPriceEssMonthly*CW18+DL18*BlendedPricePremMonthly*CW18+DM18*BlendedPriceEliteMonthly*CW18+DN18*BlendedPriceEssAnnual*CW18/12+DO18*BlendedPricePremAnnual*CW18/12+DP18*BlendedPriceEliteAnnual*CW18/12</f>
        <v/>
      </c>
      <c r="DS18" s="9">
        <f>DR18*12</f>
        <v/>
      </c>
      <c r="DT18" s="12">
        <f>DK18*BlendedPriceEssMonthly*CW18+DL18*BlendedPricePremMonthly*CW18+DM18*BlendedPriceEliteMonthly*CW18</f>
        <v/>
      </c>
      <c r="DU18" s="12">
        <f>DH18*BlendedPriceEssAnnual*CW18+DI18*BlendedPricePremAnnual*CW18+DJ18*BlendedPriceEliteAnnual*CW18</f>
        <v/>
      </c>
      <c r="DV18" s="12">
        <f>DH6*POWER(1-('Sens - Scenarios'!$D$6*VLOOKUP(CT18,ChurnSeasonTable,4,FALSE)),1)*BlendedPriceEssAnnual*CW18+DI6*POWER(1-('Sens - Scenarios'!$D$6*VLOOKUP(CT18,ChurnSeasonTable,4,FALSE)),1)*BlendedPricePremAnnual*CW18+DJ6*POWER(1-('Sens - Scenarios'!$D$6*VLOOKUP(CT18,ChurnSeasonTable,4,FALSE)),1)*BlendedPriceEliteAnnual*CW18</f>
        <v/>
      </c>
      <c r="DW18" s="9">
        <f>DT18+DU18+DV18</f>
        <v/>
      </c>
      <c r="DX18" s="12">
        <f>SUM(DW7:DW18)</f>
        <v/>
      </c>
      <c r="DY18" s="12">
        <f>OR(DY17,IF(VATAgentMode,SUM($DW7:$DW18)-SUM($ED7:$ED18)&gt;=VATThreshold,SUM($DW7:$DW18)&gt;=VATThreshold))</f>
        <v/>
      </c>
      <c r="DZ18" s="9">
        <f>IF(DY18,IF(VATAgentMode,DW18-((DW18-ED18)-(DW18-ED18)/(1+VATRate)),DW18/(1+VATRate)),DW18)</f>
        <v/>
      </c>
      <c r="EA18" s="12">
        <f>DW18-DZ18</f>
        <v/>
      </c>
      <c r="EB18" s="12">
        <f>IF(DY18=0,0,IF(CT18=1,SUMPRODUCT(--(($CU$5:$CU18=$CU18-1)*($CT$5:$CT18&gt;=10)*($CT$5:$CT18&lt;=12)),$EA$5:$EA18),IF(CT18=4,SUMPRODUCT(--(($CU$5:$CU18=$CU18)*($CT$5:$CT18&gt;=1)*($CT$5:$CT18&lt;=3)),$EA$5:$EA18),IF(CT18=7,SUMPRODUCT(--(($CU$5:$CU18=$CU18)*($CT$5:$CT18&gt;=4)*($CT$5:$CT18&lt;=6)),$EA$5:$EA18),IF(CT18=10,SUMPRODUCT(--(($CU$5:$CU18=$CU18)*($CT$5:$CT18&gt;=7)*($CT$5:$CT18&lt;=9)),$EA$5:$EA18),0)))))</f>
        <v/>
      </c>
      <c r="EC18" s="12">
        <f>EC17+EA18-EB18</f>
        <v/>
      </c>
      <c r="ED18" s="12">
        <f>IF(ProviderDelay&gt;=1,DK17*BlendedProvPayEss+DL17*BlendedProvPayPrem+DM17*BlendedProvPayElite+DN17*BlendedProvPayEss+DO17*BlendedProvPayPrem+DP17*BlendedProvPayElite,DK18*BlendedProvPayEss+DL18*BlendedProvPayPrem+DM18*BlendedProvPayElite+DN18*BlendedProvPayEss+DO18*BlendedProvPayPrem+DP18*BlendedProvPayElite)</f>
        <v/>
      </c>
      <c r="EE18" s="12">
        <f>DW18*PaymentFee</f>
        <v/>
      </c>
      <c r="EF18" s="12">
        <f>DQ18*OpsAI</f>
        <v/>
      </c>
      <c r="EG18" s="12">
        <f>MonthlyFixed</f>
        <v/>
      </c>
      <c r="EH18" s="12">
        <f>DA18*ReferralReward</f>
        <v/>
      </c>
      <c r="EI18" s="12">
        <f>CY18</f>
        <v/>
      </c>
      <c r="EJ18" s="9">
        <f>DZ18-ED18-EE18-EF18-EG18-EH18-EI18</f>
        <v/>
      </c>
      <c r="EK18" s="9">
        <f>EK17+DW18-(ED18+EE18+EF18+EG18+EH18+EI18+EB18)</f>
        <v/>
      </c>
      <c r="EL18" s="12">
        <f>IF(DQ18&gt;0,DR18/DQ18,0)</f>
        <v/>
      </c>
      <c r="EM18" s="11">
        <f>IF(DQ17&gt;0,MAX(0,(DQ17+DB18-DQ18)/DQ17),0)</f>
        <v/>
      </c>
      <c r="EO18" s="12" t="n">
        <v>14</v>
      </c>
      <c r="EP18" s="12">
        <f>MOD(EO18-1+LaunchMonth-1,12)+1</f>
        <v/>
      </c>
      <c r="EQ18" s="12">
        <f>INT((EO18-1+LaunchMonth-1)/12)+1</f>
        <v/>
      </c>
      <c r="ER18" s="12">
        <f>VLOOKUP(EP18,SeasonTable,2,FALSE)</f>
        <v/>
      </c>
      <c r="ES18" s="12">
        <f>(1+InflationRate)^INT((EO18-1)/12)</f>
        <v/>
      </c>
      <c r="ET18" s="11">
        <f>'Sens - Churn'!$A$13*VLOOKUP(EP18,ChurnSeasonTable,4,FALSE)</f>
        <v/>
      </c>
      <c r="EU18" s="12">
        <f>MIN(MAX(MktMin13_18,FS17*MktPct13_18),MAX(0,GG17-CashBuffer))</f>
        <v/>
      </c>
      <c r="EV18" s="12">
        <f>IF(EU18&gt;0,MAX(1,ROUND(EU18/CAC*ER18,0)),0)</f>
        <v/>
      </c>
      <c r="EW18" s="12">
        <f>IF(EV18&gt;0,ROUND(EV18*ReferralMix/(1-ReferralMix),0),0)</f>
        <v/>
      </c>
      <c r="EX18" s="12">
        <f>EV18+EW18</f>
        <v/>
      </c>
      <c r="EY18" s="12">
        <f>ROUND(EX18*(1-AnnualMix),0)</f>
        <v/>
      </c>
      <c r="EZ18" s="12">
        <f>EX18-EY18</f>
        <v/>
      </c>
      <c r="FA18" s="12">
        <f>ROUND(EY18*EssentialMix,0)</f>
        <v/>
      </c>
      <c r="FB18" s="12">
        <f>ROUND(EY18*PremiumMix,0)</f>
        <v/>
      </c>
      <c r="FC18" s="12">
        <f>EY18-FA18-FB18</f>
        <v/>
      </c>
      <c r="FD18" s="12">
        <f>ROUND(EZ18*EssentialMix,0)</f>
        <v/>
      </c>
      <c r="FE18" s="12">
        <f>ROUND(EZ18*PremiumMix,0)</f>
        <v/>
      </c>
      <c r="FF18" s="12">
        <f>EZ18-FD18-FE18</f>
        <v/>
      </c>
      <c r="FG18" s="12">
        <f>FA18+FA17+FA16+MAX(0,FG17-FA17-FA16)*(1-ET18)</f>
        <v/>
      </c>
      <c r="FH18" s="12">
        <f>FB18+FB17+FB16+MAX(0,FH17-FB17-FB16)*(1-ET18)</f>
        <v/>
      </c>
      <c r="FI18" s="12">
        <f>FC18+FC17+FC16+MAX(0,FI17-FC17-FC16)*(1-ET18)</f>
        <v/>
      </c>
      <c r="FJ18" s="12">
        <f>FJ17+FD18-FD6*(AnnualChurn*VLOOKUP(EP18,ChurnSeasonTable,4,FALSE))*POWER(1-(AnnualChurn*VLOOKUP(EP18,ChurnSeasonTable,4,FALSE)),0)</f>
        <v/>
      </c>
      <c r="FK18" s="12">
        <f>FK17+FE18-FE6*(AnnualChurn*VLOOKUP(EP18,ChurnSeasonTable,4,FALSE))*POWER(1-(AnnualChurn*VLOOKUP(EP18,ChurnSeasonTable,4,FALSE)),0)</f>
        <v/>
      </c>
      <c r="FL18" s="12">
        <f>FL17+FF18-FF6*(AnnualChurn*VLOOKUP(EP18,ChurnSeasonTable,4,FALSE))*POWER(1-(AnnualChurn*VLOOKUP(EP18,ChurnSeasonTable,4,FALSE)),0)</f>
        <v/>
      </c>
      <c r="FM18" s="12">
        <f>FG18+FH18+FI18+FJ18+FK18+FL18</f>
        <v/>
      </c>
      <c r="FN18" s="9">
        <f>FG18*BlendedPriceEssMonthly*ES18+FH18*BlendedPricePremMonthly*ES18+FI18*BlendedPriceEliteMonthly*ES18+FJ18*BlendedPriceEssAnnual*ES18/12+FK18*BlendedPricePremAnnual*ES18/12+FL18*BlendedPriceEliteAnnual*ES18/12</f>
        <v/>
      </c>
      <c r="FO18" s="9">
        <f>FN18*12</f>
        <v/>
      </c>
      <c r="FP18" s="12">
        <f>FG18*BlendedPriceEssMonthly*ES18+FH18*BlendedPricePremMonthly*ES18+FI18*BlendedPriceEliteMonthly*ES18</f>
        <v/>
      </c>
      <c r="FQ18" s="12">
        <f>FD18*BlendedPriceEssAnnual*ES18+FE18*BlendedPricePremAnnual*ES18+FF18*BlendedPriceEliteAnnual*ES18</f>
        <v/>
      </c>
      <c r="FR18" s="12">
        <f>FD6*POWER(1-(AnnualChurn*VLOOKUP(EP18,ChurnSeasonTable,4,FALSE)),1)*BlendedPriceEssAnnual*ES18+FE6*POWER(1-(AnnualChurn*VLOOKUP(EP18,ChurnSeasonTable,4,FALSE)),1)*BlendedPricePremAnnual*ES18+FF6*POWER(1-(AnnualChurn*VLOOKUP(EP18,ChurnSeasonTable,4,FALSE)),1)*BlendedPriceEliteAnnual*ES18</f>
        <v/>
      </c>
      <c r="FS18" s="9">
        <f>FP18+FQ18+FR18</f>
        <v/>
      </c>
      <c r="FT18" s="12">
        <f>SUM(FS7:FS18)</f>
        <v/>
      </c>
      <c r="FU18" s="12">
        <f>OR(FU17,IF(VATAgentMode,SUM($FS7:$FS18)-SUM($FZ7:$FZ18)&gt;=VATThreshold,SUM($FS7:$FS18)&gt;=VATThreshold))</f>
        <v/>
      </c>
      <c r="FV18" s="9">
        <f>IF(FU18,IF(VATAgentMode,FS18-((FS18-FZ18)-(FS18-FZ18)/(1+VATRate)),FS18/(1+VATRate)),FS18)</f>
        <v/>
      </c>
      <c r="FW18" s="12">
        <f>FS18-FV18</f>
        <v/>
      </c>
      <c r="FX18" s="12">
        <f>IF(FU18=0,0,IF(EP18=1,SUMPRODUCT(--(($EQ$5:$EQ18=$EQ18-1)*($EP$5:$EP18&gt;=10)*($EP$5:$EP18&lt;=12)),$FW$5:$FW18),IF(EP18=4,SUMPRODUCT(--(($EQ$5:$EQ18=$EQ18)*($EP$5:$EP18&gt;=1)*($EP$5:$EP18&lt;=3)),$FW$5:$FW18),IF(EP18=7,SUMPRODUCT(--(($EQ$5:$EQ18=$EQ18)*($EP$5:$EP18&gt;=4)*($EP$5:$EP18&lt;=6)),$FW$5:$FW18),IF(EP18=10,SUMPRODUCT(--(($EQ$5:$EQ18=$EQ18)*($EP$5:$EP18&gt;=7)*($EP$5:$EP18&lt;=9)),$FW$5:$FW18),0)))))</f>
        <v/>
      </c>
      <c r="FY18" s="12">
        <f>FY17+FW18-FX18</f>
        <v/>
      </c>
      <c r="FZ18" s="12">
        <f>IF(ProviderDelay&gt;=1,FG17*BlendedProvPayEss+FH17*BlendedProvPayPrem+FI17*BlendedProvPayElite+FJ17*BlendedProvPayEss+FK17*BlendedProvPayPrem+FL17*BlendedProvPayElite,FG18*BlendedProvPayEss+FH18*BlendedProvPayPrem+FI18*BlendedProvPayElite+FJ18*BlendedProvPayEss+FK18*BlendedProvPayPrem+FL18*BlendedProvPayElite)</f>
        <v/>
      </c>
      <c r="GA18" s="12">
        <f>FS18*PaymentFee</f>
        <v/>
      </c>
      <c r="GB18" s="12">
        <f>FM18*OpsAI</f>
        <v/>
      </c>
      <c r="GC18" s="12">
        <f>MonthlyFixed</f>
        <v/>
      </c>
      <c r="GD18" s="12">
        <f>EW18*ReferralReward</f>
        <v/>
      </c>
      <c r="GE18" s="12">
        <f>EU18</f>
        <v/>
      </c>
      <c r="GF18" s="9">
        <f>FV18-FZ18-GA18-GB18-GC18-GD18-GE18</f>
        <v/>
      </c>
      <c r="GG18" s="9">
        <f>GG17+FS18-(FZ18+GA18+GB18+GC18+GD18+GE18+FX18)</f>
        <v/>
      </c>
      <c r="GH18" s="12">
        <f>IF(FM18&gt;0,FN18/FM18,0)</f>
        <v/>
      </c>
      <c r="GI18" s="11">
        <f>IF(FM17&gt;0,MAX(0,(FM17+EX18-FM18)/FM17),0)</f>
        <v/>
      </c>
      <c r="GK18" s="12" t="n">
        <v>14</v>
      </c>
      <c r="GL18" s="12">
        <f>MOD(GK18-1+LaunchMonth-1,12)+1</f>
        <v/>
      </c>
      <c r="GM18" s="12">
        <f>INT((GK18-1+LaunchMonth-1)/12)+1</f>
        <v/>
      </c>
      <c r="GN18" s="12">
        <f>VLOOKUP(GL18,SeasonTable,2,FALSE)</f>
        <v/>
      </c>
      <c r="GO18" s="12">
        <f>(1+InflationRate)^INT((GK18-1)/12)</f>
        <v/>
      </c>
      <c r="GP18" s="11">
        <f>'Sens - Churn'!$A$14*VLOOKUP(GL18,ChurnSeasonTable,4,FALSE)</f>
        <v/>
      </c>
      <c r="GQ18" s="12">
        <f>MIN(MAX(MktMin13_18,HO17*MktPct13_18),MAX(0,IC17-CashBuffer))</f>
        <v/>
      </c>
      <c r="GR18" s="12">
        <f>IF(GQ18&gt;0,MAX(1,ROUND(GQ18/CAC*GN18,0)),0)</f>
        <v/>
      </c>
      <c r="GS18" s="12">
        <f>IF(GR18&gt;0,ROUND(GR18*ReferralMix/(1-ReferralMix),0),0)</f>
        <v/>
      </c>
      <c r="GT18" s="12">
        <f>GR18+GS18</f>
        <v/>
      </c>
      <c r="GU18" s="12">
        <f>ROUND(GT18*(1-AnnualMix),0)</f>
        <v/>
      </c>
      <c r="GV18" s="12">
        <f>GT18-GU18</f>
        <v/>
      </c>
      <c r="GW18" s="12">
        <f>ROUND(GU18*EssentialMix,0)</f>
        <v/>
      </c>
      <c r="GX18" s="12">
        <f>ROUND(GU18*PremiumMix,0)</f>
        <v/>
      </c>
      <c r="GY18" s="12">
        <f>GU18-GW18-GX18</f>
        <v/>
      </c>
      <c r="GZ18" s="12">
        <f>ROUND(GV18*EssentialMix,0)</f>
        <v/>
      </c>
      <c r="HA18" s="12">
        <f>ROUND(GV18*PremiumMix,0)</f>
        <v/>
      </c>
      <c r="HB18" s="12">
        <f>GV18-GZ18-HA18</f>
        <v/>
      </c>
      <c r="HC18" s="12">
        <f>GW18+GW17+GW16+MAX(0,HC17-GW17-GW16)*(1-GP18)</f>
        <v/>
      </c>
      <c r="HD18" s="12">
        <f>GX18+GX17+GX16+MAX(0,HD17-GX17-GX16)*(1-GP18)</f>
        <v/>
      </c>
      <c r="HE18" s="12">
        <f>GY18+GY17+GY16+MAX(0,HE17-GY17-GY16)*(1-GP18)</f>
        <v/>
      </c>
      <c r="HF18" s="12">
        <f>HF17+GZ18-GZ6*(AnnualChurn*VLOOKUP(GL18,ChurnSeasonTable,4,FALSE))*POWER(1-(AnnualChurn*VLOOKUP(GL18,ChurnSeasonTable,4,FALSE)),0)</f>
        <v/>
      </c>
      <c r="HG18" s="12">
        <f>HG17+HA18-HA6*(AnnualChurn*VLOOKUP(GL18,ChurnSeasonTable,4,FALSE))*POWER(1-(AnnualChurn*VLOOKUP(GL18,ChurnSeasonTable,4,FALSE)),0)</f>
        <v/>
      </c>
      <c r="HH18" s="12">
        <f>HH17+HB18-HB6*(AnnualChurn*VLOOKUP(GL18,ChurnSeasonTable,4,FALSE))*POWER(1-(AnnualChurn*VLOOKUP(GL18,ChurnSeasonTable,4,FALSE)),0)</f>
        <v/>
      </c>
      <c r="HI18" s="12">
        <f>HC18+HD18+HE18+HF18+HG18+HH18</f>
        <v/>
      </c>
      <c r="HJ18" s="9">
        <f>HC18*BlendedPriceEssMonthly*GO18+HD18*BlendedPricePremMonthly*GO18+HE18*BlendedPriceEliteMonthly*GO18+HF18*BlendedPriceEssAnnual*GO18/12+HG18*BlendedPricePremAnnual*GO18/12+HH18*BlendedPriceEliteAnnual*GO18/12</f>
        <v/>
      </c>
      <c r="HK18" s="9">
        <f>HJ18*12</f>
        <v/>
      </c>
      <c r="HL18" s="12">
        <f>HC18*BlendedPriceEssMonthly*GO18+HD18*BlendedPricePremMonthly*GO18+HE18*BlendedPriceEliteMonthly*GO18</f>
        <v/>
      </c>
      <c r="HM18" s="12">
        <f>GZ18*BlendedPriceEssAnnual*GO18+HA18*BlendedPricePremAnnual*GO18+HB18*BlendedPriceEliteAnnual*GO18</f>
        <v/>
      </c>
      <c r="HN18" s="12">
        <f>GZ6*POWER(1-(AnnualChurn*VLOOKUP(GL18,ChurnSeasonTable,4,FALSE)),1)*BlendedPriceEssAnnual*GO18+HA6*POWER(1-(AnnualChurn*VLOOKUP(GL18,ChurnSeasonTable,4,FALSE)),1)*BlendedPricePremAnnual*GO18+HB6*POWER(1-(AnnualChurn*VLOOKUP(GL18,ChurnSeasonTable,4,FALSE)),1)*BlendedPriceEliteAnnual*GO18</f>
        <v/>
      </c>
      <c r="HO18" s="9">
        <f>HL18+HM18+HN18</f>
        <v/>
      </c>
      <c r="HP18" s="12">
        <f>SUM(HO7:HO18)</f>
        <v/>
      </c>
      <c r="HQ18" s="12">
        <f>OR(HQ17,IF(VATAgentMode,SUM($HO7:$HO18)-SUM($HV7:$HV18)&gt;=VATThreshold,SUM($HO7:$HO18)&gt;=VATThreshold))</f>
        <v/>
      </c>
      <c r="HR18" s="9">
        <f>IF(HQ18,IF(VATAgentMode,HO18-((HO18-HV18)-(HO18-HV18)/(1+VATRate)),HO18/(1+VATRate)),HO18)</f>
        <v/>
      </c>
      <c r="HS18" s="12">
        <f>HO18-HR18</f>
        <v/>
      </c>
      <c r="HT18" s="12">
        <f>IF(HQ18=0,0,IF(GL18=1,SUMPRODUCT(--(($GM$5:$GM18=$GM18-1)*($GL$5:$GL18&gt;=10)*($GL$5:$GL18&lt;=12)),$HS$5:$HS18),IF(GL18=4,SUMPRODUCT(--(($GM$5:$GM18=$GM18)*($GL$5:$GL18&gt;=1)*($GL$5:$GL18&lt;=3)),$HS$5:$HS18),IF(GL18=7,SUMPRODUCT(--(($GM$5:$GM18=$GM18)*($GL$5:$GL18&gt;=4)*($GL$5:$GL18&lt;=6)),$HS$5:$HS18),IF(GL18=10,SUMPRODUCT(--(($GM$5:$GM18=$GM18)*($GL$5:$GL18&gt;=7)*($GL$5:$GL18&lt;=9)),$HS$5:$HS18),0)))))</f>
        <v/>
      </c>
      <c r="HU18" s="12">
        <f>HU17+HS18-HT18</f>
        <v/>
      </c>
      <c r="HV18" s="12">
        <f>IF(ProviderDelay&gt;=1,HC17*BlendedProvPayEss+HD17*BlendedProvPayPrem+HE17*BlendedProvPayElite+HF17*BlendedProvPayEss+HG17*BlendedProvPayPrem+HH17*BlendedProvPayElite,HC18*BlendedProvPayEss+HD18*BlendedProvPayPrem+HE18*BlendedProvPayElite+HF18*BlendedProvPayEss+HG18*BlendedProvPayPrem+HH18*BlendedProvPayElite)</f>
        <v/>
      </c>
      <c r="HW18" s="12">
        <f>HO18*PaymentFee</f>
        <v/>
      </c>
      <c r="HX18" s="12">
        <f>HI18*OpsAI</f>
        <v/>
      </c>
      <c r="HY18" s="12">
        <f>MonthlyFixed</f>
        <v/>
      </c>
      <c r="HZ18" s="12">
        <f>GS18*ReferralReward</f>
        <v/>
      </c>
      <c r="IA18" s="12">
        <f>GQ18</f>
        <v/>
      </c>
      <c r="IB18" s="9">
        <f>HR18-HV18-HW18-HX18-HY18-HZ18-IA18</f>
        <v/>
      </c>
      <c r="IC18" s="9">
        <f>IC17+HO18-(HV18+HW18+HX18+HY18+HZ18+IA18+HT18)</f>
        <v/>
      </c>
      <c r="ID18" s="12">
        <f>IF(HI18&gt;0,HJ18/HI18,0)</f>
        <v/>
      </c>
      <c r="IE18" s="11">
        <f>IF(HI17&gt;0,MAX(0,(HI17+GT18-HI18)/HI17),0)</f>
        <v/>
      </c>
      <c r="IG18" s="12" t="n">
        <v>14</v>
      </c>
      <c r="IH18" s="12">
        <f>MOD(IG18-1+LaunchMonth-1,12)+1</f>
        <v/>
      </c>
      <c r="II18" s="12">
        <f>INT((IG18-1+LaunchMonth-1)/12)+1</f>
        <v/>
      </c>
      <c r="IJ18" s="12">
        <f>VLOOKUP(IH18,SeasonTable,2,FALSE)</f>
        <v/>
      </c>
      <c r="IK18" s="12">
        <f>(1+InflationRate)^INT((IG18-1)/12)</f>
        <v/>
      </c>
      <c r="IL18" s="11">
        <f>'Sens - Churn'!$A$15*VLOOKUP(IH18,ChurnSeasonTable,4,FALSE)</f>
        <v/>
      </c>
      <c r="IM18" s="12">
        <f>MIN(MAX(MktMin13_18,JK17*MktPct13_18),MAX(0,JY17-CashBuffer))</f>
        <v/>
      </c>
      <c r="IN18" s="12">
        <f>IF(IM18&gt;0,MAX(1,ROUND(IM18/CAC*IJ18,0)),0)</f>
        <v/>
      </c>
      <c r="IO18" s="12">
        <f>IF(IN18&gt;0,ROUND(IN18*ReferralMix/(1-ReferralMix),0),0)</f>
        <v/>
      </c>
      <c r="IP18" s="12">
        <f>IN18+IO18</f>
        <v/>
      </c>
      <c r="IQ18" s="12">
        <f>ROUND(IP18*(1-AnnualMix),0)</f>
        <v/>
      </c>
      <c r="IR18" s="12">
        <f>IP18-IQ18</f>
        <v/>
      </c>
      <c r="IS18" s="12">
        <f>ROUND(IQ18*EssentialMix,0)</f>
        <v/>
      </c>
      <c r="IT18" s="12">
        <f>ROUND(IQ18*PremiumMix,0)</f>
        <v/>
      </c>
      <c r="IU18" s="12">
        <f>IQ18-IS18-IT18</f>
        <v/>
      </c>
      <c r="IV18" s="12">
        <f>ROUND(IR18*EssentialMix,0)</f>
        <v/>
      </c>
      <c r="IW18" s="12">
        <f>ROUND(IR18*PremiumMix,0)</f>
        <v/>
      </c>
      <c r="IX18" s="12">
        <f>IR18-IV18-IW18</f>
        <v/>
      </c>
      <c r="IY18" s="12">
        <f>IS18+IS17+IS16+MAX(0,IY17-IS17-IS16)*(1-IL18)</f>
        <v/>
      </c>
      <c r="IZ18" s="12">
        <f>IT18+IT17+IT16+MAX(0,IZ17-IT17-IT16)*(1-IL18)</f>
        <v/>
      </c>
      <c r="JA18" s="12">
        <f>IU18+IU17+IU16+MAX(0,JA17-IU17-IU16)*(1-IL18)</f>
        <v/>
      </c>
      <c r="JB18" s="12">
        <f>JB17+IV18-IV6*(AnnualChurn*VLOOKUP(IH18,ChurnSeasonTable,4,FALSE))*POWER(1-(AnnualChurn*VLOOKUP(IH18,ChurnSeasonTable,4,FALSE)),0)</f>
        <v/>
      </c>
      <c r="JC18" s="12">
        <f>JC17+IW18-IW6*(AnnualChurn*VLOOKUP(IH18,ChurnSeasonTable,4,FALSE))*POWER(1-(AnnualChurn*VLOOKUP(IH18,ChurnSeasonTable,4,FALSE)),0)</f>
        <v/>
      </c>
      <c r="JD18" s="12">
        <f>JD17+IX18-IX6*(AnnualChurn*VLOOKUP(IH18,ChurnSeasonTable,4,FALSE))*POWER(1-(AnnualChurn*VLOOKUP(IH18,ChurnSeasonTable,4,FALSE)),0)</f>
        <v/>
      </c>
      <c r="JE18" s="12">
        <f>IY18+IZ18+JA18+JB18+JC18+JD18</f>
        <v/>
      </c>
      <c r="JF18" s="9">
        <f>IY18*BlendedPriceEssMonthly*IK18+IZ18*BlendedPricePremMonthly*IK18+JA18*BlendedPriceEliteMonthly*IK18+JB18*BlendedPriceEssAnnual*IK18/12+JC18*BlendedPricePremAnnual*IK18/12+JD18*BlendedPriceEliteAnnual*IK18/12</f>
        <v/>
      </c>
      <c r="JG18" s="9">
        <f>JF18*12</f>
        <v/>
      </c>
      <c r="JH18" s="12">
        <f>IY18*BlendedPriceEssMonthly*IK18+IZ18*BlendedPricePremMonthly*IK18+JA18*BlendedPriceEliteMonthly*IK18</f>
        <v/>
      </c>
      <c r="JI18" s="12">
        <f>IV18*BlendedPriceEssAnnual*IK18+IW18*BlendedPricePremAnnual*IK18+IX18*BlendedPriceEliteAnnual*IK18</f>
        <v/>
      </c>
      <c r="JJ18" s="12">
        <f>IV6*POWER(1-(AnnualChurn*VLOOKUP(IH18,ChurnSeasonTable,4,FALSE)),1)*BlendedPriceEssAnnual*IK18+IW6*POWER(1-(AnnualChurn*VLOOKUP(IH18,ChurnSeasonTable,4,FALSE)),1)*BlendedPricePremAnnual*IK18+IX6*POWER(1-(AnnualChurn*VLOOKUP(IH18,ChurnSeasonTable,4,FALSE)),1)*BlendedPriceEliteAnnual*IK18</f>
        <v/>
      </c>
      <c r="JK18" s="9">
        <f>JH18+JI18+JJ18</f>
        <v/>
      </c>
      <c r="JL18" s="12">
        <f>SUM(JK7:JK18)</f>
        <v/>
      </c>
      <c r="JM18" s="12">
        <f>OR(JM17,IF(VATAgentMode,SUM($JK7:$JK18)-SUM($JR7:$JR18)&gt;=VATThreshold,SUM($JK7:$JK18)&gt;=VATThreshold))</f>
        <v/>
      </c>
      <c r="JN18" s="9">
        <f>IF(JM18,IF(VATAgentMode,JK18-((JK18-JR18)-(JK18-JR18)/(1+VATRate)),JK18/(1+VATRate)),JK18)</f>
        <v/>
      </c>
      <c r="JO18" s="12">
        <f>JK18-JN18</f>
        <v/>
      </c>
      <c r="JP18" s="12">
        <f>IF(JM18=0,0,IF(IH18=1,SUMPRODUCT(--(($II$5:$II18=$II18-1)*($IH$5:$IH18&gt;=10)*($IH$5:$IH18&lt;=12)),$JO$5:$JO18),IF(IH18=4,SUMPRODUCT(--(($II$5:$II18=$II18)*($IH$5:$IH18&gt;=1)*($IH$5:$IH18&lt;=3)),$JO$5:$JO18),IF(IH18=7,SUMPRODUCT(--(($II$5:$II18=$II18)*($IH$5:$IH18&gt;=4)*($IH$5:$IH18&lt;=6)),$JO$5:$JO18),IF(IH18=10,SUMPRODUCT(--(($II$5:$II18=$II18)*($IH$5:$IH18&gt;=7)*($IH$5:$IH18&lt;=9)),$JO$5:$JO18),0)))))</f>
        <v/>
      </c>
      <c r="JQ18" s="12">
        <f>JQ17+JO18-JP18</f>
        <v/>
      </c>
      <c r="JR18" s="12">
        <f>IF(ProviderDelay&gt;=1,IY17*BlendedProvPayEss+IZ17*BlendedProvPayPrem+JA17*BlendedProvPayElite+JB17*BlendedProvPayEss+JC17*BlendedProvPayPrem+JD17*BlendedProvPayElite,IY18*BlendedProvPayEss+IZ18*BlendedProvPayPrem+JA18*BlendedProvPayElite+JB18*BlendedProvPayEss+JC18*BlendedProvPayPrem+JD18*BlendedProvPayElite)</f>
        <v/>
      </c>
      <c r="JS18" s="12">
        <f>JK18*PaymentFee</f>
        <v/>
      </c>
      <c r="JT18" s="12">
        <f>JE18*OpsAI</f>
        <v/>
      </c>
      <c r="JU18" s="12">
        <f>MonthlyFixed</f>
        <v/>
      </c>
      <c r="JV18" s="12">
        <f>IO18*ReferralReward</f>
        <v/>
      </c>
      <c r="JW18" s="12">
        <f>IM18</f>
        <v/>
      </c>
      <c r="JX18" s="9">
        <f>JN18-JR18-JS18-JT18-JU18-JV18-JW18</f>
        <v/>
      </c>
      <c r="JY18" s="9">
        <f>JY17+JK18-(JR18+JS18+JT18+JU18+JV18+JW18+JP18)</f>
        <v/>
      </c>
      <c r="JZ18" s="12">
        <f>IF(JE18&gt;0,JF18/JE18,0)</f>
        <v/>
      </c>
      <c r="KA18" s="11">
        <f>IF(JE17&gt;0,MAX(0,(JE17+IP18-JE18)/JE17),0)</f>
        <v/>
      </c>
      <c r="KC18" s="12" t="n">
        <v>14</v>
      </c>
      <c r="KD18" s="12">
        <f>MOD(KC18-1+LaunchMonth-1,12)+1</f>
        <v/>
      </c>
      <c r="KE18" s="12">
        <f>INT((KC18-1+LaunchMonth-1)/12)+1</f>
        <v/>
      </c>
      <c r="KF18" s="12">
        <f>VLOOKUP(KD18,SeasonTable,2,FALSE)</f>
        <v/>
      </c>
      <c r="KG18" s="12">
        <f>(1+InflationRate)^INT((KC18-1)/12)</f>
        <v/>
      </c>
      <c r="KH18" s="11">
        <f>'Sens - Churn'!$A$16*VLOOKUP(KD18,ChurnSeasonTable,4,FALSE)</f>
        <v/>
      </c>
      <c r="KI18" s="12">
        <f>MIN(MAX(MktMin13_18,LG17*MktPct13_18),MAX(0,LU17-CashBuffer))</f>
        <v/>
      </c>
      <c r="KJ18" s="12">
        <f>IF(KI18&gt;0,MAX(1,ROUND(KI18/CAC*KF18,0)),0)</f>
        <v/>
      </c>
      <c r="KK18" s="12">
        <f>IF(KJ18&gt;0,ROUND(KJ18*ReferralMix/(1-ReferralMix),0),0)</f>
        <v/>
      </c>
      <c r="KL18" s="12">
        <f>KJ18+KK18</f>
        <v/>
      </c>
      <c r="KM18" s="12">
        <f>ROUND(KL18*(1-AnnualMix),0)</f>
        <v/>
      </c>
      <c r="KN18" s="12">
        <f>KL18-KM18</f>
        <v/>
      </c>
      <c r="KO18" s="12">
        <f>ROUND(KM18*EssentialMix,0)</f>
        <v/>
      </c>
      <c r="KP18" s="12">
        <f>ROUND(KM18*PremiumMix,0)</f>
        <v/>
      </c>
      <c r="KQ18" s="12">
        <f>KM18-KO18-KP18</f>
        <v/>
      </c>
      <c r="KR18" s="12">
        <f>ROUND(KN18*EssentialMix,0)</f>
        <v/>
      </c>
      <c r="KS18" s="12">
        <f>ROUND(KN18*PremiumMix,0)</f>
        <v/>
      </c>
      <c r="KT18" s="12">
        <f>KN18-KR18-KS18</f>
        <v/>
      </c>
      <c r="KU18" s="12">
        <f>KO18+KO17+KO16+MAX(0,KU17-KO17-KO16)*(1-KH18)</f>
        <v/>
      </c>
      <c r="KV18" s="12">
        <f>KP18+KP17+KP16+MAX(0,KV17-KP17-KP16)*(1-KH18)</f>
        <v/>
      </c>
      <c r="KW18" s="12">
        <f>KQ18+KQ17+KQ16+MAX(0,KW17-KQ17-KQ16)*(1-KH18)</f>
        <v/>
      </c>
      <c r="KX18" s="12">
        <f>KX17+KR18-KR6*(AnnualChurn*VLOOKUP(KD18,ChurnSeasonTable,4,FALSE))*POWER(1-(AnnualChurn*VLOOKUP(KD18,ChurnSeasonTable,4,FALSE)),0)</f>
        <v/>
      </c>
      <c r="KY18" s="12">
        <f>KY17+KS18-KS6*(AnnualChurn*VLOOKUP(KD18,ChurnSeasonTable,4,FALSE))*POWER(1-(AnnualChurn*VLOOKUP(KD18,ChurnSeasonTable,4,FALSE)),0)</f>
        <v/>
      </c>
      <c r="KZ18" s="12">
        <f>KZ17+KT18-KT6*(AnnualChurn*VLOOKUP(KD18,ChurnSeasonTable,4,FALSE))*POWER(1-(AnnualChurn*VLOOKUP(KD18,ChurnSeasonTable,4,FALSE)),0)</f>
        <v/>
      </c>
      <c r="LA18" s="12">
        <f>KU18+KV18+KW18+KX18+KY18+KZ18</f>
        <v/>
      </c>
      <c r="LB18" s="9">
        <f>KU18*BlendedPriceEssMonthly*KG18+KV18*BlendedPricePremMonthly*KG18+KW18*BlendedPriceEliteMonthly*KG18+KX18*BlendedPriceEssAnnual*KG18/12+KY18*BlendedPricePremAnnual*KG18/12+KZ18*BlendedPriceEliteAnnual*KG18/12</f>
        <v/>
      </c>
      <c r="LC18" s="9">
        <f>LB18*12</f>
        <v/>
      </c>
      <c r="LD18" s="12">
        <f>KU18*BlendedPriceEssMonthly*KG18+KV18*BlendedPricePremMonthly*KG18+KW18*BlendedPriceEliteMonthly*KG18</f>
        <v/>
      </c>
      <c r="LE18" s="12">
        <f>KR18*BlendedPriceEssAnnual*KG18+KS18*BlendedPricePremAnnual*KG18+KT18*BlendedPriceEliteAnnual*KG18</f>
        <v/>
      </c>
      <c r="LF18" s="12">
        <f>KR6*POWER(1-(AnnualChurn*VLOOKUP(KD18,ChurnSeasonTable,4,FALSE)),1)*BlendedPriceEssAnnual*KG18+KS6*POWER(1-(AnnualChurn*VLOOKUP(KD18,ChurnSeasonTable,4,FALSE)),1)*BlendedPricePremAnnual*KG18+KT6*POWER(1-(AnnualChurn*VLOOKUP(KD18,ChurnSeasonTable,4,FALSE)),1)*BlendedPriceEliteAnnual*KG18</f>
        <v/>
      </c>
      <c r="LG18" s="9">
        <f>LD18+LE18+LF18</f>
        <v/>
      </c>
      <c r="LH18" s="12">
        <f>SUM(LG7:LG18)</f>
        <v/>
      </c>
      <c r="LI18" s="12">
        <f>OR(LI17,IF(VATAgentMode,SUM($LG7:$LG18)-SUM($LN7:$LN18)&gt;=VATThreshold,SUM($LG7:$LG18)&gt;=VATThreshold))</f>
        <v/>
      </c>
      <c r="LJ18" s="9">
        <f>IF(LI18,IF(VATAgentMode,LG18-((LG18-LN18)-(LG18-LN18)/(1+VATRate)),LG18/(1+VATRate)),LG18)</f>
        <v/>
      </c>
      <c r="LK18" s="12">
        <f>LG18-LJ18</f>
        <v/>
      </c>
      <c r="LL18" s="12">
        <f>IF(LI18=0,0,IF(KD18=1,SUMPRODUCT(--(($KE$5:$KE18=$KE18-1)*($KD$5:$KD18&gt;=10)*($KD$5:$KD18&lt;=12)),$LK$5:$LK18),IF(KD18=4,SUMPRODUCT(--(($KE$5:$KE18=$KE18)*($KD$5:$KD18&gt;=1)*($KD$5:$KD18&lt;=3)),$LK$5:$LK18),IF(KD18=7,SUMPRODUCT(--(($KE$5:$KE18=$KE18)*($KD$5:$KD18&gt;=4)*($KD$5:$KD18&lt;=6)),$LK$5:$LK18),IF(KD18=10,SUMPRODUCT(--(($KE$5:$KE18=$KE18)*($KD$5:$KD18&gt;=7)*($KD$5:$KD18&lt;=9)),$LK$5:$LK18),0)))))</f>
        <v/>
      </c>
      <c r="LM18" s="12">
        <f>LM17+LK18-LL18</f>
        <v/>
      </c>
      <c r="LN18" s="12">
        <f>IF(ProviderDelay&gt;=1,KU17*BlendedProvPayEss+KV17*BlendedProvPayPrem+KW17*BlendedProvPayElite+KX17*BlendedProvPayEss+KY17*BlendedProvPayPrem+KZ17*BlendedProvPayElite,KU18*BlendedProvPayEss+KV18*BlendedProvPayPrem+KW18*BlendedProvPayElite+KX18*BlendedProvPayEss+KY18*BlendedProvPayPrem+KZ18*BlendedProvPayElite)</f>
        <v/>
      </c>
      <c r="LO18" s="12">
        <f>LG18*PaymentFee</f>
        <v/>
      </c>
      <c r="LP18" s="12">
        <f>LA18*OpsAI</f>
        <v/>
      </c>
      <c r="LQ18" s="12">
        <f>MonthlyFixed</f>
        <v/>
      </c>
      <c r="LR18" s="12">
        <f>KK18*ReferralReward</f>
        <v/>
      </c>
      <c r="LS18" s="12">
        <f>KI18</f>
        <v/>
      </c>
      <c r="LT18" s="9">
        <f>LJ18-LN18-LO18-LP18-LQ18-LR18-LS18</f>
        <v/>
      </c>
      <c r="LU18" s="9">
        <f>LU17+LG18-(LN18+LO18+LP18+LQ18+LR18+LS18+LL18)</f>
        <v/>
      </c>
      <c r="LV18" s="12">
        <f>IF(LA18&gt;0,LB18/LA18,0)</f>
        <v/>
      </c>
      <c r="LW18" s="11">
        <f>IF(LA17&gt;0,MAX(0,(LA17+KL18-LA18)/LA17),0)</f>
        <v/>
      </c>
      <c r="LY18" s="12" t="n">
        <v>14</v>
      </c>
      <c r="LZ18" s="12">
        <f>MOD(LY18-1+LaunchMonth-1,12)+1</f>
        <v/>
      </c>
      <c r="MA18" s="12">
        <f>INT((LY18-1+LaunchMonth-1)/12)+1</f>
        <v/>
      </c>
      <c r="MB18" s="12">
        <f>VLOOKUP(LZ18,SeasonTable,2,FALSE)</f>
        <v/>
      </c>
      <c r="MC18" s="12">
        <f>(1+InflationRate)^INT((LY18-1)/12)</f>
        <v/>
      </c>
      <c r="MD18" s="11">
        <f>'Sens - Churn'!$A$17*VLOOKUP(LZ18,ChurnSeasonTable,4,FALSE)</f>
        <v/>
      </c>
      <c r="ME18" s="12">
        <f>MIN(MAX(MktMin13_18,NC17*MktPct13_18),MAX(0,NQ17-CashBuffer))</f>
        <v/>
      </c>
      <c r="MF18" s="12">
        <f>IF(ME18&gt;0,MAX(1,ROUND(ME18/CAC*MB18,0)),0)</f>
        <v/>
      </c>
      <c r="MG18" s="12">
        <f>IF(MF18&gt;0,ROUND(MF18*ReferralMix/(1-ReferralMix),0),0)</f>
        <v/>
      </c>
      <c r="MH18" s="12">
        <f>MF18+MG18</f>
        <v/>
      </c>
      <c r="MI18" s="12">
        <f>ROUND(MH18*(1-AnnualMix),0)</f>
        <v/>
      </c>
      <c r="MJ18" s="12">
        <f>MH18-MI18</f>
        <v/>
      </c>
      <c r="MK18" s="12">
        <f>ROUND(MI18*EssentialMix,0)</f>
        <v/>
      </c>
      <c r="ML18" s="12">
        <f>ROUND(MI18*PremiumMix,0)</f>
        <v/>
      </c>
      <c r="MM18" s="12">
        <f>MI18-MK18-ML18</f>
        <v/>
      </c>
      <c r="MN18" s="12">
        <f>ROUND(MJ18*EssentialMix,0)</f>
        <v/>
      </c>
      <c r="MO18" s="12">
        <f>ROUND(MJ18*PremiumMix,0)</f>
        <v/>
      </c>
      <c r="MP18" s="12">
        <f>MJ18-MN18-MO18</f>
        <v/>
      </c>
      <c r="MQ18" s="12">
        <f>MK18+MK17+MK16+MAX(0,MQ17-MK17-MK16)*(1-MD18)</f>
        <v/>
      </c>
      <c r="MR18" s="12">
        <f>ML18+ML17+ML16+MAX(0,MR17-ML17-ML16)*(1-MD18)</f>
        <v/>
      </c>
      <c r="MS18" s="12">
        <f>MM18+MM17+MM16+MAX(0,MS17-MM17-MM16)*(1-MD18)</f>
        <v/>
      </c>
      <c r="MT18" s="12">
        <f>MT17+MN18-MN6*(AnnualChurn*VLOOKUP(LZ18,ChurnSeasonTable,4,FALSE))*POWER(1-(AnnualChurn*VLOOKUP(LZ18,ChurnSeasonTable,4,FALSE)),0)</f>
        <v/>
      </c>
      <c r="MU18" s="12">
        <f>MU17+MO18-MO6*(AnnualChurn*VLOOKUP(LZ18,ChurnSeasonTable,4,FALSE))*POWER(1-(AnnualChurn*VLOOKUP(LZ18,ChurnSeasonTable,4,FALSE)),0)</f>
        <v/>
      </c>
      <c r="MV18" s="12">
        <f>MV17+MP18-MP6*(AnnualChurn*VLOOKUP(LZ18,ChurnSeasonTable,4,FALSE))*POWER(1-(AnnualChurn*VLOOKUP(LZ18,ChurnSeasonTable,4,FALSE)),0)</f>
        <v/>
      </c>
      <c r="MW18" s="12">
        <f>MQ18+MR18+MS18+MT18+MU18+MV18</f>
        <v/>
      </c>
      <c r="MX18" s="9">
        <f>MQ18*BlendedPriceEssMonthly*MC18+MR18*BlendedPricePremMonthly*MC18+MS18*BlendedPriceEliteMonthly*MC18+MT18*BlendedPriceEssAnnual*MC18/12+MU18*BlendedPricePremAnnual*MC18/12+MV18*BlendedPriceEliteAnnual*MC18/12</f>
        <v/>
      </c>
      <c r="MY18" s="9">
        <f>MX18*12</f>
        <v/>
      </c>
      <c r="MZ18" s="12">
        <f>MQ18*BlendedPriceEssMonthly*MC18+MR18*BlendedPricePremMonthly*MC18+MS18*BlendedPriceEliteMonthly*MC18</f>
        <v/>
      </c>
      <c r="NA18" s="12">
        <f>MN18*BlendedPriceEssAnnual*MC18+MO18*BlendedPricePremAnnual*MC18+MP18*BlendedPriceEliteAnnual*MC18</f>
        <v/>
      </c>
      <c r="NB18" s="12">
        <f>MN6*POWER(1-(AnnualChurn*VLOOKUP(LZ18,ChurnSeasonTable,4,FALSE)),1)*BlendedPriceEssAnnual*MC18+MO6*POWER(1-(AnnualChurn*VLOOKUP(LZ18,ChurnSeasonTable,4,FALSE)),1)*BlendedPricePremAnnual*MC18+MP6*POWER(1-(AnnualChurn*VLOOKUP(LZ18,ChurnSeasonTable,4,FALSE)),1)*BlendedPriceEliteAnnual*MC18</f>
        <v/>
      </c>
      <c r="NC18" s="9">
        <f>MZ18+NA18+NB18</f>
        <v/>
      </c>
      <c r="ND18" s="12">
        <f>SUM(NC7:NC18)</f>
        <v/>
      </c>
      <c r="NE18" s="12">
        <f>OR(NE17,IF(VATAgentMode,SUM($NC7:$NC18)-SUM($NJ7:$NJ18)&gt;=VATThreshold,SUM($NC7:$NC18)&gt;=VATThreshold))</f>
        <v/>
      </c>
      <c r="NF18" s="9">
        <f>IF(NE18,IF(VATAgentMode,NC18-((NC18-NJ18)-(NC18-NJ18)/(1+VATRate)),NC18/(1+VATRate)),NC18)</f>
        <v/>
      </c>
      <c r="NG18" s="12">
        <f>NC18-NF18</f>
        <v/>
      </c>
      <c r="NH18" s="12">
        <f>IF(NE18=0,0,IF(LZ18=1,SUMPRODUCT(--(($MA$5:$MA18=$MA18-1)*($LZ$5:$LZ18&gt;=10)*($LZ$5:$LZ18&lt;=12)),$NG$5:$NG18),IF(LZ18=4,SUMPRODUCT(--(($MA$5:$MA18=$MA18)*($LZ$5:$LZ18&gt;=1)*($LZ$5:$LZ18&lt;=3)),$NG$5:$NG18),IF(LZ18=7,SUMPRODUCT(--(($MA$5:$MA18=$MA18)*($LZ$5:$LZ18&gt;=4)*($LZ$5:$LZ18&lt;=6)),$NG$5:$NG18),IF(LZ18=10,SUMPRODUCT(--(($MA$5:$MA18=$MA18)*($LZ$5:$LZ18&gt;=7)*($LZ$5:$LZ18&lt;=9)),$NG$5:$NG18),0)))))</f>
        <v/>
      </c>
      <c r="NI18" s="12">
        <f>NI17+NG18-NH18</f>
        <v/>
      </c>
      <c r="NJ18" s="12">
        <f>IF(ProviderDelay&gt;=1,MQ17*BlendedProvPayEss+MR17*BlendedProvPayPrem+MS17*BlendedProvPayElite+MT17*BlendedProvPayEss+MU17*BlendedProvPayPrem+MV17*BlendedProvPayElite,MQ18*BlendedProvPayEss+MR18*BlendedProvPayPrem+MS18*BlendedProvPayElite+MT18*BlendedProvPayEss+MU18*BlendedProvPayPrem+MV18*BlendedProvPayElite)</f>
        <v/>
      </c>
      <c r="NK18" s="12">
        <f>NC18*PaymentFee</f>
        <v/>
      </c>
      <c r="NL18" s="12">
        <f>MW18*OpsAI</f>
        <v/>
      </c>
      <c r="NM18" s="12">
        <f>MonthlyFixed</f>
        <v/>
      </c>
      <c r="NN18" s="12">
        <f>MG18*ReferralReward</f>
        <v/>
      </c>
      <c r="NO18" s="12">
        <f>ME18</f>
        <v/>
      </c>
      <c r="NP18" s="9">
        <f>NF18-NJ18-NK18-NL18-NM18-NN18-NO18</f>
        <v/>
      </c>
      <c r="NQ18" s="9">
        <f>NQ17+NC18-(NJ18+NK18+NL18+NM18+NN18+NO18+NH18)</f>
        <v/>
      </c>
      <c r="NR18" s="12">
        <f>IF(MW18&gt;0,MX18/MW18,0)</f>
        <v/>
      </c>
      <c r="NS18" s="11">
        <f>IF(MW17&gt;0,MAX(0,(MW17+MH18-MW18)/MW17),0)</f>
        <v/>
      </c>
      <c r="NU18" s="12" t="n">
        <v>14</v>
      </c>
      <c r="NV18" s="12">
        <f>MOD(NU18-1+LaunchMonth-1,12)+1</f>
        <v/>
      </c>
      <c r="NW18" s="12">
        <f>INT((NU18-1+LaunchMonth-1)/12)+1</f>
        <v/>
      </c>
      <c r="NX18" s="12">
        <f>VLOOKUP(NV18,SeasonTable,2,FALSE)</f>
        <v/>
      </c>
      <c r="NY18" s="12">
        <f>(1+InflationRate)^INT((NU18-1)/12)</f>
        <v/>
      </c>
      <c r="NZ18" s="11">
        <f>'Sens - Churn'!$A$18*VLOOKUP(NV18,ChurnSeasonTable,4,FALSE)</f>
        <v/>
      </c>
      <c r="OA18" s="12">
        <f>MIN(MAX(MktMin13_18,OY17*MktPct13_18),MAX(0,PM17-CashBuffer))</f>
        <v/>
      </c>
      <c r="OB18" s="12">
        <f>IF(OA18&gt;0,MAX(1,ROUND(OA18/CAC*NX18,0)),0)</f>
        <v/>
      </c>
      <c r="OC18" s="12">
        <f>IF(OB18&gt;0,ROUND(OB18*ReferralMix/(1-ReferralMix),0),0)</f>
        <v/>
      </c>
      <c r="OD18" s="12">
        <f>OB18+OC18</f>
        <v/>
      </c>
      <c r="OE18" s="12">
        <f>ROUND(OD18*(1-AnnualMix),0)</f>
        <v/>
      </c>
      <c r="OF18" s="12">
        <f>OD18-OE18</f>
        <v/>
      </c>
      <c r="OG18" s="12">
        <f>ROUND(OE18*EssentialMix,0)</f>
        <v/>
      </c>
      <c r="OH18" s="12">
        <f>ROUND(OE18*PremiumMix,0)</f>
        <v/>
      </c>
      <c r="OI18" s="12">
        <f>OE18-OG18-OH18</f>
        <v/>
      </c>
      <c r="OJ18" s="12">
        <f>ROUND(OF18*EssentialMix,0)</f>
        <v/>
      </c>
      <c r="OK18" s="12">
        <f>ROUND(OF18*PremiumMix,0)</f>
        <v/>
      </c>
      <c r="OL18" s="12">
        <f>OF18-OJ18-OK18</f>
        <v/>
      </c>
      <c r="OM18" s="12">
        <f>OG18+OG17+OG16+MAX(0,OM17-OG17-OG16)*(1-NZ18)</f>
        <v/>
      </c>
      <c r="ON18" s="12">
        <f>OH18+OH17+OH16+MAX(0,ON17-OH17-OH16)*(1-NZ18)</f>
        <v/>
      </c>
      <c r="OO18" s="12">
        <f>OI18+OI17+OI16+MAX(0,OO17-OI17-OI16)*(1-NZ18)</f>
        <v/>
      </c>
      <c r="OP18" s="12">
        <f>OP17+OJ18-OJ6*(AnnualChurn*VLOOKUP(NV18,ChurnSeasonTable,4,FALSE))*POWER(1-(AnnualChurn*VLOOKUP(NV18,ChurnSeasonTable,4,FALSE)),0)</f>
        <v/>
      </c>
      <c r="OQ18" s="12">
        <f>OQ17+OK18-OK6*(AnnualChurn*VLOOKUP(NV18,ChurnSeasonTable,4,FALSE))*POWER(1-(AnnualChurn*VLOOKUP(NV18,ChurnSeasonTable,4,FALSE)),0)</f>
        <v/>
      </c>
      <c r="OR18" s="12">
        <f>OR17+OL18-OL6*(AnnualChurn*VLOOKUP(NV18,ChurnSeasonTable,4,FALSE))*POWER(1-(AnnualChurn*VLOOKUP(NV18,ChurnSeasonTable,4,FALSE)),0)</f>
        <v/>
      </c>
      <c r="OS18" s="12">
        <f>OM18+ON18+OO18+OP18+OQ18+OR18</f>
        <v/>
      </c>
      <c r="OT18" s="9">
        <f>OM18*BlendedPriceEssMonthly*NY18+ON18*BlendedPricePremMonthly*NY18+OO18*BlendedPriceEliteMonthly*NY18+OP18*BlendedPriceEssAnnual*NY18/12+OQ18*BlendedPricePremAnnual*NY18/12+OR18*BlendedPriceEliteAnnual*NY18/12</f>
        <v/>
      </c>
      <c r="OU18" s="9">
        <f>OT18*12</f>
        <v/>
      </c>
      <c r="OV18" s="12">
        <f>OM18*BlendedPriceEssMonthly*NY18+ON18*BlendedPricePremMonthly*NY18+OO18*BlendedPriceEliteMonthly*NY18</f>
        <v/>
      </c>
      <c r="OW18" s="12">
        <f>OJ18*BlendedPriceEssAnnual*NY18+OK18*BlendedPricePremAnnual*NY18+OL18*BlendedPriceEliteAnnual*NY18</f>
        <v/>
      </c>
      <c r="OX18" s="12">
        <f>OJ6*POWER(1-(AnnualChurn*VLOOKUP(NV18,ChurnSeasonTable,4,FALSE)),1)*BlendedPriceEssAnnual*NY18+OK6*POWER(1-(AnnualChurn*VLOOKUP(NV18,ChurnSeasonTable,4,FALSE)),1)*BlendedPricePremAnnual*NY18+OL6*POWER(1-(AnnualChurn*VLOOKUP(NV18,ChurnSeasonTable,4,FALSE)),1)*BlendedPriceEliteAnnual*NY18</f>
        <v/>
      </c>
      <c r="OY18" s="9">
        <f>OV18+OW18+OX18</f>
        <v/>
      </c>
      <c r="OZ18" s="12">
        <f>SUM(OY7:OY18)</f>
        <v/>
      </c>
      <c r="PA18" s="12">
        <f>OR(PA17,IF(VATAgentMode,SUM($OY7:$OY18)-SUM($PF7:$PF18)&gt;=VATThreshold,SUM($OY7:$OY18)&gt;=VATThreshold))</f>
        <v/>
      </c>
      <c r="PB18" s="9">
        <f>IF(PA18,IF(VATAgentMode,OY18-((OY18-PF18)-(OY18-PF18)/(1+VATRate)),OY18/(1+VATRate)),OY18)</f>
        <v/>
      </c>
      <c r="PC18" s="12">
        <f>OY18-PB18</f>
        <v/>
      </c>
      <c r="PD18" s="12">
        <f>IF(PA18=0,0,IF(NV18=1,SUMPRODUCT(--(($NW$5:$NW18=$NW18-1)*($NV$5:$NV18&gt;=10)*($NV$5:$NV18&lt;=12)),$PC$5:$PC18),IF(NV18=4,SUMPRODUCT(--(($NW$5:$NW18=$NW18)*($NV$5:$NV18&gt;=1)*($NV$5:$NV18&lt;=3)),$PC$5:$PC18),IF(NV18=7,SUMPRODUCT(--(($NW$5:$NW18=$NW18)*($NV$5:$NV18&gt;=4)*($NV$5:$NV18&lt;=6)),$PC$5:$PC18),IF(NV18=10,SUMPRODUCT(--(($NW$5:$NW18=$NW18)*($NV$5:$NV18&gt;=7)*($NV$5:$NV18&lt;=9)),$PC$5:$PC18),0)))))</f>
        <v/>
      </c>
      <c r="PE18" s="12">
        <f>PE17+PC18-PD18</f>
        <v/>
      </c>
      <c r="PF18" s="12">
        <f>IF(ProviderDelay&gt;=1,OM17*BlendedProvPayEss+ON17*BlendedProvPayPrem+OO17*BlendedProvPayElite+OP17*BlendedProvPayEss+OQ17*BlendedProvPayPrem+OR17*BlendedProvPayElite,OM18*BlendedProvPayEss+ON18*BlendedProvPayPrem+OO18*BlendedProvPayElite+OP18*BlendedProvPayEss+OQ18*BlendedProvPayPrem+OR18*BlendedProvPayElite)</f>
        <v/>
      </c>
      <c r="PG18" s="12">
        <f>OY18*PaymentFee</f>
        <v/>
      </c>
      <c r="PH18" s="12">
        <f>OS18*OpsAI</f>
        <v/>
      </c>
      <c r="PI18" s="12">
        <f>MonthlyFixed</f>
        <v/>
      </c>
      <c r="PJ18" s="12">
        <f>OC18*ReferralReward</f>
        <v/>
      </c>
      <c r="PK18" s="12">
        <f>OA18</f>
        <v/>
      </c>
      <c r="PL18" s="9">
        <f>PB18-PF18-PG18-PH18-PI18-PJ18-PK18</f>
        <v/>
      </c>
      <c r="PM18" s="9">
        <f>PM17+OY18-(PF18+PG18+PH18+PI18+PJ18+PK18+PD18)</f>
        <v/>
      </c>
      <c r="PN18" s="12">
        <f>IF(OS18&gt;0,OT18/OS18,0)</f>
        <v/>
      </c>
      <c r="PO18" s="11">
        <f>IF(OS17&gt;0,MAX(0,(OS17+OD18-OS18)/OS17),0)</f>
        <v/>
      </c>
      <c r="PQ18" s="12" t="n">
        <v>14</v>
      </c>
      <c r="PR18" s="12">
        <f>MOD(PQ18-1+LaunchMonth-1,12)+1</f>
        <v/>
      </c>
      <c r="PS18" s="12">
        <f>INT((PQ18-1+LaunchMonth-1)/12)+1</f>
        <v/>
      </c>
      <c r="PT18" s="12">
        <f>VLOOKUP(PR18,SeasonTable,2,FALSE)</f>
        <v/>
      </c>
      <c r="PU18" s="12">
        <f>(1+InflationRate)^INT((PQ18-1)/12)</f>
        <v/>
      </c>
      <c r="PV18" s="11">
        <f>'Sens - Churn'!$A$19*VLOOKUP(PR18,ChurnSeasonTable,4,FALSE)</f>
        <v/>
      </c>
      <c r="PW18" s="12">
        <f>MIN(MAX(MktMin13_18,QU17*MktPct13_18),MAX(0,RI17-CashBuffer))</f>
        <v/>
      </c>
      <c r="PX18" s="12">
        <f>IF(PW18&gt;0,MAX(1,ROUND(PW18/CAC*PT18,0)),0)</f>
        <v/>
      </c>
      <c r="PY18" s="12">
        <f>IF(PX18&gt;0,ROUND(PX18*ReferralMix/(1-ReferralMix),0),0)</f>
        <v/>
      </c>
      <c r="PZ18" s="12">
        <f>PX18+PY18</f>
        <v/>
      </c>
      <c r="QA18" s="12">
        <f>ROUND(PZ18*(1-AnnualMix),0)</f>
        <v/>
      </c>
      <c r="QB18" s="12">
        <f>PZ18-QA18</f>
        <v/>
      </c>
      <c r="QC18" s="12">
        <f>ROUND(QA18*EssentialMix,0)</f>
        <v/>
      </c>
      <c r="QD18" s="12">
        <f>ROUND(QA18*PremiumMix,0)</f>
        <v/>
      </c>
      <c r="QE18" s="12">
        <f>QA18-QC18-QD18</f>
        <v/>
      </c>
      <c r="QF18" s="12">
        <f>ROUND(QB18*EssentialMix,0)</f>
        <v/>
      </c>
      <c r="QG18" s="12">
        <f>ROUND(QB18*PremiumMix,0)</f>
        <v/>
      </c>
      <c r="QH18" s="12">
        <f>QB18-QF18-QG18</f>
        <v/>
      </c>
      <c r="QI18" s="12">
        <f>QC18+QC17+QC16+MAX(0,QI17-QC17-QC16)*(1-PV18)</f>
        <v/>
      </c>
      <c r="QJ18" s="12">
        <f>QD18+QD17+QD16+MAX(0,QJ17-QD17-QD16)*(1-PV18)</f>
        <v/>
      </c>
      <c r="QK18" s="12">
        <f>QE18+QE17+QE16+MAX(0,QK17-QE17-QE16)*(1-PV18)</f>
        <v/>
      </c>
      <c r="QL18" s="12">
        <f>QL17+QF18-QF6*(AnnualChurn*VLOOKUP(PR18,ChurnSeasonTable,4,FALSE))*POWER(1-(AnnualChurn*VLOOKUP(PR18,ChurnSeasonTable,4,FALSE)),0)</f>
        <v/>
      </c>
      <c r="QM18" s="12">
        <f>QM17+QG18-QG6*(AnnualChurn*VLOOKUP(PR18,ChurnSeasonTable,4,FALSE))*POWER(1-(AnnualChurn*VLOOKUP(PR18,ChurnSeasonTable,4,FALSE)),0)</f>
        <v/>
      </c>
      <c r="QN18" s="12">
        <f>QN17+QH18-QH6*(AnnualChurn*VLOOKUP(PR18,ChurnSeasonTable,4,FALSE))*POWER(1-(AnnualChurn*VLOOKUP(PR18,ChurnSeasonTable,4,FALSE)),0)</f>
        <v/>
      </c>
      <c r="QO18" s="12">
        <f>QI18+QJ18+QK18+QL18+QM18+QN18</f>
        <v/>
      </c>
      <c r="QP18" s="9">
        <f>QI18*BlendedPriceEssMonthly*PU18+QJ18*BlendedPricePremMonthly*PU18+QK18*BlendedPriceEliteMonthly*PU18+QL18*BlendedPriceEssAnnual*PU18/12+QM18*BlendedPricePremAnnual*PU18/12+QN18*BlendedPriceEliteAnnual*PU18/12</f>
        <v/>
      </c>
      <c r="QQ18" s="9">
        <f>QP18*12</f>
        <v/>
      </c>
      <c r="QR18" s="12">
        <f>QI18*BlendedPriceEssMonthly*PU18+QJ18*BlendedPricePremMonthly*PU18+QK18*BlendedPriceEliteMonthly*PU18</f>
        <v/>
      </c>
      <c r="QS18" s="12">
        <f>QF18*BlendedPriceEssAnnual*PU18+QG18*BlendedPricePremAnnual*PU18+QH18*BlendedPriceEliteAnnual*PU18</f>
        <v/>
      </c>
      <c r="QT18" s="12">
        <f>QF6*POWER(1-(AnnualChurn*VLOOKUP(PR18,ChurnSeasonTable,4,FALSE)),1)*BlendedPriceEssAnnual*PU18+QG6*POWER(1-(AnnualChurn*VLOOKUP(PR18,ChurnSeasonTable,4,FALSE)),1)*BlendedPricePremAnnual*PU18+QH6*POWER(1-(AnnualChurn*VLOOKUP(PR18,ChurnSeasonTable,4,FALSE)),1)*BlendedPriceEliteAnnual*PU18</f>
        <v/>
      </c>
      <c r="QU18" s="9">
        <f>QR18+QS18+QT18</f>
        <v/>
      </c>
      <c r="QV18" s="12">
        <f>SUM(QU7:QU18)</f>
        <v/>
      </c>
      <c r="QW18" s="12">
        <f>OR(QW17,IF(VATAgentMode,SUM($QU7:$QU18)-SUM($RB7:$RB18)&gt;=VATThreshold,SUM($QU7:$QU18)&gt;=VATThreshold))</f>
        <v/>
      </c>
      <c r="QX18" s="9">
        <f>IF(QW18,IF(VATAgentMode,QU18-((QU18-RB18)-(QU18-RB18)/(1+VATRate)),QU18/(1+VATRate)),QU18)</f>
        <v/>
      </c>
      <c r="QY18" s="12">
        <f>QU18-QX18</f>
        <v/>
      </c>
      <c r="QZ18" s="12">
        <f>IF(QW18=0,0,IF(PR18=1,SUMPRODUCT(--(($PS$5:$PS18=$PS18-1)*($PR$5:$PR18&gt;=10)*($PR$5:$PR18&lt;=12)),$QY$5:$QY18),IF(PR18=4,SUMPRODUCT(--(($PS$5:$PS18=$PS18)*($PR$5:$PR18&gt;=1)*($PR$5:$PR18&lt;=3)),$QY$5:$QY18),IF(PR18=7,SUMPRODUCT(--(($PS$5:$PS18=$PS18)*($PR$5:$PR18&gt;=4)*($PR$5:$PR18&lt;=6)),$QY$5:$QY18),IF(PR18=10,SUMPRODUCT(--(($PS$5:$PS18=$PS18)*($PR$5:$PR18&gt;=7)*($PR$5:$PR18&lt;=9)),$QY$5:$QY18),0)))))</f>
        <v/>
      </c>
      <c r="RA18" s="12">
        <f>RA17+QY18-QZ18</f>
        <v/>
      </c>
      <c r="RB18" s="12">
        <f>IF(ProviderDelay&gt;=1,QI17*BlendedProvPayEss+QJ17*BlendedProvPayPrem+QK17*BlendedProvPayElite+QL17*BlendedProvPayEss+QM17*BlendedProvPayPrem+QN17*BlendedProvPayElite,QI18*BlendedProvPayEss+QJ18*BlendedProvPayPrem+QK18*BlendedProvPayElite+QL18*BlendedProvPayEss+QM18*BlendedProvPayPrem+QN18*BlendedProvPayElite)</f>
        <v/>
      </c>
      <c r="RC18" s="12">
        <f>QU18*PaymentFee</f>
        <v/>
      </c>
      <c r="RD18" s="12">
        <f>QO18*OpsAI</f>
        <v/>
      </c>
      <c r="RE18" s="12">
        <f>MonthlyFixed</f>
        <v/>
      </c>
      <c r="RF18" s="12">
        <f>PY18*ReferralReward</f>
        <v/>
      </c>
      <c r="RG18" s="12">
        <f>PW18</f>
        <v/>
      </c>
      <c r="RH18" s="9">
        <f>QX18-RB18-RC18-RD18-RE18-RF18-RG18</f>
        <v/>
      </c>
      <c r="RI18" s="9">
        <f>RI17+QU18-(RB18+RC18+RD18+RE18+RF18+RG18+QZ18)</f>
        <v/>
      </c>
      <c r="RJ18" s="12">
        <f>IF(QO18&gt;0,QP18/QO18,0)</f>
        <v/>
      </c>
      <c r="RK18" s="11">
        <f>IF(QO17&gt;0,MAX(0,(QO17+PZ18-QO18)/QO17),0)</f>
        <v/>
      </c>
      <c r="RM18" s="12" t="n">
        <v>14</v>
      </c>
      <c r="RN18" s="12">
        <f>MOD(RM18-1+LaunchMonth-1,12)+1</f>
        <v/>
      </c>
      <c r="RO18" s="12">
        <f>INT((RM18-1+LaunchMonth-1)/12)+1</f>
        <v/>
      </c>
      <c r="RP18" s="12">
        <f>VLOOKUP(RN18,SeasonTable,2,FALSE)</f>
        <v/>
      </c>
      <c r="RQ18" s="12">
        <f>(1+InflationRate)^INT((RM18-1)/12)</f>
        <v/>
      </c>
      <c r="RR18" s="11">
        <f>'Sens - Churn'!$A$20*VLOOKUP(RN18,ChurnSeasonTable,4,FALSE)</f>
        <v/>
      </c>
      <c r="RS18" s="12">
        <f>MIN(MAX(MktMin13_18,SQ17*MktPct13_18),MAX(0,TE17-CashBuffer))</f>
        <v/>
      </c>
      <c r="RT18" s="12">
        <f>IF(RS18&gt;0,MAX(1,ROUND(RS18/CAC*RP18,0)),0)</f>
        <v/>
      </c>
      <c r="RU18" s="12">
        <f>IF(RT18&gt;0,ROUND(RT18*ReferralMix/(1-ReferralMix),0),0)</f>
        <v/>
      </c>
      <c r="RV18" s="12">
        <f>RT18+RU18</f>
        <v/>
      </c>
      <c r="RW18" s="12">
        <f>ROUND(RV18*(1-AnnualMix),0)</f>
        <v/>
      </c>
      <c r="RX18" s="12">
        <f>RV18-RW18</f>
        <v/>
      </c>
      <c r="RY18" s="12">
        <f>ROUND(RW18*EssentialMix,0)</f>
        <v/>
      </c>
      <c r="RZ18" s="12">
        <f>ROUND(RW18*PremiumMix,0)</f>
        <v/>
      </c>
      <c r="SA18" s="12">
        <f>RW18-RY18-RZ18</f>
        <v/>
      </c>
      <c r="SB18" s="12">
        <f>ROUND(RX18*EssentialMix,0)</f>
        <v/>
      </c>
      <c r="SC18" s="12">
        <f>ROUND(RX18*PremiumMix,0)</f>
        <v/>
      </c>
      <c r="SD18" s="12">
        <f>RX18-SB18-SC18</f>
        <v/>
      </c>
      <c r="SE18" s="12">
        <f>RY18+RY17+RY16+MAX(0,SE17-RY17-RY16)*(1-RR18)</f>
        <v/>
      </c>
      <c r="SF18" s="12">
        <f>RZ18+RZ17+RZ16+MAX(0,SF17-RZ17-RZ16)*(1-RR18)</f>
        <v/>
      </c>
      <c r="SG18" s="12">
        <f>SA18+SA17+SA16+MAX(0,SG17-SA17-SA16)*(1-RR18)</f>
        <v/>
      </c>
      <c r="SH18" s="12">
        <f>SH17+SB18-SB6*(AnnualChurn*VLOOKUP(RN18,ChurnSeasonTable,4,FALSE))*POWER(1-(AnnualChurn*VLOOKUP(RN18,ChurnSeasonTable,4,FALSE)),0)</f>
        <v/>
      </c>
      <c r="SI18" s="12">
        <f>SI17+SC18-SC6*(AnnualChurn*VLOOKUP(RN18,ChurnSeasonTable,4,FALSE))*POWER(1-(AnnualChurn*VLOOKUP(RN18,ChurnSeasonTable,4,FALSE)),0)</f>
        <v/>
      </c>
      <c r="SJ18" s="12">
        <f>SJ17+SD18-SD6*(AnnualChurn*VLOOKUP(RN18,ChurnSeasonTable,4,FALSE))*POWER(1-(AnnualChurn*VLOOKUP(RN18,ChurnSeasonTable,4,FALSE)),0)</f>
        <v/>
      </c>
      <c r="SK18" s="12">
        <f>SE18+SF18+SG18+SH18+SI18+SJ18</f>
        <v/>
      </c>
      <c r="SL18" s="9">
        <f>SE18*BlendedPriceEssMonthly*RQ18+SF18*BlendedPricePremMonthly*RQ18+SG18*BlendedPriceEliteMonthly*RQ18+SH18*BlendedPriceEssAnnual*RQ18/12+SI18*BlendedPricePremAnnual*RQ18/12+SJ18*BlendedPriceEliteAnnual*RQ18/12</f>
        <v/>
      </c>
      <c r="SM18" s="9">
        <f>SL18*12</f>
        <v/>
      </c>
      <c r="SN18" s="12">
        <f>SE18*BlendedPriceEssMonthly*RQ18+SF18*BlendedPricePremMonthly*RQ18+SG18*BlendedPriceEliteMonthly*RQ18</f>
        <v/>
      </c>
      <c r="SO18" s="12">
        <f>SB18*BlendedPriceEssAnnual*RQ18+SC18*BlendedPricePremAnnual*RQ18+SD18*BlendedPriceEliteAnnual*RQ18</f>
        <v/>
      </c>
      <c r="SP18" s="12">
        <f>SB6*POWER(1-(AnnualChurn*VLOOKUP(RN18,ChurnSeasonTable,4,FALSE)),1)*BlendedPriceEssAnnual*RQ18+SC6*POWER(1-(AnnualChurn*VLOOKUP(RN18,ChurnSeasonTable,4,FALSE)),1)*BlendedPricePremAnnual*RQ18+SD6*POWER(1-(AnnualChurn*VLOOKUP(RN18,ChurnSeasonTable,4,FALSE)),1)*BlendedPriceEliteAnnual*RQ18</f>
        <v/>
      </c>
      <c r="SQ18" s="9">
        <f>SN18+SO18+SP18</f>
        <v/>
      </c>
      <c r="SR18" s="12">
        <f>SUM(SQ7:SQ18)</f>
        <v/>
      </c>
      <c r="SS18" s="12">
        <f>OR(SS17,IF(VATAgentMode,SUM($SQ7:$SQ18)-SUM($SX7:$SX18)&gt;=VATThreshold,SUM($SQ7:$SQ18)&gt;=VATThreshold))</f>
        <v/>
      </c>
      <c r="ST18" s="9">
        <f>IF(SS18,IF(VATAgentMode,SQ18-((SQ18-SX18)-(SQ18-SX18)/(1+VATRate)),SQ18/(1+VATRate)),SQ18)</f>
        <v/>
      </c>
      <c r="SU18" s="12">
        <f>SQ18-ST18</f>
        <v/>
      </c>
      <c r="SV18" s="12">
        <f>IF(SS18=0,0,IF(RN18=1,SUMPRODUCT(--(($RO$5:$RO18=$RO18-1)*($RN$5:$RN18&gt;=10)*($RN$5:$RN18&lt;=12)),$SU$5:$SU18),IF(RN18=4,SUMPRODUCT(--(($RO$5:$RO18=$RO18)*($RN$5:$RN18&gt;=1)*($RN$5:$RN18&lt;=3)),$SU$5:$SU18),IF(RN18=7,SUMPRODUCT(--(($RO$5:$RO18=$RO18)*($RN$5:$RN18&gt;=4)*($RN$5:$RN18&lt;=6)),$SU$5:$SU18),IF(RN18=10,SUMPRODUCT(--(($RO$5:$RO18=$RO18)*($RN$5:$RN18&gt;=7)*($RN$5:$RN18&lt;=9)),$SU$5:$SU18),0)))))</f>
        <v/>
      </c>
      <c r="SW18" s="12">
        <f>SW17+SU18-SV18</f>
        <v/>
      </c>
      <c r="SX18" s="12">
        <f>IF(ProviderDelay&gt;=1,SE17*BlendedProvPayEss+SF17*BlendedProvPayPrem+SG17*BlendedProvPayElite+SH17*BlendedProvPayEss+SI17*BlendedProvPayPrem+SJ17*BlendedProvPayElite,SE18*BlendedProvPayEss+SF18*BlendedProvPayPrem+SG18*BlendedProvPayElite+SH18*BlendedProvPayEss+SI18*BlendedProvPayPrem+SJ18*BlendedProvPayElite)</f>
        <v/>
      </c>
      <c r="SY18" s="12">
        <f>SQ18*PaymentFee</f>
        <v/>
      </c>
      <c r="SZ18" s="12">
        <f>SK18*OpsAI</f>
        <v/>
      </c>
      <c r="TA18" s="12">
        <f>MonthlyFixed</f>
        <v/>
      </c>
      <c r="TB18" s="12">
        <f>RU18*ReferralReward</f>
        <v/>
      </c>
      <c r="TC18" s="12">
        <f>RS18</f>
        <v/>
      </c>
      <c r="TD18" s="9">
        <f>ST18-SX18-SY18-SZ18-TA18-TB18-TC18</f>
        <v/>
      </c>
      <c r="TE18" s="9">
        <f>TE17+SQ18-(SX18+SY18+SZ18+TA18+TB18+TC18+SV18)</f>
        <v/>
      </c>
      <c r="TF18" s="12">
        <f>IF(SK18&gt;0,SL18/SK18,0)</f>
        <v/>
      </c>
      <c r="TG18" s="11">
        <f>IF(SK17&gt;0,MAX(0,(SK17+RV18-SK18)/SK17),0)</f>
        <v/>
      </c>
      <c r="TI18" s="12" t="n">
        <v>14</v>
      </c>
      <c r="TJ18" s="12">
        <f>MOD(TI18-1+LaunchMonth-1,12)+1</f>
        <v/>
      </c>
      <c r="TK18" s="12">
        <f>INT((TI18-1+LaunchMonth-1)/12)+1</f>
        <v/>
      </c>
      <c r="TL18" s="12">
        <f>VLOOKUP(TJ18,SeasonTable,2,FALSE)</f>
        <v/>
      </c>
      <c r="TM18" s="12">
        <f>(1+InflationRate)^INT((TI18-1)/12)</f>
        <v/>
      </c>
      <c r="TN18" s="11">
        <f>'Sens - Churn'!$A$21*VLOOKUP(TJ18,ChurnSeasonTable,4,FALSE)</f>
        <v/>
      </c>
      <c r="TO18" s="12">
        <f>MIN(MAX(MktMin13_18,UM17*MktPct13_18),MAX(0,VA17-CashBuffer))</f>
        <v/>
      </c>
      <c r="TP18" s="12">
        <f>IF(TO18&gt;0,MAX(1,ROUND(TO18/CAC*TL18,0)),0)</f>
        <v/>
      </c>
      <c r="TQ18" s="12">
        <f>IF(TP18&gt;0,ROUND(TP18*ReferralMix/(1-ReferralMix),0),0)</f>
        <v/>
      </c>
      <c r="TR18" s="12">
        <f>TP18+TQ18</f>
        <v/>
      </c>
      <c r="TS18" s="12">
        <f>ROUND(TR18*(1-AnnualMix),0)</f>
        <v/>
      </c>
      <c r="TT18" s="12">
        <f>TR18-TS18</f>
        <v/>
      </c>
      <c r="TU18" s="12">
        <f>ROUND(TS18*EssentialMix,0)</f>
        <v/>
      </c>
      <c r="TV18" s="12">
        <f>ROUND(TS18*PremiumMix,0)</f>
        <v/>
      </c>
      <c r="TW18" s="12">
        <f>TS18-TU18-TV18</f>
        <v/>
      </c>
      <c r="TX18" s="12">
        <f>ROUND(TT18*EssentialMix,0)</f>
        <v/>
      </c>
      <c r="TY18" s="12">
        <f>ROUND(TT18*PremiumMix,0)</f>
        <v/>
      </c>
      <c r="TZ18" s="12">
        <f>TT18-TX18-TY18</f>
        <v/>
      </c>
      <c r="UA18" s="12">
        <f>TU18+TU17+TU16+MAX(0,UA17-TU17-TU16)*(1-TN18)</f>
        <v/>
      </c>
      <c r="UB18" s="12">
        <f>TV18+TV17+TV16+MAX(0,UB17-TV17-TV16)*(1-TN18)</f>
        <v/>
      </c>
      <c r="UC18" s="12">
        <f>TW18+TW17+TW16+MAX(0,UC17-TW17-TW16)*(1-TN18)</f>
        <v/>
      </c>
      <c r="UD18" s="12">
        <f>UD17+TX18-TX6*(AnnualChurn*VLOOKUP(TJ18,ChurnSeasonTable,4,FALSE))*POWER(1-(AnnualChurn*VLOOKUP(TJ18,ChurnSeasonTable,4,FALSE)),0)</f>
        <v/>
      </c>
      <c r="UE18" s="12">
        <f>UE17+TY18-TY6*(AnnualChurn*VLOOKUP(TJ18,ChurnSeasonTable,4,FALSE))*POWER(1-(AnnualChurn*VLOOKUP(TJ18,ChurnSeasonTable,4,FALSE)),0)</f>
        <v/>
      </c>
      <c r="UF18" s="12">
        <f>UF17+TZ18-TZ6*(AnnualChurn*VLOOKUP(TJ18,ChurnSeasonTable,4,FALSE))*POWER(1-(AnnualChurn*VLOOKUP(TJ18,ChurnSeasonTable,4,FALSE)),0)</f>
        <v/>
      </c>
      <c r="UG18" s="12">
        <f>UA18+UB18+UC18+UD18+UE18+UF18</f>
        <v/>
      </c>
      <c r="UH18" s="9">
        <f>UA18*BlendedPriceEssMonthly*TM18+UB18*BlendedPricePremMonthly*TM18+UC18*BlendedPriceEliteMonthly*TM18+UD18*BlendedPriceEssAnnual*TM18/12+UE18*BlendedPricePremAnnual*TM18/12+UF18*BlendedPriceEliteAnnual*TM18/12</f>
        <v/>
      </c>
      <c r="UI18" s="9">
        <f>UH18*12</f>
        <v/>
      </c>
      <c r="UJ18" s="12">
        <f>UA18*BlendedPriceEssMonthly*TM18+UB18*BlendedPricePremMonthly*TM18+UC18*BlendedPriceEliteMonthly*TM18</f>
        <v/>
      </c>
      <c r="UK18" s="12">
        <f>TX18*BlendedPriceEssAnnual*TM18+TY18*BlendedPricePremAnnual*TM18+TZ18*BlendedPriceEliteAnnual*TM18</f>
        <v/>
      </c>
      <c r="UL18" s="12">
        <f>TX6*POWER(1-(AnnualChurn*VLOOKUP(TJ18,ChurnSeasonTable,4,FALSE)),1)*BlendedPriceEssAnnual*TM18+TY6*POWER(1-(AnnualChurn*VLOOKUP(TJ18,ChurnSeasonTable,4,FALSE)),1)*BlendedPricePremAnnual*TM18+TZ6*POWER(1-(AnnualChurn*VLOOKUP(TJ18,ChurnSeasonTable,4,FALSE)),1)*BlendedPriceEliteAnnual*TM18</f>
        <v/>
      </c>
      <c r="UM18" s="9">
        <f>UJ18+UK18+UL18</f>
        <v/>
      </c>
      <c r="UN18" s="12">
        <f>SUM(UM7:UM18)</f>
        <v/>
      </c>
      <c r="UO18" s="12">
        <f>OR(UO17,IF(VATAgentMode,SUM($UM7:$UM18)-SUM($UT7:$UT18)&gt;=VATThreshold,SUM($UM7:$UM18)&gt;=VATThreshold))</f>
        <v/>
      </c>
      <c r="UP18" s="9">
        <f>IF(UO18,IF(VATAgentMode,UM18-((UM18-UT18)-(UM18-UT18)/(1+VATRate)),UM18/(1+VATRate)),UM18)</f>
        <v/>
      </c>
      <c r="UQ18" s="12">
        <f>UM18-UP18</f>
        <v/>
      </c>
      <c r="UR18" s="12">
        <f>IF(UO18=0,0,IF(TJ18=1,SUMPRODUCT(--(($TK$5:$TK18=$TK18-1)*($TJ$5:$TJ18&gt;=10)*($TJ$5:$TJ18&lt;=12)),$UQ$5:$UQ18),IF(TJ18=4,SUMPRODUCT(--(($TK$5:$TK18=$TK18)*($TJ$5:$TJ18&gt;=1)*($TJ$5:$TJ18&lt;=3)),$UQ$5:$UQ18),IF(TJ18=7,SUMPRODUCT(--(($TK$5:$TK18=$TK18)*($TJ$5:$TJ18&gt;=4)*($TJ$5:$TJ18&lt;=6)),$UQ$5:$UQ18),IF(TJ18=10,SUMPRODUCT(--(($TK$5:$TK18=$TK18)*($TJ$5:$TJ18&gt;=7)*($TJ$5:$TJ18&lt;=9)),$UQ$5:$UQ18),0)))))</f>
        <v/>
      </c>
      <c r="US18" s="12">
        <f>US17+UQ18-UR18</f>
        <v/>
      </c>
      <c r="UT18" s="12">
        <f>IF(ProviderDelay&gt;=1,UA17*BlendedProvPayEss+UB17*BlendedProvPayPrem+UC17*BlendedProvPayElite+UD17*BlendedProvPayEss+UE17*BlendedProvPayPrem+UF17*BlendedProvPayElite,UA18*BlendedProvPayEss+UB18*BlendedProvPayPrem+UC18*BlendedProvPayElite+UD18*BlendedProvPayEss+UE18*BlendedProvPayPrem+UF18*BlendedProvPayElite)</f>
        <v/>
      </c>
      <c r="UU18" s="12">
        <f>UM18*PaymentFee</f>
        <v/>
      </c>
      <c r="UV18" s="12">
        <f>UG18*OpsAI</f>
        <v/>
      </c>
      <c r="UW18" s="12">
        <f>MonthlyFixed</f>
        <v/>
      </c>
      <c r="UX18" s="12">
        <f>TQ18*ReferralReward</f>
        <v/>
      </c>
      <c r="UY18" s="12">
        <f>TO18</f>
        <v/>
      </c>
      <c r="UZ18" s="9">
        <f>UP18-UT18-UU18-UV18-UW18-UX18-UY18</f>
        <v/>
      </c>
      <c r="VA18" s="9">
        <f>VA17+UM18-(UT18+UU18+UV18+UW18+UX18+UY18+UR18)</f>
        <v/>
      </c>
      <c r="VB18" s="12">
        <f>IF(UG18&gt;0,UH18/UG18,0)</f>
        <v/>
      </c>
      <c r="VC18" s="11">
        <f>IF(UG17&gt;0,MAX(0,(UG17+TR18-UG18)/UG17),0)</f>
        <v/>
      </c>
      <c r="VE18" s="12" t="n">
        <v>14</v>
      </c>
      <c r="VF18" s="12">
        <f>MOD(VE18-1+LaunchMonth-1,12)+1</f>
        <v/>
      </c>
      <c r="VG18" s="12">
        <f>INT((VE18-1+LaunchMonth-1)/12)+1</f>
        <v/>
      </c>
      <c r="VH18" s="12">
        <f>VLOOKUP(VF18,SeasonTable,2,FALSE)</f>
        <v/>
      </c>
      <c r="VI18" s="12">
        <f>(1+InflationRate)^INT((VE18-1)/12)</f>
        <v/>
      </c>
      <c r="VJ18" s="11">
        <f>MonthlyChurn*VLOOKUP(VF18,ChurnSeasonTable,4,FALSE)</f>
        <v/>
      </c>
      <c r="VK18" s="12">
        <f>MIN(MAX(MktMin13_18,WI17*MktPct13_18),MAX(0,WW17-CashBuffer))</f>
        <v/>
      </c>
      <c r="VL18" s="12">
        <f>IF(VK18&gt;0,MAX(1,ROUND(VK18/CAC*VH18,0)),0)</f>
        <v/>
      </c>
      <c r="VM18" s="12">
        <f>IF(VL18&gt;0,ROUND(VL18*ReferralMix/(1-ReferralMix),0),0)</f>
        <v/>
      </c>
      <c r="VN18" s="12">
        <f>VL18+VM18</f>
        <v/>
      </c>
      <c r="VO18" s="12">
        <f>ROUND(VN18*(1-'Sens - Annual Mix'!$A$9),0)</f>
        <v/>
      </c>
      <c r="VP18" s="12">
        <f>VN18-VO18</f>
        <v/>
      </c>
      <c r="VQ18" s="12">
        <f>ROUND(VO18*EssentialMix,0)</f>
        <v/>
      </c>
      <c r="VR18" s="12">
        <f>ROUND(VO18*PremiumMix,0)</f>
        <v/>
      </c>
      <c r="VS18" s="12">
        <f>VO18-VQ18-VR18</f>
        <v/>
      </c>
      <c r="VT18" s="12">
        <f>ROUND(VP18*EssentialMix,0)</f>
        <v/>
      </c>
      <c r="VU18" s="12">
        <f>ROUND(VP18*PremiumMix,0)</f>
        <v/>
      </c>
      <c r="VV18" s="12">
        <f>VP18-VT18-VU18</f>
        <v/>
      </c>
      <c r="VW18" s="12">
        <f>VQ18+VQ17+VQ16+MAX(0,VW17-VQ17-VQ16)*(1-VJ18)</f>
        <v/>
      </c>
      <c r="VX18" s="12">
        <f>VR18+VR17+VR16+MAX(0,VX17-VR17-VR16)*(1-VJ18)</f>
        <v/>
      </c>
      <c r="VY18" s="12">
        <f>VS18+VS17+VS16+MAX(0,VY17-VS17-VS16)*(1-VJ18)</f>
        <v/>
      </c>
      <c r="VZ18" s="12">
        <f>VZ17+VT18-VT6*(AnnualChurn*VLOOKUP(VF18,ChurnSeasonTable,4,FALSE))*POWER(1-(AnnualChurn*VLOOKUP(VF18,ChurnSeasonTable,4,FALSE)),0)</f>
        <v/>
      </c>
      <c r="WA18" s="12">
        <f>WA17+VU18-VU6*(AnnualChurn*VLOOKUP(VF18,ChurnSeasonTable,4,FALSE))*POWER(1-(AnnualChurn*VLOOKUP(VF18,ChurnSeasonTable,4,FALSE)),0)</f>
        <v/>
      </c>
      <c r="WB18" s="12">
        <f>WB17+VV18-VV6*(AnnualChurn*VLOOKUP(VF18,ChurnSeasonTable,4,FALSE))*POWER(1-(AnnualChurn*VLOOKUP(VF18,ChurnSeasonTable,4,FALSE)),0)</f>
        <v/>
      </c>
      <c r="WC18" s="12">
        <f>VW18+VX18+VY18+VZ18+WA18+WB18</f>
        <v/>
      </c>
      <c r="WD18" s="9">
        <f>VW18*BlendedPriceEssMonthly*VI18+VX18*BlendedPricePremMonthly*VI18+VY18*BlendedPriceEliteMonthly*VI18+VZ18*BlendedPriceEssAnnual*VI18/12+WA18*BlendedPricePremAnnual*VI18/12+WB18*BlendedPriceEliteAnnual*VI18/12</f>
        <v/>
      </c>
      <c r="WE18" s="9">
        <f>WD18*12</f>
        <v/>
      </c>
      <c r="WF18" s="12">
        <f>VW18*BlendedPriceEssMonthly*VI18+VX18*BlendedPricePremMonthly*VI18+VY18*BlendedPriceEliteMonthly*VI18</f>
        <v/>
      </c>
      <c r="WG18" s="12">
        <f>VT18*BlendedPriceEssAnnual*VI18+VU18*BlendedPricePremAnnual*VI18+VV18*BlendedPriceEliteAnnual*VI18</f>
        <v/>
      </c>
      <c r="WH18" s="12">
        <f>VT6*POWER(1-(AnnualChurn*VLOOKUP(VF18,ChurnSeasonTable,4,FALSE)),1)*BlendedPriceEssAnnual*VI18+VU6*POWER(1-(AnnualChurn*VLOOKUP(VF18,ChurnSeasonTable,4,FALSE)),1)*BlendedPricePremAnnual*VI18+VV6*POWER(1-(AnnualChurn*VLOOKUP(VF18,ChurnSeasonTable,4,FALSE)),1)*BlendedPriceEliteAnnual*VI18</f>
        <v/>
      </c>
      <c r="WI18" s="9">
        <f>WF18+WG18+WH18</f>
        <v/>
      </c>
      <c r="WJ18" s="12">
        <f>SUM(WI7:WI18)</f>
        <v/>
      </c>
      <c r="WK18" s="12">
        <f>OR(WK17,IF(VATAgentMode,SUM($WI7:$WI18)-SUM($WP7:$WP18)&gt;=VATThreshold,SUM($WI7:$WI18)&gt;=VATThreshold))</f>
        <v/>
      </c>
      <c r="WL18" s="9">
        <f>IF(WK18,IF(VATAgentMode,WI18-((WI18-WP18)-(WI18-WP18)/(1+VATRate)),WI18/(1+VATRate)),WI18)</f>
        <v/>
      </c>
      <c r="WM18" s="12">
        <f>WI18-WL18</f>
        <v/>
      </c>
      <c r="WN18" s="12">
        <f>IF(WK18=0,0,IF(VF18=1,SUMPRODUCT(--(($VG$5:$VG18=$VG18-1)*($VF$5:$VF18&gt;=10)*($VF$5:$VF18&lt;=12)),$WM$5:$WM18),IF(VF18=4,SUMPRODUCT(--(($VG$5:$VG18=$VG18)*($VF$5:$VF18&gt;=1)*($VF$5:$VF18&lt;=3)),$WM$5:$WM18),IF(VF18=7,SUMPRODUCT(--(($VG$5:$VG18=$VG18)*($VF$5:$VF18&gt;=4)*($VF$5:$VF18&lt;=6)),$WM$5:$WM18),IF(VF18=10,SUMPRODUCT(--(($VG$5:$VG18=$VG18)*($VF$5:$VF18&gt;=7)*($VF$5:$VF18&lt;=9)),$WM$5:$WM18),0)))))</f>
        <v/>
      </c>
      <c r="WO18" s="12">
        <f>WO17+WM18-WN18</f>
        <v/>
      </c>
      <c r="WP18" s="12">
        <f>IF(ProviderDelay&gt;=1,VW17*BlendedProvPayEss+VX17*BlendedProvPayPrem+VY17*BlendedProvPayElite+VZ17*BlendedProvPayEss+WA17*BlendedProvPayPrem+WB17*BlendedProvPayElite,VW18*BlendedProvPayEss+VX18*BlendedProvPayPrem+VY18*BlendedProvPayElite+VZ18*BlendedProvPayEss+WA18*BlendedProvPayPrem+WB18*BlendedProvPayElite)</f>
        <v/>
      </c>
      <c r="WQ18" s="12">
        <f>WI18*PaymentFee</f>
        <v/>
      </c>
      <c r="WR18" s="12">
        <f>WC18*OpsAI</f>
        <v/>
      </c>
      <c r="WS18" s="12">
        <f>MonthlyFixed</f>
        <v/>
      </c>
      <c r="WT18" s="12">
        <f>VM18*ReferralReward</f>
        <v/>
      </c>
      <c r="WU18" s="12">
        <f>VK18</f>
        <v/>
      </c>
      <c r="WV18" s="9">
        <f>WL18-WP18-WQ18-WR18-WS18-WT18-WU18</f>
        <v/>
      </c>
      <c r="WW18" s="9">
        <f>WW17+WI18-(WP18+WQ18+WR18+WS18+WT18+WU18+WN18)</f>
        <v/>
      </c>
      <c r="WX18" s="12">
        <f>IF(WC18&gt;0,WD18/WC18,0)</f>
        <v/>
      </c>
      <c r="WY18" s="11">
        <f>IF(WC17&gt;0,MAX(0,(WC17+VN18-WC18)/WC17),0)</f>
        <v/>
      </c>
      <c r="XA18" s="12" t="n">
        <v>14</v>
      </c>
      <c r="XB18" s="12">
        <f>MOD(XA18-1+LaunchMonth-1,12)+1</f>
        <v/>
      </c>
      <c r="XC18" s="12">
        <f>INT((XA18-1+LaunchMonth-1)/12)+1</f>
        <v/>
      </c>
      <c r="XD18" s="12">
        <f>VLOOKUP(XB18,SeasonTable,2,FALSE)</f>
        <v/>
      </c>
      <c r="XE18" s="12">
        <f>(1+InflationRate)^INT((XA18-1)/12)</f>
        <v/>
      </c>
      <c r="XF18" s="11">
        <f>MonthlyChurn*VLOOKUP(XB18,ChurnSeasonTable,4,FALSE)</f>
        <v/>
      </c>
      <c r="XG18" s="12">
        <f>MIN(MAX(MktMin13_18,YE17*MktPct13_18),MAX(0,YS17-CashBuffer))</f>
        <v/>
      </c>
      <c r="XH18" s="12">
        <f>IF(XG18&gt;0,MAX(1,ROUND(XG18/CAC*XD18,0)),0)</f>
        <v/>
      </c>
      <c r="XI18" s="12">
        <f>IF(XH18&gt;0,ROUND(XH18*ReferralMix/(1-ReferralMix),0),0)</f>
        <v/>
      </c>
      <c r="XJ18" s="12">
        <f>XH18+XI18</f>
        <v/>
      </c>
      <c r="XK18" s="12">
        <f>ROUND(XJ18*(1-'Sens - Annual Mix'!$A$10),0)</f>
        <v/>
      </c>
      <c r="XL18" s="12">
        <f>XJ18-XK18</f>
        <v/>
      </c>
      <c r="XM18" s="12">
        <f>ROUND(XK18*EssentialMix,0)</f>
        <v/>
      </c>
      <c r="XN18" s="12">
        <f>ROUND(XK18*PremiumMix,0)</f>
        <v/>
      </c>
      <c r="XO18" s="12">
        <f>XK18-XM18-XN18</f>
        <v/>
      </c>
      <c r="XP18" s="12">
        <f>ROUND(XL18*EssentialMix,0)</f>
        <v/>
      </c>
      <c r="XQ18" s="12">
        <f>ROUND(XL18*PremiumMix,0)</f>
        <v/>
      </c>
      <c r="XR18" s="12">
        <f>XL18-XP18-XQ18</f>
        <v/>
      </c>
      <c r="XS18" s="12">
        <f>XM18+XM17+XM16+MAX(0,XS17-XM17-XM16)*(1-XF18)</f>
        <v/>
      </c>
      <c r="XT18" s="12">
        <f>XN18+XN17+XN16+MAX(0,XT17-XN17-XN16)*(1-XF18)</f>
        <v/>
      </c>
      <c r="XU18" s="12">
        <f>XO18+XO17+XO16+MAX(0,XU17-XO17-XO16)*(1-XF18)</f>
        <v/>
      </c>
      <c r="XV18" s="12">
        <f>XV17+XP18-XP6*(AnnualChurn*VLOOKUP(XB18,ChurnSeasonTable,4,FALSE))*POWER(1-(AnnualChurn*VLOOKUP(XB18,ChurnSeasonTable,4,FALSE)),0)</f>
        <v/>
      </c>
      <c r="XW18" s="12">
        <f>XW17+XQ18-XQ6*(AnnualChurn*VLOOKUP(XB18,ChurnSeasonTable,4,FALSE))*POWER(1-(AnnualChurn*VLOOKUP(XB18,ChurnSeasonTable,4,FALSE)),0)</f>
        <v/>
      </c>
      <c r="XX18" s="12">
        <f>XX17+XR18-XR6*(AnnualChurn*VLOOKUP(XB18,ChurnSeasonTable,4,FALSE))*POWER(1-(AnnualChurn*VLOOKUP(XB18,ChurnSeasonTable,4,FALSE)),0)</f>
        <v/>
      </c>
      <c r="XY18" s="12">
        <f>XS18+XT18+XU18+XV18+XW18+XX18</f>
        <v/>
      </c>
      <c r="XZ18" s="9">
        <f>XS18*BlendedPriceEssMonthly*XE18+XT18*BlendedPricePremMonthly*XE18+XU18*BlendedPriceEliteMonthly*XE18+XV18*BlendedPriceEssAnnual*XE18/12+XW18*BlendedPricePremAnnual*XE18/12+XX18*BlendedPriceEliteAnnual*XE18/12</f>
        <v/>
      </c>
      <c r="YA18" s="9">
        <f>XZ18*12</f>
        <v/>
      </c>
      <c r="YB18" s="12">
        <f>XS18*BlendedPriceEssMonthly*XE18+XT18*BlendedPricePremMonthly*XE18+XU18*BlendedPriceEliteMonthly*XE18</f>
        <v/>
      </c>
      <c r="YC18" s="12">
        <f>XP18*BlendedPriceEssAnnual*XE18+XQ18*BlendedPricePremAnnual*XE18+XR18*BlendedPriceEliteAnnual*XE18</f>
        <v/>
      </c>
      <c r="YD18" s="12">
        <f>XP6*POWER(1-(AnnualChurn*VLOOKUP(XB18,ChurnSeasonTable,4,FALSE)),1)*BlendedPriceEssAnnual*XE18+XQ6*POWER(1-(AnnualChurn*VLOOKUP(XB18,ChurnSeasonTable,4,FALSE)),1)*BlendedPricePremAnnual*XE18+XR6*POWER(1-(AnnualChurn*VLOOKUP(XB18,ChurnSeasonTable,4,FALSE)),1)*BlendedPriceEliteAnnual*XE18</f>
        <v/>
      </c>
      <c r="YE18" s="9">
        <f>YB18+YC18+YD18</f>
        <v/>
      </c>
      <c r="YF18" s="12">
        <f>SUM(YE7:YE18)</f>
        <v/>
      </c>
      <c r="YG18" s="12">
        <f>OR(YG17,IF(VATAgentMode,SUM($YE7:$YE18)-SUM($YL7:$YL18)&gt;=VATThreshold,SUM($YE7:$YE18)&gt;=VATThreshold))</f>
        <v/>
      </c>
      <c r="YH18" s="9">
        <f>IF(YG18,IF(VATAgentMode,YE18-((YE18-YL18)-(YE18-YL18)/(1+VATRate)),YE18/(1+VATRate)),YE18)</f>
        <v/>
      </c>
      <c r="YI18" s="12">
        <f>YE18-YH18</f>
        <v/>
      </c>
      <c r="YJ18" s="12">
        <f>IF(YG18=0,0,IF(XB18=1,SUMPRODUCT(--(($XC$5:$XC18=$XC18-1)*($XB$5:$XB18&gt;=10)*($XB$5:$XB18&lt;=12)),$YI$5:$YI18),IF(XB18=4,SUMPRODUCT(--(($XC$5:$XC18=$XC18)*($XB$5:$XB18&gt;=1)*($XB$5:$XB18&lt;=3)),$YI$5:$YI18),IF(XB18=7,SUMPRODUCT(--(($XC$5:$XC18=$XC18)*($XB$5:$XB18&gt;=4)*($XB$5:$XB18&lt;=6)),$YI$5:$YI18),IF(XB18=10,SUMPRODUCT(--(($XC$5:$XC18=$XC18)*($XB$5:$XB18&gt;=7)*($XB$5:$XB18&lt;=9)),$YI$5:$YI18),0)))))</f>
        <v/>
      </c>
      <c r="YK18" s="12">
        <f>YK17+YI18-YJ18</f>
        <v/>
      </c>
      <c r="YL18" s="12">
        <f>IF(ProviderDelay&gt;=1,XS17*BlendedProvPayEss+XT17*BlendedProvPayPrem+XU17*BlendedProvPayElite+XV17*BlendedProvPayEss+XW17*BlendedProvPayPrem+XX17*BlendedProvPayElite,XS18*BlendedProvPayEss+XT18*BlendedProvPayPrem+XU18*BlendedProvPayElite+XV18*BlendedProvPayEss+XW18*BlendedProvPayPrem+XX18*BlendedProvPayElite)</f>
        <v/>
      </c>
      <c r="YM18" s="12">
        <f>YE18*PaymentFee</f>
        <v/>
      </c>
      <c r="YN18" s="12">
        <f>XY18*OpsAI</f>
        <v/>
      </c>
      <c r="YO18" s="12">
        <f>MonthlyFixed</f>
        <v/>
      </c>
      <c r="YP18" s="12">
        <f>XI18*ReferralReward</f>
        <v/>
      </c>
      <c r="YQ18" s="12">
        <f>XG18</f>
        <v/>
      </c>
      <c r="YR18" s="9">
        <f>YH18-YL18-YM18-YN18-YO18-YP18-YQ18</f>
        <v/>
      </c>
      <c r="YS18" s="9">
        <f>YS17+YE18-(YL18+YM18+YN18+YO18+YP18+YQ18+YJ18)</f>
        <v/>
      </c>
      <c r="YT18" s="12">
        <f>IF(XY18&gt;0,XZ18/XY18,0)</f>
        <v/>
      </c>
      <c r="YU18" s="11">
        <f>IF(XY17&gt;0,MAX(0,(XY17+XJ18-XY18)/XY17),0)</f>
        <v/>
      </c>
      <c r="YW18" s="12" t="n">
        <v>14</v>
      </c>
      <c r="YX18" s="12">
        <f>MOD(YW18-1+LaunchMonth-1,12)+1</f>
        <v/>
      </c>
      <c r="YY18" s="12">
        <f>INT((YW18-1+LaunchMonth-1)/12)+1</f>
        <v/>
      </c>
      <c r="YZ18" s="12">
        <f>VLOOKUP(YX18,SeasonTable,2,FALSE)</f>
        <v/>
      </c>
      <c r="ZA18" s="12">
        <f>(1+InflationRate)^INT((YW18-1)/12)</f>
        <v/>
      </c>
      <c r="ZB18" s="11">
        <f>MonthlyChurn*VLOOKUP(YX18,ChurnSeasonTable,4,FALSE)</f>
        <v/>
      </c>
      <c r="ZC18" s="12">
        <f>MIN(MAX(MktMin13_18,AAA17*MktPct13_18),MAX(0,AAO17-CashBuffer))</f>
        <v/>
      </c>
      <c r="ZD18" s="12">
        <f>IF(ZC18&gt;0,MAX(1,ROUND(ZC18/CAC*YZ18,0)),0)</f>
        <v/>
      </c>
      <c r="ZE18" s="12">
        <f>IF(ZD18&gt;0,ROUND(ZD18*ReferralMix/(1-ReferralMix),0),0)</f>
        <v/>
      </c>
      <c r="ZF18" s="12">
        <f>ZD18+ZE18</f>
        <v/>
      </c>
      <c r="ZG18" s="12">
        <f>ROUND(ZF18*(1-'Sens - Annual Mix'!$A$11),0)</f>
        <v/>
      </c>
      <c r="ZH18" s="12">
        <f>ZF18-ZG18</f>
        <v/>
      </c>
      <c r="ZI18" s="12">
        <f>ROUND(ZG18*EssentialMix,0)</f>
        <v/>
      </c>
      <c r="ZJ18" s="12">
        <f>ROUND(ZG18*PremiumMix,0)</f>
        <v/>
      </c>
      <c r="ZK18" s="12">
        <f>ZG18-ZI18-ZJ18</f>
        <v/>
      </c>
      <c r="ZL18" s="12">
        <f>ROUND(ZH18*EssentialMix,0)</f>
        <v/>
      </c>
      <c r="ZM18" s="12">
        <f>ROUND(ZH18*PremiumMix,0)</f>
        <v/>
      </c>
      <c r="ZN18" s="12">
        <f>ZH18-ZL18-ZM18</f>
        <v/>
      </c>
      <c r="ZO18" s="12">
        <f>ZI18+ZI17+ZI16+MAX(0,ZO17-ZI17-ZI16)*(1-ZB18)</f>
        <v/>
      </c>
      <c r="ZP18" s="12">
        <f>ZJ18+ZJ17+ZJ16+MAX(0,ZP17-ZJ17-ZJ16)*(1-ZB18)</f>
        <v/>
      </c>
      <c r="ZQ18" s="12">
        <f>ZK18+ZK17+ZK16+MAX(0,ZQ17-ZK17-ZK16)*(1-ZB18)</f>
        <v/>
      </c>
      <c r="ZR18" s="12">
        <f>ZR17+ZL18-ZL6*(AnnualChurn*VLOOKUP(YX18,ChurnSeasonTable,4,FALSE))*POWER(1-(AnnualChurn*VLOOKUP(YX18,ChurnSeasonTable,4,FALSE)),0)</f>
        <v/>
      </c>
      <c r="ZS18" s="12">
        <f>ZS17+ZM18-ZM6*(AnnualChurn*VLOOKUP(YX18,ChurnSeasonTable,4,FALSE))*POWER(1-(AnnualChurn*VLOOKUP(YX18,ChurnSeasonTable,4,FALSE)),0)</f>
        <v/>
      </c>
      <c r="ZT18" s="12">
        <f>ZT17+ZN18-ZN6*(AnnualChurn*VLOOKUP(YX18,ChurnSeasonTable,4,FALSE))*POWER(1-(AnnualChurn*VLOOKUP(YX18,ChurnSeasonTable,4,FALSE)),0)</f>
        <v/>
      </c>
      <c r="ZU18" s="12">
        <f>ZO18+ZP18+ZQ18+ZR18+ZS18+ZT18</f>
        <v/>
      </c>
      <c r="ZV18" s="9">
        <f>ZO18*BlendedPriceEssMonthly*ZA18+ZP18*BlendedPricePremMonthly*ZA18+ZQ18*BlendedPriceEliteMonthly*ZA18+ZR18*BlendedPriceEssAnnual*ZA18/12+ZS18*BlendedPricePremAnnual*ZA18/12+ZT18*BlendedPriceEliteAnnual*ZA18/12</f>
        <v/>
      </c>
      <c r="ZW18" s="9">
        <f>ZV18*12</f>
        <v/>
      </c>
      <c r="ZX18" s="12">
        <f>ZO18*BlendedPriceEssMonthly*ZA18+ZP18*BlendedPricePremMonthly*ZA18+ZQ18*BlendedPriceEliteMonthly*ZA18</f>
        <v/>
      </c>
      <c r="ZY18" s="12">
        <f>ZL18*BlendedPriceEssAnnual*ZA18+ZM18*BlendedPricePremAnnual*ZA18+ZN18*BlendedPriceEliteAnnual*ZA18</f>
        <v/>
      </c>
      <c r="ZZ18" s="12">
        <f>ZL6*POWER(1-(AnnualChurn*VLOOKUP(YX18,ChurnSeasonTable,4,FALSE)),1)*BlendedPriceEssAnnual*ZA18+ZM6*POWER(1-(AnnualChurn*VLOOKUP(YX18,ChurnSeasonTable,4,FALSE)),1)*BlendedPricePremAnnual*ZA18+ZN6*POWER(1-(AnnualChurn*VLOOKUP(YX18,ChurnSeasonTable,4,FALSE)),1)*BlendedPriceEliteAnnual*ZA18</f>
        <v/>
      </c>
      <c r="AAA18" s="9">
        <f>ZX18+ZY18+ZZ18</f>
        <v/>
      </c>
      <c r="AAB18" s="12">
        <f>SUM(AAA7:AAA18)</f>
        <v/>
      </c>
      <c r="AAC18" s="12">
        <f>OR(AAC17,IF(VATAgentMode,SUM($AAA7:$AAA18)-SUM($AAH7:$AAH18)&gt;=VATThreshold,SUM($AAA7:$AAA18)&gt;=VATThreshold))</f>
        <v/>
      </c>
      <c r="AAD18" s="9">
        <f>IF(AAC18,IF(VATAgentMode,AAA18-((AAA18-AAH18)-(AAA18-AAH18)/(1+VATRate)),AAA18/(1+VATRate)),AAA18)</f>
        <v/>
      </c>
      <c r="AAE18" s="12">
        <f>AAA18-AAD18</f>
        <v/>
      </c>
      <c r="AAF18" s="12">
        <f>IF(AAC18=0,0,IF(YX18=1,SUMPRODUCT(--(($YY$5:$YY18=$YY18-1)*($YX$5:$YX18&gt;=10)*($YX$5:$YX18&lt;=12)),$AAE$5:$AAE18),IF(YX18=4,SUMPRODUCT(--(($YY$5:$YY18=$YY18)*($YX$5:$YX18&gt;=1)*($YX$5:$YX18&lt;=3)),$AAE$5:$AAE18),IF(YX18=7,SUMPRODUCT(--(($YY$5:$YY18=$YY18)*($YX$5:$YX18&gt;=4)*($YX$5:$YX18&lt;=6)),$AAE$5:$AAE18),IF(YX18=10,SUMPRODUCT(--(($YY$5:$YY18=$YY18)*($YX$5:$YX18&gt;=7)*($YX$5:$YX18&lt;=9)),$AAE$5:$AAE18),0)))))</f>
        <v/>
      </c>
      <c r="AAG18" s="12">
        <f>AAG17+AAE18-AAF18</f>
        <v/>
      </c>
      <c r="AAH18" s="12">
        <f>IF(ProviderDelay&gt;=1,ZO17*BlendedProvPayEss+ZP17*BlendedProvPayPrem+ZQ17*BlendedProvPayElite+ZR17*BlendedProvPayEss+ZS17*BlendedProvPayPrem+ZT17*BlendedProvPayElite,ZO18*BlendedProvPayEss+ZP18*BlendedProvPayPrem+ZQ18*BlendedProvPayElite+ZR18*BlendedProvPayEss+ZS18*BlendedProvPayPrem+ZT18*BlendedProvPayElite)</f>
        <v/>
      </c>
      <c r="AAI18" s="12">
        <f>AAA18*PaymentFee</f>
        <v/>
      </c>
      <c r="AAJ18" s="12">
        <f>ZU18*OpsAI</f>
        <v/>
      </c>
      <c r="AAK18" s="12">
        <f>MonthlyFixed</f>
        <v/>
      </c>
      <c r="AAL18" s="12">
        <f>ZE18*ReferralReward</f>
        <v/>
      </c>
      <c r="AAM18" s="12">
        <f>ZC18</f>
        <v/>
      </c>
      <c r="AAN18" s="9">
        <f>AAD18-AAH18-AAI18-AAJ18-AAK18-AAL18-AAM18</f>
        <v/>
      </c>
      <c r="AAO18" s="9">
        <f>AAO17+AAA18-(AAH18+AAI18+AAJ18+AAK18+AAL18+AAM18+AAF18)</f>
        <v/>
      </c>
      <c r="AAP18" s="12">
        <f>IF(ZU18&gt;0,ZV18/ZU18,0)</f>
        <v/>
      </c>
      <c r="AAQ18" s="11">
        <f>IF(ZU17&gt;0,MAX(0,(ZU17+ZF18-ZU18)/ZU17),0)</f>
        <v/>
      </c>
      <c r="AAS18" s="12" t="n">
        <v>14</v>
      </c>
      <c r="AAT18" s="12">
        <f>MOD(AAS18-1+LaunchMonth-1,12)+1</f>
        <v/>
      </c>
      <c r="AAU18" s="12">
        <f>INT((AAS18-1+LaunchMonth-1)/12)+1</f>
        <v/>
      </c>
      <c r="AAV18" s="12">
        <f>VLOOKUP(AAT18,SeasonTable,2,FALSE)</f>
        <v/>
      </c>
      <c r="AAW18" s="12">
        <f>(1+InflationRate)^INT((AAS18-1)/12)</f>
        <v/>
      </c>
      <c r="AAX18" s="11">
        <f>MonthlyChurn*VLOOKUP(AAT18,ChurnSeasonTable,4,FALSE)</f>
        <v/>
      </c>
      <c r="AAY18" s="12">
        <f>MIN(MAX(MktMin13_18,ABW17*MktPct13_18),MAX(0,ACK17-CashBuffer))</f>
        <v/>
      </c>
      <c r="AAZ18" s="12">
        <f>IF(AAY18&gt;0,MAX(1,ROUND(AAY18/CAC*AAV18,0)),0)</f>
        <v/>
      </c>
      <c r="ABA18" s="12">
        <f>IF(AAZ18&gt;0,ROUND(AAZ18*ReferralMix/(1-ReferralMix),0),0)</f>
        <v/>
      </c>
      <c r="ABB18" s="12">
        <f>AAZ18+ABA18</f>
        <v/>
      </c>
      <c r="ABC18" s="12">
        <f>ROUND(ABB18*(1-'Sens - Annual Mix'!$A$12),0)</f>
        <v/>
      </c>
      <c r="ABD18" s="12">
        <f>ABB18-ABC18</f>
        <v/>
      </c>
      <c r="ABE18" s="12">
        <f>ROUND(ABC18*EssentialMix,0)</f>
        <v/>
      </c>
      <c r="ABF18" s="12">
        <f>ROUND(ABC18*PremiumMix,0)</f>
        <v/>
      </c>
      <c r="ABG18" s="12">
        <f>ABC18-ABE18-ABF18</f>
        <v/>
      </c>
      <c r="ABH18" s="12">
        <f>ROUND(ABD18*EssentialMix,0)</f>
        <v/>
      </c>
      <c r="ABI18" s="12">
        <f>ROUND(ABD18*PremiumMix,0)</f>
        <v/>
      </c>
      <c r="ABJ18" s="12">
        <f>ABD18-ABH18-ABI18</f>
        <v/>
      </c>
      <c r="ABK18" s="12">
        <f>ABE18+ABE17+ABE16+MAX(0,ABK17-ABE17-ABE16)*(1-AAX18)</f>
        <v/>
      </c>
      <c r="ABL18" s="12">
        <f>ABF18+ABF17+ABF16+MAX(0,ABL17-ABF17-ABF16)*(1-AAX18)</f>
        <v/>
      </c>
      <c r="ABM18" s="12">
        <f>ABG18+ABG17+ABG16+MAX(0,ABM17-ABG17-ABG16)*(1-AAX18)</f>
        <v/>
      </c>
      <c r="ABN18" s="12">
        <f>ABN17+ABH18-ABH6*(AnnualChurn*VLOOKUP(AAT18,ChurnSeasonTable,4,FALSE))*POWER(1-(AnnualChurn*VLOOKUP(AAT18,ChurnSeasonTable,4,FALSE)),0)</f>
        <v/>
      </c>
      <c r="ABO18" s="12">
        <f>ABO17+ABI18-ABI6*(AnnualChurn*VLOOKUP(AAT18,ChurnSeasonTable,4,FALSE))*POWER(1-(AnnualChurn*VLOOKUP(AAT18,ChurnSeasonTable,4,FALSE)),0)</f>
        <v/>
      </c>
      <c r="ABP18" s="12">
        <f>ABP17+ABJ18-ABJ6*(AnnualChurn*VLOOKUP(AAT18,ChurnSeasonTable,4,FALSE))*POWER(1-(AnnualChurn*VLOOKUP(AAT18,ChurnSeasonTable,4,FALSE)),0)</f>
        <v/>
      </c>
      <c r="ABQ18" s="12">
        <f>ABK18+ABL18+ABM18+ABN18+ABO18+ABP18</f>
        <v/>
      </c>
      <c r="ABR18" s="9">
        <f>ABK18*BlendedPriceEssMonthly*AAW18+ABL18*BlendedPricePremMonthly*AAW18+ABM18*BlendedPriceEliteMonthly*AAW18+ABN18*BlendedPriceEssAnnual*AAW18/12+ABO18*BlendedPricePremAnnual*AAW18/12+ABP18*BlendedPriceEliteAnnual*AAW18/12</f>
        <v/>
      </c>
      <c r="ABS18" s="9">
        <f>ABR18*12</f>
        <v/>
      </c>
      <c r="ABT18" s="12">
        <f>ABK18*BlendedPriceEssMonthly*AAW18+ABL18*BlendedPricePremMonthly*AAW18+ABM18*BlendedPriceEliteMonthly*AAW18</f>
        <v/>
      </c>
      <c r="ABU18" s="12">
        <f>ABH18*BlendedPriceEssAnnual*AAW18+ABI18*BlendedPricePremAnnual*AAW18+ABJ18*BlendedPriceEliteAnnual*AAW18</f>
        <v/>
      </c>
      <c r="ABV18" s="12">
        <f>ABH6*POWER(1-(AnnualChurn*VLOOKUP(AAT18,ChurnSeasonTable,4,FALSE)),1)*BlendedPriceEssAnnual*AAW18+ABI6*POWER(1-(AnnualChurn*VLOOKUP(AAT18,ChurnSeasonTable,4,FALSE)),1)*BlendedPricePremAnnual*AAW18+ABJ6*POWER(1-(AnnualChurn*VLOOKUP(AAT18,ChurnSeasonTable,4,FALSE)),1)*BlendedPriceEliteAnnual*AAW18</f>
        <v/>
      </c>
      <c r="ABW18" s="9">
        <f>ABT18+ABU18+ABV18</f>
        <v/>
      </c>
      <c r="ABX18" s="12">
        <f>SUM(ABW7:ABW18)</f>
        <v/>
      </c>
      <c r="ABY18" s="12">
        <f>OR(ABY17,IF(VATAgentMode,SUM($ABW7:$ABW18)-SUM($ACD7:$ACD18)&gt;=VATThreshold,SUM($ABW7:$ABW18)&gt;=VATThreshold))</f>
        <v/>
      </c>
      <c r="ABZ18" s="9">
        <f>IF(ABY18,IF(VATAgentMode,ABW18-((ABW18-ACD18)-(ABW18-ACD18)/(1+VATRate)),ABW18/(1+VATRate)),ABW18)</f>
        <v/>
      </c>
      <c r="ACA18" s="12">
        <f>ABW18-ABZ18</f>
        <v/>
      </c>
      <c r="ACB18" s="12">
        <f>IF(ABY18=0,0,IF(AAT18=1,SUMPRODUCT(--(($AAU$5:$AAU18=$AAU18-1)*($AAT$5:$AAT18&gt;=10)*($AAT$5:$AAT18&lt;=12)),$ACA$5:$ACA18),IF(AAT18=4,SUMPRODUCT(--(($AAU$5:$AAU18=$AAU18)*($AAT$5:$AAT18&gt;=1)*($AAT$5:$AAT18&lt;=3)),$ACA$5:$ACA18),IF(AAT18=7,SUMPRODUCT(--(($AAU$5:$AAU18=$AAU18)*($AAT$5:$AAT18&gt;=4)*($AAT$5:$AAT18&lt;=6)),$ACA$5:$ACA18),IF(AAT18=10,SUMPRODUCT(--(($AAU$5:$AAU18=$AAU18)*($AAT$5:$AAT18&gt;=7)*($AAT$5:$AAT18&lt;=9)),$ACA$5:$ACA18),0)))))</f>
        <v/>
      </c>
      <c r="ACC18" s="12">
        <f>ACC17+ACA18-ACB18</f>
        <v/>
      </c>
      <c r="ACD18" s="12">
        <f>IF(ProviderDelay&gt;=1,ABK17*BlendedProvPayEss+ABL17*BlendedProvPayPrem+ABM17*BlendedProvPayElite+ABN17*BlendedProvPayEss+ABO17*BlendedProvPayPrem+ABP17*BlendedProvPayElite,ABK18*BlendedProvPayEss+ABL18*BlendedProvPayPrem+ABM18*BlendedProvPayElite+ABN18*BlendedProvPayEss+ABO18*BlendedProvPayPrem+ABP18*BlendedProvPayElite)</f>
        <v/>
      </c>
      <c r="ACE18" s="12">
        <f>ABW18*PaymentFee</f>
        <v/>
      </c>
      <c r="ACF18" s="12">
        <f>ABQ18*OpsAI</f>
        <v/>
      </c>
      <c r="ACG18" s="12">
        <f>MonthlyFixed</f>
        <v/>
      </c>
      <c r="ACH18" s="12">
        <f>ABA18*ReferralReward</f>
        <v/>
      </c>
      <c r="ACI18" s="12">
        <f>AAY18</f>
        <v/>
      </c>
      <c r="ACJ18" s="9">
        <f>ABZ18-ACD18-ACE18-ACF18-ACG18-ACH18-ACI18</f>
        <v/>
      </c>
      <c r="ACK18" s="9">
        <f>ACK17+ABW18-(ACD18+ACE18+ACF18+ACG18+ACH18+ACI18+ACB18)</f>
        <v/>
      </c>
      <c r="ACL18" s="12">
        <f>IF(ABQ18&gt;0,ABR18/ABQ18,0)</f>
        <v/>
      </c>
      <c r="ACM18" s="11">
        <f>IF(ABQ17&gt;0,MAX(0,(ABQ17+ABB18-ABQ18)/ABQ17),0)</f>
        <v/>
      </c>
      <c r="ACO18" s="12" t="n">
        <v>14</v>
      </c>
      <c r="ACP18" s="12">
        <f>MOD(ACO18-1+LaunchMonth-1,12)+1</f>
        <v/>
      </c>
      <c r="ACQ18" s="12">
        <f>INT((ACO18-1+LaunchMonth-1)/12)+1</f>
        <v/>
      </c>
      <c r="ACR18" s="12">
        <f>VLOOKUP(ACP18,SeasonTable,2,FALSE)</f>
        <v/>
      </c>
      <c r="ACS18" s="12">
        <f>(1+InflationRate)^INT((ACO18-1)/12)</f>
        <v/>
      </c>
      <c r="ACT18" s="11">
        <f>MonthlyChurn*VLOOKUP(ACP18,ChurnSeasonTable,4,FALSE)</f>
        <v/>
      </c>
      <c r="ACU18" s="12">
        <f>MIN(MAX(MktMin13_18,ADS17*MktPct13_18),MAX(0,AEG17-CashBuffer))</f>
        <v/>
      </c>
      <c r="ACV18" s="12">
        <f>IF(ACU18&gt;0,MAX(1,ROUND(ACU18/CAC*ACR18,0)),0)</f>
        <v/>
      </c>
      <c r="ACW18" s="12">
        <f>IF(ACV18&gt;0,ROUND(ACV18*ReferralMix/(1-ReferralMix),0),0)</f>
        <v/>
      </c>
      <c r="ACX18" s="12">
        <f>ACV18+ACW18</f>
        <v/>
      </c>
      <c r="ACY18" s="12">
        <f>ROUND(ACX18*(1-'Sens - Annual Mix'!$A$13),0)</f>
        <v/>
      </c>
      <c r="ACZ18" s="12">
        <f>ACX18-ACY18</f>
        <v/>
      </c>
      <c r="ADA18" s="12">
        <f>ROUND(ACY18*EssentialMix,0)</f>
        <v/>
      </c>
      <c r="ADB18" s="12">
        <f>ROUND(ACY18*PremiumMix,0)</f>
        <v/>
      </c>
      <c r="ADC18" s="12">
        <f>ACY18-ADA18-ADB18</f>
        <v/>
      </c>
      <c r="ADD18" s="12">
        <f>ROUND(ACZ18*EssentialMix,0)</f>
        <v/>
      </c>
      <c r="ADE18" s="12">
        <f>ROUND(ACZ18*PremiumMix,0)</f>
        <v/>
      </c>
      <c r="ADF18" s="12">
        <f>ACZ18-ADD18-ADE18</f>
        <v/>
      </c>
      <c r="ADG18" s="12">
        <f>ADA18+ADA17+ADA16+MAX(0,ADG17-ADA17-ADA16)*(1-ACT18)</f>
        <v/>
      </c>
      <c r="ADH18" s="12">
        <f>ADB18+ADB17+ADB16+MAX(0,ADH17-ADB17-ADB16)*(1-ACT18)</f>
        <v/>
      </c>
      <c r="ADI18" s="12">
        <f>ADC18+ADC17+ADC16+MAX(0,ADI17-ADC17-ADC16)*(1-ACT18)</f>
        <v/>
      </c>
      <c r="ADJ18" s="12">
        <f>ADJ17+ADD18-ADD6*(AnnualChurn*VLOOKUP(ACP18,ChurnSeasonTable,4,FALSE))*POWER(1-(AnnualChurn*VLOOKUP(ACP18,ChurnSeasonTable,4,FALSE)),0)</f>
        <v/>
      </c>
      <c r="ADK18" s="12">
        <f>ADK17+ADE18-ADE6*(AnnualChurn*VLOOKUP(ACP18,ChurnSeasonTable,4,FALSE))*POWER(1-(AnnualChurn*VLOOKUP(ACP18,ChurnSeasonTable,4,FALSE)),0)</f>
        <v/>
      </c>
      <c r="ADL18" s="12">
        <f>ADL17+ADF18-ADF6*(AnnualChurn*VLOOKUP(ACP18,ChurnSeasonTable,4,FALSE))*POWER(1-(AnnualChurn*VLOOKUP(ACP18,ChurnSeasonTable,4,FALSE)),0)</f>
        <v/>
      </c>
      <c r="ADM18" s="12">
        <f>ADG18+ADH18+ADI18+ADJ18+ADK18+ADL18</f>
        <v/>
      </c>
      <c r="ADN18" s="9">
        <f>ADG18*BlendedPriceEssMonthly*ACS18+ADH18*BlendedPricePremMonthly*ACS18+ADI18*BlendedPriceEliteMonthly*ACS18+ADJ18*BlendedPriceEssAnnual*ACS18/12+ADK18*BlendedPricePremAnnual*ACS18/12+ADL18*BlendedPriceEliteAnnual*ACS18/12</f>
        <v/>
      </c>
      <c r="ADO18" s="9">
        <f>ADN18*12</f>
        <v/>
      </c>
      <c r="ADP18" s="12">
        <f>ADG18*BlendedPriceEssMonthly*ACS18+ADH18*BlendedPricePremMonthly*ACS18+ADI18*BlendedPriceEliteMonthly*ACS18</f>
        <v/>
      </c>
      <c r="ADQ18" s="12">
        <f>ADD18*BlendedPriceEssAnnual*ACS18+ADE18*BlendedPricePremAnnual*ACS18+ADF18*BlendedPriceEliteAnnual*ACS18</f>
        <v/>
      </c>
      <c r="ADR18" s="12">
        <f>ADD6*POWER(1-(AnnualChurn*VLOOKUP(ACP18,ChurnSeasonTable,4,FALSE)),1)*BlendedPriceEssAnnual*ACS18+ADE6*POWER(1-(AnnualChurn*VLOOKUP(ACP18,ChurnSeasonTable,4,FALSE)),1)*BlendedPricePremAnnual*ACS18+ADF6*POWER(1-(AnnualChurn*VLOOKUP(ACP18,ChurnSeasonTable,4,FALSE)),1)*BlendedPriceEliteAnnual*ACS18</f>
        <v/>
      </c>
      <c r="ADS18" s="9">
        <f>ADP18+ADQ18+ADR18</f>
        <v/>
      </c>
      <c r="ADT18" s="12">
        <f>SUM(ADS7:ADS18)</f>
        <v/>
      </c>
      <c r="ADU18" s="12">
        <f>OR(ADU17,IF(VATAgentMode,SUM($ADS7:$ADS18)-SUM($ADZ7:$ADZ18)&gt;=VATThreshold,SUM($ADS7:$ADS18)&gt;=VATThreshold))</f>
        <v/>
      </c>
      <c r="ADV18" s="9">
        <f>IF(ADU18,IF(VATAgentMode,ADS18-((ADS18-ADZ18)-(ADS18-ADZ18)/(1+VATRate)),ADS18/(1+VATRate)),ADS18)</f>
        <v/>
      </c>
      <c r="ADW18" s="12">
        <f>ADS18-ADV18</f>
        <v/>
      </c>
      <c r="ADX18" s="12">
        <f>IF(ADU18=0,0,IF(ACP18=1,SUMPRODUCT(--(($ACQ$5:$ACQ18=$ACQ18-1)*($ACP$5:$ACP18&gt;=10)*($ACP$5:$ACP18&lt;=12)),$ADW$5:$ADW18),IF(ACP18=4,SUMPRODUCT(--(($ACQ$5:$ACQ18=$ACQ18)*($ACP$5:$ACP18&gt;=1)*($ACP$5:$ACP18&lt;=3)),$ADW$5:$ADW18),IF(ACP18=7,SUMPRODUCT(--(($ACQ$5:$ACQ18=$ACQ18)*($ACP$5:$ACP18&gt;=4)*($ACP$5:$ACP18&lt;=6)),$ADW$5:$ADW18),IF(ACP18=10,SUMPRODUCT(--(($ACQ$5:$ACQ18=$ACQ18)*($ACP$5:$ACP18&gt;=7)*($ACP$5:$ACP18&lt;=9)),$ADW$5:$ADW18),0)))))</f>
        <v/>
      </c>
      <c r="ADY18" s="12">
        <f>ADY17+ADW18-ADX18</f>
        <v/>
      </c>
      <c r="ADZ18" s="12">
        <f>IF(ProviderDelay&gt;=1,ADG17*BlendedProvPayEss+ADH17*BlendedProvPayPrem+ADI17*BlendedProvPayElite+ADJ17*BlendedProvPayEss+ADK17*BlendedProvPayPrem+ADL17*BlendedProvPayElite,ADG18*BlendedProvPayEss+ADH18*BlendedProvPayPrem+ADI18*BlendedProvPayElite+ADJ18*BlendedProvPayEss+ADK18*BlendedProvPayPrem+ADL18*BlendedProvPayElite)</f>
        <v/>
      </c>
      <c r="AEA18" s="12">
        <f>ADS18*PaymentFee</f>
        <v/>
      </c>
      <c r="AEB18" s="12">
        <f>ADM18*OpsAI</f>
        <v/>
      </c>
      <c r="AEC18" s="12">
        <f>MonthlyFixed</f>
        <v/>
      </c>
      <c r="AED18" s="12">
        <f>ACW18*ReferralReward</f>
        <v/>
      </c>
      <c r="AEE18" s="12">
        <f>ACU18</f>
        <v/>
      </c>
      <c r="AEF18" s="9">
        <f>ADV18-ADZ18-AEA18-AEB18-AEC18-AED18-AEE18</f>
        <v/>
      </c>
      <c r="AEG18" s="9">
        <f>AEG17+ADS18-(ADZ18+AEA18+AEB18+AEC18+AED18+AEE18+ADX18)</f>
        <v/>
      </c>
      <c r="AEH18" s="12">
        <f>IF(ADM18&gt;0,ADN18/ADM18,0)</f>
        <v/>
      </c>
      <c r="AEI18" s="11">
        <f>IF(ADM17&gt;0,MAX(0,(ADM17+ACX18-ADM18)/ADM17),0)</f>
        <v/>
      </c>
      <c r="AEK18" s="12" t="n">
        <v>14</v>
      </c>
      <c r="AEL18" s="12">
        <f>MOD(AEK18-1+LaunchMonth-1,12)+1</f>
        <v/>
      </c>
      <c r="AEM18" s="12">
        <f>INT((AEK18-1+LaunchMonth-1)/12)+1</f>
        <v/>
      </c>
      <c r="AEN18" s="12">
        <f>VLOOKUP(AEL18,SeasonTable,2,FALSE)</f>
        <v/>
      </c>
      <c r="AEO18" s="12">
        <f>(1+InflationRate)^INT((AEK18-1)/12)</f>
        <v/>
      </c>
      <c r="AEP18" s="11">
        <f>MonthlyChurn*VLOOKUP(AEL18,ChurnSeasonTable,4,FALSE)</f>
        <v/>
      </c>
      <c r="AEQ18" s="12">
        <f>MIN(MAX(MktMin13_18,AFO17*MktPct13_18),MAX(0,AGC17-CashBuffer))</f>
        <v/>
      </c>
      <c r="AER18" s="12">
        <f>IF(AEQ18&gt;0,MAX(1,ROUND(AEQ18/CAC*AEN18,0)),0)</f>
        <v/>
      </c>
      <c r="AES18" s="12">
        <f>IF(AER18&gt;0,ROUND(AER18*ReferralMix/(1-ReferralMix),0),0)</f>
        <v/>
      </c>
      <c r="AET18" s="12">
        <f>AER18+AES18</f>
        <v/>
      </c>
      <c r="AEU18" s="12">
        <f>ROUND(AET18*(1-'Sens - Annual Mix'!$A$14),0)</f>
        <v/>
      </c>
      <c r="AEV18" s="12">
        <f>AET18-AEU18</f>
        <v/>
      </c>
      <c r="AEW18" s="12">
        <f>ROUND(AEU18*EssentialMix,0)</f>
        <v/>
      </c>
      <c r="AEX18" s="12">
        <f>ROUND(AEU18*PremiumMix,0)</f>
        <v/>
      </c>
      <c r="AEY18" s="12">
        <f>AEU18-AEW18-AEX18</f>
        <v/>
      </c>
      <c r="AEZ18" s="12">
        <f>ROUND(AEV18*EssentialMix,0)</f>
        <v/>
      </c>
      <c r="AFA18" s="12">
        <f>ROUND(AEV18*PremiumMix,0)</f>
        <v/>
      </c>
      <c r="AFB18" s="12">
        <f>AEV18-AEZ18-AFA18</f>
        <v/>
      </c>
      <c r="AFC18" s="12">
        <f>AEW18+AEW17+AEW16+MAX(0,AFC17-AEW17-AEW16)*(1-AEP18)</f>
        <v/>
      </c>
      <c r="AFD18" s="12">
        <f>AEX18+AEX17+AEX16+MAX(0,AFD17-AEX17-AEX16)*(1-AEP18)</f>
        <v/>
      </c>
      <c r="AFE18" s="12">
        <f>AEY18+AEY17+AEY16+MAX(0,AFE17-AEY17-AEY16)*(1-AEP18)</f>
        <v/>
      </c>
      <c r="AFF18" s="12">
        <f>AFF17+AEZ18-AEZ6*(AnnualChurn*VLOOKUP(AEL18,ChurnSeasonTable,4,FALSE))*POWER(1-(AnnualChurn*VLOOKUP(AEL18,ChurnSeasonTable,4,FALSE)),0)</f>
        <v/>
      </c>
      <c r="AFG18" s="12">
        <f>AFG17+AFA18-AFA6*(AnnualChurn*VLOOKUP(AEL18,ChurnSeasonTable,4,FALSE))*POWER(1-(AnnualChurn*VLOOKUP(AEL18,ChurnSeasonTable,4,FALSE)),0)</f>
        <v/>
      </c>
      <c r="AFH18" s="12">
        <f>AFH17+AFB18-AFB6*(AnnualChurn*VLOOKUP(AEL18,ChurnSeasonTable,4,FALSE))*POWER(1-(AnnualChurn*VLOOKUP(AEL18,ChurnSeasonTable,4,FALSE)),0)</f>
        <v/>
      </c>
      <c r="AFI18" s="12">
        <f>AFC18+AFD18+AFE18+AFF18+AFG18+AFH18</f>
        <v/>
      </c>
      <c r="AFJ18" s="9">
        <f>AFC18*BlendedPriceEssMonthly*AEO18+AFD18*BlendedPricePremMonthly*AEO18+AFE18*BlendedPriceEliteMonthly*AEO18+AFF18*BlendedPriceEssAnnual*AEO18/12+AFG18*BlendedPricePremAnnual*AEO18/12+AFH18*BlendedPriceEliteAnnual*AEO18/12</f>
        <v/>
      </c>
      <c r="AFK18" s="9">
        <f>AFJ18*12</f>
        <v/>
      </c>
      <c r="AFL18" s="12">
        <f>AFC18*BlendedPriceEssMonthly*AEO18+AFD18*BlendedPricePremMonthly*AEO18+AFE18*BlendedPriceEliteMonthly*AEO18</f>
        <v/>
      </c>
      <c r="AFM18" s="12">
        <f>AEZ18*BlendedPriceEssAnnual*AEO18+AFA18*BlendedPricePremAnnual*AEO18+AFB18*BlendedPriceEliteAnnual*AEO18</f>
        <v/>
      </c>
      <c r="AFN18" s="12">
        <f>AEZ6*POWER(1-(AnnualChurn*VLOOKUP(AEL18,ChurnSeasonTable,4,FALSE)),1)*BlendedPriceEssAnnual*AEO18+AFA6*POWER(1-(AnnualChurn*VLOOKUP(AEL18,ChurnSeasonTable,4,FALSE)),1)*BlendedPricePremAnnual*AEO18+AFB6*POWER(1-(AnnualChurn*VLOOKUP(AEL18,ChurnSeasonTable,4,FALSE)),1)*BlendedPriceEliteAnnual*AEO18</f>
        <v/>
      </c>
      <c r="AFO18" s="9">
        <f>AFL18+AFM18+AFN18</f>
        <v/>
      </c>
      <c r="AFP18" s="12">
        <f>SUM(AFO7:AFO18)</f>
        <v/>
      </c>
      <c r="AFQ18" s="12">
        <f>OR(AFQ17,IF(VATAgentMode,SUM($AFO7:$AFO18)-SUM($AFV7:$AFV18)&gt;=VATThreshold,SUM($AFO7:$AFO18)&gt;=VATThreshold))</f>
        <v/>
      </c>
      <c r="AFR18" s="9">
        <f>IF(AFQ18,IF(VATAgentMode,AFO18-((AFO18-AFV18)-(AFO18-AFV18)/(1+VATRate)),AFO18/(1+VATRate)),AFO18)</f>
        <v/>
      </c>
      <c r="AFS18" s="12">
        <f>AFO18-AFR18</f>
        <v/>
      </c>
      <c r="AFT18" s="12">
        <f>IF(AFQ18=0,0,IF(AEL18=1,SUMPRODUCT(--(($AEM$5:$AEM18=$AEM18-1)*($AEL$5:$AEL18&gt;=10)*($AEL$5:$AEL18&lt;=12)),$AFS$5:$AFS18),IF(AEL18=4,SUMPRODUCT(--(($AEM$5:$AEM18=$AEM18)*($AEL$5:$AEL18&gt;=1)*($AEL$5:$AEL18&lt;=3)),$AFS$5:$AFS18),IF(AEL18=7,SUMPRODUCT(--(($AEM$5:$AEM18=$AEM18)*($AEL$5:$AEL18&gt;=4)*($AEL$5:$AEL18&lt;=6)),$AFS$5:$AFS18),IF(AEL18=10,SUMPRODUCT(--(($AEM$5:$AEM18=$AEM18)*($AEL$5:$AEL18&gt;=7)*($AEL$5:$AEL18&lt;=9)),$AFS$5:$AFS18),0)))))</f>
        <v/>
      </c>
      <c r="AFU18" s="12">
        <f>AFU17+AFS18-AFT18</f>
        <v/>
      </c>
      <c r="AFV18" s="12">
        <f>IF(ProviderDelay&gt;=1,AFC17*BlendedProvPayEss+AFD17*BlendedProvPayPrem+AFE17*BlendedProvPayElite+AFF17*BlendedProvPayEss+AFG17*BlendedProvPayPrem+AFH17*BlendedProvPayElite,AFC18*BlendedProvPayEss+AFD18*BlendedProvPayPrem+AFE18*BlendedProvPayElite+AFF18*BlendedProvPayEss+AFG18*BlendedProvPayPrem+AFH18*BlendedProvPayElite)</f>
        <v/>
      </c>
      <c r="AFW18" s="12">
        <f>AFO18*PaymentFee</f>
        <v/>
      </c>
      <c r="AFX18" s="12">
        <f>AFI18*OpsAI</f>
        <v/>
      </c>
      <c r="AFY18" s="12">
        <f>MonthlyFixed</f>
        <v/>
      </c>
      <c r="AFZ18" s="12">
        <f>AES18*ReferralReward</f>
        <v/>
      </c>
      <c r="AGA18" s="12">
        <f>AEQ18</f>
        <v/>
      </c>
      <c r="AGB18" s="9">
        <f>AFR18-AFV18-AFW18-AFX18-AFY18-AFZ18-AGA18</f>
        <v/>
      </c>
      <c r="AGC18" s="9">
        <f>AGC17+AFO18-(AFV18+AFW18+AFX18+AFY18+AFZ18+AGA18+AFT18)</f>
        <v/>
      </c>
      <c r="AGD18" s="12">
        <f>IF(AFI18&gt;0,AFJ18/AFI18,0)</f>
        <v/>
      </c>
      <c r="AGE18" s="11">
        <f>IF(AFI17&gt;0,MAX(0,(AFI17+AET18-AFI18)/AFI17),0)</f>
        <v/>
      </c>
      <c r="AGG18" s="12" t="n">
        <v>14</v>
      </c>
      <c r="AGH18" s="12">
        <f>MOD(AGG18-1+LaunchMonth-1,12)+1</f>
        <v/>
      </c>
      <c r="AGI18" s="12">
        <f>INT((AGG18-1+LaunchMonth-1)/12)+1</f>
        <v/>
      </c>
      <c r="AGJ18" s="12">
        <f>VLOOKUP(AGH18,SeasonTable,2,FALSE)</f>
        <v/>
      </c>
      <c r="AGK18" s="12">
        <f>(1+InflationRate)^INT((AGG18-1)/12)</f>
        <v/>
      </c>
      <c r="AGL18" s="11">
        <f>MonthlyChurn*VLOOKUP(AGH18,ChurnSeasonTable,4,FALSE)</f>
        <v/>
      </c>
      <c r="AGM18" s="12">
        <f>MIN(MAX(MktMin13_18,AHK17*MktPct13_18),MAX(0,AHY17-CashBuffer))</f>
        <v/>
      </c>
      <c r="AGN18" s="12">
        <f>IF(AGM18&gt;0,MAX(1,ROUND(AGM18/CAC*AGJ18,0)),0)</f>
        <v/>
      </c>
      <c r="AGO18" s="12">
        <f>IF(AGN18&gt;0,ROUND(AGN18*ReferralMix/(1-ReferralMix),0),0)</f>
        <v/>
      </c>
      <c r="AGP18" s="12">
        <f>AGN18+AGO18</f>
        <v/>
      </c>
      <c r="AGQ18" s="12">
        <f>ROUND(AGP18*(1-'Sens - Annual Mix'!$A$15),0)</f>
        <v/>
      </c>
      <c r="AGR18" s="12">
        <f>AGP18-AGQ18</f>
        <v/>
      </c>
      <c r="AGS18" s="12">
        <f>ROUND(AGQ18*EssentialMix,0)</f>
        <v/>
      </c>
      <c r="AGT18" s="12">
        <f>ROUND(AGQ18*PremiumMix,0)</f>
        <v/>
      </c>
      <c r="AGU18" s="12">
        <f>AGQ18-AGS18-AGT18</f>
        <v/>
      </c>
      <c r="AGV18" s="12">
        <f>ROUND(AGR18*EssentialMix,0)</f>
        <v/>
      </c>
      <c r="AGW18" s="12">
        <f>ROUND(AGR18*PremiumMix,0)</f>
        <v/>
      </c>
      <c r="AGX18" s="12">
        <f>AGR18-AGV18-AGW18</f>
        <v/>
      </c>
      <c r="AGY18" s="12">
        <f>AGS18+AGS17+AGS16+MAX(0,AGY17-AGS17-AGS16)*(1-AGL18)</f>
        <v/>
      </c>
      <c r="AGZ18" s="12">
        <f>AGT18+AGT17+AGT16+MAX(0,AGZ17-AGT17-AGT16)*(1-AGL18)</f>
        <v/>
      </c>
      <c r="AHA18" s="12">
        <f>AGU18+AGU17+AGU16+MAX(0,AHA17-AGU17-AGU16)*(1-AGL18)</f>
        <v/>
      </c>
      <c r="AHB18" s="12">
        <f>AHB17+AGV18-AGV6*(AnnualChurn*VLOOKUP(AGH18,ChurnSeasonTable,4,FALSE))*POWER(1-(AnnualChurn*VLOOKUP(AGH18,ChurnSeasonTable,4,FALSE)),0)</f>
        <v/>
      </c>
      <c r="AHC18" s="12">
        <f>AHC17+AGW18-AGW6*(AnnualChurn*VLOOKUP(AGH18,ChurnSeasonTable,4,FALSE))*POWER(1-(AnnualChurn*VLOOKUP(AGH18,ChurnSeasonTable,4,FALSE)),0)</f>
        <v/>
      </c>
      <c r="AHD18" s="12">
        <f>AHD17+AGX18-AGX6*(AnnualChurn*VLOOKUP(AGH18,ChurnSeasonTable,4,FALSE))*POWER(1-(AnnualChurn*VLOOKUP(AGH18,ChurnSeasonTable,4,FALSE)),0)</f>
        <v/>
      </c>
      <c r="AHE18" s="12">
        <f>AGY18+AGZ18+AHA18+AHB18+AHC18+AHD18</f>
        <v/>
      </c>
      <c r="AHF18" s="9">
        <f>AGY18*BlendedPriceEssMonthly*AGK18+AGZ18*BlendedPricePremMonthly*AGK18+AHA18*BlendedPriceEliteMonthly*AGK18+AHB18*BlendedPriceEssAnnual*AGK18/12+AHC18*BlendedPricePremAnnual*AGK18/12+AHD18*BlendedPriceEliteAnnual*AGK18/12</f>
        <v/>
      </c>
      <c r="AHG18" s="9">
        <f>AHF18*12</f>
        <v/>
      </c>
      <c r="AHH18" s="12">
        <f>AGY18*BlendedPriceEssMonthly*AGK18+AGZ18*BlendedPricePremMonthly*AGK18+AHA18*BlendedPriceEliteMonthly*AGK18</f>
        <v/>
      </c>
      <c r="AHI18" s="12">
        <f>AGV18*BlendedPriceEssAnnual*AGK18+AGW18*BlendedPricePremAnnual*AGK18+AGX18*BlendedPriceEliteAnnual*AGK18</f>
        <v/>
      </c>
      <c r="AHJ18" s="12">
        <f>AGV6*POWER(1-(AnnualChurn*VLOOKUP(AGH18,ChurnSeasonTable,4,FALSE)),1)*BlendedPriceEssAnnual*AGK18+AGW6*POWER(1-(AnnualChurn*VLOOKUP(AGH18,ChurnSeasonTable,4,FALSE)),1)*BlendedPricePremAnnual*AGK18+AGX6*POWER(1-(AnnualChurn*VLOOKUP(AGH18,ChurnSeasonTable,4,FALSE)),1)*BlendedPriceEliteAnnual*AGK18</f>
        <v/>
      </c>
      <c r="AHK18" s="9">
        <f>AHH18+AHI18+AHJ18</f>
        <v/>
      </c>
      <c r="AHL18" s="12">
        <f>SUM(AHK7:AHK18)</f>
        <v/>
      </c>
      <c r="AHM18" s="12">
        <f>OR(AHM17,IF(VATAgentMode,SUM($AHK7:$AHK18)-SUM($AHR7:$AHR18)&gt;=VATThreshold,SUM($AHK7:$AHK18)&gt;=VATThreshold))</f>
        <v/>
      </c>
      <c r="AHN18" s="9">
        <f>IF(AHM18,IF(VATAgentMode,AHK18-((AHK18-AHR18)-(AHK18-AHR18)/(1+VATRate)),AHK18/(1+VATRate)),AHK18)</f>
        <v/>
      </c>
      <c r="AHO18" s="12">
        <f>AHK18-AHN18</f>
        <v/>
      </c>
      <c r="AHP18" s="12">
        <f>IF(AHM18=0,0,IF(AGH18=1,SUMPRODUCT(--(($AGI$5:$AGI18=$AGI18-1)*($AGH$5:$AGH18&gt;=10)*($AGH$5:$AGH18&lt;=12)),$AHO$5:$AHO18),IF(AGH18=4,SUMPRODUCT(--(($AGI$5:$AGI18=$AGI18)*($AGH$5:$AGH18&gt;=1)*($AGH$5:$AGH18&lt;=3)),$AHO$5:$AHO18),IF(AGH18=7,SUMPRODUCT(--(($AGI$5:$AGI18=$AGI18)*($AGH$5:$AGH18&gt;=4)*($AGH$5:$AGH18&lt;=6)),$AHO$5:$AHO18),IF(AGH18=10,SUMPRODUCT(--(($AGI$5:$AGI18=$AGI18)*($AGH$5:$AGH18&gt;=7)*($AGH$5:$AGH18&lt;=9)),$AHO$5:$AHO18),0)))))</f>
        <v/>
      </c>
      <c r="AHQ18" s="12">
        <f>AHQ17+AHO18-AHP18</f>
        <v/>
      </c>
      <c r="AHR18" s="12">
        <f>IF(ProviderDelay&gt;=1,AGY17*BlendedProvPayEss+AGZ17*BlendedProvPayPrem+AHA17*BlendedProvPayElite+AHB17*BlendedProvPayEss+AHC17*BlendedProvPayPrem+AHD17*BlendedProvPayElite,AGY18*BlendedProvPayEss+AGZ18*BlendedProvPayPrem+AHA18*BlendedProvPayElite+AHB18*BlendedProvPayEss+AHC18*BlendedProvPayPrem+AHD18*BlendedProvPayElite)</f>
        <v/>
      </c>
      <c r="AHS18" s="12">
        <f>AHK18*PaymentFee</f>
        <v/>
      </c>
      <c r="AHT18" s="12">
        <f>AHE18*OpsAI</f>
        <v/>
      </c>
      <c r="AHU18" s="12">
        <f>MonthlyFixed</f>
        <v/>
      </c>
      <c r="AHV18" s="12">
        <f>AGO18*ReferralReward</f>
        <v/>
      </c>
      <c r="AHW18" s="12">
        <f>AGM18</f>
        <v/>
      </c>
      <c r="AHX18" s="9">
        <f>AHN18-AHR18-AHS18-AHT18-AHU18-AHV18-AHW18</f>
        <v/>
      </c>
      <c r="AHY18" s="9">
        <f>AHY17+AHK18-(AHR18+AHS18+AHT18+AHU18+AHV18+AHW18+AHP18)</f>
        <v/>
      </c>
      <c r="AHZ18" s="12">
        <f>IF(AHE18&gt;0,AHF18/AHE18,0)</f>
        <v/>
      </c>
      <c r="AIA18" s="11">
        <f>IF(AHE17&gt;0,MAX(0,(AHE17+AGP18-AHE18)/AHE17),0)</f>
        <v/>
      </c>
      <c r="AIC18" s="12" t="n">
        <v>14</v>
      </c>
      <c r="AID18" s="12">
        <f>MOD(AIC18-1+LaunchMonth-1,12)+1</f>
        <v/>
      </c>
      <c r="AIE18" s="12">
        <f>INT((AIC18-1+LaunchMonth-1)/12)+1</f>
        <v/>
      </c>
      <c r="AIF18" s="12">
        <f>VLOOKUP(AID18,SeasonTable,2,FALSE)</f>
        <v/>
      </c>
      <c r="AIG18" s="12">
        <f>(1+InflationRate)^INT((AIC18-1)/12)</f>
        <v/>
      </c>
      <c r="AIH18" s="11">
        <f>MonthlyChurn*VLOOKUP(AID18,ChurnSeasonTable,4,FALSE)</f>
        <v/>
      </c>
      <c r="AII18" s="12">
        <f>MIN(MAX(MktMin13_18,AJG17*MktPct13_18),MAX(0,AJU17-CashBuffer))</f>
        <v/>
      </c>
      <c r="AIJ18" s="12">
        <f>IF(AII18&gt;0,MAX(1,ROUND(AII18/'Sens - CAC &amp; Marketing'!$A$9*AIF18,0)),0)</f>
        <v/>
      </c>
      <c r="AIK18" s="12">
        <f>IF(AIJ18&gt;0,ROUND(AIJ18*ReferralMix/(1-ReferralMix),0),0)</f>
        <v/>
      </c>
      <c r="AIL18" s="12">
        <f>AIJ18+AIK18</f>
        <v/>
      </c>
      <c r="AIM18" s="12">
        <f>ROUND(AIL18*(1-AnnualMix),0)</f>
        <v/>
      </c>
      <c r="AIN18" s="12">
        <f>AIL18-AIM18</f>
        <v/>
      </c>
      <c r="AIO18" s="12">
        <f>ROUND(AIM18*EssentialMix,0)</f>
        <v/>
      </c>
      <c r="AIP18" s="12">
        <f>ROUND(AIM18*PremiumMix,0)</f>
        <v/>
      </c>
      <c r="AIQ18" s="12">
        <f>AIM18-AIO18-AIP18</f>
        <v/>
      </c>
      <c r="AIR18" s="12">
        <f>ROUND(AIN18*EssentialMix,0)</f>
        <v/>
      </c>
      <c r="AIS18" s="12">
        <f>ROUND(AIN18*PremiumMix,0)</f>
        <v/>
      </c>
      <c r="AIT18" s="12">
        <f>AIN18-AIR18-AIS18</f>
        <v/>
      </c>
      <c r="AIU18" s="12">
        <f>AIO18+AIO17+AIO16+MAX(0,AIU17-AIO17-AIO16)*(1-AIH18)</f>
        <v/>
      </c>
      <c r="AIV18" s="12">
        <f>AIP18+AIP17+AIP16+MAX(0,AIV17-AIP17-AIP16)*(1-AIH18)</f>
        <v/>
      </c>
      <c r="AIW18" s="12">
        <f>AIQ18+AIQ17+AIQ16+MAX(0,AIW17-AIQ17-AIQ16)*(1-AIH18)</f>
        <v/>
      </c>
      <c r="AIX18" s="12">
        <f>AIX17+AIR18-AIR6*(AnnualChurn*VLOOKUP(AID18,ChurnSeasonTable,4,FALSE))*POWER(1-(AnnualChurn*VLOOKUP(AID18,ChurnSeasonTable,4,FALSE)),0)</f>
        <v/>
      </c>
      <c r="AIY18" s="12">
        <f>AIY17+AIS18-AIS6*(AnnualChurn*VLOOKUP(AID18,ChurnSeasonTable,4,FALSE))*POWER(1-(AnnualChurn*VLOOKUP(AID18,ChurnSeasonTable,4,FALSE)),0)</f>
        <v/>
      </c>
      <c r="AIZ18" s="12">
        <f>AIZ17+AIT18-AIT6*(AnnualChurn*VLOOKUP(AID18,ChurnSeasonTable,4,FALSE))*POWER(1-(AnnualChurn*VLOOKUP(AID18,ChurnSeasonTable,4,FALSE)),0)</f>
        <v/>
      </c>
      <c r="AJA18" s="12">
        <f>AIU18+AIV18+AIW18+AIX18+AIY18+AIZ18</f>
        <v/>
      </c>
      <c r="AJB18" s="9">
        <f>AIU18*BlendedPriceEssMonthly*AIG18+AIV18*BlendedPricePremMonthly*AIG18+AIW18*BlendedPriceEliteMonthly*AIG18+AIX18*BlendedPriceEssAnnual*AIG18/12+AIY18*BlendedPricePremAnnual*AIG18/12+AIZ18*BlendedPriceEliteAnnual*AIG18/12</f>
        <v/>
      </c>
      <c r="AJC18" s="9">
        <f>AJB18*12</f>
        <v/>
      </c>
      <c r="AJD18" s="12">
        <f>AIU18*BlendedPriceEssMonthly*AIG18+AIV18*BlendedPricePremMonthly*AIG18+AIW18*BlendedPriceEliteMonthly*AIG18</f>
        <v/>
      </c>
      <c r="AJE18" s="12">
        <f>AIR18*BlendedPriceEssAnnual*AIG18+AIS18*BlendedPricePremAnnual*AIG18+AIT18*BlendedPriceEliteAnnual*AIG18</f>
        <v/>
      </c>
      <c r="AJF18" s="12">
        <f>AIR6*POWER(1-(AnnualChurn*VLOOKUP(AID18,ChurnSeasonTable,4,FALSE)),1)*BlendedPriceEssAnnual*AIG18+AIS6*POWER(1-(AnnualChurn*VLOOKUP(AID18,ChurnSeasonTable,4,FALSE)),1)*BlendedPricePremAnnual*AIG18+AIT6*POWER(1-(AnnualChurn*VLOOKUP(AID18,ChurnSeasonTable,4,FALSE)),1)*BlendedPriceEliteAnnual*AIG18</f>
        <v/>
      </c>
      <c r="AJG18" s="9">
        <f>AJD18+AJE18+AJF18</f>
        <v/>
      </c>
      <c r="AJH18" s="12">
        <f>SUM(AJG7:AJG18)</f>
        <v/>
      </c>
      <c r="AJI18" s="12">
        <f>OR(AJI17,IF(VATAgentMode,SUM($AJG7:$AJG18)-SUM($AJN7:$AJN18)&gt;=VATThreshold,SUM($AJG7:$AJG18)&gt;=VATThreshold))</f>
        <v/>
      </c>
      <c r="AJJ18" s="9">
        <f>IF(AJI18,IF(VATAgentMode,AJG18-((AJG18-AJN18)-(AJG18-AJN18)/(1+VATRate)),AJG18/(1+VATRate)),AJG18)</f>
        <v/>
      </c>
      <c r="AJK18" s="12">
        <f>AJG18-AJJ18</f>
        <v/>
      </c>
      <c r="AJL18" s="12">
        <f>IF(AJI18=0,0,IF(AID18=1,SUMPRODUCT(--(($AIE$5:$AIE18=$AIE18-1)*($AID$5:$AID18&gt;=10)*($AID$5:$AID18&lt;=12)),$AJK$5:$AJK18),IF(AID18=4,SUMPRODUCT(--(($AIE$5:$AIE18=$AIE18)*($AID$5:$AID18&gt;=1)*($AID$5:$AID18&lt;=3)),$AJK$5:$AJK18),IF(AID18=7,SUMPRODUCT(--(($AIE$5:$AIE18=$AIE18)*($AID$5:$AID18&gt;=4)*($AID$5:$AID18&lt;=6)),$AJK$5:$AJK18),IF(AID18=10,SUMPRODUCT(--(($AIE$5:$AIE18=$AIE18)*($AID$5:$AID18&gt;=7)*($AID$5:$AID18&lt;=9)),$AJK$5:$AJK18),0)))))</f>
        <v/>
      </c>
      <c r="AJM18" s="12">
        <f>AJM17+AJK18-AJL18</f>
        <v/>
      </c>
      <c r="AJN18" s="12">
        <f>IF(ProviderDelay&gt;=1,AIU17*BlendedProvPayEss+AIV17*BlendedProvPayPrem+AIW17*BlendedProvPayElite+AIX17*BlendedProvPayEss+AIY17*BlendedProvPayPrem+AIZ17*BlendedProvPayElite,AIU18*BlendedProvPayEss+AIV18*BlendedProvPayPrem+AIW18*BlendedProvPayElite+AIX18*BlendedProvPayEss+AIY18*BlendedProvPayPrem+AIZ18*BlendedProvPayElite)</f>
        <v/>
      </c>
      <c r="AJO18" s="12">
        <f>AJG18*PaymentFee</f>
        <v/>
      </c>
      <c r="AJP18" s="12">
        <f>AJA18*OpsAI</f>
        <v/>
      </c>
      <c r="AJQ18" s="12">
        <f>MonthlyFixed</f>
        <v/>
      </c>
      <c r="AJR18" s="12">
        <f>AIK18*ReferralReward</f>
        <v/>
      </c>
      <c r="AJS18" s="12">
        <f>AII18</f>
        <v/>
      </c>
      <c r="AJT18" s="9">
        <f>AJJ18-AJN18-AJO18-AJP18-AJQ18-AJR18-AJS18</f>
        <v/>
      </c>
      <c r="AJU18" s="9">
        <f>AJU17+AJG18-(AJN18+AJO18+AJP18+AJQ18+AJR18+AJS18+AJL18)</f>
        <v/>
      </c>
      <c r="AJV18" s="12">
        <f>IF(AJA18&gt;0,AJB18/AJA18,0)</f>
        <v/>
      </c>
      <c r="AJW18" s="11">
        <f>IF(AJA17&gt;0,MAX(0,(AJA17+AIL18-AJA18)/AJA17),0)</f>
        <v/>
      </c>
      <c r="AJY18" s="12" t="n">
        <v>14</v>
      </c>
      <c r="AJZ18" s="12">
        <f>MOD(AJY18-1+LaunchMonth-1,12)+1</f>
        <v/>
      </c>
      <c r="AKA18" s="12">
        <f>INT((AJY18-1+LaunchMonth-1)/12)+1</f>
        <v/>
      </c>
      <c r="AKB18" s="12">
        <f>VLOOKUP(AJZ18,SeasonTable,2,FALSE)</f>
        <v/>
      </c>
      <c r="AKC18" s="12">
        <f>(1+InflationRate)^INT((AJY18-1)/12)</f>
        <v/>
      </c>
      <c r="AKD18" s="11">
        <f>MonthlyChurn*VLOOKUP(AJZ18,ChurnSeasonTable,4,FALSE)</f>
        <v/>
      </c>
      <c r="AKE18" s="12">
        <f>MIN(MAX(MktMin13_18,ALC17*MktPct13_18),MAX(0,ALQ17-CashBuffer))</f>
        <v/>
      </c>
      <c r="AKF18" s="12">
        <f>IF(AKE18&gt;0,MAX(1,ROUND(AKE18/'Sens - CAC &amp; Marketing'!$A$10*AKB18,0)),0)</f>
        <v/>
      </c>
      <c r="AKG18" s="12">
        <f>IF(AKF18&gt;0,ROUND(AKF18*ReferralMix/(1-ReferralMix),0),0)</f>
        <v/>
      </c>
      <c r="AKH18" s="12">
        <f>AKF18+AKG18</f>
        <v/>
      </c>
      <c r="AKI18" s="12">
        <f>ROUND(AKH18*(1-AnnualMix),0)</f>
        <v/>
      </c>
      <c r="AKJ18" s="12">
        <f>AKH18-AKI18</f>
        <v/>
      </c>
      <c r="AKK18" s="12">
        <f>ROUND(AKI18*EssentialMix,0)</f>
        <v/>
      </c>
      <c r="AKL18" s="12">
        <f>ROUND(AKI18*PremiumMix,0)</f>
        <v/>
      </c>
      <c r="AKM18" s="12">
        <f>AKI18-AKK18-AKL18</f>
        <v/>
      </c>
      <c r="AKN18" s="12">
        <f>ROUND(AKJ18*EssentialMix,0)</f>
        <v/>
      </c>
      <c r="AKO18" s="12">
        <f>ROUND(AKJ18*PremiumMix,0)</f>
        <v/>
      </c>
      <c r="AKP18" s="12">
        <f>AKJ18-AKN18-AKO18</f>
        <v/>
      </c>
      <c r="AKQ18" s="12">
        <f>AKK18+AKK17+AKK16+MAX(0,AKQ17-AKK17-AKK16)*(1-AKD18)</f>
        <v/>
      </c>
      <c r="AKR18" s="12">
        <f>AKL18+AKL17+AKL16+MAX(0,AKR17-AKL17-AKL16)*(1-AKD18)</f>
        <v/>
      </c>
      <c r="AKS18" s="12">
        <f>AKM18+AKM17+AKM16+MAX(0,AKS17-AKM17-AKM16)*(1-AKD18)</f>
        <v/>
      </c>
      <c r="AKT18" s="12">
        <f>AKT17+AKN18-AKN6*(AnnualChurn*VLOOKUP(AJZ18,ChurnSeasonTable,4,FALSE))*POWER(1-(AnnualChurn*VLOOKUP(AJZ18,ChurnSeasonTable,4,FALSE)),0)</f>
        <v/>
      </c>
      <c r="AKU18" s="12">
        <f>AKU17+AKO18-AKO6*(AnnualChurn*VLOOKUP(AJZ18,ChurnSeasonTable,4,FALSE))*POWER(1-(AnnualChurn*VLOOKUP(AJZ18,ChurnSeasonTable,4,FALSE)),0)</f>
        <v/>
      </c>
      <c r="AKV18" s="12">
        <f>AKV17+AKP18-AKP6*(AnnualChurn*VLOOKUP(AJZ18,ChurnSeasonTable,4,FALSE))*POWER(1-(AnnualChurn*VLOOKUP(AJZ18,ChurnSeasonTable,4,FALSE)),0)</f>
        <v/>
      </c>
      <c r="AKW18" s="12">
        <f>AKQ18+AKR18+AKS18+AKT18+AKU18+AKV18</f>
        <v/>
      </c>
      <c r="AKX18" s="9">
        <f>AKQ18*BlendedPriceEssMonthly*AKC18+AKR18*BlendedPricePremMonthly*AKC18+AKS18*BlendedPriceEliteMonthly*AKC18+AKT18*BlendedPriceEssAnnual*AKC18/12+AKU18*BlendedPricePremAnnual*AKC18/12+AKV18*BlendedPriceEliteAnnual*AKC18/12</f>
        <v/>
      </c>
      <c r="AKY18" s="9">
        <f>AKX18*12</f>
        <v/>
      </c>
      <c r="AKZ18" s="12">
        <f>AKQ18*BlendedPriceEssMonthly*AKC18+AKR18*BlendedPricePremMonthly*AKC18+AKS18*BlendedPriceEliteMonthly*AKC18</f>
        <v/>
      </c>
      <c r="ALA18" s="12">
        <f>AKN18*BlendedPriceEssAnnual*AKC18+AKO18*BlendedPricePremAnnual*AKC18+AKP18*BlendedPriceEliteAnnual*AKC18</f>
        <v/>
      </c>
      <c r="ALB18" s="12">
        <f>AKN6*POWER(1-(AnnualChurn*VLOOKUP(AJZ18,ChurnSeasonTable,4,FALSE)),1)*BlendedPriceEssAnnual*AKC18+AKO6*POWER(1-(AnnualChurn*VLOOKUP(AJZ18,ChurnSeasonTable,4,FALSE)),1)*BlendedPricePremAnnual*AKC18+AKP6*POWER(1-(AnnualChurn*VLOOKUP(AJZ18,ChurnSeasonTable,4,FALSE)),1)*BlendedPriceEliteAnnual*AKC18</f>
        <v/>
      </c>
      <c r="ALC18" s="9">
        <f>AKZ18+ALA18+ALB18</f>
        <v/>
      </c>
      <c r="ALD18" s="12">
        <f>SUM(ALC7:ALC18)</f>
        <v/>
      </c>
      <c r="ALE18" s="12">
        <f>OR(ALE17,IF(VATAgentMode,SUM($ALC7:$ALC18)-SUM($ALJ7:$ALJ18)&gt;=VATThreshold,SUM($ALC7:$ALC18)&gt;=VATThreshold))</f>
        <v/>
      </c>
      <c r="ALF18" s="9">
        <f>IF(ALE18,IF(VATAgentMode,ALC18-((ALC18-ALJ18)-(ALC18-ALJ18)/(1+VATRate)),ALC18/(1+VATRate)),ALC18)</f>
        <v/>
      </c>
      <c r="ALG18" s="12">
        <f>ALC18-ALF18</f>
        <v/>
      </c>
      <c r="ALH18" s="12">
        <f>IF(ALE18=0,0,IF(AJZ18=1,SUMPRODUCT(--(($AKA$5:$AKA18=$AKA18-1)*($AJZ$5:$AJZ18&gt;=10)*($AJZ$5:$AJZ18&lt;=12)),$ALG$5:$ALG18),IF(AJZ18=4,SUMPRODUCT(--(($AKA$5:$AKA18=$AKA18)*($AJZ$5:$AJZ18&gt;=1)*($AJZ$5:$AJZ18&lt;=3)),$ALG$5:$ALG18),IF(AJZ18=7,SUMPRODUCT(--(($AKA$5:$AKA18=$AKA18)*($AJZ$5:$AJZ18&gt;=4)*($AJZ$5:$AJZ18&lt;=6)),$ALG$5:$ALG18),IF(AJZ18=10,SUMPRODUCT(--(($AKA$5:$AKA18=$AKA18)*($AJZ$5:$AJZ18&gt;=7)*($AJZ$5:$AJZ18&lt;=9)),$ALG$5:$ALG18),0)))))</f>
        <v/>
      </c>
      <c r="ALI18" s="12">
        <f>ALI17+ALG18-ALH18</f>
        <v/>
      </c>
      <c r="ALJ18" s="12">
        <f>IF(ProviderDelay&gt;=1,AKQ17*BlendedProvPayEss+AKR17*BlendedProvPayPrem+AKS17*BlendedProvPayElite+AKT17*BlendedProvPayEss+AKU17*BlendedProvPayPrem+AKV17*BlendedProvPayElite,AKQ18*BlendedProvPayEss+AKR18*BlendedProvPayPrem+AKS18*BlendedProvPayElite+AKT18*BlendedProvPayEss+AKU18*BlendedProvPayPrem+AKV18*BlendedProvPayElite)</f>
        <v/>
      </c>
      <c r="ALK18" s="12">
        <f>ALC18*PaymentFee</f>
        <v/>
      </c>
      <c r="ALL18" s="12">
        <f>AKW18*OpsAI</f>
        <v/>
      </c>
      <c r="ALM18" s="12">
        <f>MonthlyFixed</f>
        <v/>
      </c>
      <c r="ALN18" s="12">
        <f>AKG18*ReferralReward</f>
        <v/>
      </c>
      <c r="ALO18" s="12">
        <f>AKE18</f>
        <v/>
      </c>
      <c r="ALP18" s="9">
        <f>ALF18-ALJ18-ALK18-ALL18-ALM18-ALN18-ALO18</f>
        <v/>
      </c>
      <c r="ALQ18" s="9">
        <f>ALQ17+ALC18-(ALJ18+ALK18+ALL18+ALM18+ALN18+ALO18+ALH18)</f>
        <v/>
      </c>
      <c r="ALR18" s="12">
        <f>IF(AKW18&gt;0,AKX18/AKW18,0)</f>
        <v/>
      </c>
      <c r="ALS18" s="11">
        <f>IF(AKW17&gt;0,MAX(0,(AKW17+AKH18-AKW18)/AKW17),0)</f>
        <v/>
      </c>
      <c r="ALU18" s="12" t="n">
        <v>14</v>
      </c>
      <c r="ALV18" s="12">
        <f>MOD(ALU18-1+LaunchMonth-1,12)+1</f>
        <v/>
      </c>
      <c r="ALW18" s="12">
        <f>INT((ALU18-1+LaunchMonth-1)/12)+1</f>
        <v/>
      </c>
      <c r="ALX18" s="12">
        <f>VLOOKUP(ALV18,SeasonTable,2,FALSE)</f>
        <v/>
      </c>
      <c r="ALY18" s="12">
        <f>(1+InflationRate)^INT((ALU18-1)/12)</f>
        <v/>
      </c>
      <c r="ALZ18" s="11">
        <f>MonthlyChurn*VLOOKUP(ALV18,ChurnSeasonTable,4,FALSE)</f>
        <v/>
      </c>
      <c r="AMA18" s="12">
        <f>MIN(MAX(MktMin13_18,AMY17*MktPct13_18),MAX(0,ANM17-CashBuffer))</f>
        <v/>
      </c>
      <c r="AMB18" s="12">
        <f>IF(AMA18&gt;0,MAX(1,ROUND(AMA18/'Sens - CAC &amp; Marketing'!$A$11*ALX18,0)),0)</f>
        <v/>
      </c>
      <c r="AMC18" s="12">
        <f>IF(AMB18&gt;0,ROUND(AMB18*ReferralMix/(1-ReferralMix),0),0)</f>
        <v/>
      </c>
      <c r="AMD18" s="12">
        <f>AMB18+AMC18</f>
        <v/>
      </c>
      <c r="AME18" s="12">
        <f>ROUND(AMD18*(1-AnnualMix),0)</f>
        <v/>
      </c>
      <c r="AMF18" s="12">
        <f>AMD18-AME18</f>
        <v/>
      </c>
      <c r="AMG18" s="12">
        <f>ROUND(AME18*EssentialMix,0)</f>
        <v/>
      </c>
      <c r="AMH18" s="12">
        <f>ROUND(AME18*PremiumMix,0)</f>
        <v/>
      </c>
      <c r="AMI18" s="12">
        <f>AME18-AMG18-AMH18</f>
        <v/>
      </c>
      <c r="AMJ18" s="12">
        <f>ROUND(AMF18*EssentialMix,0)</f>
        <v/>
      </c>
      <c r="AMK18" s="12">
        <f>ROUND(AMF18*PremiumMix,0)</f>
        <v/>
      </c>
      <c r="AML18" s="12">
        <f>AMF18-AMJ18-AMK18</f>
        <v/>
      </c>
      <c r="AMM18" s="12">
        <f>AMG18+AMG17+AMG16+MAX(0,AMM17-AMG17-AMG16)*(1-ALZ18)</f>
        <v/>
      </c>
      <c r="AMN18" s="12">
        <f>AMH18+AMH17+AMH16+MAX(0,AMN17-AMH17-AMH16)*(1-ALZ18)</f>
        <v/>
      </c>
      <c r="AMO18" s="12">
        <f>AMI18+AMI17+AMI16+MAX(0,AMO17-AMI17-AMI16)*(1-ALZ18)</f>
        <v/>
      </c>
      <c r="AMP18" s="12">
        <f>AMP17+AMJ18-AMJ6*(AnnualChurn*VLOOKUP(ALV18,ChurnSeasonTable,4,FALSE))*POWER(1-(AnnualChurn*VLOOKUP(ALV18,ChurnSeasonTable,4,FALSE)),0)</f>
        <v/>
      </c>
      <c r="AMQ18" s="12">
        <f>AMQ17+AMK18-AMK6*(AnnualChurn*VLOOKUP(ALV18,ChurnSeasonTable,4,FALSE))*POWER(1-(AnnualChurn*VLOOKUP(ALV18,ChurnSeasonTable,4,FALSE)),0)</f>
        <v/>
      </c>
      <c r="AMR18" s="12">
        <f>AMR17+AML18-AML6*(AnnualChurn*VLOOKUP(ALV18,ChurnSeasonTable,4,FALSE))*POWER(1-(AnnualChurn*VLOOKUP(ALV18,ChurnSeasonTable,4,FALSE)),0)</f>
        <v/>
      </c>
      <c r="AMS18" s="12">
        <f>AMM18+AMN18+AMO18+AMP18+AMQ18+AMR18</f>
        <v/>
      </c>
      <c r="AMT18" s="9">
        <f>AMM18*BlendedPriceEssMonthly*ALY18+AMN18*BlendedPricePremMonthly*ALY18+AMO18*BlendedPriceEliteMonthly*ALY18+AMP18*BlendedPriceEssAnnual*ALY18/12+AMQ18*BlendedPricePremAnnual*ALY18/12+AMR18*BlendedPriceEliteAnnual*ALY18/12</f>
        <v/>
      </c>
      <c r="AMU18" s="9">
        <f>AMT18*12</f>
        <v/>
      </c>
      <c r="AMV18" s="12">
        <f>AMM18*BlendedPriceEssMonthly*ALY18+AMN18*BlendedPricePremMonthly*ALY18+AMO18*BlendedPriceEliteMonthly*ALY18</f>
        <v/>
      </c>
      <c r="AMW18" s="12">
        <f>AMJ18*BlendedPriceEssAnnual*ALY18+AMK18*BlendedPricePremAnnual*ALY18+AML18*BlendedPriceEliteAnnual*ALY18</f>
        <v/>
      </c>
      <c r="AMX18" s="12">
        <f>AMJ6*POWER(1-(AnnualChurn*VLOOKUP(ALV18,ChurnSeasonTable,4,FALSE)),1)*BlendedPriceEssAnnual*ALY18+AMK6*POWER(1-(AnnualChurn*VLOOKUP(ALV18,ChurnSeasonTable,4,FALSE)),1)*BlendedPricePremAnnual*ALY18+AML6*POWER(1-(AnnualChurn*VLOOKUP(ALV18,ChurnSeasonTable,4,FALSE)),1)*BlendedPriceEliteAnnual*ALY18</f>
        <v/>
      </c>
      <c r="AMY18" s="9">
        <f>AMV18+AMW18+AMX18</f>
        <v/>
      </c>
      <c r="AMZ18" s="12">
        <f>SUM(AMY7:AMY18)</f>
        <v/>
      </c>
      <c r="ANA18" s="12">
        <f>OR(ANA17,IF(VATAgentMode,SUM($AMY7:$AMY18)-SUM($ANF7:$ANF18)&gt;=VATThreshold,SUM($AMY7:$AMY18)&gt;=VATThreshold))</f>
        <v/>
      </c>
      <c r="ANB18" s="9">
        <f>IF(ANA18,IF(VATAgentMode,AMY18-((AMY18-ANF18)-(AMY18-ANF18)/(1+VATRate)),AMY18/(1+VATRate)),AMY18)</f>
        <v/>
      </c>
      <c r="ANC18" s="12">
        <f>AMY18-ANB18</f>
        <v/>
      </c>
      <c r="AND18" s="12">
        <f>IF(ANA18=0,0,IF(ALV18=1,SUMPRODUCT(--(($ALW$5:$ALW18=$ALW18-1)*($ALV$5:$ALV18&gt;=10)*($ALV$5:$ALV18&lt;=12)),$ANC$5:$ANC18),IF(ALV18=4,SUMPRODUCT(--(($ALW$5:$ALW18=$ALW18)*($ALV$5:$ALV18&gt;=1)*($ALV$5:$ALV18&lt;=3)),$ANC$5:$ANC18),IF(ALV18=7,SUMPRODUCT(--(($ALW$5:$ALW18=$ALW18)*($ALV$5:$ALV18&gt;=4)*($ALV$5:$ALV18&lt;=6)),$ANC$5:$ANC18),IF(ALV18=10,SUMPRODUCT(--(($ALW$5:$ALW18=$ALW18)*($ALV$5:$ALV18&gt;=7)*($ALV$5:$ALV18&lt;=9)),$ANC$5:$ANC18),0)))))</f>
        <v/>
      </c>
      <c r="ANE18" s="12">
        <f>ANE17+ANC18-AND18</f>
        <v/>
      </c>
      <c r="ANF18" s="12">
        <f>IF(ProviderDelay&gt;=1,AMM17*BlendedProvPayEss+AMN17*BlendedProvPayPrem+AMO17*BlendedProvPayElite+AMP17*BlendedProvPayEss+AMQ17*BlendedProvPayPrem+AMR17*BlendedProvPayElite,AMM18*BlendedProvPayEss+AMN18*BlendedProvPayPrem+AMO18*BlendedProvPayElite+AMP18*BlendedProvPayEss+AMQ18*BlendedProvPayPrem+AMR18*BlendedProvPayElite)</f>
        <v/>
      </c>
      <c r="ANG18" s="12">
        <f>AMY18*PaymentFee</f>
        <v/>
      </c>
      <c r="ANH18" s="12">
        <f>AMS18*OpsAI</f>
        <v/>
      </c>
      <c r="ANI18" s="12">
        <f>MonthlyFixed</f>
        <v/>
      </c>
      <c r="ANJ18" s="12">
        <f>AMC18*ReferralReward</f>
        <v/>
      </c>
      <c r="ANK18" s="12">
        <f>AMA18</f>
        <v/>
      </c>
      <c r="ANL18" s="9">
        <f>ANB18-ANF18-ANG18-ANH18-ANI18-ANJ18-ANK18</f>
        <v/>
      </c>
      <c r="ANM18" s="9">
        <f>ANM17+AMY18-(ANF18+ANG18+ANH18+ANI18+ANJ18+ANK18+AND18)</f>
        <v/>
      </c>
      <c r="ANN18" s="12">
        <f>IF(AMS18&gt;0,AMT18/AMS18,0)</f>
        <v/>
      </c>
      <c r="ANO18" s="11">
        <f>IF(AMS17&gt;0,MAX(0,(AMS17+AMD18-AMS18)/AMS17),0)</f>
        <v/>
      </c>
      <c r="ANQ18" s="12" t="n">
        <v>14</v>
      </c>
      <c r="ANR18" s="12">
        <f>MOD(ANQ18-1+LaunchMonth-1,12)+1</f>
        <v/>
      </c>
      <c r="ANS18" s="12">
        <f>INT((ANQ18-1+LaunchMonth-1)/12)+1</f>
        <v/>
      </c>
      <c r="ANT18" s="12">
        <f>VLOOKUP(ANR18,SeasonTable,2,FALSE)</f>
        <v/>
      </c>
      <c r="ANU18" s="12">
        <f>(1+InflationRate)^INT((ANQ18-1)/12)</f>
        <v/>
      </c>
      <c r="ANV18" s="11">
        <f>MonthlyChurn*VLOOKUP(ANR18,ChurnSeasonTable,4,FALSE)</f>
        <v/>
      </c>
      <c r="ANW18" s="12">
        <f>MIN(MAX(MktMin13_18,AOU17*MktPct13_18),MAX(0,API17-CashBuffer))</f>
        <v/>
      </c>
      <c r="ANX18" s="12">
        <f>IF(ANW18&gt;0,MAX(1,ROUND(ANW18/'Sens - CAC &amp; Marketing'!$A$12*ANT18,0)),0)</f>
        <v/>
      </c>
      <c r="ANY18" s="12">
        <f>IF(ANX18&gt;0,ROUND(ANX18*ReferralMix/(1-ReferralMix),0),0)</f>
        <v/>
      </c>
      <c r="ANZ18" s="12">
        <f>ANX18+ANY18</f>
        <v/>
      </c>
      <c r="AOA18" s="12">
        <f>ROUND(ANZ18*(1-AnnualMix),0)</f>
        <v/>
      </c>
      <c r="AOB18" s="12">
        <f>ANZ18-AOA18</f>
        <v/>
      </c>
      <c r="AOC18" s="12">
        <f>ROUND(AOA18*EssentialMix,0)</f>
        <v/>
      </c>
      <c r="AOD18" s="12">
        <f>ROUND(AOA18*PremiumMix,0)</f>
        <v/>
      </c>
      <c r="AOE18" s="12">
        <f>AOA18-AOC18-AOD18</f>
        <v/>
      </c>
      <c r="AOF18" s="12">
        <f>ROUND(AOB18*EssentialMix,0)</f>
        <v/>
      </c>
      <c r="AOG18" s="12">
        <f>ROUND(AOB18*PremiumMix,0)</f>
        <v/>
      </c>
      <c r="AOH18" s="12">
        <f>AOB18-AOF18-AOG18</f>
        <v/>
      </c>
      <c r="AOI18" s="12">
        <f>AOC18+AOC17+AOC16+MAX(0,AOI17-AOC17-AOC16)*(1-ANV18)</f>
        <v/>
      </c>
      <c r="AOJ18" s="12">
        <f>AOD18+AOD17+AOD16+MAX(0,AOJ17-AOD17-AOD16)*(1-ANV18)</f>
        <v/>
      </c>
      <c r="AOK18" s="12">
        <f>AOE18+AOE17+AOE16+MAX(0,AOK17-AOE17-AOE16)*(1-ANV18)</f>
        <v/>
      </c>
      <c r="AOL18" s="12">
        <f>AOL17+AOF18-AOF6*(AnnualChurn*VLOOKUP(ANR18,ChurnSeasonTable,4,FALSE))*POWER(1-(AnnualChurn*VLOOKUP(ANR18,ChurnSeasonTable,4,FALSE)),0)</f>
        <v/>
      </c>
      <c r="AOM18" s="12">
        <f>AOM17+AOG18-AOG6*(AnnualChurn*VLOOKUP(ANR18,ChurnSeasonTable,4,FALSE))*POWER(1-(AnnualChurn*VLOOKUP(ANR18,ChurnSeasonTable,4,FALSE)),0)</f>
        <v/>
      </c>
      <c r="AON18" s="12">
        <f>AON17+AOH18-AOH6*(AnnualChurn*VLOOKUP(ANR18,ChurnSeasonTable,4,FALSE))*POWER(1-(AnnualChurn*VLOOKUP(ANR18,ChurnSeasonTable,4,FALSE)),0)</f>
        <v/>
      </c>
      <c r="AOO18" s="12">
        <f>AOI18+AOJ18+AOK18+AOL18+AOM18+AON18</f>
        <v/>
      </c>
      <c r="AOP18" s="9">
        <f>AOI18*BlendedPriceEssMonthly*ANU18+AOJ18*BlendedPricePremMonthly*ANU18+AOK18*BlendedPriceEliteMonthly*ANU18+AOL18*BlendedPriceEssAnnual*ANU18/12+AOM18*BlendedPricePremAnnual*ANU18/12+AON18*BlendedPriceEliteAnnual*ANU18/12</f>
        <v/>
      </c>
      <c r="AOQ18" s="9">
        <f>AOP18*12</f>
        <v/>
      </c>
      <c r="AOR18" s="12">
        <f>AOI18*BlendedPriceEssMonthly*ANU18+AOJ18*BlendedPricePremMonthly*ANU18+AOK18*BlendedPriceEliteMonthly*ANU18</f>
        <v/>
      </c>
      <c r="AOS18" s="12">
        <f>AOF18*BlendedPriceEssAnnual*ANU18+AOG18*BlendedPricePremAnnual*ANU18+AOH18*BlendedPriceEliteAnnual*ANU18</f>
        <v/>
      </c>
      <c r="AOT18" s="12">
        <f>AOF6*POWER(1-(AnnualChurn*VLOOKUP(ANR18,ChurnSeasonTable,4,FALSE)),1)*BlendedPriceEssAnnual*ANU18+AOG6*POWER(1-(AnnualChurn*VLOOKUP(ANR18,ChurnSeasonTable,4,FALSE)),1)*BlendedPricePremAnnual*ANU18+AOH6*POWER(1-(AnnualChurn*VLOOKUP(ANR18,ChurnSeasonTable,4,FALSE)),1)*BlendedPriceEliteAnnual*ANU18</f>
        <v/>
      </c>
      <c r="AOU18" s="9">
        <f>AOR18+AOS18+AOT18</f>
        <v/>
      </c>
      <c r="AOV18" s="12">
        <f>SUM(AOU7:AOU18)</f>
        <v/>
      </c>
      <c r="AOW18" s="12">
        <f>OR(AOW17,IF(VATAgentMode,SUM($AOU7:$AOU18)-SUM($APB7:$APB18)&gt;=VATThreshold,SUM($AOU7:$AOU18)&gt;=VATThreshold))</f>
        <v/>
      </c>
      <c r="AOX18" s="9">
        <f>IF(AOW18,IF(VATAgentMode,AOU18-((AOU18-APB18)-(AOU18-APB18)/(1+VATRate)),AOU18/(1+VATRate)),AOU18)</f>
        <v/>
      </c>
      <c r="AOY18" s="12">
        <f>AOU18-AOX18</f>
        <v/>
      </c>
      <c r="AOZ18" s="12">
        <f>IF(AOW18=0,0,IF(ANR18=1,SUMPRODUCT(--(($ANS$5:$ANS18=$ANS18-1)*($ANR$5:$ANR18&gt;=10)*($ANR$5:$ANR18&lt;=12)),$AOY$5:$AOY18),IF(ANR18=4,SUMPRODUCT(--(($ANS$5:$ANS18=$ANS18)*($ANR$5:$ANR18&gt;=1)*($ANR$5:$ANR18&lt;=3)),$AOY$5:$AOY18),IF(ANR18=7,SUMPRODUCT(--(($ANS$5:$ANS18=$ANS18)*($ANR$5:$ANR18&gt;=4)*($ANR$5:$ANR18&lt;=6)),$AOY$5:$AOY18),IF(ANR18=10,SUMPRODUCT(--(($ANS$5:$ANS18=$ANS18)*($ANR$5:$ANR18&gt;=7)*($ANR$5:$ANR18&lt;=9)),$AOY$5:$AOY18),0)))))</f>
        <v/>
      </c>
      <c r="APA18" s="12">
        <f>APA17+AOY18-AOZ18</f>
        <v/>
      </c>
      <c r="APB18" s="12">
        <f>IF(ProviderDelay&gt;=1,AOI17*BlendedProvPayEss+AOJ17*BlendedProvPayPrem+AOK17*BlendedProvPayElite+AOL17*BlendedProvPayEss+AOM17*BlendedProvPayPrem+AON17*BlendedProvPayElite,AOI18*BlendedProvPayEss+AOJ18*BlendedProvPayPrem+AOK18*BlendedProvPayElite+AOL18*BlendedProvPayEss+AOM18*BlendedProvPayPrem+AON18*BlendedProvPayElite)</f>
        <v/>
      </c>
      <c r="APC18" s="12">
        <f>AOU18*PaymentFee</f>
        <v/>
      </c>
      <c r="APD18" s="12">
        <f>AOO18*OpsAI</f>
        <v/>
      </c>
      <c r="APE18" s="12">
        <f>MonthlyFixed</f>
        <v/>
      </c>
      <c r="APF18" s="12">
        <f>ANY18*ReferralReward</f>
        <v/>
      </c>
      <c r="APG18" s="12">
        <f>ANW18</f>
        <v/>
      </c>
      <c r="APH18" s="9">
        <f>AOX18-APB18-APC18-APD18-APE18-APF18-APG18</f>
        <v/>
      </c>
      <c r="API18" s="9">
        <f>API17+AOU18-(APB18+APC18+APD18+APE18+APF18+APG18+AOZ18)</f>
        <v/>
      </c>
      <c r="APJ18" s="12">
        <f>IF(AOO18&gt;0,AOP18/AOO18,0)</f>
        <v/>
      </c>
      <c r="APK18" s="11">
        <f>IF(AOO17&gt;0,MAX(0,(AOO17+ANZ18-AOO18)/AOO17),0)</f>
        <v/>
      </c>
      <c r="APM18" s="12" t="n">
        <v>14</v>
      </c>
      <c r="APN18" s="12">
        <f>MOD(APM18-1+LaunchMonth-1,12)+1</f>
        <v/>
      </c>
      <c r="APO18" s="12">
        <f>INT((APM18-1+LaunchMonth-1)/12)+1</f>
        <v/>
      </c>
      <c r="APP18" s="12">
        <f>VLOOKUP(APN18,SeasonTable,2,FALSE)</f>
        <v/>
      </c>
      <c r="APQ18" s="12">
        <f>(1+InflationRate)^INT((APM18-1)/12)</f>
        <v/>
      </c>
      <c r="APR18" s="11">
        <f>MonthlyChurn*VLOOKUP(APN18,ChurnSeasonTable,4,FALSE)</f>
        <v/>
      </c>
      <c r="APS18" s="12">
        <f>MIN(MAX(MktMin13_18,AQQ17*MktPct13_18),MAX(0,ARE17-CashBuffer))</f>
        <v/>
      </c>
      <c r="APT18" s="12">
        <f>IF(APS18&gt;0,MAX(1,ROUND(APS18/'Sens - CAC &amp; Marketing'!$A$13*APP18,0)),0)</f>
        <v/>
      </c>
      <c r="APU18" s="12">
        <f>IF(APT18&gt;0,ROUND(APT18*ReferralMix/(1-ReferralMix),0),0)</f>
        <v/>
      </c>
      <c r="APV18" s="12">
        <f>APT18+APU18</f>
        <v/>
      </c>
      <c r="APW18" s="12">
        <f>ROUND(APV18*(1-AnnualMix),0)</f>
        <v/>
      </c>
      <c r="APX18" s="12">
        <f>APV18-APW18</f>
        <v/>
      </c>
      <c r="APY18" s="12">
        <f>ROUND(APW18*EssentialMix,0)</f>
        <v/>
      </c>
      <c r="APZ18" s="12">
        <f>ROUND(APW18*PremiumMix,0)</f>
        <v/>
      </c>
      <c r="AQA18" s="12">
        <f>APW18-APY18-APZ18</f>
        <v/>
      </c>
      <c r="AQB18" s="12">
        <f>ROUND(APX18*EssentialMix,0)</f>
        <v/>
      </c>
      <c r="AQC18" s="12">
        <f>ROUND(APX18*PremiumMix,0)</f>
        <v/>
      </c>
      <c r="AQD18" s="12">
        <f>APX18-AQB18-AQC18</f>
        <v/>
      </c>
      <c r="AQE18" s="12">
        <f>APY18+APY17+APY16+MAX(0,AQE17-APY17-APY16)*(1-APR18)</f>
        <v/>
      </c>
      <c r="AQF18" s="12">
        <f>APZ18+APZ17+APZ16+MAX(0,AQF17-APZ17-APZ16)*(1-APR18)</f>
        <v/>
      </c>
      <c r="AQG18" s="12">
        <f>AQA18+AQA17+AQA16+MAX(0,AQG17-AQA17-AQA16)*(1-APR18)</f>
        <v/>
      </c>
      <c r="AQH18" s="12">
        <f>AQH17+AQB18-AQB6*(AnnualChurn*VLOOKUP(APN18,ChurnSeasonTable,4,FALSE))*POWER(1-(AnnualChurn*VLOOKUP(APN18,ChurnSeasonTable,4,FALSE)),0)</f>
        <v/>
      </c>
      <c r="AQI18" s="12">
        <f>AQI17+AQC18-AQC6*(AnnualChurn*VLOOKUP(APN18,ChurnSeasonTable,4,FALSE))*POWER(1-(AnnualChurn*VLOOKUP(APN18,ChurnSeasonTable,4,FALSE)),0)</f>
        <v/>
      </c>
      <c r="AQJ18" s="12">
        <f>AQJ17+AQD18-AQD6*(AnnualChurn*VLOOKUP(APN18,ChurnSeasonTable,4,FALSE))*POWER(1-(AnnualChurn*VLOOKUP(APN18,ChurnSeasonTable,4,FALSE)),0)</f>
        <v/>
      </c>
      <c r="AQK18" s="12">
        <f>AQE18+AQF18+AQG18+AQH18+AQI18+AQJ18</f>
        <v/>
      </c>
      <c r="AQL18" s="9">
        <f>AQE18*BlendedPriceEssMonthly*APQ18+AQF18*BlendedPricePremMonthly*APQ18+AQG18*BlendedPriceEliteMonthly*APQ18+AQH18*BlendedPriceEssAnnual*APQ18/12+AQI18*BlendedPricePremAnnual*APQ18/12+AQJ18*BlendedPriceEliteAnnual*APQ18/12</f>
        <v/>
      </c>
      <c r="AQM18" s="9">
        <f>AQL18*12</f>
        <v/>
      </c>
      <c r="AQN18" s="12">
        <f>AQE18*BlendedPriceEssMonthly*APQ18+AQF18*BlendedPricePremMonthly*APQ18+AQG18*BlendedPriceEliteMonthly*APQ18</f>
        <v/>
      </c>
      <c r="AQO18" s="12">
        <f>AQB18*BlendedPriceEssAnnual*APQ18+AQC18*BlendedPricePremAnnual*APQ18+AQD18*BlendedPriceEliteAnnual*APQ18</f>
        <v/>
      </c>
      <c r="AQP18" s="12">
        <f>AQB6*POWER(1-(AnnualChurn*VLOOKUP(APN18,ChurnSeasonTable,4,FALSE)),1)*BlendedPriceEssAnnual*APQ18+AQC6*POWER(1-(AnnualChurn*VLOOKUP(APN18,ChurnSeasonTable,4,FALSE)),1)*BlendedPricePremAnnual*APQ18+AQD6*POWER(1-(AnnualChurn*VLOOKUP(APN18,ChurnSeasonTable,4,FALSE)),1)*BlendedPriceEliteAnnual*APQ18</f>
        <v/>
      </c>
      <c r="AQQ18" s="9">
        <f>AQN18+AQO18+AQP18</f>
        <v/>
      </c>
      <c r="AQR18" s="12">
        <f>SUM(AQQ7:AQQ18)</f>
        <v/>
      </c>
      <c r="AQS18" s="12">
        <f>OR(AQS17,IF(VATAgentMode,SUM($AQQ7:$AQQ18)-SUM($AQX7:$AQX18)&gt;=VATThreshold,SUM($AQQ7:$AQQ18)&gt;=VATThreshold))</f>
        <v/>
      </c>
      <c r="AQT18" s="9">
        <f>IF(AQS18,IF(VATAgentMode,AQQ18-((AQQ18-AQX18)-(AQQ18-AQX18)/(1+VATRate)),AQQ18/(1+VATRate)),AQQ18)</f>
        <v/>
      </c>
      <c r="AQU18" s="12">
        <f>AQQ18-AQT18</f>
        <v/>
      </c>
      <c r="AQV18" s="12">
        <f>IF(AQS18=0,0,IF(APN18=1,SUMPRODUCT(--(($APO$5:$APO18=$APO18-1)*($APN$5:$APN18&gt;=10)*($APN$5:$APN18&lt;=12)),$AQU$5:$AQU18),IF(APN18=4,SUMPRODUCT(--(($APO$5:$APO18=$APO18)*($APN$5:$APN18&gt;=1)*($APN$5:$APN18&lt;=3)),$AQU$5:$AQU18),IF(APN18=7,SUMPRODUCT(--(($APO$5:$APO18=$APO18)*($APN$5:$APN18&gt;=4)*($APN$5:$APN18&lt;=6)),$AQU$5:$AQU18),IF(APN18=10,SUMPRODUCT(--(($APO$5:$APO18=$APO18)*($APN$5:$APN18&gt;=7)*($APN$5:$APN18&lt;=9)),$AQU$5:$AQU18),0)))))</f>
        <v/>
      </c>
      <c r="AQW18" s="12">
        <f>AQW17+AQU18-AQV18</f>
        <v/>
      </c>
      <c r="AQX18" s="12">
        <f>IF(ProviderDelay&gt;=1,AQE17*BlendedProvPayEss+AQF17*BlendedProvPayPrem+AQG17*BlendedProvPayElite+AQH17*BlendedProvPayEss+AQI17*BlendedProvPayPrem+AQJ17*BlendedProvPayElite,AQE18*BlendedProvPayEss+AQF18*BlendedProvPayPrem+AQG18*BlendedProvPayElite+AQH18*BlendedProvPayEss+AQI18*BlendedProvPayPrem+AQJ18*BlendedProvPayElite)</f>
        <v/>
      </c>
      <c r="AQY18" s="12">
        <f>AQQ18*PaymentFee</f>
        <v/>
      </c>
      <c r="AQZ18" s="12">
        <f>AQK18*OpsAI</f>
        <v/>
      </c>
      <c r="ARA18" s="12">
        <f>MonthlyFixed</f>
        <v/>
      </c>
      <c r="ARB18" s="12">
        <f>APU18*ReferralReward</f>
        <v/>
      </c>
      <c r="ARC18" s="12">
        <f>APS18</f>
        <v/>
      </c>
      <c r="ARD18" s="9">
        <f>AQT18-AQX18-AQY18-AQZ18-ARA18-ARB18-ARC18</f>
        <v/>
      </c>
      <c r="ARE18" s="9">
        <f>ARE17+AQQ18-(AQX18+AQY18+AQZ18+ARA18+ARB18+ARC18+AQV18)</f>
        <v/>
      </c>
      <c r="ARF18" s="12">
        <f>IF(AQK18&gt;0,AQL18/AQK18,0)</f>
        <v/>
      </c>
      <c r="ARG18" s="11">
        <f>IF(AQK17&gt;0,MAX(0,(AQK17+APV18-AQK18)/AQK17),0)</f>
        <v/>
      </c>
      <c r="ARI18" s="12" t="n">
        <v>14</v>
      </c>
      <c r="ARJ18" s="12">
        <f>MOD(ARI18-1+LaunchMonth-1,12)+1</f>
        <v/>
      </c>
      <c r="ARK18" s="12">
        <f>INT((ARI18-1+LaunchMonth-1)/12)+1</f>
        <v/>
      </c>
      <c r="ARL18" s="12">
        <f>VLOOKUP(ARJ18,SeasonTable,2,FALSE)</f>
        <v/>
      </c>
      <c r="ARM18" s="12">
        <f>(1+InflationRate)^INT((ARI18-1)/12)</f>
        <v/>
      </c>
      <c r="ARN18" s="11">
        <f>MonthlyChurn*VLOOKUP(ARJ18,ChurnSeasonTable,4,FALSE)</f>
        <v/>
      </c>
      <c r="ARO18" s="12">
        <f>MIN(MAX(MktMin13_18,ASM17*MktPct13_18),MAX(0,ATA17-CashBuffer))</f>
        <v/>
      </c>
      <c r="ARP18" s="12">
        <f>IF(ARO18&gt;0,MAX(1,ROUND(ARO18/'Sens - CAC &amp; Marketing'!$A$14*ARL18,0)),0)</f>
        <v/>
      </c>
      <c r="ARQ18" s="12">
        <f>IF(ARP18&gt;0,ROUND(ARP18*ReferralMix/(1-ReferralMix),0),0)</f>
        <v/>
      </c>
      <c r="ARR18" s="12">
        <f>ARP18+ARQ18</f>
        <v/>
      </c>
      <c r="ARS18" s="12">
        <f>ROUND(ARR18*(1-AnnualMix),0)</f>
        <v/>
      </c>
      <c r="ART18" s="12">
        <f>ARR18-ARS18</f>
        <v/>
      </c>
      <c r="ARU18" s="12">
        <f>ROUND(ARS18*EssentialMix,0)</f>
        <v/>
      </c>
      <c r="ARV18" s="12">
        <f>ROUND(ARS18*PremiumMix,0)</f>
        <v/>
      </c>
      <c r="ARW18" s="12">
        <f>ARS18-ARU18-ARV18</f>
        <v/>
      </c>
      <c r="ARX18" s="12">
        <f>ROUND(ART18*EssentialMix,0)</f>
        <v/>
      </c>
      <c r="ARY18" s="12">
        <f>ROUND(ART18*PremiumMix,0)</f>
        <v/>
      </c>
      <c r="ARZ18" s="12">
        <f>ART18-ARX18-ARY18</f>
        <v/>
      </c>
      <c r="ASA18" s="12">
        <f>ARU18+ARU17+ARU16+MAX(0,ASA17-ARU17-ARU16)*(1-ARN18)</f>
        <v/>
      </c>
      <c r="ASB18" s="12">
        <f>ARV18+ARV17+ARV16+MAX(0,ASB17-ARV17-ARV16)*(1-ARN18)</f>
        <v/>
      </c>
      <c r="ASC18" s="12">
        <f>ARW18+ARW17+ARW16+MAX(0,ASC17-ARW17-ARW16)*(1-ARN18)</f>
        <v/>
      </c>
      <c r="ASD18" s="12">
        <f>ASD17+ARX18-ARX6*(AnnualChurn*VLOOKUP(ARJ18,ChurnSeasonTable,4,FALSE))*POWER(1-(AnnualChurn*VLOOKUP(ARJ18,ChurnSeasonTable,4,FALSE)),0)</f>
        <v/>
      </c>
      <c r="ASE18" s="12">
        <f>ASE17+ARY18-ARY6*(AnnualChurn*VLOOKUP(ARJ18,ChurnSeasonTable,4,FALSE))*POWER(1-(AnnualChurn*VLOOKUP(ARJ18,ChurnSeasonTable,4,FALSE)),0)</f>
        <v/>
      </c>
      <c r="ASF18" s="12">
        <f>ASF17+ARZ18-ARZ6*(AnnualChurn*VLOOKUP(ARJ18,ChurnSeasonTable,4,FALSE))*POWER(1-(AnnualChurn*VLOOKUP(ARJ18,ChurnSeasonTable,4,FALSE)),0)</f>
        <v/>
      </c>
      <c r="ASG18" s="12">
        <f>ASA18+ASB18+ASC18+ASD18+ASE18+ASF18</f>
        <v/>
      </c>
      <c r="ASH18" s="9">
        <f>ASA18*BlendedPriceEssMonthly*ARM18+ASB18*BlendedPricePremMonthly*ARM18+ASC18*BlendedPriceEliteMonthly*ARM18+ASD18*BlendedPriceEssAnnual*ARM18/12+ASE18*BlendedPricePremAnnual*ARM18/12+ASF18*BlendedPriceEliteAnnual*ARM18/12</f>
        <v/>
      </c>
      <c r="ASI18" s="9">
        <f>ASH18*12</f>
        <v/>
      </c>
      <c r="ASJ18" s="12">
        <f>ASA18*BlendedPriceEssMonthly*ARM18+ASB18*BlendedPricePremMonthly*ARM18+ASC18*BlendedPriceEliteMonthly*ARM18</f>
        <v/>
      </c>
      <c r="ASK18" s="12">
        <f>ARX18*BlendedPriceEssAnnual*ARM18+ARY18*BlendedPricePremAnnual*ARM18+ARZ18*BlendedPriceEliteAnnual*ARM18</f>
        <v/>
      </c>
      <c r="ASL18" s="12">
        <f>ARX6*POWER(1-(AnnualChurn*VLOOKUP(ARJ18,ChurnSeasonTable,4,FALSE)),1)*BlendedPriceEssAnnual*ARM18+ARY6*POWER(1-(AnnualChurn*VLOOKUP(ARJ18,ChurnSeasonTable,4,FALSE)),1)*BlendedPricePremAnnual*ARM18+ARZ6*POWER(1-(AnnualChurn*VLOOKUP(ARJ18,ChurnSeasonTable,4,FALSE)),1)*BlendedPriceEliteAnnual*ARM18</f>
        <v/>
      </c>
      <c r="ASM18" s="9">
        <f>ASJ18+ASK18+ASL18</f>
        <v/>
      </c>
      <c r="ASN18" s="12">
        <f>SUM(ASM7:ASM18)</f>
        <v/>
      </c>
      <c r="ASO18" s="12">
        <f>OR(ASO17,IF(VATAgentMode,SUM($ASM7:$ASM18)-SUM($AST7:$AST18)&gt;=VATThreshold,SUM($ASM7:$ASM18)&gt;=VATThreshold))</f>
        <v/>
      </c>
      <c r="ASP18" s="9">
        <f>IF(ASO18,IF(VATAgentMode,ASM18-((ASM18-AST18)-(ASM18-AST18)/(1+VATRate)),ASM18/(1+VATRate)),ASM18)</f>
        <v/>
      </c>
      <c r="ASQ18" s="12">
        <f>ASM18-ASP18</f>
        <v/>
      </c>
      <c r="ASR18" s="12">
        <f>IF(ASO18=0,0,IF(ARJ18=1,SUMPRODUCT(--(($ARK$5:$ARK18=$ARK18-1)*($ARJ$5:$ARJ18&gt;=10)*($ARJ$5:$ARJ18&lt;=12)),$ASQ$5:$ASQ18),IF(ARJ18=4,SUMPRODUCT(--(($ARK$5:$ARK18=$ARK18)*($ARJ$5:$ARJ18&gt;=1)*($ARJ$5:$ARJ18&lt;=3)),$ASQ$5:$ASQ18),IF(ARJ18=7,SUMPRODUCT(--(($ARK$5:$ARK18=$ARK18)*($ARJ$5:$ARJ18&gt;=4)*($ARJ$5:$ARJ18&lt;=6)),$ASQ$5:$ASQ18),IF(ARJ18=10,SUMPRODUCT(--(($ARK$5:$ARK18=$ARK18)*($ARJ$5:$ARJ18&gt;=7)*($ARJ$5:$ARJ18&lt;=9)),$ASQ$5:$ASQ18),0)))))</f>
        <v/>
      </c>
      <c r="ASS18" s="12">
        <f>ASS17+ASQ18-ASR18</f>
        <v/>
      </c>
      <c r="AST18" s="12">
        <f>IF(ProviderDelay&gt;=1,ASA17*BlendedProvPayEss+ASB17*BlendedProvPayPrem+ASC17*BlendedProvPayElite+ASD17*BlendedProvPayEss+ASE17*BlendedProvPayPrem+ASF17*BlendedProvPayElite,ASA18*BlendedProvPayEss+ASB18*BlendedProvPayPrem+ASC18*BlendedProvPayElite+ASD18*BlendedProvPayEss+ASE18*BlendedProvPayPrem+ASF18*BlendedProvPayElite)</f>
        <v/>
      </c>
      <c r="ASU18" s="12">
        <f>ASM18*PaymentFee</f>
        <v/>
      </c>
      <c r="ASV18" s="12">
        <f>ASG18*OpsAI</f>
        <v/>
      </c>
      <c r="ASW18" s="12">
        <f>MonthlyFixed</f>
        <v/>
      </c>
      <c r="ASX18" s="12">
        <f>ARQ18*ReferralReward</f>
        <v/>
      </c>
      <c r="ASY18" s="12">
        <f>ARO18</f>
        <v/>
      </c>
      <c r="ASZ18" s="9">
        <f>ASP18-AST18-ASU18-ASV18-ASW18-ASX18-ASY18</f>
        <v/>
      </c>
      <c r="ATA18" s="9">
        <f>ATA17+ASM18-(AST18+ASU18+ASV18+ASW18+ASX18+ASY18+ASR18)</f>
        <v/>
      </c>
      <c r="ATB18" s="12">
        <f>IF(ASG18&gt;0,ASH18/ASG18,0)</f>
        <v/>
      </c>
      <c r="ATC18" s="11">
        <f>IF(ASG17&gt;0,MAX(0,(ASG17+ARR18-ASG18)/ASG17),0)</f>
        <v/>
      </c>
      <c r="ATE18" s="12" t="n">
        <v>14</v>
      </c>
      <c r="ATF18" s="12">
        <f>MOD(ATE18-1+LaunchMonth-1,12)+1</f>
        <v/>
      </c>
      <c r="ATG18" s="12">
        <f>INT((ATE18-1+LaunchMonth-1)/12)+1</f>
        <v/>
      </c>
      <c r="ATH18" s="12">
        <f>VLOOKUP(ATF18,SeasonTable,2,FALSE)</f>
        <v/>
      </c>
      <c r="ATI18" s="12">
        <f>(1+InflationRate)^INT((ATE18-1)/12)</f>
        <v/>
      </c>
      <c r="ATJ18" s="11">
        <f>MonthlyChurn*VLOOKUP(ATF18,ChurnSeasonTable,4,FALSE)</f>
        <v/>
      </c>
      <c r="ATK18" s="12">
        <f>MIN(MAX(MktMin13_18,AUI17*MktPct13_18),MAX(0,AUW17-CashBuffer))</f>
        <v/>
      </c>
      <c r="ATL18" s="12">
        <f>IF(ATK18&gt;0,MAX(1,ROUND(ATK18/'Sens - CAC &amp; Marketing'!$A$15*ATH18,0)),0)</f>
        <v/>
      </c>
      <c r="ATM18" s="12">
        <f>IF(ATL18&gt;0,ROUND(ATL18*ReferralMix/(1-ReferralMix),0),0)</f>
        <v/>
      </c>
      <c r="ATN18" s="12">
        <f>ATL18+ATM18</f>
        <v/>
      </c>
      <c r="ATO18" s="12">
        <f>ROUND(ATN18*(1-AnnualMix),0)</f>
        <v/>
      </c>
      <c r="ATP18" s="12">
        <f>ATN18-ATO18</f>
        <v/>
      </c>
      <c r="ATQ18" s="12">
        <f>ROUND(ATO18*EssentialMix,0)</f>
        <v/>
      </c>
      <c r="ATR18" s="12">
        <f>ROUND(ATO18*PremiumMix,0)</f>
        <v/>
      </c>
      <c r="ATS18" s="12">
        <f>ATO18-ATQ18-ATR18</f>
        <v/>
      </c>
      <c r="ATT18" s="12">
        <f>ROUND(ATP18*EssentialMix,0)</f>
        <v/>
      </c>
      <c r="ATU18" s="12">
        <f>ROUND(ATP18*PremiumMix,0)</f>
        <v/>
      </c>
      <c r="ATV18" s="12">
        <f>ATP18-ATT18-ATU18</f>
        <v/>
      </c>
      <c r="ATW18" s="12">
        <f>ATQ18+ATQ17+ATQ16+MAX(0,ATW17-ATQ17-ATQ16)*(1-ATJ18)</f>
        <v/>
      </c>
      <c r="ATX18" s="12">
        <f>ATR18+ATR17+ATR16+MAX(0,ATX17-ATR17-ATR16)*(1-ATJ18)</f>
        <v/>
      </c>
      <c r="ATY18" s="12">
        <f>ATS18+ATS17+ATS16+MAX(0,ATY17-ATS17-ATS16)*(1-ATJ18)</f>
        <v/>
      </c>
      <c r="ATZ18" s="12">
        <f>ATZ17+ATT18-ATT6*(AnnualChurn*VLOOKUP(ATF18,ChurnSeasonTable,4,FALSE))*POWER(1-(AnnualChurn*VLOOKUP(ATF18,ChurnSeasonTable,4,FALSE)),0)</f>
        <v/>
      </c>
      <c r="AUA18" s="12">
        <f>AUA17+ATU18-ATU6*(AnnualChurn*VLOOKUP(ATF18,ChurnSeasonTable,4,FALSE))*POWER(1-(AnnualChurn*VLOOKUP(ATF18,ChurnSeasonTable,4,FALSE)),0)</f>
        <v/>
      </c>
      <c r="AUB18" s="12">
        <f>AUB17+ATV18-ATV6*(AnnualChurn*VLOOKUP(ATF18,ChurnSeasonTable,4,FALSE))*POWER(1-(AnnualChurn*VLOOKUP(ATF18,ChurnSeasonTable,4,FALSE)),0)</f>
        <v/>
      </c>
      <c r="AUC18" s="12">
        <f>ATW18+ATX18+ATY18+ATZ18+AUA18+AUB18</f>
        <v/>
      </c>
      <c r="AUD18" s="9">
        <f>ATW18*BlendedPriceEssMonthly*ATI18+ATX18*BlendedPricePremMonthly*ATI18+ATY18*BlendedPriceEliteMonthly*ATI18+ATZ18*BlendedPriceEssAnnual*ATI18/12+AUA18*BlendedPricePremAnnual*ATI18/12+AUB18*BlendedPriceEliteAnnual*ATI18/12</f>
        <v/>
      </c>
      <c r="AUE18" s="9">
        <f>AUD18*12</f>
        <v/>
      </c>
      <c r="AUF18" s="12">
        <f>ATW18*BlendedPriceEssMonthly*ATI18+ATX18*BlendedPricePremMonthly*ATI18+ATY18*BlendedPriceEliteMonthly*ATI18</f>
        <v/>
      </c>
      <c r="AUG18" s="12">
        <f>ATT18*BlendedPriceEssAnnual*ATI18+ATU18*BlendedPricePremAnnual*ATI18+ATV18*BlendedPriceEliteAnnual*ATI18</f>
        <v/>
      </c>
      <c r="AUH18" s="12">
        <f>ATT6*POWER(1-(AnnualChurn*VLOOKUP(ATF18,ChurnSeasonTable,4,FALSE)),1)*BlendedPriceEssAnnual*ATI18+ATU6*POWER(1-(AnnualChurn*VLOOKUP(ATF18,ChurnSeasonTable,4,FALSE)),1)*BlendedPricePremAnnual*ATI18+ATV6*POWER(1-(AnnualChurn*VLOOKUP(ATF18,ChurnSeasonTable,4,FALSE)),1)*BlendedPriceEliteAnnual*ATI18</f>
        <v/>
      </c>
      <c r="AUI18" s="9">
        <f>AUF18+AUG18+AUH18</f>
        <v/>
      </c>
      <c r="AUJ18" s="12">
        <f>SUM(AUI7:AUI18)</f>
        <v/>
      </c>
      <c r="AUK18" s="12">
        <f>OR(AUK17,IF(VATAgentMode,SUM($AUI7:$AUI18)-SUM($AUP7:$AUP18)&gt;=VATThreshold,SUM($AUI7:$AUI18)&gt;=VATThreshold))</f>
        <v/>
      </c>
      <c r="AUL18" s="9">
        <f>IF(AUK18,IF(VATAgentMode,AUI18-((AUI18-AUP18)-(AUI18-AUP18)/(1+VATRate)),AUI18/(1+VATRate)),AUI18)</f>
        <v/>
      </c>
      <c r="AUM18" s="12">
        <f>AUI18-AUL18</f>
        <v/>
      </c>
      <c r="AUN18" s="12">
        <f>IF(AUK18=0,0,IF(ATF18=1,SUMPRODUCT(--(($ATG$5:$ATG18=$ATG18-1)*($ATF$5:$ATF18&gt;=10)*($ATF$5:$ATF18&lt;=12)),$AUM$5:$AUM18),IF(ATF18=4,SUMPRODUCT(--(($ATG$5:$ATG18=$ATG18)*($ATF$5:$ATF18&gt;=1)*($ATF$5:$ATF18&lt;=3)),$AUM$5:$AUM18),IF(ATF18=7,SUMPRODUCT(--(($ATG$5:$ATG18=$ATG18)*($ATF$5:$ATF18&gt;=4)*($ATF$5:$ATF18&lt;=6)),$AUM$5:$AUM18),IF(ATF18=10,SUMPRODUCT(--(($ATG$5:$ATG18=$ATG18)*($ATF$5:$ATF18&gt;=7)*($ATF$5:$ATF18&lt;=9)),$AUM$5:$AUM18),0)))))</f>
        <v/>
      </c>
      <c r="AUO18" s="12">
        <f>AUO17+AUM18-AUN18</f>
        <v/>
      </c>
      <c r="AUP18" s="12">
        <f>IF(ProviderDelay&gt;=1,ATW17*BlendedProvPayEss+ATX17*BlendedProvPayPrem+ATY17*BlendedProvPayElite+ATZ17*BlendedProvPayEss+AUA17*BlendedProvPayPrem+AUB17*BlendedProvPayElite,ATW18*BlendedProvPayEss+ATX18*BlendedProvPayPrem+ATY18*BlendedProvPayElite+ATZ18*BlendedProvPayEss+AUA18*BlendedProvPayPrem+AUB18*BlendedProvPayElite)</f>
        <v/>
      </c>
      <c r="AUQ18" s="12">
        <f>AUI18*PaymentFee</f>
        <v/>
      </c>
      <c r="AUR18" s="12">
        <f>AUC18*OpsAI</f>
        <v/>
      </c>
      <c r="AUS18" s="12">
        <f>MonthlyFixed</f>
        <v/>
      </c>
      <c r="AUT18" s="12">
        <f>ATM18*ReferralReward</f>
        <v/>
      </c>
      <c r="AUU18" s="12">
        <f>ATK18</f>
        <v/>
      </c>
      <c r="AUV18" s="9">
        <f>AUL18-AUP18-AUQ18-AUR18-AUS18-AUT18-AUU18</f>
        <v/>
      </c>
      <c r="AUW18" s="9">
        <f>AUW17+AUI18-(AUP18+AUQ18+AUR18+AUS18+AUT18+AUU18+AUN18)</f>
        <v/>
      </c>
      <c r="AUX18" s="12">
        <f>IF(AUC18&gt;0,AUD18/AUC18,0)</f>
        <v/>
      </c>
      <c r="AUY18" s="11">
        <f>IF(AUC17&gt;0,MAX(0,(AUC17+ATN18-AUC18)/AUC17),0)</f>
        <v/>
      </c>
      <c r="AVA18" s="12" t="n">
        <v>14</v>
      </c>
      <c r="AVB18" s="12">
        <f>MOD(AVA18-1+LaunchMonth-1,12)+1</f>
        <v/>
      </c>
      <c r="AVC18" s="12">
        <f>INT((AVA18-1+LaunchMonth-1)/12)+1</f>
        <v/>
      </c>
      <c r="AVD18" s="12">
        <f>VLOOKUP(AVB18,WinterPivotSeasonTable,5,FALSE)</f>
        <v/>
      </c>
      <c r="AVE18" s="12">
        <f>(1+InflationRate)^INT((AVA18-1)/12)</f>
        <v/>
      </c>
      <c r="AVF18" s="11">
        <f>MonthlyChurn*VLOOKUP(AVB18,WinterPivotChurnTable,6,FALSE)</f>
        <v/>
      </c>
      <c r="AVG18" s="12">
        <f>MIN(MAX(MktMin13_18,AWE17*MktPct13_18),MAX(0,AWS17-CashBuffer))</f>
        <v/>
      </c>
      <c r="AVH18" s="12">
        <f>IF(AVG18&gt;0,MAX(1,ROUND(AVG18/CAC*AVD18,0)),0)</f>
        <v/>
      </c>
      <c r="AVI18" s="12">
        <f>IF(AVH18&gt;0,ROUND(AVH18*ReferralMix/(1-ReferralMix),0),0)</f>
        <v/>
      </c>
      <c r="AVJ18" s="12">
        <f>AVH18+AVI18</f>
        <v/>
      </c>
      <c r="AVK18" s="12">
        <f>ROUND(AVJ18*(1-AnnualMix),0)</f>
        <v/>
      </c>
      <c r="AVL18" s="12">
        <f>AVJ18-AVK18</f>
        <v/>
      </c>
      <c r="AVM18" s="12">
        <f>ROUND(AVK18*'Sens - Winter Pivot'!$B$6,0)</f>
        <v/>
      </c>
      <c r="AVN18" s="12">
        <f>ROUND(AVK18*PremiumMix,0)</f>
        <v/>
      </c>
      <c r="AVO18" s="12">
        <f>AVK18-AVM18-AVN18</f>
        <v/>
      </c>
      <c r="AVP18" s="12">
        <f>ROUND(AVL18*'Sens - Winter Pivot'!$B$6,0)</f>
        <v/>
      </c>
      <c r="AVQ18" s="12">
        <f>ROUND(AVL18*PremiumMix,0)</f>
        <v/>
      </c>
      <c r="AVR18" s="12">
        <f>AVL18-AVP18-AVQ18</f>
        <v/>
      </c>
      <c r="AVS18" s="12">
        <f>AVM18+AVM17+AVM16+MAX(0,AVS17-AVM17-AVM16)*(1-AVF18)</f>
        <v/>
      </c>
      <c r="AVT18" s="12">
        <f>AVN18+AVN17+AVN16+MAX(0,AVT17-AVN17-AVN16)*(1-AVF18)</f>
        <v/>
      </c>
      <c r="AVU18" s="12">
        <f>AVO18+AVO17+AVO16+MAX(0,AVU17-AVO17-AVO16)*(1-AVF18)</f>
        <v/>
      </c>
      <c r="AVV18" s="12">
        <f>AVV17+AVP18-AVP6*(AnnualChurn*VLOOKUP(AVB18,ChurnSeasonTable,4,FALSE))*POWER(1-(AnnualChurn*VLOOKUP(AVB18,ChurnSeasonTable,4,FALSE)),0)</f>
        <v/>
      </c>
      <c r="AVW18" s="12">
        <f>AVW17+AVQ18-AVQ6*(AnnualChurn*VLOOKUP(AVB18,ChurnSeasonTable,4,FALSE))*POWER(1-(AnnualChurn*VLOOKUP(AVB18,ChurnSeasonTable,4,FALSE)),0)</f>
        <v/>
      </c>
      <c r="AVX18" s="12">
        <f>AVX17+AVR18-AVR6*(AnnualChurn*VLOOKUP(AVB18,ChurnSeasonTable,4,FALSE))*POWER(1-(AnnualChurn*VLOOKUP(AVB18,ChurnSeasonTable,4,FALSE)),0)</f>
        <v/>
      </c>
      <c r="AVY18" s="12">
        <f>AVS18+AVT18+AVU18+AVV18+AVW18+AVX18</f>
        <v/>
      </c>
      <c r="AVZ18" s="9">
        <f>AVS18*BlendedPriceEssMonthly*AVE18+AVT18*(BlendedPricePremMonthly+'Sens - Winter Pivot'!$B$7)*AVE18+AVU18*BlendedPriceEliteMonthly*AVE18+AVV18*BlendedPriceEssAnnual*AVE18/12+AVW18*(BlendedPricePremAnnual+'Sens - Winter Pivot'!$B$7*12)*AVE18/12+AVX18*BlendedPriceEliteAnnual*AVE18/12</f>
        <v/>
      </c>
      <c r="AWA18" s="9">
        <f>AVZ18*12</f>
        <v/>
      </c>
      <c r="AWB18" s="12">
        <f>AVS18*BlendedPriceEssMonthly*AVE18+AVT18*(BlendedPricePremMonthly+'Sens - Winter Pivot'!$B$7)*AVE18+AVU18*BlendedPriceEliteMonthly*AVE18</f>
        <v/>
      </c>
      <c r="AWC18" s="12">
        <f>AVP18*BlendedPriceEssAnnual*AVE18+AVQ18*(BlendedPricePremAnnual+'Sens - Winter Pivot'!$B$7*12)*AVE18+AVR18*BlendedPriceEliteAnnual*AVE18</f>
        <v/>
      </c>
      <c r="AWD18" s="12">
        <f>AVP6*POWER(1-(AnnualChurn*VLOOKUP(AVB18,ChurnSeasonTable,4,FALSE)),1)*BlendedPriceEssAnnual*AVE18+AVQ6*POWER(1-(AnnualChurn*VLOOKUP(AVB18,ChurnSeasonTable,4,FALSE)),1)*BlendedPricePremAnnual*AVE18+AVR6*POWER(1-(AnnualChurn*VLOOKUP(AVB18,ChurnSeasonTable,4,FALSE)),1)*BlendedPriceEliteAnnual*AVE18</f>
        <v/>
      </c>
      <c r="AWE18" s="9">
        <f>AWB18+AWC18+AWD18</f>
        <v/>
      </c>
      <c r="AWF18" s="12">
        <f>SUM(AWE7:AWE18)</f>
        <v/>
      </c>
      <c r="AWG18" s="12">
        <f>OR(AWG17,IF(VATAgentMode,SUM($AWE7:$AWE18)-SUM($AWL7:$AWL18)&gt;=VATThreshold,SUM($AWE7:$AWE18)&gt;=VATThreshold))</f>
        <v/>
      </c>
      <c r="AWH18" s="9">
        <f>IF(AWG18,IF(VATAgentMode,AWE18-((AWE18-AWL18)-(AWE18-AWL18)/(1+VATRate)),AWE18/(1+VATRate)),AWE18)</f>
        <v/>
      </c>
      <c r="AWI18" s="12">
        <f>AWE18-AWH18</f>
        <v/>
      </c>
      <c r="AWJ18" s="12">
        <f>IF(AWG18=0,0,IF(AVB18=1,SUMPRODUCT(--(($AVC$5:$AVC18=$AVC18-1)*($AVB$5:$AVB18&gt;=10)*($AVB$5:$AVB18&lt;=12)),$AWI$5:$AWI18),IF(AVB18=4,SUMPRODUCT(--(($AVC$5:$AVC18=$AVC18)*($AVB$5:$AVB18&gt;=1)*($AVB$5:$AVB18&lt;=3)),$AWI$5:$AWI18),IF(AVB18=7,SUMPRODUCT(--(($AVC$5:$AVC18=$AVC18)*($AVB$5:$AVB18&gt;=4)*($AVB$5:$AVB18&lt;=6)),$AWI$5:$AWI18),IF(AVB18=10,SUMPRODUCT(--(($AVC$5:$AVC18=$AVC18)*($AVB$5:$AVB18&gt;=7)*($AVB$5:$AVB18&lt;=9)),$AWI$5:$AWI18),0)))))</f>
        <v/>
      </c>
      <c r="AWK18" s="12">
        <f>AWK17+AWI18-AWJ18</f>
        <v/>
      </c>
      <c r="AWL18" s="12">
        <f>IF(ProviderDelay&gt;=1,AVS17*BlendedProvPayEss+AVT17*BlendedProvPayPrem+AVU17*BlendedProvPayElite+AVV17*BlendedProvPayEss+AVW17*BlendedProvPayPrem+AVX17*BlendedProvPayElite,AVS18*BlendedProvPayEss+AVT18*BlendedProvPayPrem+AVU18*BlendedProvPayElite+AVV18*BlendedProvPayEss+AVW18*BlendedProvPayPrem+AVX18*BlendedProvPayElite)</f>
        <v/>
      </c>
      <c r="AWM18" s="12">
        <f>AWE18*PaymentFee</f>
        <v/>
      </c>
      <c r="AWN18" s="12">
        <f>AVY18*OpsAI</f>
        <v/>
      </c>
      <c r="AWO18" s="12">
        <f>MonthlyFixed</f>
        <v/>
      </c>
      <c r="AWP18" s="12">
        <f>AVI18*ReferralReward</f>
        <v/>
      </c>
      <c r="AWQ18" s="12">
        <f>AVG18</f>
        <v/>
      </c>
      <c r="AWR18" s="9">
        <f>AWH18-AWL18-AWM18-AWN18-AWO18-AWP18-AWQ18</f>
        <v/>
      </c>
      <c r="AWS18" s="9">
        <f>AWS17+AWE18-(AWL18+AWM18+AWN18+AWO18+AWP18+AWQ18+AWJ18)</f>
        <v/>
      </c>
      <c r="AWT18" s="12">
        <f>IF(AVY18&gt;0,AVZ18/AVY18,0)</f>
        <v/>
      </c>
      <c r="AWU18" s="11">
        <f>IF(AVY17&gt;0,MAX(0,(AVY17+AVJ18-AVY18)/AVY17),0)</f>
        <v/>
      </c>
    </row>
    <row r="19">
      <c r="A19" s="12" t="n">
        <v>15</v>
      </c>
      <c r="B19" s="12">
        <f>MOD(A19-1+LaunchMonth-1,12)+1</f>
        <v/>
      </c>
      <c r="C19" s="12">
        <f>INT((A19-1+LaunchMonth-1)/12)+1</f>
        <v/>
      </c>
      <c r="D19" s="12">
        <f>VLOOKUP(B19,SeasonTable,2,FALSE)</f>
        <v/>
      </c>
      <c r="E19" s="12">
        <f>(1+InflationRate)^INT((A19-1)/12)</f>
        <v/>
      </c>
      <c r="F19" s="11">
        <f>'Sens - Scenarios'!$B$5*VLOOKUP(B19,ChurnSeasonTable,4,FALSE)</f>
        <v/>
      </c>
      <c r="G19" s="12">
        <f>MIN(MAX(MktMin13_18,AE18*MktPct13_18),MAX(0,AS18-CashBuffer))</f>
        <v/>
      </c>
      <c r="H19" s="12">
        <f>IF(G19&gt;0,MAX(1,ROUND(G19/'Sens - Scenarios'!$B$8*D19,0)),0)</f>
        <v/>
      </c>
      <c r="I19" s="12">
        <f>IF(H19&gt;0,ROUND(H19*ReferralMix/(1-ReferralMix),0),0)</f>
        <v/>
      </c>
      <c r="J19" s="12">
        <f>H19+I19</f>
        <v/>
      </c>
      <c r="K19" s="12">
        <f>ROUND(J19*(1-'Sens - Scenarios'!$B$7),0)</f>
        <v/>
      </c>
      <c r="L19" s="12">
        <f>J19-K19</f>
        <v/>
      </c>
      <c r="M19" s="12">
        <f>ROUND(K19*EssentialMix,0)</f>
        <v/>
      </c>
      <c r="N19" s="12">
        <f>ROUND(K19*PremiumMix,0)</f>
        <v/>
      </c>
      <c r="O19" s="12">
        <f>K19-M19-N19</f>
        <v/>
      </c>
      <c r="P19" s="12">
        <f>ROUND(L19*EssentialMix,0)</f>
        <v/>
      </c>
      <c r="Q19" s="12">
        <f>ROUND(L19*PremiumMix,0)</f>
        <v/>
      </c>
      <c r="R19" s="12">
        <f>L19-P19-Q19</f>
        <v/>
      </c>
      <c r="S19" s="12">
        <f>M19+M18+M17+MAX(0,S18-M18-M17)*(1-F19)</f>
        <v/>
      </c>
      <c r="T19" s="12">
        <f>N19+N18+N17+MAX(0,T18-N18-N17)*(1-F19)</f>
        <v/>
      </c>
      <c r="U19" s="12">
        <f>O19+O18+O17+MAX(0,U18-O18-O17)*(1-F19)</f>
        <v/>
      </c>
      <c r="V19" s="12">
        <f>V18+P19-P7*('Sens - Scenarios'!$B$6*VLOOKUP(B19,ChurnSeasonTable,4,FALSE))*POWER(1-('Sens - Scenarios'!$B$6*VLOOKUP(B19,ChurnSeasonTable,4,FALSE)),0)</f>
        <v/>
      </c>
      <c r="W19" s="12">
        <f>W18+Q19-Q7*('Sens - Scenarios'!$B$6*VLOOKUP(B19,ChurnSeasonTable,4,FALSE))*POWER(1-('Sens - Scenarios'!$B$6*VLOOKUP(B19,ChurnSeasonTable,4,FALSE)),0)</f>
        <v/>
      </c>
      <c r="X19" s="12">
        <f>X18+R19-R7*('Sens - Scenarios'!$B$6*VLOOKUP(B19,ChurnSeasonTable,4,FALSE))*POWER(1-('Sens - Scenarios'!$B$6*VLOOKUP(B19,ChurnSeasonTable,4,FALSE)),0)</f>
        <v/>
      </c>
      <c r="Y19" s="12">
        <f>S19+T19+U19+V19+W19+X19</f>
        <v/>
      </c>
      <c r="Z19" s="9">
        <f>S19*BlendedPriceEssMonthly*E19+T19*BlendedPricePremMonthly*E19+U19*BlendedPriceEliteMonthly*E19+V19*BlendedPriceEssAnnual*E19/12+W19*BlendedPricePremAnnual*E19/12+X19*BlendedPriceEliteAnnual*E19/12</f>
        <v/>
      </c>
      <c r="AA19" s="9">
        <f>Z19*12</f>
        <v/>
      </c>
      <c r="AB19" s="12">
        <f>S19*BlendedPriceEssMonthly*E19+T19*BlendedPricePremMonthly*E19+U19*BlendedPriceEliteMonthly*E19</f>
        <v/>
      </c>
      <c r="AC19" s="12">
        <f>P19*BlendedPriceEssAnnual*E19+Q19*BlendedPricePremAnnual*E19+R19*BlendedPriceEliteAnnual*E19</f>
        <v/>
      </c>
      <c r="AD19" s="12">
        <f>P7*POWER(1-('Sens - Scenarios'!$B$6*VLOOKUP(B19,ChurnSeasonTable,4,FALSE)),1)*BlendedPriceEssAnnual*E19+Q7*POWER(1-('Sens - Scenarios'!$B$6*VLOOKUP(B19,ChurnSeasonTable,4,FALSE)),1)*BlendedPricePremAnnual*E19+R7*POWER(1-('Sens - Scenarios'!$B$6*VLOOKUP(B19,ChurnSeasonTable,4,FALSE)),1)*BlendedPriceEliteAnnual*E19</f>
        <v/>
      </c>
      <c r="AE19" s="9">
        <f>AB19+AC19+AD19</f>
        <v/>
      </c>
      <c r="AF19" s="12">
        <f>SUM(AE8:AE19)</f>
        <v/>
      </c>
      <c r="AG19" s="12">
        <f>OR(AG18,IF(VATAgentMode,SUM($AE8:$AE19)-SUM($AL8:$AL19)&gt;=VATThreshold,SUM($AE8:$AE19)&gt;=VATThreshold))</f>
        <v/>
      </c>
      <c r="AH19" s="9">
        <f>IF(AG19,IF(VATAgentMode,AE19-((AE19-AL19)-(AE19-AL19)/(1+VATRate)),AE19/(1+VATRate)),AE19)</f>
        <v/>
      </c>
      <c r="AI19" s="12">
        <f>AE19-AH19</f>
        <v/>
      </c>
      <c r="AJ19" s="12">
        <f>IF(AG19=0,0,IF(B19=1,SUMPRODUCT(--(($C$5:$C19=$C19-1)*($B$5:$B19&gt;=10)*($B$5:$B19&lt;=12)),$AI$5:$AI19),IF(B19=4,SUMPRODUCT(--(($C$5:$C19=$C19)*($B$5:$B19&gt;=1)*($B$5:$B19&lt;=3)),$AI$5:$AI19),IF(B19=7,SUMPRODUCT(--(($C$5:$C19=$C19)*($B$5:$B19&gt;=4)*($B$5:$B19&lt;=6)),$AI$5:$AI19),IF(B19=10,SUMPRODUCT(--(($C$5:$C19=$C19)*($B$5:$B19&gt;=7)*($B$5:$B19&lt;=9)),$AI$5:$AI19),0)))))</f>
        <v/>
      </c>
      <c r="AK19" s="12">
        <f>AK18+AI19-AJ19</f>
        <v/>
      </c>
      <c r="AL19" s="12">
        <f>IF(ProviderDelay&gt;=1,S18*BlendedProvPayEss+T18*BlendedProvPayPrem+U18*BlendedProvPayElite+V18*BlendedProvPayEss+W18*BlendedProvPayPrem+X18*BlendedProvPayElite,S19*BlendedProvPayEss+T19*BlendedProvPayPrem+U19*BlendedProvPayElite+V19*BlendedProvPayEss+W19*BlendedProvPayPrem+X19*BlendedProvPayElite)</f>
        <v/>
      </c>
      <c r="AM19" s="12">
        <f>AE19*PaymentFee</f>
        <v/>
      </c>
      <c r="AN19" s="12">
        <f>Y19*OpsAI</f>
        <v/>
      </c>
      <c r="AO19" s="12">
        <f>MonthlyFixed</f>
        <v/>
      </c>
      <c r="AP19" s="12">
        <f>I19*ReferralReward</f>
        <v/>
      </c>
      <c r="AQ19" s="12">
        <f>G19</f>
        <v/>
      </c>
      <c r="AR19" s="9">
        <f>AH19-AL19-AM19-AN19-AO19-AP19-AQ19</f>
        <v/>
      </c>
      <c r="AS19" s="9">
        <f>AS18+AE19-(AL19+AM19+AN19+AO19+AP19+AQ19+AJ19)</f>
        <v/>
      </c>
      <c r="AT19" s="12">
        <f>IF(Y19&gt;0,Z19/Y19,0)</f>
        <v/>
      </c>
      <c r="AU19" s="11">
        <f>IF(Y18&gt;0,MAX(0,(Y18+J19-Y19)/Y18),0)</f>
        <v/>
      </c>
      <c r="AW19" s="12" t="n">
        <v>15</v>
      </c>
      <c r="AX19" s="12">
        <f>MOD(AW19-1+LaunchMonth-1,12)+1</f>
        <v/>
      </c>
      <c r="AY19" s="12">
        <f>INT((AW19-1+LaunchMonth-1)/12)+1</f>
        <v/>
      </c>
      <c r="AZ19" s="12">
        <f>VLOOKUP(AX19,SeasonTable,2,FALSE)</f>
        <v/>
      </c>
      <c r="BA19" s="12">
        <f>(1+InflationRate)^INT((AW19-1)/12)</f>
        <v/>
      </c>
      <c r="BB19" s="11">
        <f>MonthlyChurn*VLOOKUP(AX19,ChurnSeasonTable,4,FALSE)</f>
        <v/>
      </c>
      <c r="BC19" s="12">
        <f>MIN(MAX(MktMin13_18,CA18*MktPct13_18),MAX(0,CO18-CashBuffer))</f>
        <v/>
      </c>
      <c r="BD19" s="12">
        <f>IF(BC19&gt;0,MAX(1,ROUND(BC19/CAC*AZ19,0)),0)</f>
        <v/>
      </c>
      <c r="BE19" s="12">
        <f>IF(BD19&gt;0,ROUND(BD19*ReferralMix/(1-ReferralMix),0),0)</f>
        <v/>
      </c>
      <c r="BF19" s="12">
        <f>BD19+BE19</f>
        <v/>
      </c>
      <c r="BG19" s="12">
        <f>ROUND(BF19*(1-AnnualMix),0)</f>
        <v/>
      </c>
      <c r="BH19" s="12">
        <f>BF19-BG19</f>
        <v/>
      </c>
      <c r="BI19" s="12">
        <f>ROUND(BG19*EssentialMix,0)</f>
        <v/>
      </c>
      <c r="BJ19" s="12">
        <f>ROUND(BG19*PremiumMix,0)</f>
        <v/>
      </c>
      <c r="BK19" s="12">
        <f>BG19-BI19-BJ19</f>
        <v/>
      </c>
      <c r="BL19" s="12">
        <f>ROUND(BH19*EssentialMix,0)</f>
        <v/>
      </c>
      <c r="BM19" s="12">
        <f>ROUND(BH19*PremiumMix,0)</f>
        <v/>
      </c>
      <c r="BN19" s="12">
        <f>BH19-BL19-BM19</f>
        <v/>
      </c>
      <c r="BO19" s="12">
        <f>BI19+BI18+BI17+MAX(0,BO18-BI18-BI17)*(1-BB19)</f>
        <v/>
      </c>
      <c r="BP19" s="12">
        <f>BJ19+BJ18+BJ17+MAX(0,BP18-BJ18-BJ17)*(1-BB19)</f>
        <v/>
      </c>
      <c r="BQ19" s="12">
        <f>BK19+BK18+BK17+MAX(0,BQ18-BK18-BK17)*(1-BB19)</f>
        <v/>
      </c>
      <c r="BR19" s="12">
        <f>BR18+BL19-BL7*(AnnualChurn*VLOOKUP(AX19,ChurnSeasonTable,4,FALSE))*POWER(1-(AnnualChurn*VLOOKUP(AX19,ChurnSeasonTable,4,FALSE)),0)</f>
        <v/>
      </c>
      <c r="BS19" s="12">
        <f>BS18+BM19-BM7*(AnnualChurn*VLOOKUP(AX19,ChurnSeasonTable,4,FALSE))*POWER(1-(AnnualChurn*VLOOKUP(AX19,ChurnSeasonTable,4,FALSE)),0)</f>
        <v/>
      </c>
      <c r="BT19" s="12">
        <f>BT18+BN19-BN7*(AnnualChurn*VLOOKUP(AX19,ChurnSeasonTable,4,FALSE))*POWER(1-(AnnualChurn*VLOOKUP(AX19,ChurnSeasonTable,4,FALSE)),0)</f>
        <v/>
      </c>
      <c r="BU19" s="12">
        <f>BO19+BP19+BQ19+BR19+BS19+BT19</f>
        <v/>
      </c>
      <c r="BV19" s="9">
        <f>BO19*BlendedPriceEssMonthly*BA19+BP19*BlendedPricePremMonthly*BA19+BQ19*BlendedPriceEliteMonthly*BA19+BR19*BlendedPriceEssAnnual*BA19/12+BS19*BlendedPricePremAnnual*BA19/12+BT19*BlendedPriceEliteAnnual*BA19/12</f>
        <v/>
      </c>
      <c r="BW19" s="9">
        <f>BV19*12</f>
        <v/>
      </c>
      <c r="BX19" s="12">
        <f>BO19*BlendedPriceEssMonthly*BA19+BP19*BlendedPricePremMonthly*BA19+BQ19*BlendedPriceEliteMonthly*BA19</f>
        <v/>
      </c>
      <c r="BY19" s="12">
        <f>BL19*BlendedPriceEssAnnual*BA19+BM19*BlendedPricePremAnnual*BA19+BN19*BlendedPriceEliteAnnual*BA19</f>
        <v/>
      </c>
      <c r="BZ19" s="12">
        <f>BL7*POWER(1-(AnnualChurn*VLOOKUP(AX19,ChurnSeasonTable,4,FALSE)),1)*BlendedPriceEssAnnual*BA19+BM7*POWER(1-(AnnualChurn*VLOOKUP(AX19,ChurnSeasonTable,4,FALSE)),1)*BlendedPricePremAnnual*BA19+BN7*POWER(1-(AnnualChurn*VLOOKUP(AX19,ChurnSeasonTable,4,FALSE)),1)*BlendedPriceEliteAnnual*BA19</f>
        <v/>
      </c>
      <c r="CA19" s="9">
        <f>BX19+BY19+BZ19</f>
        <v/>
      </c>
      <c r="CB19" s="12">
        <f>SUM(CA8:CA19)</f>
        <v/>
      </c>
      <c r="CC19" s="12">
        <f>OR(CC18,IF(VATAgentMode,SUM($CA8:$CA19)-SUM($CH8:$CH19)&gt;=VATThreshold,SUM($CA8:$CA19)&gt;=VATThreshold))</f>
        <v/>
      </c>
      <c r="CD19" s="9">
        <f>IF(CC19,IF(VATAgentMode,CA19-((CA19-CH19)-(CA19-CH19)/(1+VATRate)),CA19/(1+VATRate)),CA19)</f>
        <v/>
      </c>
      <c r="CE19" s="12">
        <f>CA19-CD19</f>
        <v/>
      </c>
      <c r="CF19" s="12">
        <f>IF(CC19=0,0,IF(AX19=1,SUMPRODUCT(--(($AY$5:$AY19=$AY19-1)*($AX$5:$AX19&gt;=10)*($AX$5:$AX19&lt;=12)),$CE$5:$CE19),IF(AX19=4,SUMPRODUCT(--(($AY$5:$AY19=$AY19)*($AX$5:$AX19&gt;=1)*($AX$5:$AX19&lt;=3)),$CE$5:$CE19),IF(AX19=7,SUMPRODUCT(--(($AY$5:$AY19=$AY19)*($AX$5:$AX19&gt;=4)*($AX$5:$AX19&lt;=6)),$CE$5:$CE19),IF(AX19=10,SUMPRODUCT(--(($AY$5:$AY19=$AY19)*($AX$5:$AX19&gt;=7)*($AX$5:$AX19&lt;=9)),$CE$5:$CE19),0)))))</f>
        <v/>
      </c>
      <c r="CG19" s="12">
        <f>CG18+CE19-CF19</f>
        <v/>
      </c>
      <c r="CH19" s="12">
        <f>IF(ProviderDelay&gt;=1,BO18*BlendedProvPayEss+BP18*BlendedProvPayPrem+BQ18*BlendedProvPayElite+BR18*BlendedProvPayEss+BS18*BlendedProvPayPrem+BT18*BlendedProvPayElite,BO19*BlendedProvPayEss+BP19*BlendedProvPayPrem+BQ19*BlendedProvPayElite+BR19*BlendedProvPayEss+BS19*BlendedProvPayPrem+BT19*BlendedProvPayElite)</f>
        <v/>
      </c>
      <c r="CI19" s="12">
        <f>CA19*PaymentFee</f>
        <v/>
      </c>
      <c r="CJ19" s="12">
        <f>BU19*OpsAI</f>
        <v/>
      </c>
      <c r="CK19" s="12">
        <f>MonthlyFixed</f>
        <v/>
      </c>
      <c r="CL19" s="12">
        <f>BE19*ReferralReward</f>
        <v/>
      </c>
      <c r="CM19" s="12">
        <f>BC19</f>
        <v/>
      </c>
      <c r="CN19" s="9">
        <f>CD19-CH19-CI19-CJ19-CK19-CL19-CM19</f>
        <v/>
      </c>
      <c r="CO19" s="9">
        <f>CO18+CA19-(CH19+CI19+CJ19+CK19+CL19+CM19+CF19)</f>
        <v/>
      </c>
      <c r="CP19" s="12">
        <f>IF(BU19&gt;0,BV19/BU19,0)</f>
        <v/>
      </c>
      <c r="CQ19" s="11">
        <f>IF(BU18&gt;0,MAX(0,(BU18+BF19-BU19)/BU18),0)</f>
        <v/>
      </c>
      <c r="CS19" s="12" t="n">
        <v>15</v>
      </c>
      <c r="CT19" s="12">
        <f>MOD(CS19-1+LaunchMonth-1,12)+1</f>
        <v/>
      </c>
      <c r="CU19" s="12">
        <f>INT((CS19-1+LaunchMonth-1)/12)+1</f>
        <v/>
      </c>
      <c r="CV19" s="12">
        <f>VLOOKUP(CT19,SeasonTable,2,FALSE)</f>
        <v/>
      </c>
      <c r="CW19" s="12">
        <f>(1+InflationRate)^INT((CS19-1)/12)</f>
        <v/>
      </c>
      <c r="CX19" s="11">
        <f>'Sens - Scenarios'!$D$5*VLOOKUP(CT19,ChurnSeasonTable,4,FALSE)</f>
        <v/>
      </c>
      <c r="CY19" s="12">
        <f>MIN(MAX(MktMin13_18,DW18*MktPct13_18),MAX(0,EK18-CashBuffer))</f>
        <v/>
      </c>
      <c r="CZ19" s="12">
        <f>IF(CY19&gt;0,MAX(1,ROUND(CY19/'Sens - Scenarios'!$D$8*CV19,0)),0)</f>
        <v/>
      </c>
      <c r="DA19" s="12">
        <f>IF(CZ19&gt;0,ROUND(CZ19*ReferralMix/(1-ReferralMix),0),0)</f>
        <v/>
      </c>
      <c r="DB19" s="12">
        <f>CZ19+DA19</f>
        <v/>
      </c>
      <c r="DC19" s="12">
        <f>ROUND(DB19*(1-'Sens - Scenarios'!$D$7),0)</f>
        <v/>
      </c>
      <c r="DD19" s="12">
        <f>DB19-DC19</f>
        <v/>
      </c>
      <c r="DE19" s="12">
        <f>ROUND(DC19*EssentialMix,0)</f>
        <v/>
      </c>
      <c r="DF19" s="12">
        <f>ROUND(DC19*PremiumMix,0)</f>
        <v/>
      </c>
      <c r="DG19" s="12">
        <f>DC19-DE19-DF19</f>
        <v/>
      </c>
      <c r="DH19" s="12">
        <f>ROUND(DD19*EssentialMix,0)</f>
        <v/>
      </c>
      <c r="DI19" s="12">
        <f>ROUND(DD19*PremiumMix,0)</f>
        <v/>
      </c>
      <c r="DJ19" s="12">
        <f>DD19-DH19-DI19</f>
        <v/>
      </c>
      <c r="DK19" s="12">
        <f>DE19+DE18+DE17+MAX(0,DK18-DE18-DE17)*(1-CX19)</f>
        <v/>
      </c>
      <c r="DL19" s="12">
        <f>DF19+DF18+DF17+MAX(0,DL18-DF18-DF17)*(1-CX19)</f>
        <v/>
      </c>
      <c r="DM19" s="12">
        <f>DG19+DG18+DG17+MAX(0,DM18-DG18-DG17)*(1-CX19)</f>
        <v/>
      </c>
      <c r="DN19" s="12">
        <f>DN18+DH19-DH7*('Sens - Scenarios'!$D$6*VLOOKUP(CT19,ChurnSeasonTable,4,FALSE))*POWER(1-('Sens - Scenarios'!$D$6*VLOOKUP(CT19,ChurnSeasonTable,4,FALSE)),0)</f>
        <v/>
      </c>
      <c r="DO19" s="12">
        <f>DO18+DI19-DI7*('Sens - Scenarios'!$D$6*VLOOKUP(CT19,ChurnSeasonTable,4,FALSE))*POWER(1-('Sens - Scenarios'!$D$6*VLOOKUP(CT19,ChurnSeasonTable,4,FALSE)),0)</f>
        <v/>
      </c>
      <c r="DP19" s="12">
        <f>DP18+DJ19-DJ7*('Sens - Scenarios'!$D$6*VLOOKUP(CT19,ChurnSeasonTable,4,FALSE))*POWER(1-('Sens - Scenarios'!$D$6*VLOOKUP(CT19,ChurnSeasonTable,4,FALSE)),0)</f>
        <v/>
      </c>
      <c r="DQ19" s="12">
        <f>DK19+DL19+DM19+DN19+DO19+DP19</f>
        <v/>
      </c>
      <c r="DR19" s="9">
        <f>DK19*BlendedPriceEssMonthly*CW19+DL19*BlendedPricePremMonthly*CW19+DM19*BlendedPriceEliteMonthly*CW19+DN19*BlendedPriceEssAnnual*CW19/12+DO19*BlendedPricePremAnnual*CW19/12+DP19*BlendedPriceEliteAnnual*CW19/12</f>
        <v/>
      </c>
      <c r="DS19" s="9">
        <f>DR19*12</f>
        <v/>
      </c>
      <c r="DT19" s="12">
        <f>DK19*BlendedPriceEssMonthly*CW19+DL19*BlendedPricePremMonthly*CW19+DM19*BlendedPriceEliteMonthly*CW19</f>
        <v/>
      </c>
      <c r="DU19" s="12">
        <f>DH19*BlendedPriceEssAnnual*CW19+DI19*BlendedPricePremAnnual*CW19+DJ19*BlendedPriceEliteAnnual*CW19</f>
        <v/>
      </c>
      <c r="DV19" s="12">
        <f>DH7*POWER(1-('Sens - Scenarios'!$D$6*VLOOKUP(CT19,ChurnSeasonTable,4,FALSE)),1)*BlendedPriceEssAnnual*CW19+DI7*POWER(1-('Sens - Scenarios'!$D$6*VLOOKUP(CT19,ChurnSeasonTable,4,FALSE)),1)*BlendedPricePremAnnual*CW19+DJ7*POWER(1-('Sens - Scenarios'!$D$6*VLOOKUP(CT19,ChurnSeasonTable,4,FALSE)),1)*BlendedPriceEliteAnnual*CW19</f>
        <v/>
      </c>
      <c r="DW19" s="9">
        <f>DT19+DU19+DV19</f>
        <v/>
      </c>
      <c r="DX19" s="12">
        <f>SUM(DW8:DW19)</f>
        <v/>
      </c>
      <c r="DY19" s="12">
        <f>OR(DY18,IF(VATAgentMode,SUM($DW8:$DW19)-SUM($ED8:$ED19)&gt;=VATThreshold,SUM($DW8:$DW19)&gt;=VATThreshold))</f>
        <v/>
      </c>
      <c r="DZ19" s="9">
        <f>IF(DY19,IF(VATAgentMode,DW19-((DW19-ED19)-(DW19-ED19)/(1+VATRate)),DW19/(1+VATRate)),DW19)</f>
        <v/>
      </c>
      <c r="EA19" s="12">
        <f>DW19-DZ19</f>
        <v/>
      </c>
      <c r="EB19" s="12">
        <f>IF(DY19=0,0,IF(CT19=1,SUMPRODUCT(--(($CU$5:$CU19=$CU19-1)*($CT$5:$CT19&gt;=10)*($CT$5:$CT19&lt;=12)),$EA$5:$EA19),IF(CT19=4,SUMPRODUCT(--(($CU$5:$CU19=$CU19)*($CT$5:$CT19&gt;=1)*($CT$5:$CT19&lt;=3)),$EA$5:$EA19),IF(CT19=7,SUMPRODUCT(--(($CU$5:$CU19=$CU19)*($CT$5:$CT19&gt;=4)*($CT$5:$CT19&lt;=6)),$EA$5:$EA19),IF(CT19=10,SUMPRODUCT(--(($CU$5:$CU19=$CU19)*($CT$5:$CT19&gt;=7)*($CT$5:$CT19&lt;=9)),$EA$5:$EA19),0)))))</f>
        <v/>
      </c>
      <c r="EC19" s="12">
        <f>EC18+EA19-EB19</f>
        <v/>
      </c>
      <c r="ED19" s="12">
        <f>IF(ProviderDelay&gt;=1,DK18*BlendedProvPayEss+DL18*BlendedProvPayPrem+DM18*BlendedProvPayElite+DN18*BlendedProvPayEss+DO18*BlendedProvPayPrem+DP18*BlendedProvPayElite,DK19*BlendedProvPayEss+DL19*BlendedProvPayPrem+DM19*BlendedProvPayElite+DN19*BlendedProvPayEss+DO19*BlendedProvPayPrem+DP19*BlendedProvPayElite)</f>
        <v/>
      </c>
      <c r="EE19" s="12">
        <f>DW19*PaymentFee</f>
        <v/>
      </c>
      <c r="EF19" s="12">
        <f>DQ19*OpsAI</f>
        <v/>
      </c>
      <c r="EG19" s="12">
        <f>MonthlyFixed</f>
        <v/>
      </c>
      <c r="EH19" s="12">
        <f>DA19*ReferralReward</f>
        <v/>
      </c>
      <c r="EI19" s="12">
        <f>CY19</f>
        <v/>
      </c>
      <c r="EJ19" s="9">
        <f>DZ19-ED19-EE19-EF19-EG19-EH19-EI19</f>
        <v/>
      </c>
      <c r="EK19" s="9">
        <f>EK18+DW19-(ED19+EE19+EF19+EG19+EH19+EI19+EB19)</f>
        <v/>
      </c>
      <c r="EL19" s="12">
        <f>IF(DQ19&gt;0,DR19/DQ19,0)</f>
        <v/>
      </c>
      <c r="EM19" s="11">
        <f>IF(DQ18&gt;0,MAX(0,(DQ18+DB19-DQ19)/DQ18),0)</f>
        <v/>
      </c>
      <c r="EO19" s="12" t="n">
        <v>15</v>
      </c>
      <c r="EP19" s="12">
        <f>MOD(EO19-1+LaunchMonth-1,12)+1</f>
        <v/>
      </c>
      <c r="EQ19" s="12">
        <f>INT((EO19-1+LaunchMonth-1)/12)+1</f>
        <v/>
      </c>
      <c r="ER19" s="12">
        <f>VLOOKUP(EP19,SeasonTable,2,FALSE)</f>
        <v/>
      </c>
      <c r="ES19" s="12">
        <f>(1+InflationRate)^INT((EO19-1)/12)</f>
        <v/>
      </c>
      <c r="ET19" s="11">
        <f>'Sens - Churn'!$A$13*VLOOKUP(EP19,ChurnSeasonTable,4,FALSE)</f>
        <v/>
      </c>
      <c r="EU19" s="12">
        <f>MIN(MAX(MktMin13_18,FS18*MktPct13_18),MAX(0,GG18-CashBuffer))</f>
        <v/>
      </c>
      <c r="EV19" s="12">
        <f>IF(EU19&gt;0,MAX(1,ROUND(EU19/CAC*ER19,0)),0)</f>
        <v/>
      </c>
      <c r="EW19" s="12">
        <f>IF(EV19&gt;0,ROUND(EV19*ReferralMix/(1-ReferralMix),0),0)</f>
        <v/>
      </c>
      <c r="EX19" s="12">
        <f>EV19+EW19</f>
        <v/>
      </c>
      <c r="EY19" s="12">
        <f>ROUND(EX19*(1-AnnualMix),0)</f>
        <v/>
      </c>
      <c r="EZ19" s="12">
        <f>EX19-EY19</f>
        <v/>
      </c>
      <c r="FA19" s="12">
        <f>ROUND(EY19*EssentialMix,0)</f>
        <v/>
      </c>
      <c r="FB19" s="12">
        <f>ROUND(EY19*PremiumMix,0)</f>
        <v/>
      </c>
      <c r="FC19" s="12">
        <f>EY19-FA19-FB19</f>
        <v/>
      </c>
      <c r="FD19" s="12">
        <f>ROUND(EZ19*EssentialMix,0)</f>
        <v/>
      </c>
      <c r="FE19" s="12">
        <f>ROUND(EZ19*PremiumMix,0)</f>
        <v/>
      </c>
      <c r="FF19" s="12">
        <f>EZ19-FD19-FE19</f>
        <v/>
      </c>
      <c r="FG19" s="12">
        <f>FA19+FA18+FA17+MAX(0,FG18-FA18-FA17)*(1-ET19)</f>
        <v/>
      </c>
      <c r="FH19" s="12">
        <f>FB19+FB18+FB17+MAX(0,FH18-FB18-FB17)*(1-ET19)</f>
        <v/>
      </c>
      <c r="FI19" s="12">
        <f>FC19+FC18+FC17+MAX(0,FI18-FC18-FC17)*(1-ET19)</f>
        <v/>
      </c>
      <c r="FJ19" s="12">
        <f>FJ18+FD19-FD7*(AnnualChurn*VLOOKUP(EP19,ChurnSeasonTable,4,FALSE))*POWER(1-(AnnualChurn*VLOOKUP(EP19,ChurnSeasonTable,4,FALSE)),0)</f>
        <v/>
      </c>
      <c r="FK19" s="12">
        <f>FK18+FE19-FE7*(AnnualChurn*VLOOKUP(EP19,ChurnSeasonTable,4,FALSE))*POWER(1-(AnnualChurn*VLOOKUP(EP19,ChurnSeasonTable,4,FALSE)),0)</f>
        <v/>
      </c>
      <c r="FL19" s="12">
        <f>FL18+FF19-FF7*(AnnualChurn*VLOOKUP(EP19,ChurnSeasonTable,4,FALSE))*POWER(1-(AnnualChurn*VLOOKUP(EP19,ChurnSeasonTable,4,FALSE)),0)</f>
        <v/>
      </c>
      <c r="FM19" s="12">
        <f>FG19+FH19+FI19+FJ19+FK19+FL19</f>
        <v/>
      </c>
      <c r="FN19" s="9">
        <f>FG19*BlendedPriceEssMonthly*ES19+FH19*BlendedPricePremMonthly*ES19+FI19*BlendedPriceEliteMonthly*ES19+FJ19*BlendedPriceEssAnnual*ES19/12+FK19*BlendedPricePremAnnual*ES19/12+FL19*BlendedPriceEliteAnnual*ES19/12</f>
        <v/>
      </c>
      <c r="FO19" s="9">
        <f>FN19*12</f>
        <v/>
      </c>
      <c r="FP19" s="12">
        <f>FG19*BlendedPriceEssMonthly*ES19+FH19*BlendedPricePremMonthly*ES19+FI19*BlendedPriceEliteMonthly*ES19</f>
        <v/>
      </c>
      <c r="FQ19" s="12">
        <f>FD19*BlendedPriceEssAnnual*ES19+FE19*BlendedPricePremAnnual*ES19+FF19*BlendedPriceEliteAnnual*ES19</f>
        <v/>
      </c>
      <c r="FR19" s="12">
        <f>FD7*POWER(1-(AnnualChurn*VLOOKUP(EP19,ChurnSeasonTable,4,FALSE)),1)*BlendedPriceEssAnnual*ES19+FE7*POWER(1-(AnnualChurn*VLOOKUP(EP19,ChurnSeasonTable,4,FALSE)),1)*BlendedPricePremAnnual*ES19+FF7*POWER(1-(AnnualChurn*VLOOKUP(EP19,ChurnSeasonTable,4,FALSE)),1)*BlendedPriceEliteAnnual*ES19</f>
        <v/>
      </c>
      <c r="FS19" s="9">
        <f>FP19+FQ19+FR19</f>
        <v/>
      </c>
      <c r="FT19" s="12">
        <f>SUM(FS8:FS19)</f>
        <v/>
      </c>
      <c r="FU19" s="12">
        <f>OR(FU18,IF(VATAgentMode,SUM($FS8:$FS19)-SUM($FZ8:$FZ19)&gt;=VATThreshold,SUM($FS8:$FS19)&gt;=VATThreshold))</f>
        <v/>
      </c>
      <c r="FV19" s="9">
        <f>IF(FU19,IF(VATAgentMode,FS19-((FS19-FZ19)-(FS19-FZ19)/(1+VATRate)),FS19/(1+VATRate)),FS19)</f>
        <v/>
      </c>
      <c r="FW19" s="12">
        <f>FS19-FV19</f>
        <v/>
      </c>
      <c r="FX19" s="12">
        <f>IF(FU19=0,0,IF(EP19=1,SUMPRODUCT(--(($EQ$5:$EQ19=$EQ19-1)*($EP$5:$EP19&gt;=10)*($EP$5:$EP19&lt;=12)),$FW$5:$FW19),IF(EP19=4,SUMPRODUCT(--(($EQ$5:$EQ19=$EQ19)*($EP$5:$EP19&gt;=1)*($EP$5:$EP19&lt;=3)),$FW$5:$FW19),IF(EP19=7,SUMPRODUCT(--(($EQ$5:$EQ19=$EQ19)*($EP$5:$EP19&gt;=4)*($EP$5:$EP19&lt;=6)),$FW$5:$FW19),IF(EP19=10,SUMPRODUCT(--(($EQ$5:$EQ19=$EQ19)*($EP$5:$EP19&gt;=7)*($EP$5:$EP19&lt;=9)),$FW$5:$FW19),0)))))</f>
        <v/>
      </c>
      <c r="FY19" s="12">
        <f>FY18+FW19-FX19</f>
        <v/>
      </c>
      <c r="FZ19" s="12">
        <f>IF(ProviderDelay&gt;=1,FG18*BlendedProvPayEss+FH18*BlendedProvPayPrem+FI18*BlendedProvPayElite+FJ18*BlendedProvPayEss+FK18*BlendedProvPayPrem+FL18*BlendedProvPayElite,FG19*BlendedProvPayEss+FH19*BlendedProvPayPrem+FI19*BlendedProvPayElite+FJ19*BlendedProvPayEss+FK19*BlendedProvPayPrem+FL19*BlendedProvPayElite)</f>
        <v/>
      </c>
      <c r="GA19" s="12">
        <f>FS19*PaymentFee</f>
        <v/>
      </c>
      <c r="GB19" s="12">
        <f>FM19*OpsAI</f>
        <v/>
      </c>
      <c r="GC19" s="12">
        <f>MonthlyFixed</f>
        <v/>
      </c>
      <c r="GD19" s="12">
        <f>EW19*ReferralReward</f>
        <v/>
      </c>
      <c r="GE19" s="12">
        <f>EU19</f>
        <v/>
      </c>
      <c r="GF19" s="9">
        <f>FV19-FZ19-GA19-GB19-GC19-GD19-GE19</f>
        <v/>
      </c>
      <c r="GG19" s="9">
        <f>GG18+FS19-(FZ19+GA19+GB19+GC19+GD19+GE19+FX19)</f>
        <v/>
      </c>
      <c r="GH19" s="12">
        <f>IF(FM19&gt;0,FN19/FM19,0)</f>
        <v/>
      </c>
      <c r="GI19" s="11">
        <f>IF(FM18&gt;0,MAX(0,(FM18+EX19-FM19)/FM18),0)</f>
        <v/>
      </c>
      <c r="GK19" s="12" t="n">
        <v>15</v>
      </c>
      <c r="GL19" s="12">
        <f>MOD(GK19-1+LaunchMonth-1,12)+1</f>
        <v/>
      </c>
      <c r="GM19" s="12">
        <f>INT((GK19-1+LaunchMonth-1)/12)+1</f>
        <v/>
      </c>
      <c r="GN19" s="12">
        <f>VLOOKUP(GL19,SeasonTable,2,FALSE)</f>
        <v/>
      </c>
      <c r="GO19" s="12">
        <f>(1+InflationRate)^INT((GK19-1)/12)</f>
        <v/>
      </c>
      <c r="GP19" s="11">
        <f>'Sens - Churn'!$A$14*VLOOKUP(GL19,ChurnSeasonTable,4,FALSE)</f>
        <v/>
      </c>
      <c r="GQ19" s="12">
        <f>MIN(MAX(MktMin13_18,HO18*MktPct13_18),MAX(0,IC18-CashBuffer))</f>
        <v/>
      </c>
      <c r="GR19" s="12">
        <f>IF(GQ19&gt;0,MAX(1,ROUND(GQ19/CAC*GN19,0)),0)</f>
        <v/>
      </c>
      <c r="GS19" s="12">
        <f>IF(GR19&gt;0,ROUND(GR19*ReferralMix/(1-ReferralMix),0),0)</f>
        <v/>
      </c>
      <c r="GT19" s="12">
        <f>GR19+GS19</f>
        <v/>
      </c>
      <c r="GU19" s="12">
        <f>ROUND(GT19*(1-AnnualMix),0)</f>
        <v/>
      </c>
      <c r="GV19" s="12">
        <f>GT19-GU19</f>
        <v/>
      </c>
      <c r="GW19" s="12">
        <f>ROUND(GU19*EssentialMix,0)</f>
        <v/>
      </c>
      <c r="GX19" s="12">
        <f>ROUND(GU19*PremiumMix,0)</f>
        <v/>
      </c>
      <c r="GY19" s="12">
        <f>GU19-GW19-GX19</f>
        <v/>
      </c>
      <c r="GZ19" s="12">
        <f>ROUND(GV19*EssentialMix,0)</f>
        <v/>
      </c>
      <c r="HA19" s="12">
        <f>ROUND(GV19*PremiumMix,0)</f>
        <v/>
      </c>
      <c r="HB19" s="12">
        <f>GV19-GZ19-HA19</f>
        <v/>
      </c>
      <c r="HC19" s="12">
        <f>GW19+GW18+GW17+MAX(0,HC18-GW18-GW17)*(1-GP19)</f>
        <v/>
      </c>
      <c r="HD19" s="12">
        <f>GX19+GX18+GX17+MAX(0,HD18-GX18-GX17)*(1-GP19)</f>
        <v/>
      </c>
      <c r="HE19" s="12">
        <f>GY19+GY18+GY17+MAX(0,HE18-GY18-GY17)*(1-GP19)</f>
        <v/>
      </c>
      <c r="HF19" s="12">
        <f>HF18+GZ19-GZ7*(AnnualChurn*VLOOKUP(GL19,ChurnSeasonTable,4,FALSE))*POWER(1-(AnnualChurn*VLOOKUP(GL19,ChurnSeasonTable,4,FALSE)),0)</f>
        <v/>
      </c>
      <c r="HG19" s="12">
        <f>HG18+HA19-HA7*(AnnualChurn*VLOOKUP(GL19,ChurnSeasonTable,4,FALSE))*POWER(1-(AnnualChurn*VLOOKUP(GL19,ChurnSeasonTable,4,FALSE)),0)</f>
        <v/>
      </c>
      <c r="HH19" s="12">
        <f>HH18+HB19-HB7*(AnnualChurn*VLOOKUP(GL19,ChurnSeasonTable,4,FALSE))*POWER(1-(AnnualChurn*VLOOKUP(GL19,ChurnSeasonTable,4,FALSE)),0)</f>
        <v/>
      </c>
      <c r="HI19" s="12">
        <f>HC19+HD19+HE19+HF19+HG19+HH19</f>
        <v/>
      </c>
      <c r="HJ19" s="9">
        <f>HC19*BlendedPriceEssMonthly*GO19+HD19*BlendedPricePremMonthly*GO19+HE19*BlendedPriceEliteMonthly*GO19+HF19*BlendedPriceEssAnnual*GO19/12+HG19*BlendedPricePremAnnual*GO19/12+HH19*BlendedPriceEliteAnnual*GO19/12</f>
        <v/>
      </c>
      <c r="HK19" s="9">
        <f>HJ19*12</f>
        <v/>
      </c>
      <c r="HL19" s="12">
        <f>HC19*BlendedPriceEssMonthly*GO19+HD19*BlendedPricePremMonthly*GO19+HE19*BlendedPriceEliteMonthly*GO19</f>
        <v/>
      </c>
      <c r="HM19" s="12">
        <f>GZ19*BlendedPriceEssAnnual*GO19+HA19*BlendedPricePremAnnual*GO19+HB19*BlendedPriceEliteAnnual*GO19</f>
        <v/>
      </c>
      <c r="HN19" s="12">
        <f>GZ7*POWER(1-(AnnualChurn*VLOOKUP(GL19,ChurnSeasonTable,4,FALSE)),1)*BlendedPriceEssAnnual*GO19+HA7*POWER(1-(AnnualChurn*VLOOKUP(GL19,ChurnSeasonTable,4,FALSE)),1)*BlendedPricePremAnnual*GO19+HB7*POWER(1-(AnnualChurn*VLOOKUP(GL19,ChurnSeasonTable,4,FALSE)),1)*BlendedPriceEliteAnnual*GO19</f>
        <v/>
      </c>
      <c r="HO19" s="9">
        <f>HL19+HM19+HN19</f>
        <v/>
      </c>
      <c r="HP19" s="12">
        <f>SUM(HO8:HO19)</f>
        <v/>
      </c>
      <c r="HQ19" s="12">
        <f>OR(HQ18,IF(VATAgentMode,SUM($HO8:$HO19)-SUM($HV8:$HV19)&gt;=VATThreshold,SUM($HO8:$HO19)&gt;=VATThreshold))</f>
        <v/>
      </c>
      <c r="HR19" s="9">
        <f>IF(HQ19,IF(VATAgentMode,HO19-((HO19-HV19)-(HO19-HV19)/(1+VATRate)),HO19/(1+VATRate)),HO19)</f>
        <v/>
      </c>
      <c r="HS19" s="12">
        <f>HO19-HR19</f>
        <v/>
      </c>
      <c r="HT19" s="12">
        <f>IF(HQ19=0,0,IF(GL19=1,SUMPRODUCT(--(($GM$5:$GM19=$GM19-1)*($GL$5:$GL19&gt;=10)*($GL$5:$GL19&lt;=12)),$HS$5:$HS19),IF(GL19=4,SUMPRODUCT(--(($GM$5:$GM19=$GM19)*($GL$5:$GL19&gt;=1)*($GL$5:$GL19&lt;=3)),$HS$5:$HS19),IF(GL19=7,SUMPRODUCT(--(($GM$5:$GM19=$GM19)*($GL$5:$GL19&gt;=4)*($GL$5:$GL19&lt;=6)),$HS$5:$HS19),IF(GL19=10,SUMPRODUCT(--(($GM$5:$GM19=$GM19)*($GL$5:$GL19&gt;=7)*($GL$5:$GL19&lt;=9)),$HS$5:$HS19),0)))))</f>
        <v/>
      </c>
      <c r="HU19" s="12">
        <f>HU18+HS19-HT19</f>
        <v/>
      </c>
      <c r="HV19" s="12">
        <f>IF(ProviderDelay&gt;=1,HC18*BlendedProvPayEss+HD18*BlendedProvPayPrem+HE18*BlendedProvPayElite+HF18*BlendedProvPayEss+HG18*BlendedProvPayPrem+HH18*BlendedProvPayElite,HC19*BlendedProvPayEss+HD19*BlendedProvPayPrem+HE19*BlendedProvPayElite+HF19*BlendedProvPayEss+HG19*BlendedProvPayPrem+HH19*BlendedProvPayElite)</f>
        <v/>
      </c>
      <c r="HW19" s="12">
        <f>HO19*PaymentFee</f>
        <v/>
      </c>
      <c r="HX19" s="12">
        <f>HI19*OpsAI</f>
        <v/>
      </c>
      <c r="HY19" s="12">
        <f>MonthlyFixed</f>
        <v/>
      </c>
      <c r="HZ19" s="12">
        <f>GS19*ReferralReward</f>
        <v/>
      </c>
      <c r="IA19" s="12">
        <f>GQ19</f>
        <v/>
      </c>
      <c r="IB19" s="9">
        <f>HR19-HV19-HW19-HX19-HY19-HZ19-IA19</f>
        <v/>
      </c>
      <c r="IC19" s="9">
        <f>IC18+HO19-(HV19+HW19+HX19+HY19+HZ19+IA19+HT19)</f>
        <v/>
      </c>
      <c r="ID19" s="12">
        <f>IF(HI19&gt;0,HJ19/HI19,0)</f>
        <v/>
      </c>
      <c r="IE19" s="11">
        <f>IF(HI18&gt;0,MAX(0,(HI18+GT19-HI19)/HI18),0)</f>
        <v/>
      </c>
      <c r="IG19" s="12" t="n">
        <v>15</v>
      </c>
      <c r="IH19" s="12">
        <f>MOD(IG19-1+LaunchMonth-1,12)+1</f>
        <v/>
      </c>
      <c r="II19" s="12">
        <f>INT((IG19-1+LaunchMonth-1)/12)+1</f>
        <v/>
      </c>
      <c r="IJ19" s="12">
        <f>VLOOKUP(IH19,SeasonTable,2,FALSE)</f>
        <v/>
      </c>
      <c r="IK19" s="12">
        <f>(1+InflationRate)^INT((IG19-1)/12)</f>
        <v/>
      </c>
      <c r="IL19" s="11">
        <f>'Sens - Churn'!$A$15*VLOOKUP(IH19,ChurnSeasonTable,4,FALSE)</f>
        <v/>
      </c>
      <c r="IM19" s="12">
        <f>MIN(MAX(MktMin13_18,JK18*MktPct13_18),MAX(0,JY18-CashBuffer))</f>
        <v/>
      </c>
      <c r="IN19" s="12">
        <f>IF(IM19&gt;0,MAX(1,ROUND(IM19/CAC*IJ19,0)),0)</f>
        <v/>
      </c>
      <c r="IO19" s="12">
        <f>IF(IN19&gt;0,ROUND(IN19*ReferralMix/(1-ReferralMix),0),0)</f>
        <v/>
      </c>
      <c r="IP19" s="12">
        <f>IN19+IO19</f>
        <v/>
      </c>
      <c r="IQ19" s="12">
        <f>ROUND(IP19*(1-AnnualMix),0)</f>
        <v/>
      </c>
      <c r="IR19" s="12">
        <f>IP19-IQ19</f>
        <v/>
      </c>
      <c r="IS19" s="12">
        <f>ROUND(IQ19*EssentialMix,0)</f>
        <v/>
      </c>
      <c r="IT19" s="12">
        <f>ROUND(IQ19*PremiumMix,0)</f>
        <v/>
      </c>
      <c r="IU19" s="12">
        <f>IQ19-IS19-IT19</f>
        <v/>
      </c>
      <c r="IV19" s="12">
        <f>ROUND(IR19*EssentialMix,0)</f>
        <v/>
      </c>
      <c r="IW19" s="12">
        <f>ROUND(IR19*PremiumMix,0)</f>
        <v/>
      </c>
      <c r="IX19" s="12">
        <f>IR19-IV19-IW19</f>
        <v/>
      </c>
      <c r="IY19" s="12">
        <f>IS19+IS18+IS17+MAX(0,IY18-IS18-IS17)*(1-IL19)</f>
        <v/>
      </c>
      <c r="IZ19" s="12">
        <f>IT19+IT18+IT17+MAX(0,IZ18-IT18-IT17)*(1-IL19)</f>
        <v/>
      </c>
      <c r="JA19" s="12">
        <f>IU19+IU18+IU17+MAX(0,JA18-IU18-IU17)*(1-IL19)</f>
        <v/>
      </c>
      <c r="JB19" s="12">
        <f>JB18+IV19-IV7*(AnnualChurn*VLOOKUP(IH19,ChurnSeasonTable,4,FALSE))*POWER(1-(AnnualChurn*VLOOKUP(IH19,ChurnSeasonTable,4,FALSE)),0)</f>
        <v/>
      </c>
      <c r="JC19" s="12">
        <f>JC18+IW19-IW7*(AnnualChurn*VLOOKUP(IH19,ChurnSeasonTable,4,FALSE))*POWER(1-(AnnualChurn*VLOOKUP(IH19,ChurnSeasonTable,4,FALSE)),0)</f>
        <v/>
      </c>
      <c r="JD19" s="12">
        <f>JD18+IX19-IX7*(AnnualChurn*VLOOKUP(IH19,ChurnSeasonTable,4,FALSE))*POWER(1-(AnnualChurn*VLOOKUP(IH19,ChurnSeasonTable,4,FALSE)),0)</f>
        <v/>
      </c>
      <c r="JE19" s="12">
        <f>IY19+IZ19+JA19+JB19+JC19+JD19</f>
        <v/>
      </c>
      <c r="JF19" s="9">
        <f>IY19*BlendedPriceEssMonthly*IK19+IZ19*BlendedPricePremMonthly*IK19+JA19*BlendedPriceEliteMonthly*IK19+JB19*BlendedPriceEssAnnual*IK19/12+JC19*BlendedPricePremAnnual*IK19/12+JD19*BlendedPriceEliteAnnual*IK19/12</f>
        <v/>
      </c>
      <c r="JG19" s="9">
        <f>JF19*12</f>
        <v/>
      </c>
      <c r="JH19" s="12">
        <f>IY19*BlendedPriceEssMonthly*IK19+IZ19*BlendedPricePremMonthly*IK19+JA19*BlendedPriceEliteMonthly*IK19</f>
        <v/>
      </c>
      <c r="JI19" s="12">
        <f>IV19*BlendedPriceEssAnnual*IK19+IW19*BlendedPricePremAnnual*IK19+IX19*BlendedPriceEliteAnnual*IK19</f>
        <v/>
      </c>
      <c r="JJ19" s="12">
        <f>IV7*POWER(1-(AnnualChurn*VLOOKUP(IH19,ChurnSeasonTable,4,FALSE)),1)*BlendedPriceEssAnnual*IK19+IW7*POWER(1-(AnnualChurn*VLOOKUP(IH19,ChurnSeasonTable,4,FALSE)),1)*BlendedPricePremAnnual*IK19+IX7*POWER(1-(AnnualChurn*VLOOKUP(IH19,ChurnSeasonTable,4,FALSE)),1)*BlendedPriceEliteAnnual*IK19</f>
        <v/>
      </c>
      <c r="JK19" s="9">
        <f>JH19+JI19+JJ19</f>
        <v/>
      </c>
      <c r="JL19" s="12">
        <f>SUM(JK8:JK19)</f>
        <v/>
      </c>
      <c r="JM19" s="12">
        <f>OR(JM18,IF(VATAgentMode,SUM($JK8:$JK19)-SUM($JR8:$JR19)&gt;=VATThreshold,SUM($JK8:$JK19)&gt;=VATThreshold))</f>
        <v/>
      </c>
      <c r="JN19" s="9">
        <f>IF(JM19,IF(VATAgentMode,JK19-((JK19-JR19)-(JK19-JR19)/(1+VATRate)),JK19/(1+VATRate)),JK19)</f>
        <v/>
      </c>
      <c r="JO19" s="12">
        <f>JK19-JN19</f>
        <v/>
      </c>
      <c r="JP19" s="12">
        <f>IF(JM19=0,0,IF(IH19=1,SUMPRODUCT(--(($II$5:$II19=$II19-1)*($IH$5:$IH19&gt;=10)*($IH$5:$IH19&lt;=12)),$JO$5:$JO19),IF(IH19=4,SUMPRODUCT(--(($II$5:$II19=$II19)*($IH$5:$IH19&gt;=1)*($IH$5:$IH19&lt;=3)),$JO$5:$JO19),IF(IH19=7,SUMPRODUCT(--(($II$5:$II19=$II19)*($IH$5:$IH19&gt;=4)*($IH$5:$IH19&lt;=6)),$JO$5:$JO19),IF(IH19=10,SUMPRODUCT(--(($II$5:$II19=$II19)*($IH$5:$IH19&gt;=7)*($IH$5:$IH19&lt;=9)),$JO$5:$JO19),0)))))</f>
        <v/>
      </c>
      <c r="JQ19" s="12">
        <f>JQ18+JO19-JP19</f>
        <v/>
      </c>
      <c r="JR19" s="12">
        <f>IF(ProviderDelay&gt;=1,IY18*BlendedProvPayEss+IZ18*BlendedProvPayPrem+JA18*BlendedProvPayElite+JB18*BlendedProvPayEss+JC18*BlendedProvPayPrem+JD18*BlendedProvPayElite,IY19*BlendedProvPayEss+IZ19*BlendedProvPayPrem+JA19*BlendedProvPayElite+JB19*BlendedProvPayEss+JC19*BlendedProvPayPrem+JD19*BlendedProvPayElite)</f>
        <v/>
      </c>
      <c r="JS19" s="12">
        <f>JK19*PaymentFee</f>
        <v/>
      </c>
      <c r="JT19" s="12">
        <f>JE19*OpsAI</f>
        <v/>
      </c>
      <c r="JU19" s="12">
        <f>MonthlyFixed</f>
        <v/>
      </c>
      <c r="JV19" s="12">
        <f>IO19*ReferralReward</f>
        <v/>
      </c>
      <c r="JW19" s="12">
        <f>IM19</f>
        <v/>
      </c>
      <c r="JX19" s="9">
        <f>JN19-JR19-JS19-JT19-JU19-JV19-JW19</f>
        <v/>
      </c>
      <c r="JY19" s="9">
        <f>JY18+JK19-(JR19+JS19+JT19+JU19+JV19+JW19+JP19)</f>
        <v/>
      </c>
      <c r="JZ19" s="12">
        <f>IF(JE19&gt;0,JF19/JE19,0)</f>
        <v/>
      </c>
      <c r="KA19" s="11">
        <f>IF(JE18&gt;0,MAX(0,(JE18+IP19-JE19)/JE18),0)</f>
        <v/>
      </c>
      <c r="KC19" s="12" t="n">
        <v>15</v>
      </c>
      <c r="KD19" s="12">
        <f>MOD(KC19-1+LaunchMonth-1,12)+1</f>
        <v/>
      </c>
      <c r="KE19" s="12">
        <f>INT((KC19-1+LaunchMonth-1)/12)+1</f>
        <v/>
      </c>
      <c r="KF19" s="12">
        <f>VLOOKUP(KD19,SeasonTable,2,FALSE)</f>
        <v/>
      </c>
      <c r="KG19" s="12">
        <f>(1+InflationRate)^INT((KC19-1)/12)</f>
        <v/>
      </c>
      <c r="KH19" s="11">
        <f>'Sens - Churn'!$A$16*VLOOKUP(KD19,ChurnSeasonTable,4,FALSE)</f>
        <v/>
      </c>
      <c r="KI19" s="12">
        <f>MIN(MAX(MktMin13_18,LG18*MktPct13_18),MAX(0,LU18-CashBuffer))</f>
        <v/>
      </c>
      <c r="KJ19" s="12">
        <f>IF(KI19&gt;0,MAX(1,ROUND(KI19/CAC*KF19,0)),0)</f>
        <v/>
      </c>
      <c r="KK19" s="12">
        <f>IF(KJ19&gt;0,ROUND(KJ19*ReferralMix/(1-ReferralMix),0),0)</f>
        <v/>
      </c>
      <c r="KL19" s="12">
        <f>KJ19+KK19</f>
        <v/>
      </c>
      <c r="KM19" s="12">
        <f>ROUND(KL19*(1-AnnualMix),0)</f>
        <v/>
      </c>
      <c r="KN19" s="12">
        <f>KL19-KM19</f>
        <v/>
      </c>
      <c r="KO19" s="12">
        <f>ROUND(KM19*EssentialMix,0)</f>
        <v/>
      </c>
      <c r="KP19" s="12">
        <f>ROUND(KM19*PremiumMix,0)</f>
        <v/>
      </c>
      <c r="KQ19" s="12">
        <f>KM19-KO19-KP19</f>
        <v/>
      </c>
      <c r="KR19" s="12">
        <f>ROUND(KN19*EssentialMix,0)</f>
        <v/>
      </c>
      <c r="KS19" s="12">
        <f>ROUND(KN19*PremiumMix,0)</f>
        <v/>
      </c>
      <c r="KT19" s="12">
        <f>KN19-KR19-KS19</f>
        <v/>
      </c>
      <c r="KU19" s="12">
        <f>KO19+KO18+KO17+MAX(0,KU18-KO18-KO17)*(1-KH19)</f>
        <v/>
      </c>
      <c r="KV19" s="12">
        <f>KP19+KP18+KP17+MAX(0,KV18-KP18-KP17)*(1-KH19)</f>
        <v/>
      </c>
      <c r="KW19" s="12">
        <f>KQ19+KQ18+KQ17+MAX(0,KW18-KQ18-KQ17)*(1-KH19)</f>
        <v/>
      </c>
      <c r="KX19" s="12">
        <f>KX18+KR19-KR7*(AnnualChurn*VLOOKUP(KD19,ChurnSeasonTable,4,FALSE))*POWER(1-(AnnualChurn*VLOOKUP(KD19,ChurnSeasonTable,4,FALSE)),0)</f>
        <v/>
      </c>
      <c r="KY19" s="12">
        <f>KY18+KS19-KS7*(AnnualChurn*VLOOKUP(KD19,ChurnSeasonTable,4,FALSE))*POWER(1-(AnnualChurn*VLOOKUP(KD19,ChurnSeasonTable,4,FALSE)),0)</f>
        <v/>
      </c>
      <c r="KZ19" s="12">
        <f>KZ18+KT19-KT7*(AnnualChurn*VLOOKUP(KD19,ChurnSeasonTable,4,FALSE))*POWER(1-(AnnualChurn*VLOOKUP(KD19,ChurnSeasonTable,4,FALSE)),0)</f>
        <v/>
      </c>
      <c r="LA19" s="12">
        <f>KU19+KV19+KW19+KX19+KY19+KZ19</f>
        <v/>
      </c>
      <c r="LB19" s="9">
        <f>KU19*BlendedPriceEssMonthly*KG19+KV19*BlendedPricePremMonthly*KG19+KW19*BlendedPriceEliteMonthly*KG19+KX19*BlendedPriceEssAnnual*KG19/12+KY19*BlendedPricePremAnnual*KG19/12+KZ19*BlendedPriceEliteAnnual*KG19/12</f>
        <v/>
      </c>
      <c r="LC19" s="9">
        <f>LB19*12</f>
        <v/>
      </c>
      <c r="LD19" s="12">
        <f>KU19*BlendedPriceEssMonthly*KG19+KV19*BlendedPricePremMonthly*KG19+KW19*BlendedPriceEliteMonthly*KG19</f>
        <v/>
      </c>
      <c r="LE19" s="12">
        <f>KR19*BlendedPriceEssAnnual*KG19+KS19*BlendedPricePremAnnual*KG19+KT19*BlendedPriceEliteAnnual*KG19</f>
        <v/>
      </c>
      <c r="LF19" s="12">
        <f>KR7*POWER(1-(AnnualChurn*VLOOKUP(KD19,ChurnSeasonTable,4,FALSE)),1)*BlendedPriceEssAnnual*KG19+KS7*POWER(1-(AnnualChurn*VLOOKUP(KD19,ChurnSeasonTable,4,FALSE)),1)*BlendedPricePremAnnual*KG19+KT7*POWER(1-(AnnualChurn*VLOOKUP(KD19,ChurnSeasonTable,4,FALSE)),1)*BlendedPriceEliteAnnual*KG19</f>
        <v/>
      </c>
      <c r="LG19" s="9">
        <f>LD19+LE19+LF19</f>
        <v/>
      </c>
      <c r="LH19" s="12">
        <f>SUM(LG8:LG19)</f>
        <v/>
      </c>
      <c r="LI19" s="12">
        <f>OR(LI18,IF(VATAgentMode,SUM($LG8:$LG19)-SUM($LN8:$LN19)&gt;=VATThreshold,SUM($LG8:$LG19)&gt;=VATThreshold))</f>
        <v/>
      </c>
      <c r="LJ19" s="9">
        <f>IF(LI19,IF(VATAgentMode,LG19-((LG19-LN19)-(LG19-LN19)/(1+VATRate)),LG19/(1+VATRate)),LG19)</f>
        <v/>
      </c>
      <c r="LK19" s="12">
        <f>LG19-LJ19</f>
        <v/>
      </c>
      <c r="LL19" s="12">
        <f>IF(LI19=0,0,IF(KD19=1,SUMPRODUCT(--(($KE$5:$KE19=$KE19-1)*($KD$5:$KD19&gt;=10)*($KD$5:$KD19&lt;=12)),$LK$5:$LK19),IF(KD19=4,SUMPRODUCT(--(($KE$5:$KE19=$KE19)*($KD$5:$KD19&gt;=1)*($KD$5:$KD19&lt;=3)),$LK$5:$LK19),IF(KD19=7,SUMPRODUCT(--(($KE$5:$KE19=$KE19)*($KD$5:$KD19&gt;=4)*($KD$5:$KD19&lt;=6)),$LK$5:$LK19),IF(KD19=10,SUMPRODUCT(--(($KE$5:$KE19=$KE19)*($KD$5:$KD19&gt;=7)*($KD$5:$KD19&lt;=9)),$LK$5:$LK19),0)))))</f>
        <v/>
      </c>
      <c r="LM19" s="12">
        <f>LM18+LK19-LL19</f>
        <v/>
      </c>
      <c r="LN19" s="12">
        <f>IF(ProviderDelay&gt;=1,KU18*BlendedProvPayEss+KV18*BlendedProvPayPrem+KW18*BlendedProvPayElite+KX18*BlendedProvPayEss+KY18*BlendedProvPayPrem+KZ18*BlendedProvPayElite,KU19*BlendedProvPayEss+KV19*BlendedProvPayPrem+KW19*BlendedProvPayElite+KX19*BlendedProvPayEss+KY19*BlendedProvPayPrem+KZ19*BlendedProvPayElite)</f>
        <v/>
      </c>
      <c r="LO19" s="12">
        <f>LG19*PaymentFee</f>
        <v/>
      </c>
      <c r="LP19" s="12">
        <f>LA19*OpsAI</f>
        <v/>
      </c>
      <c r="LQ19" s="12">
        <f>MonthlyFixed</f>
        <v/>
      </c>
      <c r="LR19" s="12">
        <f>KK19*ReferralReward</f>
        <v/>
      </c>
      <c r="LS19" s="12">
        <f>KI19</f>
        <v/>
      </c>
      <c r="LT19" s="9">
        <f>LJ19-LN19-LO19-LP19-LQ19-LR19-LS19</f>
        <v/>
      </c>
      <c r="LU19" s="9">
        <f>LU18+LG19-(LN19+LO19+LP19+LQ19+LR19+LS19+LL19)</f>
        <v/>
      </c>
      <c r="LV19" s="12">
        <f>IF(LA19&gt;0,LB19/LA19,0)</f>
        <v/>
      </c>
      <c r="LW19" s="11">
        <f>IF(LA18&gt;0,MAX(0,(LA18+KL19-LA19)/LA18),0)</f>
        <v/>
      </c>
      <c r="LY19" s="12" t="n">
        <v>15</v>
      </c>
      <c r="LZ19" s="12">
        <f>MOD(LY19-1+LaunchMonth-1,12)+1</f>
        <v/>
      </c>
      <c r="MA19" s="12">
        <f>INT((LY19-1+LaunchMonth-1)/12)+1</f>
        <v/>
      </c>
      <c r="MB19" s="12">
        <f>VLOOKUP(LZ19,SeasonTable,2,FALSE)</f>
        <v/>
      </c>
      <c r="MC19" s="12">
        <f>(1+InflationRate)^INT((LY19-1)/12)</f>
        <v/>
      </c>
      <c r="MD19" s="11">
        <f>'Sens - Churn'!$A$17*VLOOKUP(LZ19,ChurnSeasonTable,4,FALSE)</f>
        <v/>
      </c>
      <c r="ME19" s="12">
        <f>MIN(MAX(MktMin13_18,NC18*MktPct13_18),MAX(0,NQ18-CashBuffer))</f>
        <v/>
      </c>
      <c r="MF19" s="12">
        <f>IF(ME19&gt;0,MAX(1,ROUND(ME19/CAC*MB19,0)),0)</f>
        <v/>
      </c>
      <c r="MG19" s="12">
        <f>IF(MF19&gt;0,ROUND(MF19*ReferralMix/(1-ReferralMix),0),0)</f>
        <v/>
      </c>
      <c r="MH19" s="12">
        <f>MF19+MG19</f>
        <v/>
      </c>
      <c r="MI19" s="12">
        <f>ROUND(MH19*(1-AnnualMix),0)</f>
        <v/>
      </c>
      <c r="MJ19" s="12">
        <f>MH19-MI19</f>
        <v/>
      </c>
      <c r="MK19" s="12">
        <f>ROUND(MI19*EssentialMix,0)</f>
        <v/>
      </c>
      <c r="ML19" s="12">
        <f>ROUND(MI19*PremiumMix,0)</f>
        <v/>
      </c>
      <c r="MM19" s="12">
        <f>MI19-MK19-ML19</f>
        <v/>
      </c>
      <c r="MN19" s="12">
        <f>ROUND(MJ19*EssentialMix,0)</f>
        <v/>
      </c>
      <c r="MO19" s="12">
        <f>ROUND(MJ19*PremiumMix,0)</f>
        <v/>
      </c>
      <c r="MP19" s="12">
        <f>MJ19-MN19-MO19</f>
        <v/>
      </c>
      <c r="MQ19" s="12">
        <f>MK19+MK18+MK17+MAX(0,MQ18-MK18-MK17)*(1-MD19)</f>
        <v/>
      </c>
      <c r="MR19" s="12">
        <f>ML19+ML18+ML17+MAX(0,MR18-ML18-ML17)*(1-MD19)</f>
        <v/>
      </c>
      <c r="MS19" s="12">
        <f>MM19+MM18+MM17+MAX(0,MS18-MM18-MM17)*(1-MD19)</f>
        <v/>
      </c>
      <c r="MT19" s="12">
        <f>MT18+MN19-MN7*(AnnualChurn*VLOOKUP(LZ19,ChurnSeasonTable,4,FALSE))*POWER(1-(AnnualChurn*VLOOKUP(LZ19,ChurnSeasonTable,4,FALSE)),0)</f>
        <v/>
      </c>
      <c r="MU19" s="12">
        <f>MU18+MO19-MO7*(AnnualChurn*VLOOKUP(LZ19,ChurnSeasonTable,4,FALSE))*POWER(1-(AnnualChurn*VLOOKUP(LZ19,ChurnSeasonTable,4,FALSE)),0)</f>
        <v/>
      </c>
      <c r="MV19" s="12">
        <f>MV18+MP19-MP7*(AnnualChurn*VLOOKUP(LZ19,ChurnSeasonTable,4,FALSE))*POWER(1-(AnnualChurn*VLOOKUP(LZ19,ChurnSeasonTable,4,FALSE)),0)</f>
        <v/>
      </c>
      <c r="MW19" s="12">
        <f>MQ19+MR19+MS19+MT19+MU19+MV19</f>
        <v/>
      </c>
      <c r="MX19" s="9">
        <f>MQ19*BlendedPriceEssMonthly*MC19+MR19*BlendedPricePremMonthly*MC19+MS19*BlendedPriceEliteMonthly*MC19+MT19*BlendedPriceEssAnnual*MC19/12+MU19*BlendedPricePremAnnual*MC19/12+MV19*BlendedPriceEliteAnnual*MC19/12</f>
        <v/>
      </c>
      <c r="MY19" s="9">
        <f>MX19*12</f>
        <v/>
      </c>
      <c r="MZ19" s="12">
        <f>MQ19*BlendedPriceEssMonthly*MC19+MR19*BlendedPricePremMonthly*MC19+MS19*BlendedPriceEliteMonthly*MC19</f>
        <v/>
      </c>
      <c r="NA19" s="12">
        <f>MN19*BlendedPriceEssAnnual*MC19+MO19*BlendedPricePremAnnual*MC19+MP19*BlendedPriceEliteAnnual*MC19</f>
        <v/>
      </c>
      <c r="NB19" s="12">
        <f>MN7*POWER(1-(AnnualChurn*VLOOKUP(LZ19,ChurnSeasonTable,4,FALSE)),1)*BlendedPriceEssAnnual*MC19+MO7*POWER(1-(AnnualChurn*VLOOKUP(LZ19,ChurnSeasonTable,4,FALSE)),1)*BlendedPricePremAnnual*MC19+MP7*POWER(1-(AnnualChurn*VLOOKUP(LZ19,ChurnSeasonTable,4,FALSE)),1)*BlendedPriceEliteAnnual*MC19</f>
        <v/>
      </c>
      <c r="NC19" s="9">
        <f>MZ19+NA19+NB19</f>
        <v/>
      </c>
      <c r="ND19" s="12">
        <f>SUM(NC8:NC19)</f>
        <v/>
      </c>
      <c r="NE19" s="12">
        <f>OR(NE18,IF(VATAgentMode,SUM($NC8:$NC19)-SUM($NJ8:$NJ19)&gt;=VATThreshold,SUM($NC8:$NC19)&gt;=VATThreshold))</f>
        <v/>
      </c>
      <c r="NF19" s="9">
        <f>IF(NE19,IF(VATAgentMode,NC19-((NC19-NJ19)-(NC19-NJ19)/(1+VATRate)),NC19/(1+VATRate)),NC19)</f>
        <v/>
      </c>
      <c r="NG19" s="12">
        <f>NC19-NF19</f>
        <v/>
      </c>
      <c r="NH19" s="12">
        <f>IF(NE19=0,0,IF(LZ19=1,SUMPRODUCT(--(($MA$5:$MA19=$MA19-1)*($LZ$5:$LZ19&gt;=10)*($LZ$5:$LZ19&lt;=12)),$NG$5:$NG19),IF(LZ19=4,SUMPRODUCT(--(($MA$5:$MA19=$MA19)*($LZ$5:$LZ19&gt;=1)*($LZ$5:$LZ19&lt;=3)),$NG$5:$NG19),IF(LZ19=7,SUMPRODUCT(--(($MA$5:$MA19=$MA19)*($LZ$5:$LZ19&gt;=4)*($LZ$5:$LZ19&lt;=6)),$NG$5:$NG19),IF(LZ19=10,SUMPRODUCT(--(($MA$5:$MA19=$MA19)*($LZ$5:$LZ19&gt;=7)*($LZ$5:$LZ19&lt;=9)),$NG$5:$NG19),0)))))</f>
        <v/>
      </c>
      <c r="NI19" s="12">
        <f>NI18+NG19-NH19</f>
        <v/>
      </c>
      <c r="NJ19" s="12">
        <f>IF(ProviderDelay&gt;=1,MQ18*BlendedProvPayEss+MR18*BlendedProvPayPrem+MS18*BlendedProvPayElite+MT18*BlendedProvPayEss+MU18*BlendedProvPayPrem+MV18*BlendedProvPayElite,MQ19*BlendedProvPayEss+MR19*BlendedProvPayPrem+MS19*BlendedProvPayElite+MT19*BlendedProvPayEss+MU19*BlendedProvPayPrem+MV19*BlendedProvPayElite)</f>
        <v/>
      </c>
      <c r="NK19" s="12">
        <f>NC19*PaymentFee</f>
        <v/>
      </c>
      <c r="NL19" s="12">
        <f>MW19*OpsAI</f>
        <v/>
      </c>
      <c r="NM19" s="12">
        <f>MonthlyFixed</f>
        <v/>
      </c>
      <c r="NN19" s="12">
        <f>MG19*ReferralReward</f>
        <v/>
      </c>
      <c r="NO19" s="12">
        <f>ME19</f>
        <v/>
      </c>
      <c r="NP19" s="9">
        <f>NF19-NJ19-NK19-NL19-NM19-NN19-NO19</f>
        <v/>
      </c>
      <c r="NQ19" s="9">
        <f>NQ18+NC19-(NJ19+NK19+NL19+NM19+NN19+NO19+NH19)</f>
        <v/>
      </c>
      <c r="NR19" s="12">
        <f>IF(MW19&gt;0,MX19/MW19,0)</f>
        <v/>
      </c>
      <c r="NS19" s="11">
        <f>IF(MW18&gt;0,MAX(0,(MW18+MH19-MW19)/MW18),0)</f>
        <v/>
      </c>
      <c r="NU19" s="12" t="n">
        <v>15</v>
      </c>
      <c r="NV19" s="12">
        <f>MOD(NU19-1+LaunchMonth-1,12)+1</f>
        <v/>
      </c>
      <c r="NW19" s="12">
        <f>INT((NU19-1+LaunchMonth-1)/12)+1</f>
        <v/>
      </c>
      <c r="NX19" s="12">
        <f>VLOOKUP(NV19,SeasonTable,2,FALSE)</f>
        <v/>
      </c>
      <c r="NY19" s="12">
        <f>(1+InflationRate)^INT((NU19-1)/12)</f>
        <v/>
      </c>
      <c r="NZ19" s="11">
        <f>'Sens - Churn'!$A$18*VLOOKUP(NV19,ChurnSeasonTable,4,FALSE)</f>
        <v/>
      </c>
      <c r="OA19" s="12">
        <f>MIN(MAX(MktMin13_18,OY18*MktPct13_18),MAX(0,PM18-CashBuffer))</f>
        <v/>
      </c>
      <c r="OB19" s="12">
        <f>IF(OA19&gt;0,MAX(1,ROUND(OA19/CAC*NX19,0)),0)</f>
        <v/>
      </c>
      <c r="OC19" s="12">
        <f>IF(OB19&gt;0,ROUND(OB19*ReferralMix/(1-ReferralMix),0),0)</f>
        <v/>
      </c>
      <c r="OD19" s="12">
        <f>OB19+OC19</f>
        <v/>
      </c>
      <c r="OE19" s="12">
        <f>ROUND(OD19*(1-AnnualMix),0)</f>
        <v/>
      </c>
      <c r="OF19" s="12">
        <f>OD19-OE19</f>
        <v/>
      </c>
      <c r="OG19" s="12">
        <f>ROUND(OE19*EssentialMix,0)</f>
        <v/>
      </c>
      <c r="OH19" s="12">
        <f>ROUND(OE19*PremiumMix,0)</f>
        <v/>
      </c>
      <c r="OI19" s="12">
        <f>OE19-OG19-OH19</f>
        <v/>
      </c>
      <c r="OJ19" s="12">
        <f>ROUND(OF19*EssentialMix,0)</f>
        <v/>
      </c>
      <c r="OK19" s="12">
        <f>ROUND(OF19*PremiumMix,0)</f>
        <v/>
      </c>
      <c r="OL19" s="12">
        <f>OF19-OJ19-OK19</f>
        <v/>
      </c>
      <c r="OM19" s="12">
        <f>OG19+OG18+OG17+MAX(0,OM18-OG18-OG17)*(1-NZ19)</f>
        <v/>
      </c>
      <c r="ON19" s="12">
        <f>OH19+OH18+OH17+MAX(0,ON18-OH18-OH17)*(1-NZ19)</f>
        <v/>
      </c>
      <c r="OO19" s="12">
        <f>OI19+OI18+OI17+MAX(0,OO18-OI18-OI17)*(1-NZ19)</f>
        <v/>
      </c>
      <c r="OP19" s="12">
        <f>OP18+OJ19-OJ7*(AnnualChurn*VLOOKUP(NV19,ChurnSeasonTable,4,FALSE))*POWER(1-(AnnualChurn*VLOOKUP(NV19,ChurnSeasonTable,4,FALSE)),0)</f>
        <v/>
      </c>
      <c r="OQ19" s="12">
        <f>OQ18+OK19-OK7*(AnnualChurn*VLOOKUP(NV19,ChurnSeasonTable,4,FALSE))*POWER(1-(AnnualChurn*VLOOKUP(NV19,ChurnSeasonTable,4,FALSE)),0)</f>
        <v/>
      </c>
      <c r="OR19" s="12">
        <f>OR18+OL19-OL7*(AnnualChurn*VLOOKUP(NV19,ChurnSeasonTable,4,FALSE))*POWER(1-(AnnualChurn*VLOOKUP(NV19,ChurnSeasonTable,4,FALSE)),0)</f>
        <v/>
      </c>
      <c r="OS19" s="12">
        <f>OM19+ON19+OO19+OP19+OQ19+OR19</f>
        <v/>
      </c>
      <c r="OT19" s="9">
        <f>OM19*BlendedPriceEssMonthly*NY19+ON19*BlendedPricePremMonthly*NY19+OO19*BlendedPriceEliteMonthly*NY19+OP19*BlendedPriceEssAnnual*NY19/12+OQ19*BlendedPricePremAnnual*NY19/12+OR19*BlendedPriceEliteAnnual*NY19/12</f>
        <v/>
      </c>
      <c r="OU19" s="9">
        <f>OT19*12</f>
        <v/>
      </c>
      <c r="OV19" s="12">
        <f>OM19*BlendedPriceEssMonthly*NY19+ON19*BlendedPricePremMonthly*NY19+OO19*BlendedPriceEliteMonthly*NY19</f>
        <v/>
      </c>
      <c r="OW19" s="12">
        <f>OJ19*BlendedPriceEssAnnual*NY19+OK19*BlendedPricePremAnnual*NY19+OL19*BlendedPriceEliteAnnual*NY19</f>
        <v/>
      </c>
      <c r="OX19" s="12">
        <f>OJ7*POWER(1-(AnnualChurn*VLOOKUP(NV19,ChurnSeasonTable,4,FALSE)),1)*BlendedPriceEssAnnual*NY19+OK7*POWER(1-(AnnualChurn*VLOOKUP(NV19,ChurnSeasonTable,4,FALSE)),1)*BlendedPricePremAnnual*NY19+OL7*POWER(1-(AnnualChurn*VLOOKUP(NV19,ChurnSeasonTable,4,FALSE)),1)*BlendedPriceEliteAnnual*NY19</f>
        <v/>
      </c>
      <c r="OY19" s="9">
        <f>OV19+OW19+OX19</f>
        <v/>
      </c>
      <c r="OZ19" s="12">
        <f>SUM(OY8:OY19)</f>
        <v/>
      </c>
      <c r="PA19" s="12">
        <f>OR(PA18,IF(VATAgentMode,SUM($OY8:$OY19)-SUM($PF8:$PF19)&gt;=VATThreshold,SUM($OY8:$OY19)&gt;=VATThreshold))</f>
        <v/>
      </c>
      <c r="PB19" s="9">
        <f>IF(PA19,IF(VATAgentMode,OY19-((OY19-PF19)-(OY19-PF19)/(1+VATRate)),OY19/(1+VATRate)),OY19)</f>
        <v/>
      </c>
      <c r="PC19" s="12">
        <f>OY19-PB19</f>
        <v/>
      </c>
      <c r="PD19" s="12">
        <f>IF(PA19=0,0,IF(NV19=1,SUMPRODUCT(--(($NW$5:$NW19=$NW19-1)*($NV$5:$NV19&gt;=10)*($NV$5:$NV19&lt;=12)),$PC$5:$PC19),IF(NV19=4,SUMPRODUCT(--(($NW$5:$NW19=$NW19)*($NV$5:$NV19&gt;=1)*($NV$5:$NV19&lt;=3)),$PC$5:$PC19),IF(NV19=7,SUMPRODUCT(--(($NW$5:$NW19=$NW19)*($NV$5:$NV19&gt;=4)*($NV$5:$NV19&lt;=6)),$PC$5:$PC19),IF(NV19=10,SUMPRODUCT(--(($NW$5:$NW19=$NW19)*($NV$5:$NV19&gt;=7)*($NV$5:$NV19&lt;=9)),$PC$5:$PC19),0)))))</f>
        <v/>
      </c>
      <c r="PE19" s="12">
        <f>PE18+PC19-PD19</f>
        <v/>
      </c>
      <c r="PF19" s="12">
        <f>IF(ProviderDelay&gt;=1,OM18*BlendedProvPayEss+ON18*BlendedProvPayPrem+OO18*BlendedProvPayElite+OP18*BlendedProvPayEss+OQ18*BlendedProvPayPrem+OR18*BlendedProvPayElite,OM19*BlendedProvPayEss+ON19*BlendedProvPayPrem+OO19*BlendedProvPayElite+OP19*BlendedProvPayEss+OQ19*BlendedProvPayPrem+OR19*BlendedProvPayElite)</f>
        <v/>
      </c>
      <c r="PG19" s="12">
        <f>OY19*PaymentFee</f>
        <v/>
      </c>
      <c r="PH19" s="12">
        <f>OS19*OpsAI</f>
        <v/>
      </c>
      <c r="PI19" s="12">
        <f>MonthlyFixed</f>
        <v/>
      </c>
      <c r="PJ19" s="12">
        <f>OC19*ReferralReward</f>
        <v/>
      </c>
      <c r="PK19" s="12">
        <f>OA19</f>
        <v/>
      </c>
      <c r="PL19" s="9">
        <f>PB19-PF19-PG19-PH19-PI19-PJ19-PK19</f>
        <v/>
      </c>
      <c r="PM19" s="9">
        <f>PM18+OY19-(PF19+PG19+PH19+PI19+PJ19+PK19+PD19)</f>
        <v/>
      </c>
      <c r="PN19" s="12">
        <f>IF(OS19&gt;0,OT19/OS19,0)</f>
        <v/>
      </c>
      <c r="PO19" s="11">
        <f>IF(OS18&gt;0,MAX(0,(OS18+OD19-OS19)/OS18),0)</f>
        <v/>
      </c>
      <c r="PQ19" s="12" t="n">
        <v>15</v>
      </c>
      <c r="PR19" s="12">
        <f>MOD(PQ19-1+LaunchMonth-1,12)+1</f>
        <v/>
      </c>
      <c r="PS19" s="12">
        <f>INT((PQ19-1+LaunchMonth-1)/12)+1</f>
        <v/>
      </c>
      <c r="PT19" s="12">
        <f>VLOOKUP(PR19,SeasonTable,2,FALSE)</f>
        <v/>
      </c>
      <c r="PU19" s="12">
        <f>(1+InflationRate)^INT((PQ19-1)/12)</f>
        <v/>
      </c>
      <c r="PV19" s="11">
        <f>'Sens - Churn'!$A$19*VLOOKUP(PR19,ChurnSeasonTable,4,FALSE)</f>
        <v/>
      </c>
      <c r="PW19" s="12">
        <f>MIN(MAX(MktMin13_18,QU18*MktPct13_18),MAX(0,RI18-CashBuffer))</f>
        <v/>
      </c>
      <c r="PX19" s="12">
        <f>IF(PW19&gt;0,MAX(1,ROUND(PW19/CAC*PT19,0)),0)</f>
        <v/>
      </c>
      <c r="PY19" s="12">
        <f>IF(PX19&gt;0,ROUND(PX19*ReferralMix/(1-ReferralMix),0),0)</f>
        <v/>
      </c>
      <c r="PZ19" s="12">
        <f>PX19+PY19</f>
        <v/>
      </c>
      <c r="QA19" s="12">
        <f>ROUND(PZ19*(1-AnnualMix),0)</f>
        <v/>
      </c>
      <c r="QB19" s="12">
        <f>PZ19-QA19</f>
        <v/>
      </c>
      <c r="QC19" s="12">
        <f>ROUND(QA19*EssentialMix,0)</f>
        <v/>
      </c>
      <c r="QD19" s="12">
        <f>ROUND(QA19*PremiumMix,0)</f>
        <v/>
      </c>
      <c r="QE19" s="12">
        <f>QA19-QC19-QD19</f>
        <v/>
      </c>
      <c r="QF19" s="12">
        <f>ROUND(QB19*EssentialMix,0)</f>
        <v/>
      </c>
      <c r="QG19" s="12">
        <f>ROUND(QB19*PremiumMix,0)</f>
        <v/>
      </c>
      <c r="QH19" s="12">
        <f>QB19-QF19-QG19</f>
        <v/>
      </c>
      <c r="QI19" s="12">
        <f>QC19+QC18+QC17+MAX(0,QI18-QC18-QC17)*(1-PV19)</f>
        <v/>
      </c>
      <c r="QJ19" s="12">
        <f>QD19+QD18+QD17+MAX(0,QJ18-QD18-QD17)*(1-PV19)</f>
        <v/>
      </c>
      <c r="QK19" s="12">
        <f>QE19+QE18+QE17+MAX(0,QK18-QE18-QE17)*(1-PV19)</f>
        <v/>
      </c>
      <c r="QL19" s="12">
        <f>QL18+QF19-QF7*(AnnualChurn*VLOOKUP(PR19,ChurnSeasonTable,4,FALSE))*POWER(1-(AnnualChurn*VLOOKUP(PR19,ChurnSeasonTable,4,FALSE)),0)</f>
        <v/>
      </c>
      <c r="QM19" s="12">
        <f>QM18+QG19-QG7*(AnnualChurn*VLOOKUP(PR19,ChurnSeasonTable,4,FALSE))*POWER(1-(AnnualChurn*VLOOKUP(PR19,ChurnSeasonTable,4,FALSE)),0)</f>
        <v/>
      </c>
      <c r="QN19" s="12">
        <f>QN18+QH19-QH7*(AnnualChurn*VLOOKUP(PR19,ChurnSeasonTable,4,FALSE))*POWER(1-(AnnualChurn*VLOOKUP(PR19,ChurnSeasonTable,4,FALSE)),0)</f>
        <v/>
      </c>
      <c r="QO19" s="12">
        <f>QI19+QJ19+QK19+QL19+QM19+QN19</f>
        <v/>
      </c>
      <c r="QP19" s="9">
        <f>QI19*BlendedPriceEssMonthly*PU19+QJ19*BlendedPricePremMonthly*PU19+QK19*BlendedPriceEliteMonthly*PU19+QL19*BlendedPriceEssAnnual*PU19/12+QM19*BlendedPricePremAnnual*PU19/12+QN19*BlendedPriceEliteAnnual*PU19/12</f>
        <v/>
      </c>
      <c r="QQ19" s="9">
        <f>QP19*12</f>
        <v/>
      </c>
      <c r="QR19" s="12">
        <f>QI19*BlendedPriceEssMonthly*PU19+QJ19*BlendedPricePremMonthly*PU19+QK19*BlendedPriceEliteMonthly*PU19</f>
        <v/>
      </c>
      <c r="QS19" s="12">
        <f>QF19*BlendedPriceEssAnnual*PU19+QG19*BlendedPricePremAnnual*PU19+QH19*BlendedPriceEliteAnnual*PU19</f>
        <v/>
      </c>
      <c r="QT19" s="12">
        <f>QF7*POWER(1-(AnnualChurn*VLOOKUP(PR19,ChurnSeasonTable,4,FALSE)),1)*BlendedPriceEssAnnual*PU19+QG7*POWER(1-(AnnualChurn*VLOOKUP(PR19,ChurnSeasonTable,4,FALSE)),1)*BlendedPricePremAnnual*PU19+QH7*POWER(1-(AnnualChurn*VLOOKUP(PR19,ChurnSeasonTable,4,FALSE)),1)*BlendedPriceEliteAnnual*PU19</f>
        <v/>
      </c>
      <c r="QU19" s="9">
        <f>QR19+QS19+QT19</f>
        <v/>
      </c>
      <c r="QV19" s="12">
        <f>SUM(QU8:QU19)</f>
        <v/>
      </c>
      <c r="QW19" s="12">
        <f>OR(QW18,IF(VATAgentMode,SUM($QU8:$QU19)-SUM($RB8:$RB19)&gt;=VATThreshold,SUM($QU8:$QU19)&gt;=VATThreshold))</f>
        <v/>
      </c>
      <c r="QX19" s="9">
        <f>IF(QW19,IF(VATAgentMode,QU19-((QU19-RB19)-(QU19-RB19)/(1+VATRate)),QU19/(1+VATRate)),QU19)</f>
        <v/>
      </c>
      <c r="QY19" s="12">
        <f>QU19-QX19</f>
        <v/>
      </c>
      <c r="QZ19" s="12">
        <f>IF(QW19=0,0,IF(PR19=1,SUMPRODUCT(--(($PS$5:$PS19=$PS19-1)*($PR$5:$PR19&gt;=10)*($PR$5:$PR19&lt;=12)),$QY$5:$QY19),IF(PR19=4,SUMPRODUCT(--(($PS$5:$PS19=$PS19)*($PR$5:$PR19&gt;=1)*($PR$5:$PR19&lt;=3)),$QY$5:$QY19),IF(PR19=7,SUMPRODUCT(--(($PS$5:$PS19=$PS19)*($PR$5:$PR19&gt;=4)*($PR$5:$PR19&lt;=6)),$QY$5:$QY19),IF(PR19=10,SUMPRODUCT(--(($PS$5:$PS19=$PS19)*($PR$5:$PR19&gt;=7)*($PR$5:$PR19&lt;=9)),$QY$5:$QY19),0)))))</f>
        <v/>
      </c>
      <c r="RA19" s="12">
        <f>RA18+QY19-QZ19</f>
        <v/>
      </c>
      <c r="RB19" s="12">
        <f>IF(ProviderDelay&gt;=1,QI18*BlendedProvPayEss+QJ18*BlendedProvPayPrem+QK18*BlendedProvPayElite+QL18*BlendedProvPayEss+QM18*BlendedProvPayPrem+QN18*BlendedProvPayElite,QI19*BlendedProvPayEss+QJ19*BlendedProvPayPrem+QK19*BlendedProvPayElite+QL19*BlendedProvPayEss+QM19*BlendedProvPayPrem+QN19*BlendedProvPayElite)</f>
        <v/>
      </c>
      <c r="RC19" s="12">
        <f>QU19*PaymentFee</f>
        <v/>
      </c>
      <c r="RD19" s="12">
        <f>QO19*OpsAI</f>
        <v/>
      </c>
      <c r="RE19" s="12">
        <f>MonthlyFixed</f>
        <v/>
      </c>
      <c r="RF19" s="12">
        <f>PY19*ReferralReward</f>
        <v/>
      </c>
      <c r="RG19" s="12">
        <f>PW19</f>
        <v/>
      </c>
      <c r="RH19" s="9">
        <f>QX19-RB19-RC19-RD19-RE19-RF19-RG19</f>
        <v/>
      </c>
      <c r="RI19" s="9">
        <f>RI18+QU19-(RB19+RC19+RD19+RE19+RF19+RG19+QZ19)</f>
        <v/>
      </c>
      <c r="RJ19" s="12">
        <f>IF(QO19&gt;0,QP19/QO19,0)</f>
        <v/>
      </c>
      <c r="RK19" s="11">
        <f>IF(QO18&gt;0,MAX(0,(QO18+PZ19-QO19)/QO18),0)</f>
        <v/>
      </c>
      <c r="RM19" s="12" t="n">
        <v>15</v>
      </c>
      <c r="RN19" s="12">
        <f>MOD(RM19-1+LaunchMonth-1,12)+1</f>
        <v/>
      </c>
      <c r="RO19" s="12">
        <f>INT((RM19-1+LaunchMonth-1)/12)+1</f>
        <v/>
      </c>
      <c r="RP19" s="12">
        <f>VLOOKUP(RN19,SeasonTable,2,FALSE)</f>
        <v/>
      </c>
      <c r="RQ19" s="12">
        <f>(1+InflationRate)^INT((RM19-1)/12)</f>
        <v/>
      </c>
      <c r="RR19" s="11">
        <f>'Sens - Churn'!$A$20*VLOOKUP(RN19,ChurnSeasonTable,4,FALSE)</f>
        <v/>
      </c>
      <c r="RS19" s="12">
        <f>MIN(MAX(MktMin13_18,SQ18*MktPct13_18),MAX(0,TE18-CashBuffer))</f>
        <v/>
      </c>
      <c r="RT19" s="12">
        <f>IF(RS19&gt;0,MAX(1,ROUND(RS19/CAC*RP19,0)),0)</f>
        <v/>
      </c>
      <c r="RU19" s="12">
        <f>IF(RT19&gt;0,ROUND(RT19*ReferralMix/(1-ReferralMix),0),0)</f>
        <v/>
      </c>
      <c r="RV19" s="12">
        <f>RT19+RU19</f>
        <v/>
      </c>
      <c r="RW19" s="12">
        <f>ROUND(RV19*(1-AnnualMix),0)</f>
        <v/>
      </c>
      <c r="RX19" s="12">
        <f>RV19-RW19</f>
        <v/>
      </c>
      <c r="RY19" s="12">
        <f>ROUND(RW19*EssentialMix,0)</f>
        <v/>
      </c>
      <c r="RZ19" s="12">
        <f>ROUND(RW19*PremiumMix,0)</f>
        <v/>
      </c>
      <c r="SA19" s="12">
        <f>RW19-RY19-RZ19</f>
        <v/>
      </c>
      <c r="SB19" s="12">
        <f>ROUND(RX19*EssentialMix,0)</f>
        <v/>
      </c>
      <c r="SC19" s="12">
        <f>ROUND(RX19*PremiumMix,0)</f>
        <v/>
      </c>
      <c r="SD19" s="12">
        <f>RX19-SB19-SC19</f>
        <v/>
      </c>
      <c r="SE19" s="12">
        <f>RY19+RY18+RY17+MAX(0,SE18-RY18-RY17)*(1-RR19)</f>
        <v/>
      </c>
      <c r="SF19" s="12">
        <f>RZ19+RZ18+RZ17+MAX(0,SF18-RZ18-RZ17)*(1-RR19)</f>
        <v/>
      </c>
      <c r="SG19" s="12">
        <f>SA19+SA18+SA17+MAX(0,SG18-SA18-SA17)*(1-RR19)</f>
        <v/>
      </c>
      <c r="SH19" s="12">
        <f>SH18+SB19-SB7*(AnnualChurn*VLOOKUP(RN19,ChurnSeasonTable,4,FALSE))*POWER(1-(AnnualChurn*VLOOKUP(RN19,ChurnSeasonTable,4,FALSE)),0)</f>
        <v/>
      </c>
      <c r="SI19" s="12">
        <f>SI18+SC19-SC7*(AnnualChurn*VLOOKUP(RN19,ChurnSeasonTable,4,FALSE))*POWER(1-(AnnualChurn*VLOOKUP(RN19,ChurnSeasonTable,4,FALSE)),0)</f>
        <v/>
      </c>
      <c r="SJ19" s="12">
        <f>SJ18+SD19-SD7*(AnnualChurn*VLOOKUP(RN19,ChurnSeasonTable,4,FALSE))*POWER(1-(AnnualChurn*VLOOKUP(RN19,ChurnSeasonTable,4,FALSE)),0)</f>
        <v/>
      </c>
      <c r="SK19" s="12">
        <f>SE19+SF19+SG19+SH19+SI19+SJ19</f>
        <v/>
      </c>
      <c r="SL19" s="9">
        <f>SE19*BlendedPriceEssMonthly*RQ19+SF19*BlendedPricePremMonthly*RQ19+SG19*BlendedPriceEliteMonthly*RQ19+SH19*BlendedPriceEssAnnual*RQ19/12+SI19*BlendedPricePremAnnual*RQ19/12+SJ19*BlendedPriceEliteAnnual*RQ19/12</f>
        <v/>
      </c>
      <c r="SM19" s="9">
        <f>SL19*12</f>
        <v/>
      </c>
      <c r="SN19" s="12">
        <f>SE19*BlendedPriceEssMonthly*RQ19+SF19*BlendedPricePremMonthly*RQ19+SG19*BlendedPriceEliteMonthly*RQ19</f>
        <v/>
      </c>
      <c r="SO19" s="12">
        <f>SB19*BlendedPriceEssAnnual*RQ19+SC19*BlendedPricePremAnnual*RQ19+SD19*BlendedPriceEliteAnnual*RQ19</f>
        <v/>
      </c>
      <c r="SP19" s="12">
        <f>SB7*POWER(1-(AnnualChurn*VLOOKUP(RN19,ChurnSeasonTable,4,FALSE)),1)*BlendedPriceEssAnnual*RQ19+SC7*POWER(1-(AnnualChurn*VLOOKUP(RN19,ChurnSeasonTable,4,FALSE)),1)*BlendedPricePremAnnual*RQ19+SD7*POWER(1-(AnnualChurn*VLOOKUP(RN19,ChurnSeasonTable,4,FALSE)),1)*BlendedPriceEliteAnnual*RQ19</f>
        <v/>
      </c>
      <c r="SQ19" s="9">
        <f>SN19+SO19+SP19</f>
        <v/>
      </c>
      <c r="SR19" s="12">
        <f>SUM(SQ8:SQ19)</f>
        <v/>
      </c>
      <c r="SS19" s="12">
        <f>OR(SS18,IF(VATAgentMode,SUM($SQ8:$SQ19)-SUM($SX8:$SX19)&gt;=VATThreshold,SUM($SQ8:$SQ19)&gt;=VATThreshold))</f>
        <v/>
      </c>
      <c r="ST19" s="9">
        <f>IF(SS19,IF(VATAgentMode,SQ19-((SQ19-SX19)-(SQ19-SX19)/(1+VATRate)),SQ19/(1+VATRate)),SQ19)</f>
        <v/>
      </c>
      <c r="SU19" s="12">
        <f>SQ19-ST19</f>
        <v/>
      </c>
      <c r="SV19" s="12">
        <f>IF(SS19=0,0,IF(RN19=1,SUMPRODUCT(--(($RO$5:$RO19=$RO19-1)*($RN$5:$RN19&gt;=10)*($RN$5:$RN19&lt;=12)),$SU$5:$SU19),IF(RN19=4,SUMPRODUCT(--(($RO$5:$RO19=$RO19)*($RN$5:$RN19&gt;=1)*($RN$5:$RN19&lt;=3)),$SU$5:$SU19),IF(RN19=7,SUMPRODUCT(--(($RO$5:$RO19=$RO19)*($RN$5:$RN19&gt;=4)*($RN$5:$RN19&lt;=6)),$SU$5:$SU19),IF(RN19=10,SUMPRODUCT(--(($RO$5:$RO19=$RO19)*($RN$5:$RN19&gt;=7)*($RN$5:$RN19&lt;=9)),$SU$5:$SU19),0)))))</f>
        <v/>
      </c>
      <c r="SW19" s="12">
        <f>SW18+SU19-SV19</f>
        <v/>
      </c>
      <c r="SX19" s="12">
        <f>IF(ProviderDelay&gt;=1,SE18*BlendedProvPayEss+SF18*BlendedProvPayPrem+SG18*BlendedProvPayElite+SH18*BlendedProvPayEss+SI18*BlendedProvPayPrem+SJ18*BlendedProvPayElite,SE19*BlendedProvPayEss+SF19*BlendedProvPayPrem+SG19*BlendedProvPayElite+SH19*BlendedProvPayEss+SI19*BlendedProvPayPrem+SJ19*BlendedProvPayElite)</f>
        <v/>
      </c>
      <c r="SY19" s="12">
        <f>SQ19*PaymentFee</f>
        <v/>
      </c>
      <c r="SZ19" s="12">
        <f>SK19*OpsAI</f>
        <v/>
      </c>
      <c r="TA19" s="12">
        <f>MonthlyFixed</f>
        <v/>
      </c>
      <c r="TB19" s="12">
        <f>RU19*ReferralReward</f>
        <v/>
      </c>
      <c r="TC19" s="12">
        <f>RS19</f>
        <v/>
      </c>
      <c r="TD19" s="9">
        <f>ST19-SX19-SY19-SZ19-TA19-TB19-TC19</f>
        <v/>
      </c>
      <c r="TE19" s="9">
        <f>TE18+SQ19-(SX19+SY19+SZ19+TA19+TB19+TC19+SV19)</f>
        <v/>
      </c>
      <c r="TF19" s="12">
        <f>IF(SK19&gt;0,SL19/SK19,0)</f>
        <v/>
      </c>
      <c r="TG19" s="11">
        <f>IF(SK18&gt;0,MAX(0,(SK18+RV19-SK19)/SK18),0)</f>
        <v/>
      </c>
      <c r="TI19" s="12" t="n">
        <v>15</v>
      </c>
      <c r="TJ19" s="12">
        <f>MOD(TI19-1+LaunchMonth-1,12)+1</f>
        <v/>
      </c>
      <c r="TK19" s="12">
        <f>INT((TI19-1+LaunchMonth-1)/12)+1</f>
        <v/>
      </c>
      <c r="TL19" s="12">
        <f>VLOOKUP(TJ19,SeasonTable,2,FALSE)</f>
        <v/>
      </c>
      <c r="TM19" s="12">
        <f>(1+InflationRate)^INT((TI19-1)/12)</f>
        <v/>
      </c>
      <c r="TN19" s="11">
        <f>'Sens - Churn'!$A$21*VLOOKUP(TJ19,ChurnSeasonTable,4,FALSE)</f>
        <v/>
      </c>
      <c r="TO19" s="12">
        <f>MIN(MAX(MktMin13_18,UM18*MktPct13_18),MAX(0,VA18-CashBuffer))</f>
        <v/>
      </c>
      <c r="TP19" s="12">
        <f>IF(TO19&gt;0,MAX(1,ROUND(TO19/CAC*TL19,0)),0)</f>
        <v/>
      </c>
      <c r="TQ19" s="12">
        <f>IF(TP19&gt;0,ROUND(TP19*ReferralMix/(1-ReferralMix),0),0)</f>
        <v/>
      </c>
      <c r="TR19" s="12">
        <f>TP19+TQ19</f>
        <v/>
      </c>
      <c r="TS19" s="12">
        <f>ROUND(TR19*(1-AnnualMix),0)</f>
        <v/>
      </c>
      <c r="TT19" s="12">
        <f>TR19-TS19</f>
        <v/>
      </c>
      <c r="TU19" s="12">
        <f>ROUND(TS19*EssentialMix,0)</f>
        <v/>
      </c>
      <c r="TV19" s="12">
        <f>ROUND(TS19*PremiumMix,0)</f>
        <v/>
      </c>
      <c r="TW19" s="12">
        <f>TS19-TU19-TV19</f>
        <v/>
      </c>
      <c r="TX19" s="12">
        <f>ROUND(TT19*EssentialMix,0)</f>
        <v/>
      </c>
      <c r="TY19" s="12">
        <f>ROUND(TT19*PremiumMix,0)</f>
        <v/>
      </c>
      <c r="TZ19" s="12">
        <f>TT19-TX19-TY19</f>
        <v/>
      </c>
      <c r="UA19" s="12">
        <f>TU19+TU18+TU17+MAX(0,UA18-TU18-TU17)*(1-TN19)</f>
        <v/>
      </c>
      <c r="UB19" s="12">
        <f>TV19+TV18+TV17+MAX(0,UB18-TV18-TV17)*(1-TN19)</f>
        <v/>
      </c>
      <c r="UC19" s="12">
        <f>TW19+TW18+TW17+MAX(0,UC18-TW18-TW17)*(1-TN19)</f>
        <v/>
      </c>
      <c r="UD19" s="12">
        <f>UD18+TX19-TX7*(AnnualChurn*VLOOKUP(TJ19,ChurnSeasonTable,4,FALSE))*POWER(1-(AnnualChurn*VLOOKUP(TJ19,ChurnSeasonTable,4,FALSE)),0)</f>
        <v/>
      </c>
      <c r="UE19" s="12">
        <f>UE18+TY19-TY7*(AnnualChurn*VLOOKUP(TJ19,ChurnSeasonTable,4,FALSE))*POWER(1-(AnnualChurn*VLOOKUP(TJ19,ChurnSeasonTable,4,FALSE)),0)</f>
        <v/>
      </c>
      <c r="UF19" s="12">
        <f>UF18+TZ19-TZ7*(AnnualChurn*VLOOKUP(TJ19,ChurnSeasonTable,4,FALSE))*POWER(1-(AnnualChurn*VLOOKUP(TJ19,ChurnSeasonTable,4,FALSE)),0)</f>
        <v/>
      </c>
      <c r="UG19" s="12">
        <f>UA19+UB19+UC19+UD19+UE19+UF19</f>
        <v/>
      </c>
      <c r="UH19" s="9">
        <f>UA19*BlendedPriceEssMonthly*TM19+UB19*BlendedPricePremMonthly*TM19+UC19*BlendedPriceEliteMonthly*TM19+UD19*BlendedPriceEssAnnual*TM19/12+UE19*BlendedPricePremAnnual*TM19/12+UF19*BlendedPriceEliteAnnual*TM19/12</f>
        <v/>
      </c>
      <c r="UI19" s="9">
        <f>UH19*12</f>
        <v/>
      </c>
      <c r="UJ19" s="12">
        <f>UA19*BlendedPriceEssMonthly*TM19+UB19*BlendedPricePremMonthly*TM19+UC19*BlendedPriceEliteMonthly*TM19</f>
        <v/>
      </c>
      <c r="UK19" s="12">
        <f>TX19*BlendedPriceEssAnnual*TM19+TY19*BlendedPricePremAnnual*TM19+TZ19*BlendedPriceEliteAnnual*TM19</f>
        <v/>
      </c>
      <c r="UL19" s="12">
        <f>TX7*POWER(1-(AnnualChurn*VLOOKUP(TJ19,ChurnSeasonTable,4,FALSE)),1)*BlendedPriceEssAnnual*TM19+TY7*POWER(1-(AnnualChurn*VLOOKUP(TJ19,ChurnSeasonTable,4,FALSE)),1)*BlendedPricePremAnnual*TM19+TZ7*POWER(1-(AnnualChurn*VLOOKUP(TJ19,ChurnSeasonTable,4,FALSE)),1)*BlendedPriceEliteAnnual*TM19</f>
        <v/>
      </c>
      <c r="UM19" s="9">
        <f>UJ19+UK19+UL19</f>
        <v/>
      </c>
      <c r="UN19" s="12">
        <f>SUM(UM8:UM19)</f>
        <v/>
      </c>
      <c r="UO19" s="12">
        <f>OR(UO18,IF(VATAgentMode,SUM($UM8:$UM19)-SUM($UT8:$UT19)&gt;=VATThreshold,SUM($UM8:$UM19)&gt;=VATThreshold))</f>
        <v/>
      </c>
      <c r="UP19" s="9">
        <f>IF(UO19,IF(VATAgentMode,UM19-((UM19-UT19)-(UM19-UT19)/(1+VATRate)),UM19/(1+VATRate)),UM19)</f>
        <v/>
      </c>
      <c r="UQ19" s="12">
        <f>UM19-UP19</f>
        <v/>
      </c>
      <c r="UR19" s="12">
        <f>IF(UO19=0,0,IF(TJ19=1,SUMPRODUCT(--(($TK$5:$TK19=$TK19-1)*($TJ$5:$TJ19&gt;=10)*($TJ$5:$TJ19&lt;=12)),$UQ$5:$UQ19),IF(TJ19=4,SUMPRODUCT(--(($TK$5:$TK19=$TK19)*($TJ$5:$TJ19&gt;=1)*($TJ$5:$TJ19&lt;=3)),$UQ$5:$UQ19),IF(TJ19=7,SUMPRODUCT(--(($TK$5:$TK19=$TK19)*($TJ$5:$TJ19&gt;=4)*($TJ$5:$TJ19&lt;=6)),$UQ$5:$UQ19),IF(TJ19=10,SUMPRODUCT(--(($TK$5:$TK19=$TK19)*($TJ$5:$TJ19&gt;=7)*($TJ$5:$TJ19&lt;=9)),$UQ$5:$UQ19),0)))))</f>
        <v/>
      </c>
      <c r="US19" s="12">
        <f>US18+UQ19-UR19</f>
        <v/>
      </c>
      <c r="UT19" s="12">
        <f>IF(ProviderDelay&gt;=1,UA18*BlendedProvPayEss+UB18*BlendedProvPayPrem+UC18*BlendedProvPayElite+UD18*BlendedProvPayEss+UE18*BlendedProvPayPrem+UF18*BlendedProvPayElite,UA19*BlendedProvPayEss+UB19*BlendedProvPayPrem+UC19*BlendedProvPayElite+UD19*BlendedProvPayEss+UE19*BlendedProvPayPrem+UF19*BlendedProvPayElite)</f>
        <v/>
      </c>
      <c r="UU19" s="12">
        <f>UM19*PaymentFee</f>
        <v/>
      </c>
      <c r="UV19" s="12">
        <f>UG19*OpsAI</f>
        <v/>
      </c>
      <c r="UW19" s="12">
        <f>MonthlyFixed</f>
        <v/>
      </c>
      <c r="UX19" s="12">
        <f>TQ19*ReferralReward</f>
        <v/>
      </c>
      <c r="UY19" s="12">
        <f>TO19</f>
        <v/>
      </c>
      <c r="UZ19" s="9">
        <f>UP19-UT19-UU19-UV19-UW19-UX19-UY19</f>
        <v/>
      </c>
      <c r="VA19" s="9">
        <f>VA18+UM19-(UT19+UU19+UV19+UW19+UX19+UY19+UR19)</f>
        <v/>
      </c>
      <c r="VB19" s="12">
        <f>IF(UG19&gt;0,UH19/UG19,0)</f>
        <v/>
      </c>
      <c r="VC19" s="11">
        <f>IF(UG18&gt;0,MAX(0,(UG18+TR19-UG19)/UG18),0)</f>
        <v/>
      </c>
      <c r="VE19" s="12" t="n">
        <v>15</v>
      </c>
      <c r="VF19" s="12">
        <f>MOD(VE19-1+LaunchMonth-1,12)+1</f>
        <v/>
      </c>
      <c r="VG19" s="12">
        <f>INT((VE19-1+LaunchMonth-1)/12)+1</f>
        <v/>
      </c>
      <c r="VH19" s="12">
        <f>VLOOKUP(VF19,SeasonTable,2,FALSE)</f>
        <v/>
      </c>
      <c r="VI19" s="12">
        <f>(1+InflationRate)^INT((VE19-1)/12)</f>
        <v/>
      </c>
      <c r="VJ19" s="11">
        <f>MonthlyChurn*VLOOKUP(VF19,ChurnSeasonTable,4,FALSE)</f>
        <v/>
      </c>
      <c r="VK19" s="12">
        <f>MIN(MAX(MktMin13_18,WI18*MktPct13_18),MAX(0,WW18-CashBuffer))</f>
        <v/>
      </c>
      <c r="VL19" s="12">
        <f>IF(VK19&gt;0,MAX(1,ROUND(VK19/CAC*VH19,0)),0)</f>
        <v/>
      </c>
      <c r="VM19" s="12">
        <f>IF(VL19&gt;0,ROUND(VL19*ReferralMix/(1-ReferralMix),0),0)</f>
        <v/>
      </c>
      <c r="VN19" s="12">
        <f>VL19+VM19</f>
        <v/>
      </c>
      <c r="VO19" s="12">
        <f>ROUND(VN19*(1-'Sens - Annual Mix'!$A$9),0)</f>
        <v/>
      </c>
      <c r="VP19" s="12">
        <f>VN19-VO19</f>
        <v/>
      </c>
      <c r="VQ19" s="12">
        <f>ROUND(VO19*EssentialMix,0)</f>
        <v/>
      </c>
      <c r="VR19" s="12">
        <f>ROUND(VO19*PremiumMix,0)</f>
        <v/>
      </c>
      <c r="VS19" s="12">
        <f>VO19-VQ19-VR19</f>
        <v/>
      </c>
      <c r="VT19" s="12">
        <f>ROUND(VP19*EssentialMix,0)</f>
        <v/>
      </c>
      <c r="VU19" s="12">
        <f>ROUND(VP19*PremiumMix,0)</f>
        <v/>
      </c>
      <c r="VV19" s="12">
        <f>VP19-VT19-VU19</f>
        <v/>
      </c>
      <c r="VW19" s="12">
        <f>VQ19+VQ18+VQ17+MAX(0,VW18-VQ18-VQ17)*(1-VJ19)</f>
        <v/>
      </c>
      <c r="VX19" s="12">
        <f>VR19+VR18+VR17+MAX(0,VX18-VR18-VR17)*(1-VJ19)</f>
        <v/>
      </c>
      <c r="VY19" s="12">
        <f>VS19+VS18+VS17+MAX(0,VY18-VS18-VS17)*(1-VJ19)</f>
        <v/>
      </c>
      <c r="VZ19" s="12">
        <f>VZ18+VT19-VT7*(AnnualChurn*VLOOKUP(VF19,ChurnSeasonTable,4,FALSE))*POWER(1-(AnnualChurn*VLOOKUP(VF19,ChurnSeasonTable,4,FALSE)),0)</f>
        <v/>
      </c>
      <c r="WA19" s="12">
        <f>WA18+VU19-VU7*(AnnualChurn*VLOOKUP(VF19,ChurnSeasonTable,4,FALSE))*POWER(1-(AnnualChurn*VLOOKUP(VF19,ChurnSeasonTable,4,FALSE)),0)</f>
        <v/>
      </c>
      <c r="WB19" s="12">
        <f>WB18+VV19-VV7*(AnnualChurn*VLOOKUP(VF19,ChurnSeasonTable,4,FALSE))*POWER(1-(AnnualChurn*VLOOKUP(VF19,ChurnSeasonTable,4,FALSE)),0)</f>
        <v/>
      </c>
      <c r="WC19" s="12">
        <f>VW19+VX19+VY19+VZ19+WA19+WB19</f>
        <v/>
      </c>
      <c r="WD19" s="9">
        <f>VW19*BlendedPriceEssMonthly*VI19+VX19*BlendedPricePremMonthly*VI19+VY19*BlendedPriceEliteMonthly*VI19+VZ19*BlendedPriceEssAnnual*VI19/12+WA19*BlendedPricePremAnnual*VI19/12+WB19*BlendedPriceEliteAnnual*VI19/12</f>
        <v/>
      </c>
      <c r="WE19" s="9">
        <f>WD19*12</f>
        <v/>
      </c>
      <c r="WF19" s="12">
        <f>VW19*BlendedPriceEssMonthly*VI19+VX19*BlendedPricePremMonthly*VI19+VY19*BlendedPriceEliteMonthly*VI19</f>
        <v/>
      </c>
      <c r="WG19" s="12">
        <f>VT19*BlendedPriceEssAnnual*VI19+VU19*BlendedPricePremAnnual*VI19+VV19*BlendedPriceEliteAnnual*VI19</f>
        <v/>
      </c>
      <c r="WH19" s="12">
        <f>VT7*POWER(1-(AnnualChurn*VLOOKUP(VF19,ChurnSeasonTable,4,FALSE)),1)*BlendedPriceEssAnnual*VI19+VU7*POWER(1-(AnnualChurn*VLOOKUP(VF19,ChurnSeasonTable,4,FALSE)),1)*BlendedPricePremAnnual*VI19+VV7*POWER(1-(AnnualChurn*VLOOKUP(VF19,ChurnSeasonTable,4,FALSE)),1)*BlendedPriceEliteAnnual*VI19</f>
        <v/>
      </c>
      <c r="WI19" s="9">
        <f>WF19+WG19+WH19</f>
        <v/>
      </c>
      <c r="WJ19" s="12">
        <f>SUM(WI8:WI19)</f>
        <v/>
      </c>
      <c r="WK19" s="12">
        <f>OR(WK18,IF(VATAgentMode,SUM($WI8:$WI19)-SUM($WP8:$WP19)&gt;=VATThreshold,SUM($WI8:$WI19)&gt;=VATThreshold))</f>
        <v/>
      </c>
      <c r="WL19" s="9">
        <f>IF(WK19,IF(VATAgentMode,WI19-((WI19-WP19)-(WI19-WP19)/(1+VATRate)),WI19/(1+VATRate)),WI19)</f>
        <v/>
      </c>
      <c r="WM19" s="12">
        <f>WI19-WL19</f>
        <v/>
      </c>
      <c r="WN19" s="12">
        <f>IF(WK19=0,0,IF(VF19=1,SUMPRODUCT(--(($VG$5:$VG19=$VG19-1)*($VF$5:$VF19&gt;=10)*($VF$5:$VF19&lt;=12)),$WM$5:$WM19),IF(VF19=4,SUMPRODUCT(--(($VG$5:$VG19=$VG19)*($VF$5:$VF19&gt;=1)*($VF$5:$VF19&lt;=3)),$WM$5:$WM19),IF(VF19=7,SUMPRODUCT(--(($VG$5:$VG19=$VG19)*($VF$5:$VF19&gt;=4)*($VF$5:$VF19&lt;=6)),$WM$5:$WM19),IF(VF19=10,SUMPRODUCT(--(($VG$5:$VG19=$VG19)*($VF$5:$VF19&gt;=7)*($VF$5:$VF19&lt;=9)),$WM$5:$WM19),0)))))</f>
        <v/>
      </c>
      <c r="WO19" s="12">
        <f>WO18+WM19-WN19</f>
        <v/>
      </c>
      <c r="WP19" s="12">
        <f>IF(ProviderDelay&gt;=1,VW18*BlendedProvPayEss+VX18*BlendedProvPayPrem+VY18*BlendedProvPayElite+VZ18*BlendedProvPayEss+WA18*BlendedProvPayPrem+WB18*BlendedProvPayElite,VW19*BlendedProvPayEss+VX19*BlendedProvPayPrem+VY19*BlendedProvPayElite+VZ19*BlendedProvPayEss+WA19*BlendedProvPayPrem+WB19*BlendedProvPayElite)</f>
        <v/>
      </c>
      <c r="WQ19" s="12">
        <f>WI19*PaymentFee</f>
        <v/>
      </c>
      <c r="WR19" s="12">
        <f>WC19*OpsAI</f>
        <v/>
      </c>
      <c r="WS19" s="12">
        <f>MonthlyFixed</f>
        <v/>
      </c>
      <c r="WT19" s="12">
        <f>VM19*ReferralReward</f>
        <v/>
      </c>
      <c r="WU19" s="12">
        <f>VK19</f>
        <v/>
      </c>
      <c r="WV19" s="9">
        <f>WL19-WP19-WQ19-WR19-WS19-WT19-WU19</f>
        <v/>
      </c>
      <c r="WW19" s="9">
        <f>WW18+WI19-(WP19+WQ19+WR19+WS19+WT19+WU19+WN19)</f>
        <v/>
      </c>
      <c r="WX19" s="12">
        <f>IF(WC19&gt;0,WD19/WC19,0)</f>
        <v/>
      </c>
      <c r="WY19" s="11">
        <f>IF(WC18&gt;0,MAX(0,(WC18+VN19-WC19)/WC18),0)</f>
        <v/>
      </c>
      <c r="XA19" s="12" t="n">
        <v>15</v>
      </c>
      <c r="XB19" s="12">
        <f>MOD(XA19-1+LaunchMonth-1,12)+1</f>
        <v/>
      </c>
      <c r="XC19" s="12">
        <f>INT((XA19-1+LaunchMonth-1)/12)+1</f>
        <v/>
      </c>
      <c r="XD19" s="12">
        <f>VLOOKUP(XB19,SeasonTable,2,FALSE)</f>
        <v/>
      </c>
      <c r="XE19" s="12">
        <f>(1+InflationRate)^INT((XA19-1)/12)</f>
        <v/>
      </c>
      <c r="XF19" s="11">
        <f>MonthlyChurn*VLOOKUP(XB19,ChurnSeasonTable,4,FALSE)</f>
        <v/>
      </c>
      <c r="XG19" s="12">
        <f>MIN(MAX(MktMin13_18,YE18*MktPct13_18),MAX(0,YS18-CashBuffer))</f>
        <v/>
      </c>
      <c r="XH19" s="12">
        <f>IF(XG19&gt;0,MAX(1,ROUND(XG19/CAC*XD19,0)),0)</f>
        <v/>
      </c>
      <c r="XI19" s="12">
        <f>IF(XH19&gt;0,ROUND(XH19*ReferralMix/(1-ReferralMix),0),0)</f>
        <v/>
      </c>
      <c r="XJ19" s="12">
        <f>XH19+XI19</f>
        <v/>
      </c>
      <c r="XK19" s="12">
        <f>ROUND(XJ19*(1-'Sens - Annual Mix'!$A$10),0)</f>
        <v/>
      </c>
      <c r="XL19" s="12">
        <f>XJ19-XK19</f>
        <v/>
      </c>
      <c r="XM19" s="12">
        <f>ROUND(XK19*EssentialMix,0)</f>
        <v/>
      </c>
      <c r="XN19" s="12">
        <f>ROUND(XK19*PremiumMix,0)</f>
        <v/>
      </c>
      <c r="XO19" s="12">
        <f>XK19-XM19-XN19</f>
        <v/>
      </c>
      <c r="XP19" s="12">
        <f>ROUND(XL19*EssentialMix,0)</f>
        <v/>
      </c>
      <c r="XQ19" s="12">
        <f>ROUND(XL19*PremiumMix,0)</f>
        <v/>
      </c>
      <c r="XR19" s="12">
        <f>XL19-XP19-XQ19</f>
        <v/>
      </c>
      <c r="XS19" s="12">
        <f>XM19+XM18+XM17+MAX(0,XS18-XM18-XM17)*(1-XF19)</f>
        <v/>
      </c>
      <c r="XT19" s="12">
        <f>XN19+XN18+XN17+MAX(0,XT18-XN18-XN17)*(1-XF19)</f>
        <v/>
      </c>
      <c r="XU19" s="12">
        <f>XO19+XO18+XO17+MAX(0,XU18-XO18-XO17)*(1-XF19)</f>
        <v/>
      </c>
      <c r="XV19" s="12">
        <f>XV18+XP19-XP7*(AnnualChurn*VLOOKUP(XB19,ChurnSeasonTable,4,FALSE))*POWER(1-(AnnualChurn*VLOOKUP(XB19,ChurnSeasonTable,4,FALSE)),0)</f>
        <v/>
      </c>
      <c r="XW19" s="12">
        <f>XW18+XQ19-XQ7*(AnnualChurn*VLOOKUP(XB19,ChurnSeasonTable,4,FALSE))*POWER(1-(AnnualChurn*VLOOKUP(XB19,ChurnSeasonTable,4,FALSE)),0)</f>
        <v/>
      </c>
      <c r="XX19" s="12">
        <f>XX18+XR19-XR7*(AnnualChurn*VLOOKUP(XB19,ChurnSeasonTable,4,FALSE))*POWER(1-(AnnualChurn*VLOOKUP(XB19,ChurnSeasonTable,4,FALSE)),0)</f>
        <v/>
      </c>
      <c r="XY19" s="12">
        <f>XS19+XT19+XU19+XV19+XW19+XX19</f>
        <v/>
      </c>
      <c r="XZ19" s="9">
        <f>XS19*BlendedPriceEssMonthly*XE19+XT19*BlendedPricePremMonthly*XE19+XU19*BlendedPriceEliteMonthly*XE19+XV19*BlendedPriceEssAnnual*XE19/12+XW19*BlendedPricePremAnnual*XE19/12+XX19*BlendedPriceEliteAnnual*XE19/12</f>
        <v/>
      </c>
      <c r="YA19" s="9">
        <f>XZ19*12</f>
        <v/>
      </c>
      <c r="YB19" s="12">
        <f>XS19*BlendedPriceEssMonthly*XE19+XT19*BlendedPricePremMonthly*XE19+XU19*BlendedPriceEliteMonthly*XE19</f>
        <v/>
      </c>
      <c r="YC19" s="12">
        <f>XP19*BlendedPriceEssAnnual*XE19+XQ19*BlendedPricePremAnnual*XE19+XR19*BlendedPriceEliteAnnual*XE19</f>
        <v/>
      </c>
      <c r="YD19" s="12">
        <f>XP7*POWER(1-(AnnualChurn*VLOOKUP(XB19,ChurnSeasonTable,4,FALSE)),1)*BlendedPriceEssAnnual*XE19+XQ7*POWER(1-(AnnualChurn*VLOOKUP(XB19,ChurnSeasonTable,4,FALSE)),1)*BlendedPricePremAnnual*XE19+XR7*POWER(1-(AnnualChurn*VLOOKUP(XB19,ChurnSeasonTable,4,FALSE)),1)*BlendedPriceEliteAnnual*XE19</f>
        <v/>
      </c>
      <c r="YE19" s="9">
        <f>YB19+YC19+YD19</f>
        <v/>
      </c>
      <c r="YF19" s="12">
        <f>SUM(YE8:YE19)</f>
        <v/>
      </c>
      <c r="YG19" s="12">
        <f>OR(YG18,IF(VATAgentMode,SUM($YE8:$YE19)-SUM($YL8:$YL19)&gt;=VATThreshold,SUM($YE8:$YE19)&gt;=VATThreshold))</f>
        <v/>
      </c>
      <c r="YH19" s="9">
        <f>IF(YG19,IF(VATAgentMode,YE19-((YE19-YL19)-(YE19-YL19)/(1+VATRate)),YE19/(1+VATRate)),YE19)</f>
        <v/>
      </c>
      <c r="YI19" s="12">
        <f>YE19-YH19</f>
        <v/>
      </c>
      <c r="YJ19" s="12">
        <f>IF(YG19=0,0,IF(XB19=1,SUMPRODUCT(--(($XC$5:$XC19=$XC19-1)*($XB$5:$XB19&gt;=10)*($XB$5:$XB19&lt;=12)),$YI$5:$YI19),IF(XB19=4,SUMPRODUCT(--(($XC$5:$XC19=$XC19)*($XB$5:$XB19&gt;=1)*($XB$5:$XB19&lt;=3)),$YI$5:$YI19),IF(XB19=7,SUMPRODUCT(--(($XC$5:$XC19=$XC19)*($XB$5:$XB19&gt;=4)*($XB$5:$XB19&lt;=6)),$YI$5:$YI19),IF(XB19=10,SUMPRODUCT(--(($XC$5:$XC19=$XC19)*($XB$5:$XB19&gt;=7)*($XB$5:$XB19&lt;=9)),$YI$5:$YI19),0)))))</f>
        <v/>
      </c>
      <c r="YK19" s="12">
        <f>YK18+YI19-YJ19</f>
        <v/>
      </c>
      <c r="YL19" s="12">
        <f>IF(ProviderDelay&gt;=1,XS18*BlendedProvPayEss+XT18*BlendedProvPayPrem+XU18*BlendedProvPayElite+XV18*BlendedProvPayEss+XW18*BlendedProvPayPrem+XX18*BlendedProvPayElite,XS19*BlendedProvPayEss+XT19*BlendedProvPayPrem+XU19*BlendedProvPayElite+XV19*BlendedProvPayEss+XW19*BlendedProvPayPrem+XX19*BlendedProvPayElite)</f>
        <v/>
      </c>
      <c r="YM19" s="12">
        <f>YE19*PaymentFee</f>
        <v/>
      </c>
      <c r="YN19" s="12">
        <f>XY19*OpsAI</f>
        <v/>
      </c>
      <c r="YO19" s="12">
        <f>MonthlyFixed</f>
        <v/>
      </c>
      <c r="YP19" s="12">
        <f>XI19*ReferralReward</f>
        <v/>
      </c>
      <c r="YQ19" s="12">
        <f>XG19</f>
        <v/>
      </c>
      <c r="YR19" s="9">
        <f>YH19-YL19-YM19-YN19-YO19-YP19-YQ19</f>
        <v/>
      </c>
      <c r="YS19" s="9">
        <f>YS18+YE19-(YL19+YM19+YN19+YO19+YP19+YQ19+YJ19)</f>
        <v/>
      </c>
      <c r="YT19" s="12">
        <f>IF(XY19&gt;0,XZ19/XY19,0)</f>
        <v/>
      </c>
      <c r="YU19" s="11">
        <f>IF(XY18&gt;0,MAX(0,(XY18+XJ19-XY19)/XY18),0)</f>
        <v/>
      </c>
      <c r="YW19" s="12" t="n">
        <v>15</v>
      </c>
      <c r="YX19" s="12">
        <f>MOD(YW19-1+LaunchMonth-1,12)+1</f>
        <v/>
      </c>
      <c r="YY19" s="12">
        <f>INT((YW19-1+LaunchMonth-1)/12)+1</f>
        <v/>
      </c>
      <c r="YZ19" s="12">
        <f>VLOOKUP(YX19,SeasonTable,2,FALSE)</f>
        <v/>
      </c>
      <c r="ZA19" s="12">
        <f>(1+InflationRate)^INT((YW19-1)/12)</f>
        <v/>
      </c>
      <c r="ZB19" s="11">
        <f>MonthlyChurn*VLOOKUP(YX19,ChurnSeasonTable,4,FALSE)</f>
        <v/>
      </c>
      <c r="ZC19" s="12">
        <f>MIN(MAX(MktMin13_18,AAA18*MktPct13_18),MAX(0,AAO18-CashBuffer))</f>
        <v/>
      </c>
      <c r="ZD19" s="12">
        <f>IF(ZC19&gt;0,MAX(1,ROUND(ZC19/CAC*YZ19,0)),0)</f>
        <v/>
      </c>
      <c r="ZE19" s="12">
        <f>IF(ZD19&gt;0,ROUND(ZD19*ReferralMix/(1-ReferralMix),0),0)</f>
        <v/>
      </c>
      <c r="ZF19" s="12">
        <f>ZD19+ZE19</f>
        <v/>
      </c>
      <c r="ZG19" s="12">
        <f>ROUND(ZF19*(1-'Sens - Annual Mix'!$A$11),0)</f>
        <v/>
      </c>
      <c r="ZH19" s="12">
        <f>ZF19-ZG19</f>
        <v/>
      </c>
      <c r="ZI19" s="12">
        <f>ROUND(ZG19*EssentialMix,0)</f>
        <v/>
      </c>
      <c r="ZJ19" s="12">
        <f>ROUND(ZG19*PremiumMix,0)</f>
        <v/>
      </c>
      <c r="ZK19" s="12">
        <f>ZG19-ZI19-ZJ19</f>
        <v/>
      </c>
      <c r="ZL19" s="12">
        <f>ROUND(ZH19*EssentialMix,0)</f>
        <v/>
      </c>
      <c r="ZM19" s="12">
        <f>ROUND(ZH19*PremiumMix,0)</f>
        <v/>
      </c>
      <c r="ZN19" s="12">
        <f>ZH19-ZL19-ZM19</f>
        <v/>
      </c>
      <c r="ZO19" s="12">
        <f>ZI19+ZI18+ZI17+MAX(0,ZO18-ZI18-ZI17)*(1-ZB19)</f>
        <v/>
      </c>
      <c r="ZP19" s="12">
        <f>ZJ19+ZJ18+ZJ17+MAX(0,ZP18-ZJ18-ZJ17)*(1-ZB19)</f>
        <v/>
      </c>
      <c r="ZQ19" s="12">
        <f>ZK19+ZK18+ZK17+MAX(0,ZQ18-ZK18-ZK17)*(1-ZB19)</f>
        <v/>
      </c>
      <c r="ZR19" s="12">
        <f>ZR18+ZL19-ZL7*(AnnualChurn*VLOOKUP(YX19,ChurnSeasonTable,4,FALSE))*POWER(1-(AnnualChurn*VLOOKUP(YX19,ChurnSeasonTable,4,FALSE)),0)</f>
        <v/>
      </c>
      <c r="ZS19" s="12">
        <f>ZS18+ZM19-ZM7*(AnnualChurn*VLOOKUP(YX19,ChurnSeasonTable,4,FALSE))*POWER(1-(AnnualChurn*VLOOKUP(YX19,ChurnSeasonTable,4,FALSE)),0)</f>
        <v/>
      </c>
      <c r="ZT19" s="12">
        <f>ZT18+ZN19-ZN7*(AnnualChurn*VLOOKUP(YX19,ChurnSeasonTable,4,FALSE))*POWER(1-(AnnualChurn*VLOOKUP(YX19,ChurnSeasonTable,4,FALSE)),0)</f>
        <v/>
      </c>
      <c r="ZU19" s="12">
        <f>ZO19+ZP19+ZQ19+ZR19+ZS19+ZT19</f>
        <v/>
      </c>
      <c r="ZV19" s="9">
        <f>ZO19*BlendedPriceEssMonthly*ZA19+ZP19*BlendedPricePremMonthly*ZA19+ZQ19*BlendedPriceEliteMonthly*ZA19+ZR19*BlendedPriceEssAnnual*ZA19/12+ZS19*BlendedPricePremAnnual*ZA19/12+ZT19*BlendedPriceEliteAnnual*ZA19/12</f>
        <v/>
      </c>
      <c r="ZW19" s="9">
        <f>ZV19*12</f>
        <v/>
      </c>
      <c r="ZX19" s="12">
        <f>ZO19*BlendedPriceEssMonthly*ZA19+ZP19*BlendedPricePremMonthly*ZA19+ZQ19*BlendedPriceEliteMonthly*ZA19</f>
        <v/>
      </c>
      <c r="ZY19" s="12">
        <f>ZL19*BlendedPriceEssAnnual*ZA19+ZM19*BlendedPricePremAnnual*ZA19+ZN19*BlendedPriceEliteAnnual*ZA19</f>
        <v/>
      </c>
      <c r="ZZ19" s="12">
        <f>ZL7*POWER(1-(AnnualChurn*VLOOKUP(YX19,ChurnSeasonTable,4,FALSE)),1)*BlendedPriceEssAnnual*ZA19+ZM7*POWER(1-(AnnualChurn*VLOOKUP(YX19,ChurnSeasonTable,4,FALSE)),1)*BlendedPricePremAnnual*ZA19+ZN7*POWER(1-(AnnualChurn*VLOOKUP(YX19,ChurnSeasonTable,4,FALSE)),1)*BlendedPriceEliteAnnual*ZA19</f>
        <v/>
      </c>
      <c r="AAA19" s="9">
        <f>ZX19+ZY19+ZZ19</f>
        <v/>
      </c>
      <c r="AAB19" s="12">
        <f>SUM(AAA8:AAA19)</f>
        <v/>
      </c>
      <c r="AAC19" s="12">
        <f>OR(AAC18,IF(VATAgentMode,SUM($AAA8:$AAA19)-SUM($AAH8:$AAH19)&gt;=VATThreshold,SUM($AAA8:$AAA19)&gt;=VATThreshold))</f>
        <v/>
      </c>
      <c r="AAD19" s="9">
        <f>IF(AAC19,IF(VATAgentMode,AAA19-((AAA19-AAH19)-(AAA19-AAH19)/(1+VATRate)),AAA19/(1+VATRate)),AAA19)</f>
        <v/>
      </c>
      <c r="AAE19" s="12">
        <f>AAA19-AAD19</f>
        <v/>
      </c>
      <c r="AAF19" s="12">
        <f>IF(AAC19=0,0,IF(YX19=1,SUMPRODUCT(--(($YY$5:$YY19=$YY19-1)*($YX$5:$YX19&gt;=10)*($YX$5:$YX19&lt;=12)),$AAE$5:$AAE19),IF(YX19=4,SUMPRODUCT(--(($YY$5:$YY19=$YY19)*($YX$5:$YX19&gt;=1)*($YX$5:$YX19&lt;=3)),$AAE$5:$AAE19),IF(YX19=7,SUMPRODUCT(--(($YY$5:$YY19=$YY19)*($YX$5:$YX19&gt;=4)*($YX$5:$YX19&lt;=6)),$AAE$5:$AAE19),IF(YX19=10,SUMPRODUCT(--(($YY$5:$YY19=$YY19)*($YX$5:$YX19&gt;=7)*($YX$5:$YX19&lt;=9)),$AAE$5:$AAE19),0)))))</f>
        <v/>
      </c>
      <c r="AAG19" s="12">
        <f>AAG18+AAE19-AAF19</f>
        <v/>
      </c>
      <c r="AAH19" s="12">
        <f>IF(ProviderDelay&gt;=1,ZO18*BlendedProvPayEss+ZP18*BlendedProvPayPrem+ZQ18*BlendedProvPayElite+ZR18*BlendedProvPayEss+ZS18*BlendedProvPayPrem+ZT18*BlendedProvPayElite,ZO19*BlendedProvPayEss+ZP19*BlendedProvPayPrem+ZQ19*BlendedProvPayElite+ZR19*BlendedProvPayEss+ZS19*BlendedProvPayPrem+ZT19*BlendedProvPayElite)</f>
        <v/>
      </c>
      <c r="AAI19" s="12">
        <f>AAA19*PaymentFee</f>
        <v/>
      </c>
      <c r="AAJ19" s="12">
        <f>ZU19*OpsAI</f>
        <v/>
      </c>
      <c r="AAK19" s="12">
        <f>MonthlyFixed</f>
        <v/>
      </c>
      <c r="AAL19" s="12">
        <f>ZE19*ReferralReward</f>
        <v/>
      </c>
      <c r="AAM19" s="12">
        <f>ZC19</f>
        <v/>
      </c>
      <c r="AAN19" s="9">
        <f>AAD19-AAH19-AAI19-AAJ19-AAK19-AAL19-AAM19</f>
        <v/>
      </c>
      <c r="AAO19" s="9">
        <f>AAO18+AAA19-(AAH19+AAI19+AAJ19+AAK19+AAL19+AAM19+AAF19)</f>
        <v/>
      </c>
      <c r="AAP19" s="12">
        <f>IF(ZU19&gt;0,ZV19/ZU19,0)</f>
        <v/>
      </c>
      <c r="AAQ19" s="11">
        <f>IF(ZU18&gt;0,MAX(0,(ZU18+ZF19-ZU19)/ZU18),0)</f>
        <v/>
      </c>
      <c r="AAS19" s="12" t="n">
        <v>15</v>
      </c>
      <c r="AAT19" s="12">
        <f>MOD(AAS19-1+LaunchMonth-1,12)+1</f>
        <v/>
      </c>
      <c r="AAU19" s="12">
        <f>INT((AAS19-1+LaunchMonth-1)/12)+1</f>
        <v/>
      </c>
      <c r="AAV19" s="12">
        <f>VLOOKUP(AAT19,SeasonTable,2,FALSE)</f>
        <v/>
      </c>
      <c r="AAW19" s="12">
        <f>(1+InflationRate)^INT((AAS19-1)/12)</f>
        <v/>
      </c>
      <c r="AAX19" s="11">
        <f>MonthlyChurn*VLOOKUP(AAT19,ChurnSeasonTable,4,FALSE)</f>
        <v/>
      </c>
      <c r="AAY19" s="12">
        <f>MIN(MAX(MktMin13_18,ABW18*MktPct13_18),MAX(0,ACK18-CashBuffer))</f>
        <v/>
      </c>
      <c r="AAZ19" s="12">
        <f>IF(AAY19&gt;0,MAX(1,ROUND(AAY19/CAC*AAV19,0)),0)</f>
        <v/>
      </c>
      <c r="ABA19" s="12">
        <f>IF(AAZ19&gt;0,ROUND(AAZ19*ReferralMix/(1-ReferralMix),0),0)</f>
        <v/>
      </c>
      <c r="ABB19" s="12">
        <f>AAZ19+ABA19</f>
        <v/>
      </c>
      <c r="ABC19" s="12">
        <f>ROUND(ABB19*(1-'Sens - Annual Mix'!$A$12),0)</f>
        <v/>
      </c>
      <c r="ABD19" s="12">
        <f>ABB19-ABC19</f>
        <v/>
      </c>
      <c r="ABE19" s="12">
        <f>ROUND(ABC19*EssentialMix,0)</f>
        <v/>
      </c>
      <c r="ABF19" s="12">
        <f>ROUND(ABC19*PremiumMix,0)</f>
        <v/>
      </c>
      <c r="ABG19" s="12">
        <f>ABC19-ABE19-ABF19</f>
        <v/>
      </c>
      <c r="ABH19" s="12">
        <f>ROUND(ABD19*EssentialMix,0)</f>
        <v/>
      </c>
      <c r="ABI19" s="12">
        <f>ROUND(ABD19*PremiumMix,0)</f>
        <v/>
      </c>
      <c r="ABJ19" s="12">
        <f>ABD19-ABH19-ABI19</f>
        <v/>
      </c>
      <c r="ABK19" s="12">
        <f>ABE19+ABE18+ABE17+MAX(0,ABK18-ABE18-ABE17)*(1-AAX19)</f>
        <v/>
      </c>
      <c r="ABL19" s="12">
        <f>ABF19+ABF18+ABF17+MAX(0,ABL18-ABF18-ABF17)*(1-AAX19)</f>
        <v/>
      </c>
      <c r="ABM19" s="12">
        <f>ABG19+ABG18+ABG17+MAX(0,ABM18-ABG18-ABG17)*(1-AAX19)</f>
        <v/>
      </c>
      <c r="ABN19" s="12">
        <f>ABN18+ABH19-ABH7*(AnnualChurn*VLOOKUP(AAT19,ChurnSeasonTable,4,FALSE))*POWER(1-(AnnualChurn*VLOOKUP(AAT19,ChurnSeasonTable,4,FALSE)),0)</f>
        <v/>
      </c>
      <c r="ABO19" s="12">
        <f>ABO18+ABI19-ABI7*(AnnualChurn*VLOOKUP(AAT19,ChurnSeasonTable,4,FALSE))*POWER(1-(AnnualChurn*VLOOKUP(AAT19,ChurnSeasonTable,4,FALSE)),0)</f>
        <v/>
      </c>
      <c r="ABP19" s="12">
        <f>ABP18+ABJ19-ABJ7*(AnnualChurn*VLOOKUP(AAT19,ChurnSeasonTable,4,FALSE))*POWER(1-(AnnualChurn*VLOOKUP(AAT19,ChurnSeasonTable,4,FALSE)),0)</f>
        <v/>
      </c>
      <c r="ABQ19" s="12">
        <f>ABK19+ABL19+ABM19+ABN19+ABO19+ABP19</f>
        <v/>
      </c>
      <c r="ABR19" s="9">
        <f>ABK19*BlendedPriceEssMonthly*AAW19+ABL19*BlendedPricePremMonthly*AAW19+ABM19*BlendedPriceEliteMonthly*AAW19+ABN19*BlendedPriceEssAnnual*AAW19/12+ABO19*BlendedPricePremAnnual*AAW19/12+ABP19*BlendedPriceEliteAnnual*AAW19/12</f>
        <v/>
      </c>
      <c r="ABS19" s="9">
        <f>ABR19*12</f>
        <v/>
      </c>
      <c r="ABT19" s="12">
        <f>ABK19*BlendedPriceEssMonthly*AAW19+ABL19*BlendedPricePremMonthly*AAW19+ABM19*BlendedPriceEliteMonthly*AAW19</f>
        <v/>
      </c>
      <c r="ABU19" s="12">
        <f>ABH19*BlendedPriceEssAnnual*AAW19+ABI19*BlendedPricePremAnnual*AAW19+ABJ19*BlendedPriceEliteAnnual*AAW19</f>
        <v/>
      </c>
      <c r="ABV19" s="12">
        <f>ABH7*POWER(1-(AnnualChurn*VLOOKUP(AAT19,ChurnSeasonTable,4,FALSE)),1)*BlendedPriceEssAnnual*AAW19+ABI7*POWER(1-(AnnualChurn*VLOOKUP(AAT19,ChurnSeasonTable,4,FALSE)),1)*BlendedPricePremAnnual*AAW19+ABJ7*POWER(1-(AnnualChurn*VLOOKUP(AAT19,ChurnSeasonTable,4,FALSE)),1)*BlendedPriceEliteAnnual*AAW19</f>
        <v/>
      </c>
      <c r="ABW19" s="9">
        <f>ABT19+ABU19+ABV19</f>
        <v/>
      </c>
      <c r="ABX19" s="12">
        <f>SUM(ABW8:ABW19)</f>
        <v/>
      </c>
      <c r="ABY19" s="12">
        <f>OR(ABY18,IF(VATAgentMode,SUM($ABW8:$ABW19)-SUM($ACD8:$ACD19)&gt;=VATThreshold,SUM($ABW8:$ABW19)&gt;=VATThreshold))</f>
        <v/>
      </c>
      <c r="ABZ19" s="9">
        <f>IF(ABY19,IF(VATAgentMode,ABW19-((ABW19-ACD19)-(ABW19-ACD19)/(1+VATRate)),ABW19/(1+VATRate)),ABW19)</f>
        <v/>
      </c>
      <c r="ACA19" s="12">
        <f>ABW19-ABZ19</f>
        <v/>
      </c>
      <c r="ACB19" s="12">
        <f>IF(ABY19=0,0,IF(AAT19=1,SUMPRODUCT(--(($AAU$5:$AAU19=$AAU19-1)*($AAT$5:$AAT19&gt;=10)*($AAT$5:$AAT19&lt;=12)),$ACA$5:$ACA19),IF(AAT19=4,SUMPRODUCT(--(($AAU$5:$AAU19=$AAU19)*($AAT$5:$AAT19&gt;=1)*($AAT$5:$AAT19&lt;=3)),$ACA$5:$ACA19),IF(AAT19=7,SUMPRODUCT(--(($AAU$5:$AAU19=$AAU19)*($AAT$5:$AAT19&gt;=4)*($AAT$5:$AAT19&lt;=6)),$ACA$5:$ACA19),IF(AAT19=10,SUMPRODUCT(--(($AAU$5:$AAU19=$AAU19)*($AAT$5:$AAT19&gt;=7)*($AAT$5:$AAT19&lt;=9)),$ACA$5:$ACA19),0)))))</f>
        <v/>
      </c>
      <c r="ACC19" s="12">
        <f>ACC18+ACA19-ACB19</f>
        <v/>
      </c>
      <c r="ACD19" s="12">
        <f>IF(ProviderDelay&gt;=1,ABK18*BlendedProvPayEss+ABL18*BlendedProvPayPrem+ABM18*BlendedProvPayElite+ABN18*BlendedProvPayEss+ABO18*BlendedProvPayPrem+ABP18*BlendedProvPayElite,ABK19*BlendedProvPayEss+ABL19*BlendedProvPayPrem+ABM19*BlendedProvPayElite+ABN19*BlendedProvPayEss+ABO19*BlendedProvPayPrem+ABP19*BlendedProvPayElite)</f>
        <v/>
      </c>
      <c r="ACE19" s="12">
        <f>ABW19*PaymentFee</f>
        <v/>
      </c>
      <c r="ACF19" s="12">
        <f>ABQ19*OpsAI</f>
        <v/>
      </c>
      <c r="ACG19" s="12">
        <f>MonthlyFixed</f>
        <v/>
      </c>
      <c r="ACH19" s="12">
        <f>ABA19*ReferralReward</f>
        <v/>
      </c>
      <c r="ACI19" s="12">
        <f>AAY19</f>
        <v/>
      </c>
      <c r="ACJ19" s="9">
        <f>ABZ19-ACD19-ACE19-ACF19-ACG19-ACH19-ACI19</f>
        <v/>
      </c>
      <c r="ACK19" s="9">
        <f>ACK18+ABW19-(ACD19+ACE19+ACF19+ACG19+ACH19+ACI19+ACB19)</f>
        <v/>
      </c>
      <c r="ACL19" s="12">
        <f>IF(ABQ19&gt;0,ABR19/ABQ19,0)</f>
        <v/>
      </c>
      <c r="ACM19" s="11">
        <f>IF(ABQ18&gt;0,MAX(0,(ABQ18+ABB19-ABQ19)/ABQ18),0)</f>
        <v/>
      </c>
      <c r="ACO19" s="12" t="n">
        <v>15</v>
      </c>
      <c r="ACP19" s="12">
        <f>MOD(ACO19-1+LaunchMonth-1,12)+1</f>
        <v/>
      </c>
      <c r="ACQ19" s="12">
        <f>INT((ACO19-1+LaunchMonth-1)/12)+1</f>
        <v/>
      </c>
      <c r="ACR19" s="12">
        <f>VLOOKUP(ACP19,SeasonTable,2,FALSE)</f>
        <v/>
      </c>
      <c r="ACS19" s="12">
        <f>(1+InflationRate)^INT((ACO19-1)/12)</f>
        <v/>
      </c>
      <c r="ACT19" s="11">
        <f>MonthlyChurn*VLOOKUP(ACP19,ChurnSeasonTable,4,FALSE)</f>
        <v/>
      </c>
      <c r="ACU19" s="12">
        <f>MIN(MAX(MktMin13_18,ADS18*MktPct13_18),MAX(0,AEG18-CashBuffer))</f>
        <v/>
      </c>
      <c r="ACV19" s="12">
        <f>IF(ACU19&gt;0,MAX(1,ROUND(ACU19/CAC*ACR19,0)),0)</f>
        <v/>
      </c>
      <c r="ACW19" s="12">
        <f>IF(ACV19&gt;0,ROUND(ACV19*ReferralMix/(1-ReferralMix),0),0)</f>
        <v/>
      </c>
      <c r="ACX19" s="12">
        <f>ACV19+ACW19</f>
        <v/>
      </c>
      <c r="ACY19" s="12">
        <f>ROUND(ACX19*(1-'Sens - Annual Mix'!$A$13),0)</f>
        <v/>
      </c>
      <c r="ACZ19" s="12">
        <f>ACX19-ACY19</f>
        <v/>
      </c>
      <c r="ADA19" s="12">
        <f>ROUND(ACY19*EssentialMix,0)</f>
        <v/>
      </c>
      <c r="ADB19" s="12">
        <f>ROUND(ACY19*PremiumMix,0)</f>
        <v/>
      </c>
      <c r="ADC19" s="12">
        <f>ACY19-ADA19-ADB19</f>
        <v/>
      </c>
      <c r="ADD19" s="12">
        <f>ROUND(ACZ19*EssentialMix,0)</f>
        <v/>
      </c>
      <c r="ADE19" s="12">
        <f>ROUND(ACZ19*PremiumMix,0)</f>
        <v/>
      </c>
      <c r="ADF19" s="12">
        <f>ACZ19-ADD19-ADE19</f>
        <v/>
      </c>
      <c r="ADG19" s="12">
        <f>ADA19+ADA18+ADA17+MAX(0,ADG18-ADA18-ADA17)*(1-ACT19)</f>
        <v/>
      </c>
      <c r="ADH19" s="12">
        <f>ADB19+ADB18+ADB17+MAX(0,ADH18-ADB18-ADB17)*(1-ACT19)</f>
        <v/>
      </c>
      <c r="ADI19" s="12">
        <f>ADC19+ADC18+ADC17+MAX(0,ADI18-ADC18-ADC17)*(1-ACT19)</f>
        <v/>
      </c>
      <c r="ADJ19" s="12">
        <f>ADJ18+ADD19-ADD7*(AnnualChurn*VLOOKUP(ACP19,ChurnSeasonTable,4,FALSE))*POWER(1-(AnnualChurn*VLOOKUP(ACP19,ChurnSeasonTable,4,FALSE)),0)</f>
        <v/>
      </c>
      <c r="ADK19" s="12">
        <f>ADK18+ADE19-ADE7*(AnnualChurn*VLOOKUP(ACP19,ChurnSeasonTable,4,FALSE))*POWER(1-(AnnualChurn*VLOOKUP(ACP19,ChurnSeasonTable,4,FALSE)),0)</f>
        <v/>
      </c>
      <c r="ADL19" s="12">
        <f>ADL18+ADF19-ADF7*(AnnualChurn*VLOOKUP(ACP19,ChurnSeasonTable,4,FALSE))*POWER(1-(AnnualChurn*VLOOKUP(ACP19,ChurnSeasonTable,4,FALSE)),0)</f>
        <v/>
      </c>
      <c r="ADM19" s="12">
        <f>ADG19+ADH19+ADI19+ADJ19+ADK19+ADL19</f>
        <v/>
      </c>
      <c r="ADN19" s="9">
        <f>ADG19*BlendedPriceEssMonthly*ACS19+ADH19*BlendedPricePremMonthly*ACS19+ADI19*BlendedPriceEliteMonthly*ACS19+ADJ19*BlendedPriceEssAnnual*ACS19/12+ADK19*BlendedPricePremAnnual*ACS19/12+ADL19*BlendedPriceEliteAnnual*ACS19/12</f>
        <v/>
      </c>
      <c r="ADO19" s="9">
        <f>ADN19*12</f>
        <v/>
      </c>
      <c r="ADP19" s="12">
        <f>ADG19*BlendedPriceEssMonthly*ACS19+ADH19*BlendedPricePremMonthly*ACS19+ADI19*BlendedPriceEliteMonthly*ACS19</f>
        <v/>
      </c>
      <c r="ADQ19" s="12">
        <f>ADD19*BlendedPriceEssAnnual*ACS19+ADE19*BlendedPricePremAnnual*ACS19+ADF19*BlendedPriceEliteAnnual*ACS19</f>
        <v/>
      </c>
      <c r="ADR19" s="12">
        <f>ADD7*POWER(1-(AnnualChurn*VLOOKUP(ACP19,ChurnSeasonTable,4,FALSE)),1)*BlendedPriceEssAnnual*ACS19+ADE7*POWER(1-(AnnualChurn*VLOOKUP(ACP19,ChurnSeasonTable,4,FALSE)),1)*BlendedPricePremAnnual*ACS19+ADF7*POWER(1-(AnnualChurn*VLOOKUP(ACP19,ChurnSeasonTable,4,FALSE)),1)*BlendedPriceEliteAnnual*ACS19</f>
        <v/>
      </c>
      <c r="ADS19" s="9">
        <f>ADP19+ADQ19+ADR19</f>
        <v/>
      </c>
      <c r="ADT19" s="12">
        <f>SUM(ADS8:ADS19)</f>
        <v/>
      </c>
      <c r="ADU19" s="12">
        <f>OR(ADU18,IF(VATAgentMode,SUM($ADS8:$ADS19)-SUM($ADZ8:$ADZ19)&gt;=VATThreshold,SUM($ADS8:$ADS19)&gt;=VATThreshold))</f>
        <v/>
      </c>
      <c r="ADV19" s="9">
        <f>IF(ADU19,IF(VATAgentMode,ADS19-((ADS19-ADZ19)-(ADS19-ADZ19)/(1+VATRate)),ADS19/(1+VATRate)),ADS19)</f>
        <v/>
      </c>
      <c r="ADW19" s="12">
        <f>ADS19-ADV19</f>
        <v/>
      </c>
      <c r="ADX19" s="12">
        <f>IF(ADU19=0,0,IF(ACP19=1,SUMPRODUCT(--(($ACQ$5:$ACQ19=$ACQ19-1)*($ACP$5:$ACP19&gt;=10)*($ACP$5:$ACP19&lt;=12)),$ADW$5:$ADW19),IF(ACP19=4,SUMPRODUCT(--(($ACQ$5:$ACQ19=$ACQ19)*($ACP$5:$ACP19&gt;=1)*($ACP$5:$ACP19&lt;=3)),$ADW$5:$ADW19),IF(ACP19=7,SUMPRODUCT(--(($ACQ$5:$ACQ19=$ACQ19)*($ACP$5:$ACP19&gt;=4)*($ACP$5:$ACP19&lt;=6)),$ADW$5:$ADW19),IF(ACP19=10,SUMPRODUCT(--(($ACQ$5:$ACQ19=$ACQ19)*($ACP$5:$ACP19&gt;=7)*($ACP$5:$ACP19&lt;=9)),$ADW$5:$ADW19),0)))))</f>
        <v/>
      </c>
      <c r="ADY19" s="12">
        <f>ADY18+ADW19-ADX19</f>
        <v/>
      </c>
      <c r="ADZ19" s="12">
        <f>IF(ProviderDelay&gt;=1,ADG18*BlendedProvPayEss+ADH18*BlendedProvPayPrem+ADI18*BlendedProvPayElite+ADJ18*BlendedProvPayEss+ADK18*BlendedProvPayPrem+ADL18*BlendedProvPayElite,ADG19*BlendedProvPayEss+ADH19*BlendedProvPayPrem+ADI19*BlendedProvPayElite+ADJ19*BlendedProvPayEss+ADK19*BlendedProvPayPrem+ADL19*BlendedProvPayElite)</f>
        <v/>
      </c>
      <c r="AEA19" s="12">
        <f>ADS19*PaymentFee</f>
        <v/>
      </c>
      <c r="AEB19" s="12">
        <f>ADM19*OpsAI</f>
        <v/>
      </c>
      <c r="AEC19" s="12">
        <f>MonthlyFixed</f>
        <v/>
      </c>
      <c r="AED19" s="12">
        <f>ACW19*ReferralReward</f>
        <v/>
      </c>
      <c r="AEE19" s="12">
        <f>ACU19</f>
        <v/>
      </c>
      <c r="AEF19" s="9">
        <f>ADV19-ADZ19-AEA19-AEB19-AEC19-AED19-AEE19</f>
        <v/>
      </c>
      <c r="AEG19" s="9">
        <f>AEG18+ADS19-(ADZ19+AEA19+AEB19+AEC19+AED19+AEE19+ADX19)</f>
        <v/>
      </c>
      <c r="AEH19" s="12">
        <f>IF(ADM19&gt;0,ADN19/ADM19,0)</f>
        <v/>
      </c>
      <c r="AEI19" s="11">
        <f>IF(ADM18&gt;0,MAX(0,(ADM18+ACX19-ADM19)/ADM18),0)</f>
        <v/>
      </c>
      <c r="AEK19" s="12" t="n">
        <v>15</v>
      </c>
      <c r="AEL19" s="12">
        <f>MOD(AEK19-1+LaunchMonth-1,12)+1</f>
        <v/>
      </c>
      <c r="AEM19" s="12">
        <f>INT((AEK19-1+LaunchMonth-1)/12)+1</f>
        <v/>
      </c>
      <c r="AEN19" s="12">
        <f>VLOOKUP(AEL19,SeasonTable,2,FALSE)</f>
        <v/>
      </c>
      <c r="AEO19" s="12">
        <f>(1+InflationRate)^INT((AEK19-1)/12)</f>
        <v/>
      </c>
      <c r="AEP19" s="11">
        <f>MonthlyChurn*VLOOKUP(AEL19,ChurnSeasonTable,4,FALSE)</f>
        <v/>
      </c>
      <c r="AEQ19" s="12">
        <f>MIN(MAX(MktMin13_18,AFO18*MktPct13_18),MAX(0,AGC18-CashBuffer))</f>
        <v/>
      </c>
      <c r="AER19" s="12">
        <f>IF(AEQ19&gt;0,MAX(1,ROUND(AEQ19/CAC*AEN19,0)),0)</f>
        <v/>
      </c>
      <c r="AES19" s="12">
        <f>IF(AER19&gt;0,ROUND(AER19*ReferralMix/(1-ReferralMix),0),0)</f>
        <v/>
      </c>
      <c r="AET19" s="12">
        <f>AER19+AES19</f>
        <v/>
      </c>
      <c r="AEU19" s="12">
        <f>ROUND(AET19*(1-'Sens - Annual Mix'!$A$14),0)</f>
        <v/>
      </c>
      <c r="AEV19" s="12">
        <f>AET19-AEU19</f>
        <v/>
      </c>
      <c r="AEW19" s="12">
        <f>ROUND(AEU19*EssentialMix,0)</f>
        <v/>
      </c>
      <c r="AEX19" s="12">
        <f>ROUND(AEU19*PremiumMix,0)</f>
        <v/>
      </c>
      <c r="AEY19" s="12">
        <f>AEU19-AEW19-AEX19</f>
        <v/>
      </c>
      <c r="AEZ19" s="12">
        <f>ROUND(AEV19*EssentialMix,0)</f>
        <v/>
      </c>
      <c r="AFA19" s="12">
        <f>ROUND(AEV19*PremiumMix,0)</f>
        <v/>
      </c>
      <c r="AFB19" s="12">
        <f>AEV19-AEZ19-AFA19</f>
        <v/>
      </c>
      <c r="AFC19" s="12">
        <f>AEW19+AEW18+AEW17+MAX(0,AFC18-AEW18-AEW17)*(1-AEP19)</f>
        <v/>
      </c>
      <c r="AFD19" s="12">
        <f>AEX19+AEX18+AEX17+MAX(0,AFD18-AEX18-AEX17)*(1-AEP19)</f>
        <v/>
      </c>
      <c r="AFE19" s="12">
        <f>AEY19+AEY18+AEY17+MAX(0,AFE18-AEY18-AEY17)*(1-AEP19)</f>
        <v/>
      </c>
      <c r="AFF19" s="12">
        <f>AFF18+AEZ19-AEZ7*(AnnualChurn*VLOOKUP(AEL19,ChurnSeasonTable,4,FALSE))*POWER(1-(AnnualChurn*VLOOKUP(AEL19,ChurnSeasonTable,4,FALSE)),0)</f>
        <v/>
      </c>
      <c r="AFG19" s="12">
        <f>AFG18+AFA19-AFA7*(AnnualChurn*VLOOKUP(AEL19,ChurnSeasonTable,4,FALSE))*POWER(1-(AnnualChurn*VLOOKUP(AEL19,ChurnSeasonTable,4,FALSE)),0)</f>
        <v/>
      </c>
      <c r="AFH19" s="12">
        <f>AFH18+AFB19-AFB7*(AnnualChurn*VLOOKUP(AEL19,ChurnSeasonTable,4,FALSE))*POWER(1-(AnnualChurn*VLOOKUP(AEL19,ChurnSeasonTable,4,FALSE)),0)</f>
        <v/>
      </c>
      <c r="AFI19" s="12">
        <f>AFC19+AFD19+AFE19+AFF19+AFG19+AFH19</f>
        <v/>
      </c>
      <c r="AFJ19" s="9">
        <f>AFC19*BlendedPriceEssMonthly*AEO19+AFD19*BlendedPricePremMonthly*AEO19+AFE19*BlendedPriceEliteMonthly*AEO19+AFF19*BlendedPriceEssAnnual*AEO19/12+AFG19*BlendedPricePremAnnual*AEO19/12+AFH19*BlendedPriceEliteAnnual*AEO19/12</f>
        <v/>
      </c>
      <c r="AFK19" s="9">
        <f>AFJ19*12</f>
        <v/>
      </c>
      <c r="AFL19" s="12">
        <f>AFC19*BlendedPriceEssMonthly*AEO19+AFD19*BlendedPricePremMonthly*AEO19+AFE19*BlendedPriceEliteMonthly*AEO19</f>
        <v/>
      </c>
      <c r="AFM19" s="12">
        <f>AEZ19*BlendedPriceEssAnnual*AEO19+AFA19*BlendedPricePremAnnual*AEO19+AFB19*BlendedPriceEliteAnnual*AEO19</f>
        <v/>
      </c>
      <c r="AFN19" s="12">
        <f>AEZ7*POWER(1-(AnnualChurn*VLOOKUP(AEL19,ChurnSeasonTable,4,FALSE)),1)*BlendedPriceEssAnnual*AEO19+AFA7*POWER(1-(AnnualChurn*VLOOKUP(AEL19,ChurnSeasonTable,4,FALSE)),1)*BlendedPricePremAnnual*AEO19+AFB7*POWER(1-(AnnualChurn*VLOOKUP(AEL19,ChurnSeasonTable,4,FALSE)),1)*BlendedPriceEliteAnnual*AEO19</f>
        <v/>
      </c>
      <c r="AFO19" s="9">
        <f>AFL19+AFM19+AFN19</f>
        <v/>
      </c>
      <c r="AFP19" s="12">
        <f>SUM(AFO8:AFO19)</f>
        <v/>
      </c>
      <c r="AFQ19" s="12">
        <f>OR(AFQ18,IF(VATAgentMode,SUM($AFO8:$AFO19)-SUM($AFV8:$AFV19)&gt;=VATThreshold,SUM($AFO8:$AFO19)&gt;=VATThreshold))</f>
        <v/>
      </c>
      <c r="AFR19" s="9">
        <f>IF(AFQ19,IF(VATAgentMode,AFO19-((AFO19-AFV19)-(AFO19-AFV19)/(1+VATRate)),AFO19/(1+VATRate)),AFO19)</f>
        <v/>
      </c>
      <c r="AFS19" s="12">
        <f>AFO19-AFR19</f>
        <v/>
      </c>
      <c r="AFT19" s="12">
        <f>IF(AFQ19=0,0,IF(AEL19=1,SUMPRODUCT(--(($AEM$5:$AEM19=$AEM19-1)*($AEL$5:$AEL19&gt;=10)*($AEL$5:$AEL19&lt;=12)),$AFS$5:$AFS19),IF(AEL19=4,SUMPRODUCT(--(($AEM$5:$AEM19=$AEM19)*($AEL$5:$AEL19&gt;=1)*($AEL$5:$AEL19&lt;=3)),$AFS$5:$AFS19),IF(AEL19=7,SUMPRODUCT(--(($AEM$5:$AEM19=$AEM19)*($AEL$5:$AEL19&gt;=4)*($AEL$5:$AEL19&lt;=6)),$AFS$5:$AFS19),IF(AEL19=10,SUMPRODUCT(--(($AEM$5:$AEM19=$AEM19)*($AEL$5:$AEL19&gt;=7)*($AEL$5:$AEL19&lt;=9)),$AFS$5:$AFS19),0)))))</f>
        <v/>
      </c>
      <c r="AFU19" s="12">
        <f>AFU18+AFS19-AFT19</f>
        <v/>
      </c>
      <c r="AFV19" s="12">
        <f>IF(ProviderDelay&gt;=1,AFC18*BlendedProvPayEss+AFD18*BlendedProvPayPrem+AFE18*BlendedProvPayElite+AFF18*BlendedProvPayEss+AFG18*BlendedProvPayPrem+AFH18*BlendedProvPayElite,AFC19*BlendedProvPayEss+AFD19*BlendedProvPayPrem+AFE19*BlendedProvPayElite+AFF19*BlendedProvPayEss+AFG19*BlendedProvPayPrem+AFH19*BlendedProvPayElite)</f>
        <v/>
      </c>
      <c r="AFW19" s="12">
        <f>AFO19*PaymentFee</f>
        <v/>
      </c>
      <c r="AFX19" s="12">
        <f>AFI19*OpsAI</f>
        <v/>
      </c>
      <c r="AFY19" s="12">
        <f>MonthlyFixed</f>
        <v/>
      </c>
      <c r="AFZ19" s="12">
        <f>AES19*ReferralReward</f>
        <v/>
      </c>
      <c r="AGA19" s="12">
        <f>AEQ19</f>
        <v/>
      </c>
      <c r="AGB19" s="9">
        <f>AFR19-AFV19-AFW19-AFX19-AFY19-AFZ19-AGA19</f>
        <v/>
      </c>
      <c r="AGC19" s="9">
        <f>AGC18+AFO19-(AFV19+AFW19+AFX19+AFY19+AFZ19+AGA19+AFT19)</f>
        <v/>
      </c>
      <c r="AGD19" s="12">
        <f>IF(AFI19&gt;0,AFJ19/AFI19,0)</f>
        <v/>
      </c>
      <c r="AGE19" s="11">
        <f>IF(AFI18&gt;0,MAX(0,(AFI18+AET19-AFI19)/AFI18),0)</f>
        <v/>
      </c>
      <c r="AGG19" s="12" t="n">
        <v>15</v>
      </c>
      <c r="AGH19" s="12">
        <f>MOD(AGG19-1+LaunchMonth-1,12)+1</f>
        <v/>
      </c>
      <c r="AGI19" s="12">
        <f>INT((AGG19-1+LaunchMonth-1)/12)+1</f>
        <v/>
      </c>
      <c r="AGJ19" s="12">
        <f>VLOOKUP(AGH19,SeasonTable,2,FALSE)</f>
        <v/>
      </c>
      <c r="AGK19" s="12">
        <f>(1+InflationRate)^INT((AGG19-1)/12)</f>
        <v/>
      </c>
      <c r="AGL19" s="11">
        <f>MonthlyChurn*VLOOKUP(AGH19,ChurnSeasonTable,4,FALSE)</f>
        <v/>
      </c>
      <c r="AGM19" s="12">
        <f>MIN(MAX(MktMin13_18,AHK18*MktPct13_18),MAX(0,AHY18-CashBuffer))</f>
        <v/>
      </c>
      <c r="AGN19" s="12">
        <f>IF(AGM19&gt;0,MAX(1,ROUND(AGM19/CAC*AGJ19,0)),0)</f>
        <v/>
      </c>
      <c r="AGO19" s="12">
        <f>IF(AGN19&gt;0,ROUND(AGN19*ReferralMix/(1-ReferralMix),0),0)</f>
        <v/>
      </c>
      <c r="AGP19" s="12">
        <f>AGN19+AGO19</f>
        <v/>
      </c>
      <c r="AGQ19" s="12">
        <f>ROUND(AGP19*(1-'Sens - Annual Mix'!$A$15),0)</f>
        <v/>
      </c>
      <c r="AGR19" s="12">
        <f>AGP19-AGQ19</f>
        <v/>
      </c>
      <c r="AGS19" s="12">
        <f>ROUND(AGQ19*EssentialMix,0)</f>
        <v/>
      </c>
      <c r="AGT19" s="12">
        <f>ROUND(AGQ19*PremiumMix,0)</f>
        <v/>
      </c>
      <c r="AGU19" s="12">
        <f>AGQ19-AGS19-AGT19</f>
        <v/>
      </c>
      <c r="AGV19" s="12">
        <f>ROUND(AGR19*EssentialMix,0)</f>
        <v/>
      </c>
      <c r="AGW19" s="12">
        <f>ROUND(AGR19*PremiumMix,0)</f>
        <v/>
      </c>
      <c r="AGX19" s="12">
        <f>AGR19-AGV19-AGW19</f>
        <v/>
      </c>
      <c r="AGY19" s="12">
        <f>AGS19+AGS18+AGS17+MAX(0,AGY18-AGS18-AGS17)*(1-AGL19)</f>
        <v/>
      </c>
      <c r="AGZ19" s="12">
        <f>AGT19+AGT18+AGT17+MAX(0,AGZ18-AGT18-AGT17)*(1-AGL19)</f>
        <v/>
      </c>
      <c r="AHA19" s="12">
        <f>AGU19+AGU18+AGU17+MAX(0,AHA18-AGU18-AGU17)*(1-AGL19)</f>
        <v/>
      </c>
      <c r="AHB19" s="12">
        <f>AHB18+AGV19-AGV7*(AnnualChurn*VLOOKUP(AGH19,ChurnSeasonTable,4,FALSE))*POWER(1-(AnnualChurn*VLOOKUP(AGH19,ChurnSeasonTable,4,FALSE)),0)</f>
        <v/>
      </c>
      <c r="AHC19" s="12">
        <f>AHC18+AGW19-AGW7*(AnnualChurn*VLOOKUP(AGH19,ChurnSeasonTable,4,FALSE))*POWER(1-(AnnualChurn*VLOOKUP(AGH19,ChurnSeasonTable,4,FALSE)),0)</f>
        <v/>
      </c>
      <c r="AHD19" s="12">
        <f>AHD18+AGX19-AGX7*(AnnualChurn*VLOOKUP(AGH19,ChurnSeasonTable,4,FALSE))*POWER(1-(AnnualChurn*VLOOKUP(AGH19,ChurnSeasonTable,4,FALSE)),0)</f>
        <v/>
      </c>
      <c r="AHE19" s="12">
        <f>AGY19+AGZ19+AHA19+AHB19+AHC19+AHD19</f>
        <v/>
      </c>
      <c r="AHF19" s="9">
        <f>AGY19*BlendedPriceEssMonthly*AGK19+AGZ19*BlendedPricePremMonthly*AGK19+AHA19*BlendedPriceEliteMonthly*AGK19+AHB19*BlendedPriceEssAnnual*AGK19/12+AHC19*BlendedPricePremAnnual*AGK19/12+AHD19*BlendedPriceEliteAnnual*AGK19/12</f>
        <v/>
      </c>
      <c r="AHG19" s="9">
        <f>AHF19*12</f>
        <v/>
      </c>
      <c r="AHH19" s="12">
        <f>AGY19*BlendedPriceEssMonthly*AGK19+AGZ19*BlendedPricePremMonthly*AGK19+AHA19*BlendedPriceEliteMonthly*AGK19</f>
        <v/>
      </c>
      <c r="AHI19" s="12">
        <f>AGV19*BlendedPriceEssAnnual*AGK19+AGW19*BlendedPricePremAnnual*AGK19+AGX19*BlendedPriceEliteAnnual*AGK19</f>
        <v/>
      </c>
      <c r="AHJ19" s="12">
        <f>AGV7*POWER(1-(AnnualChurn*VLOOKUP(AGH19,ChurnSeasonTable,4,FALSE)),1)*BlendedPriceEssAnnual*AGK19+AGW7*POWER(1-(AnnualChurn*VLOOKUP(AGH19,ChurnSeasonTable,4,FALSE)),1)*BlendedPricePremAnnual*AGK19+AGX7*POWER(1-(AnnualChurn*VLOOKUP(AGH19,ChurnSeasonTable,4,FALSE)),1)*BlendedPriceEliteAnnual*AGK19</f>
        <v/>
      </c>
      <c r="AHK19" s="9">
        <f>AHH19+AHI19+AHJ19</f>
        <v/>
      </c>
      <c r="AHL19" s="12">
        <f>SUM(AHK8:AHK19)</f>
        <v/>
      </c>
      <c r="AHM19" s="12">
        <f>OR(AHM18,IF(VATAgentMode,SUM($AHK8:$AHK19)-SUM($AHR8:$AHR19)&gt;=VATThreshold,SUM($AHK8:$AHK19)&gt;=VATThreshold))</f>
        <v/>
      </c>
      <c r="AHN19" s="9">
        <f>IF(AHM19,IF(VATAgentMode,AHK19-((AHK19-AHR19)-(AHK19-AHR19)/(1+VATRate)),AHK19/(1+VATRate)),AHK19)</f>
        <v/>
      </c>
      <c r="AHO19" s="12">
        <f>AHK19-AHN19</f>
        <v/>
      </c>
      <c r="AHP19" s="12">
        <f>IF(AHM19=0,0,IF(AGH19=1,SUMPRODUCT(--(($AGI$5:$AGI19=$AGI19-1)*($AGH$5:$AGH19&gt;=10)*($AGH$5:$AGH19&lt;=12)),$AHO$5:$AHO19),IF(AGH19=4,SUMPRODUCT(--(($AGI$5:$AGI19=$AGI19)*($AGH$5:$AGH19&gt;=1)*($AGH$5:$AGH19&lt;=3)),$AHO$5:$AHO19),IF(AGH19=7,SUMPRODUCT(--(($AGI$5:$AGI19=$AGI19)*($AGH$5:$AGH19&gt;=4)*($AGH$5:$AGH19&lt;=6)),$AHO$5:$AHO19),IF(AGH19=10,SUMPRODUCT(--(($AGI$5:$AGI19=$AGI19)*($AGH$5:$AGH19&gt;=7)*($AGH$5:$AGH19&lt;=9)),$AHO$5:$AHO19),0)))))</f>
        <v/>
      </c>
      <c r="AHQ19" s="12">
        <f>AHQ18+AHO19-AHP19</f>
        <v/>
      </c>
      <c r="AHR19" s="12">
        <f>IF(ProviderDelay&gt;=1,AGY18*BlendedProvPayEss+AGZ18*BlendedProvPayPrem+AHA18*BlendedProvPayElite+AHB18*BlendedProvPayEss+AHC18*BlendedProvPayPrem+AHD18*BlendedProvPayElite,AGY19*BlendedProvPayEss+AGZ19*BlendedProvPayPrem+AHA19*BlendedProvPayElite+AHB19*BlendedProvPayEss+AHC19*BlendedProvPayPrem+AHD19*BlendedProvPayElite)</f>
        <v/>
      </c>
      <c r="AHS19" s="12">
        <f>AHK19*PaymentFee</f>
        <v/>
      </c>
      <c r="AHT19" s="12">
        <f>AHE19*OpsAI</f>
        <v/>
      </c>
      <c r="AHU19" s="12">
        <f>MonthlyFixed</f>
        <v/>
      </c>
      <c r="AHV19" s="12">
        <f>AGO19*ReferralReward</f>
        <v/>
      </c>
      <c r="AHW19" s="12">
        <f>AGM19</f>
        <v/>
      </c>
      <c r="AHX19" s="9">
        <f>AHN19-AHR19-AHS19-AHT19-AHU19-AHV19-AHW19</f>
        <v/>
      </c>
      <c r="AHY19" s="9">
        <f>AHY18+AHK19-(AHR19+AHS19+AHT19+AHU19+AHV19+AHW19+AHP19)</f>
        <v/>
      </c>
      <c r="AHZ19" s="12">
        <f>IF(AHE19&gt;0,AHF19/AHE19,0)</f>
        <v/>
      </c>
      <c r="AIA19" s="11">
        <f>IF(AHE18&gt;0,MAX(0,(AHE18+AGP19-AHE19)/AHE18),0)</f>
        <v/>
      </c>
      <c r="AIC19" s="12" t="n">
        <v>15</v>
      </c>
      <c r="AID19" s="12">
        <f>MOD(AIC19-1+LaunchMonth-1,12)+1</f>
        <v/>
      </c>
      <c r="AIE19" s="12">
        <f>INT((AIC19-1+LaunchMonth-1)/12)+1</f>
        <v/>
      </c>
      <c r="AIF19" s="12">
        <f>VLOOKUP(AID19,SeasonTable,2,FALSE)</f>
        <v/>
      </c>
      <c r="AIG19" s="12">
        <f>(1+InflationRate)^INT((AIC19-1)/12)</f>
        <v/>
      </c>
      <c r="AIH19" s="11">
        <f>MonthlyChurn*VLOOKUP(AID19,ChurnSeasonTable,4,FALSE)</f>
        <v/>
      </c>
      <c r="AII19" s="12">
        <f>MIN(MAX(MktMin13_18,AJG18*MktPct13_18),MAX(0,AJU18-CashBuffer))</f>
        <v/>
      </c>
      <c r="AIJ19" s="12">
        <f>IF(AII19&gt;0,MAX(1,ROUND(AII19/'Sens - CAC &amp; Marketing'!$A$9*AIF19,0)),0)</f>
        <v/>
      </c>
      <c r="AIK19" s="12">
        <f>IF(AIJ19&gt;0,ROUND(AIJ19*ReferralMix/(1-ReferralMix),0),0)</f>
        <v/>
      </c>
      <c r="AIL19" s="12">
        <f>AIJ19+AIK19</f>
        <v/>
      </c>
      <c r="AIM19" s="12">
        <f>ROUND(AIL19*(1-AnnualMix),0)</f>
        <v/>
      </c>
      <c r="AIN19" s="12">
        <f>AIL19-AIM19</f>
        <v/>
      </c>
      <c r="AIO19" s="12">
        <f>ROUND(AIM19*EssentialMix,0)</f>
        <v/>
      </c>
      <c r="AIP19" s="12">
        <f>ROUND(AIM19*PremiumMix,0)</f>
        <v/>
      </c>
      <c r="AIQ19" s="12">
        <f>AIM19-AIO19-AIP19</f>
        <v/>
      </c>
      <c r="AIR19" s="12">
        <f>ROUND(AIN19*EssentialMix,0)</f>
        <v/>
      </c>
      <c r="AIS19" s="12">
        <f>ROUND(AIN19*PremiumMix,0)</f>
        <v/>
      </c>
      <c r="AIT19" s="12">
        <f>AIN19-AIR19-AIS19</f>
        <v/>
      </c>
      <c r="AIU19" s="12">
        <f>AIO19+AIO18+AIO17+MAX(0,AIU18-AIO18-AIO17)*(1-AIH19)</f>
        <v/>
      </c>
      <c r="AIV19" s="12">
        <f>AIP19+AIP18+AIP17+MAX(0,AIV18-AIP18-AIP17)*(1-AIH19)</f>
        <v/>
      </c>
      <c r="AIW19" s="12">
        <f>AIQ19+AIQ18+AIQ17+MAX(0,AIW18-AIQ18-AIQ17)*(1-AIH19)</f>
        <v/>
      </c>
      <c r="AIX19" s="12">
        <f>AIX18+AIR19-AIR7*(AnnualChurn*VLOOKUP(AID19,ChurnSeasonTable,4,FALSE))*POWER(1-(AnnualChurn*VLOOKUP(AID19,ChurnSeasonTable,4,FALSE)),0)</f>
        <v/>
      </c>
      <c r="AIY19" s="12">
        <f>AIY18+AIS19-AIS7*(AnnualChurn*VLOOKUP(AID19,ChurnSeasonTable,4,FALSE))*POWER(1-(AnnualChurn*VLOOKUP(AID19,ChurnSeasonTable,4,FALSE)),0)</f>
        <v/>
      </c>
      <c r="AIZ19" s="12">
        <f>AIZ18+AIT19-AIT7*(AnnualChurn*VLOOKUP(AID19,ChurnSeasonTable,4,FALSE))*POWER(1-(AnnualChurn*VLOOKUP(AID19,ChurnSeasonTable,4,FALSE)),0)</f>
        <v/>
      </c>
      <c r="AJA19" s="12">
        <f>AIU19+AIV19+AIW19+AIX19+AIY19+AIZ19</f>
        <v/>
      </c>
      <c r="AJB19" s="9">
        <f>AIU19*BlendedPriceEssMonthly*AIG19+AIV19*BlendedPricePremMonthly*AIG19+AIW19*BlendedPriceEliteMonthly*AIG19+AIX19*BlendedPriceEssAnnual*AIG19/12+AIY19*BlendedPricePremAnnual*AIG19/12+AIZ19*BlendedPriceEliteAnnual*AIG19/12</f>
        <v/>
      </c>
      <c r="AJC19" s="9">
        <f>AJB19*12</f>
        <v/>
      </c>
      <c r="AJD19" s="12">
        <f>AIU19*BlendedPriceEssMonthly*AIG19+AIV19*BlendedPricePremMonthly*AIG19+AIW19*BlendedPriceEliteMonthly*AIG19</f>
        <v/>
      </c>
      <c r="AJE19" s="12">
        <f>AIR19*BlendedPriceEssAnnual*AIG19+AIS19*BlendedPricePremAnnual*AIG19+AIT19*BlendedPriceEliteAnnual*AIG19</f>
        <v/>
      </c>
      <c r="AJF19" s="12">
        <f>AIR7*POWER(1-(AnnualChurn*VLOOKUP(AID19,ChurnSeasonTable,4,FALSE)),1)*BlendedPriceEssAnnual*AIG19+AIS7*POWER(1-(AnnualChurn*VLOOKUP(AID19,ChurnSeasonTable,4,FALSE)),1)*BlendedPricePremAnnual*AIG19+AIT7*POWER(1-(AnnualChurn*VLOOKUP(AID19,ChurnSeasonTable,4,FALSE)),1)*BlendedPriceEliteAnnual*AIG19</f>
        <v/>
      </c>
      <c r="AJG19" s="9">
        <f>AJD19+AJE19+AJF19</f>
        <v/>
      </c>
      <c r="AJH19" s="12">
        <f>SUM(AJG8:AJG19)</f>
        <v/>
      </c>
      <c r="AJI19" s="12">
        <f>OR(AJI18,IF(VATAgentMode,SUM($AJG8:$AJG19)-SUM($AJN8:$AJN19)&gt;=VATThreshold,SUM($AJG8:$AJG19)&gt;=VATThreshold))</f>
        <v/>
      </c>
      <c r="AJJ19" s="9">
        <f>IF(AJI19,IF(VATAgentMode,AJG19-((AJG19-AJN19)-(AJG19-AJN19)/(1+VATRate)),AJG19/(1+VATRate)),AJG19)</f>
        <v/>
      </c>
      <c r="AJK19" s="12">
        <f>AJG19-AJJ19</f>
        <v/>
      </c>
      <c r="AJL19" s="12">
        <f>IF(AJI19=0,0,IF(AID19=1,SUMPRODUCT(--(($AIE$5:$AIE19=$AIE19-1)*($AID$5:$AID19&gt;=10)*($AID$5:$AID19&lt;=12)),$AJK$5:$AJK19),IF(AID19=4,SUMPRODUCT(--(($AIE$5:$AIE19=$AIE19)*($AID$5:$AID19&gt;=1)*($AID$5:$AID19&lt;=3)),$AJK$5:$AJK19),IF(AID19=7,SUMPRODUCT(--(($AIE$5:$AIE19=$AIE19)*($AID$5:$AID19&gt;=4)*($AID$5:$AID19&lt;=6)),$AJK$5:$AJK19),IF(AID19=10,SUMPRODUCT(--(($AIE$5:$AIE19=$AIE19)*($AID$5:$AID19&gt;=7)*($AID$5:$AID19&lt;=9)),$AJK$5:$AJK19),0)))))</f>
        <v/>
      </c>
      <c r="AJM19" s="12">
        <f>AJM18+AJK19-AJL19</f>
        <v/>
      </c>
      <c r="AJN19" s="12">
        <f>IF(ProviderDelay&gt;=1,AIU18*BlendedProvPayEss+AIV18*BlendedProvPayPrem+AIW18*BlendedProvPayElite+AIX18*BlendedProvPayEss+AIY18*BlendedProvPayPrem+AIZ18*BlendedProvPayElite,AIU19*BlendedProvPayEss+AIV19*BlendedProvPayPrem+AIW19*BlendedProvPayElite+AIX19*BlendedProvPayEss+AIY19*BlendedProvPayPrem+AIZ19*BlendedProvPayElite)</f>
        <v/>
      </c>
      <c r="AJO19" s="12">
        <f>AJG19*PaymentFee</f>
        <v/>
      </c>
      <c r="AJP19" s="12">
        <f>AJA19*OpsAI</f>
        <v/>
      </c>
      <c r="AJQ19" s="12">
        <f>MonthlyFixed</f>
        <v/>
      </c>
      <c r="AJR19" s="12">
        <f>AIK19*ReferralReward</f>
        <v/>
      </c>
      <c r="AJS19" s="12">
        <f>AII19</f>
        <v/>
      </c>
      <c r="AJT19" s="9">
        <f>AJJ19-AJN19-AJO19-AJP19-AJQ19-AJR19-AJS19</f>
        <v/>
      </c>
      <c r="AJU19" s="9">
        <f>AJU18+AJG19-(AJN19+AJO19+AJP19+AJQ19+AJR19+AJS19+AJL19)</f>
        <v/>
      </c>
      <c r="AJV19" s="12">
        <f>IF(AJA19&gt;0,AJB19/AJA19,0)</f>
        <v/>
      </c>
      <c r="AJW19" s="11">
        <f>IF(AJA18&gt;0,MAX(0,(AJA18+AIL19-AJA19)/AJA18),0)</f>
        <v/>
      </c>
      <c r="AJY19" s="12" t="n">
        <v>15</v>
      </c>
      <c r="AJZ19" s="12">
        <f>MOD(AJY19-1+LaunchMonth-1,12)+1</f>
        <v/>
      </c>
      <c r="AKA19" s="12">
        <f>INT((AJY19-1+LaunchMonth-1)/12)+1</f>
        <v/>
      </c>
      <c r="AKB19" s="12">
        <f>VLOOKUP(AJZ19,SeasonTable,2,FALSE)</f>
        <v/>
      </c>
      <c r="AKC19" s="12">
        <f>(1+InflationRate)^INT((AJY19-1)/12)</f>
        <v/>
      </c>
      <c r="AKD19" s="11">
        <f>MonthlyChurn*VLOOKUP(AJZ19,ChurnSeasonTable,4,FALSE)</f>
        <v/>
      </c>
      <c r="AKE19" s="12">
        <f>MIN(MAX(MktMin13_18,ALC18*MktPct13_18),MAX(0,ALQ18-CashBuffer))</f>
        <v/>
      </c>
      <c r="AKF19" s="12">
        <f>IF(AKE19&gt;0,MAX(1,ROUND(AKE19/'Sens - CAC &amp; Marketing'!$A$10*AKB19,0)),0)</f>
        <v/>
      </c>
      <c r="AKG19" s="12">
        <f>IF(AKF19&gt;0,ROUND(AKF19*ReferralMix/(1-ReferralMix),0),0)</f>
        <v/>
      </c>
      <c r="AKH19" s="12">
        <f>AKF19+AKG19</f>
        <v/>
      </c>
      <c r="AKI19" s="12">
        <f>ROUND(AKH19*(1-AnnualMix),0)</f>
        <v/>
      </c>
      <c r="AKJ19" s="12">
        <f>AKH19-AKI19</f>
        <v/>
      </c>
      <c r="AKK19" s="12">
        <f>ROUND(AKI19*EssentialMix,0)</f>
        <v/>
      </c>
      <c r="AKL19" s="12">
        <f>ROUND(AKI19*PremiumMix,0)</f>
        <v/>
      </c>
      <c r="AKM19" s="12">
        <f>AKI19-AKK19-AKL19</f>
        <v/>
      </c>
      <c r="AKN19" s="12">
        <f>ROUND(AKJ19*EssentialMix,0)</f>
        <v/>
      </c>
      <c r="AKO19" s="12">
        <f>ROUND(AKJ19*PremiumMix,0)</f>
        <v/>
      </c>
      <c r="AKP19" s="12">
        <f>AKJ19-AKN19-AKO19</f>
        <v/>
      </c>
      <c r="AKQ19" s="12">
        <f>AKK19+AKK18+AKK17+MAX(0,AKQ18-AKK18-AKK17)*(1-AKD19)</f>
        <v/>
      </c>
      <c r="AKR19" s="12">
        <f>AKL19+AKL18+AKL17+MAX(0,AKR18-AKL18-AKL17)*(1-AKD19)</f>
        <v/>
      </c>
      <c r="AKS19" s="12">
        <f>AKM19+AKM18+AKM17+MAX(0,AKS18-AKM18-AKM17)*(1-AKD19)</f>
        <v/>
      </c>
      <c r="AKT19" s="12">
        <f>AKT18+AKN19-AKN7*(AnnualChurn*VLOOKUP(AJZ19,ChurnSeasonTable,4,FALSE))*POWER(1-(AnnualChurn*VLOOKUP(AJZ19,ChurnSeasonTable,4,FALSE)),0)</f>
        <v/>
      </c>
      <c r="AKU19" s="12">
        <f>AKU18+AKO19-AKO7*(AnnualChurn*VLOOKUP(AJZ19,ChurnSeasonTable,4,FALSE))*POWER(1-(AnnualChurn*VLOOKUP(AJZ19,ChurnSeasonTable,4,FALSE)),0)</f>
        <v/>
      </c>
      <c r="AKV19" s="12">
        <f>AKV18+AKP19-AKP7*(AnnualChurn*VLOOKUP(AJZ19,ChurnSeasonTable,4,FALSE))*POWER(1-(AnnualChurn*VLOOKUP(AJZ19,ChurnSeasonTable,4,FALSE)),0)</f>
        <v/>
      </c>
      <c r="AKW19" s="12">
        <f>AKQ19+AKR19+AKS19+AKT19+AKU19+AKV19</f>
        <v/>
      </c>
      <c r="AKX19" s="9">
        <f>AKQ19*BlendedPriceEssMonthly*AKC19+AKR19*BlendedPricePremMonthly*AKC19+AKS19*BlendedPriceEliteMonthly*AKC19+AKT19*BlendedPriceEssAnnual*AKC19/12+AKU19*BlendedPricePremAnnual*AKC19/12+AKV19*BlendedPriceEliteAnnual*AKC19/12</f>
        <v/>
      </c>
      <c r="AKY19" s="9">
        <f>AKX19*12</f>
        <v/>
      </c>
      <c r="AKZ19" s="12">
        <f>AKQ19*BlendedPriceEssMonthly*AKC19+AKR19*BlendedPricePremMonthly*AKC19+AKS19*BlendedPriceEliteMonthly*AKC19</f>
        <v/>
      </c>
      <c r="ALA19" s="12">
        <f>AKN19*BlendedPriceEssAnnual*AKC19+AKO19*BlendedPricePremAnnual*AKC19+AKP19*BlendedPriceEliteAnnual*AKC19</f>
        <v/>
      </c>
      <c r="ALB19" s="12">
        <f>AKN7*POWER(1-(AnnualChurn*VLOOKUP(AJZ19,ChurnSeasonTable,4,FALSE)),1)*BlendedPriceEssAnnual*AKC19+AKO7*POWER(1-(AnnualChurn*VLOOKUP(AJZ19,ChurnSeasonTable,4,FALSE)),1)*BlendedPricePremAnnual*AKC19+AKP7*POWER(1-(AnnualChurn*VLOOKUP(AJZ19,ChurnSeasonTable,4,FALSE)),1)*BlendedPriceEliteAnnual*AKC19</f>
        <v/>
      </c>
      <c r="ALC19" s="9">
        <f>AKZ19+ALA19+ALB19</f>
        <v/>
      </c>
      <c r="ALD19" s="12">
        <f>SUM(ALC8:ALC19)</f>
        <v/>
      </c>
      <c r="ALE19" s="12">
        <f>OR(ALE18,IF(VATAgentMode,SUM($ALC8:$ALC19)-SUM($ALJ8:$ALJ19)&gt;=VATThreshold,SUM($ALC8:$ALC19)&gt;=VATThreshold))</f>
        <v/>
      </c>
      <c r="ALF19" s="9">
        <f>IF(ALE19,IF(VATAgentMode,ALC19-((ALC19-ALJ19)-(ALC19-ALJ19)/(1+VATRate)),ALC19/(1+VATRate)),ALC19)</f>
        <v/>
      </c>
      <c r="ALG19" s="12">
        <f>ALC19-ALF19</f>
        <v/>
      </c>
      <c r="ALH19" s="12">
        <f>IF(ALE19=0,0,IF(AJZ19=1,SUMPRODUCT(--(($AKA$5:$AKA19=$AKA19-1)*($AJZ$5:$AJZ19&gt;=10)*($AJZ$5:$AJZ19&lt;=12)),$ALG$5:$ALG19),IF(AJZ19=4,SUMPRODUCT(--(($AKA$5:$AKA19=$AKA19)*($AJZ$5:$AJZ19&gt;=1)*($AJZ$5:$AJZ19&lt;=3)),$ALG$5:$ALG19),IF(AJZ19=7,SUMPRODUCT(--(($AKA$5:$AKA19=$AKA19)*($AJZ$5:$AJZ19&gt;=4)*($AJZ$5:$AJZ19&lt;=6)),$ALG$5:$ALG19),IF(AJZ19=10,SUMPRODUCT(--(($AKA$5:$AKA19=$AKA19)*($AJZ$5:$AJZ19&gt;=7)*($AJZ$5:$AJZ19&lt;=9)),$ALG$5:$ALG19),0)))))</f>
        <v/>
      </c>
      <c r="ALI19" s="12">
        <f>ALI18+ALG19-ALH19</f>
        <v/>
      </c>
      <c r="ALJ19" s="12">
        <f>IF(ProviderDelay&gt;=1,AKQ18*BlendedProvPayEss+AKR18*BlendedProvPayPrem+AKS18*BlendedProvPayElite+AKT18*BlendedProvPayEss+AKU18*BlendedProvPayPrem+AKV18*BlendedProvPayElite,AKQ19*BlendedProvPayEss+AKR19*BlendedProvPayPrem+AKS19*BlendedProvPayElite+AKT19*BlendedProvPayEss+AKU19*BlendedProvPayPrem+AKV19*BlendedProvPayElite)</f>
        <v/>
      </c>
      <c r="ALK19" s="12">
        <f>ALC19*PaymentFee</f>
        <v/>
      </c>
      <c r="ALL19" s="12">
        <f>AKW19*OpsAI</f>
        <v/>
      </c>
      <c r="ALM19" s="12">
        <f>MonthlyFixed</f>
        <v/>
      </c>
      <c r="ALN19" s="12">
        <f>AKG19*ReferralReward</f>
        <v/>
      </c>
      <c r="ALO19" s="12">
        <f>AKE19</f>
        <v/>
      </c>
      <c r="ALP19" s="9">
        <f>ALF19-ALJ19-ALK19-ALL19-ALM19-ALN19-ALO19</f>
        <v/>
      </c>
      <c r="ALQ19" s="9">
        <f>ALQ18+ALC19-(ALJ19+ALK19+ALL19+ALM19+ALN19+ALO19+ALH19)</f>
        <v/>
      </c>
      <c r="ALR19" s="12">
        <f>IF(AKW19&gt;0,AKX19/AKW19,0)</f>
        <v/>
      </c>
      <c r="ALS19" s="11">
        <f>IF(AKW18&gt;0,MAX(0,(AKW18+AKH19-AKW19)/AKW18),0)</f>
        <v/>
      </c>
      <c r="ALU19" s="12" t="n">
        <v>15</v>
      </c>
      <c r="ALV19" s="12">
        <f>MOD(ALU19-1+LaunchMonth-1,12)+1</f>
        <v/>
      </c>
      <c r="ALW19" s="12">
        <f>INT((ALU19-1+LaunchMonth-1)/12)+1</f>
        <v/>
      </c>
      <c r="ALX19" s="12">
        <f>VLOOKUP(ALV19,SeasonTable,2,FALSE)</f>
        <v/>
      </c>
      <c r="ALY19" s="12">
        <f>(1+InflationRate)^INT((ALU19-1)/12)</f>
        <v/>
      </c>
      <c r="ALZ19" s="11">
        <f>MonthlyChurn*VLOOKUP(ALV19,ChurnSeasonTable,4,FALSE)</f>
        <v/>
      </c>
      <c r="AMA19" s="12">
        <f>MIN(MAX(MktMin13_18,AMY18*MktPct13_18),MAX(0,ANM18-CashBuffer))</f>
        <v/>
      </c>
      <c r="AMB19" s="12">
        <f>IF(AMA19&gt;0,MAX(1,ROUND(AMA19/'Sens - CAC &amp; Marketing'!$A$11*ALX19,0)),0)</f>
        <v/>
      </c>
      <c r="AMC19" s="12">
        <f>IF(AMB19&gt;0,ROUND(AMB19*ReferralMix/(1-ReferralMix),0),0)</f>
        <v/>
      </c>
      <c r="AMD19" s="12">
        <f>AMB19+AMC19</f>
        <v/>
      </c>
      <c r="AME19" s="12">
        <f>ROUND(AMD19*(1-AnnualMix),0)</f>
        <v/>
      </c>
      <c r="AMF19" s="12">
        <f>AMD19-AME19</f>
        <v/>
      </c>
      <c r="AMG19" s="12">
        <f>ROUND(AME19*EssentialMix,0)</f>
        <v/>
      </c>
      <c r="AMH19" s="12">
        <f>ROUND(AME19*PremiumMix,0)</f>
        <v/>
      </c>
      <c r="AMI19" s="12">
        <f>AME19-AMG19-AMH19</f>
        <v/>
      </c>
      <c r="AMJ19" s="12">
        <f>ROUND(AMF19*EssentialMix,0)</f>
        <v/>
      </c>
      <c r="AMK19" s="12">
        <f>ROUND(AMF19*PremiumMix,0)</f>
        <v/>
      </c>
      <c r="AML19" s="12">
        <f>AMF19-AMJ19-AMK19</f>
        <v/>
      </c>
      <c r="AMM19" s="12">
        <f>AMG19+AMG18+AMG17+MAX(0,AMM18-AMG18-AMG17)*(1-ALZ19)</f>
        <v/>
      </c>
      <c r="AMN19" s="12">
        <f>AMH19+AMH18+AMH17+MAX(0,AMN18-AMH18-AMH17)*(1-ALZ19)</f>
        <v/>
      </c>
      <c r="AMO19" s="12">
        <f>AMI19+AMI18+AMI17+MAX(0,AMO18-AMI18-AMI17)*(1-ALZ19)</f>
        <v/>
      </c>
      <c r="AMP19" s="12">
        <f>AMP18+AMJ19-AMJ7*(AnnualChurn*VLOOKUP(ALV19,ChurnSeasonTable,4,FALSE))*POWER(1-(AnnualChurn*VLOOKUP(ALV19,ChurnSeasonTable,4,FALSE)),0)</f>
        <v/>
      </c>
      <c r="AMQ19" s="12">
        <f>AMQ18+AMK19-AMK7*(AnnualChurn*VLOOKUP(ALV19,ChurnSeasonTable,4,FALSE))*POWER(1-(AnnualChurn*VLOOKUP(ALV19,ChurnSeasonTable,4,FALSE)),0)</f>
        <v/>
      </c>
      <c r="AMR19" s="12">
        <f>AMR18+AML19-AML7*(AnnualChurn*VLOOKUP(ALV19,ChurnSeasonTable,4,FALSE))*POWER(1-(AnnualChurn*VLOOKUP(ALV19,ChurnSeasonTable,4,FALSE)),0)</f>
        <v/>
      </c>
      <c r="AMS19" s="12">
        <f>AMM19+AMN19+AMO19+AMP19+AMQ19+AMR19</f>
        <v/>
      </c>
      <c r="AMT19" s="9">
        <f>AMM19*BlendedPriceEssMonthly*ALY19+AMN19*BlendedPricePremMonthly*ALY19+AMO19*BlendedPriceEliteMonthly*ALY19+AMP19*BlendedPriceEssAnnual*ALY19/12+AMQ19*BlendedPricePremAnnual*ALY19/12+AMR19*BlendedPriceEliteAnnual*ALY19/12</f>
        <v/>
      </c>
      <c r="AMU19" s="9">
        <f>AMT19*12</f>
        <v/>
      </c>
      <c r="AMV19" s="12">
        <f>AMM19*BlendedPriceEssMonthly*ALY19+AMN19*BlendedPricePremMonthly*ALY19+AMO19*BlendedPriceEliteMonthly*ALY19</f>
        <v/>
      </c>
      <c r="AMW19" s="12">
        <f>AMJ19*BlendedPriceEssAnnual*ALY19+AMK19*BlendedPricePremAnnual*ALY19+AML19*BlendedPriceEliteAnnual*ALY19</f>
        <v/>
      </c>
      <c r="AMX19" s="12">
        <f>AMJ7*POWER(1-(AnnualChurn*VLOOKUP(ALV19,ChurnSeasonTable,4,FALSE)),1)*BlendedPriceEssAnnual*ALY19+AMK7*POWER(1-(AnnualChurn*VLOOKUP(ALV19,ChurnSeasonTable,4,FALSE)),1)*BlendedPricePremAnnual*ALY19+AML7*POWER(1-(AnnualChurn*VLOOKUP(ALV19,ChurnSeasonTable,4,FALSE)),1)*BlendedPriceEliteAnnual*ALY19</f>
        <v/>
      </c>
      <c r="AMY19" s="9">
        <f>AMV19+AMW19+AMX19</f>
        <v/>
      </c>
      <c r="AMZ19" s="12">
        <f>SUM(AMY8:AMY19)</f>
        <v/>
      </c>
      <c r="ANA19" s="12">
        <f>OR(ANA18,IF(VATAgentMode,SUM($AMY8:$AMY19)-SUM($ANF8:$ANF19)&gt;=VATThreshold,SUM($AMY8:$AMY19)&gt;=VATThreshold))</f>
        <v/>
      </c>
      <c r="ANB19" s="9">
        <f>IF(ANA19,IF(VATAgentMode,AMY19-((AMY19-ANF19)-(AMY19-ANF19)/(1+VATRate)),AMY19/(1+VATRate)),AMY19)</f>
        <v/>
      </c>
      <c r="ANC19" s="12">
        <f>AMY19-ANB19</f>
        <v/>
      </c>
      <c r="AND19" s="12">
        <f>IF(ANA19=0,0,IF(ALV19=1,SUMPRODUCT(--(($ALW$5:$ALW19=$ALW19-1)*($ALV$5:$ALV19&gt;=10)*($ALV$5:$ALV19&lt;=12)),$ANC$5:$ANC19),IF(ALV19=4,SUMPRODUCT(--(($ALW$5:$ALW19=$ALW19)*($ALV$5:$ALV19&gt;=1)*($ALV$5:$ALV19&lt;=3)),$ANC$5:$ANC19),IF(ALV19=7,SUMPRODUCT(--(($ALW$5:$ALW19=$ALW19)*($ALV$5:$ALV19&gt;=4)*($ALV$5:$ALV19&lt;=6)),$ANC$5:$ANC19),IF(ALV19=10,SUMPRODUCT(--(($ALW$5:$ALW19=$ALW19)*($ALV$5:$ALV19&gt;=7)*($ALV$5:$ALV19&lt;=9)),$ANC$5:$ANC19),0)))))</f>
        <v/>
      </c>
      <c r="ANE19" s="12">
        <f>ANE18+ANC19-AND19</f>
        <v/>
      </c>
      <c r="ANF19" s="12">
        <f>IF(ProviderDelay&gt;=1,AMM18*BlendedProvPayEss+AMN18*BlendedProvPayPrem+AMO18*BlendedProvPayElite+AMP18*BlendedProvPayEss+AMQ18*BlendedProvPayPrem+AMR18*BlendedProvPayElite,AMM19*BlendedProvPayEss+AMN19*BlendedProvPayPrem+AMO19*BlendedProvPayElite+AMP19*BlendedProvPayEss+AMQ19*BlendedProvPayPrem+AMR19*BlendedProvPayElite)</f>
        <v/>
      </c>
      <c r="ANG19" s="12">
        <f>AMY19*PaymentFee</f>
        <v/>
      </c>
      <c r="ANH19" s="12">
        <f>AMS19*OpsAI</f>
        <v/>
      </c>
      <c r="ANI19" s="12">
        <f>MonthlyFixed</f>
        <v/>
      </c>
      <c r="ANJ19" s="12">
        <f>AMC19*ReferralReward</f>
        <v/>
      </c>
      <c r="ANK19" s="12">
        <f>AMA19</f>
        <v/>
      </c>
      <c r="ANL19" s="9">
        <f>ANB19-ANF19-ANG19-ANH19-ANI19-ANJ19-ANK19</f>
        <v/>
      </c>
      <c r="ANM19" s="9">
        <f>ANM18+AMY19-(ANF19+ANG19+ANH19+ANI19+ANJ19+ANK19+AND19)</f>
        <v/>
      </c>
      <c r="ANN19" s="12">
        <f>IF(AMS19&gt;0,AMT19/AMS19,0)</f>
        <v/>
      </c>
      <c r="ANO19" s="11">
        <f>IF(AMS18&gt;0,MAX(0,(AMS18+AMD19-AMS19)/AMS18),0)</f>
        <v/>
      </c>
      <c r="ANQ19" s="12" t="n">
        <v>15</v>
      </c>
      <c r="ANR19" s="12">
        <f>MOD(ANQ19-1+LaunchMonth-1,12)+1</f>
        <v/>
      </c>
      <c r="ANS19" s="12">
        <f>INT((ANQ19-1+LaunchMonth-1)/12)+1</f>
        <v/>
      </c>
      <c r="ANT19" s="12">
        <f>VLOOKUP(ANR19,SeasonTable,2,FALSE)</f>
        <v/>
      </c>
      <c r="ANU19" s="12">
        <f>(1+InflationRate)^INT((ANQ19-1)/12)</f>
        <v/>
      </c>
      <c r="ANV19" s="11">
        <f>MonthlyChurn*VLOOKUP(ANR19,ChurnSeasonTable,4,FALSE)</f>
        <v/>
      </c>
      <c r="ANW19" s="12">
        <f>MIN(MAX(MktMin13_18,AOU18*MktPct13_18),MAX(0,API18-CashBuffer))</f>
        <v/>
      </c>
      <c r="ANX19" s="12">
        <f>IF(ANW19&gt;0,MAX(1,ROUND(ANW19/'Sens - CAC &amp; Marketing'!$A$12*ANT19,0)),0)</f>
        <v/>
      </c>
      <c r="ANY19" s="12">
        <f>IF(ANX19&gt;0,ROUND(ANX19*ReferralMix/(1-ReferralMix),0),0)</f>
        <v/>
      </c>
      <c r="ANZ19" s="12">
        <f>ANX19+ANY19</f>
        <v/>
      </c>
      <c r="AOA19" s="12">
        <f>ROUND(ANZ19*(1-AnnualMix),0)</f>
        <v/>
      </c>
      <c r="AOB19" s="12">
        <f>ANZ19-AOA19</f>
        <v/>
      </c>
      <c r="AOC19" s="12">
        <f>ROUND(AOA19*EssentialMix,0)</f>
        <v/>
      </c>
      <c r="AOD19" s="12">
        <f>ROUND(AOA19*PremiumMix,0)</f>
        <v/>
      </c>
      <c r="AOE19" s="12">
        <f>AOA19-AOC19-AOD19</f>
        <v/>
      </c>
      <c r="AOF19" s="12">
        <f>ROUND(AOB19*EssentialMix,0)</f>
        <v/>
      </c>
      <c r="AOG19" s="12">
        <f>ROUND(AOB19*PremiumMix,0)</f>
        <v/>
      </c>
      <c r="AOH19" s="12">
        <f>AOB19-AOF19-AOG19</f>
        <v/>
      </c>
      <c r="AOI19" s="12">
        <f>AOC19+AOC18+AOC17+MAX(0,AOI18-AOC18-AOC17)*(1-ANV19)</f>
        <v/>
      </c>
      <c r="AOJ19" s="12">
        <f>AOD19+AOD18+AOD17+MAX(0,AOJ18-AOD18-AOD17)*(1-ANV19)</f>
        <v/>
      </c>
      <c r="AOK19" s="12">
        <f>AOE19+AOE18+AOE17+MAX(0,AOK18-AOE18-AOE17)*(1-ANV19)</f>
        <v/>
      </c>
      <c r="AOL19" s="12">
        <f>AOL18+AOF19-AOF7*(AnnualChurn*VLOOKUP(ANR19,ChurnSeasonTable,4,FALSE))*POWER(1-(AnnualChurn*VLOOKUP(ANR19,ChurnSeasonTable,4,FALSE)),0)</f>
        <v/>
      </c>
      <c r="AOM19" s="12">
        <f>AOM18+AOG19-AOG7*(AnnualChurn*VLOOKUP(ANR19,ChurnSeasonTable,4,FALSE))*POWER(1-(AnnualChurn*VLOOKUP(ANR19,ChurnSeasonTable,4,FALSE)),0)</f>
        <v/>
      </c>
      <c r="AON19" s="12">
        <f>AON18+AOH19-AOH7*(AnnualChurn*VLOOKUP(ANR19,ChurnSeasonTable,4,FALSE))*POWER(1-(AnnualChurn*VLOOKUP(ANR19,ChurnSeasonTable,4,FALSE)),0)</f>
        <v/>
      </c>
      <c r="AOO19" s="12">
        <f>AOI19+AOJ19+AOK19+AOL19+AOM19+AON19</f>
        <v/>
      </c>
      <c r="AOP19" s="9">
        <f>AOI19*BlendedPriceEssMonthly*ANU19+AOJ19*BlendedPricePremMonthly*ANU19+AOK19*BlendedPriceEliteMonthly*ANU19+AOL19*BlendedPriceEssAnnual*ANU19/12+AOM19*BlendedPricePremAnnual*ANU19/12+AON19*BlendedPriceEliteAnnual*ANU19/12</f>
        <v/>
      </c>
      <c r="AOQ19" s="9">
        <f>AOP19*12</f>
        <v/>
      </c>
      <c r="AOR19" s="12">
        <f>AOI19*BlendedPriceEssMonthly*ANU19+AOJ19*BlendedPricePremMonthly*ANU19+AOK19*BlendedPriceEliteMonthly*ANU19</f>
        <v/>
      </c>
      <c r="AOS19" s="12">
        <f>AOF19*BlendedPriceEssAnnual*ANU19+AOG19*BlendedPricePremAnnual*ANU19+AOH19*BlendedPriceEliteAnnual*ANU19</f>
        <v/>
      </c>
      <c r="AOT19" s="12">
        <f>AOF7*POWER(1-(AnnualChurn*VLOOKUP(ANR19,ChurnSeasonTable,4,FALSE)),1)*BlendedPriceEssAnnual*ANU19+AOG7*POWER(1-(AnnualChurn*VLOOKUP(ANR19,ChurnSeasonTable,4,FALSE)),1)*BlendedPricePremAnnual*ANU19+AOH7*POWER(1-(AnnualChurn*VLOOKUP(ANR19,ChurnSeasonTable,4,FALSE)),1)*BlendedPriceEliteAnnual*ANU19</f>
        <v/>
      </c>
      <c r="AOU19" s="9">
        <f>AOR19+AOS19+AOT19</f>
        <v/>
      </c>
      <c r="AOV19" s="12">
        <f>SUM(AOU8:AOU19)</f>
        <v/>
      </c>
      <c r="AOW19" s="12">
        <f>OR(AOW18,IF(VATAgentMode,SUM($AOU8:$AOU19)-SUM($APB8:$APB19)&gt;=VATThreshold,SUM($AOU8:$AOU19)&gt;=VATThreshold))</f>
        <v/>
      </c>
      <c r="AOX19" s="9">
        <f>IF(AOW19,IF(VATAgentMode,AOU19-((AOU19-APB19)-(AOU19-APB19)/(1+VATRate)),AOU19/(1+VATRate)),AOU19)</f>
        <v/>
      </c>
      <c r="AOY19" s="12">
        <f>AOU19-AOX19</f>
        <v/>
      </c>
      <c r="AOZ19" s="12">
        <f>IF(AOW19=0,0,IF(ANR19=1,SUMPRODUCT(--(($ANS$5:$ANS19=$ANS19-1)*($ANR$5:$ANR19&gt;=10)*($ANR$5:$ANR19&lt;=12)),$AOY$5:$AOY19),IF(ANR19=4,SUMPRODUCT(--(($ANS$5:$ANS19=$ANS19)*($ANR$5:$ANR19&gt;=1)*($ANR$5:$ANR19&lt;=3)),$AOY$5:$AOY19),IF(ANR19=7,SUMPRODUCT(--(($ANS$5:$ANS19=$ANS19)*($ANR$5:$ANR19&gt;=4)*($ANR$5:$ANR19&lt;=6)),$AOY$5:$AOY19),IF(ANR19=10,SUMPRODUCT(--(($ANS$5:$ANS19=$ANS19)*($ANR$5:$ANR19&gt;=7)*($ANR$5:$ANR19&lt;=9)),$AOY$5:$AOY19),0)))))</f>
        <v/>
      </c>
      <c r="APA19" s="12">
        <f>APA18+AOY19-AOZ19</f>
        <v/>
      </c>
      <c r="APB19" s="12">
        <f>IF(ProviderDelay&gt;=1,AOI18*BlendedProvPayEss+AOJ18*BlendedProvPayPrem+AOK18*BlendedProvPayElite+AOL18*BlendedProvPayEss+AOM18*BlendedProvPayPrem+AON18*BlendedProvPayElite,AOI19*BlendedProvPayEss+AOJ19*BlendedProvPayPrem+AOK19*BlendedProvPayElite+AOL19*BlendedProvPayEss+AOM19*BlendedProvPayPrem+AON19*BlendedProvPayElite)</f>
        <v/>
      </c>
      <c r="APC19" s="12">
        <f>AOU19*PaymentFee</f>
        <v/>
      </c>
      <c r="APD19" s="12">
        <f>AOO19*OpsAI</f>
        <v/>
      </c>
      <c r="APE19" s="12">
        <f>MonthlyFixed</f>
        <v/>
      </c>
      <c r="APF19" s="12">
        <f>ANY19*ReferralReward</f>
        <v/>
      </c>
      <c r="APG19" s="12">
        <f>ANW19</f>
        <v/>
      </c>
      <c r="APH19" s="9">
        <f>AOX19-APB19-APC19-APD19-APE19-APF19-APG19</f>
        <v/>
      </c>
      <c r="API19" s="9">
        <f>API18+AOU19-(APB19+APC19+APD19+APE19+APF19+APG19+AOZ19)</f>
        <v/>
      </c>
      <c r="APJ19" s="12">
        <f>IF(AOO19&gt;0,AOP19/AOO19,0)</f>
        <v/>
      </c>
      <c r="APK19" s="11">
        <f>IF(AOO18&gt;0,MAX(0,(AOO18+ANZ19-AOO19)/AOO18),0)</f>
        <v/>
      </c>
      <c r="APM19" s="12" t="n">
        <v>15</v>
      </c>
      <c r="APN19" s="12">
        <f>MOD(APM19-1+LaunchMonth-1,12)+1</f>
        <v/>
      </c>
      <c r="APO19" s="12">
        <f>INT((APM19-1+LaunchMonth-1)/12)+1</f>
        <v/>
      </c>
      <c r="APP19" s="12">
        <f>VLOOKUP(APN19,SeasonTable,2,FALSE)</f>
        <v/>
      </c>
      <c r="APQ19" s="12">
        <f>(1+InflationRate)^INT((APM19-1)/12)</f>
        <v/>
      </c>
      <c r="APR19" s="11">
        <f>MonthlyChurn*VLOOKUP(APN19,ChurnSeasonTable,4,FALSE)</f>
        <v/>
      </c>
      <c r="APS19" s="12">
        <f>MIN(MAX(MktMin13_18,AQQ18*MktPct13_18),MAX(0,ARE18-CashBuffer))</f>
        <v/>
      </c>
      <c r="APT19" s="12">
        <f>IF(APS19&gt;0,MAX(1,ROUND(APS19/'Sens - CAC &amp; Marketing'!$A$13*APP19,0)),0)</f>
        <v/>
      </c>
      <c r="APU19" s="12">
        <f>IF(APT19&gt;0,ROUND(APT19*ReferralMix/(1-ReferralMix),0),0)</f>
        <v/>
      </c>
      <c r="APV19" s="12">
        <f>APT19+APU19</f>
        <v/>
      </c>
      <c r="APW19" s="12">
        <f>ROUND(APV19*(1-AnnualMix),0)</f>
        <v/>
      </c>
      <c r="APX19" s="12">
        <f>APV19-APW19</f>
        <v/>
      </c>
      <c r="APY19" s="12">
        <f>ROUND(APW19*EssentialMix,0)</f>
        <v/>
      </c>
      <c r="APZ19" s="12">
        <f>ROUND(APW19*PremiumMix,0)</f>
        <v/>
      </c>
      <c r="AQA19" s="12">
        <f>APW19-APY19-APZ19</f>
        <v/>
      </c>
      <c r="AQB19" s="12">
        <f>ROUND(APX19*EssentialMix,0)</f>
        <v/>
      </c>
      <c r="AQC19" s="12">
        <f>ROUND(APX19*PremiumMix,0)</f>
        <v/>
      </c>
      <c r="AQD19" s="12">
        <f>APX19-AQB19-AQC19</f>
        <v/>
      </c>
      <c r="AQE19" s="12">
        <f>APY19+APY18+APY17+MAX(0,AQE18-APY18-APY17)*(1-APR19)</f>
        <v/>
      </c>
      <c r="AQF19" s="12">
        <f>APZ19+APZ18+APZ17+MAX(0,AQF18-APZ18-APZ17)*(1-APR19)</f>
        <v/>
      </c>
      <c r="AQG19" s="12">
        <f>AQA19+AQA18+AQA17+MAX(0,AQG18-AQA18-AQA17)*(1-APR19)</f>
        <v/>
      </c>
      <c r="AQH19" s="12">
        <f>AQH18+AQB19-AQB7*(AnnualChurn*VLOOKUP(APN19,ChurnSeasonTable,4,FALSE))*POWER(1-(AnnualChurn*VLOOKUP(APN19,ChurnSeasonTable,4,FALSE)),0)</f>
        <v/>
      </c>
      <c r="AQI19" s="12">
        <f>AQI18+AQC19-AQC7*(AnnualChurn*VLOOKUP(APN19,ChurnSeasonTable,4,FALSE))*POWER(1-(AnnualChurn*VLOOKUP(APN19,ChurnSeasonTable,4,FALSE)),0)</f>
        <v/>
      </c>
      <c r="AQJ19" s="12">
        <f>AQJ18+AQD19-AQD7*(AnnualChurn*VLOOKUP(APN19,ChurnSeasonTable,4,FALSE))*POWER(1-(AnnualChurn*VLOOKUP(APN19,ChurnSeasonTable,4,FALSE)),0)</f>
        <v/>
      </c>
      <c r="AQK19" s="12">
        <f>AQE19+AQF19+AQG19+AQH19+AQI19+AQJ19</f>
        <v/>
      </c>
      <c r="AQL19" s="9">
        <f>AQE19*BlendedPriceEssMonthly*APQ19+AQF19*BlendedPricePremMonthly*APQ19+AQG19*BlendedPriceEliteMonthly*APQ19+AQH19*BlendedPriceEssAnnual*APQ19/12+AQI19*BlendedPricePremAnnual*APQ19/12+AQJ19*BlendedPriceEliteAnnual*APQ19/12</f>
        <v/>
      </c>
      <c r="AQM19" s="9">
        <f>AQL19*12</f>
        <v/>
      </c>
      <c r="AQN19" s="12">
        <f>AQE19*BlendedPriceEssMonthly*APQ19+AQF19*BlendedPricePremMonthly*APQ19+AQG19*BlendedPriceEliteMonthly*APQ19</f>
        <v/>
      </c>
      <c r="AQO19" s="12">
        <f>AQB19*BlendedPriceEssAnnual*APQ19+AQC19*BlendedPricePremAnnual*APQ19+AQD19*BlendedPriceEliteAnnual*APQ19</f>
        <v/>
      </c>
      <c r="AQP19" s="12">
        <f>AQB7*POWER(1-(AnnualChurn*VLOOKUP(APN19,ChurnSeasonTable,4,FALSE)),1)*BlendedPriceEssAnnual*APQ19+AQC7*POWER(1-(AnnualChurn*VLOOKUP(APN19,ChurnSeasonTable,4,FALSE)),1)*BlendedPricePremAnnual*APQ19+AQD7*POWER(1-(AnnualChurn*VLOOKUP(APN19,ChurnSeasonTable,4,FALSE)),1)*BlendedPriceEliteAnnual*APQ19</f>
        <v/>
      </c>
      <c r="AQQ19" s="9">
        <f>AQN19+AQO19+AQP19</f>
        <v/>
      </c>
      <c r="AQR19" s="12">
        <f>SUM(AQQ8:AQQ19)</f>
        <v/>
      </c>
      <c r="AQS19" s="12">
        <f>OR(AQS18,IF(VATAgentMode,SUM($AQQ8:$AQQ19)-SUM($AQX8:$AQX19)&gt;=VATThreshold,SUM($AQQ8:$AQQ19)&gt;=VATThreshold))</f>
        <v/>
      </c>
      <c r="AQT19" s="9">
        <f>IF(AQS19,IF(VATAgentMode,AQQ19-((AQQ19-AQX19)-(AQQ19-AQX19)/(1+VATRate)),AQQ19/(1+VATRate)),AQQ19)</f>
        <v/>
      </c>
      <c r="AQU19" s="12">
        <f>AQQ19-AQT19</f>
        <v/>
      </c>
      <c r="AQV19" s="12">
        <f>IF(AQS19=0,0,IF(APN19=1,SUMPRODUCT(--(($APO$5:$APO19=$APO19-1)*($APN$5:$APN19&gt;=10)*($APN$5:$APN19&lt;=12)),$AQU$5:$AQU19),IF(APN19=4,SUMPRODUCT(--(($APO$5:$APO19=$APO19)*($APN$5:$APN19&gt;=1)*($APN$5:$APN19&lt;=3)),$AQU$5:$AQU19),IF(APN19=7,SUMPRODUCT(--(($APO$5:$APO19=$APO19)*($APN$5:$APN19&gt;=4)*($APN$5:$APN19&lt;=6)),$AQU$5:$AQU19),IF(APN19=10,SUMPRODUCT(--(($APO$5:$APO19=$APO19)*($APN$5:$APN19&gt;=7)*($APN$5:$APN19&lt;=9)),$AQU$5:$AQU19),0)))))</f>
        <v/>
      </c>
      <c r="AQW19" s="12">
        <f>AQW18+AQU19-AQV19</f>
        <v/>
      </c>
      <c r="AQX19" s="12">
        <f>IF(ProviderDelay&gt;=1,AQE18*BlendedProvPayEss+AQF18*BlendedProvPayPrem+AQG18*BlendedProvPayElite+AQH18*BlendedProvPayEss+AQI18*BlendedProvPayPrem+AQJ18*BlendedProvPayElite,AQE19*BlendedProvPayEss+AQF19*BlendedProvPayPrem+AQG19*BlendedProvPayElite+AQH19*BlendedProvPayEss+AQI19*BlendedProvPayPrem+AQJ19*BlendedProvPayElite)</f>
        <v/>
      </c>
      <c r="AQY19" s="12">
        <f>AQQ19*PaymentFee</f>
        <v/>
      </c>
      <c r="AQZ19" s="12">
        <f>AQK19*OpsAI</f>
        <v/>
      </c>
      <c r="ARA19" s="12">
        <f>MonthlyFixed</f>
        <v/>
      </c>
      <c r="ARB19" s="12">
        <f>APU19*ReferralReward</f>
        <v/>
      </c>
      <c r="ARC19" s="12">
        <f>APS19</f>
        <v/>
      </c>
      <c r="ARD19" s="9">
        <f>AQT19-AQX19-AQY19-AQZ19-ARA19-ARB19-ARC19</f>
        <v/>
      </c>
      <c r="ARE19" s="9">
        <f>ARE18+AQQ19-(AQX19+AQY19+AQZ19+ARA19+ARB19+ARC19+AQV19)</f>
        <v/>
      </c>
      <c r="ARF19" s="12">
        <f>IF(AQK19&gt;0,AQL19/AQK19,0)</f>
        <v/>
      </c>
      <c r="ARG19" s="11">
        <f>IF(AQK18&gt;0,MAX(0,(AQK18+APV19-AQK19)/AQK18),0)</f>
        <v/>
      </c>
      <c r="ARI19" s="12" t="n">
        <v>15</v>
      </c>
      <c r="ARJ19" s="12">
        <f>MOD(ARI19-1+LaunchMonth-1,12)+1</f>
        <v/>
      </c>
      <c r="ARK19" s="12">
        <f>INT((ARI19-1+LaunchMonth-1)/12)+1</f>
        <v/>
      </c>
      <c r="ARL19" s="12">
        <f>VLOOKUP(ARJ19,SeasonTable,2,FALSE)</f>
        <v/>
      </c>
      <c r="ARM19" s="12">
        <f>(1+InflationRate)^INT((ARI19-1)/12)</f>
        <v/>
      </c>
      <c r="ARN19" s="11">
        <f>MonthlyChurn*VLOOKUP(ARJ19,ChurnSeasonTable,4,FALSE)</f>
        <v/>
      </c>
      <c r="ARO19" s="12">
        <f>MIN(MAX(MktMin13_18,ASM18*MktPct13_18),MAX(0,ATA18-CashBuffer))</f>
        <v/>
      </c>
      <c r="ARP19" s="12">
        <f>IF(ARO19&gt;0,MAX(1,ROUND(ARO19/'Sens - CAC &amp; Marketing'!$A$14*ARL19,0)),0)</f>
        <v/>
      </c>
      <c r="ARQ19" s="12">
        <f>IF(ARP19&gt;0,ROUND(ARP19*ReferralMix/(1-ReferralMix),0),0)</f>
        <v/>
      </c>
      <c r="ARR19" s="12">
        <f>ARP19+ARQ19</f>
        <v/>
      </c>
      <c r="ARS19" s="12">
        <f>ROUND(ARR19*(1-AnnualMix),0)</f>
        <v/>
      </c>
      <c r="ART19" s="12">
        <f>ARR19-ARS19</f>
        <v/>
      </c>
      <c r="ARU19" s="12">
        <f>ROUND(ARS19*EssentialMix,0)</f>
        <v/>
      </c>
      <c r="ARV19" s="12">
        <f>ROUND(ARS19*PremiumMix,0)</f>
        <v/>
      </c>
      <c r="ARW19" s="12">
        <f>ARS19-ARU19-ARV19</f>
        <v/>
      </c>
      <c r="ARX19" s="12">
        <f>ROUND(ART19*EssentialMix,0)</f>
        <v/>
      </c>
      <c r="ARY19" s="12">
        <f>ROUND(ART19*PremiumMix,0)</f>
        <v/>
      </c>
      <c r="ARZ19" s="12">
        <f>ART19-ARX19-ARY19</f>
        <v/>
      </c>
      <c r="ASA19" s="12">
        <f>ARU19+ARU18+ARU17+MAX(0,ASA18-ARU18-ARU17)*(1-ARN19)</f>
        <v/>
      </c>
      <c r="ASB19" s="12">
        <f>ARV19+ARV18+ARV17+MAX(0,ASB18-ARV18-ARV17)*(1-ARN19)</f>
        <v/>
      </c>
      <c r="ASC19" s="12">
        <f>ARW19+ARW18+ARW17+MAX(0,ASC18-ARW18-ARW17)*(1-ARN19)</f>
        <v/>
      </c>
      <c r="ASD19" s="12">
        <f>ASD18+ARX19-ARX7*(AnnualChurn*VLOOKUP(ARJ19,ChurnSeasonTable,4,FALSE))*POWER(1-(AnnualChurn*VLOOKUP(ARJ19,ChurnSeasonTable,4,FALSE)),0)</f>
        <v/>
      </c>
      <c r="ASE19" s="12">
        <f>ASE18+ARY19-ARY7*(AnnualChurn*VLOOKUP(ARJ19,ChurnSeasonTable,4,FALSE))*POWER(1-(AnnualChurn*VLOOKUP(ARJ19,ChurnSeasonTable,4,FALSE)),0)</f>
        <v/>
      </c>
      <c r="ASF19" s="12">
        <f>ASF18+ARZ19-ARZ7*(AnnualChurn*VLOOKUP(ARJ19,ChurnSeasonTable,4,FALSE))*POWER(1-(AnnualChurn*VLOOKUP(ARJ19,ChurnSeasonTable,4,FALSE)),0)</f>
        <v/>
      </c>
      <c r="ASG19" s="12">
        <f>ASA19+ASB19+ASC19+ASD19+ASE19+ASF19</f>
        <v/>
      </c>
      <c r="ASH19" s="9">
        <f>ASA19*BlendedPriceEssMonthly*ARM19+ASB19*BlendedPricePremMonthly*ARM19+ASC19*BlendedPriceEliteMonthly*ARM19+ASD19*BlendedPriceEssAnnual*ARM19/12+ASE19*BlendedPricePremAnnual*ARM19/12+ASF19*BlendedPriceEliteAnnual*ARM19/12</f>
        <v/>
      </c>
      <c r="ASI19" s="9">
        <f>ASH19*12</f>
        <v/>
      </c>
      <c r="ASJ19" s="12">
        <f>ASA19*BlendedPriceEssMonthly*ARM19+ASB19*BlendedPricePremMonthly*ARM19+ASC19*BlendedPriceEliteMonthly*ARM19</f>
        <v/>
      </c>
      <c r="ASK19" s="12">
        <f>ARX19*BlendedPriceEssAnnual*ARM19+ARY19*BlendedPricePremAnnual*ARM19+ARZ19*BlendedPriceEliteAnnual*ARM19</f>
        <v/>
      </c>
      <c r="ASL19" s="12">
        <f>ARX7*POWER(1-(AnnualChurn*VLOOKUP(ARJ19,ChurnSeasonTable,4,FALSE)),1)*BlendedPriceEssAnnual*ARM19+ARY7*POWER(1-(AnnualChurn*VLOOKUP(ARJ19,ChurnSeasonTable,4,FALSE)),1)*BlendedPricePremAnnual*ARM19+ARZ7*POWER(1-(AnnualChurn*VLOOKUP(ARJ19,ChurnSeasonTable,4,FALSE)),1)*BlendedPriceEliteAnnual*ARM19</f>
        <v/>
      </c>
      <c r="ASM19" s="9">
        <f>ASJ19+ASK19+ASL19</f>
        <v/>
      </c>
      <c r="ASN19" s="12">
        <f>SUM(ASM8:ASM19)</f>
        <v/>
      </c>
      <c r="ASO19" s="12">
        <f>OR(ASO18,IF(VATAgentMode,SUM($ASM8:$ASM19)-SUM($AST8:$AST19)&gt;=VATThreshold,SUM($ASM8:$ASM19)&gt;=VATThreshold))</f>
        <v/>
      </c>
      <c r="ASP19" s="9">
        <f>IF(ASO19,IF(VATAgentMode,ASM19-((ASM19-AST19)-(ASM19-AST19)/(1+VATRate)),ASM19/(1+VATRate)),ASM19)</f>
        <v/>
      </c>
      <c r="ASQ19" s="12">
        <f>ASM19-ASP19</f>
        <v/>
      </c>
      <c r="ASR19" s="12">
        <f>IF(ASO19=0,0,IF(ARJ19=1,SUMPRODUCT(--(($ARK$5:$ARK19=$ARK19-1)*($ARJ$5:$ARJ19&gt;=10)*($ARJ$5:$ARJ19&lt;=12)),$ASQ$5:$ASQ19),IF(ARJ19=4,SUMPRODUCT(--(($ARK$5:$ARK19=$ARK19)*($ARJ$5:$ARJ19&gt;=1)*($ARJ$5:$ARJ19&lt;=3)),$ASQ$5:$ASQ19),IF(ARJ19=7,SUMPRODUCT(--(($ARK$5:$ARK19=$ARK19)*($ARJ$5:$ARJ19&gt;=4)*($ARJ$5:$ARJ19&lt;=6)),$ASQ$5:$ASQ19),IF(ARJ19=10,SUMPRODUCT(--(($ARK$5:$ARK19=$ARK19)*($ARJ$5:$ARJ19&gt;=7)*($ARJ$5:$ARJ19&lt;=9)),$ASQ$5:$ASQ19),0)))))</f>
        <v/>
      </c>
      <c r="ASS19" s="12">
        <f>ASS18+ASQ19-ASR19</f>
        <v/>
      </c>
      <c r="AST19" s="12">
        <f>IF(ProviderDelay&gt;=1,ASA18*BlendedProvPayEss+ASB18*BlendedProvPayPrem+ASC18*BlendedProvPayElite+ASD18*BlendedProvPayEss+ASE18*BlendedProvPayPrem+ASF18*BlendedProvPayElite,ASA19*BlendedProvPayEss+ASB19*BlendedProvPayPrem+ASC19*BlendedProvPayElite+ASD19*BlendedProvPayEss+ASE19*BlendedProvPayPrem+ASF19*BlendedProvPayElite)</f>
        <v/>
      </c>
      <c r="ASU19" s="12">
        <f>ASM19*PaymentFee</f>
        <v/>
      </c>
      <c r="ASV19" s="12">
        <f>ASG19*OpsAI</f>
        <v/>
      </c>
      <c r="ASW19" s="12">
        <f>MonthlyFixed</f>
        <v/>
      </c>
      <c r="ASX19" s="12">
        <f>ARQ19*ReferralReward</f>
        <v/>
      </c>
      <c r="ASY19" s="12">
        <f>ARO19</f>
        <v/>
      </c>
      <c r="ASZ19" s="9">
        <f>ASP19-AST19-ASU19-ASV19-ASW19-ASX19-ASY19</f>
        <v/>
      </c>
      <c r="ATA19" s="9">
        <f>ATA18+ASM19-(AST19+ASU19+ASV19+ASW19+ASX19+ASY19+ASR19)</f>
        <v/>
      </c>
      <c r="ATB19" s="12">
        <f>IF(ASG19&gt;0,ASH19/ASG19,0)</f>
        <v/>
      </c>
      <c r="ATC19" s="11">
        <f>IF(ASG18&gt;0,MAX(0,(ASG18+ARR19-ASG19)/ASG18),0)</f>
        <v/>
      </c>
      <c r="ATE19" s="12" t="n">
        <v>15</v>
      </c>
      <c r="ATF19" s="12">
        <f>MOD(ATE19-1+LaunchMonth-1,12)+1</f>
        <v/>
      </c>
      <c r="ATG19" s="12">
        <f>INT((ATE19-1+LaunchMonth-1)/12)+1</f>
        <v/>
      </c>
      <c r="ATH19" s="12">
        <f>VLOOKUP(ATF19,SeasonTable,2,FALSE)</f>
        <v/>
      </c>
      <c r="ATI19" s="12">
        <f>(1+InflationRate)^INT((ATE19-1)/12)</f>
        <v/>
      </c>
      <c r="ATJ19" s="11">
        <f>MonthlyChurn*VLOOKUP(ATF19,ChurnSeasonTable,4,FALSE)</f>
        <v/>
      </c>
      <c r="ATK19" s="12">
        <f>MIN(MAX(MktMin13_18,AUI18*MktPct13_18),MAX(0,AUW18-CashBuffer))</f>
        <v/>
      </c>
      <c r="ATL19" s="12">
        <f>IF(ATK19&gt;0,MAX(1,ROUND(ATK19/'Sens - CAC &amp; Marketing'!$A$15*ATH19,0)),0)</f>
        <v/>
      </c>
      <c r="ATM19" s="12">
        <f>IF(ATL19&gt;0,ROUND(ATL19*ReferralMix/(1-ReferralMix),0),0)</f>
        <v/>
      </c>
      <c r="ATN19" s="12">
        <f>ATL19+ATM19</f>
        <v/>
      </c>
      <c r="ATO19" s="12">
        <f>ROUND(ATN19*(1-AnnualMix),0)</f>
        <v/>
      </c>
      <c r="ATP19" s="12">
        <f>ATN19-ATO19</f>
        <v/>
      </c>
      <c r="ATQ19" s="12">
        <f>ROUND(ATO19*EssentialMix,0)</f>
        <v/>
      </c>
      <c r="ATR19" s="12">
        <f>ROUND(ATO19*PremiumMix,0)</f>
        <v/>
      </c>
      <c r="ATS19" s="12">
        <f>ATO19-ATQ19-ATR19</f>
        <v/>
      </c>
      <c r="ATT19" s="12">
        <f>ROUND(ATP19*EssentialMix,0)</f>
        <v/>
      </c>
      <c r="ATU19" s="12">
        <f>ROUND(ATP19*PremiumMix,0)</f>
        <v/>
      </c>
      <c r="ATV19" s="12">
        <f>ATP19-ATT19-ATU19</f>
        <v/>
      </c>
      <c r="ATW19" s="12">
        <f>ATQ19+ATQ18+ATQ17+MAX(0,ATW18-ATQ18-ATQ17)*(1-ATJ19)</f>
        <v/>
      </c>
      <c r="ATX19" s="12">
        <f>ATR19+ATR18+ATR17+MAX(0,ATX18-ATR18-ATR17)*(1-ATJ19)</f>
        <v/>
      </c>
      <c r="ATY19" s="12">
        <f>ATS19+ATS18+ATS17+MAX(0,ATY18-ATS18-ATS17)*(1-ATJ19)</f>
        <v/>
      </c>
      <c r="ATZ19" s="12">
        <f>ATZ18+ATT19-ATT7*(AnnualChurn*VLOOKUP(ATF19,ChurnSeasonTable,4,FALSE))*POWER(1-(AnnualChurn*VLOOKUP(ATF19,ChurnSeasonTable,4,FALSE)),0)</f>
        <v/>
      </c>
      <c r="AUA19" s="12">
        <f>AUA18+ATU19-ATU7*(AnnualChurn*VLOOKUP(ATF19,ChurnSeasonTable,4,FALSE))*POWER(1-(AnnualChurn*VLOOKUP(ATF19,ChurnSeasonTable,4,FALSE)),0)</f>
        <v/>
      </c>
      <c r="AUB19" s="12">
        <f>AUB18+ATV19-ATV7*(AnnualChurn*VLOOKUP(ATF19,ChurnSeasonTable,4,FALSE))*POWER(1-(AnnualChurn*VLOOKUP(ATF19,ChurnSeasonTable,4,FALSE)),0)</f>
        <v/>
      </c>
      <c r="AUC19" s="12">
        <f>ATW19+ATX19+ATY19+ATZ19+AUA19+AUB19</f>
        <v/>
      </c>
      <c r="AUD19" s="9">
        <f>ATW19*BlendedPriceEssMonthly*ATI19+ATX19*BlendedPricePremMonthly*ATI19+ATY19*BlendedPriceEliteMonthly*ATI19+ATZ19*BlendedPriceEssAnnual*ATI19/12+AUA19*BlendedPricePremAnnual*ATI19/12+AUB19*BlendedPriceEliteAnnual*ATI19/12</f>
        <v/>
      </c>
      <c r="AUE19" s="9">
        <f>AUD19*12</f>
        <v/>
      </c>
      <c r="AUF19" s="12">
        <f>ATW19*BlendedPriceEssMonthly*ATI19+ATX19*BlendedPricePremMonthly*ATI19+ATY19*BlendedPriceEliteMonthly*ATI19</f>
        <v/>
      </c>
      <c r="AUG19" s="12">
        <f>ATT19*BlendedPriceEssAnnual*ATI19+ATU19*BlendedPricePremAnnual*ATI19+ATV19*BlendedPriceEliteAnnual*ATI19</f>
        <v/>
      </c>
      <c r="AUH19" s="12">
        <f>ATT7*POWER(1-(AnnualChurn*VLOOKUP(ATF19,ChurnSeasonTable,4,FALSE)),1)*BlendedPriceEssAnnual*ATI19+ATU7*POWER(1-(AnnualChurn*VLOOKUP(ATF19,ChurnSeasonTable,4,FALSE)),1)*BlendedPricePremAnnual*ATI19+ATV7*POWER(1-(AnnualChurn*VLOOKUP(ATF19,ChurnSeasonTable,4,FALSE)),1)*BlendedPriceEliteAnnual*ATI19</f>
        <v/>
      </c>
      <c r="AUI19" s="9">
        <f>AUF19+AUG19+AUH19</f>
        <v/>
      </c>
      <c r="AUJ19" s="12">
        <f>SUM(AUI8:AUI19)</f>
        <v/>
      </c>
      <c r="AUK19" s="12">
        <f>OR(AUK18,IF(VATAgentMode,SUM($AUI8:$AUI19)-SUM($AUP8:$AUP19)&gt;=VATThreshold,SUM($AUI8:$AUI19)&gt;=VATThreshold))</f>
        <v/>
      </c>
      <c r="AUL19" s="9">
        <f>IF(AUK19,IF(VATAgentMode,AUI19-((AUI19-AUP19)-(AUI19-AUP19)/(1+VATRate)),AUI19/(1+VATRate)),AUI19)</f>
        <v/>
      </c>
      <c r="AUM19" s="12">
        <f>AUI19-AUL19</f>
        <v/>
      </c>
      <c r="AUN19" s="12">
        <f>IF(AUK19=0,0,IF(ATF19=1,SUMPRODUCT(--(($ATG$5:$ATG19=$ATG19-1)*($ATF$5:$ATF19&gt;=10)*($ATF$5:$ATF19&lt;=12)),$AUM$5:$AUM19),IF(ATF19=4,SUMPRODUCT(--(($ATG$5:$ATG19=$ATG19)*($ATF$5:$ATF19&gt;=1)*($ATF$5:$ATF19&lt;=3)),$AUM$5:$AUM19),IF(ATF19=7,SUMPRODUCT(--(($ATG$5:$ATG19=$ATG19)*($ATF$5:$ATF19&gt;=4)*($ATF$5:$ATF19&lt;=6)),$AUM$5:$AUM19),IF(ATF19=10,SUMPRODUCT(--(($ATG$5:$ATG19=$ATG19)*($ATF$5:$ATF19&gt;=7)*($ATF$5:$ATF19&lt;=9)),$AUM$5:$AUM19),0)))))</f>
        <v/>
      </c>
      <c r="AUO19" s="12">
        <f>AUO18+AUM19-AUN19</f>
        <v/>
      </c>
      <c r="AUP19" s="12">
        <f>IF(ProviderDelay&gt;=1,ATW18*BlendedProvPayEss+ATX18*BlendedProvPayPrem+ATY18*BlendedProvPayElite+ATZ18*BlendedProvPayEss+AUA18*BlendedProvPayPrem+AUB18*BlendedProvPayElite,ATW19*BlendedProvPayEss+ATX19*BlendedProvPayPrem+ATY19*BlendedProvPayElite+ATZ19*BlendedProvPayEss+AUA19*BlendedProvPayPrem+AUB19*BlendedProvPayElite)</f>
        <v/>
      </c>
      <c r="AUQ19" s="12">
        <f>AUI19*PaymentFee</f>
        <v/>
      </c>
      <c r="AUR19" s="12">
        <f>AUC19*OpsAI</f>
        <v/>
      </c>
      <c r="AUS19" s="12">
        <f>MonthlyFixed</f>
        <v/>
      </c>
      <c r="AUT19" s="12">
        <f>ATM19*ReferralReward</f>
        <v/>
      </c>
      <c r="AUU19" s="12">
        <f>ATK19</f>
        <v/>
      </c>
      <c r="AUV19" s="9">
        <f>AUL19-AUP19-AUQ19-AUR19-AUS19-AUT19-AUU19</f>
        <v/>
      </c>
      <c r="AUW19" s="9">
        <f>AUW18+AUI19-(AUP19+AUQ19+AUR19+AUS19+AUT19+AUU19+AUN19)</f>
        <v/>
      </c>
      <c r="AUX19" s="12">
        <f>IF(AUC19&gt;0,AUD19/AUC19,0)</f>
        <v/>
      </c>
      <c r="AUY19" s="11">
        <f>IF(AUC18&gt;0,MAX(0,(AUC18+ATN19-AUC19)/AUC18),0)</f>
        <v/>
      </c>
      <c r="AVA19" s="12" t="n">
        <v>15</v>
      </c>
      <c r="AVB19" s="12">
        <f>MOD(AVA19-1+LaunchMonth-1,12)+1</f>
        <v/>
      </c>
      <c r="AVC19" s="12">
        <f>INT((AVA19-1+LaunchMonth-1)/12)+1</f>
        <v/>
      </c>
      <c r="AVD19" s="12">
        <f>VLOOKUP(AVB19,WinterPivotSeasonTable,5,FALSE)</f>
        <v/>
      </c>
      <c r="AVE19" s="12">
        <f>(1+InflationRate)^INT((AVA19-1)/12)</f>
        <v/>
      </c>
      <c r="AVF19" s="11">
        <f>MonthlyChurn*VLOOKUP(AVB19,WinterPivotChurnTable,6,FALSE)</f>
        <v/>
      </c>
      <c r="AVG19" s="12">
        <f>MIN(MAX(MktMin13_18,AWE18*MktPct13_18),MAX(0,AWS18-CashBuffer))</f>
        <v/>
      </c>
      <c r="AVH19" s="12">
        <f>IF(AVG19&gt;0,MAX(1,ROUND(AVG19/CAC*AVD19,0)),0)</f>
        <v/>
      </c>
      <c r="AVI19" s="12">
        <f>IF(AVH19&gt;0,ROUND(AVH19*ReferralMix/(1-ReferralMix),0),0)</f>
        <v/>
      </c>
      <c r="AVJ19" s="12">
        <f>AVH19+AVI19</f>
        <v/>
      </c>
      <c r="AVK19" s="12">
        <f>ROUND(AVJ19*(1-AnnualMix),0)</f>
        <v/>
      </c>
      <c r="AVL19" s="12">
        <f>AVJ19-AVK19</f>
        <v/>
      </c>
      <c r="AVM19" s="12">
        <f>ROUND(AVK19*'Sens - Winter Pivot'!$B$6,0)</f>
        <v/>
      </c>
      <c r="AVN19" s="12">
        <f>ROUND(AVK19*PremiumMix,0)</f>
        <v/>
      </c>
      <c r="AVO19" s="12">
        <f>AVK19-AVM19-AVN19</f>
        <v/>
      </c>
      <c r="AVP19" s="12">
        <f>ROUND(AVL19*'Sens - Winter Pivot'!$B$6,0)</f>
        <v/>
      </c>
      <c r="AVQ19" s="12">
        <f>ROUND(AVL19*PremiumMix,0)</f>
        <v/>
      </c>
      <c r="AVR19" s="12">
        <f>AVL19-AVP19-AVQ19</f>
        <v/>
      </c>
      <c r="AVS19" s="12">
        <f>AVM19+AVM18+AVM17+MAX(0,AVS18-AVM18-AVM17)*(1-AVF19)</f>
        <v/>
      </c>
      <c r="AVT19" s="12">
        <f>AVN19+AVN18+AVN17+MAX(0,AVT18-AVN18-AVN17)*(1-AVF19)</f>
        <v/>
      </c>
      <c r="AVU19" s="12">
        <f>AVO19+AVO18+AVO17+MAX(0,AVU18-AVO18-AVO17)*(1-AVF19)</f>
        <v/>
      </c>
      <c r="AVV19" s="12">
        <f>AVV18+AVP19-AVP7*(AnnualChurn*VLOOKUP(AVB19,ChurnSeasonTable,4,FALSE))*POWER(1-(AnnualChurn*VLOOKUP(AVB19,ChurnSeasonTable,4,FALSE)),0)</f>
        <v/>
      </c>
      <c r="AVW19" s="12">
        <f>AVW18+AVQ19-AVQ7*(AnnualChurn*VLOOKUP(AVB19,ChurnSeasonTable,4,FALSE))*POWER(1-(AnnualChurn*VLOOKUP(AVB19,ChurnSeasonTable,4,FALSE)),0)</f>
        <v/>
      </c>
      <c r="AVX19" s="12">
        <f>AVX18+AVR19-AVR7*(AnnualChurn*VLOOKUP(AVB19,ChurnSeasonTable,4,FALSE))*POWER(1-(AnnualChurn*VLOOKUP(AVB19,ChurnSeasonTable,4,FALSE)),0)</f>
        <v/>
      </c>
      <c r="AVY19" s="12">
        <f>AVS19+AVT19+AVU19+AVV19+AVW19+AVX19</f>
        <v/>
      </c>
      <c r="AVZ19" s="9">
        <f>AVS19*BlendedPriceEssMonthly*AVE19+AVT19*(BlendedPricePremMonthly+'Sens - Winter Pivot'!$B$7)*AVE19+AVU19*BlendedPriceEliteMonthly*AVE19+AVV19*BlendedPriceEssAnnual*AVE19/12+AVW19*(BlendedPricePremAnnual+'Sens - Winter Pivot'!$B$7*12)*AVE19/12+AVX19*BlendedPriceEliteAnnual*AVE19/12</f>
        <v/>
      </c>
      <c r="AWA19" s="9">
        <f>AVZ19*12</f>
        <v/>
      </c>
      <c r="AWB19" s="12">
        <f>AVS19*BlendedPriceEssMonthly*AVE19+AVT19*(BlendedPricePremMonthly+'Sens - Winter Pivot'!$B$7)*AVE19+AVU19*BlendedPriceEliteMonthly*AVE19</f>
        <v/>
      </c>
      <c r="AWC19" s="12">
        <f>AVP19*BlendedPriceEssAnnual*AVE19+AVQ19*(BlendedPricePremAnnual+'Sens - Winter Pivot'!$B$7*12)*AVE19+AVR19*BlendedPriceEliteAnnual*AVE19</f>
        <v/>
      </c>
      <c r="AWD19" s="12">
        <f>AVP7*POWER(1-(AnnualChurn*VLOOKUP(AVB19,ChurnSeasonTable,4,FALSE)),1)*BlendedPriceEssAnnual*AVE19+AVQ7*POWER(1-(AnnualChurn*VLOOKUP(AVB19,ChurnSeasonTable,4,FALSE)),1)*BlendedPricePremAnnual*AVE19+AVR7*POWER(1-(AnnualChurn*VLOOKUP(AVB19,ChurnSeasonTable,4,FALSE)),1)*BlendedPriceEliteAnnual*AVE19</f>
        <v/>
      </c>
      <c r="AWE19" s="9">
        <f>AWB19+AWC19+AWD19</f>
        <v/>
      </c>
      <c r="AWF19" s="12">
        <f>SUM(AWE8:AWE19)</f>
        <v/>
      </c>
      <c r="AWG19" s="12">
        <f>OR(AWG18,IF(VATAgentMode,SUM($AWE8:$AWE19)-SUM($AWL8:$AWL19)&gt;=VATThreshold,SUM($AWE8:$AWE19)&gt;=VATThreshold))</f>
        <v/>
      </c>
      <c r="AWH19" s="9">
        <f>IF(AWG19,IF(VATAgentMode,AWE19-((AWE19-AWL19)-(AWE19-AWL19)/(1+VATRate)),AWE19/(1+VATRate)),AWE19)</f>
        <v/>
      </c>
      <c r="AWI19" s="12">
        <f>AWE19-AWH19</f>
        <v/>
      </c>
      <c r="AWJ19" s="12">
        <f>IF(AWG19=0,0,IF(AVB19=1,SUMPRODUCT(--(($AVC$5:$AVC19=$AVC19-1)*($AVB$5:$AVB19&gt;=10)*($AVB$5:$AVB19&lt;=12)),$AWI$5:$AWI19),IF(AVB19=4,SUMPRODUCT(--(($AVC$5:$AVC19=$AVC19)*($AVB$5:$AVB19&gt;=1)*($AVB$5:$AVB19&lt;=3)),$AWI$5:$AWI19),IF(AVB19=7,SUMPRODUCT(--(($AVC$5:$AVC19=$AVC19)*($AVB$5:$AVB19&gt;=4)*($AVB$5:$AVB19&lt;=6)),$AWI$5:$AWI19),IF(AVB19=10,SUMPRODUCT(--(($AVC$5:$AVC19=$AVC19)*($AVB$5:$AVB19&gt;=7)*($AVB$5:$AVB19&lt;=9)),$AWI$5:$AWI19),0)))))</f>
        <v/>
      </c>
      <c r="AWK19" s="12">
        <f>AWK18+AWI19-AWJ19</f>
        <v/>
      </c>
      <c r="AWL19" s="12">
        <f>IF(ProviderDelay&gt;=1,AVS18*BlendedProvPayEss+AVT18*BlendedProvPayPrem+AVU18*BlendedProvPayElite+AVV18*BlendedProvPayEss+AVW18*BlendedProvPayPrem+AVX18*BlendedProvPayElite,AVS19*BlendedProvPayEss+AVT19*BlendedProvPayPrem+AVU19*BlendedProvPayElite+AVV19*BlendedProvPayEss+AVW19*BlendedProvPayPrem+AVX19*BlendedProvPayElite)</f>
        <v/>
      </c>
      <c r="AWM19" s="12">
        <f>AWE19*PaymentFee</f>
        <v/>
      </c>
      <c r="AWN19" s="12">
        <f>AVY19*OpsAI</f>
        <v/>
      </c>
      <c r="AWO19" s="12">
        <f>MonthlyFixed</f>
        <v/>
      </c>
      <c r="AWP19" s="12">
        <f>AVI19*ReferralReward</f>
        <v/>
      </c>
      <c r="AWQ19" s="12">
        <f>AVG19</f>
        <v/>
      </c>
      <c r="AWR19" s="9">
        <f>AWH19-AWL19-AWM19-AWN19-AWO19-AWP19-AWQ19</f>
        <v/>
      </c>
      <c r="AWS19" s="9">
        <f>AWS18+AWE19-(AWL19+AWM19+AWN19+AWO19+AWP19+AWQ19+AWJ19)</f>
        <v/>
      </c>
      <c r="AWT19" s="12">
        <f>IF(AVY19&gt;0,AVZ19/AVY19,0)</f>
        <v/>
      </c>
      <c r="AWU19" s="11">
        <f>IF(AVY18&gt;0,MAX(0,(AVY18+AVJ19-AVY19)/AVY18),0)</f>
        <v/>
      </c>
    </row>
    <row r="20">
      <c r="A20" s="12" t="n">
        <v>16</v>
      </c>
      <c r="B20" s="12">
        <f>MOD(A20-1+LaunchMonth-1,12)+1</f>
        <v/>
      </c>
      <c r="C20" s="12">
        <f>INT((A20-1+LaunchMonth-1)/12)+1</f>
        <v/>
      </c>
      <c r="D20" s="12">
        <f>VLOOKUP(B20,SeasonTable,2,FALSE)</f>
        <v/>
      </c>
      <c r="E20" s="12">
        <f>(1+InflationRate)^INT((A20-1)/12)</f>
        <v/>
      </c>
      <c r="F20" s="11">
        <f>'Sens - Scenarios'!$B$5*VLOOKUP(B20,ChurnSeasonTable,4,FALSE)</f>
        <v/>
      </c>
      <c r="G20" s="12">
        <f>MIN(MAX(MktMin13_18,AE19*MktPct13_18),MAX(0,AS19-CashBuffer))</f>
        <v/>
      </c>
      <c r="H20" s="12">
        <f>IF(G20&gt;0,MAX(1,ROUND(G20/'Sens - Scenarios'!$B$8*D20,0)),0)</f>
        <v/>
      </c>
      <c r="I20" s="12">
        <f>IF(H20&gt;0,ROUND(H20*ReferralMix/(1-ReferralMix),0),0)</f>
        <v/>
      </c>
      <c r="J20" s="12">
        <f>H20+I20</f>
        <v/>
      </c>
      <c r="K20" s="12">
        <f>ROUND(J20*(1-'Sens - Scenarios'!$B$7),0)</f>
        <v/>
      </c>
      <c r="L20" s="12">
        <f>J20-K20</f>
        <v/>
      </c>
      <c r="M20" s="12">
        <f>ROUND(K20*EssentialMix,0)</f>
        <v/>
      </c>
      <c r="N20" s="12">
        <f>ROUND(K20*PremiumMix,0)</f>
        <v/>
      </c>
      <c r="O20" s="12">
        <f>K20-M20-N20</f>
        <v/>
      </c>
      <c r="P20" s="12">
        <f>ROUND(L20*EssentialMix,0)</f>
        <v/>
      </c>
      <c r="Q20" s="12">
        <f>ROUND(L20*PremiumMix,0)</f>
        <v/>
      </c>
      <c r="R20" s="12">
        <f>L20-P20-Q20</f>
        <v/>
      </c>
      <c r="S20" s="12">
        <f>M20+M19+M18+MAX(0,S19-M19-M18)*(1-F20)</f>
        <v/>
      </c>
      <c r="T20" s="12">
        <f>N20+N19+N18+MAX(0,T19-N19-N18)*(1-F20)</f>
        <v/>
      </c>
      <c r="U20" s="12">
        <f>O20+O19+O18+MAX(0,U19-O19-O18)*(1-F20)</f>
        <v/>
      </c>
      <c r="V20" s="12">
        <f>V19+P20-P8*('Sens - Scenarios'!$B$6*VLOOKUP(B20,ChurnSeasonTable,4,FALSE))*POWER(1-('Sens - Scenarios'!$B$6*VLOOKUP(B20,ChurnSeasonTable,4,FALSE)),0)</f>
        <v/>
      </c>
      <c r="W20" s="12">
        <f>W19+Q20-Q8*('Sens - Scenarios'!$B$6*VLOOKUP(B20,ChurnSeasonTable,4,FALSE))*POWER(1-('Sens - Scenarios'!$B$6*VLOOKUP(B20,ChurnSeasonTable,4,FALSE)),0)</f>
        <v/>
      </c>
      <c r="X20" s="12">
        <f>X19+R20-R8*('Sens - Scenarios'!$B$6*VLOOKUP(B20,ChurnSeasonTable,4,FALSE))*POWER(1-('Sens - Scenarios'!$B$6*VLOOKUP(B20,ChurnSeasonTable,4,FALSE)),0)</f>
        <v/>
      </c>
      <c r="Y20" s="12">
        <f>S20+T20+U20+V20+W20+X20</f>
        <v/>
      </c>
      <c r="Z20" s="9">
        <f>S20*BlendedPriceEssMonthly*E20+T20*BlendedPricePremMonthly*E20+U20*BlendedPriceEliteMonthly*E20+V20*BlendedPriceEssAnnual*E20/12+W20*BlendedPricePremAnnual*E20/12+X20*BlendedPriceEliteAnnual*E20/12</f>
        <v/>
      </c>
      <c r="AA20" s="9">
        <f>Z20*12</f>
        <v/>
      </c>
      <c r="AB20" s="12">
        <f>S20*BlendedPriceEssMonthly*E20+T20*BlendedPricePremMonthly*E20+U20*BlendedPriceEliteMonthly*E20</f>
        <v/>
      </c>
      <c r="AC20" s="12">
        <f>P20*BlendedPriceEssAnnual*E20+Q20*BlendedPricePremAnnual*E20+R20*BlendedPriceEliteAnnual*E20</f>
        <v/>
      </c>
      <c r="AD20" s="12">
        <f>P8*POWER(1-('Sens - Scenarios'!$B$6*VLOOKUP(B20,ChurnSeasonTable,4,FALSE)),1)*BlendedPriceEssAnnual*E20+Q8*POWER(1-('Sens - Scenarios'!$B$6*VLOOKUP(B20,ChurnSeasonTable,4,FALSE)),1)*BlendedPricePremAnnual*E20+R8*POWER(1-('Sens - Scenarios'!$B$6*VLOOKUP(B20,ChurnSeasonTable,4,FALSE)),1)*BlendedPriceEliteAnnual*E20</f>
        <v/>
      </c>
      <c r="AE20" s="9">
        <f>AB20+AC20+AD20</f>
        <v/>
      </c>
      <c r="AF20" s="12">
        <f>SUM(AE9:AE20)</f>
        <v/>
      </c>
      <c r="AG20" s="12">
        <f>OR(AG19,IF(VATAgentMode,SUM($AE9:$AE20)-SUM($AL9:$AL20)&gt;=VATThreshold,SUM($AE9:$AE20)&gt;=VATThreshold))</f>
        <v/>
      </c>
      <c r="AH20" s="9">
        <f>IF(AG20,IF(VATAgentMode,AE20-((AE20-AL20)-(AE20-AL20)/(1+VATRate)),AE20/(1+VATRate)),AE20)</f>
        <v/>
      </c>
      <c r="AI20" s="12">
        <f>AE20-AH20</f>
        <v/>
      </c>
      <c r="AJ20" s="12">
        <f>IF(AG20=0,0,IF(B20=1,SUMPRODUCT(--(($C$5:$C20=$C20-1)*($B$5:$B20&gt;=10)*($B$5:$B20&lt;=12)),$AI$5:$AI20),IF(B20=4,SUMPRODUCT(--(($C$5:$C20=$C20)*($B$5:$B20&gt;=1)*($B$5:$B20&lt;=3)),$AI$5:$AI20),IF(B20=7,SUMPRODUCT(--(($C$5:$C20=$C20)*($B$5:$B20&gt;=4)*($B$5:$B20&lt;=6)),$AI$5:$AI20),IF(B20=10,SUMPRODUCT(--(($C$5:$C20=$C20)*($B$5:$B20&gt;=7)*($B$5:$B20&lt;=9)),$AI$5:$AI20),0)))))</f>
        <v/>
      </c>
      <c r="AK20" s="12">
        <f>AK19+AI20-AJ20</f>
        <v/>
      </c>
      <c r="AL20" s="12">
        <f>IF(ProviderDelay&gt;=1,S19*BlendedProvPayEss+T19*BlendedProvPayPrem+U19*BlendedProvPayElite+V19*BlendedProvPayEss+W19*BlendedProvPayPrem+X19*BlendedProvPayElite,S20*BlendedProvPayEss+T20*BlendedProvPayPrem+U20*BlendedProvPayElite+V20*BlendedProvPayEss+W20*BlendedProvPayPrem+X20*BlendedProvPayElite)</f>
        <v/>
      </c>
      <c r="AM20" s="12">
        <f>AE20*PaymentFee</f>
        <v/>
      </c>
      <c r="AN20" s="12">
        <f>Y20*OpsAI</f>
        <v/>
      </c>
      <c r="AO20" s="12">
        <f>MonthlyFixed</f>
        <v/>
      </c>
      <c r="AP20" s="12">
        <f>I20*ReferralReward</f>
        <v/>
      </c>
      <c r="AQ20" s="12">
        <f>G20</f>
        <v/>
      </c>
      <c r="AR20" s="9">
        <f>AH20-AL20-AM20-AN20-AO20-AP20-AQ20</f>
        <v/>
      </c>
      <c r="AS20" s="9">
        <f>AS19+AE20-(AL20+AM20+AN20+AO20+AP20+AQ20+AJ20)</f>
        <v/>
      </c>
      <c r="AT20" s="12">
        <f>IF(Y20&gt;0,Z20/Y20,0)</f>
        <v/>
      </c>
      <c r="AU20" s="11">
        <f>IF(Y19&gt;0,MAX(0,(Y19+J20-Y20)/Y19),0)</f>
        <v/>
      </c>
      <c r="AW20" s="12" t="n">
        <v>16</v>
      </c>
      <c r="AX20" s="12">
        <f>MOD(AW20-1+LaunchMonth-1,12)+1</f>
        <v/>
      </c>
      <c r="AY20" s="12">
        <f>INT((AW20-1+LaunchMonth-1)/12)+1</f>
        <v/>
      </c>
      <c r="AZ20" s="12">
        <f>VLOOKUP(AX20,SeasonTable,2,FALSE)</f>
        <v/>
      </c>
      <c r="BA20" s="12">
        <f>(1+InflationRate)^INT((AW20-1)/12)</f>
        <v/>
      </c>
      <c r="BB20" s="11">
        <f>MonthlyChurn*VLOOKUP(AX20,ChurnSeasonTable,4,FALSE)</f>
        <v/>
      </c>
      <c r="BC20" s="12">
        <f>MIN(MAX(MktMin13_18,CA19*MktPct13_18),MAX(0,CO19-CashBuffer))</f>
        <v/>
      </c>
      <c r="BD20" s="12">
        <f>IF(BC20&gt;0,MAX(1,ROUND(BC20/CAC*AZ20,0)),0)</f>
        <v/>
      </c>
      <c r="BE20" s="12">
        <f>IF(BD20&gt;0,ROUND(BD20*ReferralMix/(1-ReferralMix),0),0)</f>
        <v/>
      </c>
      <c r="BF20" s="12">
        <f>BD20+BE20</f>
        <v/>
      </c>
      <c r="BG20" s="12">
        <f>ROUND(BF20*(1-AnnualMix),0)</f>
        <v/>
      </c>
      <c r="BH20" s="12">
        <f>BF20-BG20</f>
        <v/>
      </c>
      <c r="BI20" s="12">
        <f>ROUND(BG20*EssentialMix,0)</f>
        <v/>
      </c>
      <c r="BJ20" s="12">
        <f>ROUND(BG20*PremiumMix,0)</f>
        <v/>
      </c>
      <c r="BK20" s="12">
        <f>BG20-BI20-BJ20</f>
        <v/>
      </c>
      <c r="BL20" s="12">
        <f>ROUND(BH20*EssentialMix,0)</f>
        <v/>
      </c>
      <c r="BM20" s="12">
        <f>ROUND(BH20*PremiumMix,0)</f>
        <v/>
      </c>
      <c r="BN20" s="12">
        <f>BH20-BL20-BM20</f>
        <v/>
      </c>
      <c r="BO20" s="12">
        <f>BI20+BI19+BI18+MAX(0,BO19-BI19-BI18)*(1-BB20)</f>
        <v/>
      </c>
      <c r="BP20" s="12">
        <f>BJ20+BJ19+BJ18+MAX(0,BP19-BJ19-BJ18)*(1-BB20)</f>
        <v/>
      </c>
      <c r="BQ20" s="12">
        <f>BK20+BK19+BK18+MAX(0,BQ19-BK19-BK18)*(1-BB20)</f>
        <v/>
      </c>
      <c r="BR20" s="12">
        <f>BR19+BL20-BL8*(AnnualChurn*VLOOKUP(AX20,ChurnSeasonTable,4,FALSE))*POWER(1-(AnnualChurn*VLOOKUP(AX20,ChurnSeasonTable,4,FALSE)),0)</f>
        <v/>
      </c>
      <c r="BS20" s="12">
        <f>BS19+BM20-BM8*(AnnualChurn*VLOOKUP(AX20,ChurnSeasonTable,4,FALSE))*POWER(1-(AnnualChurn*VLOOKUP(AX20,ChurnSeasonTable,4,FALSE)),0)</f>
        <v/>
      </c>
      <c r="BT20" s="12">
        <f>BT19+BN20-BN8*(AnnualChurn*VLOOKUP(AX20,ChurnSeasonTable,4,FALSE))*POWER(1-(AnnualChurn*VLOOKUP(AX20,ChurnSeasonTable,4,FALSE)),0)</f>
        <v/>
      </c>
      <c r="BU20" s="12">
        <f>BO20+BP20+BQ20+BR20+BS20+BT20</f>
        <v/>
      </c>
      <c r="BV20" s="9">
        <f>BO20*BlendedPriceEssMonthly*BA20+BP20*BlendedPricePremMonthly*BA20+BQ20*BlendedPriceEliteMonthly*BA20+BR20*BlendedPriceEssAnnual*BA20/12+BS20*BlendedPricePremAnnual*BA20/12+BT20*BlendedPriceEliteAnnual*BA20/12</f>
        <v/>
      </c>
      <c r="BW20" s="9">
        <f>BV20*12</f>
        <v/>
      </c>
      <c r="BX20" s="12">
        <f>BO20*BlendedPriceEssMonthly*BA20+BP20*BlendedPricePremMonthly*BA20+BQ20*BlendedPriceEliteMonthly*BA20</f>
        <v/>
      </c>
      <c r="BY20" s="12">
        <f>BL20*BlendedPriceEssAnnual*BA20+BM20*BlendedPricePremAnnual*BA20+BN20*BlendedPriceEliteAnnual*BA20</f>
        <v/>
      </c>
      <c r="BZ20" s="12">
        <f>BL8*POWER(1-(AnnualChurn*VLOOKUP(AX20,ChurnSeasonTable,4,FALSE)),1)*BlendedPriceEssAnnual*BA20+BM8*POWER(1-(AnnualChurn*VLOOKUP(AX20,ChurnSeasonTable,4,FALSE)),1)*BlendedPricePremAnnual*BA20+BN8*POWER(1-(AnnualChurn*VLOOKUP(AX20,ChurnSeasonTable,4,FALSE)),1)*BlendedPriceEliteAnnual*BA20</f>
        <v/>
      </c>
      <c r="CA20" s="9">
        <f>BX20+BY20+BZ20</f>
        <v/>
      </c>
      <c r="CB20" s="12">
        <f>SUM(CA9:CA20)</f>
        <v/>
      </c>
      <c r="CC20" s="12">
        <f>OR(CC19,IF(VATAgentMode,SUM($CA9:$CA20)-SUM($CH9:$CH20)&gt;=VATThreshold,SUM($CA9:$CA20)&gt;=VATThreshold))</f>
        <v/>
      </c>
      <c r="CD20" s="9">
        <f>IF(CC20,IF(VATAgentMode,CA20-((CA20-CH20)-(CA20-CH20)/(1+VATRate)),CA20/(1+VATRate)),CA20)</f>
        <v/>
      </c>
      <c r="CE20" s="12">
        <f>CA20-CD20</f>
        <v/>
      </c>
      <c r="CF20" s="12">
        <f>IF(CC20=0,0,IF(AX20=1,SUMPRODUCT(--(($AY$5:$AY20=$AY20-1)*($AX$5:$AX20&gt;=10)*($AX$5:$AX20&lt;=12)),$CE$5:$CE20),IF(AX20=4,SUMPRODUCT(--(($AY$5:$AY20=$AY20)*($AX$5:$AX20&gt;=1)*($AX$5:$AX20&lt;=3)),$CE$5:$CE20),IF(AX20=7,SUMPRODUCT(--(($AY$5:$AY20=$AY20)*($AX$5:$AX20&gt;=4)*($AX$5:$AX20&lt;=6)),$CE$5:$CE20),IF(AX20=10,SUMPRODUCT(--(($AY$5:$AY20=$AY20)*($AX$5:$AX20&gt;=7)*($AX$5:$AX20&lt;=9)),$CE$5:$CE20),0)))))</f>
        <v/>
      </c>
      <c r="CG20" s="12">
        <f>CG19+CE20-CF20</f>
        <v/>
      </c>
      <c r="CH20" s="12">
        <f>IF(ProviderDelay&gt;=1,BO19*BlendedProvPayEss+BP19*BlendedProvPayPrem+BQ19*BlendedProvPayElite+BR19*BlendedProvPayEss+BS19*BlendedProvPayPrem+BT19*BlendedProvPayElite,BO20*BlendedProvPayEss+BP20*BlendedProvPayPrem+BQ20*BlendedProvPayElite+BR20*BlendedProvPayEss+BS20*BlendedProvPayPrem+BT20*BlendedProvPayElite)</f>
        <v/>
      </c>
      <c r="CI20" s="12">
        <f>CA20*PaymentFee</f>
        <v/>
      </c>
      <c r="CJ20" s="12">
        <f>BU20*OpsAI</f>
        <v/>
      </c>
      <c r="CK20" s="12">
        <f>MonthlyFixed</f>
        <v/>
      </c>
      <c r="CL20" s="12">
        <f>BE20*ReferralReward</f>
        <v/>
      </c>
      <c r="CM20" s="12">
        <f>BC20</f>
        <v/>
      </c>
      <c r="CN20" s="9">
        <f>CD20-CH20-CI20-CJ20-CK20-CL20-CM20</f>
        <v/>
      </c>
      <c r="CO20" s="9">
        <f>CO19+CA20-(CH20+CI20+CJ20+CK20+CL20+CM20+CF20)</f>
        <v/>
      </c>
      <c r="CP20" s="12">
        <f>IF(BU20&gt;0,BV20/BU20,0)</f>
        <v/>
      </c>
      <c r="CQ20" s="11">
        <f>IF(BU19&gt;0,MAX(0,(BU19+BF20-BU20)/BU19),0)</f>
        <v/>
      </c>
      <c r="CS20" s="12" t="n">
        <v>16</v>
      </c>
      <c r="CT20" s="12">
        <f>MOD(CS20-1+LaunchMonth-1,12)+1</f>
        <v/>
      </c>
      <c r="CU20" s="12">
        <f>INT((CS20-1+LaunchMonth-1)/12)+1</f>
        <v/>
      </c>
      <c r="CV20" s="12">
        <f>VLOOKUP(CT20,SeasonTable,2,FALSE)</f>
        <v/>
      </c>
      <c r="CW20" s="12">
        <f>(1+InflationRate)^INT((CS20-1)/12)</f>
        <v/>
      </c>
      <c r="CX20" s="11">
        <f>'Sens - Scenarios'!$D$5*VLOOKUP(CT20,ChurnSeasonTable,4,FALSE)</f>
        <v/>
      </c>
      <c r="CY20" s="12">
        <f>MIN(MAX(MktMin13_18,DW19*MktPct13_18),MAX(0,EK19-CashBuffer))</f>
        <v/>
      </c>
      <c r="CZ20" s="12">
        <f>IF(CY20&gt;0,MAX(1,ROUND(CY20/'Sens - Scenarios'!$D$8*CV20,0)),0)</f>
        <v/>
      </c>
      <c r="DA20" s="12">
        <f>IF(CZ20&gt;0,ROUND(CZ20*ReferralMix/(1-ReferralMix),0),0)</f>
        <v/>
      </c>
      <c r="DB20" s="12">
        <f>CZ20+DA20</f>
        <v/>
      </c>
      <c r="DC20" s="12">
        <f>ROUND(DB20*(1-'Sens - Scenarios'!$D$7),0)</f>
        <v/>
      </c>
      <c r="DD20" s="12">
        <f>DB20-DC20</f>
        <v/>
      </c>
      <c r="DE20" s="12">
        <f>ROUND(DC20*EssentialMix,0)</f>
        <v/>
      </c>
      <c r="DF20" s="12">
        <f>ROUND(DC20*PremiumMix,0)</f>
        <v/>
      </c>
      <c r="DG20" s="12">
        <f>DC20-DE20-DF20</f>
        <v/>
      </c>
      <c r="DH20" s="12">
        <f>ROUND(DD20*EssentialMix,0)</f>
        <v/>
      </c>
      <c r="DI20" s="12">
        <f>ROUND(DD20*PremiumMix,0)</f>
        <v/>
      </c>
      <c r="DJ20" s="12">
        <f>DD20-DH20-DI20</f>
        <v/>
      </c>
      <c r="DK20" s="12">
        <f>DE20+DE19+DE18+MAX(0,DK19-DE19-DE18)*(1-CX20)</f>
        <v/>
      </c>
      <c r="DL20" s="12">
        <f>DF20+DF19+DF18+MAX(0,DL19-DF19-DF18)*(1-CX20)</f>
        <v/>
      </c>
      <c r="DM20" s="12">
        <f>DG20+DG19+DG18+MAX(0,DM19-DG19-DG18)*(1-CX20)</f>
        <v/>
      </c>
      <c r="DN20" s="12">
        <f>DN19+DH20-DH8*('Sens - Scenarios'!$D$6*VLOOKUP(CT20,ChurnSeasonTable,4,FALSE))*POWER(1-('Sens - Scenarios'!$D$6*VLOOKUP(CT20,ChurnSeasonTable,4,FALSE)),0)</f>
        <v/>
      </c>
      <c r="DO20" s="12">
        <f>DO19+DI20-DI8*('Sens - Scenarios'!$D$6*VLOOKUP(CT20,ChurnSeasonTable,4,FALSE))*POWER(1-('Sens - Scenarios'!$D$6*VLOOKUP(CT20,ChurnSeasonTable,4,FALSE)),0)</f>
        <v/>
      </c>
      <c r="DP20" s="12">
        <f>DP19+DJ20-DJ8*('Sens - Scenarios'!$D$6*VLOOKUP(CT20,ChurnSeasonTable,4,FALSE))*POWER(1-('Sens - Scenarios'!$D$6*VLOOKUP(CT20,ChurnSeasonTable,4,FALSE)),0)</f>
        <v/>
      </c>
      <c r="DQ20" s="12">
        <f>DK20+DL20+DM20+DN20+DO20+DP20</f>
        <v/>
      </c>
      <c r="DR20" s="9">
        <f>DK20*BlendedPriceEssMonthly*CW20+DL20*BlendedPricePremMonthly*CW20+DM20*BlendedPriceEliteMonthly*CW20+DN20*BlendedPriceEssAnnual*CW20/12+DO20*BlendedPricePremAnnual*CW20/12+DP20*BlendedPriceEliteAnnual*CW20/12</f>
        <v/>
      </c>
      <c r="DS20" s="9">
        <f>DR20*12</f>
        <v/>
      </c>
      <c r="DT20" s="12">
        <f>DK20*BlendedPriceEssMonthly*CW20+DL20*BlendedPricePremMonthly*CW20+DM20*BlendedPriceEliteMonthly*CW20</f>
        <v/>
      </c>
      <c r="DU20" s="12">
        <f>DH20*BlendedPriceEssAnnual*CW20+DI20*BlendedPricePremAnnual*CW20+DJ20*BlendedPriceEliteAnnual*CW20</f>
        <v/>
      </c>
      <c r="DV20" s="12">
        <f>DH8*POWER(1-('Sens - Scenarios'!$D$6*VLOOKUP(CT20,ChurnSeasonTable,4,FALSE)),1)*BlendedPriceEssAnnual*CW20+DI8*POWER(1-('Sens - Scenarios'!$D$6*VLOOKUP(CT20,ChurnSeasonTable,4,FALSE)),1)*BlendedPricePremAnnual*CW20+DJ8*POWER(1-('Sens - Scenarios'!$D$6*VLOOKUP(CT20,ChurnSeasonTable,4,FALSE)),1)*BlendedPriceEliteAnnual*CW20</f>
        <v/>
      </c>
      <c r="DW20" s="9">
        <f>DT20+DU20+DV20</f>
        <v/>
      </c>
      <c r="DX20" s="12">
        <f>SUM(DW9:DW20)</f>
        <v/>
      </c>
      <c r="DY20" s="12">
        <f>OR(DY19,IF(VATAgentMode,SUM($DW9:$DW20)-SUM($ED9:$ED20)&gt;=VATThreshold,SUM($DW9:$DW20)&gt;=VATThreshold))</f>
        <v/>
      </c>
      <c r="DZ20" s="9">
        <f>IF(DY20,IF(VATAgentMode,DW20-((DW20-ED20)-(DW20-ED20)/(1+VATRate)),DW20/(1+VATRate)),DW20)</f>
        <v/>
      </c>
      <c r="EA20" s="12">
        <f>DW20-DZ20</f>
        <v/>
      </c>
      <c r="EB20" s="12">
        <f>IF(DY20=0,0,IF(CT20=1,SUMPRODUCT(--(($CU$5:$CU20=$CU20-1)*($CT$5:$CT20&gt;=10)*($CT$5:$CT20&lt;=12)),$EA$5:$EA20),IF(CT20=4,SUMPRODUCT(--(($CU$5:$CU20=$CU20)*($CT$5:$CT20&gt;=1)*($CT$5:$CT20&lt;=3)),$EA$5:$EA20),IF(CT20=7,SUMPRODUCT(--(($CU$5:$CU20=$CU20)*($CT$5:$CT20&gt;=4)*($CT$5:$CT20&lt;=6)),$EA$5:$EA20),IF(CT20=10,SUMPRODUCT(--(($CU$5:$CU20=$CU20)*($CT$5:$CT20&gt;=7)*($CT$5:$CT20&lt;=9)),$EA$5:$EA20),0)))))</f>
        <v/>
      </c>
      <c r="EC20" s="12">
        <f>EC19+EA20-EB20</f>
        <v/>
      </c>
      <c r="ED20" s="12">
        <f>IF(ProviderDelay&gt;=1,DK19*BlendedProvPayEss+DL19*BlendedProvPayPrem+DM19*BlendedProvPayElite+DN19*BlendedProvPayEss+DO19*BlendedProvPayPrem+DP19*BlendedProvPayElite,DK20*BlendedProvPayEss+DL20*BlendedProvPayPrem+DM20*BlendedProvPayElite+DN20*BlendedProvPayEss+DO20*BlendedProvPayPrem+DP20*BlendedProvPayElite)</f>
        <v/>
      </c>
      <c r="EE20" s="12">
        <f>DW20*PaymentFee</f>
        <v/>
      </c>
      <c r="EF20" s="12">
        <f>DQ20*OpsAI</f>
        <v/>
      </c>
      <c r="EG20" s="12">
        <f>MonthlyFixed</f>
        <v/>
      </c>
      <c r="EH20" s="12">
        <f>DA20*ReferralReward</f>
        <v/>
      </c>
      <c r="EI20" s="12">
        <f>CY20</f>
        <v/>
      </c>
      <c r="EJ20" s="9">
        <f>DZ20-ED20-EE20-EF20-EG20-EH20-EI20</f>
        <v/>
      </c>
      <c r="EK20" s="9">
        <f>EK19+DW20-(ED20+EE20+EF20+EG20+EH20+EI20+EB20)</f>
        <v/>
      </c>
      <c r="EL20" s="12">
        <f>IF(DQ20&gt;0,DR20/DQ20,0)</f>
        <v/>
      </c>
      <c r="EM20" s="11">
        <f>IF(DQ19&gt;0,MAX(0,(DQ19+DB20-DQ20)/DQ19),0)</f>
        <v/>
      </c>
      <c r="EO20" s="12" t="n">
        <v>16</v>
      </c>
      <c r="EP20" s="12">
        <f>MOD(EO20-1+LaunchMonth-1,12)+1</f>
        <v/>
      </c>
      <c r="EQ20" s="12">
        <f>INT((EO20-1+LaunchMonth-1)/12)+1</f>
        <v/>
      </c>
      <c r="ER20" s="12">
        <f>VLOOKUP(EP20,SeasonTable,2,FALSE)</f>
        <v/>
      </c>
      <c r="ES20" s="12">
        <f>(1+InflationRate)^INT((EO20-1)/12)</f>
        <v/>
      </c>
      <c r="ET20" s="11">
        <f>'Sens - Churn'!$A$13*VLOOKUP(EP20,ChurnSeasonTable,4,FALSE)</f>
        <v/>
      </c>
      <c r="EU20" s="12">
        <f>MIN(MAX(MktMin13_18,FS19*MktPct13_18),MAX(0,GG19-CashBuffer))</f>
        <v/>
      </c>
      <c r="EV20" s="12">
        <f>IF(EU20&gt;0,MAX(1,ROUND(EU20/CAC*ER20,0)),0)</f>
        <v/>
      </c>
      <c r="EW20" s="12">
        <f>IF(EV20&gt;0,ROUND(EV20*ReferralMix/(1-ReferralMix),0),0)</f>
        <v/>
      </c>
      <c r="EX20" s="12">
        <f>EV20+EW20</f>
        <v/>
      </c>
      <c r="EY20" s="12">
        <f>ROUND(EX20*(1-AnnualMix),0)</f>
        <v/>
      </c>
      <c r="EZ20" s="12">
        <f>EX20-EY20</f>
        <v/>
      </c>
      <c r="FA20" s="12">
        <f>ROUND(EY20*EssentialMix,0)</f>
        <v/>
      </c>
      <c r="FB20" s="12">
        <f>ROUND(EY20*PremiumMix,0)</f>
        <v/>
      </c>
      <c r="FC20" s="12">
        <f>EY20-FA20-FB20</f>
        <v/>
      </c>
      <c r="FD20" s="12">
        <f>ROUND(EZ20*EssentialMix,0)</f>
        <v/>
      </c>
      <c r="FE20" s="12">
        <f>ROUND(EZ20*PremiumMix,0)</f>
        <v/>
      </c>
      <c r="FF20" s="12">
        <f>EZ20-FD20-FE20</f>
        <v/>
      </c>
      <c r="FG20" s="12">
        <f>FA20+FA19+FA18+MAX(0,FG19-FA19-FA18)*(1-ET20)</f>
        <v/>
      </c>
      <c r="FH20" s="12">
        <f>FB20+FB19+FB18+MAX(0,FH19-FB19-FB18)*(1-ET20)</f>
        <v/>
      </c>
      <c r="FI20" s="12">
        <f>FC20+FC19+FC18+MAX(0,FI19-FC19-FC18)*(1-ET20)</f>
        <v/>
      </c>
      <c r="FJ20" s="12">
        <f>FJ19+FD20-FD8*(AnnualChurn*VLOOKUP(EP20,ChurnSeasonTable,4,FALSE))*POWER(1-(AnnualChurn*VLOOKUP(EP20,ChurnSeasonTable,4,FALSE)),0)</f>
        <v/>
      </c>
      <c r="FK20" s="12">
        <f>FK19+FE20-FE8*(AnnualChurn*VLOOKUP(EP20,ChurnSeasonTable,4,FALSE))*POWER(1-(AnnualChurn*VLOOKUP(EP20,ChurnSeasonTable,4,FALSE)),0)</f>
        <v/>
      </c>
      <c r="FL20" s="12">
        <f>FL19+FF20-FF8*(AnnualChurn*VLOOKUP(EP20,ChurnSeasonTable,4,FALSE))*POWER(1-(AnnualChurn*VLOOKUP(EP20,ChurnSeasonTable,4,FALSE)),0)</f>
        <v/>
      </c>
      <c r="FM20" s="12">
        <f>FG20+FH20+FI20+FJ20+FK20+FL20</f>
        <v/>
      </c>
      <c r="FN20" s="9">
        <f>FG20*BlendedPriceEssMonthly*ES20+FH20*BlendedPricePremMonthly*ES20+FI20*BlendedPriceEliteMonthly*ES20+FJ20*BlendedPriceEssAnnual*ES20/12+FK20*BlendedPricePremAnnual*ES20/12+FL20*BlendedPriceEliteAnnual*ES20/12</f>
        <v/>
      </c>
      <c r="FO20" s="9">
        <f>FN20*12</f>
        <v/>
      </c>
      <c r="FP20" s="12">
        <f>FG20*BlendedPriceEssMonthly*ES20+FH20*BlendedPricePremMonthly*ES20+FI20*BlendedPriceEliteMonthly*ES20</f>
        <v/>
      </c>
      <c r="FQ20" s="12">
        <f>FD20*BlendedPriceEssAnnual*ES20+FE20*BlendedPricePremAnnual*ES20+FF20*BlendedPriceEliteAnnual*ES20</f>
        <v/>
      </c>
      <c r="FR20" s="12">
        <f>FD8*POWER(1-(AnnualChurn*VLOOKUP(EP20,ChurnSeasonTable,4,FALSE)),1)*BlendedPriceEssAnnual*ES20+FE8*POWER(1-(AnnualChurn*VLOOKUP(EP20,ChurnSeasonTable,4,FALSE)),1)*BlendedPricePremAnnual*ES20+FF8*POWER(1-(AnnualChurn*VLOOKUP(EP20,ChurnSeasonTable,4,FALSE)),1)*BlendedPriceEliteAnnual*ES20</f>
        <v/>
      </c>
      <c r="FS20" s="9">
        <f>FP20+FQ20+FR20</f>
        <v/>
      </c>
      <c r="FT20" s="12">
        <f>SUM(FS9:FS20)</f>
        <v/>
      </c>
      <c r="FU20" s="12">
        <f>OR(FU19,IF(VATAgentMode,SUM($FS9:$FS20)-SUM($FZ9:$FZ20)&gt;=VATThreshold,SUM($FS9:$FS20)&gt;=VATThreshold))</f>
        <v/>
      </c>
      <c r="FV20" s="9">
        <f>IF(FU20,IF(VATAgentMode,FS20-((FS20-FZ20)-(FS20-FZ20)/(1+VATRate)),FS20/(1+VATRate)),FS20)</f>
        <v/>
      </c>
      <c r="FW20" s="12">
        <f>FS20-FV20</f>
        <v/>
      </c>
      <c r="FX20" s="12">
        <f>IF(FU20=0,0,IF(EP20=1,SUMPRODUCT(--(($EQ$5:$EQ20=$EQ20-1)*($EP$5:$EP20&gt;=10)*($EP$5:$EP20&lt;=12)),$FW$5:$FW20),IF(EP20=4,SUMPRODUCT(--(($EQ$5:$EQ20=$EQ20)*($EP$5:$EP20&gt;=1)*($EP$5:$EP20&lt;=3)),$FW$5:$FW20),IF(EP20=7,SUMPRODUCT(--(($EQ$5:$EQ20=$EQ20)*($EP$5:$EP20&gt;=4)*($EP$5:$EP20&lt;=6)),$FW$5:$FW20),IF(EP20=10,SUMPRODUCT(--(($EQ$5:$EQ20=$EQ20)*($EP$5:$EP20&gt;=7)*($EP$5:$EP20&lt;=9)),$FW$5:$FW20),0)))))</f>
        <v/>
      </c>
      <c r="FY20" s="12">
        <f>FY19+FW20-FX20</f>
        <v/>
      </c>
      <c r="FZ20" s="12">
        <f>IF(ProviderDelay&gt;=1,FG19*BlendedProvPayEss+FH19*BlendedProvPayPrem+FI19*BlendedProvPayElite+FJ19*BlendedProvPayEss+FK19*BlendedProvPayPrem+FL19*BlendedProvPayElite,FG20*BlendedProvPayEss+FH20*BlendedProvPayPrem+FI20*BlendedProvPayElite+FJ20*BlendedProvPayEss+FK20*BlendedProvPayPrem+FL20*BlendedProvPayElite)</f>
        <v/>
      </c>
      <c r="GA20" s="12">
        <f>FS20*PaymentFee</f>
        <v/>
      </c>
      <c r="GB20" s="12">
        <f>FM20*OpsAI</f>
        <v/>
      </c>
      <c r="GC20" s="12">
        <f>MonthlyFixed</f>
        <v/>
      </c>
      <c r="GD20" s="12">
        <f>EW20*ReferralReward</f>
        <v/>
      </c>
      <c r="GE20" s="12">
        <f>EU20</f>
        <v/>
      </c>
      <c r="GF20" s="9">
        <f>FV20-FZ20-GA20-GB20-GC20-GD20-GE20</f>
        <v/>
      </c>
      <c r="GG20" s="9">
        <f>GG19+FS20-(FZ20+GA20+GB20+GC20+GD20+GE20+FX20)</f>
        <v/>
      </c>
      <c r="GH20" s="12">
        <f>IF(FM20&gt;0,FN20/FM20,0)</f>
        <v/>
      </c>
      <c r="GI20" s="11">
        <f>IF(FM19&gt;0,MAX(0,(FM19+EX20-FM20)/FM19),0)</f>
        <v/>
      </c>
      <c r="GK20" s="12" t="n">
        <v>16</v>
      </c>
      <c r="GL20" s="12">
        <f>MOD(GK20-1+LaunchMonth-1,12)+1</f>
        <v/>
      </c>
      <c r="GM20" s="12">
        <f>INT((GK20-1+LaunchMonth-1)/12)+1</f>
        <v/>
      </c>
      <c r="GN20" s="12">
        <f>VLOOKUP(GL20,SeasonTable,2,FALSE)</f>
        <v/>
      </c>
      <c r="GO20" s="12">
        <f>(1+InflationRate)^INT((GK20-1)/12)</f>
        <v/>
      </c>
      <c r="GP20" s="11">
        <f>'Sens - Churn'!$A$14*VLOOKUP(GL20,ChurnSeasonTable,4,FALSE)</f>
        <v/>
      </c>
      <c r="GQ20" s="12">
        <f>MIN(MAX(MktMin13_18,HO19*MktPct13_18),MAX(0,IC19-CashBuffer))</f>
        <v/>
      </c>
      <c r="GR20" s="12">
        <f>IF(GQ20&gt;0,MAX(1,ROUND(GQ20/CAC*GN20,0)),0)</f>
        <v/>
      </c>
      <c r="GS20" s="12">
        <f>IF(GR20&gt;0,ROUND(GR20*ReferralMix/(1-ReferralMix),0),0)</f>
        <v/>
      </c>
      <c r="GT20" s="12">
        <f>GR20+GS20</f>
        <v/>
      </c>
      <c r="GU20" s="12">
        <f>ROUND(GT20*(1-AnnualMix),0)</f>
        <v/>
      </c>
      <c r="GV20" s="12">
        <f>GT20-GU20</f>
        <v/>
      </c>
      <c r="GW20" s="12">
        <f>ROUND(GU20*EssentialMix,0)</f>
        <v/>
      </c>
      <c r="GX20" s="12">
        <f>ROUND(GU20*PremiumMix,0)</f>
        <v/>
      </c>
      <c r="GY20" s="12">
        <f>GU20-GW20-GX20</f>
        <v/>
      </c>
      <c r="GZ20" s="12">
        <f>ROUND(GV20*EssentialMix,0)</f>
        <v/>
      </c>
      <c r="HA20" s="12">
        <f>ROUND(GV20*PremiumMix,0)</f>
        <v/>
      </c>
      <c r="HB20" s="12">
        <f>GV20-GZ20-HA20</f>
        <v/>
      </c>
      <c r="HC20" s="12">
        <f>GW20+GW19+GW18+MAX(0,HC19-GW19-GW18)*(1-GP20)</f>
        <v/>
      </c>
      <c r="HD20" s="12">
        <f>GX20+GX19+GX18+MAX(0,HD19-GX19-GX18)*(1-GP20)</f>
        <v/>
      </c>
      <c r="HE20" s="12">
        <f>GY20+GY19+GY18+MAX(0,HE19-GY19-GY18)*(1-GP20)</f>
        <v/>
      </c>
      <c r="HF20" s="12">
        <f>HF19+GZ20-GZ8*(AnnualChurn*VLOOKUP(GL20,ChurnSeasonTable,4,FALSE))*POWER(1-(AnnualChurn*VLOOKUP(GL20,ChurnSeasonTable,4,FALSE)),0)</f>
        <v/>
      </c>
      <c r="HG20" s="12">
        <f>HG19+HA20-HA8*(AnnualChurn*VLOOKUP(GL20,ChurnSeasonTable,4,FALSE))*POWER(1-(AnnualChurn*VLOOKUP(GL20,ChurnSeasonTable,4,FALSE)),0)</f>
        <v/>
      </c>
      <c r="HH20" s="12">
        <f>HH19+HB20-HB8*(AnnualChurn*VLOOKUP(GL20,ChurnSeasonTable,4,FALSE))*POWER(1-(AnnualChurn*VLOOKUP(GL20,ChurnSeasonTable,4,FALSE)),0)</f>
        <v/>
      </c>
      <c r="HI20" s="12">
        <f>HC20+HD20+HE20+HF20+HG20+HH20</f>
        <v/>
      </c>
      <c r="HJ20" s="9">
        <f>HC20*BlendedPriceEssMonthly*GO20+HD20*BlendedPricePremMonthly*GO20+HE20*BlendedPriceEliteMonthly*GO20+HF20*BlendedPriceEssAnnual*GO20/12+HG20*BlendedPricePremAnnual*GO20/12+HH20*BlendedPriceEliteAnnual*GO20/12</f>
        <v/>
      </c>
      <c r="HK20" s="9">
        <f>HJ20*12</f>
        <v/>
      </c>
      <c r="HL20" s="12">
        <f>HC20*BlendedPriceEssMonthly*GO20+HD20*BlendedPricePremMonthly*GO20+HE20*BlendedPriceEliteMonthly*GO20</f>
        <v/>
      </c>
      <c r="HM20" s="12">
        <f>GZ20*BlendedPriceEssAnnual*GO20+HA20*BlendedPricePremAnnual*GO20+HB20*BlendedPriceEliteAnnual*GO20</f>
        <v/>
      </c>
      <c r="HN20" s="12">
        <f>GZ8*POWER(1-(AnnualChurn*VLOOKUP(GL20,ChurnSeasonTable,4,FALSE)),1)*BlendedPriceEssAnnual*GO20+HA8*POWER(1-(AnnualChurn*VLOOKUP(GL20,ChurnSeasonTable,4,FALSE)),1)*BlendedPricePremAnnual*GO20+HB8*POWER(1-(AnnualChurn*VLOOKUP(GL20,ChurnSeasonTable,4,FALSE)),1)*BlendedPriceEliteAnnual*GO20</f>
        <v/>
      </c>
      <c r="HO20" s="9">
        <f>HL20+HM20+HN20</f>
        <v/>
      </c>
      <c r="HP20" s="12">
        <f>SUM(HO9:HO20)</f>
        <v/>
      </c>
      <c r="HQ20" s="12">
        <f>OR(HQ19,IF(VATAgentMode,SUM($HO9:$HO20)-SUM($HV9:$HV20)&gt;=VATThreshold,SUM($HO9:$HO20)&gt;=VATThreshold))</f>
        <v/>
      </c>
      <c r="HR20" s="9">
        <f>IF(HQ20,IF(VATAgentMode,HO20-((HO20-HV20)-(HO20-HV20)/(1+VATRate)),HO20/(1+VATRate)),HO20)</f>
        <v/>
      </c>
      <c r="HS20" s="12">
        <f>HO20-HR20</f>
        <v/>
      </c>
      <c r="HT20" s="12">
        <f>IF(HQ20=0,0,IF(GL20=1,SUMPRODUCT(--(($GM$5:$GM20=$GM20-1)*($GL$5:$GL20&gt;=10)*($GL$5:$GL20&lt;=12)),$HS$5:$HS20),IF(GL20=4,SUMPRODUCT(--(($GM$5:$GM20=$GM20)*($GL$5:$GL20&gt;=1)*($GL$5:$GL20&lt;=3)),$HS$5:$HS20),IF(GL20=7,SUMPRODUCT(--(($GM$5:$GM20=$GM20)*($GL$5:$GL20&gt;=4)*($GL$5:$GL20&lt;=6)),$HS$5:$HS20),IF(GL20=10,SUMPRODUCT(--(($GM$5:$GM20=$GM20)*($GL$5:$GL20&gt;=7)*($GL$5:$GL20&lt;=9)),$HS$5:$HS20),0)))))</f>
        <v/>
      </c>
      <c r="HU20" s="12">
        <f>HU19+HS20-HT20</f>
        <v/>
      </c>
      <c r="HV20" s="12">
        <f>IF(ProviderDelay&gt;=1,HC19*BlendedProvPayEss+HD19*BlendedProvPayPrem+HE19*BlendedProvPayElite+HF19*BlendedProvPayEss+HG19*BlendedProvPayPrem+HH19*BlendedProvPayElite,HC20*BlendedProvPayEss+HD20*BlendedProvPayPrem+HE20*BlendedProvPayElite+HF20*BlendedProvPayEss+HG20*BlendedProvPayPrem+HH20*BlendedProvPayElite)</f>
        <v/>
      </c>
      <c r="HW20" s="12">
        <f>HO20*PaymentFee</f>
        <v/>
      </c>
      <c r="HX20" s="12">
        <f>HI20*OpsAI</f>
        <v/>
      </c>
      <c r="HY20" s="12">
        <f>MonthlyFixed</f>
        <v/>
      </c>
      <c r="HZ20" s="12">
        <f>GS20*ReferralReward</f>
        <v/>
      </c>
      <c r="IA20" s="12">
        <f>GQ20</f>
        <v/>
      </c>
      <c r="IB20" s="9">
        <f>HR20-HV20-HW20-HX20-HY20-HZ20-IA20</f>
        <v/>
      </c>
      <c r="IC20" s="9">
        <f>IC19+HO20-(HV20+HW20+HX20+HY20+HZ20+IA20+HT20)</f>
        <v/>
      </c>
      <c r="ID20" s="12">
        <f>IF(HI20&gt;0,HJ20/HI20,0)</f>
        <v/>
      </c>
      <c r="IE20" s="11">
        <f>IF(HI19&gt;0,MAX(0,(HI19+GT20-HI20)/HI19),0)</f>
        <v/>
      </c>
      <c r="IG20" s="12" t="n">
        <v>16</v>
      </c>
      <c r="IH20" s="12">
        <f>MOD(IG20-1+LaunchMonth-1,12)+1</f>
        <v/>
      </c>
      <c r="II20" s="12">
        <f>INT((IG20-1+LaunchMonth-1)/12)+1</f>
        <v/>
      </c>
      <c r="IJ20" s="12">
        <f>VLOOKUP(IH20,SeasonTable,2,FALSE)</f>
        <v/>
      </c>
      <c r="IK20" s="12">
        <f>(1+InflationRate)^INT((IG20-1)/12)</f>
        <v/>
      </c>
      <c r="IL20" s="11">
        <f>'Sens - Churn'!$A$15*VLOOKUP(IH20,ChurnSeasonTable,4,FALSE)</f>
        <v/>
      </c>
      <c r="IM20" s="12">
        <f>MIN(MAX(MktMin13_18,JK19*MktPct13_18),MAX(0,JY19-CashBuffer))</f>
        <v/>
      </c>
      <c r="IN20" s="12">
        <f>IF(IM20&gt;0,MAX(1,ROUND(IM20/CAC*IJ20,0)),0)</f>
        <v/>
      </c>
      <c r="IO20" s="12">
        <f>IF(IN20&gt;0,ROUND(IN20*ReferralMix/(1-ReferralMix),0),0)</f>
        <v/>
      </c>
      <c r="IP20" s="12">
        <f>IN20+IO20</f>
        <v/>
      </c>
      <c r="IQ20" s="12">
        <f>ROUND(IP20*(1-AnnualMix),0)</f>
        <v/>
      </c>
      <c r="IR20" s="12">
        <f>IP20-IQ20</f>
        <v/>
      </c>
      <c r="IS20" s="12">
        <f>ROUND(IQ20*EssentialMix,0)</f>
        <v/>
      </c>
      <c r="IT20" s="12">
        <f>ROUND(IQ20*PremiumMix,0)</f>
        <v/>
      </c>
      <c r="IU20" s="12">
        <f>IQ20-IS20-IT20</f>
        <v/>
      </c>
      <c r="IV20" s="12">
        <f>ROUND(IR20*EssentialMix,0)</f>
        <v/>
      </c>
      <c r="IW20" s="12">
        <f>ROUND(IR20*PremiumMix,0)</f>
        <v/>
      </c>
      <c r="IX20" s="12">
        <f>IR20-IV20-IW20</f>
        <v/>
      </c>
      <c r="IY20" s="12">
        <f>IS20+IS19+IS18+MAX(0,IY19-IS19-IS18)*(1-IL20)</f>
        <v/>
      </c>
      <c r="IZ20" s="12">
        <f>IT20+IT19+IT18+MAX(0,IZ19-IT19-IT18)*(1-IL20)</f>
        <v/>
      </c>
      <c r="JA20" s="12">
        <f>IU20+IU19+IU18+MAX(0,JA19-IU19-IU18)*(1-IL20)</f>
        <v/>
      </c>
      <c r="JB20" s="12">
        <f>JB19+IV20-IV8*(AnnualChurn*VLOOKUP(IH20,ChurnSeasonTable,4,FALSE))*POWER(1-(AnnualChurn*VLOOKUP(IH20,ChurnSeasonTable,4,FALSE)),0)</f>
        <v/>
      </c>
      <c r="JC20" s="12">
        <f>JC19+IW20-IW8*(AnnualChurn*VLOOKUP(IH20,ChurnSeasonTable,4,FALSE))*POWER(1-(AnnualChurn*VLOOKUP(IH20,ChurnSeasonTable,4,FALSE)),0)</f>
        <v/>
      </c>
      <c r="JD20" s="12">
        <f>JD19+IX20-IX8*(AnnualChurn*VLOOKUP(IH20,ChurnSeasonTable,4,FALSE))*POWER(1-(AnnualChurn*VLOOKUP(IH20,ChurnSeasonTable,4,FALSE)),0)</f>
        <v/>
      </c>
      <c r="JE20" s="12">
        <f>IY20+IZ20+JA20+JB20+JC20+JD20</f>
        <v/>
      </c>
      <c r="JF20" s="9">
        <f>IY20*BlendedPriceEssMonthly*IK20+IZ20*BlendedPricePremMonthly*IK20+JA20*BlendedPriceEliteMonthly*IK20+JB20*BlendedPriceEssAnnual*IK20/12+JC20*BlendedPricePremAnnual*IK20/12+JD20*BlendedPriceEliteAnnual*IK20/12</f>
        <v/>
      </c>
      <c r="JG20" s="9">
        <f>JF20*12</f>
        <v/>
      </c>
      <c r="JH20" s="12">
        <f>IY20*BlendedPriceEssMonthly*IK20+IZ20*BlendedPricePremMonthly*IK20+JA20*BlendedPriceEliteMonthly*IK20</f>
        <v/>
      </c>
      <c r="JI20" s="12">
        <f>IV20*BlendedPriceEssAnnual*IK20+IW20*BlendedPricePremAnnual*IK20+IX20*BlendedPriceEliteAnnual*IK20</f>
        <v/>
      </c>
      <c r="JJ20" s="12">
        <f>IV8*POWER(1-(AnnualChurn*VLOOKUP(IH20,ChurnSeasonTable,4,FALSE)),1)*BlendedPriceEssAnnual*IK20+IW8*POWER(1-(AnnualChurn*VLOOKUP(IH20,ChurnSeasonTable,4,FALSE)),1)*BlendedPricePremAnnual*IK20+IX8*POWER(1-(AnnualChurn*VLOOKUP(IH20,ChurnSeasonTable,4,FALSE)),1)*BlendedPriceEliteAnnual*IK20</f>
        <v/>
      </c>
      <c r="JK20" s="9">
        <f>JH20+JI20+JJ20</f>
        <v/>
      </c>
      <c r="JL20" s="12">
        <f>SUM(JK9:JK20)</f>
        <v/>
      </c>
      <c r="JM20" s="12">
        <f>OR(JM19,IF(VATAgentMode,SUM($JK9:$JK20)-SUM($JR9:$JR20)&gt;=VATThreshold,SUM($JK9:$JK20)&gt;=VATThreshold))</f>
        <v/>
      </c>
      <c r="JN20" s="9">
        <f>IF(JM20,IF(VATAgentMode,JK20-((JK20-JR20)-(JK20-JR20)/(1+VATRate)),JK20/(1+VATRate)),JK20)</f>
        <v/>
      </c>
      <c r="JO20" s="12">
        <f>JK20-JN20</f>
        <v/>
      </c>
      <c r="JP20" s="12">
        <f>IF(JM20=0,0,IF(IH20=1,SUMPRODUCT(--(($II$5:$II20=$II20-1)*($IH$5:$IH20&gt;=10)*($IH$5:$IH20&lt;=12)),$JO$5:$JO20),IF(IH20=4,SUMPRODUCT(--(($II$5:$II20=$II20)*($IH$5:$IH20&gt;=1)*($IH$5:$IH20&lt;=3)),$JO$5:$JO20),IF(IH20=7,SUMPRODUCT(--(($II$5:$II20=$II20)*($IH$5:$IH20&gt;=4)*($IH$5:$IH20&lt;=6)),$JO$5:$JO20),IF(IH20=10,SUMPRODUCT(--(($II$5:$II20=$II20)*($IH$5:$IH20&gt;=7)*($IH$5:$IH20&lt;=9)),$JO$5:$JO20),0)))))</f>
        <v/>
      </c>
      <c r="JQ20" s="12">
        <f>JQ19+JO20-JP20</f>
        <v/>
      </c>
      <c r="JR20" s="12">
        <f>IF(ProviderDelay&gt;=1,IY19*BlendedProvPayEss+IZ19*BlendedProvPayPrem+JA19*BlendedProvPayElite+JB19*BlendedProvPayEss+JC19*BlendedProvPayPrem+JD19*BlendedProvPayElite,IY20*BlendedProvPayEss+IZ20*BlendedProvPayPrem+JA20*BlendedProvPayElite+JB20*BlendedProvPayEss+JC20*BlendedProvPayPrem+JD20*BlendedProvPayElite)</f>
        <v/>
      </c>
      <c r="JS20" s="12">
        <f>JK20*PaymentFee</f>
        <v/>
      </c>
      <c r="JT20" s="12">
        <f>JE20*OpsAI</f>
        <v/>
      </c>
      <c r="JU20" s="12">
        <f>MonthlyFixed</f>
        <v/>
      </c>
      <c r="JV20" s="12">
        <f>IO20*ReferralReward</f>
        <v/>
      </c>
      <c r="JW20" s="12">
        <f>IM20</f>
        <v/>
      </c>
      <c r="JX20" s="9">
        <f>JN20-JR20-JS20-JT20-JU20-JV20-JW20</f>
        <v/>
      </c>
      <c r="JY20" s="9">
        <f>JY19+JK20-(JR20+JS20+JT20+JU20+JV20+JW20+JP20)</f>
        <v/>
      </c>
      <c r="JZ20" s="12">
        <f>IF(JE20&gt;0,JF20/JE20,0)</f>
        <v/>
      </c>
      <c r="KA20" s="11">
        <f>IF(JE19&gt;0,MAX(0,(JE19+IP20-JE20)/JE19),0)</f>
        <v/>
      </c>
      <c r="KC20" s="12" t="n">
        <v>16</v>
      </c>
      <c r="KD20" s="12">
        <f>MOD(KC20-1+LaunchMonth-1,12)+1</f>
        <v/>
      </c>
      <c r="KE20" s="12">
        <f>INT((KC20-1+LaunchMonth-1)/12)+1</f>
        <v/>
      </c>
      <c r="KF20" s="12">
        <f>VLOOKUP(KD20,SeasonTable,2,FALSE)</f>
        <v/>
      </c>
      <c r="KG20" s="12">
        <f>(1+InflationRate)^INT((KC20-1)/12)</f>
        <v/>
      </c>
      <c r="KH20" s="11">
        <f>'Sens - Churn'!$A$16*VLOOKUP(KD20,ChurnSeasonTable,4,FALSE)</f>
        <v/>
      </c>
      <c r="KI20" s="12">
        <f>MIN(MAX(MktMin13_18,LG19*MktPct13_18),MAX(0,LU19-CashBuffer))</f>
        <v/>
      </c>
      <c r="KJ20" s="12">
        <f>IF(KI20&gt;0,MAX(1,ROUND(KI20/CAC*KF20,0)),0)</f>
        <v/>
      </c>
      <c r="KK20" s="12">
        <f>IF(KJ20&gt;0,ROUND(KJ20*ReferralMix/(1-ReferralMix),0),0)</f>
        <v/>
      </c>
      <c r="KL20" s="12">
        <f>KJ20+KK20</f>
        <v/>
      </c>
      <c r="KM20" s="12">
        <f>ROUND(KL20*(1-AnnualMix),0)</f>
        <v/>
      </c>
      <c r="KN20" s="12">
        <f>KL20-KM20</f>
        <v/>
      </c>
      <c r="KO20" s="12">
        <f>ROUND(KM20*EssentialMix,0)</f>
        <v/>
      </c>
      <c r="KP20" s="12">
        <f>ROUND(KM20*PremiumMix,0)</f>
        <v/>
      </c>
      <c r="KQ20" s="12">
        <f>KM20-KO20-KP20</f>
        <v/>
      </c>
      <c r="KR20" s="12">
        <f>ROUND(KN20*EssentialMix,0)</f>
        <v/>
      </c>
      <c r="KS20" s="12">
        <f>ROUND(KN20*PremiumMix,0)</f>
        <v/>
      </c>
      <c r="KT20" s="12">
        <f>KN20-KR20-KS20</f>
        <v/>
      </c>
      <c r="KU20" s="12">
        <f>KO20+KO19+KO18+MAX(0,KU19-KO19-KO18)*(1-KH20)</f>
        <v/>
      </c>
      <c r="KV20" s="12">
        <f>KP20+KP19+KP18+MAX(0,KV19-KP19-KP18)*(1-KH20)</f>
        <v/>
      </c>
      <c r="KW20" s="12">
        <f>KQ20+KQ19+KQ18+MAX(0,KW19-KQ19-KQ18)*(1-KH20)</f>
        <v/>
      </c>
      <c r="KX20" s="12">
        <f>KX19+KR20-KR8*(AnnualChurn*VLOOKUP(KD20,ChurnSeasonTable,4,FALSE))*POWER(1-(AnnualChurn*VLOOKUP(KD20,ChurnSeasonTable,4,FALSE)),0)</f>
        <v/>
      </c>
      <c r="KY20" s="12">
        <f>KY19+KS20-KS8*(AnnualChurn*VLOOKUP(KD20,ChurnSeasonTable,4,FALSE))*POWER(1-(AnnualChurn*VLOOKUP(KD20,ChurnSeasonTable,4,FALSE)),0)</f>
        <v/>
      </c>
      <c r="KZ20" s="12">
        <f>KZ19+KT20-KT8*(AnnualChurn*VLOOKUP(KD20,ChurnSeasonTable,4,FALSE))*POWER(1-(AnnualChurn*VLOOKUP(KD20,ChurnSeasonTable,4,FALSE)),0)</f>
        <v/>
      </c>
      <c r="LA20" s="12">
        <f>KU20+KV20+KW20+KX20+KY20+KZ20</f>
        <v/>
      </c>
      <c r="LB20" s="9">
        <f>KU20*BlendedPriceEssMonthly*KG20+KV20*BlendedPricePremMonthly*KG20+KW20*BlendedPriceEliteMonthly*KG20+KX20*BlendedPriceEssAnnual*KG20/12+KY20*BlendedPricePremAnnual*KG20/12+KZ20*BlendedPriceEliteAnnual*KG20/12</f>
        <v/>
      </c>
      <c r="LC20" s="9">
        <f>LB20*12</f>
        <v/>
      </c>
      <c r="LD20" s="12">
        <f>KU20*BlendedPriceEssMonthly*KG20+KV20*BlendedPricePremMonthly*KG20+KW20*BlendedPriceEliteMonthly*KG20</f>
        <v/>
      </c>
      <c r="LE20" s="12">
        <f>KR20*BlendedPriceEssAnnual*KG20+KS20*BlendedPricePremAnnual*KG20+KT20*BlendedPriceEliteAnnual*KG20</f>
        <v/>
      </c>
      <c r="LF20" s="12">
        <f>KR8*POWER(1-(AnnualChurn*VLOOKUP(KD20,ChurnSeasonTable,4,FALSE)),1)*BlendedPriceEssAnnual*KG20+KS8*POWER(1-(AnnualChurn*VLOOKUP(KD20,ChurnSeasonTable,4,FALSE)),1)*BlendedPricePremAnnual*KG20+KT8*POWER(1-(AnnualChurn*VLOOKUP(KD20,ChurnSeasonTable,4,FALSE)),1)*BlendedPriceEliteAnnual*KG20</f>
        <v/>
      </c>
      <c r="LG20" s="9">
        <f>LD20+LE20+LF20</f>
        <v/>
      </c>
      <c r="LH20" s="12">
        <f>SUM(LG9:LG20)</f>
        <v/>
      </c>
      <c r="LI20" s="12">
        <f>OR(LI19,IF(VATAgentMode,SUM($LG9:$LG20)-SUM($LN9:$LN20)&gt;=VATThreshold,SUM($LG9:$LG20)&gt;=VATThreshold))</f>
        <v/>
      </c>
      <c r="LJ20" s="9">
        <f>IF(LI20,IF(VATAgentMode,LG20-((LG20-LN20)-(LG20-LN20)/(1+VATRate)),LG20/(1+VATRate)),LG20)</f>
        <v/>
      </c>
      <c r="LK20" s="12">
        <f>LG20-LJ20</f>
        <v/>
      </c>
      <c r="LL20" s="12">
        <f>IF(LI20=0,0,IF(KD20=1,SUMPRODUCT(--(($KE$5:$KE20=$KE20-1)*($KD$5:$KD20&gt;=10)*($KD$5:$KD20&lt;=12)),$LK$5:$LK20),IF(KD20=4,SUMPRODUCT(--(($KE$5:$KE20=$KE20)*($KD$5:$KD20&gt;=1)*($KD$5:$KD20&lt;=3)),$LK$5:$LK20),IF(KD20=7,SUMPRODUCT(--(($KE$5:$KE20=$KE20)*($KD$5:$KD20&gt;=4)*($KD$5:$KD20&lt;=6)),$LK$5:$LK20),IF(KD20=10,SUMPRODUCT(--(($KE$5:$KE20=$KE20)*($KD$5:$KD20&gt;=7)*($KD$5:$KD20&lt;=9)),$LK$5:$LK20),0)))))</f>
        <v/>
      </c>
      <c r="LM20" s="12">
        <f>LM19+LK20-LL20</f>
        <v/>
      </c>
      <c r="LN20" s="12">
        <f>IF(ProviderDelay&gt;=1,KU19*BlendedProvPayEss+KV19*BlendedProvPayPrem+KW19*BlendedProvPayElite+KX19*BlendedProvPayEss+KY19*BlendedProvPayPrem+KZ19*BlendedProvPayElite,KU20*BlendedProvPayEss+KV20*BlendedProvPayPrem+KW20*BlendedProvPayElite+KX20*BlendedProvPayEss+KY20*BlendedProvPayPrem+KZ20*BlendedProvPayElite)</f>
        <v/>
      </c>
      <c r="LO20" s="12">
        <f>LG20*PaymentFee</f>
        <v/>
      </c>
      <c r="LP20" s="12">
        <f>LA20*OpsAI</f>
        <v/>
      </c>
      <c r="LQ20" s="12">
        <f>MonthlyFixed</f>
        <v/>
      </c>
      <c r="LR20" s="12">
        <f>KK20*ReferralReward</f>
        <v/>
      </c>
      <c r="LS20" s="12">
        <f>KI20</f>
        <v/>
      </c>
      <c r="LT20" s="9">
        <f>LJ20-LN20-LO20-LP20-LQ20-LR20-LS20</f>
        <v/>
      </c>
      <c r="LU20" s="9">
        <f>LU19+LG20-(LN20+LO20+LP20+LQ20+LR20+LS20+LL20)</f>
        <v/>
      </c>
      <c r="LV20" s="12">
        <f>IF(LA20&gt;0,LB20/LA20,0)</f>
        <v/>
      </c>
      <c r="LW20" s="11">
        <f>IF(LA19&gt;0,MAX(0,(LA19+KL20-LA20)/LA19),0)</f>
        <v/>
      </c>
      <c r="LY20" s="12" t="n">
        <v>16</v>
      </c>
      <c r="LZ20" s="12">
        <f>MOD(LY20-1+LaunchMonth-1,12)+1</f>
        <v/>
      </c>
      <c r="MA20" s="12">
        <f>INT((LY20-1+LaunchMonth-1)/12)+1</f>
        <v/>
      </c>
      <c r="MB20" s="12">
        <f>VLOOKUP(LZ20,SeasonTable,2,FALSE)</f>
        <v/>
      </c>
      <c r="MC20" s="12">
        <f>(1+InflationRate)^INT((LY20-1)/12)</f>
        <v/>
      </c>
      <c r="MD20" s="11">
        <f>'Sens - Churn'!$A$17*VLOOKUP(LZ20,ChurnSeasonTable,4,FALSE)</f>
        <v/>
      </c>
      <c r="ME20" s="12">
        <f>MIN(MAX(MktMin13_18,NC19*MktPct13_18),MAX(0,NQ19-CashBuffer))</f>
        <v/>
      </c>
      <c r="MF20" s="12">
        <f>IF(ME20&gt;0,MAX(1,ROUND(ME20/CAC*MB20,0)),0)</f>
        <v/>
      </c>
      <c r="MG20" s="12">
        <f>IF(MF20&gt;0,ROUND(MF20*ReferralMix/(1-ReferralMix),0),0)</f>
        <v/>
      </c>
      <c r="MH20" s="12">
        <f>MF20+MG20</f>
        <v/>
      </c>
      <c r="MI20" s="12">
        <f>ROUND(MH20*(1-AnnualMix),0)</f>
        <v/>
      </c>
      <c r="MJ20" s="12">
        <f>MH20-MI20</f>
        <v/>
      </c>
      <c r="MK20" s="12">
        <f>ROUND(MI20*EssentialMix,0)</f>
        <v/>
      </c>
      <c r="ML20" s="12">
        <f>ROUND(MI20*PremiumMix,0)</f>
        <v/>
      </c>
      <c r="MM20" s="12">
        <f>MI20-MK20-ML20</f>
        <v/>
      </c>
      <c r="MN20" s="12">
        <f>ROUND(MJ20*EssentialMix,0)</f>
        <v/>
      </c>
      <c r="MO20" s="12">
        <f>ROUND(MJ20*PremiumMix,0)</f>
        <v/>
      </c>
      <c r="MP20" s="12">
        <f>MJ20-MN20-MO20</f>
        <v/>
      </c>
      <c r="MQ20" s="12">
        <f>MK20+MK19+MK18+MAX(0,MQ19-MK19-MK18)*(1-MD20)</f>
        <v/>
      </c>
      <c r="MR20" s="12">
        <f>ML20+ML19+ML18+MAX(0,MR19-ML19-ML18)*(1-MD20)</f>
        <v/>
      </c>
      <c r="MS20" s="12">
        <f>MM20+MM19+MM18+MAX(0,MS19-MM19-MM18)*(1-MD20)</f>
        <v/>
      </c>
      <c r="MT20" s="12">
        <f>MT19+MN20-MN8*(AnnualChurn*VLOOKUP(LZ20,ChurnSeasonTable,4,FALSE))*POWER(1-(AnnualChurn*VLOOKUP(LZ20,ChurnSeasonTable,4,FALSE)),0)</f>
        <v/>
      </c>
      <c r="MU20" s="12">
        <f>MU19+MO20-MO8*(AnnualChurn*VLOOKUP(LZ20,ChurnSeasonTable,4,FALSE))*POWER(1-(AnnualChurn*VLOOKUP(LZ20,ChurnSeasonTable,4,FALSE)),0)</f>
        <v/>
      </c>
      <c r="MV20" s="12">
        <f>MV19+MP20-MP8*(AnnualChurn*VLOOKUP(LZ20,ChurnSeasonTable,4,FALSE))*POWER(1-(AnnualChurn*VLOOKUP(LZ20,ChurnSeasonTable,4,FALSE)),0)</f>
        <v/>
      </c>
      <c r="MW20" s="12">
        <f>MQ20+MR20+MS20+MT20+MU20+MV20</f>
        <v/>
      </c>
      <c r="MX20" s="9">
        <f>MQ20*BlendedPriceEssMonthly*MC20+MR20*BlendedPricePremMonthly*MC20+MS20*BlendedPriceEliteMonthly*MC20+MT20*BlendedPriceEssAnnual*MC20/12+MU20*BlendedPricePremAnnual*MC20/12+MV20*BlendedPriceEliteAnnual*MC20/12</f>
        <v/>
      </c>
      <c r="MY20" s="9">
        <f>MX20*12</f>
        <v/>
      </c>
      <c r="MZ20" s="12">
        <f>MQ20*BlendedPriceEssMonthly*MC20+MR20*BlendedPricePremMonthly*MC20+MS20*BlendedPriceEliteMonthly*MC20</f>
        <v/>
      </c>
      <c r="NA20" s="12">
        <f>MN20*BlendedPriceEssAnnual*MC20+MO20*BlendedPricePremAnnual*MC20+MP20*BlendedPriceEliteAnnual*MC20</f>
        <v/>
      </c>
      <c r="NB20" s="12">
        <f>MN8*POWER(1-(AnnualChurn*VLOOKUP(LZ20,ChurnSeasonTable,4,FALSE)),1)*BlendedPriceEssAnnual*MC20+MO8*POWER(1-(AnnualChurn*VLOOKUP(LZ20,ChurnSeasonTable,4,FALSE)),1)*BlendedPricePremAnnual*MC20+MP8*POWER(1-(AnnualChurn*VLOOKUP(LZ20,ChurnSeasonTable,4,FALSE)),1)*BlendedPriceEliteAnnual*MC20</f>
        <v/>
      </c>
      <c r="NC20" s="9">
        <f>MZ20+NA20+NB20</f>
        <v/>
      </c>
      <c r="ND20" s="12">
        <f>SUM(NC9:NC20)</f>
        <v/>
      </c>
      <c r="NE20" s="12">
        <f>OR(NE19,IF(VATAgentMode,SUM($NC9:$NC20)-SUM($NJ9:$NJ20)&gt;=VATThreshold,SUM($NC9:$NC20)&gt;=VATThreshold))</f>
        <v/>
      </c>
      <c r="NF20" s="9">
        <f>IF(NE20,IF(VATAgentMode,NC20-((NC20-NJ20)-(NC20-NJ20)/(1+VATRate)),NC20/(1+VATRate)),NC20)</f>
        <v/>
      </c>
      <c r="NG20" s="12">
        <f>NC20-NF20</f>
        <v/>
      </c>
      <c r="NH20" s="12">
        <f>IF(NE20=0,0,IF(LZ20=1,SUMPRODUCT(--(($MA$5:$MA20=$MA20-1)*($LZ$5:$LZ20&gt;=10)*($LZ$5:$LZ20&lt;=12)),$NG$5:$NG20),IF(LZ20=4,SUMPRODUCT(--(($MA$5:$MA20=$MA20)*($LZ$5:$LZ20&gt;=1)*($LZ$5:$LZ20&lt;=3)),$NG$5:$NG20),IF(LZ20=7,SUMPRODUCT(--(($MA$5:$MA20=$MA20)*($LZ$5:$LZ20&gt;=4)*($LZ$5:$LZ20&lt;=6)),$NG$5:$NG20),IF(LZ20=10,SUMPRODUCT(--(($MA$5:$MA20=$MA20)*($LZ$5:$LZ20&gt;=7)*($LZ$5:$LZ20&lt;=9)),$NG$5:$NG20),0)))))</f>
        <v/>
      </c>
      <c r="NI20" s="12">
        <f>NI19+NG20-NH20</f>
        <v/>
      </c>
      <c r="NJ20" s="12">
        <f>IF(ProviderDelay&gt;=1,MQ19*BlendedProvPayEss+MR19*BlendedProvPayPrem+MS19*BlendedProvPayElite+MT19*BlendedProvPayEss+MU19*BlendedProvPayPrem+MV19*BlendedProvPayElite,MQ20*BlendedProvPayEss+MR20*BlendedProvPayPrem+MS20*BlendedProvPayElite+MT20*BlendedProvPayEss+MU20*BlendedProvPayPrem+MV20*BlendedProvPayElite)</f>
        <v/>
      </c>
      <c r="NK20" s="12">
        <f>NC20*PaymentFee</f>
        <v/>
      </c>
      <c r="NL20" s="12">
        <f>MW20*OpsAI</f>
        <v/>
      </c>
      <c r="NM20" s="12">
        <f>MonthlyFixed</f>
        <v/>
      </c>
      <c r="NN20" s="12">
        <f>MG20*ReferralReward</f>
        <v/>
      </c>
      <c r="NO20" s="12">
        <f>ME20</f>
        <v/>
      </c>
      <c r="NP20" s="9">
        <f>NF20-NJ20-NK20-NL20-NM20-NN20-NO20</f>
        <v/>
      </c>
      <c r="NQ20" s="9">
        <f>NQ19+NC20-(NJ20+NK20+NL20+NM20+NN20+NO20+NH20)</f>
        <v/>
      </c>
      <c r="NR20" s="12">
        <f>IF(MW20&gt;0,MX20/MW20,0)</f>
        <v/>
      </c>
      <c r="NS20" s="11">
        <f>IF(MW19&gt;0,MAX(0,(MW19+MH20-MW20)/MW19),0)</f>
        <v/>
      </c>
      <c r="NU20" s="12" t="n">
        <v>16</v>
      </c>
      <c r="NV20" s="12">
        <f>MOD(NU20-1+LaunchMonth-1,12)+1</f>
        <v/>
      </c>
      <c r="NW20" s="12">
        <f>INT((NU20-1+LaunchMonth-1)/12)+1</f>
        <v/>
      </c>
      <c r="NX20" s="12">
        <f>VLOOKUP(NV20,SeasonTable,2,FALSE)</f>
        <v/>
      </c>
      <c r="NY20" s="12">
        <f>(1+InflationRate)^INT((NU20-1)/12)</f>
        <v/>
      </c>
      <c r="NZ20" s="11">
        <f>'Sens - Churn'!$A$18*VLOOKUP(NV20,ChurnSeasonTable,4,FALSE)</f>
        <v/>
      </c>
      <c r="OA20" s="12">
        <f>MIN(MAX(MktMin13_18,OY19*MktPct13_18),MAX(0,PM19-CashBuffer))</f>
        <v/>
      </c>
      <c r="OB20" s="12">
        <f>IF(OA20&gt;0,MAX(1,ROUND(OA20/CAC*NX20,0)),0)</f>
        <v/>
      </c>
      <c r="OC20" s="12">
        <f>IF(OB20&gt;0,ROUND(OB20*ReferralMix/(1-ReferralMix),0),0)</f>
        <v/>
      </c>
      <c r="OD20" s="12">
        <f>OB20+OC20</f>
        <v/>
      </c>
      <c r="OE20" s="12">
        <f>ROUND(OD20*(1-AnnualMix),0)</f>
        <v/>
      </c>
      <c r="OF20" s="12">
        <f>OD20-OE20</f>
        <v/>
      </c>
      <c r="OG20" s="12">
        <f>ROUND(OE20*EssentialMix,0)</f>
        <v/>
      </c>
      <c r="OH20" s="12">
        <f>ROUND(OE20*PremiumMix,0)</f>
        <v/>
      </c>
      <c r="OI20" s="12">
        <f>OE20-OG20-OH20</f>
        <v/>
      </c>
      <c r="OJ20" s="12">
        <f>ROUND(OF20*EssentialMix,0)</f>
        <v/>
      </c>
      <c r="OK20" s="12">
        <f>ROUND(OF20*PremiumMix,0)</f>
        <v/>
      </c>
      <c r="OL20" s="12">
        <f>OF20-OJ20-OK20</f>
        <v/>
      </c>
      <c r="OM20" s="12">
        <f>OG20+OG19+OG18+MAX(0,OM19-OG19-OG18)*(1-NZ20)</f>
        <v/>
      </c>
      <c r="ON20" s="12">
        <f>OH20+OH19+OH18+MAX(0,ON19-OH19-OH18)*(1-NZ20)</f>
        <v/>
      </c>
      <c r="OO20" s="12">
        <f>OI20+OI19+OI18+MAX(0,OO19-OI19-OI18)*(1-NZ20)</f>
        <v/>
      </c>
      <c r="OP20" s="12">
        <f>OP19+OJ20-OJ8*(AnnualChurn*VLOOKUP(NV20,ChurnSeasonTable,4,FALSE))*POWER(1-(AnnualChurn*VLOOKUP(NV20,ChurnSeasonTable,4,FALSE)),0)</f>
        <v/>
      </c>
      <c r="OQ20" s="12">
        <f>OQ19+OK20-OK8*(AnnualChurn*VLOOKUP(NV20,ChurnSeasonTable,4,FALSE))*POWER(1-(AnnualChurn*VLOOKUP(NV20,ChurnSeasonTable,4,FALSE)),0)</f>
        <v/>
      </c>
      <c r="OR20" s="12">
        <f>OR19+OL20-OL8*(AnnualChurn*VLOOKUP(NV20,ChurnSeasonTable,4,FALSE))*POWER(1-(AnnualChurn*VLOOKUP(NV20,ChurnSeasonTable,4,FALSE)),0)</f>
        <v/>
      </c>
      <c r="OS20" s="12">
        <f>OM20+ON20+OO20+OP20+OQ20+OR20</f>
        <v/>
      </c>
      <c r="OT20" s="9">
        <f>OM20*BlendedPriceEssMonthly*NY20+ON20*BlendedPricePremMonthly*NY20+OO20*BlendedPriceEliteMonthly*NY20+OP20*BlendedPriceEssAnnual*NY20/12+OQ20*BlendedPricePremAnnual*NY20/12+OR20*BlendedPriceEliteAnnual*NY20/12</f>
        <v/>
      </c>
      <c r="OU20" s="9">
        <f>OT20*12</f>
        <v/>
      </c>
      <c r="OV20" s="12">
        <f>OM20*BlendedPriceEssMonthly*NY20+ON20*BlendedPricePremMonthly*NY20+OO20*BlendedPriceEliteMonthly*NY20</f>
        <v/>
      </c>
      <c r="OW20" s="12">
        <f>OJ20*BlendedPriceEssAnnual*NY20+OK20*BlendedPricePremAnnual*NY20+OL20*BlendedPriceEliteAnnual*NY20</f>
        <v/>
      </c>
      <c r="OX20" s="12">
        <f>OJ8*POWER(1-(AnnualChurn*VLOOKUP(NV20,ChurnSeasonTable,4,FALSE)),1)*BlendedPriceEssAnnual*NY20+OK8*POWER(1-(AnnualChurn*VLOOKUP(NV20,ChurnSeasonTable,4,FALSE)),1)*BlendedPricePremAnnual*NY20+OL8*POWER(1-(AnnualChurn*VLOOKUP(NV20,ChurnSeasonTable,4,FALSE)),1)*BlendedPriceEliteAnnual*NY20</f>
        <v/>
      </c>
      <c r="OY20" s="9">
        <f>OV20+OW20+OX20</f>
        <v/>
      </c>
      <c r="OZ20" s="12">
        <f>SUM(OY9:OY20)</f>
        <v/>
      </c>
      <c r="PA20" s="12">
        <f>OR(PA19,IF(VATAgentMode,SUM($OY9:$OY20)-SUM($PF9:$PF20)&gt;=VATThreshold,SUM($OY9:$OY20)&gt;=VATThreshold))</f>
        <v/>
      </c>
      <c r="PB20" s="9">
        <f>IF(PA20,IF(VATAgentMode,OY20-((OY20-PF20)-(OY20-PF20)/(1+VATRate)),OY20/(1+VATRate)),OY20)</f>
        <v/>
      </c>
      <c r="PC20" s="12">
        <f>OY20-PB20</f>
        <v/>
      </c>
      <c r="PD20" s="12">
        <f>IF(PA20=0,0,IF(NV20=1,SUMPRODUCT(--(($NW$5:$NW20=$NW20-1)*($NV$5:$NV20&gt;=10)*($NV$5:$NV20&lt;=12)),$PC$5:$PC20),IF(NV20=4,SUMPRODUCT(--(($NW$5:$NW20=$NW20)*($NV$5:$NV20&gt;=1)*($NV$5:$NV20&lt;=3)),$PC$5:$PC20),IF(NV20=7,SUMPRODUCT(--(($NW$5:$NW20=$NW20)*($NV$5:$NV20&gt;=4)*($NV$5:$NV20&lt;=6)),$PC$5:$PC20),IF(NV20=10,SUMPRODUCT(--(($NW$5:$NW20=$NW20)*($NV$5:$NV20&gt;=7)*($NV$5:$NV20&lt;=9)),$PC$5:$PC20),0)))))</f>
        <v/>
      </c>
      <c r="PE20" s="12">
        <f>PE19+PC20-PD20</f>
        <v/>
      </c>
      <c r="PF20" s="12">
        <f>IF(ProviderDelay&gt;=1,OM19*BlendedProvPayEss+ON19*BlendedProvPayPrem+OO19*BlendedProvPayElite+OP19*BlendedProvPayEss+OQ19*BlendedProvPayPrem+OR19*BlendedProvPayElite,OM20*BlendedProvPayEss+ON20*BlendedProvPayPrem+OO20*BlendedProvPayElite+OP20*BlendedProvPayEss+OQ20*BlendedProvPayPrem+OR20*BlendedProvPayElite)</f>
        <v/>
      </c>
      <c r="PG20" s="12">
        <f>OY20*PaymentFee</f>
        <v/>
      </c>
      <c r="PH20" s="12">
        <f>OS20*OpsAI</f>
        <v/>
      </c>
      <c r="PI20" s="12">
        <f>MonthlyFixed</f>
        <v/>
      </c>
      <c r="PJ20" s="12">
        <f>OC20*ReferralReward</f>
        <v/>
      </c>
      <c r="PK20" s="12">
        <f>OA20</f>
        <v/>
      </c>
      <c r="PL20" s="9">
        <f>PB20-PF20-PG20-PH20-PI20-PJ20-PK20</f>
        <v/>
      </c>
      <c r="PM20" s="9">
        <f>PM19+OY20-(PF20+PG20+PH20+PI20+PJ20+PK20+PD20)</f>
        <v/>
      </c>
      <c r="PN20" s="12">
        <f>IF(OS20&gt;0,OT20/OS20,0)</f>
        <v/>
      </c>
      <c r="PO20" s="11">
        <f>IF(OS19&gt;0,MAX(0,(OS19+OD20-OS20)/OS19),0)</f>
        <v/>
      </c>
      <c r="PQ20" s="12" t="n">
        <v>16</v>
      </c>
      <c r="PR20" s="12">
        <f>MOD(PQ20-1+LaunchMonth-1,12)+1</f>
        <v/>
      </c>
      <c r="PS20" s="12">
        <f>INT((PQ20-1+LaunchMonth-1)/12)+1</f>
        <v/>
      </c>
      <c r="PT20" s="12">
        <f>VLOOKUP(PR20,SeasonTable,2,FALSE)</f>
        <v/>
      </c>
      <c r="PU20" s="12">
        <f>(1+InflationRate)^INT((PQ20-1)/12)</f>
        <v/>
      </c>
      <c r="PV20" s="11">
        <f>'Sens - Churn'!$A$19*VLOOKUP(PR20,ChurnSeasonTable,4,FALSE)</f>
        <v/>
      </c>
      <c r="PW20" s="12">
        <f>MIN(MAX(MktMin13_18,QU19*MktPct13_18),MAX(0,RI19-CashBuffer))</f>
        <v/>
      </c>
      <c r="PX20" s="12">
        <f>IF(PW20&gt;0,MAX(1,ROUND(PW20/CAC*PT20,0)),0)</f>
        <v/>
      </c>
      <c r="PY20" s="12">
        <f>IF(PX20&gt;0,ROUND(PX20*ReferralMix/(1-ReferralMix),0),0)</f>
        <v/>
      </c>
      <c r="PZ20" s="12">
        <f>PX20+PY20</f>
        <v/>
      </c>
      <c r="QA20" s="12">
        <f>ROUND(PZ20*(1-AnnualMix),0)</f>
        <v/>
      </c>
      <c r="QB20" s="12">
        <f>PZ20-QA20</f>
        <v/>
      </c>
      <c r="QC20" s="12">
        <f>ROUND(QA20*EssentialMix,0)</f>
        <v/>
      </c>
      <c r="QD20" s="12">
        <f>ROUND(QA20*PremiumMix,0)</f>
        <v/>
      </c>
      <c r="QE20" s="12">
        <f>QA20-QC20-QD20</f>
        <v/>
      </c>
      <c r="QF20" s="12">
        <f>ROUND(QB20*EssentialMix,0)</f>
        <v/>
      </c>
      <c r="QG20" s="12">
        <f>ROUND(QB20*PremiumMix,0)</f>
        <v/>
      </c>
      <c r="QH20" s="12">
        <f>QB20-QF20-QG20</f>
        <v/>
      </c>
      <c r="QI20" s="12">
        <f>QC20+QC19+QC18+MAX(0,QI19-QC19-QC18)*(1-PV20)</f>
        <v/>
      </c>
      <c r="QJ20" s="12">
        <f>QD20+QD19+QD18+MAX(0,QJ19-QD19-QD18)*(1-PV20)</f>
        <v/>
      </c>
      <c r="QK20" s="12">
        <f>QE20+QE19+QE18+MAX(0,QK19-QE19-QE18)*(1-PV20)</f>
        <v/>
      </c>
      <c r="QL20" s="12">
        <f>QL19+QF20-QF8*(AnnualChurn*VLOOKUP(PR20,ChurnSeasonTable,4,FALSE))*POWER(1-(AnnualChurn*VLOOKUP(PR20,ChurnSeasonTable,4,FALSE)),0)</f>
        <v/>
      </c>
      <c r="QM20" s="12">
        <f>QM19+QG20-QG8*(AnnualChurn*VLOOKUP(PR20,ChurnSeasonTable,4,FALSE))*POWER(1-(AnnualChurn*VLOOKUP(PR20,ChurnSeasonTable,4,FALSE)),0)</f>
        <v/>
      </c>
      <c r="QN20" s="12">
        <f>QN19+QH20-QH8*(AnnualChurn*VLOOKUP(PR20,ChurnSeasonTable,4,FALSE))*POWER(1-(AnnualChurn*VLOOKUP(PR20,ChurnSeasonTable,4,FALSE)),0)</f>
        <v/>
      </c>
      <c r="QO20" s="12">
        <f>QI20+QJ20+QK20+QL20+QM20+QN20</f>
        <v/>
      </c>
      <c r="QP20" s="9">
        <f>QI20*BlendedPriceEssMonthly*PU20+QJ20*BlendedPricePremMonthly*PU20+QK20*BlendedPriceEliteMonthly*PU20+QL20*BlendedPriceEssAnnual*PU20/12+QM20*BlendedPricePremAnnual*PU20/12+QN20*BlendedPriceEliteAnnual*PU20/12</f>
        <v/>
      </c>
      <c r="QQ20" s="9">
        <f>QP20*12</f>
        <v/>
      </c>
      <c r="QR20" s="12">
        <f>QI20*BlendedPriceEssMonthly*PU20+QJ20*BlendedPricePremMonthly*PU20+QK20*BlendedPriceEliteMonthly*PU20</f>
        <v/>
      </c>
      <c r="QS20" s="12">
        <f>QF20*BlendedPriceEssAnnual*PU20+QG20*BlendedPricePremAnnual*PU20+QH20*BlendedPriceEliteAnnual*PU20</f>
        <v/>
      </c>
      <c r="QT20" s="12">
        <f>QF8*POWER(1-(AnnualChurn*VLOOKUP(PR20,ChurnSeasonTable,4,FALSE)),1)*BlendedPriceEssAnnual*PU20+QG8*POWER(1-(AnnualChurn*VLOOKUP(PR20,ChurnSeasonTable,4,FALSE)),1)*BlendedPricePremAnnual*PU20+QH8*POWER(1-(AnnualChurn*VLOOKUP(PR20,ChurnSeasonTable,4,FALSE)),1)*BlendedPriceEliteAnnual*PU20</f>
        <v/>
      </c>
      <c r="QU20" s="9">
        <f>QR20+QS20+QT20</f>
        <v/>
      </c>
      <c r="QV20" s="12">
        <f>SUM(QU9:QU20)</f>
        <v/>
      </c>
      <c r="QW20" s="12">
        <f>OR(QW19,IF(VATAgentMode,SUM($QU9:$QU20)-SUM($RB9:$RB20)&gt;=VATThreshold,SUM($QU9:$QU20)&gt;=VATThreshold))</f>
        <v/>
      </c>
      <c r="QX20" s="9">
        <f>IF(QW20,IF(VATAgentMode,QU20-((QU20-RB20)-(QU20-RB20)/(1+VATRate)),QU20/(1+VATRate)),QU20)</f>
        <v/>
      </c>
      <c r="QY20" s="12">
        <f>QU20-QX20</f>
        <v/>
      </c>
      <c r="QZ20" s="12">
        <f>IF(QW20=0,0,IF(PR20=1,SUMPRODUCT(--(($PS$5:$PS20=$PS20-1)*($PR$5:$PR20&gt;=10)*($PR$5:$PR20&lt;=12)),$QY$5:$QY20),IF(PR20=4,SUMPRODUCT(--(($PS$5:$PS20=$PS20)*($PR$5:$PR20&gt;=1)*($PR$5:$PR20&lt;=3)),$QY$5:$QY20),IF(PR20=7,SUMPRODUCT(--(($PS$5:$PS20=$PS20)*($PR$5:$PR20&gt;=4)*($PR$5:$PR20&lt;=6)),$QY$5:$QY20),IF(PR20=10,SUMPRODUCT(--(($PS$5:$PS20=$PS20)*($PR$5:$PR20&gt;=7)*($PR$5:$PR20&lt;=9)),$QY$5:$QY20),0)))))</f>
        <v/>
      </c>
      <c r="RA20" s="12">
        <f>RA19+QY20-QZ20</f>
        <v/>
      </c>
      <c r="RB20" s="12">
        <f>IF(ProviderDelay&gt;=1,QI19*BlendedProvPayEss+QJ19*BlendedProvPayPrem+QK19*BlendedProvPayElite+QL19*BlendedProvPayEss+QM19*BlendedProvPayPrem+QN19*BlendedProvPayElite,QI20*BlendedProvPayEss+QJ20*BlendedProvPayPrem+QK20*BlendedProvPayElite+QL20*BlendedProvPayEss+QM20*BlendedProvPayPrem+QN20*BlendedProvPayElite)</f>
        <v/>
      </c>
      <c r="RC20" s="12">
        <f>QU20*PaymentFee</f>
        <v/>
      </c>
      <c r="RD20" s="12">
        <f>QO20*OpsAI</f>
        <v/>
      </c>
      <c r="RE20" s="12">
        <f>MonthlyFixed</f>
        <v/>
      </c>
      <c r="RF20" s="12">
        <f>PY20*ReferralReward</f>
        <v/>
      </c>
      <c r="RG20" s="12">
        <f>PW20</f>
        <v/>
      </c>
      <c r="RH20" s="9">
        <f>QX20-RB20-RC20-RD20-RE20-RF20-RG20</f>
        <v/>
      </c>
      <c r="RI20" s="9">
        <f>RI19+QU20-(RB20+RC20+RD20+RE20+RF20+RG20+QZ20)</f>
        <v/>
      </c>
      <c r="RJ20" s="12">
        <f>IF(QO20&gt;0,QP20/QO20,0)</f>
        <v/>
      </c>
      <c r="RK20" s="11">
        <f>IF(QO19&gt;0,MAX(0,(QO19+PZ20-QO20)/QO19),0)</f>
        <v/>
      </c>
      <c r="RM20" s="12" t="n">
        <v>16</v>
      </c>
      <c r="RN20" s="12">
        <f>MOD(RM20-1+LaunchMonth-1,12)+1</f>
        <v/>
      </c>
      <c r="RO20" s="12">
        <f>INT((RM20-1+LaunchMonth-1)/12)+1</f>
        <v/>
      </c>
      <c r="RP20" s="12">
        <f>VLOOKUP(RN20,SeasonTable,2,FALSE)</f>
        <v/>
      </c>
      <c r="RQ20" s="12">
        <f>(1+InflationRate)^INT((RM20-1)/12)</f>
        <v/>
      </c>
      <c r="RR20" s="11">
        <f>'Sens - Churn'!$A$20*VLOOKUP(RN20,ChurnSeasonTable,4,FALSE)</f>
        <v/>
      </c>
      <c r="RS20" s="12">
        <f>MIN(MAX(MktMin13_18,SQ19*MktPct13_18),MAX(0,TE19-CashBuffer))</f>
        <v/>
      </c>
      <c r="RT20" s="12">
        <f>IF(RS20&gt;0,MAX(1,ROUND(RS20/CAC*RP20,0)),0)</f>
        <v/>
      </c>
      <c r="RU20" s="12">
        <f>IF(RT20&gt;0,ROUND(RT20*ReferralMix/(1-ReferralMix),0),0)</f>
        <v/>
      </c>
      <c r="RV20" s="12">
        <f>RT20+RU20</f>
        <v/>
      </c>
      <c r="RW20" s="12">
        <f>ROUND(RV20*(1-AnnualMix),0)</f>
        <v/>
      </c>
      <c r="RX20" s="12">
        <f>RV20-RW20</f>
        <v/>
      </c>
      <c r="RY20" s="12">
        <f>ROUND(RW20*EssentialMix,0)</f>
        <v/>
      </c>
      <c r="RZ20" s="12">
        <f>ROUND(RW20*PremiumMix,0)</f>
        <v/>
      </c>
      <c r="SA20" s="12">
        <f>RW20-RY20-RZ20</f>
        <v/>
      </c>
      <c r="SB20" s="12">
        <f>ROUND(RX20*EssentialMix,0)</f>
        <v/>
      </c>
      <c r="SC20" s="12">
        <f>ROUND(RX20*PremiumMix,0)</f>
        <v/>
      </c>
      <c r="SD20" s="12">
        <f>RX20-SB20-SC20</f>
        <v/>
      </c>
      <c r="SE20" s="12">
        <f>RY20+RY19+RY18+MAX(0,SE19-RY19-RY18)*(1-RR20)</f>
        <v/>
      </c>
      <c r="SF20" s="12">
        <f>RZ20+RZ19+RZ18+MAX(0,SF19-RZ19-RZ18)*(1-RR20)</f>
        <v/>
      </c>
      <c r="SG20" s="12">
        <f>SA20+SA19+SA18+MAX(0,SG19-SA19-SA18)*(1-RR20)</f>
        <v/>
      </c>
      <c r="SH20" s="12">
        <f>SH19+SB20-SB8*(AnnualChurn*VLOOKUP(RN20,ChurnSeasonTable,4,FALSE))*POWER(1-(AnnualChurn*VLOOKUP(RN20,ChurnSeasonTable,4,FALSE)),0)</f>
        <v/>
      </c>
      <c r="SI20" s="12">
        <f>SI19+SC20-SC8*(AnnualChurn*VLOOKUP(RN20,ChurnSeasonTable,4,FALSE))*POWER(1-(AnnualChurn*VLOOKUP(RN20,ChurnSeasonTable,4,FALSE)),0)</f>
        <v/>
      </c>
      <c r="SJ20" s="12">
        <f>SJ19+SD20-SD8*(AnnualChurn*VLOOKUP(RN20,ChurnSeasonTable,4,FALSE))*POWER(1-(AnnualChurn*VLOOKUP(RN20,ChurnSeasonTable,4,FALSE)),0)</f>
        <v/>
      </c>
      <c r="SK20" s="12">
        <f>SE20+SF20+SG20+SH20+SI20+SJ20</f>
        <v/>
      </c>
      <c r="SL20" s="9">
        <f>SE20*BlendedPriceEssMonthly*RQ20+SF20*BlendedPricePremMonthly*RQ20+SG20*BlendedPriceEliteMonthly*RQ20+SH20*BlendedPriceEssAnnual*RQ20/12+SI20*BlendedPricePremAnnual*RQ20/12+SJ20*BlendedPriceEliteAnnual*RQ20/12</f>
        <v/>
      </c>
      <c r="SM20" s="9">
        <f>SL20*12</f>
        <v/>
      </c>
      <c r="SN20" s="12">
        <f>SE20*BlendedPriceEssMonthly*RQ20+SF20*BlendedPricePremMonthly*RQ20+SG20*BlendedPriceEliteMonthly*RQ20</f>
        <v/>
      </c>
      <c r="SO20" s="12">
        <f>SB20*BlendedPriceEssAnnual*RQ20+SC20*BlendedPricePremAnnual*RQ20+SD20*BlendedPriceEliteAnnual*RQ20</f>
        <v/>
      </c>
      <c r="SP20" s="12">
        <f>SB8*POWER(1-(AnnualChurn*VLOOKUP(RN20,ChurnSeasonTable,4,FALSE)),1)*BlendedPriceEssAnnual*RQ20+SC8*POWER(1-(AnnualChurn*VLOOKUP(RN20,ChurnSeasonTable,4,FALSE)),1)*BlendedPricePremAnnual*RQ20+SD8*POWER(1-(AnnualChurn*VLOOKUP(RN20,ChurnSeasonTable,4,FALSE)),1)*BlendedPriceEliteAnnual*RQ20</f>
        <v/>
      </c>
      <c r="SQ20" s="9">
        <f>SN20+SO20+SP20</f>
        <v/>
      </c>
      <c r="SR20" s="12">
        <f>SUM(SQ9:SQ20)</f>
        <v/>
      </c>
      <c r="SS20" s="12">
        <f>OR(SS19,IF(VATAgentMode,SUM($SQ9:$SQ20)-SUM($SX9:$SX20)&gt;=VATThreshold,SUM($SQ9:$SQ20)&gt;=VATThreshold))</f>
        <v/>
      </c>
      <c r="ST20" s="9">
        <f>IF(SS20,IF(VATAgentMode,SQ20-((SQ20-SX20)-(SQ20-SX20)/(1+VATRate)),SQ20/(1+VATRate)),SQ20)</f>
        <v/>
      </c>
      <c r="SU20" s="12">
        <f>SQ20-ST20</f>
        <v/>
      </c>
      <c r="SV20" s="12">
        <f>IF(SS20=0,0,IF(RN20=1,SUMPRODUCT(--(($RO$5:$RO20=$RO20-1)*($RN$5:$RN20&gt;=10)*($RN$5:$RN20&lt;=12)),$SU$5:$SU20),IF(RN20=4,SUMPRODUCT(--(($RO$5:$RO20=$RO20)*($RN$5:$RN20&gt;=1)*($RN$5:$RN20&lt;=3)),$SU$5:$SU20),IF(RN20=7,SUMPRODUCT(--(($RO$5:$RO20=$RO20)*($RN$5:$RN20&gt;=4)*($RN$5:$RN20&lt;=6)),$SU$5:$SU20),IF(RN20=10,SUMPRODUCT(--(($RO$5:$RO20=$RO20)*($RN$5:$RN20&gt;=7)*($RN$5:$RN20&lt;=9)),$SU$5:$SU20),0)))))</f>
        <v/>
      </c>
      <c r="SW20" s="12">
        <f>SW19+SU20-SV20</f>
        <v/>
      </c>
      <c r="SX20" s="12">
        <f>IF(ProviderDelay&gt;=1,SE19*BlendedProvPayEss+SF19*BlendedProvPayPrem+SG19*BlendedProvPayElite+SH19*BlendedProvPayEss+SI19*BlendedProvPayPrem+SJ19*BlendedProvPayElite,SE20*BlendedProvPayEss+SF20*BlendedProvPayPrem+SG20*BlendedProvPayElite+SH20*BlendedProvPayEss+SI20*BlendedProvPayPrem+SJ20*BlendedProvPayElite)</f>
        <v/>
      </c>
      <c r="SY20" s="12">
        <f>SQ20*PaymentFee</f>
        <v/>
      </c>
      <c r="SZ20" s="12">
        <f>SK20*OpsAI</f>
        <v/>
      </c>
      <c r="TA20" s="12">
        <f>MonthlyFixed</f>
        <v/>
      </c>
      <c r="TB20" s="12">
        <f>RU20*ReferralReward</f>
        <v/>
      </c>
      <c r="TC20" s="12">
        <f>RS20</f>
        <v/>
      </c>
      <c r="TD20" s="9">
        <f>ST20-SX20-SY20-SZ20-TA20-TB20-TC20</f>
        <v/>
      </c>
      <c r="TE20" s="9">
        <f>TE19+SQ20-(SX20+SY20+SZ20+TA20+TB20+TC20+SV20)</f>
        <v/>
      </c>
      <c r="TF20" s="12">
        <f>IF(SK20&gt;0,SL20/SK20,0)</f>
        <v/>
      </c>
      <c r="TG20" s="11">
        <f>IF(SK19&gt;0,MAX(0,(SK19+RV20-SK20)/SK19),0)</f>
        <v/>
      </c>
      <c r="TI20" s="12" t="n">
        <v>16</v>
      </c>
      <c r="TJ20" s="12">
        <f>MOD(TI20-1+LaunchMonth-1,12)+1</f>
        <v/>
      </c>
      <c r="TK20" s="12">
        <f>INT((TI20-1+LaunchMonth-1)/12)+1</f>
        <v/>
      </c>
      <c r="TL20" s="12">
        <f>VLOOKUP(TJ20,SeasonTable,2,FALSE)</f>
        <v/>
      </c>
      <c r="TM20" s="12">
        <f>(1+InflationRate)^INT((TI20-1)/12)</f>
        <v/>
      </c>
      <c r="TN20" s="11">
        <f>'Sens - Churn'!$A$21*VLOOKUP(TJ20,ChurnSeasonTable,4,FALSE)</f>
        <v/>
      </c>
      <c r="TO20" s="12">
        <f>MIN(MAX(MktMin13_18,UM19*MktPct13_18),MAX(0,VA19-CashBuffer))</f>
        <v/>
      </c>
      <c r="TP20" s="12">
        <f>IF(TO20&gt;0,MAX(1,ROUND(TO20/CAC*TL20,0)),0)</f>
        <v/>
      </c>
      <c r="TQ20" s="12">
        <f>IF(TP20&gt;0,ROUND(TP20*ReferralMix/(1-ReferralMix),0),0)</f>
        <v/>
      </c>
      <c r="TR20" s="12">
        <f>TP20+TQ20</f>
        <v/>
      </c>
      <c r="TS20" s="12">
        <f>ROUND(TR20*(1-AnnualMix),0)</f>
        <v/>
      </c>
      <c r="TT20" s="12">
        <f>TR20-TS20</f>
        <v/>
      </c>
      <c r="TU20" s="12">
        <f>ROUND(TS20*EssentialMix,0)</f>
        <v/>
      </c>
      <c r="TV20" s="12">
        <f>ROUND(TS20*PremiumMix,0)</f>
        <v/>
      </c>
      <c r="TW20" s="12">
        <f>TS20-TU20-TV20</f>
        <v/>
      </c>
      <c r="TX20" s="12">
        <f>ROUND(TT20*EssentialMix,0)</f>
        <v/>
      </c>
      <c r="TY20" s="12">
        <f>ROUND(TT20*PremiumMix,0)</f>
        <v/>
      </c>
      <c r="TZ20" s="12">
        <f>TT20-TX20-TY20</f>
        <v/>
      </c>
      <c r="UA20" s="12">
        <f>TU20+TU19+TU18+MAX(0,UA19-TU19-TU18)*(1-TN20)</f>
        <v/>
      </c>
      <c r="UB20" s="12">
        <f>TV20+TV19+TV18+MAX(0,UB19-TV19-TV18)*(1-TN20)</f>
        <v/>
      </c>
      <c r="UC20" s="12">
        <f>TW20+TW19+TW18+MAX(0,UC19-TW19-TW18)*(1-TN20)</f>
        <v/>
      </c>
      <c r="UD20" s="12">
        <f>UD19+TX20-TX8*(AnnualChurn*VLOOKUP(TJ20,ChurnSeasonTable,4,FALSE))*POWER(1-(AnnualChurn*VLOOKUP(TJ20,ChurnSeasonTable,4,FALSE)),0)</f>
        <v/>
      </c>
      <c r="UE20" s="12">
        <f>UE19+TY20-TY8*(AnnualChurn*VLOOKUP(TJ20,ChurnSeasonTable,4,FALSE))*POWER(1-(AnnualChurn*VLOOKUP(TJ20,ChurnSeasonTable,4,FALSE)),0)</f>
        <v/>
      </c>
      <c r="UF20" s="12">
        <f>UF19+TZ20-TZ8*(AnnualChurn*VLOOKUP(TJ20,ChurnSeasonTable,4,FALSE))*POWER(1-(AnnualChurn*VLOOKUP(TJ20,ChurnSeasonTable,4,FALSE)),0)</f>
        <v/>
      </c>
      <c r="UG20" s="12">
        <f>UA20+UB20+UC20+UD20+UE20+UF20</f>
        <v/>
      </c>
      <c r="UH20" s="9">
        <f>UA20*BlendedPriceEssMonthly*TM20+UB20*BlendedPricePremMonthly*TM20+UC20*BlendedPriceEliteMonthly*TM20+UD20*BlendedPriceEssAnnual*TM20/12+UE20*BlendedPricePremAnnual*TM20/12+UF20*BlendedPriceEliteAnnual*TM20/12</f>
        <v/>
      </c>
      <c r="UI20" s="9">
        <f>UH20*12</f>
        <v/>
      </c>
      <c r="UJ20" s="12">
        <f>UA20*BlendedPriceEssMonthly*TM20+UB20*BlendedPricePremMonthly*TM20+UC20*BlendedPriceEliteMonthly*TM20</f>
        <v/>
      </c>
      <c r="UK20" s="12">
        <f>TX20*BlendedPriceEssAnnual*TM20+TY20*BlendedPricePremAnnual*TM20+TZ20*BlendedPriceEliteAnnual*TM20</f>
        <v/>
      </c>
      <c r="UL20" s="12">
        <f>TX8*POWER(1-(AnnualChurn*VLOOKUP(TJ20,ChurnSeasonTable,4,FALSE)),1)*BlendedPriceEssAnnual*TM20+TY8*POWER(1-(AnnualChurn*VLOOKUP(TJ20,ChurnSeasonTable,4,FALSE)),1)*BlendedPricePremAnnual*TM20+TZ8*POWER(1-(AnnualChurn*VLOOKUP(TJ20,ChurnSeasonTable,4,FALSE)),1)*BlendedPriceEliteAnnual*TM20</f>
        <v/>
      </c>
      <c r="UM20" s="9">
        <f>UJ20+UK20+UL20</f>
        <v/>
      </c>
      <c r="UN20" s="12">
        <f>SUM(UM9:UM20)</f>
        <v/>
      </c>
      <c r="UO20" s="12">
        <f>OR(UO19,IF(VATAgentMode,SUM($UM9:$UM20)-SUM($UT9:$UT20)&gt;=VATThreshold,SUM($UM9:$UM20)&gt;=VATThreshold))</f>
        <v/>
      </c>
      <c r="UP20" s="9">
        <f>IF(UO20,IF(VATAgentMode,UM20-((UM20-UT20)-(UM20-UT20)/(1+VATRate)),UM20/(1+VATRate)),UM20)</f>
        <v/>
      </c>
      <c r="UQ20" s="12">
        <f>UM20-UP20</f>
        <v/>
      </c>
      <c r="UR20" s="12">
        <f>IF(UO20=0,0,IF(TJ20=1,SUMPRODUCT(--(($TK$5:$TK20=$TK20-1)*($TJ$5:$TJ20&gt;=10)*($TJ$5:$TJ20&lt;=12)),$UQ$5:$UQ20),IF(TJ20=4,SUMPRODUCT(--(($TK$5:$TK20=$TK20)*($TJ$5:$TJ20&gt;=1)*($TJ$5:$TJ20&lt;=3)),$UQ$5:$UQ20),IF(TJ20=7,SUMPRODUCT(--(($TK$5:$TK20=$TK20)*($TJ$5:$TJ20&gt;=4)*($TJ$5:$TJ20&lt;=6)),$UQ$5:$UQ20),IF(TJ20=10,SUMPRODUCT(--(($TK$5:$TK20=$TK20)*($TJ$5:$TJ20&gt;=7)*($TJ$5:$TJ20&lt;=9)),$UQ$5:$UQ20),0)))))</f>
        <v/>
      </c>
      <c r="US20" s="12">
        <f>US19+UQ20-UR20</f>
        <v/>
      </c>
      <c r="UT20" s="12">
        <f>IF(ProviderDelay&gt;=1,UA19*BlendedProvPayEss+UB19*BlendedProvPayPrem+UC19*BlendedProvPayElite+UD19*BlendedProvPayEss+UE19*BlendedProvPayPrem+UF19*BlendedProvPayElite,UA20*BlendedProvPayEss+UB20*BlendedProvPayPrem+UC20*BlendedProvPayElite+UD20*BlendedProvPayEss+UE20*BlendedProvPayPrem+UF20*BlendedProvPayElite)</f>
        <v/>
      </c>
      <c r="UU20" s="12">
        <f>UM20*PaymentFee</f>
        <v/>
      </c>
      <c r="UV20" s="12">
        <f>UG20*OpsAI</f>
        <v/>
      </c>
      <c r="UW20" s="12">
        <f>MonthlyFixed</f>
        <v/>
      </c>
      <c r="UX20" s="12">
        <f>TQ20*ReferralReward</f>
        <v/>
      </c>
      <c r="UY20" s="12">
        <f>TO20</f>
        <v/>
      </c>
      <c r="UZ20" s="9">
        <f>UP20-UT20-UU20-UV20-UW20-UX20-UY20</f>
        <v/>
      </c>
      <c r="VA20" s="9">
        <f>VA19+UM20-(UT20+UU20+UV20+UW20+UX20+UY20+UR20)</f>
        <v/>
      </c>
      <c r="VB20" s="12">
        <f>IF(UG20&gt;0,UH20/UG20,0)</f>
        <v/>
      </c>
      <c r="VC20" s="11">
        <f>IF(UG19&gt;0,MAX(0,(UG19+TR20-UG20)/UG19),0)</f>
        <v/>
      </c>
      <c r="VE20" s="12" t="n">
        <v>16</v>
      </c>
      <c r="VF20" s="12">
        <f>MOD(VE20-1+LaunchMonth-1,12)+1</f>
        <v/>
      </c>
      <c r="VG20" s="12">
        <f>INT((VE20-1+LaunchMonth-1)/12)+1</f>
        <v/>
      </c>
      <c r="VH20" s="12">
        <f>VLOOKUP(VF20,SeasonTable,2,FALSE)</f>
        <v/>
      </c>
      <c r="VI20" s="12">
        <f>(1+InflationRate)^INT((VE20-1)/12)</f>
        <v/>
      </c>
      <c r="VJ20" s="11">
        <f>MonthlyChurn*VLOOKUP(VF20,ChurnSeasonTable,4,FALSE)</f>
        <v/>
      </c>
      <c r="VK20" s="12">
        <f>MIN(MAX(MktMin13_18,WI19*MktPct13_18),MAX(0,WW19-CashBuffer))</f>
        <v/>
      </c>
      <c r="VL20" s="12">
        <f>IF(VK20&gt;0,MAX(1,ROUND(VK20/CAC*VH20,0)),0)</f>
        <v/>
      </c>
      <c r="VM20" s="12">
        <f>IF(VL20&gt;0,ROUND(VL20*ReferralMix/(1-ReferralMix),0),0)</f>
        <v/>
      </c>
      <c r="VN20" s="12">
        <f>VL20+VM20</f>
        <v/>
      </c>
      <c r="VO20" s="12">
        <f>ROUND(VN20*(1-'Sens - Annual Mix'!$A$9),0)</f>
        <v/>
      </c>
      <c r="VP20" s="12">
        <f>VN20-VO20</f>
        <v/>
      </c>
      <c r="VQ20" s="12">
        <f>ROUND(VO20*EssentialMix,0)</f>
        <v/>
      </c>
      <c r="VR20" s="12">
        <f>ROUND(VO20*PremiumMix,0)</f>
        <v/>
      </c>
      <c r="VS20" s="12">
        <f>VO20-VQ20-VR20</f>
        <v/>
      </c>
      <c r="VT20" s="12">
        <f>ROUND(VP20*EssentialMix,0)</f>
        <v/>
      </c>
      <c r="VU20" s="12">
        <f>ROUND(VP20*PremiumMix,0)</f>
        <v/>
      </c>
      <c r="VV20" s="12">
        <f>VP20-VT20-VU20</f>
        <v/>
      </c>
      <c r="VW20" s="12">
        <f>VQ20+VQ19+VQ18+MAX(0,VW19-VQ19-VQ18)*(1-VJ20)</f>
        <v/>
      </c>
      <c r="VX20" s="12">
        <f>VR20+VR19+VR18+MAX(0,VX19-VR19-VR18)*(1-VJ20)</f>
        <v/>
      </c>
      <c r="VY20" s="12">
        <f>VS20+VS19+VS18+MAX(0,VY19-VS19-VS18)*(1-VJ20)</f>
        <v/>
      </c>
      <c r="VZ20" s="12">
        <f>VZ19+VT20-VT8*(AnnualChurn*VLOOKUP(VF20,ChurnSeasonTable,4,FALSE))*POWER(1-(AnnualChurn*VLOOKUP(VF20,ChurnSeasonTable,4,FALSE)),0)</f>
        <v/>
      </c>
      <c r="WA20" s="12">
        <f>WA19+VU20-VU8*(AnnualChurn*VLOOKUP(VF20,ChurnSeasonTable,4,FALSE))*POWER(1-(AnnualChurn*VLOOKUP(VF20,ChurnSeasonTable,4,FALSE)),0)</f>
        <v/>
      </c>
      <c r="WB20" s="12">
        <f>WB19+VV20-VV8*(AnnualChurn*VLOOKUP(VF20,ChurnSeasonTable,4,FALSE))*POWER(1-(AnnualChurn*VLOOKUP(VF20,ChurnSeasonTable,4,FALSE)),0)</f>
        <v/>
      </c>
      <c r="WC20" s="12">
        <f>VW20+VX20+VY20+VZ20+WA20+WB20</f>
        <v/>
      </c>
      <c r="WD20" s="9">
        <f>VW20*BlendedPriceEssMonthly*VI20+VX20*BlendedPricePremMonthly*VI20+VY20*BlendedPriceEliteMonthly*VI20+VZ20*BlendedPriceEssAnnual*VI20/12+WA20*BlendedPricePremAnnual*VI20/12+WB20*BlendedPriceEliteAnnual*VI20/12</f>
        <v/>
      </c>
      <c r="WE20" s="9">
        <f>WD20*12</f>
        <v/>
      </c>
      <c r="WF20" s="12">
        <f>VW20*BlendedPriceEssMonthly*VI20+VX20*BlendedPricePremMonthly*VI20+VY20*BlendedPriceEliteMonthly*VI20</f>
        <v/>
      </c>
      <c r="WG20" s="12">
        <f>VT20*BlendedPriceEssAnnual*VI20+VU20*BlendedPricePremAnnual*VI20+VV20*BlendedPriceEliteAnnual*VI20</f>
        <v/>
      </c>
      <c r="WH20" s="12">
        <f>VT8*POWER(1-(AnnualChurn*VLOOKUP(VF20,ChurnSeasonTable,4,FALSE)),1)*BlendedPriceEssAnnual*VI20+VU8*POWER(1-(AnnualChurn*VLOOKUP(VF20,ChurnSeasonTable,4,FALSE)),1)*BlendedPricePremAnnual*VI20+VV8*POWER(1-(AnnualChurn*VLOOKUP(VF20,ChurnSeasonTable,4,FALSE)),1)*BlendedPriceEliteAnnual*VI20</f>
        <v/>
      </c>
      <c r="WI20" s="9">
        <f>WF20+WG20+WH20</f>
        <v/>
      </c>
      <c r="WJ20" s="12">
        <f>SUM(WI9:WI20)</f>
        <v/>
      </c>
      <c r="WK20" s="12">
        <f>OR(WK19,IF(VATAgentMode,SUM($WI9:$WI20)-SUM($WP9:$WP20)&gt;=VATThreshold,SUM($WI9:$WI20)&gt;=VATThreshold))</f>
        <v/>
      </c>
      <c r="WL20" s="9">
        <f>IF(WK20,IF(VATAgentMode,WI20-((WI20-WP20)-(WI20-WP20)/(1+VATRate)),WI20/(1+VATRate)),WI20)</f>
        <v/>
      </c>
      <c r="WM20" s="12">
        <f>WI20-WL20</f>
        <v/>
      </c>
      <c r="WN20" s="12">
        <f>IF(WK20=0,0,IF(VF20=1,SUMPRODUCT(--(($VG$5:$VG20=$VG20-1)*($VF$5:$VF20&gt;=10)*($VF$5:$VF20&lt;=12)),$WM$5:$WM20),IF(VF20=4,SUMPRODUCT(--(($VG$5:$VG20=$VG20)*($VF$5:$VF20&gt;=1)*($VF$5:$VF20&lt;=3)),$WM$5:$WM20),IF(VF20=7,SUMPRODUCT(--(($VG$5:$VG20=$VG20)*($VF$5:$VF20&gt;=4)*($VF$5:$VF20&lt;=6)),$WM$5:$WM20),IF(VF20=10,SUMPRODUCT(--(($VG$5:$VG20=$VG20)*($VF$5:$VF20&gt;=7)*($VF$5:$VF20&lt;=9)),$WM$5:$WM20),0)))))</f>
        <v/>
      </c>
      <c r="WO20" s="12">
        <f>WO19+WM20-WN20</f>
        <v/>
      </c>
      <c r="WP20" s="12">
        <f>IF(ProviderDelay&gt;=1,VW19*BlendedProvPayEss+VX19*BlendedProvPayPrem+VY19*BlendedProvPayElite+VZ19*BlendedProvPayEss+WA19*BlendedProvPayPrem+WB19*BlendedProvPayElite,VW20*BlendedProvPayEss+VX20*BlendedProvPayPrem+VY20*BlendedProvPayElite+VZ20*BlendedProvPayEss+WA20*BlendedProvPayPrem+WB20*BlendedProvPayElite)</f>
        <v/>
      </c>
      <c r="WQ20" s="12">
        <f>WI20*PaymentFee</f>
        <v/>
      </c>
      <c r="WR20" s="12">
        <f>WC20*OpsAI</f>
        <v/>
      </c>
      <c r="WS20" s="12">
        <f>MonthlyFixed</f>
        <v/>
      </c>
      <c r="WT20" s="12">
        <f>VM20*ReferralReward</f>
        <v/>
      </c>
      <c r="WU20" s="12">
        <f>VK20</f>
        <v/>
      </c>
      <c r="WV20" s="9">
        <f>WL20-WP20-WQ20-WR20-WS20-WT20-WU20</f>
        <v/>
      </c>
      <c r="WW20" s="9">
        <f>WW19+WI20-(WP20+WQ20+WR20+WS20+WT20+WU20+WN20)</f>
        <v/>
      </c>
      <c r="WX20" s="12">
        <f>IF(WC20&gt;0,WD20/WC20,0)</f>
        <v/>
      </c>
      <c r="WY20" s="11">
        <f>IF(WC19&gt;0,MAX(0,(WC19+VN20-WC20)/WC19),0)</f>
        <v/>
      </c>
      <c r="XA20" s="12" t="n">
        <v>16</v>
      </c>
      <c r="XB20" s="12">
        <f>MOD(XA20-1+LaunchMonth-1,12)+1</f>
        <v/>
      </c>
      <c r="XC20" s="12">
        <f>INT((XA20-1+LaunchMonth-1)/12)+1</f>
        <v/>
      </c>
      <c r="XD20" s="12">
        <f>VLOOKUP(XB20,SeasonTable,2,FALSE)</f>
        <v/>
      </c>
      <c r="XE20" s="12">
        <f>(1+InflationRate)^INT((XA20-1)/12)</f>
        <v/>
      </c>
      <c r="XF20" s="11">
        <f>MonthlyChurn*VLOOKUP(XB20,ChurnSeasonTable,4,FALSE)</f>
        <v/>
      </c>
      <c r="XG20" s="12">
        <f>MIN(MAX(MktMin13_18,YE19*MktPct13_18),MAX(0,YS19-CashBuffer))</f>
        <v/>
      </c>
      <c r="XH20" s="12">
        <f>IF(XG20&gt;0,MAX(1,ROUND(XG20/CAC*XD20,0)),0)</f>
        <v/>
      </c>
      <c r="XI20" s="12">
        <f>IF(XH20&gt;0,ROUND(XH20*ReferralMix/(1-ReferralMix),0),0)</f>
        <v/>
      </c>
      <c r="XJ20" s="12">
        <f>XH20+XI20</f>
        <v/>
      </c>
      <c r="XK20" s="12">
        <f>ROUND(XJ20*(1-'Sens - Annual Mix'!$A$10),0)</f>
        <v/>
      </c>
      <c r="XL20" s="12">
        <f>XJ20-XK20</f>
        <v/>
      </c>
      <c r="XM20" s="12">
        <f>ROUND(XK20*EssentialMix,0)</f>
        <v/>
      </c>
      <c r="XN20" s="12">
        <f>ROUND(XK20*PremiumMix,0)</f>
        <v/>
      </c>
      <c r="XO20" s="12">
        <f>XK20-XM20-XN20</f>
        <v/>
      </c>
      <c r="XP20" s="12">
        <f>ROUND(XL20*EssentialMix,0)</f>
        <v/>
      </c>
      <c r="XQ20" s="12">
        <f>ROUND(XL20*PremiumMix,0)</f>
        <v/>
      </c>
      <c r="XR20" s="12">
        <f>XL20-XP20-XQ20</f>
        <v/>
      </c>
      <c r="XS20" s="12">
        <f>XM20+XM19+XM18+MAX(0,XS19-XM19-XM18)*(1-XF20)</f>
        <v/>
      </c>
      <c r="XT20" s="12">
        <f>XN20+XN19+XN18+MAX(0,XT19-XN19-XN18)*(1-XF20)</f>
        <v/>
      </c>
      <c r="XU20" s="12">
        <f>XO20+XO19+XO18+MAX(0,XU19-XO19-XO18)*(1-XF20)</f>
        <v/>
      </c>
      <c r="XV20" s="12">
        <f>XV19+XP20-XP8*(AnnualChurn*VLOOKUP(XB20,ChurnSeasonTable,4,FALSE))*POWER(1-(AnnualChurn*VLOOKUP(XB20,ChurnSeasonTable,4,FALSE)),0)</f>
        <v/>
      </c>
      <c r="XW20" s="12">
        <f>XW19+XQ20-XQ8*(AnnualChurn*VLOOKUP(XB20,ChurnSeasonTable,4,FALSE))*POWER(1-(AnnualChurn*VLOOKUP(XB20,ChurnSeasonTable,4,FALSE)),0)</f>
        <v/>
      </c>
      <c r="XX20" s="12">
        <f>XX19+XR20-XR8*(AnnualChurn*VLOOKUP(XB20,ChurnSeasonTable,4,FALSE))*POWER(1-(AnnualChurn*VLOOKUP(XB20,ChurnSeasonTable,4,FALSE)),0)</f>
        <v/>
      </c>
      <c r="XY20" s="12">
        <f>XS20+XT20+XU20+XV20+XW20+XX20</f>
        <v/>
      </c>
      <c r="XZ20" s="9">
        <f>XS20*BlendedPriceEssMonthly*XE20+XT20*BlendedPricePremMonthly*XE20+XU20*BlendedPriceEliteMonthly*XE20+XV20*BlendedPriceEssAnnual*XE20/12+XW20*BlendedPricePremAnnual*XE20/12+XX20*BlendedPriceEliteAnnual*XE20/12</f>
        <v/>
      </c>
      <c r="YA20" s="9">
        <f>XZ20*12</f>
        <v/>
      </c>
      <c r="YB20" s="12">
        <f>XS20*BlendedPriceEssMonthly*XE20+XT20*BlendedPricePremMonthly*XE20+XU20*BlendedPriceEliteMonthly*XE20</f>
        <v/>
      </c>
      <c r="YC20" s="12">
        <f>XP20*BlendedPriceEssAnnual*XE20+XQ20*BlendedPricePremAnnual*XE20+XR20*BlendedPriceEliteAnnual*XE20</f>
        <v/>
      </c>
      <c r="YD20" s="12">
        <f>XP8*POWER(1-(AnnualChurn*VLOOKUP(XB20,ChurnSeasonTable,4,FALSE)),1)*BlendedPriceEssAnnual*XE20+XQ8*POWER(1-(AnnualChurn*VLOOKUP(XB20,ChurnSeasonTable,4,FALSE)),1)*BlendedPricePremAnnual*XE20+XR8*POWER(1-(AnnualChurn*VLOOKUP(XB20,ChurnSeasonTable,4,FALSE)),1)*BlendedPriceEliteAnnual*XE20</f>
        <v/>
      </c>
      <c r="YE20" s="9">
        <f>YB20+YC20+YD20</f>
        <v/>
      </c>
      <c r="YF20" s="12">
        <f>SUM(YE9:YE20)</f>
        <v/>
      </c>
      <c r="YG20" s="12">
        <f>OR(YG19,IF(VATAgentMode,SUM($YE9:$YE20)-SUM($YL9:$YL20)&gt;=VATThreshold,SUM($YE9:$YE20)&gt;=VATThreshold))</f>
        <v/>
      </c>
      <c r="YH20" s="9">
        <f>IF(YG20,IF(VATAgentMode,YE20-((YE20-YL20)-(YE20-YL20)/(1+VATRate)),YE20/(1+VATRate)),YE20)</f>
        <v/>
      </c>
      <c r="YI20" s="12">
        <f>YE20-YH20</f>
        <v/>
      </c>
      <c r="YJ20" s="12">
        <f>IF(YG20=0,0,IF(XB20=1,SUMPRODUCT(--(($XC$5:$XC20=$XC20-1)*($XB$5:$XB20&gt;=10)*($XB$5:$XB20&lt;=12)),$YI$5:$YI20),IF(XB20=4,SUMPRODUCT(--(($XC$5:$XC20=$XC20)*($XB$5:$XB20&gt;=1)*($XB$5:$XB20&lt;=3)),$YI$5:$YI20),IF(XB20=7,SUMPRODUCT(--(($XC$5:$XC20=$XC20)*($XB$5:$XB20&gt;=4)*($XB$5:$XB20&lt;=6)),$YI$5:$YI20),IF(XB20=10,SUMPRODUCT(--(($XC$5:$XC20=$XC20)*($XB$5:$XB20&gt;=7)*($XB$5:$XB20&lt;=9)),$YI$5:$YI20),0)))))</f>
        <v/>
      </c>
      <c r="YK20" s="12">
        <f>YK19+YI20-YJ20</f>
        <v/>
      </c>
      <c r="YL20" s="12">
        <f>IF(ProviderDelay&gt;=1,XS19*BlendedProvPayEss+XT19*BlendedProvPayPrem+XU19*BlendedProvPayElite+XV19*BlendedProvPayEss+XW19*BlendedProvPayPrem+XX19*BlendedProvPayElite,XS20*BlendedProvPayEss+XT20*BlendedProvPayPrem+XU20*BlendedProvPayElite+XV20*BlendedProvPayEss+XW20*BlendedProvPayPrem+XX20*BlendedProvPayElite)</f>
        <v/>
      </c>
      <c r="YM20" s="12">
        <f>YE20*PaymentFee</f>
        <v/>
      </c>
      <c r="YN20" s="12">
        <f>XY20*OpsAI</f>
        <v/>
      </c>
      <c r="YO20" s="12">
        <f>MonthlyFixed</f>
        <v/>
      </c>
      <c r="YP20" s="12">
        <f>XI20*ReferralReward</f>
        <v/>
      </c>
      <c r="YQ20" s="12">
        <f>XG20</f>
        <v/>
      </c>
      <c r="YR20" s="9">
        <f>YH20-YL20-YM20-YN20-YO20-YP20-YQ20</f>
        <v/>
      </c>
      <c r="YS20" s="9">
        <f>YS19+YE20-(YL20+YM20+YN20+YO20+YP20+YQ20+YJ20)</f>
        <v/>
      </c>
      <c r="YT20" s="12">
        <f>IF(XY20&gt;0,XZ20/XY20,0)</f>
        <v/>
      </c>
      <c r="YU20" s="11">
        <f>IF(XY19&gt;0,MAX(0,(XY19+XJ20-XY20)/XY19),0)</f>
        <v/>
      </c>
      <c r="YW20" s="12" t="n">
        <v>16</v>
      </c>
      <c r="YX20" s="12">
        <f>MOD(YW20-1+LaunchMonth-1,12)+1</f>
        <v/>
      </c>
      <c r="YY20" s="12">
        <f>INT((YW20-1+LaunchMonth-1)/12)+1</f>
        <v/>
      </c>
      <c r="YZ20" s="12">
        <f>VLOOKUP(YX20,SeasonTable,2,FALSE)</f>
        <v/>
      </c>
      <c r="ZA20" s="12">
        <f>(1+InflationRate)^INT((YW20-1)/12)</f>
        <v/>
      </c>
      <c r="ZB20" s="11">
        <f>MonthlyChurn*VLOOKUP(YX20,ChurnSeasonTable,4,FALSE)</f>
        <v/>
      </c>
      <c r="ZC20" s="12">
        <f>MIN(MAX(MktMin13_18,AAA19*MktPct13_18),MAX(0,AAO19-CashBuffer))</f>
        <v/>
      </c>
      <c r="ZD20" s="12">
        <f>IF(ZC20&gt;0,MAX(1,ROUND(ZC20/CAC*YZ20,0)),0)</f>
        <v/>
      </c>
      <c r="ZE20" s="12">
        <f>IF(ZD20&gt;0,ROUND(ZD20*ReferralMix/(1-ReferralMix),0),0)</f>
        <v/>
      </c>
      <c r="ZF20" s="12">
        <f>ZD20+ZE20</f>
        <v/>
      </c>
      <c r="ZG20" s="12">
        <f>ROUND(ZF20*(1-'Sens - Annual Mix'!$A$11),0)</f>
        <v/>
      </c>
      <c r="ZH20" s="12">
        <f>ZF20-ZG20</f>
        <v/>
      </c>
      <c r="ZI20" s="12">
        <f>ROUND(ZG20*EssentialMix,0)</f>
        <v/>
      </c>
      <c r="ZJ20" s="12">
        <f>ROUND(ZG20*PremiumMix,0)</f>
        <v/>
      </c>
      <c r="ZK20" s="12">
        <f>ZG20-ZI20-ZJ20</f>
        <v/>
      </c>
      <c r="ZL20" s="12">
        <f>ROUND(ZH20*EssentialMix,0)</f>
        <v/>
      </c>
      <c r="ZM20" s="12">
        <f>ROUND(ZH20*PremiumMix,0)</f>
        <v/>
      </c>
      <c r="ZN20" s="12">
        <f>ZH20-ZL20-ZM20</f>
        <v/>
      </c>
      <c r="ZO20" s="12">
        <f>ZI20+ZI19+ZI18+MAX(0,ZO19-ZI19-ZI18)*(1-ZB20)</f>
        <v/>
      </c>
      <c r="ZP20" s="12">
        <f>ZJ20+ZJ19+ZJ18+MAX(0,ZP19-ZJ19-ZJ18)*(1-ZB20)</f>
        <v/>
      </c>
      <c r="ZQ20" s="12">
        <f>ZK20+ZK19+ZK18+MAX(0,ZQ19-ZK19-ZK18)*(1-ZB20)</f>
        <v/>
      </c>
      <c r="ZR20" s="12">
        <f>ZR19+ZL20-ZL8*(AnnualChurn*VLOOKUP(YX20,ChurnSeasonTable,4,FALSE))*POWER(1-(AnnualChurn*VLOOKUP(YX20,ChurnSeasonTable,4,FALSE)),0)</f>
        <v/>
      </c>
      <c r="ZS20" s="12">
        <f>ZS19+ZM20-ZM8*(AnnualChurn*VLOOKUP(YX20,ChurnSeasonTable,4,FALSE))*POWER(1-(AnnualChurn*VLOOKUP(YX20,ChurnSeasonTable,4,FALSE)),0)</f>
        <v/>
      </c>
      <c r="ZT20" s="12">
        <f>ZT19+ZN20-ZN8*(AnnualChurn*VLOOKUP(YX20,ChurnSeasonTable,4,FALSE))*POWER(1-(AnnualChurn*VLOOKUP(YX20,ChurnSeasonTable,4,FALSE)),0)</f>
        <v/>
      </c>
      <c r="ZU20" s="12">
        <f>ZO20+ZP20+ZQ20+ZR20+ZS20+ZT20</f>
        <v/>
      </c>
      <c r="ZV20" s="9">
        <f>ZO20*BlendedPriceEssMonthly*ZA20+ZP20*BlendedPricePremMonthly*ZA20+ZQ20*BlendedPriceEliteMonthly*ZA20+ZR20*BlendedPriceEssAnnual*ZA20/12+ZS20*BlendedPricePremAnnual*ZA20/12+ZT20*BlendedPriceEliteAnnual*ZA20/12</f>
        <v/>
      </c>
      <c r="ZW20" s="9">
        <f>ZV20*12</f>
        <v/>
      </c>
      <c r="ZX20" s="12">
        <f>ZO20*BlendedPriceEssMonthly*ZA20+ZP20*BlendedPricePremMonthly*ZA20+ZQ20*BlendedPriceEliteMonthly*ZA20</f>
        <v/>
      </c>
      <c r="ZY20" s="12">
        <f>ZL20*BlendedPriceEssAnnual*ZA20+ZM20*BlendedPricePremAnnual*ZA20+ZN20*BlendedPriceEliteAnnual*ZA20</f>
        <v/>
      </c>
      <c r="ZZ20" s="12">
        <f>ZL8*POWER(1-(AnnualChurn*VLOOKUP(YX20,ChurnSeasonTable,4,FALSE)),1)*BlendedPriceEssAnnual*ZA20+ZM8*POWER(1-(AnnualChurn*VLOOKUP(YX20,ChurnSeasonTable,4,FALSE)),1)*BlendedPricePremAnnual*ZA20+ZN8*POWER(1-(AnnualChurn*VLOOKUP(YX20,ChurnSeasonTable,4,FALSE)),1)*BlendedPriceEliteAnnual*ZA20</f>
        <v/>
      </c>
      <c r="AAA20" s="9">
        <f>ZX20+ZY20+ZZ20</f>
        <v/>
      </c>
      <c r="AAB20" s="12">
        <f>SUM(AAA9:AAA20)</f>
        <v/>
      </c>
      <c r="AAC20" s="12">
        <f>OR(AAC19,IF(VATAgentMode,SUM($AAA9:$AAA20)-SUM($AAH9:$AAH20)&gt;=VATThreshold,SUM($AAA9:$AAA20)&gt;=VATThreshold))</f>
        <v/>
      </c>
      <c r="AAD20" s="9">
        <f>IF(AAC20,IF(VATAgentMode,AAA20-((AAA20-AAH20)-(AAA20-AAH20)/(1+VATRate)),AAA20/(1+VATRate)),AAA20)</f>
        <v/>
      </c>
      <c r="AAE20" s="12">
        <f>AAA20-AAD20</f>
        <v/>
      </c>
      <c r="AAF20" s="12">
        <f>IF(AAC20=0,0,IF(YX20=1,SUMPRODUCT(--(($YY$5:$YY20=$YY20-1)*($YX$5:$YX20&gt;=10)*($YX$5:$YX20&lt;=12)),$AAE$5:$AAE20),IF(YX20=4,SUMPRODUCT(--(($YY$5:$YY20=$YY20)*($YX$5:$YX20&gt;=1)*($YX$5:$YX20&lt;=3)),$AAE$5:$AAE20),IF(YX20=7,SUMPRODUCT(--(($YY$5:$YY20=$YY20)*($YX$5:$YX20&gt;=4)*($YX$5:$YX20&lt;=6)),$AAE$5:$AAE20),IF(YX20=10,SUMPRODUCT(--(($YY$5:$YY20=$YY20)*($YX$5:$YX20&gt;=7)*($YX$5:$YX20&lt;=9)),$AAE$5:$AAE20),0)))))</f>
        <v/>
      </c>
      <c r="AAG20" s="12">
        <f>AAG19+AAE20-AAF20</f>
        <v/>
      </c>
      <c r="AAH20" s="12">
        <f>IF(ProviderDelay&gt;=1,ZO19*BlendedProvPayEss+ZP19*BlendedProvPayPrem+ZQ19*BlendedProvPayElite+ZR19*BlendedProvPayEss+ZS19*BlendedProvPayPrem+ZT19*BlendedProvPayElite,ZO20*BlendedProvPayEss+ZP20*BlendedProvPayPrem+ZQ20*BlendedProvPayElite+ZR20*BlendedProvPayEss+ZS20*BlendedProvPayPrem+ZT20*BlendedProvPayElite)</f>
        <v/>
      </c>
      <c r="AAI20" s="12">
        <f>AAA20*PaymentFee</f>
        <v/>
      </c>
      <c r="AAJ20" s="12">
        <f>ZU20*OpsAI</f>
        <v/>
      </c>
      <c r="AAK20" s="12">
        <f>MonthlyFixed</f>
        <v/>
      </c>
      <c r="AAL20" s="12">
        <f>ZE20*ReferralReward</f>
        <v/>
      </c>
      <c r="AAM20" s="12">
        <f>ZC20</f>
        <v/>
      </c>
      <c r="AAN20" s="9">
        <f>AAD20-AAH20-AAI20-AAJ20-AAK20-AAL20-AAM20</f>
        <v/>
      </c>
      <c r="AAO20" s="9">
        <f>AAO19+AAA20-(AAH20+AAI20+AAJ20+AAK20+AAL20+AAM20+AAF20)</f>
        <v/>
      </c>
      <c r="AAP20" s="12">
        <f>IF(ZU20&gt;0,ZV20/ZU20,0)</f>
        <v/>
      </c>
      <c r="AAQ20" s="11">
        <f>IF(ZU19&gt;0,MAX(0,(ZU19+ZF20-ZU20)/ZU19),0)</f>
        <v/>
      </c>
      <c r="AAS20" s="12" t="n">
        <v>16</v>
      </c>
      <c r="AAT20" s="12">
        <f>MOD(AAS20-1+LaunchMonth-1,12)+1</f>
        <v/>
      </c>
      <c r="AAU20" s="12">
        <f>INT((AAS20-1+LaunchMonth-1)/12)+1</f>
        <v/>
      </c>
      <c r="AAV20" s="12">
        <f>VLOOKUP(AAT20,SeasonTable,2,FALSE)</f>
        <v/>
      </c>
      <c r="AAW20" s="12">
        <f>(1+InflationRate)^INT((AAS20-1)/12)</f>
        <v/>
      </c>
      <c r="AAX20" s="11">
        <f>MonthlyChurn*VLOOKUP(AAT20,ChurnSeasonTable,4,FALSE)</f>
        <v/>
      </c>
      <c r="AAY20" s="12">
        <f>MIN(MAX(MktMin13_18,ABW19*MktPct13_18),MAX(0,ACK19-CashBuffer))</f>
        <v/>
      </c>
      <c r="AAZ20" s="12">
        <f>IF(AAY20&gt;0,MAX(1,ROUND(AAY20/CAC*AAV20,0)),0)</f>
        <v/>
      </c>
      <c r="ABA20" s="12">
        <f>IF(AAZ20&gt;0,ROUND(AAZ20*ReferralMix/(1-ReferralMix),0),0)</f>
        <v/>
      </c>
      <c r="ABB20" s="12">
        <f>AAZ20+ABA20</f>
        <v/>
      </c>
      <c r="ABC20" s="12">
        <f>ROUND(ABB20*(1-'Sens - Annual Mix'!$A$12),0)</f>
        <v/>
      </c>
      <c r="ABD20" s="12">
        <f>ABB20-ABC20</f>
        <v/>
      </c>
      <c r="ABE20" s="12">
        <f>ROUND(ABC20*EssentialMix,0)</f>
        <v/>
      </c>
      <c r="ABF20" s="12">
        <f>ROUND(ABC20*PremiumMix,0)</f>
        <v/>
      </c>
      <c r="ABG20" s="12">
        <f>ABC20-ABE20-ABF20</f>
        <v/>
      </c>
      <c r="ABH20" s="12">
        <f>ROUND(ABD20*EssentialMix,0)</f>
        <v/>
      </c>
      <c r="ABI20" s="12">
        <f>ROUND(ABD20*PremiumMix,0)</f>
        <v/>
      </c>
      <c r="ABJ20" s="12">
        <f>ABD20-ABH20-ABI20</f>
        <v/>
      </c>
      <c r="ABK20" s="12">
        <f>ABE20+ABE19+ABE18+MAX(0,ABK19-ABE19-ABE18)*(1-AAX20)</f>
        <v/>
      </c>
      <c r="ABL20" s="12">
        <f>ABF20+ABF19+ABF18+MAX(0,ABL19-ABF19-ABF18)*(1-AAX20)</f>
        <v/>
      </c>
      <c r="ABM20" s="12">
        <f>ABG20+ABG19+ABG18+MAX(0,ABM19-ABG19-ABG18)*(1-AAX20)</f>
        <v/>
      </c>
      <c r="ABN20" s="12">
        <f>ABN19+ABH20-ABH8*(AnnualChurn*VLOOKUP(AAT20,ChurnSeasonTable,4,FALSE))*POWER(1-(AnnualChurn*VLOOKUP(AAT20,ChurnSeasonTable,4,FALSE)),0)</f>
        <v/>
      </c>
      <c r="ABO20" s="12">
        <f>ABO19+ABI20-ABI8*(AnnualChurn*VLOOKUP(AAT20,ChurnSeasonTable,4,FALSE))*POWER(1-(AnnualChurn*VLOOKUP(AAT20,ChurnSeasonTable,4,FALSE)),0)</f>
        <v/>
      </c>
      <c r="ABP20" s="12">
        <f>ABP19+ABJ20-ABJ8*(AnnualChurn*VLOOKUP(AAT20,ChurnSeasonTable,4,FALSE))*POWER(1-(AnnualChurn*VLOOKUP(AAT20,ChurnSeasonTable,4,FALSE)),0)</f>
        <v/>
      </c>
      <c r="ABQ20" s="12">
        <f>ABK20+ABL20+ABM20+ABN20+ABO20+ABP20</f>
        <v/>
      </c>
      <c r="ABR20" s="9">
        <f>ABK20*BlendedPriceEssMonthly*AAW20+ABL20*BlendedPricePremMonthly*AAW20+ABM20*BlendedPriceEliteMonthly*AAW20+ABN20*BlendedPriceEssAnnual*AAW20/12+ABO20*BlendedPricePremAnnual*AAW20/12+ABP20*BlendedPriceEliteAnnual*AAW20/12</f>
        <v/>
      </c>
      <c r="ABS20" s="9">
        <f>ABR20*12</f>
        <v/>
      </c>
      <c r="ABT20" s="12">
        <f>ABK20*BlendedPriceEssMonthly*AAW20+ABL20*BlendedPricePremMonthly*AAW20+ABM20*BlendedPriceEliteMonthly*AAW20</f>
        <v/>
      </c>
      <c r="ABU20" s="12">
        <f>ABH20*BlendedPriceEssAnnual*AAW20+ABI20*BlendedPricePremAnnual*AAW20+ABJ20*BlendedPriceEliteAnnual*AAW20</f>
        <v/>
      </c>
      <c r="ABV20" s="12">
        <f>ABH8*POWER(1-(AnnualChurn*VLOOKUP(AAT20,ChurnSeasonTable,4,FALSE)),1)*BlendedPriceEssAnnual*AAW20+ABI8*POWER(1-(AnnualChurn*VLOOKUP(AAT20,ChurnSeasonTable,4,FALSE)),1)*BlendedPricePremAnnual*AAW20+ABJ8*POWER(1-(AnnualChurn*VLOOKUP(AAT20,ChurnSeasonTable,4,FALSE)),1)*BlendedPriceEliteAnnual*AAW20</f>
        <v/>
      </c>
      <c r="ABW20" s="9">
        <f>ABT20+ABU20+ABV20</f>
        <v/>
      </c>
      <c r="ABX20" s="12">
        <f>SUM(ABW9:ABW20)</f>
        <v/>
      </c>
      <c r="ABY20" s="12">
        <f>OR(ABY19,IF(VATAgentMode,SUM($ABW9:$ABW20)-SUM($ACD9:$ACD20)&gt;=VATThreshold,SUM($ABW9:$ABW20)&gt;=VATThreshold))</f>
        <v/>
      </c>
      <c r="ABZ20" s="9">
        <f>IF(ABY20,IF(VATAgentMode,ABW20-((ABW20-ACD20)-(ABW20-ACD20)/(1+VATRate)),ABW20/(1+VATRate)),ABW20)</f>
        <v/>
      </c>
      <c r="ACA20" s="12">
        <f>ABW20-ABZ20</f>
        <v/>
      </c>
      <c r="ACB20" s="12">
        <f>IF(ABY20=0,0,IF(AAT20=1,SUMPRODUCT(--(($AAU$5:$AAU20=$AAU20-1)*($AAT$5:$AAT20&gt;=10)*($AAT$5:$AAT20&lt;=12)),$ACA$5:$ACA20),IF(AAT20=4,SUMPRODUCT(--(($AAU$5:$AAU20=$AAU20)*($AAT$5:$AAT20&gt;=1)*($AAT$5:$AAT20&lt;=3)),$ACA$5:$ACA20),IF(AAT20=7,SUMPRODUCT(--(($AAU$5:$AAU20=$AAU20)*($AAT$5:$AAT20&gt;=4)*($AAT$5:$AAT20&lt;=6)),$ACA$5:$ACA20),IF(AAT20=10,SUMPRODUCT(--(($AAU$5:$AAU20=$AAU20)*($AAT$5:$AAT20&gt;=7)*($AAT$5:$AAT20&lt;=9)),$ACA$5:$ACA20),0)))))</f>
        <v/>
      </c>
      <c r="ACC20" s="12">
        <f>ACC19+ACA20-ACB20</f>
        <v/>
      </c>
      <c r="ACD20" s="12">
        <f>IF(ProviderDelay&gt;=1,ABK19*BlendedProvPayEss+ABL19*BlendedProvPayPrem+ABM19*BlendedProvPayElite+ABN19*BlendedProvPayEss+ABO19*BlendedProvPayPrem+ABP19*BlendedProvPayElite,ABK20*BlendedProvPayEss+ABL20*BlendedProvPayPrem+ABM20*BlendedProvPayElite+ABN20*BlendedProvPayEss+ABO20*BlendedProvPayPrem+ABP20*BlendedProvPayElite)</f>
        <v/>
      </c>
      <c r="ACE20" s="12">
        <f>ABW20*PaymentFee</f>
        <v/>
      </c>
      <c r="ACF20" s="12">
        <f>ABQ20*OpsAI</f>
        <v/>
      </c>
      <c r="ACG20" s="12">
        <f>MonthlyFixed</f>
        <v/>
      </c>
      <c r="ACH20" s="12">
        <f>ABA20*ReferralReward</f>
        <v/>
      </c>
      <c r="ACI20" s="12">
        <f>AAY20</f>
        <v/>
      </c>
      <c r="ACJ20" s="9">
        <f>ABZ20-ACD20-ACE20-ACF20-ACG20-ACH20-ACI20</f>
        <v/>
      </c>
      <c r="ACK20" s="9">
        <f>ACK19+ABW20-(ACD20+ACE20+ACF20+ACG20+ACH20+ACI20+ACB20)</f>
        <v/>
      </c>
      <c r="ACL20" s="12">
        <f>IF(ABQ20&gt;0,ABR20/ABQ20,0)</f>
        <v/>
      </c>
      <c r="ACM20" s="11">
        <f>IF(ABQ19&gt;0,MAX(0,(ABQ19+ABB20-ABQ20)/ABQ19),0)</f>
        <v/>
      </c>
      <c r="ACO20" s="12" t="n">
        <v>16</v>
      </c>
      <c r="ACP20" s="12">
        <f>MOD(ACO20-1+LaunchMonth-1,12)+1</f>
        <v/>
      </c>
      <c r="ACQ20" s="12">
        <f>INT((ACO20-1+LaunchMonth-1)/12)+1</f>
        <v/>
      </c>
      <c r="ACR20" s="12">
        <f>VLOOKUP(ACP20,SeasonTable,2,FALSE)</f>
        <v/>
      </c>
      <c r="ACS20" s="12">
        <f>(1+InflationRate)^INT((ACO20-1)/12)</f>
        <v/>
      </c>
      <c r="ACT20" s="11">
        <f>MonthlyChurn*VLOOKUP(ACP20,ChurnSeasonTable,4,FALSE)</f>
        <v/>
      </c>
      <c r="ACU20" s="12">
        <f>MIN(MAX(MktMin13_18,ADS19*MktPct13_18),MAX(0,AEG19-CashBuffer))</f>
        <v/>
      </c>
      <c r="ACV20" s="12">
        <f>IF(ACU20&gt;0,MAX(1,ROUND(ACU20/CAC*ACR20,0)),0)</f>
        <v/>
      </c>
      <c r="ACW20" s="12">
        <f>IF(ACV20&gt;0,ROUND(ACV20*ReferralMix/(1-ReferralMix),0),0)</f>
        <v/>
      </c>
      <c r="ACX20" s="12">
        <f>ACV20+ACW20</f>
        <v/>
      </c>
      <c r="ACY20" s="12">
        <f>ROUND(ACX20*(1-'Sens - Annual Mix'!$A$13),0)</f>
        <v/>
      </c>
      <c r="ACZ20" s="12">
        <f>ACX20-ACY20</f>
        <v/>
      </c>
      <c r="ADA20" s="12">
        <f>ROUND(ACY20*EssentialMix,0)</f>
        <v/>
      </c>
      <c r="ADB20" s="12">
        <f>ROUND(ACY20*PremiumMix,0)</f>
        <v/>
      </c>
      <c r="ADC20" s="12">
        <f>ACY20-ADA20-ADB20</f>
        <v/>
      </c>
      <c r="ADD20" s="12">
        <f>ROUND(ACZ20*EssentialMix,0)</f>
        <v/>
      </c>
      <c r="ADE20" s="12">
        <f>ROUND(ACZ20*PremiumMix,0)</f>
        <v/>
      </c>
      <c r="ADF20" s="12">
        <f>ACZ20-ADD20-ADE20</f>
        <v/>
      </c>
      <c r="ADG20" s="12">
        <f>ADA20+ADA19+ADA18+MAX(0,ADG19-ADA19-ADA18)*(1-ACT20)</f>
        <v/>
      </c>
      <c r="ADH20" s="12">
        <f>ADB20+ADB19+ADB18+MAX(0,ADH19-ADB19-ADB18)*(1-ACT20)</f>
        <v/>
      </c>
      <c r="ADI20" s="12">
        <f>ADC20+ADC19+ADC18+MAX(0,ADI19-ADC19-ADC18)*(1-ACT20)</f>
        <v/>
      </c>
      <c r="ADJ20" s="12">
        <f>ADJ19+ADD20-ADD8*(AnnualChurn*VLOOKUP(ACP20,ChurnSeasonTable,4,FALSE))*POWER(1-(AnnualChurn*VLOOKUP(ACP20,ChurnSeasonTable,4,FALSE)),0)</f>
        <v/>
      </c>
      <c r="ADK20" s="12">
        <f>ADK19+ADE20-ADE8*(AnnualChurn*VLOOKUP(ACP20,ChurnSeasonTable,4,FALSE))*POWER(1-(AnnualChurn*VLOOKUP(ACP20,ChurnSeasonTable,4,FALSE)),0)</f>
        <v/>
      </c>
      <c r="ADL20" s="12">
        <f>ADL19+ADF20-ADF8*(AnnualChurn*VLOOKUP(ACP20,ChurnSeasonTable,4,FALSE))*POWER(1-(AnnualChurn*VLOOKUP(ACP20,ChurnSeasonTable,4,FALSE)),0)</f>
        <v/>
      </c>
      <c r="ADM20" s="12">
        <f>ADG20+ADH20+ADI20+ADJ20+ADK20+ADL20</f>
        <v/>
      </c>
      <c r="ADN20" s="9">
        <f>ADG20*BlendedPriceEssMonthly*ACS20+ADH20*BlendedPricePremMonthly*ACS20+ADI20*BlendedPriceEliteMonthly*ACS20+ADJ20*BlendedPriceEssAnnual*ACS20/12+ADK20*BlendedPricePremAnnual*ACS20/12+ADL20*BlendedPriceEliteAnnual*ACS20/12</f>
        <v/>
      </c>
      <c r="ADO20" s="9">
        <f>ADN20*12</f>
        <v/>
      </c>
      <c r="ADP20" s="12">
        <f>ADG20*BlendedPriceEssMonthly*ACS20+ADH20*BlendedPricePremMonthly*ACS20+ADI20*BlendedPriceEliteMonthly*ACS20</f>
        <v/>
      </c>
      <c r="ADQ20" s="12">
        <f>ADD20*BlendedPriceEssAnnual*ACS20+ADE20*BlendedPricePremAnnual*ACS20+ADF20*BlendedPriceEliteAnnual*ACS20</f>
        <v/>
      </c>
      <c r="ADR20" s="12">
        <f>ADD8*POWER(1-(AnnualChurn*VLOOKUP(ACP20,ChurnSeasonTable,4,FALSE)),1)*BlendedPriceEssAnnual*ACS20+ADE8*POWER(1-(AnnualChurn*VLOOKUP(ACP20,ChurnSeasonTable,4,FALSE)),1)*BlendedPricePremAnnual*ACS20+ADF8*POWER(1-(AnnualChurn*VLOOKUP(ACP20,ChurnSeasonTable,4,FALSE)),1)*BlendedPriceEliteAnnual*ACS20</f>
        <v/>
      </c>
      <c r="ADS20" s="9">
        <f>ADP20+ADQ20+ADR20</f>
        <v/>
      </c>
      <c r="ADT20" s="12">
        <f>SUM(ADS9:ADS20)</f>
        <v/>
      </c>
      <c r="ADU20" s="12">
        <f>OR(ADU19,IF(VATAgentMode,SUM($ADS9:$ADS20)-SUM($ADZ9:$ADZ20)&gt;=VATThreshold,SUM($ADS9:$ADS20)&gt;=VATThreshold))</f>
        <v/>
      </c>
      <c r="ADV20" s="9">
        <f>IF(ADU20,IF(VATAgentMode,ADS20-((ADS20-ADZ20)-(ADS20-ADZ20)/(1+VATRate)),ADS20/(1+VATRate)),ADS20)</f>
        <v/>
      </c>
      <c r="ADW20" s="12">
        <f>ADS20-ADV20</f>
        <v/>
      </c>
      <c r="ADX20" s="12">
        <f>IF(ADU20=0,0,IF(ACP20=1,SUMPRODUCT(--(($ACQ$5:$ACQ20=$ACQ20-1)*($ACP$5:$ACP20&gt;=10)*($ACP$5:$ACP20&lt;=12)),$ADW$5:$ADW20),IF(ACP20=4,SUMPRODUCT(--(($ACQ$5:$ACQ20=$ACQ20)*($ACP$5:$ACP20&gt;=1)*($ACP$5:$ACP20&lt;=3)),$ADW$5:$ADW20),IF(ACP20=7,SUMPRODUCT(--(($ACQ$5:$ACQ20=$ACQ20)*($ACP$5:$ACP20&gt;=4)*($ACP$5:$ACP20&lt;=6)),$ADW$5:$ADW20),IF(ACP20=10,SUMPRODUCT(--(($ACQ$5:$ACQ20=$ACQ20)*($ACP$5:$ACP20&gt;=7)*($ACP$5:$ACP20&lt;=9)),$ADW$5:$ADW20),0)))))</f>
        <v/>
      </c>
      <c r="ADY20" s="12">
        <f>ADY19+ADW20-ADX20</f>
        <v/>
      </c>
      <c r="ADZ20" s="12">
        <f>IF(ProviderDelay&gt;=1,ADG19*BlendedProvPayEss+ADH19*BlendedProvPayPrem+ADI19*BlendedProvPayElite+ADJ19*BlendedProvPayEss+ADK19*BlendedProvPayPrem+ADL19*BlendedProvPayElite,ADG20*BlendedProvPayEss+ADH20*BlendedProvPayPrem+ADI20*BlendedProvPayElite+ADJ20*BlendedProvPayEss+ADK20*BlendedProvPayPrem+ADL20*BlendedProvPayElite)</f>
        <v/>
      </c>
      <c r="AEA20" s="12">
        <f>ADS20*PaymentFee</f>
        <v/>
      </c>
      <c r="AEB20" s="12">
        <f>ADM20*OpsAI</f>
        <v/>
      </c>
      <c r="AEC20" s="12">
        <f>MonthlyFixed</f>
        <v/>
      </c>
      <c r="AED20" s="12">
        <f>ACW20*ReferralReward</f>
        <v/>
      </c>
      <c r="AEE20" s="12">
        <f>ACU20</f>
        <v/>
      </c>
      <c r="AEF20" s="9">
        <f>ADV20-ADZ20-AEA20-AEB20-AEC20-AED20-AEE20</f>
        <v/>
      </c>
      <c r="AEG20" s="9">
        <f>AEG19+ADS20-(ADZ20+AEA20+AEB20+AEC20+AED20+AEE20+ADX20)</f>
        <v/>
      </c>
      <c r="AEH20" s="12">
        <f>IF(ADM20&gt;0,ADN20/ADM20,0)</f>
        <v/>
      </c>
      <c r="AEI20" s="11">
        <f>IF(ADM19&gt;0,MAX(0,(ADM19+ACX20-ADM20)/ADM19),0)</f>
        <v/>
      </c>
      <c r="AEK20" s="12" t="n">
        <v>16</v>
      </c>
      <c r="AEL20" s="12">
        <f>MOD(AEK20-1+LaunchMonth-1,12)+1</f>
        <v/>
      </c>
      <c r="AEM20" s="12">
        <f>INT((AEK20-1+LaunchMonth-1)/12)+1</f>
        <v/>
      </c>
      <c r="AEN20" s="12">
        <f>VLOOKUP(AEL20,SeasonTable,2,FALSE)</f>
        <v/>
      </c>
      <c r="AEO20" s="12">
        <f>(1+InflationRate)^INT((AEK20-1)/12)</f>
        <v/>
      </c>
      <c r="AEP20" s="11">
        <f>MonthlyChurn*VLOOKUP(AEL20,ChurnSeasonTable,4,FALSE)</f>
        <v/>
      </c>
      <c r="AEQ20" s="12">
        <f>MIN(MAX(MktMin13_18,AFO19*MktPct13_18),MAX(0,AGC19-CashBuffer))</f>
        <v/>
      </c>
      <c r="AER20" s="12">
        <f>IF(AEQ20&gt;0,MAX(1,ROUND(AEQ20/CAC*AEN20,0)),0)</f>
        <v/>
      </c>
      <c r="AES20" s="12">
        <f>IF(AER20&gt;0,ROUND(AER20*ReferralMix/(1-ReferralMix),0),0)</f>
        <v/>
      </c>
      <c r="AET20" s="12">
        <f>AER20+AES20</f>
        <v/>
      </c>
      <c r="AEU20" s="12">
        <f>ROUND(AET20*(1-'Sens - Annual Mix'!$A$14),0)</f>
        <v/>
      </c>
      <c r="AEV20" s="12">
        <f>AET20-AEU20</f>
        <v/>
      </c>
      <c r="AEW20" s="12">
        <f>ROUND(AEU20*EssentialMix,0)</f>
        <v/>
      </c>
      <c r="AEX20" s="12">
        <f>ROUND(AEU20*PremiumMix,0)</f>
        <v/>
      </c>
      <c r="AEY20" s="12">
        <f>AEU20-AEW20-AEX20</f>
        <v/>
      </c>
      <c r="AEZ20" s="12">
        <f>ROUND(AEV20*EssentialMix,0)</f>
        <v/>
      </c>
      <c r="AFA20" s="12">
        <f>ROUND(AEV20*PremiumMix,0)</f>
        <v/>
      </c>
      <c r="AFB20" s="12">
        <f>AEV20-AEZ20-AFA20</f>
        <v/>
      </c>
      <c r="AFC20" s="12">
        <f>AEW20+AEW19+AEW18+MAX(0,AFC19-AEW19-AEW18)*(1-AEP20)</f>
        <v/>
      </c>
      <c r="AFD20" s="12">
        <f>AEX20+AEX19+AEX18+MAX(0,AFD19-AEX19-AEX18)*(1-AEP20)</f>
        <v/>
      </c>
      <c r="AFE20" s="12">
        <f>AEY20+AEY19+AEY18+MAX(0,AFE19-AEY19-AEY18)*(1-AEP20)</f>
        <v/>
      </c>
      <c r="AFF20" s="12">
        <f>AFF19+AEZ20-AEZ8*(AnnualChurn*VLOOKUP(AEL20,ChurnSeasonTable,4,FALSE))*POWER(1-(AnnualChurn*VLOOKUP(AEL20,ChurnSeasonTable,4,FALSE)),0)</f>
        <v/>
      </c>
      <c r="AFG20" s="12">
        <f>AFG19+AFA20-AFA8*(AnnualChurn*VLOOKUP(AEL20,ChurnSeasonTable,4,FALSE))*POWER(1-(AnnualChurn*VLOOKUP(AEL20,ChurnSeasonTable,4,FALSE)),0)</f>
        <v/>
      </c>
      <c r="AFH20" s="12">
        <f>AFH19+AFB20-AFB8*(AnnualChurn*VLOOKUP(AEL20,ChurnSeasonTable,4,FALSE))*POWER(1-(AnnualChurn*VLOOKUP(AEL20,ChurnSeasonTable,4,FALSE)),0)</f>
        <v/>
      </c>
      <c r="AFI20" s="12">
        <f>AFC20+AFD20+AFE20+AFF20+AFG20+AFH20</f>
        <v/>
      </c>
      <c r="AFJ20" s="9">
        <f>AFC20*BlendedPriceEssMonthly*AEO20+AFD20*BlendedPricePremMonthly*AEO20+AFE20*BlendedPriceEliteMonthly*AEO20+AFF20*BlendedPriceEssAnnual*AEO20/12+AFG20*BlendedPricePremAnnual*AEO20/12+AFH20*BlendedPriceEliteAnnual*AEO20/12</f>
        <v/>
      </c>
      <c r="AFK20" s="9">
        <f>AFJ20*12</f>
        <v/>
      </c>
      <c r="AFL20" s="12">
        <f>AFC20*BlendedPriceEssMonthly*AEO20+AFD20*BlendedPricePremMonthly*AEO20+AFE20*BlendedPriceEliteMonthly*AEO20</f>
        <v/>
      </c>
      <c r="AFM20" s="12">
        <f>AEZ20*BlendedPriceEssAnnual*AEO20+AFA20*BlendedPricePremAnnual*AEO20+AFB20*BlendedPriceEliteAnnual*AEO20</f>
        <v/>
      </c>
      <c r="AFN20" s="12">
        <f>AEZ8*POWER(1-(AnnualChurn*VLOOKUP(AEL20,ChurnSeasonTable,4,FALSE)),1)*BlendedPriceEssAnnual*AEO20+AFA8*POWER(1-(AnnualChurn*VLOOKUP(AEL20,ChurnSeasonTable,4,FALSE)),1)*BlendedPricePremAnnual*AEO20+AFB8*POWER(1-(AnnualChurn*VLOOKUP(AEL20,ChurnSeasonTable,4,FALSE)),1)*BlendedPriceEliteAnnual*AEO20</f>
        <v/>
      </c>
      <c r="AFO20" s="9">
        <f>AFL20+AFM20+AFN20</f>
        <v/>
      </c>
      <c r="AFP20" s="12">
        <f>SUM(AFO9:AFO20)</f>
        <v/>
      </c>
      <c r="AFQ20" s="12">
        <f>OR(AFQ19,IF(VATAgentMode,SUM($AFO9:$AFO20)-SUM($AFV9:$AFV20)&gt;=VATThreshold,SUM($AFO9:$AFO20)&gt;=VATThreshold))</f>
        <v/>
      </c>
      <c r="AFR20" s="9">
        <f>IF(AFQ20,IF(VATAgentMode,AFO20-((AFO20-AFV20)-(AFO20-AFV20)/(1+VATRate)),AFO20/(1+VATRate)),AFO20)</f>
        <v/>
      </c>
      <c r="AFS20" s="12">
        <f>AFO20-AFR20</f>
        <v/>
      </c>
      <c r="AFT20" s="12">
        <f>IF(AFQ20=0,0,IF(AEL20=1,SUMPRODUCT(--(($AEM$5:$AEM20=$AEM20-1)*($AEL$5:$AEL20&gt;=10)*($AEL$5:$AEL20&lt;=12)),$AFS$5:$AFS20),IF(AEL20=4,SUMPRODUCT(--(($AEM$5:$AEM20=$AEM20)*($AEL$5:$AEL20&gt;=1)*($AEL$5:$AEL20&lt;=3)),$AFS$5:$AFS20),IF(AEL20=7,SUMPRODUCT(--(($AEM$5:$AEM20=$AEM20)*($AEL$5:$AEL20&gt;=4)*($AEL$5:$AEL20&lt;=6)),$AFS$5:$AFS20),IF(AEL20=10,SUMPRODUCT(--(($AEM$5:$AEM20=$AEM20)*($AEL$5:$AEL20&gt;=7)*($AEL$5:$AEL20&lt;=9)),$AFS$5:$AFS20),0)))))</f>
        <v/>
      </c>
      <c r="AFU20" s="12">
        <f>AFU19+AFS20-AFT20</f>
        <v/>
      </c>
      <c r="AFV20" s="12">
        <f>IF(ProviderDelay&gt;=1,AFC19*BlendedProvPayEss+AFD19*BlendedProvPayPrem+AFE19*BlendedProvPayElite+AFF19*BlendedProvPayEss+AFG19*BlendedProvPayPrem+AFH19*BlendedProvPayElite,AFC20*BlendedProvPayEss+AFD20*BlendedProvPayPrem+AFE20*BlendedProvPayElite+AFF20*BlendedProvPayEss+AFG20*BlendedProvPayPrem+AFH20*BlendedProvPayElite)</f>
        <v/>
      </c>
      <c r="AFW20" s="12">
        <f>AFO20*PaymentFee</f>
        <v/>
      </c>
      <c r="AFX20" s="12">
        <f>AFI20*OpsAI</f>
        <v/>
      </c>
      <c r="AFY20" s="12">
        <f>MonthlyFixed</f>
        <v/>
      </c>
      <c r="AFZ20" s="12">
        <f>AES20*ReferralReward</f>
        <v/>
      </c>
      <c r="AGA20" s="12">
        <f>AEQ20</f>
        <v/>
      </c>
      <c r="AGB20" s="9">
        <f>AFR20-AFV20-AFW20-AFX20-AFY20-AFZ20-AGA20</f>
        <v/>
      </c>
      <c r="AGC20" s="9">
        <f>AGC19+AFO20-(AFV20+AFW20+AFX20+AFY20+AFZ20+AGA20+AFT20)</f>
        <v/>
      </c>
      <c r="AGD20" s="12">
        <f>IF(AFI20&gt;0,AFJ20/AFI20,0)</f>
        <v/>
      </c>
      <c r="AGE20" s="11">
        <f>IF(AFI19&gt;0,MAX(0,(AFI19+AET20-AFI20)/AFI19),0)</f>
        <v/>
      </c>
      <c r="AGG20" s="12" t="n">
        <v>16</v>
      </c>
      <c r="AGH20" s="12">
        <f>MOD(AGG20-1+LaunchMonth-1,12)+1</f>
        <v/>
      </c>
      <c r="AGI20" s="12">
        <f>INT((AGG20-1+LaunchMonth-1)/12)+1</f>
        <v/>
      </c>
      <c r="AGJ20" s="12">
        <f>VLOOKUP(AGH20,SeasonTable,2,FALSE)</f>
        <v/>
      </c>
      <c r="AGK20" s="12">
        <f>(1+InflationRate)^INT((AGG20-1)/12)</f>
        <v/>
      </c>
      <c r="AGL20" s="11">
        <f>MonthlyChurn*VLOOKUP(AGH20,ChurnSeasonTable,4,FALSE)</f>
        <v/>
      </c>
      <c r="AGM20" s="12">
        <f>MIN(MAX(MktMin13_18,AHK19*MktPct13_18),MAX(0,AHY19-CashBuffer))</f>
        <v/>
      </c>
      <c r="AGN20" s="12">
        <f>IF(AGM20&gt;0,MAX(1,ROUND(AGM20/CAC*AGJ20,0)),0)</f>
        <v/>
      </c>
      <c r="AGO20" s="12">
        <f>IF(AGN20&gt;0,ROUND(AGN20*ReferralMix/(1-ReferralMix),0),0)</f>
        <v/>
      </c>
      <c r="AGP20" s="12">
        <f>AGN20+AGO20</f>
        <v/>
      </c>
      <c r="AGQ20" s="12">
        <f>ROUND(AGP20*(1-'Sens - Annual Mix'!$A$15),0)</f>
        <v/>
      </c>
      <c r="AGR20" s="12">
        <f>AGP20-AGQ20</f>
        <v/>
      </c>
      <c r="AGS20" s="12">
        <f>ROUND(AGQ20*EssentialMix,0)</f>
        <v/>
      </c>
      <c r="AGT20" s="12">
        <f>ROUND(AGQ20*PremiumMix,0)</f>
        <v/>
      </c>
      <c r="AGU20" s="12">
        <f>AGQ20-AGS20-AGT20</f>
        <v/>
      </c>
      <c r="AGV20" s="12">
        <f>ROUND(AGR20*EssentialMix,0)</f>
        <v/>
      </c>
      <c r="AGW20" s="12">
        <f>ROUND(AGR20*PremiumMix,0)</f>
        <v/>
      </c>
      <c r="AGX20" s="12">
        <f>AGR20-AGV20-AGW20</f>
        <v/>
      </c>
      <c r="AGY20" s="12">
        <f>AGS20+AGS19+AGS18+MAX(0,AGY19-AGS19-AGS18)*(1-AGL20)</f>
        <v/>
      </c>
      <c r="AGZ20" s="12">
        <f>AGT20+AGT19+AGT18+MAX(0,AGZ19-AGT19-AGT18)*(1-AGL20)</f>
        <v/>
      </c>
      <c r="AHA20" s="12">
        <f>AGU20+AGU19+AGU18+MAX(0,AHA19-AGU19-AGU18)*(1-AGL20)</f>
        <v/>
      </c>
      <c r="AHB20" s="12">
        <f>AHB19+AGV20-AGV8*(AnnualChurn*VLOOKUP(AGH20,ChurnSeasonTable,4,FALSE))*POWER(1-(AnnualChurn*VLOOKUP(AGH20,ChurnSeasonTable,4,FALSE)),0)</f>
        <v/>
      </c>
      <c r="AHC20" s="12">
        <f>AHC19+AGW20-AGW8*(AnnualChurn*VLOOKUP(AGH20,ChurnSeasonTable,4,FALSE))*POWER(1-(AnnualChurn*VLOOKUP(AGH20,ChurnSeasonTable,4,FALSE)),0)</f>
        <v/>
      </c>
      <c r="AHD20" s="12">
        <f>AHD19+AGX20-AGX8*(AnnualChurn*VLOOKUP(AGH20,ChurnSeasonTable,4,FALSE))*POWER(1-(AnnualChurn*VLOOKUP(AGH20,ChurnSeasonTable,4,FALSE)),0)</f>
        <v/>
      </c>
      <c r="AHE20" s="12">
        <f>AGY20+AGZ20+AHA20+AHB20+AHC20+AHD20</f>
        <v/>
      </c>
      <c r="AHF20" s="9">
        <f>AGY20*BlendedPriceEssMonthly*AGK20+AGZ20*BlendedPricePremMonthly*AGK20+AHA20*BlendedPriceEliteMonthly*AGK20+AHB20*BlendedPriceEssAnnual*AGK20/12+AHC20*BlendedPricePremAnnual*AGK20/12+AHD20*BlendedPriceEliteAnnual*AGK20/12</f>
        <v/>
      </c>
      <c r="AHG20" s="9">
        <f>AHF20*12</f>
        <v/>
      </c>
      <c r="AHH20" s="12">
        <f>AGY20*BlendedPriceEssMonthly*AGK20+AGZ20*BlendedPricePremMonthly*AGK20+AHA20*BlendedPriceEliteMonthly*AGK20</f>
        <v/>
      </c>
      <c r="AHI20" s="12">
        <f>AGV20*BlendedPriceEssAnnual*AGK20+AGW20*BlendedPricePremAnnual*AGK20+AGX20*BlendedPriceEliteAnnual*AGK20</f>
        <v/>
      </c>
      <c r="AHJ20" s="12">
        <f>AGV8*POWER(1-(AnnualChurn*VLOOKUP(AGH20,ChurnSeasonTable,4,FALSE)),1)*BlendedPriceEssAnnual*AGK20+AGW8*POWER(1-(AnnualChurn*VLOOKUP(AGH20,ChurnSeasonTable,4,FALSE)),1)*BlendedPricePremAnnual*AGK20+AGX8*POWER(1-(AnnualChurn*VLOOKUP(AGH20,ChurnSeasonTable,4,FALSE)),1)*BlendedPriceEliteAnnual*AGK20</f>
        <v/>
      </c>
      <c r="AHK20" s="9">
        <f>AHH20+AHI20+AHJ20</f>
        <v/>
      </c>
      <c r="AHL20" s="12">
        <f>SUM(AHK9:AHK20)</f>
        <v/>
      </c>
      <c r="AHM20" s="12">
        <f>OR(AHM19,IF(VATAgentMode,SUM($AHK9:$AHK20)-SUM($AHR9:$AHR20)&gt;=VATThreshold,SUM($AHK9:$AHK20)&gt;=VATThreshold))</f>
        <v/>
      </c>
      <c r="AHN20" s="9">
        <f>IF(AHM20,IF(VATAgentMode,AHK20-((AHK20-AHR20)-(AHK20-AHR20)/(1+VATRate)),AHK20/(1+VATRate)),AHK20)</f>
        <v/>
      </c>
      <c r="AHO20" s="12">
        <f>AHK20-AHN20</f>
        <v/>
      </c>
      <c r="AHP20" s="12">
        <f>IF(AHM20=0,0,IF(AGH20=1,SUMPRODUCT(--(($AGI$5:$AGI20=$AGI20-1)*($AGH$5:$AGH20&gt;=10)*($AGH$5:$AGH20&lt;=12)),$AHO$5:$AHO20),IF(AGH20=4,SUMPRODUCT(--(($AGI$5:$AGI20=$AGI20)*($AGH$5:$AGH20&gt;=1)*($AGH$5:$AGH20&lt;=3)),$AHO$5:$AHO20),IF(AGH20=7,SUMPRODUCT(--(($AGI$5:$AGI20=$AGI20)*($AGH$5:$AGH20&gt;=4)*($AGH$5:$AGH20&lt;=6)),$AHO$5:$AHO20),IF(AGH20=10,SUMPRODUCT(--(($AGI$5:$AGI20=$AGI20)*($AGH$5:$AGH20&gt;=7)*($AGH$5:$AGH20&lt;=9)),$AHO$5:$AHO20),0)))))</f>
        <v/>
      </c>
      <c r="AHQ20" s="12">
        <f>AHQ19+AHO20-AHP20</f>
        <v/>
      </c>
      <c r="AHR20" s="12">
        <f>IF(ProviderDelay&gt;=1,AGY19*BlendedProvPayEss+AGZ19*BlendedProvPayPrem+AHA19*BlendedProvPayElite+AHB19*BlendedProvPayEss+AHC19*BlendedProvPayPrem+AHD19*BlendedProvPayElite,AGY20*BlendedProvPayEss+AGZ20*BlendedProvPayPrem+AHA20*BlendedProvPayElite+AHB20*BlendedProvPayEss+AHC20*BlendedProvPayPrem+AHD20*BlendedProvPayElite)</f>
        <v/>
      </c>
      <c r="AHS20" s="12">
        <f>AHK20*PaymentFee</f>
        <v/>
      </c>
      <c r="AHT20" s="12">
        <f>AHE20*OpsAI</f>
        <v/>
      </c>
      <c r="AHU20" s="12">
        <f>MonthlyFixed</f>
        <v/>
      </c>
      <c r="AHV20" s="12">
        <f>AGO20*ReferralReward</f>
        <v/>
      </c>
      <c r="AHW20" s="12">
        <f>AGM20</f>
        <v/>
      </c>
      <c r="AHX20" s="9">
        <f>AHN20-AHR20-AHS20-AHT20-AHU20-AHV20-AHW20</f>
        <v/>
      </c>
      <c r="AHY20" s="9">
        <f>AHY19+AHK20-(AHR20+AHS20+AHT20+AHU20+AHV20+AHW20+AHP20)</f>
        <v/>
      </c>
      <c r="AHZ20" s="12">
        <f>IF(AHE20&gt;0,AHF20/AHE20,0)</f>
        <v/>
      </c>
      <c r="AIA20" s="11">
        <f>IF(AHE19&gt;0,MAX(0,(AHE19+AGP20-AHE20)/AHE19),0)</f>
        <v/>
      </c>
      <c r="AIC20" s="12" t="n">
        <v>16</v>
      </c>
      <c r="AID20" s="12">
        <f>MOD(AIC20-1+LaunchMonth-1,12)+1</f>
        <v/>
      </c>
      <c r="AIE20" s="12">
        <f>INT((AIC20-1+LaunchMonth-1)/12)+1</f>
        <v/>
      </c>
      <c r="AIF20" s="12">
        <f>VLOOKUP(AID20,SeasonTable,2,FALSE)</f>
        <v/>
      </c>
      <c r="AIG20" s="12">
        <f>(1+InflationRate)^INT((AIC20-1)/12)</f>
        <v/>
      </c>
      <c r="AIH20" s="11">
        <f>MonthlyChurn*VLOOKUP(AID20,ChurnSeasonTable,4,FALSE)</f>
        <v/>
      </c>
      <c r="AII20" s="12">
        <f>MIN(MAX(MktMin13_18,AJG19*MktPct13_18),MAX(0,AJU19-CashBuffer))</f>
        <v/>
      </c>
      <c r="AIJ20" s="12">
        <f>IF(AII20&gt;0,MAX(1,ROUND(AII20/'Sens - CAC &amp; Marketing'!$A$9*AIF20,0)),0)</f>
        <v/>
      </c>
      <c r="AIK20" s="12">
        <f>IF(AIJ20&gt;0,ROUND(AIJ20*ReferralMix/(1-ReferralMix),0),0)</f>
        <v/>
      </c>
      <c r="AIL20" s="12">
        <f>AIJ20+AIK20</f>
        <v/>
      </c>
      <c r="AIM20" s="12">
        <f>ROUND(AIL20*(1-AnnualMix),0)</f>
        <v/>
      </c>
      <c r="AIN20" s="12">
        <f>AIL20-AIM20</f>
        <v/>
      </c>
      <c r="AIO20" s="12">
        <f>ROUND(AIM20*EssentialMix,0)</f>
        <v/>
      </c>
      <c r="AIP20" s="12">
        <f>ROUND(AIM20*PremiumMix,0)</f>
        <v/>
      </c>
      <c r="AIQ20" s="12">
        <f>AIM20-AIO20-AIP20</f>
        <v/>
      </c>
      <c r="AIR20" s="12">
        <f>ROUND(AIN20*EssentialMix,0)</f>
        <v/>
      </c>
      <c r="AIS20" s="12">
        <f>ROUND(AIN20*PremiumMix,0)</f>
        <v/>
      </c>
      <c r="AIT20" s="12">
        <f>AIN20-AIR20-AIS20</f>
        <v/>
      </c>
      <c r="AIU20" s="12">
        <f>AIO20+AIO19+AIO18+MAX(0,AIU19-AIO19-AIO18)*(1-AIH20)</f>
        <v/>
      </c>
      <c r="AIV20" s="12">
        <f>AIP20+AIP19+AIP18+MAX(0,AIV19-AIP19-AIP18)*(1-AIH20)</f>
        <v/>
      </c>
      <c r="AIW20" s="12">
        <f>AIQ20+AIQ19+AIQ18+MAX(0,AIW19-AIQ19-AIQ18)*(1-AIH20)</f>
        <v/>
      </c>
      <c r="AIX20" s="12">
        <f>AIX19+AIR20-AIR8*(AnnualChurn*VLOOKUP(AID20,ChurnSeasonTable,4,FALSE))*POWER(1-(AnnualChurn*VLOOKUP(AID20,ChurnSeasonTable,4,FALSE)),0)</f>
        <v/>
      </c>
      <c r="AIY20" s="12">
        <f>AIY19+AIS20-AIS8*(AnnualChurn*VLOOKUP(AID20,ChurnSeasonTable,4,FALSE))*POWER(1-(AnnualChurn*VLOOKUP(AID20,ChurnSeasonTable,4,FALSE)),0)</f>
        <v/>
      </c>
      <c r="AIZ20" s="12">
        <f>AIZ19+AIT20-AIT8*(AnnualChurn*VLOOKUP(AID20,ChurnSeasonTable,4,FALSE))*POWER(1-(AnnualChurn*VLOOKUP(AID20,ChurnSeasonTable,4,FALSE)),0)</f>
        <v/>
      </c>
      <c r="AJA20" s="12">
        <f>AIU20+AIV20+AIW20+AIX20+AIY20+AIZ20</f>
        <v/>
      </c>
      <c r="AJB20" s="9">
        <f>AIU20*BlendedPriceEssMonthly*AIG20+AIV20*BlendedPricePremMonthly*AIG20+AIW20*BlendedPriceEliteMonthly*AIG20+AIX20*BlendedPriceEssAnnual*AIG20/12+AIY20*BlendedPricePremAnnual*AIG20/12+AIZ20*BlendedPriceEliteAnnual*AIG20/12</f>
        <v/>
      </c>
      <c r="AJC20" s="9">
        <f>AJB20*12</f>
        <v/>
      </c>
      <c r="AJD20" s="12">
        <f>AIU20*BlendedPriceEssMonthly*AIG20+AIV20*BlendedPricePremMonthly*AIG20+AIW20*BlendedPriceEliteMonthly*AIG20</f>
        <v/>
      </c>
      <c r="AJE20" s="12">
        <f>AIR20*BlendedPriceEssAnnual*AIG20+AIS20*BlendedPricePremAnnual*AIG20+AIT20*BlendedPriceEliteAnnual*AIG20</f>
        <v/>
      </c>
      <c r="AJF20" s="12">
        <f>AIR8*POWER(1-(AnnualChurn*VLOOKUP(AID20,ChurnSeasonTable,4,FALSE)),1)*BlendedPriceEssAnnual*AIG20+AIS8*POWER(1-(AnnualChurn*VLOOKUP(AID20,ChurnSeasonTable,4,FALSE)),1)*BlendedPricePremAnnual*AIG20+AIT8*POWER(1-(AnnualChurn*VLOOKUP(AID20,ChurnSeasonTable,4,FALSE)),1)*BlendedPriceEliteAnnual*AIG20</f>
        <v/>
      </c>
      <c r="AJG20" s="9">
        <f>AJD20+AJE20+AJF20</f>
        <v/>
      </c>
      <c r="AJH20" s="12">
        <f>SUM(AJG9:AJG20)</f>
        <v/>
      </c>
      <c r="AJI20" s="12">
        <f>OR(AJI19,IF(VATAgentMode,SUM($AJG9:$AJG20)-SUM($AJN9:$AJN20)&gt;=VATThreshold,SUM($AJG9:$AJG20)&gt;=VATThreshold))</f>
        <v/>
      </c>
      <c r="AJJ20" s="9">
        <f>IF(AJI20,IF(VATAgentMode,AJG20-((AJG20-AJN20)-(AJG20-AJN20)/(1+VATRate)),AJG20/(1+VATRate)),AJG20)</f>
        <v/>
      </c>
      <c r="AJK20" s="12">
        <f>AJG20-AJJ20</f>
        <v/>
      </c>
      <c r="AJL20" s="12">
        <f>IF(AJI20=0,0,IF(AID20=1,SUMPRODUCT(--(($AIE$5:$AIE20=$AIE20-1)*($AID$5:$AID20&gt;=10)*($AID$5:$AID20&lt;=12)),$AJK$5:$AJK20),IF(AID20=4,SUMPRODUCT(--(($AIE$5:$AIE20=$AIE20)*($AID$5:$AID20&gt;=1)*($AID$5:$AID20&lt;=3)),$AJK$5:$AJK20),IF(AID20=7,SUMPRODUCT(--(($AIE$5:$AIE20=$AIE20)*($AID$5:$AID20&gt;=4)*($AID$5:$AID20&lt;=6)),$AJK$5:$AJK20),IF(AID20=10,SUMPRODUCT(--(($AIE$5:$AIE20=$AIE20)*($AID$5:$AID20&gt;=7)*($AID$5:$AID20&lt;=9)),$AJK$5:$AJK20),0)))))</f>
        <v/>
      </c>
      <c r="AJM20" s="12">
        <f>AJM19+AJK20-AJL20</f>
        <v/>
      </c>
      <c r="AJN20" s="12">
        <f>IF(ProviderDelay&gt;=1,AIU19*BlendedProvPayEss+AIV19*BlendedProvPayPrem+AIW19*BlendedProvPayElite+AIX19*BlendedProvPayEss+AIY19*BlendedProvPayPrem+AIZ19*BlendedProvPayElite,AIU20*BlendedProvPayEss+AIV20*BlendedProvPayPrem+AIW20*BlendedProvPayElite+AIX20*BlendedProvPayEss+AIY20*BlendedProvPayPrem+AIZ20*BlendedProvPayElite)</f>
        <v/>
      </c>
      <c r="AJO20" s="12">
        <f>AJG20*PaymentFee</f>
        <v/>
      </c>
      <c r="AJP20" s="12">
        <f>AJA20*OpsAI</f>
        <v/>
      </c>
      <c r="AJQ20" s="12">
        <f>MonthlyFixed</f>
        <v/>
      </c>
      <c r="AJR20" s="12">
        <f>AIK20*ReferralReward</f>
        <v/>
      </c>
      <c r="AJS20" s="12">
        <f>AII20</f>
        <v/>
      </c>
      <c r="AJT20" s="9">
        <f>AJJ20-AJN20-AJO20-AJP20-AJQ20-AJR20-AJS20</f>
        <v/>
      </c>
      <c r="AJU20" s="9">
        <f>AJU19+AJG20-(AJN20+AJO20+AJP20+AJQ20+AJR20+AJS20+AJL20)</f>
        <v/>
      </c>
      <c r="AJV20" s="12">
        <f>IF(AJA20&gt;0,AJB20/AJA20,0)</f>
        <v/>
      </c>
      <c r="AJW20" s="11">
        <f>IF(AJA19&gt;0,MAX(0,(AJA19+AIL20-AJA20)/AJA19),0)</f>
        <v/>
      </c>
      <c r="AJY20" s="12" t="n">
        <v>16</v>
      </c>
      <c r="AJZ20" s="12">
        <f>MOD(AJY20-1+LaunchMonth-1,12)+1</f>
        <v/>
      </c>
      <c r="AKA20" s="12">
        <f>INT((AJY20-1+LaunchMonth-1)/12)+1</f>
        <v/>
      </c>
      <c r="AKB20" s="12">
        <f>VLOOKUP(AJZ20,SeasonTable,2,FALSE)</f>
        <v/>
      </c>
      <c r="AKC20" s="12">
        <f>(1+InflationRate)^INT((AJY20-1)/12)</f>
        <v/>
      </c>
      <c r="AKD20" s="11">
        <f>MonthlyChurn*VLOOKUP(AJZ20,ChurnSeasonTable,4,FALSE)</f>
        <v/>
      </c>
      <c r="AKE20" s="12">
        <f>MIN(MAX(MktMin13_18,ALC19*MktPct13_18),MAX(0,ALQ19-CashBuffer))</f>
        <v/>
      </c>
      <c r="AKF20" s="12">
        <f>IF(AKE20&gt;0,MAX(1,ROUND(AKE20/'Sens - CAC &amp; Marketing'!$A$10*AKB20,0)),0)</f>
        <v/>
      </c>
      <c r="AKG20" s="12">
        <f>IF(AKF20&gt;0,ROUND(AKF20*ReferralMix/(1-ReferralMix),0),0)</f>
        <v/>
      </c>
      <c r="AKH20" s="12">
        <f>AKF20+AKG20</f>
        <v/>
      </c>
      <c r="AKI20" s="12">
        <f>ROUND(AKH20*(1-AnnualMix),0)</f>
        <v/>
      </c>
      <c r="AKJ20" s="12">
        <f>AKH20-AKI20</f>
        <v/>
      </c>
      <c r="AKK20" s="12">
        <f>ROUND(AKI20*EssentialMix,0)</f>
        <v/>
      </c>
      <c r="AKL20" s="12">
        <f>ROUND(AKI20*PremiumMix,0)</f>
        <v/>
      </c>
      <c r="AKM20" s="12">
        <f>AKI20-AKK20-AKL20</f>
        <v/>
      </c>
      <c r="AKN20" s="12">
        <f>ROUND(AKJ20*EssentialMix,0)</f>
        <v/>
      </c>
      <c r="AKO20" s="12">
        <f>ROUND(AKJ20*PremiumMix,0)</f>
        <v/>
      </c>
      <c r="AKP20" s="12">
        <f>AKJ20-AKN20-AKO20</f>
        <v/>
      </c>
      <c r="AKQ20" s="12">
        <f>AKK20+AKK19+AKK18+MAX(0,AKQ19-AKK19-AKK18)*(1-AKD20)</f>
        <v/>
      </c>
      <c r="AKR20" s="12">
        <f>AKL20+AKL19+AKL18+MAX(0,AKR19-AKL19-AKL18)*(1-AKD20)</f>
        <v/>
      </c>
      <c r="AKS20" s="12">
        <f>AKM20+AKM19+AKM18+MAX(0,AKS19-AKM19-AKM18)*(1-AKD20)</f>
        <v/>
      </c>
      <c r="AKT20" s="12">
        <f>AKT19+AKN20-AKN8*(AnnualChurn*VLOOKUP(AJZ20,ChurnSeasonTable,4,FALSE))*POWER(1-(AnnualChurn*VLOOKUP(AJZ20,ChurnSeasonTable,4,FALSE)),0)</f>
        <v/>
      </c>
      <c r="AKU20" s="12">
        <f>AKU19+AKO20-AKO8*(AnnualChurn*VLOOKUP(AJZ20,ChurnSeasonTable,4,FALSE))*POWER(1-(AnnualChurn*VLOOKUP(AJZ20,ChurnSeasonTable,4,FALSE)),0)</f>
        <v/>
      </c>
      <c r="AKV20" s="12">
        <f>AKV19+AKP20-AKP8*(AnnualChurn*VLOOKUP(AJZ20,ChurnSeasonTable,4,FALSE))*POWER(1-(AnnualChurn*VLOOKUP(AJZ20,ChurnSeasonTable,4,FALSE)),0)</f>
        <v/>
      </c>
      <c r="AKW20" s="12">
        <f>AKQ20+AKR20+AKS20+AKT20+AKU20+AKV20</f>
        <v/>
      </c>
      <c r="AKX20" s="9">
        <f>AKQ20*BlendedPriceEssMonthly*AKC20+AKR20*BlendedPricePremMonthly*AKC20+AKS20*BlendedPriceEliteMonthly*AKC20+AKT20*BlendedPriceEssAnnual*AKC20/12+AKU20*BlendedPricePremAnnual*AKC20/12+AKV20*BlendedPriceEliteAnnual*AKC20/12</f>
        <v/>
      </c>
      <c r="AKY20" s="9">
        <f>AKX20*12</f>
        <v/>
      </c>
      <c r="AKZ20" s="12">
        <f>AKQ20*BlendedPriceEssMonthly*AKC20+AKR20*BlendedPricePremMonthly*AKC20+AKS20*BlendedPriceEliteMonthly*AKC20</f>
        <v/>
      </c>
      <c r="ALA20" s="12">
        <f>AKN20*BlendedPriceEssAnnual*AKC20+AKO20*BlendedPricePremAnnual*AKC20+AKP20*BlendedPriceEliteAnnual*AKC20</f>
        <v/>
      </c>
      <c r="ALB20" s="12">
        <f>AKN8*POWER(1-(AnnualChurn*VLOOKUP(AJZ20,ChurnSeasonTable,4,FALSE)),1)*BlendedPriceEssAnnual*AKC20+AKO8*POWER(1-(AnnualChurn*VLOOKUP(AJZ20,ChurnSeasonTable,4,FALSE)),1)*BlendedPricePremAnnual*AKC20+AKP8*POWER(1-(AnnualChurn*VLOOKUP(AJZ20,ChurnSeasonTable,4,FALSE)),1)*BlendedPriceEliteAnnual*AKC20</f>
        <v/>
      </c>
      <c r="ALC20" s="9">
        <f>AKZ20+ALA20+ALB20</f>
        <v/>
      </c>
      <c r="ALD20" s="12">
        <f>SUM(ALC9:ALC20)</f>
        <v/>
      </c>
      <c r="ALE20" s="12">
        <f>OR(ALE19,IF(VATAgentMode,SUM($ALC9:$ALC20)-SUM($ALJ9:$ALJ20)&gt;=VATThreshold,SUM($ALC9:$ALC20)&gt;=VATThreshold))</f>
        <v/>
      </c>
      <c r="ALF20" s="9">
        <f>IF(ALE20,IF(VATAgentMode,ALC20-((ALC20-ALJ20)-(ALC20-ALJ20)/(1+VATRate)),ALC20/(1+VATRate)),ALC20)</f>
        <v/>
      </c>
      <c r="ALG20" s="12">
        <f>ALC20-ALF20</f>
        <v/>
      </c>
      <c r="ALH20" s="12">
        <f>IF(ALE20=0,0,IF(AJZ20=1,SUMPRODUCT(--(($AKA$5:$AKA20=$AKA20-1)*($AJZ$5:$AJZ20&gt;=10)*($AJZ$5:$AJZ20&lt;=12)),$ALG$5:$ALG20),IF(AJZ20=4,SUMPRODUCT(--(($AKA$5:$AKA20=$AKA20)*($AJZ$5:$AJZ20&gt;=1)*($AJZ$5:$AJZ20&lt;=3)),$ALG$5:$ALG20),IF(AJZ20=7,SUMPRODUCT(--(($AKA$5:$AKA20=$AKA20)*($AJZ$5:$AJZ20&gt;=4)*($AJZ$5:$AJZ20&lt;=6)),$ALG$5:$ALG20),IF(AJZ20=10,SUMPRODUCT(--(($AKA$5:$AKA20=$AKA20)*($AJZ$5:$AJZ20&gt;=7)*($AJZ$5:$AJZ20&lt;=9)),$ALG$5:$ALG20),0)))))</f>
        <v/>
      </c>
      <c r="ALI20" s="12">
        <f>ALI19+ALG20-ALH20</f>
        <v/>
      </c>
      <c r="ALJ20" s="12">
        <f>IF(ProviderDelay&gt;=1,AKQ19*BlendedProvPayEss+AKR19*BlendedProvPayPrem+AKS19*BlendedProvPayElite+AKT19*BlendedProvPayEss+AKU19*BlendedProvPayPrem+AKV19*BlendedProvPayElite,AKQ20*BlendedProvPayEss+AKR20*BlendedProvPayPrem+AKS20*BlendedProvPayElite+AKT20*BlendedProvPayEss+AKU20*BlendedProvPayPrem+AKV20*BlendedProvPayElite)</f>
        <v/>
      </c>
      <c r="ALK20" s="12">
        <f>ALC20*PaymentFee</f>
        <v/>
      </c>
      <c r="ALL20" s="12">
        <f>AKW20*OpsAI</f>
        <v/>
      </c>
      <c r="ALM20" s="12">
        <f>MonthlyFixed</f>
        <v/>
      </c>
      <c r="ALN20" s="12">
        <f>AKG20*ReferralReward</f>
        <v/>
      </c>
      <c r="ALO20" s="12">
        <f>AKE20</f>
        <v/>
      </c>
      <c r="ALP20" s="9">
        <f>ALF20-ALJ20-ALK20-ALL20-ALM20-ALN20-ALO20</f>
        <v/>
      </c>
      <c r="ALQ20" s="9">
        <f>ALQ19+ALC20-(ALJ20+ALK20+ALL20+ALM20+ALN20+ALO20+ALH20)</f>
        <v/>
      </c>
      <c r="ALR20" s="12">
        <f>IF(AKW20&gt;0,AKX20/AKW20,0)</f>
        <v/>
      </c>
      <c r="ALS20" s="11">
        <f>IF(AKW19&gt;0,MAX(0,(AKW19+AKH20-AKW20)/AKW19),0)</f>
        <v/>
      </c>
      <c r="ALU20" s="12" t="n">
        <v>16</v>
      </c>
      <c r="ALV20" s="12">
        <f>MOD(ALU20-1+LaunchMonth-1,12)+1</f>
        <v/>
      </c>
      <c r="ALW20" s="12">
        <f>INT((ALU20-1+LaunchMonth-1)/12)+1</f>
        <v/>
      </c>
      <c r="ALX20" s="12">
        <f>VLOOKUP(ALV20,SeasonTable,2,FALSE)</f>
        <v/>
      </c>
      <c r="ALY20" s="12">
        <f>(1+InflationRate)^INT((ALU20-1)/12)</f>
        <v/>
      </c>
      <c r="ALZ20" s="11">
        <f>MonthlyChurn*VLOOKUP(ALV20,ChurnSeasonTable,4,FALSE)</f>
        <v/>
      </c>
      <c r="AMA20" s="12">
        <f>MIN(MAX(MktMin13_18,AMY19*MktPct13_18),MAX(0,ANM19-CashBuffer))</f>
        <v/>
      </c>
      <c r="AMB20" s="12">
        <f>IF(AMA20&gt;0,MAX(1,ROUND(AMA20/'Sens - CAC &amp; Marketing'!$A$11*ALX20,0)),0)</f>
        <v/>
      </c>
      <c r="AMC20" s="12">
        <f>IF(AMB20&gt;0,ROUND(AMB20*ReferralMix/(1-ReferralMix),0),0)</f>
        <v/>
      </c>
      <c r="AMD20" s="12">
        <f>AMB20+AMC20</f>
        <v/>
      </c>
      <c r="AME20" s="12">
        <f>ROUND(AMD20*(1-AnnualMix),0)</f>
        <v/>
      </c>
      <c r="AMF20" s="12">
        <f>AMD20-AME20</f>
        <v/>
      </c>
      <c r="AMG20" s="12">
        <f>ROUND(AME20*EssentialMix,0)</f>
        <v/>
      </c>
      <c r="AMH20" s="12">
        <f>ROUND(AME20*PremiumMix,0)</f>
        <v/>
      </c>
      <c r="AMI20" s="12">
        <f>AME20-AMG20-AMH20</f>
        <v/>
      </c>
      <c r="AMJ20" s="12">
        <f>ROUND(AMF20*EssentialMix,0)</f>
        <v/>
      </c>
      <c r="AMK20" s="12">
        <f>ROUND(AMF20*PremiumMix,0)</f>
        <v/>
      </c>
      <c r="AML20" s="12">
        <f>AMF20-AMJ20-AMK20</f>
        <v/>
      </c>
      <c r="AMM20" s="12">
        <f>AMG20+AMG19+AMG18+MAX(0,AMM19-AMG19-AMG18)*(1-ALZ20)</f>
        <v/>
      </c>
      <c r="AMN20" s="12">
        <f>AMH20+AMH19+AMH18+MAX(0,AMN19-AMH19-AMH18)*(1-ALZ20)</f>
        <v/>
      </c>
      <c r="AMO20" s="12">
        <f>AMI20+AMI19+AMI18+MAX(0,AMO19-AMI19-AMI18)*(1-ALZ20)</f>
        <v/>
      </c>
      <c r="AMP20" s="12">
        <f>AMP19+AMJ20-AMJ8*(AnnualChurn*VLOOKUP(ALV20,ChurnSeasonTable,4,FALSE))*POWER(1-(AnnualChurn*VLOOKUP(ALV20,ChurnSeasonTable,4,FALSE)),0)</f>
        <v/>
      </c>
      <c r="AMQ20" s="12">
        <f>AMQ19+AMK20-AMK8*(AnnualChurn*VLOOKUP(ALV20,ChurnSeasonTable,4,FALSE))*POWER(1-(AnnualChurn*VLOOKUP(ALV20,ChurnSeasonTable,4,FALSE)),0)</f>
        <v/>
      </c>
      <c r="AMR20" s="12">
        <f>AMR19+AML20-AML8*(AnnualChurn*VLOOKUP(ALV20,ChurnSeasonTable,4,FALSE))*POWER(1-(AnnualChurn*VLOOKUP(ALV20,ChurnSeasonTable,4,FALSE)),0)</f>
        <v/>
      </c>
      <c r="AMS20" s="12">
        <f>AMM20+AMN20+AMO20+AMP20+AMQ20+AMR20</f>
        <v/>
      </c>
      <c r="AMT20" s="9">
        <f>AMM20*BlendedPriceEssMonthly*ALY20+AMN20*BlendedPricePremMonthly*ALY20+AMO20*BlendedPriceEliteMonthly*ALY20+AMP20*BlendedPriceEssAnnual*ALY20/12+AMQ20*BlendedPricePremAnnual*ALY20/12+AMR20*BlendedPriceEliteAnnual*ALY20/12</f>
        <v/>
      </c>
      <c r="AMU20" s="9">
        <f>AMT20*12</f>
        <v/>
      </c>
      <c r="AMV20" s="12">
        <f>AMM20*BlendedPriceEssMonthly*ALY20+AMN20*BlendedPricePremMonthly*ALY20+AMO20*BlendedPriceEliteMonthly*ALY20</f>
        <v/>
      </c>
      <c r="AMW20" s="12">
        <f>AMJ20*BlendedPriceEssAnnual*ALY20+AMK20*BlendedPricePremAnnual*ALY20+AML20*BlendedPriceEliteAnnual*ALY20</f>
        <v/>
      </c>
      <c r="AMX20" s="12">
        <f>AMJ8*POWER(1-(AnnualChurn*VLOOKUP(ALV20,ChurnSeasonTable,4,FALSE)),1)*BlendedPriceEssAnnual*ALY20+AMK8*POWER(1-(AnnualChurn*VLOOKUP(ALV20,ChurnSeasonTable,4,FALSE)),1)*BlendedPricePremAnnual*ALY20+AML8*POWER(1-(AnnualChurn*VLOOKUP(ALV20,ChurnSeasonTable,4,FALSE)),1)*BlendedPriceEliteAnnual*ALY20</f>
        <v/>
      </c>
      <c r="AMY20" s="9">
        <f>AMV20+AMW20+AMX20</f>
        <v/>
      </c>
      <c r="AMZ20" s="12">
        <f>SUM(AMY9:AMY20)</f>
        <v/>
      </c>
      <c r="ANA20" s="12">
        <f>OR(ANA19,IF(VATAgentMode,SUM($AMY9:$AMY20)-SUM($ANF9:$ANF20)&gt;=VATThreshold,SUM($AMY9:$AMY20)&gt;=VATThreshold))</f>
        <v/>
      </c>
      <c r="ANB20" s="9">
        <f>IF(ANA20,IF(VATAgentMode,AMY20-((AMY20-ANF20)-(AMY20-ANF20)/(1+VATRate)),AMY20/(1+VATRate)),AMY20)</f>
        <v/>
      </c>
      <c r="ANC20" s="12">
        <f>AMY20-ANB20</f>
        <v/>
      </c>
      <c r="AND20" s="12">
        <f>IF(ANA20=0,0,IF(ALV20=1,SUMPRODUCT(--(($ALW$5:$ALW20=$ALW20-1)*($ALV$5:$ALV20&gt;=10)*($ALV$5:$ALV20&lt;=12)),$ANC$5:$ANC20),IF(ALV20=4,SUMPRODUCT(--(($ALW$5:$ALW20=$ALW20)*($ALV$5:$ALV20&gt;=1)*($ALV$5:$ALV20&lt;=3)),$ANC$5:$ANC20),IF(ALV20=7,SUMPRODUCT(--(($ALW$5:$ALW20=$ALW20)*($ALV$5:$ALV20&gt;=4)*($ALV$5:$ALV20&lt;=6)),$ANC$5:$ANC20),IF(ALV20=10,SUMPRODUCT(--(($ALW$5:$ALW20=$ALW20)*($ALV$5:$ALV20&gt;=7)*($ALV$5:$ALV20&lt;=9)),$ANC$5:$ANC20),0)))))</f>
        <v/>
      </c>
      <c r="ANE20" s="12">
        <f>ANE19+ANC20-AND20</f>
        <v/>
      </c>
      <c r="ANF20" s="12">
        <f>IF(ProviderDelay&gt;=1,AMM19*BlendedProvPayEss+AMN19*BlendedProvPayPrem+AMO19*BlendedProvPayElite+AMP19*BlendedProvPayEss+AMQ19*BlendedProvPayPrem+AMR19*BlendedProvPayElite,AMM20*BlendedProvPayEss+AMN20*BlendedProvPayPrem+AMO20*BlendedProvPayElite+AMP20*BlendedProvPayEss+AMQ20*BlendedProvPayPrem+AMR20*BlendedProvPayElite)</f>
        <v/>
      </c>
      <c r="ANG20" s="12">
        <f>AMY20*PaymentFee</f>
        <v/>
      </c>
      <c r="ANH20" s="12">
        <f>AMS20*OpsAI</f>
        <v/>
      </c>
      <c r="ANI20" s="12">
        <f>MonthlyFixed</f>
        <v/>
      </c>
      <c r="ANJ20" s="12">
        <f>AMC20*ReferralReward</f>
        <v/>
      </c>
      <c r="ANK20" s="12">
        <f>AMA20</f>
        <v/>
      </c>
      <c r="ANL20" s="9">
        <f>ANB20-ANF20-ANG20-ANH20-ANI20-ANJ20-ANK20</f>
        <v/>
      </c>
      <c r="ANM20" s="9">
        <f>ANM19+AMY20-(ANF20+ANG20+ANH20+ANI20+ANJ20+ANK20+AND20)</f>
        <v/>
      </c>
      <c r="ANN20" s="12">
        <f>IF(AMS20&gt;0,AMT20/AMS20,0)</f>
        <v/>
      </c>
      <c r="ANO20" s="11">
        <f>IF(AMS19&gt;0,MAX(0,(AMS19+AMD20-AMS20)/AMS19),0)</f>
        <v/>
      </c>
      <c r="ANQ20" s="12" t="n">
        <v>16</v>
      </c>
      <c r="ANR20" s="12">
        <f>MOD(ANQ20-1+LaunchMonth-1,12)+1</f>
        <v/>
      </c>
      <c r="ANS20" s="12">
        <f>INT((ANQ20-1+LaunchMonth-1)/12)+1</f>
        <v/>
      </c>
      <c r="ANT20" s="12">
        <f>VLOOKUP(ANR20,SeasonTable,2,FALSE)</f>
        <v/>
      </c>
      <c r="ANU20" s="12">
        <f>(1+InflationRate)^INT((ANQ20-1)/12)</f>
        <v/>
      </c>
      <c r="ANV20" s="11">
        <f>MonthlyChurn*VLOOKUP(ANR20,ChurnSeasonTable,4,FALSE)</f>
        <v/>
      </c>
      <c r="ANW20" s="12">
        <f>MIN(MAX(MktMin13_18,AOU19*MktPct13_18),MAX(0,API19-CashBuffer))</f>
        <v/>
      </c>
      <c r="ANX20" s="12">
        <f>IF(ANW20&gt;0,MAX(1,ROUND(ANW20/'Sens - CAC &amp; Marketing'!$A$12*ANT20,0)),0)</f>
        <v/>
      </c>
      <c r="ANY20" s="12">
        <f>IF(ANX20&gt;0,ROUND(ANX20*ReferralMix/(1-ReferralMix),0),0)</f>
        <v/>
      </c>
      <c r="ANZ20" s="12">
        <f>ANX20+ANY20</f>
        <v/>
      </c>
      <c r="AOA20" s="12">
        <f>ROUND(ANZ20*(1-AnnualMix),0)</f>
        <v/>
      </c>
      <c r="AOB20" s="12">
        <f>ANZ20-AOA20</f>
        <v/>
      </c>
      <c r="AOC20" s="12">
        <f>ROUND(AOA20*EssentialMix,0)</f>
        <v/>
      </c>
      <c r="AOD20" s="12">
        <f>ROUND(AOA20*PremiumMix,0)</f>
        <v/>
      </c>
      <c r="AOE20" s="12">
        <f>AOA20-AOC20-AOD20</f>
        <v/>
      </c>
      <c r="AOF20" s="12">
        <f>ROUND(AOB20*EssentialMix,0)</f>
        <v/>
      </c>
      <c r="AOG20" s="12">
        <f>ROUND(AOB20*PremiumMix,0)</f>
        <v/>
      </c>
      <c r="AOH20" s="12">
        <f>AOB20-AOF20-AOG20</f>
        <v/>
      </c>
      <c r="AOI20" s="12">
        <f>AOC20+AOC19+AOC18+MAX(0,AOI19-AOC19-AOC18)*(1-ANV20)</f>
        <v/>
      </c>
      <c r="AOJ20" s="12">
        <f>AOD20+AOD19+AOD18+MAX(0,AOJ19-AOD19-AOD18)*(1-ANV20)</f>
        <v/>
      </c>
      <c r="AOK20" s="12">
        <f>AOE20+AOE19+AOE18+MAX(0,AOK19-AOE19-AOE18)*(1-ANV20)</f>
        <v/>
      </c>
      <c r="AOL20" s="12">
        <f>AOL19+AOF20-AOF8*(AnnualChurn*VLOOKUP(ANR20,ChurnSeasonTable,4,FALSE))*POWER(1-(AnnualChurn*VLOOKUP(ANR20,ChurnSeasonTable,4,FALSE)),0)</f>
        <v/>
      </c>
      <c r="AOM20" s="12">
        <f>AOM19+AOG20-AOG8*(AnnualChurn*VLOOKUP(ANR20,ChurnSeasonTable,4,FALSE))*POWER(1-(AnnualChurn*VLOOKUP(ANR20,ChurnSeasonTable,4,FALSE)),0)</f>
        <v/>
      </c>
      <c r="AON20" s="12">
        <f>AON19+AOH20-AOH8*(AnnualChurn*VLOOKUP(ANR20,ChurnSeasonTable,4,FALSE))*POWER(1-(AnnualChurn*VLOOKUP(ANR20,ChurnSeasonTable,4,FALSE)),0)</f>
        <v/>
      </c>
      <c r="AOO20" s="12">
        <f>AOI20+AOJ20+AOK20+AOL20+AOM20+AON20</f>
        <v/>
      </c>
      <c r="AOP20" s="9">
        <f>AOI20*BlendedPriceEssMonthly*ANU20+AOJ20*BlendedPricePremMonthly*ANU20+AOK20*BlendedPriceEliteMonthly*ANU20+AOL20*BlendedPriceEssAnnual*ANU20/12+AOM20*BlendedPricePremAnnual*ANU20/12+AON20*BlendedPriceEliteAnnual*ANU20/12</f>
        <v/>
      </c>
      <c r="AOQ20" s="9">
        <f>AOP20*12</f>
        <v/>
      </c>
      <c r="AOR20" s="12">
        <f>AOI20*BlendedPriceEssMonthly*ANU20+AOJ20*BlendedPricePremMonthly*ANU20+AOK20*BlendedPriceEliteMonthly*ANU20</f>
        <v/>
      </c>
      <c r="AOS20" s="12">
        <f>AOF20*BlendedPriceEssAnnual*ANU20+AOG20*BlendedPricePremAnnual*ANU20+AOH20*BlendedPriceEliteAnnual*ANU20</f>
        <v/>
      </c>
      <c r="AOT20" s="12">
        <f>AOF8*POWER(1-(AnnualChurn*VLOOKUP(ANR20,ChurnSeasonTable,4,FALSE)),1)*BlendedPriceEssAnnual*ANU20+AOG8*POWER(1-(AnnualChurn*VLOOKUP(ANR20,ChurnSeasonTable,4,FALSE)),1)*BlendedPricePremAnnual*ANU20+AOH8*POWER(1-(AnnualChurn*VLOOKUP(ANR20,ChurnSeasonTable,4,FALSE)),1)*BlendedPriceEliteAnnual*ANU20</f>
        <v/>
      </c>
      <c r="AOU20" s="9">
        <f>AOR20+AOS20+AOT20</f>
        <v/>
      </c>
      <c r="AOV20" s="12">
        <f>SUM(AOU9:AOU20)</f>
        <v/>
      </c>
      <c r="AOW20" s="12">
        <f>OR(AOW19,IF(VATAgentMode,SUM($AOU9:$AOU20)-SUM($APB9:$APB20)&gt;=VATThreshold,SUM($AOU9:$AOU20)&gt;=VATThreshold))</f>
        <v/>
      </c>
      <c r="AOX20" s="9">
        <f>IF(AOW20,IF(VATAgentMode,AOU20-((AOU20-APB20)-(AOU20-APB20)/(1+VATRate)),AOU20/(1+VATRate)),AOU20)</f>
        <v/>
      </c>
      <c r="AOY20" s="12">
        <f>AOU20-AOX20</f>
        <v/>
      </c>
      <c r="AOZ20" s="12">
        <f>IF(AOW20=0,0,IF(ANR20=1,SUMPRODUCT(--(($ANS$5:$ANS20=$ANS20-1)*($ANR$5:$ANR20&gt;=10)*($ANR$5:$ANR20&lt;=12)),$AOY$5:$AOY20),IF(ANR20=4,SUMPRODUCT(--(($ANS$5:$ANS20=$ANS20)*($ANR$5:$ANR20&gt;=1)*($ANR$5:$ANR20&lt;=3)),$AOY$5:$AOY20),IF(ANR20=7,SUMPRODUCT(--(($ANS$5:$ANS20=$ANS20)*($ANR$5:$ANR20&gt;=4)*($ANR$5:$ANR20&lt;=6)),$AOY$5:$AOY20),IF(ANR20=10,SUMPRODUCT(--(($ANS$5:$ANS20=$ANS20)*($ANR$5:$ANR20&gt;=7)*($ANR$5:$ANR20&lt;=9)),$AOY$5:$AOY20),0)))))</f>
        <v/>
      </c>
      <c r="APA20" s="12">
        <f>APA19+AOY20-AOZ20</f>
        <v/>
      </c>
      <c r="APB20" s="12">
        <f>IF(ProviderDelay&gt;=1,AOI19*BlendedProvPayEss+AOJ19*BlendedProvPayPrem+AOK19*BlendedProvPayElite+AOL19*BlendedProvPayEss+AOM19*BlendedProvPayPrem+AON19*BlendedProvPayElite,AOI20*BlendedProvPayEss+AOJ20*BlendedProvPayPrem+AOK20*BlendedProvPayElite+AOL20*BlendedProvPayEss+AOM20*BlendedProvPayPrem+AON20*BlendedProvPayElite)</f>
        <v/>
      </c>
      <c r="APC20" s="12">
        <f>AOU20*PaymentFee</f>
        <v/>
      </c>
      <c r="APD20" s="12">
        <f>AOO20*OpsAI</f>
        <v/>
      </c>
      <c r="APE20" s="12">
        <f>MonthlyFixed</f>
        <v/>
      </c>
      <c r="APF20" s="12">
        <f>ANY20*ReferralReward</f>
        <v/>
      </c>
      <c r="APG20" s="12">
        <f>ANW20</f>
        <v/>
      </c>
      <c r="APH20" s="9">
        <f>AOX20-APB20-APC20-APD20-APE20-APF20-APG20</f>
        <v/>
      </c>
      <c r="API20" s="9">
        <f>API19+AOU20-(APB20+APC20+APD20+APE20+APF20+APG20+AOZ20)</f>
        <v/>
      </c>
      <c r="APJ20" s="12">
        <f>IF(AOO20&gt;0,AOP20/AOO20,0)</f>
        <v/>
      </c>
      <c r="APK20" s="11">
        <f>IF(AOO19&gt;0,MAX(0,(AOO19+ANZ20-AOO20)/AOO19),0)</f>
        <v/>
      </c>
      <c r="APM20" s="12" t="n">
        <v>16</v>
      </c>
      <c r="APN20" s="12">
        <f>MOD(APM20-1+LaunchMonth-1,12)+1</f>
        <v/>
      </c>
      <c r="APO20" s="12">
        <f>INT((APM20-1+LaunchMonth-1)/12)+1</f>
        <v/>
      </c>
      <c r="APP20" s="12">
        <f>VLOOKUP(APN20,SeasonTable,2,FALSE)</f>
        <v/>
      </c>
      <c r="APQ20" s="12">
        <f>(1+InflationRate)^INT((APM20-1)/12)</f>
        <v/>
      </c>
      <c r="APR20" s="11">
        <f>MonthlyChurn*VLOOKUP(APN20,ChurnSeasonTable,4,FALSE)</f>
        <v/>
      </c>
      <c r="APS20" s="12">
        <f>MIN(MAX(MktMin13_18,AQQ19*MktPct13_18),MAX(0,ARE19-CashBuffer))</f>
        <v/>
      </c>
      <c r="APT20" s="12">
        <f>IF(APS20&gt;0,MAX(1,ROUND(APS20/'Sens - CAC &amp; Marketing'!$A$13*APP20,0)),0)</f>
        <v/>
      </c>
      <c r="APU20" s="12">
        <f>IF(APT20&gt;0,ROUND(APT20*ReferralMix/(1-ReferralMix),0),0)</f>
        <v/>
      </c>
      <c r="APV20" s="12">
        <f>APT20+APU20</f>
        <v/>
      </c>
      <c r="APW20" s="12">
        <f>ROUND(APV20*(1-AnnualMix),0)</f>
        <v/>
      </c>
      <c r="APX20" s="12">
        <f>APV20-APW20</f>
        <v/>
      </c>
      <c r="APY20" s="12">
        <f>ROUND(APW20*EssentialMix,0)</f>
        <v/>
      </c>
      <c r="APZ20" s="12">
        <f>ROUND(APW20*PremiumMix,0)</f>
        <v/>
      </c>
      <c r="AQA20" s="12">
        <f>APW20-APY20-APZ20</f>
        <v/>
      </c>
      <c r="AQB20" s="12">
        <f>ROUND(APX20*EssentialMix,0)</f>
        <v/>
      </c>
      <c r="AQC20" s="12">
        <f>ROUND(APX20*PremiumMix,0)</f>
        <v/>
      </c>
      <c r="AQD20" s="12">
        <f>APX20-AQB20-AQC20</f>
        <v/>
      </c>
      <c r="AQE20" s="12">
        <f>APY20+APY19+APY18+MAX(0,AQE19-APY19-APY18)*(1-APR20)</f>
        <v/>
      </c>
      <c r="AQF20" s="12">
        <f>APZ20+APZ19+APZ18+MAX(0,AQF19-APZ19-APZ18)*(1-APR20)</f>
        <v/>
      </c>
      <c r="AQG20" s="12">
        <f>AQA20+AQA19+AQA18+MAX(0,AQG19-AQA19-AQA18)*(1-APR20)</f>
        <v/>
      </c>
      <c r="AQH20" s="12">
        <f>AQH19+AQB20-AQB8*(AnnualChurn*VLOOKUP(APN20,ChurnSeasonTable,4,FALSE))*POWER(1-(AnnualChurn*VLOOKUP(APN20,ChurnSeasonTable,4,FALSE)),0)</f>
        <v/>
      </c>
      <c r="AQI20" s="12">
        <f>AQI19+AQC20-AQC8*(AnnualChurn*VLOOKUP(APN20,ChurnSeasonTable,4,FALSE))*POWER(1-(AnnualChurn*VLOOKUP(APN20,ChurnSeasonTable,4,FALSE)),0)</f>
        <v/>
      </c>
      <c r="AQJ20" s="12">
        <f>AQJ19+AQD20-AQD8*(AnnualChurn*VLOOKUP(APN20,ChurnSeasonTable,4,FALSE))*POWER(1-(AnnualChurn*VLOOKUP(APN20,ChurnSeasonTable,4,FALSE)),0)</f>
        <v/>
      </c>
      <c r="AQK20" s="12">
        <f>AQE20+AQF20+AQG20+AQH20+AQI20+AQJ20</f>
        <v/>
      </c>
      <c r="AQL20" s="9">
        <f>AQE20*BlendedPriceEssMonthly*APQ20+AQF20*BlendedPricePremMonthly*APQ20+AQG20*BlendedPriceEliteMonthly*APQ20+AQH20*BlendedPriceEssAnnual*APQ20/12+AQI20*BlendedPricePremAnnual*APQ20/12+AQJ20*BlendedPriceEliteAnnual*APQ20/12</f>
        <v/>
      </c>
      <c r="AQM20" s="9">
        <f>AQL20*12</f>
        <v/>
      </c>
      <c r="AQN20" s="12">
        <f>AQE20*BlendedPriceEssMonthly*APQ20+AQF20*BlendedPricePremMonthly*APQ20+AQG20*BlendedPriceEliteMonthly*APQ20</f>
        <v/>
      </c>
      <c r="AQO20" s="12">
        <f>AQB20*BlendedPriceEssAnnual*APQ20+AQC20*BlendedPricePremAnnual*APQ20+AQD20*BlendedPriceEliteAnnual*APQ20</f>
        <v/>
      </c>
      <c r="AQP20" s="12">
        <f>AQB8*POWER(1-(AnnualChurn*VLOOKUP(APN20,ChurnSeasonTable,4,FALSE)),1)*BlendedPriceEssAnnual*APQ20+AQC8*POWER(1-(AnnualChurn*VLOOKUP(APN20,ChurnSeasonTable,4,FALSE)),1)*BlendedPricePremAnnual*APQ20+AQD8*POWER(1-(AnnualChurn*VLOOKUP(APN20,ChurnSeasonTable,4,FALSE)),1)*BlendedPriceEliteAnnual*APQ20</f>
        <v/>
      </c>
      <c r="AQQ20" s="9">
        <f>AQN20+AQO20+AQP20</f>
        <v/>
      </c>
      <c r="AQR20" s="12">
        <f>SUM(AQQ9:AQQ20)</f>
        <v/>
      </c>
      <c r="AQS20" s="12">
        <f>OR(AQS19,IF(VATAgentMode,SUM($AQQ9:$AQQ20)-SUM($AQX9:$AQX20)&gt;=VATThreshold,SUM($AQQ9:$AQQ20)&gt;=VATThreshold))</f>
        <v/>
      </c>
      <c r="AQT20" s="9">
        <f>IF(AQS20,IF(VATAgentMode,AQQ20-((AQQ20-AQX20)-(AQQ20-AQX20)/(1+VATRate)),AQQ20/(1+VATRate)),AQQ20)</f>
        <v/>
      </c>
      <c r="AQU20" s="12">
        <f>AQQ20-AQT20</f>
        <v/>
      </c>
      <c r="AQV20" s="12">
        <f>IF(AQS20=0,0,IF(APN20=1,SUMPRODUCT(--(($APO$5:$APO20=$APO20-1)*($APN$5:$APN20&gt;=10)*($APN$5:$APN20&lt;=12)),$AQU$5:$AQU20),IF(APN20=4,SUMPRODUCT(--(($APO$5:$APO20=$APO20)*($APN$5:$APN20&gt;=1)*($APN$5:$APN20&lt;=3)),$AQU$5:$AQU20),IF(APN20=7,SUMPRODUCT(--(($APO$5:$APO20=$APO20)*($APN$5:$APN20&gt;=4)*($APN$5:$APN20&lt;=6)),$AQU$5:$AQU20),IF(APN20=10,SUMPRODUCT(--(($APO$5:$APO20=$APO20)*($APN$5:$APN20&gt;=7)*($APN$5:$APN20&lt;=9)),$AQU$5:$AQU20),0)))))</f>
        <v/>
      </c>
      <c r="AQW20" s="12">
        <f>AQW19+AQU20-AQV20</f>
        <v/>
      </c>
      <c r="AQX20" s="12">
        <f>IF(ProviderDelay&gt;=1,AQE19*BlendedProvPayEss+AQF19*BlendedProvPayPrem+AQG19*BlendedProvPayElite+AQH19*BlendedProvPayEss+AQI19*BlendedProvPayPrem+AQJ19*BlendedProvPayElite,AQE20*BlendedProvPayEss+AQF20*BlendedProvPayPrem+AQG20*BlendedProvPayElite+AQH20*BlendedProvPayEss+AQI20*BlendedProvPayPrem+AQJ20*BlendedProvPayElite)</f>
        <v/>
      </c>
      <c r="AQY20" s="12">
        <f>AQQ20*PaymentFee</f>
        <v/>
      </c>
      <c r="AQZ20" s="12">
        <f>AQK20*OpsAI</f>
        <v/>
      </c>
      <c r="ARA20" s="12">
        <f>MonthlyFixed</f>
        <v/>
      </c>
      <c r="ARB20" s="12">
        <f>APU20*ReferralReward</f>
        <v/>
      </c>
      <c r="ARC20" s="12">
        <f>APS20</f>
        <v/>
      </c>
      <c r="ARD20" s="9">
        <f>AQT20-AQX20-AQY20-AQZ20-ARA20-ARB20-ARC20</f>
        <v/>
      </c>
      <c r="ARE20" s="9">
        <f>ARE19+AQQ20-(AQX20+AQY20+AQZ20+ARA20+ARB20+ARC20+AQV20)</f>
        <v/>
      </c>
      <c r="ARF20" s="12">
        <f>IF(AQK20&gt;0,AQL20/AQK20,0)</f>
        <v/>
      </c>
      <c r="ARG20" s="11">
        <f>IF(AQK19&gt;0,MAX(0,(AQK19+APV20-AQK20)/AQK19),0)</f>
        <v/>
      </c>
      <c r="ARI20" s="12" t="n">
        <v>16</v>
      </c>
      <c r="ARJ20" s="12">
        <f>MOD(ARI20-1+LaunchMonth-1,12)+1</f>
        <v/>
      </c>
      <c r="ARK20" s="12">
        <f>INT((ARI20-1+LaunchMonth-1)/12)+1</f>
        <v/>
      </c>
      <c r="ARL20" s="12">
        <f>VLOOKUP(ARJ20,SeasonTable,2,FALSE)</f>
        <v/>
      </c>
      <c r="ARM20" s="12">
        <f>(1+InflationRate)^INT((ARI20-1)/12)</f>
        <v/>
      </c>
      <c r="ARN20" s="11">
        <f>MonthlyChurn*VLOOKUP(ARJ20,ChurnSeasonTable,4,FALSE)</f>
        <v/>
      </c>
      <c r="ARO20" s="12">
        <f>MIN(MAX(MktMin13_18,ASM19*MktPct13_18),MAX(0,ATA19-CashBuffer))</f>
        <v/>
      </c>
      <c r="ARP20" s="12">
        <f>IF(ARO20&gt;0,MAX(1,ROUND(ARO20/'Sens - CAC &amp; Marketing'!$A$14*ARL20,0)),0)</f>
        <v/>
      </c>
      <c r="ARQ20" s="12">
        <f>IF(ARP20&gt;0,ROUND(ARP20*ReferralMix/(1-ReferralMix),0),0)</f>
        <v/>
      </c>
      <c r="ARR20" s="12">
        <f>ARP20+ARQ20</f>
        <v/>
      </c>
      <c r="ARS20" s="12">
        <f>ROUND(ARR20*(1-AnnualMix),0)</f>
        <v/>
      </c>
      <c r="ART20" s="12">
        <f>ARR20-ARS20</f>
        <v/>
      </c>
      <c r="ARU20" s="12">
        <f>ROUND(ARS20*EssentialMix,0)</f>
        <v/>
      </c>
      <c r="ARV20" s="12">
        <f>ROUND(ARS20*PremiumMix,0)</f>
        <v/>
      </c>
      <c r="ARW20" s="12">
        <f>ARS20-ARU20-ARV20</f>
        <v/>
      </c>
      <c r="ARX20" s="12">
        <f>ROUND(ART20*EssentialMix,0)</f>
        <v/>
      </c>
      <c r="ARY20" s="12">
        <f>ROUND(ART20*PremiumMix,0)</f>
        <v/>
      </c>
      <c r="ARZ20" s="12">
        <f>ART20-ARX20-ARY20</f>
        <v/>
      </c>
      <c r="ASA20" s="12">
        <f>ARU20+ARU19+ARU18+MAX(0,ASA19-ARU19-ARU18)*(1-ARN20)</f>
        <v/>
      </c>
      <c r="ASB20" s="12">
        <f>ARV20+ARV19+ARV18+MAX(0,ASB19-ARV19-ARV18)*(1-ARN20)</f>
        <v/>
      </c>
      <c r="ASC20" s="12">
        <f>ARW20+ARW19+ARW18+MAX(0,ASC19-ARW19-ARW18)*(1-ARN20)</f>
        <v/>
      </c>
      <c r="ASD20" s="12">
        <f>ASD19+ARX20-ARX8*(AnnualChurn*VLOOKUP(ARJ20,ChurnSeasonTable,4,FALSE))*POWER(1-(AnnualChurn*VLOOKUP(ARJ20,ChurnSeasonTable,4,FALSE)),0)</f>
        <v/>
      </c>
      <c r="ASE20" s="12">
        <f>ASE19+ARY20-ARY8*(AnnualChurn*VLOOKUP(ARJ20,ChurnSeasonTable,4,FALSE))*POWER(1-(AnnualChurn*VLOOKUP(ARJ20,ChurnSeasonTable,4,FALSE)),0)</f>
        <v/>
      </c>
      <c r="ASF20" s="12">
        <f>ASF19+ARZ20-ARZ8*(AnnualChurn*VLOOKUP(ARJ20,ChurnSeasonTable,4,FALSE))*POWER(1-(AnnualChurn*VLOOKUP(ARJ20,ChurnSeasonTable,4,FALSE)),0)</f>
        <v/>
      </c>
      <c r="ASG20" s="12">
        <f>ASA20+ASB20+ASC20+ASD20+ASE20+ASF20</f>
        <v/>
      </c>
      <c r="ASH20" s="9">
        <f>ASA20*BlendedPriceEssMonthly*ARM20+ASB20*BlendedPricePremMonthly*ARM20+ASC20*BlendedPriceEliteMonthly*ARM20+ASD20*BlendedPriceEssAnnual*ARM20/12+ASE20*BlendedPricePremAnnual*ARM20/12+ASF20*BlendedPriceEliteAnnual*ARM20/12</f>
        <v/>
      </c>
      <c r="ASI20" s="9">
        <f>ASH20*12</f>
        <v/>
      </c>
      <c r="ASJ20" s="12">
        <f>ASA20*BlendedPriceEssMonthly*ARM20+ASB20*BlendedPricePremMonthly*ARM20+ASC20*BlendedPriceEliteMonthly*ARM20</f>
        <v/>
      </c>
      <c r="ASK20" s="12">
        <f>ARX20*BlendedPriceEssAnnual*ARM20+ARY20*BlendedPricePremAnnual*ARM20+ARZ20*BlendedPriceEliteAnnual*ARM20</f>
        <v/>
      </c>
      <c r="ASL20" s="12">
        <f>ARX8*POWER(1-(AnnualChurn*VLOOKUP(ARJ20,ChurnSeasonTable,4,FALSE)),1)*BlendedPriceEssAnnual*ARM20+ARY8*POWER(1-(AnnualChurn*VLOOKUP(ARJ20,ChurnSeasonTable,4,FALSE)),1)*BlendedPricePremAnnual*ARM20+ARZ8*POWER(1-(AnnualChurn*VLOOKUP(ARJ20,ChurnSeasonTable,4,FALSE)),1)*BlendedPriceEliteAnnual*ARM20</f>
        <v/>
      </c>
      <c r="ASM20" s="9">
        <f>ASJ20+ASK20+ASL20</f>
        <v/>
      </c>
      <c r="ASN20" s="12">
        <f>SUM(ASM9:ASM20)</f>
        <v/>
      </c>
      <c r="ASO20" s="12">
        <f>OR(ASO19,IF(VATAgentMode,SUM($ASM9:$ASM20)-SUM($AST9:$AST20)&gt;=VATThreshold,SUM($ASM9:$ASM20)&gt;=VATThreshold))</f>
        <v/>
      </c>
      <c r="ASP20" s="9">
        <f>IF(ASO20,IF(VATAgentMode,ASM20-((ASM20-AST20)-(ASM20-AST20)/(1+VATRate)),ASM20/(1+VATRate)),ASM20)</f>
        <v/>
      </c>
      <c r="ASQ20" s="12">
        <f>ASM20-ASP20</f>
        <v/>
      </c>
      <c r="ASR20" s="12">
        <f>IF(ASO20=0,0,IF(ARJ20=1,SUMPRODUCT(--(($ARK$5:$ARK20=$ARK20-1)*($ARJ$5:$ARJ20&gt;=10)*($ARJ$5:$ARJ20&lt;=12)),$ASQ$5:$ASQ20),IF(ARJ20=4,SUMPRODUCT(--(($ARK$5:$ARK20=$ARK20)*($ARJ$5:$ARJ20&gt;=1)*($ARJ$5:$ARJ20&lt;=3)),$ASQ$5:$ASQ20),IF(ARJ20=7,SUMPRODUCT(--(($ARK$5:$ARK20=$ARK20)*($ARJ$5:$ARJ20&gt;=4)*($ARJ$5:$ARJ20&lt;=6)),$ASQ$5:$ASQ20),IF(ARJ20=10,SUMPRODUCT(--(($ARK$5:$ARK20=$ARK20)*($ARJ$5:$ARJ20&gt;=7)*($ARJ$5:$ARJ20&lt;=9)),$ASQ$5:$ASQ20),0)))))</f>
        <v/>
      </c>
      <c r="ASS20" s="12">
        <f>ASS19+ASQ20-ASR20</f>
        <v/>
      </c>
      <c r="AST20" s="12">
        <f>IF(ProviderDelay&gt;=1,ASA19*BlendedProvPayEss+ASB19*BlendedProvPayPrem+ASC19*BlendedProvPayElite+ASD19*BlendedProvPayEss+ASE19*BlendedProvPayPrem+ASF19*BlendedProvPayElite,ASA20*BlendedProvPayEss+ASB20*BlendedProvPayPrem+ASC20*BlendedProvPayElite+ASD20*BlendedProvPayEss+ASE20*BlendedProvPayPrem+ASF20*BlendedProvPayElite)</f>
        <v/>
      </c>
      <c r="ASU20" s="12">
        <f>ASM20*PaymentFee</f>
        <v/>
      </c>
      <c r="ASV20" s="12">
        <f>ASG20*OpsAI</f>
        <v/>
      </c>
      <c r="ASW20" s="12">
        <f>MonthlyFixed</f>
        <v/>
      </c>
      <c r="ASX20" s="12">
        <f>ARQ20*ReferralReward</f>
        <v/>
      </c>
      <c r="ASY20" s="12">
        <f>ARO20</f>
        <v/>
      </c>
      <c r="ASZ20" s="9">
        <f>ASP20-AST20-ASU20-ASV20-ASW20-ASX20-ASY20</f>
        <v/>
      </c>
      <c r="ATA20" s="9">
        <f>ATA19+ASM20-(AST20+ASU20+ASV20+ASW20+ASX20+ASY20+ASR20)</f>
        <v/>
      </c>
      <c r="ATB20" s="12">
        <f>IF(ASG20&gt;0,ASH20/ASG20,0)</f>
        <v/>
      </c>
      <c r="ATC20" s="11">
        <f>IF(ASG19&gt;0,MAX(0,(ASG19+ARR20-ASG20)/ASG19),0)</f>
        <v/>
      </c>
      <c r="ATE20" s="12" t="n">
        <v>16</v>
      </c>
      <c r="ATF20" s="12">
        <f>MOD(ATE20-1+LaunchMonth-1,12)+1</f>
        <v/>
      </c>
      <c r="ATG20" s="12">
        <f>INT((ATE20-1+LaunchMonth-1)/12)+1</f>
        <v/>
      </c>
      <c r="ATH20" s="12">
        <f>VLOOKUP(ATF20,SeasonTable,2,FALSE)</f>
        <v/>
      </c>
      <c r="ATI20" s="12">
        <f>(1+InflationRate)^INT((ATE20-1)/12)</f>
        <v/>
      </c>
      <c r="ATJ20" s="11">
        <f>MonthlyChurn*VLOOKUP(ATF20,ChurnSeasonTable,4,FALSE)</f>
        <v/>
      </c>
      <c r="ATK20" s="12">
        <f>MIN(MAX(MktMin13_18,AUI19*MktPct13_18),MAX(0,AUW19-CashBuffer))</f>
        <v/>
      </c>
      <c r="ATL20" s="12">
        <f>IF(ATK20&gt;0,MAX(1,ROUND(ATK20/'Sens - CAC &amp; Marketing'!$A$15*ATH20,0)),0)</f>
        <v/>
      </c>
      <c r="ATM20" s="12">
        <f>IF(ATL20&gt;0,ROUND(ATL20*ReferralMix/(1-ReferralMix),0),0)</f>
        <v/>
      </c>
      <c r="ATN20" s="12">
        <f>ATL20+ATM20</f>
        <v/>
      </c>
      <c r="ATO20" s="12">
        <f>ROUND(ATN20*(1-AnnualMix),0)</f>
        <v/>
      </c>
      <c r="ATP20" s="12">
        <f>ATN20-ATO20</f>
        <v/>
      </c>
      <c r="ATQ20" s="12">
        <f>ROUND(ATO20*EssentialMix,0)</f>
        <v/>
      </c>
      <c r="ATR20" s="12">
        <f>ROUND(ATO20*PremiumMix,0)</f>
        <v/>
      </c>
      <c r="ATS20" s="12">
        <f>ATO20-ATQ20-ATR20</f>
        <v/>
      </c>
      <c r="ATT20" s="12">
        <f>ROUND(ATP20*EssentialMix,0)</f>
        <v/>
      </c>
      <c r="ATU20" s="12">
        <f>ROUND(ATP20*PremiumMix,0)</f>
        <v/>
      </c>
      <c r="ATV20" s="12">
        <f>ATP20-ATT20-ATU20</f>
        <v/>
      </c>
      <c r="ATW20" s="12">
        <f>ATQ20+ATQ19+ATQ18+MAX(0,ATW19-ATQ19-ATQ18)*(1-ATJ20)</f>
        <v/>
      </c>
      <c r="ATX20" s="12">
        <f>ATR20+ATR19+ATR18+MAX(0,ATX19-ATR19-ATR18)*(1-ATJ20)</f>
        <v/>
      </c>
      <c r="ATY20" s="12">
        <f>ATS20+ATS19+ATS18+MAX(0,ATY19-ATS19-ATS18)*(1-ATJ20)</f>
        <v/>
      </c>
      <c r="ATZ20" s="12">
        <f>ATZ19+ATT20-ATT8*(AnnualChurn*VLOOKUP(ATF20,ChurnSeasonTable,4,FALSE))*POWER(1-(AnnualChurn*VLOOKUP(ATF20,ChurnSeasonTable,4,FALSE)),0)</f>
        <v/>
      </c>
      <c r="AUA20" s="12">
        <f>AUA19+ATU20-ATU8*(AnnualChurn*VLOOKUP(ATF20,ChurnSeasonTable,4,FALSE))*POWER(1-(AnnualChurn*VLOOKUP(ATF20,ChurnSeasonTable,4,FALSE)),0)</f>
        <v/>
      </c>
      <c r="AUB20" s="12">
        <f>AUB19+ATV20-ATV8*(AnnualChurn*VLOOKUP(ATF20,ChurnSeasonTable,4,FALSE))*POWER(1-(AnnualChurn*VLOOKUP(ATF20,ChurnSeasonTable,4,FALSE)),0)</f>
        <v/>
      </c>
      <c r="AUC20" s="12">
        <f>ATW20+ATX20+ATY20+ATZ20+AUA20+AUB20</f>
        <v/>
      </c>
      <c r="AUD20" s="9">
        <f>ATW20*BlendedPriceEssMonthly*ATI20+ATX20*BlendedPricePremMonthly*ATI20+ATY20*BlendedPriceEliteMonthly*ATI20+ATZ20*BlendedPriceEssAnnual*ATI20/12+AUA20*BlendedPricePremAnnual*ATI20/12+AUB20*BlendedPriceEliteAnnual*ATI20/12</f>
        <v/>
      </c>
      <c r="AUE20" s="9">
        <f>AUD20*12</f>
        <v/>
      </c>
      <c r="AUF20" s="12">
        <f>ATW20*BlendedPriceEssMonthly*ATI20+ATX20*BlendedPricePremMonthly*ATI20+ATY20*BlendedPriceEliteMonthly*ATI20</f>
        <v/>
      </c>
      <c r="AUG20" s="12">
        <f>ATT20*BlendedPriceEssAnnual*ATI20+ATU20*BlendedPricePremAnnual*ATI20+ATV20*BlendedPriceEliteAnnual*ATI20</f>
        <v/>
      </c>
      <c r="AUH20" s="12">
        <f>ATT8*POWER(1-(AnnualChurn*VLOOKUP(ATF20,ChurnSeasonTable,4,FALSE)),1)*BlendedPriceEssAnnual*ATI20+ATU8*POWER(1-(AnnualChurn*VLOOKUP(ATF20,ChurnSeasonTable,4,FALSE)),1)*BlendedPricePremAnnual*ATI20+ATV8*POWER(1-(AnnualChurn*VLOOKUP(ATF20,ChurnSeasonTable,4,FALSE)),1)*BlendedPriceEliteAnnual*ATI20</f>
        <v/>
      </c>
      <c r="AUI20" s="9">
        <f>AUF20+AUG20+AUH20</f>
        <v/>
      </c>
      <c r="AUJ20" s="12">
        <f>SUM(AUI9:AUI20)</f>
        <v/>
      </c>
      <c r="AUK20" s="12">
        <f>OR(AUK19,IF(VATAgentMode,SUM($AUI9:$AUI20)-SUM($AUP9:$AUP20)&gt;=VATThreshold,SUM($AUI9:$AUI20)&gt;=VATThreshold))</f>
        <v/>
      </c>
      <c r="AUL20" s="9">
        <f>IF(AUK20,IF(VATAgentMode,AUI20-((AUI20-AUP20)-(AUI20-AUP20)/(1+VATRate)),AUI20/(1+VATRate)),AUI20)</f>
        <v/>
      </c>
      <c r="AUM20" s="12">
        <f>AUI20-AUL20</f>
        <v/>
      </c>
      <c r="AUN20" s="12">
        <f>IF(AUK20=0,0,IF(ATF20=1,SUMPRODUCT(--(($ATG$5:$ATG20=$ATG20-1)*($ATF$5:$ATF20&gt;=10)*($ATF$5:$ATF20&lt;=12)),$AUM$5:$AUM20),IF(ATF20=4,SUMPRODUCT(--(($ATG$5:$ATG20=$ATG20)*($ATF$5:$ATF20&gt;=1)*($ATF$5:$ATF20&lt;=3)),$AUM$5:$AUM20),IF(ATF20=7,SUMPRODUCT(--(($ATG$5:$ATG20=$ATG20)*($ATF$5:$ATF20&gt;=4)*($ATF$5:$ATF20&lt;=6)),$AUM$5:$AUM20),IF(ATF20=10,SUMPRODUCT(--(($ATG$5:$ATG20=$ATG20)*($ATF$5:$ATF20&gt;=7)*($ATF$5:$ATF20&lt;=9)),$AUM$5:$AUM20),0)))))</f>
        <v/>
      </c>
      <c r="AUO20" s="12">
        <f>AUO19+AUM20-AUN20</f>
        <v/>
      </c>
      <c r="AUP20" s="12">
        <f>IF(ProviderDelay&gt;=1,ATW19*BlendedProvPayEss+ATX19*BlendedProvPayPrem+ATY19*BlendedProvPayElite+ATZ19*BlendedProvPayEss+AUA19*BlendedProvPayPrem+AUB19*BlendedProvPayElite,ATW20*BlendedProvPayEss+ATX20*BlendedProvPayPrem+ATY20*BlendedProvPayElite+ATZ20*BlendedProvPayEss+AUA20*BlendedProvPayPrem+AUB20*BlendedProvPayElite)</f>
        <v/>
      </c>
      <c r="AUQ20" s="12">
        <f>AUI20*PaymentFee</f>
        <v/>
      </c>
      <c r="AUR20" s="12">
        <f>AUC20*OpsAI</f>
        <v/>
      </c>
      <c r="AUS20" s="12">
        <f>MonthlyFixed</f>
        <v/>
      </c>
      <c r="AUT20" s="12">
        <f>ATM20*ReferralReward</f>
        <v/>
      </c>
      <c r="AUU20" s="12">
        <f>ATK20</f>
        <v/>
      </c>
      <c r="AUV20" s="9">
        <f>AUL20-AUP20-AUQ20-AUR20-AUS20-AUT20-AUU20</f>
        <v/>
      </c>
      <c r="AUW20" s="9">
        <f>AUW19+AUI20-(AUP20+AUQ20+AUR20+AUS20+AUT20+AUU20+AUN20)</f>
        <v/>
      </c>
      <c r="AUX20" s="12">
        <f>IF(AUC20&gt;0,AUD20/AUC20,0)</f>
        <v/>
      </c>
      <c r="AUY20" s="11">
        <f>IF(AUC19&gt;0,MAX(0,(AUC19+ATN20-AUC20)/AUC19),0)</f>
        <v/>
      </c>
      <c r="AVA20" s="12" t="n">
        <v>16</v>
      </c>
      <c r="AVB20" s="12">
        <f>MOD(AVA20-1+LaunchMonth-1,12)+1</f>
        <v/>
      </c>
      <c r="AVC20" s="12">
        <f>INT((AVA20-1+LaunchMonth-1)/12)+1</f>
        <v/>
      </c>
      <c r="AVD20" s="12">
        <f>VLOOKUP(AVB20,WinterPivotSeasonTable,5,FALSE)</f>
        <v/>
      </c>
      <c r="AVE20" s="12">
        <f>(1+InflationRate)^INT((AVA20-1)/12)</f>
        <v/>
      </c>
      <c r="AVF20" s="11">
        <f>MonthlyChurn*VLOOKUP(AVB20,WinterPivotChurnTable,6,FALSE)</f>
        <v/>
      </c>
      <c r="AVG20" s="12">
        <f>MIN(MAX(MktMin13_18,AWE19*MktPct13_18),MAX(0,AWS19-CashBuffer))</f>
        <v/>
      </c>
      <c r="AVH20" s="12">
        <f>IF(AVG20&gt;0,MAX(1,ROUND(AVG20/CAC*AVD20,0)),0)</f>
        <v/>
      </c>
      <c r="AVI20" s="12">
        <f>IF(AVH20&gt;0,ROUND(AVH20*ReferralMix/(1-ReferralMix),0),0)</f>
        <v/>
      </c>
      <c r="AVJ20" s="12">
        <f>AVH20+AVI20</f>
        <v/>
      </c>
      <c r="AVK20" s="12">
        <f>ROUND(AVJ20*(1-AnnualMix),0)</f>
        <v/>
      </c>
      <c r="AVL20" s="12">
        <f>AVJ20-AVK20</f>
        <v/>
      </c>
      <c r="AVM20" s="12">
        <f>ROUND(AVK20*'Sens - Winter Pivot'!$B$6,0)</f>
        <v/>
      </c>
      <c r="AVN20" s="12">
        <f>ROUND(AVK20*PremiumMix,0)</f>
        <v/>
      </c>
      <c r="AVO20" s="12">
        <f>AVK20-AVM20-AVN20</f>
        <v/>
      </c>
      <c r="AVP20" s="12">
        <f>ROUND(AVL20*'Sens - Winter Pivot'!$B$6,0)</f>
        <v/>
      </c>
      <c r="AVQ20" s="12">
        <f>ROUND(AVL20*PremiumMix,0)</f>
        <v/>
      </c>
      <c r="AVR20" s="12">
        <f>AVL20-AVP20-AVQ20</f>
        <v/>
      </c>
      <c r="AVS20" s="12">
        <f>AVM20+AVM19+AVM18+MAX(0,AVS19-AVM19-AVM18)*(1-AVF20)</f>
        <v/>
      </c>
      <c r="AVT20" s="12">
        <f>AVN20+AVN19+AVN18+MAX(0,AVT19-AVN19-AVN18)*(1-AVF20)</f>
        <v/>
      </c>
      <c r="AVU20" s="12">
        <f>AVO20+AVO19+AVO18+MAX(0,AVU19-AVO19-AVO18)*(1-AVF20)</f>
        <v/>
      </c>
      <c r="AVV20" s="12">
        <f>AVV19+AVP20-AVP8*(AnnualChurn*VLOOKUP(AVB20,ChurnSeasonTable,4,FALSE))*POWER(1-(AnnualChurn*VLOOKUP(AVB20,ChurnSeasonTable,4,FALSE)),0)</f>
        <v/>
      </c>
      <c r="AVW20" s="12">
        <f>AVW19+AVQ20-AVQ8*(AnnualChurn*VLOOKUP(AVB20,ChurnSeasonTable,4,FALSE))*POWER(1-(AnnualChurn*VLOOKUP(AVB20,ChurnSeasonTable,4,FALSE)),0)</f>
        <v/>
      </c>
      <c r="AVX20" s="12">
        <f>AVX19+AVR20-AVR8*(AnnualChurn*VLOOKUP(AVB20,ChurnSeasonTable,4,FALSE))*POWER(1-(AnnualChurn*VLOOKUP(AVB20,ChurnSeasonTable,4,FALSE)),0)</f>
        <v/>
      </c>
      <c r="AVY20" s="12">
        <f>AVS20+AVT20+AVU20+AVV20+AVW20+AVX20</f>
        <v/>
      </c>
      <c r="AVZ20" s="9">
        <f>AVS20*BlendedPriceEssMonthly*AVE20+AVT20*(BlendedPricePremMonthly+'Sens - Winter Pivot'!$B$7)*AVE20+AVU20*BlendedPriceEliteMonthly*AVE20+AVV20*BlendedPriceEssAnnual*AVE20/12+AVW20*(BlendedPricePremAnnual+'Sens - Winter Pivot'!$B$7*12)*AVE20/12+AVX20*BlendedPriceEliteAnnual*AVE20/12</f>
        <v/>
      </c>
      <c r="AWA20" s="9">
        <f>AVZ20*12</f>
        <v/>
      </c>
      <c r="AWB20" s="12">
        <f>AVS20*BlendedPriceEssMonthly*AVE20+AVT20*(BlendedPricePremMonthly+'Sens - Winter Pivot'!$B$7)*AVE20+AVU20*BlendedPriceEliteMonthly*AVE20</f>
        <v/>
      </c>
      <c r="AWC20" s="12">
        <f>AVP20*BlendedPriceEssAnnual*AVE20+AVQ20*(BlendedPricePremAnnual+'Sens - Winter Pivot'!$B$7*12)*AVE20+AVR20*BlendedPriceEliteAnnual*AVE20</f>
        <v/>
      </c>
      <c r="AWD20" s="12">
        <f>AVP8*POWER(1-(AnnualChurn*VLOOKUP(AVB20,ChurnSeasonTable,4,FALSE)),1)*BlendedPriceEssAnnual*AVE20+AVQ8*POWER(1-(AnnualChurn*VLOOKUP(AVB20,ChurnSeasonTable,4,FALSE)),1)*BlendedPricePremAnnual*AVE20+AVR8*POWER(1-(AnnualChurn*VLOOKUP(AVB20,ChurnSeasonTable,4,FALSE)),1)*BlendedPriceEliteAnnual*AVE20</f>
        <v/>
      </c>
      <c r="AWE20" s="9">
        <f>AWB20+AWC20+AWD20</f>
        <v/>
      </c>
      <c r="AWF20" s="12">
        <f>SUM(AWE9:AWE20)</f>
        <v/>
      </c>
      <c r="AWG20" s="12">
        <f>OR(AWG19,IF(VATAgentMode,SUM($AWE9:$AWE20)-SUM($AWL9:$AWL20)&gt;=VATThreshold,SUM($AWE9:$AWE20)&gt;=VATThreshold))</f>
        <v/>
      </c>
      <c r="AWH20" s="9">
        <f>IF(AWG20,IF(VATAgentMode,AWE20-((AWE20-AWL20)-(AWE20-AWL20)/(1+VATRate)),AWE20/(1+VATRate)),AWE20)</f>
        <v/>
      </c>
      <c r="AWI20" s="12">
        <f>AWE20-AWH20</f>
        <v/>
      </c>
      <c r="AWJ20" s="12">
        <f>IF(AWG20=0,0,IF(AVB20=1,SUMPRODUCT(--(($AVC$5:$AVC20=$AVC20-1)*($AVB$5:$AVB20&gt;=10)*($AVB$5:$AVB20&lt;=12)),$AWI$5:$AWI20),IF(AVB20=4,SUMPRODUCT(--(($AVC$5:$AVC20=$AVC20)*($AVB$5:$AVB20&gt;=1)*($AVB$5:$AVB20&lt;=3)),$AWI$5:$AWI20),IF(AVB20=7,SUMPRODUCT(--(($AVC$5:$AVC20=$AVC20)*($AVB$5:$AVB20&gt;=4)*($AVB$5:$AVB20&lt;=6)),$AWI$5:$AWI20),IF(AVB20=10,SUMPRODUCT(--(($AVC$5:$AVC20=$AVC20)*($AVB$5:$AVB20&gt;=7)*($AVB$5:$AVB20&lt;=9)),$AWI$5:$AWI20),0)))))</f>
        <v/>
      </c>
      <c r="AWK20" s="12">
        <f>AWK19+AWI20-AWJ20</f>
        <v/>
      </c>
      <c r="AWL20" s="12">
        <f>IF(ProviderDelay&gt;=1,AVS19*BlendedProvPayEss+AVT19*BlendedProvPayPrem+AVU19*BlendedProvPayElite+AVV19*BlendedProvPayEss+AVW19*BlendedProvPayPrem+AVX19*BlendedProvPayElite,AVS20*BlendedProvPayEss+AVT20*BlendedProvPayPrem+AVU20*BlendedProvPayElite+AVV20*BlendedProvPayEss+AVW20*BlendedProvPayPrem+AVX20*BlendedProvPayElite)</f>
        <v/>
      </c>
      <c r="AWM20" s="12">
        <f>AWE20*PaymentFee</f>
        <v/>
      </c>
      <c r="AWN20" s="12">
        <f>AVY20*OpsAI</f>
        <v/>
      </c>
      <c r="AWO20" s="12">
        <f>MonthlyFixed</f>
        <v/>
      </c>
      <c r="AWP20" s="12">
        <f>AVI20*ReferralReward</f>
        <v/>
      </c>
      <c r="AWQ20" s="12">
        <f>AVG20</f>
        <v/>
      </c>
      <c r="AWR20" s="9">
        <f>AWH20-AWL20-AWM20-AWN20-AWO20-AWP20-AWQ20</f>
        <v/>
      </c>
      <c r="AWS20" s="9">
        <f>AWS19+AWE20-(AWL20+AWM20+AWN20+AWO20+AWP20+AWQ20+AWJ20)</f>
        <v/>
      </c>
      <c r="AWT20" s="12">
        <f>IF(AVY20&gt;0,AVZ20/AVY20,0)</f>
        <v/>
      </c>
      <c r="AWU20" s="11">
        <f>IF(AVY19&gt;0,MAX(0,(AVY19+AVJ20-AVY20)/AVY19),0)</f>
        <v/>
      </c>
    </row>
    <row r="21">
      <c r="A21" s="12" t="n">
        <v>17</v>
      </c>
      <c r="B21" s="12">
        <f>MOD(A21-1+LaunchMonth-1,12)+1</f>
        <v/>
      </c>
      <c r="C21" s="12">
        <f>INT((A21-1+LaunchMonth-1)/12)+1</f>
        <v/>
      </c>
      <c r="D21" s="12">
        <f>VLOOKUP(B21,SeasonTable,2,FALSE)</f>
        <v/>
      </c>
      <c r="E21" s="12">
        <f>(1+InflationRate)^INT((A21-1)/12)</f>
        <v/>
      </c>
      <c r="F21" s="11">
        <f>'Sens - Scenarios'!$B$5*VLOOKUP(B21,ChurnSeasonTable,4,FALSE)</f>
        <v/>
      </c>
      <c r="G21" s="12">
        <f>MIN(MAX(MktMin13_18,AE20*MktPct13_18),MAX(0,AS20-CashBuffer))</f>
        <v/>
      </c>
      <c r="H21" s="12">
        <f>IF(G21&gt;0,MAX(1,ROUND(G21/'Sens - Scenarios'!$B$8*D21,0)),0)</f>
        <v/>
      </c>
      <c r="I21" s="12">
        <f>IF(H21&gt;0,ROUND(H21*ReferralMix/(1-ReferralMix),0),0)</f>
        <v/>
      </c>
      <c r="J21" s="12">
        <f>H21+I21</f>
        <v/>
      </c>
      <c r="K21" s="12">
        <f>ROUND(J21*(1-'Sens - Scenarios'!$B$7),0)</f>
        <v/>
      </c>
      <c r="L21" s="12">
        <f>J21-K21</f>
        <v/>
      </c>
      <c r="M21" s="12">
        <f>ROUND(K21*EssentialMix,0)</f>
        <v/>
      </c>
      <c r="N21" s="12">
        <f>ROUND(K21*PremiumMix,0)</f>
        <v/>
      </c>
      <c r="O21" s="12">
        <f>K21-M21-N21</f>
        <v/>
      </c>
      <c r="P21" s="12">
        <f>ROUND(L21*EssentialMix,0)</f>
        <v/>
      </c>
      <c r="Q21" s="12">
        <f>ROUND(L21*PremiumMix,0)</f>
        <v/>
      </c>
      <c r="R21" s="12">
        <f>L21-P21-Q21</f>
        <v/>
      </c>
      <c r="S21" s="12">
        <f>M21+M20+M19+MAX(0,S20-M20-M19)*(1-F21)</f>
        <v/>
      </c>
      <c r="T21" s="12">
        <f>N21+N20+N19+MAX(0,T20-N20-N19)*(1-F21)</f>
        <v/>
      </c>
      <c r="U21" s="12">
        <f>O21+O20+O19+MAX(0,U20-O20-O19)*(1-F21)</f>
        <v/>
      </c>
      <c r="V21" s="12">
        <f>V20+P21-P9*('Sens - Scenarios'!$B$6*VLOOKUP(B21,ChurnSeasonTable,4,FALSE))*POWER(1-('Sens - Scenarios'!$B$6*VLOOKUP(B21,ChurnSeasonTable,4,FALSE)),0)</f>
        <v/>
      </c>
      <c r="W21" s="12">
        <f>W20+Q21-Q9*('Sens - Scenarios'!$B$6*VLOOKUP(B21,ChurnSeasonTable,4,FALSE))*POWER(1-('Sens - Scenarios'!$B$6*VLOOKUP(B21,ChurnSeasonTable,4,FALSE)),0)</f>
        <v/>
      </c>
      <c r="X21" s="12">
        <f>X20+R21-R9*('Sens - Scenarios'!$B$6*VLOOKUP(B21,ChurnSeasonTable,4,FALSE))*POWER(1-('Sens - Scenarios'!$B$6*VLOOKUP(B21,ChurnSeasonTable,4,FALSE)),0)</f>
        <v/>
      </c>
      <c r="Y21" s="12">
        <f>S21+T21+U21+V21+W21+X21</f>
        <v/>
      </c>
      <c r="Z21" s="9">
        <f>S21*BlendedPriceEssMonthly*E21+T21*BlendedPricePremMonthly*E21+U21*BlendedPriceEliteMonthly*E21+V21*BlendedPriceEssAnnual*E21/12+W21*BlendedPricePremAnnual*E21/12+X21*BlendedPriceEliteAnnual*E21/12</f>
        <v/>
      </c>
      <c r="AA21" s="9">
        <f>Z21*12</f>
        <v/>
      </c>
      <c r="AB21" s="12">
        <f>S21*BlendedPriceEssMonthly*E21+T21*BlendedPricePremMonthly*E21+U21*BlendedPriceEliteMonthly*E21</f>
        <v/>
      </c>
      <c r="AC21" s="12">
        <f>P21*BlendedPriceEssAnnual*E21+Q21*BlendedPricePremAnnual*E21+R21*BlendedPriceEliteAnnual*E21</f>
        <v/>
      </c>
      <c r="AD21" s="12">
        <f>P9*POWER(1-('Sens - Scenarios'!$B$6*VLOOKUP(B21,ChurnSeasonTable,4,FALSE)),1)*BlendedPriceEssAnnual*E21+Q9*POWER(1-('Sens - Scenarios'!$B$6*VLOOKUP(B21,ChurnSeasonTable,4,FALSE)),1)*BlendedPricePremAnnual*E21+R9*POWER(1-('Sens - Scenarios'!$B$6*VLOOKUP(B21,ChurnSeasonTable,4,FALSE)),1)*BlendedPriceEliteAnnual*E21</f>
        <v/>
      </c>
      <c r="AE21" s="9">
        <f>AB21+AC21+AD21</f>
        <v/>
      </c>
      <c r="AF21" s="12">
        <f>SUM(AE10:AE21)</f>
        <v/>
      </c>
      <c r="AG21" s="12">
        <f>OR(AG20,IF(VATAgentMode,SUM($AE10:$AE21)-SUM($AL10:$AL21)&gt;=VATThreshold,SUM($AE10:$AE21)&gt;=VATThreshold))</f>
        <v/>
      </c>
      <c r="AH21" s="9">
        <f>IF(AG21,IF(VATAgentMode,AE21-((AE21-AL21)-(AE21-AL21)/(1+VATRate)),AE21/(1+VATRate)),AE21)</f>
        <v/>
      </c>
      <c r="AI21" s="12">
        <f>AE21-AH21</f>
        <v/>
      </c>
      <c r="AJ21" s="12">
        <f>IF(AG21=0,0,IF(B21=1,SUMPRODUCT(--(($C$5:$C21=$C21-1)*($B$5:$B21&gt;=10)*($B$5:$B21&lt;=12)),$AI$5:$AI21),IF(B21=4,SUMPRODUCT(--(($C$5:$C21=$C21)*($B$5:$B21&gt;=1)*($B$5:$B21&lt;=3)),$AI$5:$AI21),IF(B21=7,SUMPRODUCT(--(($C$5:$C21=$C21)*($B$5:$B21&gt;=4)*($B$5:$B21&lt;=6)),$AI$5:$AI21),IF(B21=10,SUMPRODUCT(--(($C$5:$C21=$C21)*($B$5:$B21&gt;=7)*($B$5:$B21&lt;=9)),$AI$5:$AI21),0)))))</f>
        <v/>
      </c>
      <c r="AK21" s="12">
        <f>AK20+AI21-AJ21</f>
        <v/>
      </c>
      <c r="AL21" s="12">
        <f>IF(ProviderDelay&gt;=1,S20*BlendedProvPayEss+T20*BlendedProvPayPrem+U20*BlendedProvPayElite+V20*BlendedProvPayEss+W20*BlendedProvPayPrem+X20*BlendedProvPayElite,S21*BlendedProvPayEss+T21*BlendedProvPayPrem+U21*BlendedProvPayElite+V21*BlendedProvPayEss+W21*BlendedProvPayPrem+X21*BlendedProvPayElite)</f>
        <v/>
      </c>
      <c r="AM21" s="12">
        <f>AE21*PaymentFee</f>
        <v/>
      </c>
      <c r="AN21" s="12">
        <f>Y21*OpsAI</f>
        <v/>
      </c>
      <c r="AO21" s="12">
        <f>MonthlyFixed</f>
        <v/>
      </c>
      <c r="AP21" s="12">
        <f>I21*ReferralReward</f>
        <v/>
      </c>
      <c r="AQ21" s="12">
        <f>G21</f>
        <v/>
      </c>
      <c r="AR21" s="9">
        <f>AH21-AL21-AM21-AN21-AO21-AP21-AQ21</f>
        <v/>
      </c>
      <c r="AS21" s="9">
        <f>AS20+AE21-(AL21+AM21+AN21+AO21+AP21+AQ21+AJ21)</f>
        <v/>
      </c>
      <c r="AT21" s="12">
        <f>IF(Y21&gt;0,Z21/Y21,0)</f>
        <v/>
      </c>
      <c r="AU21" s="11">
        <f>IF(Y20&gt;0,MAX(0,(Y20+J21-Y21)/Y20),0)</f>
        <v/>
      </c>
      <c r="AW21" s="12" t="n">
        <v>17</v>
      </c>
      <c r="AX21" s="12">
        <f>MOD(AW21-1+LaunchMonth-1,12)+1</f>
        <v/>
      </c>
      <c r="AY21" s="12">
        <f>INT((AW21-1+LaunchMonth-1)/12)+1</f>
        <v/>
      </c>
      <c r="AZ21" s="12">
        <f>VLOOKUP(AX21,SeasonTable,2,FALSE)</f>
        <v/>
      </c>
      <c r="BA21" s="12">
        <f>(1+InflationRate)^INT((AW21-1)/12)</f>
        <v/>
      </c>
      <c r="BB21" s="11">
        <f>MonthlyChurn*VLOOKUP(AX21,ChurnSeasonTable,4,FALSE)</f>
        <v/>
      </c>
      <c r="BC21" s="12">
        <f>MIN(MAX(MktMin13_18,CA20*MktPct13_18),MAX(0,CO20-CashBuffer))</f>
        <v/>
      </c>
      <c r="BD21" s="12">
        <f>IF(BC21&gt;0,MAX(1,ROUND(BC21/CAC*AZ21,0)),0)</f>
        <v/>
      </c>
      <c r="BE21" s="12">
        <f>IF(BD21&gt;0,ROUND(BD21*ReferralMix/(1-ReferralMix),0),0)</f>
        <v/>
      </c>
      <c r="BF21" s="12">
        <f>BD21+BE21</f>
        <v/>
      </c>
      <c r="BG21" s="12">
        <f>ROUND(BF21*(1-AnnualMix),0)</f>
        <v/>
      </c>
      <c r="BH21" s="12">
        <f>BF21-BG21</f>
        <v/>
      </c>
      <c r="BI21" s="12">
        <f>ROUND(BG21*EssentialMix,0)</f>
        <v/>
      </c>
      <c r="BJ21" s="12">
        <f>ROUND(BG21*PremiumMix,0)</f>
        <v/>
      </c>
      <c r="BK21" s="12">
        <f>BG21-BI21-BJ21</f>
        <v/>
      </c>
      <c r="BL21" s="12">
        <f>ROUND(BH21*EssentialMix,0)</f>
        <v/>
      </c>
      <c r="BM21" s="12">
        <f>ROUND(BH21*PremiumMix,0)</f>
        <v/>
      </c>
      <c r="BN21" s="12">
        <f>BH21-BL21-BM21</f>
        <v/>
      </c>
      <c r="BO21" s="12">
        <f>BI21+BI20+BI19+MAX(0,BO20-BI20-BI19)*(1-BB21)</f>
        <v/>
      </c>
      <c r="BP21" s="12">
        <f>BJ21+BJ20+BJ19+MAX(0,BP20-BJ20-BJ19)*(1-BB21)</f>
        <v/>
      </c>
      <c r="BQ21" s="12">
        <f>BK21+BK20+BK19+MAX(0,BQ20-BK20-BK19)*(1-BB21)</f>
        <v/>
      </c>
      <c r="BR21" s="12">
        <f>BR20+BL21-BL9*(AnnualChurn*VLOOKUP(AX21,ChurnSeasonTable,4,FALSE))*POWER(1-(AnnualChurn*VLOOKUP(AX21,ChurnSeasonTable,4,FALSE)),0)</f>
        <v/>
      </c>
      <c r="BS21" s="12">
        <f>BS20+BM21-BM9*(AnnualChurn*VLOOKUP(AX21,ChurnSeasonTable,4,FALSE))*POWER(1-(AnnualChurn*VLOOKUP(AX21,ChurnSeasonTable,4,FALSE)),0)</f>
        <v/>
      </c>
      <c r="BT21" s="12">
        <f>BT20+BN21-BN9*(AnnualChurn*VLOOKUP(AX21,ChurnSeasonTable,4,FALSE))*POWER(1-(AnnualChurn*VLOOKUP(AX21,ChurnSeasonTable,4,FALSE)),0)</f>
        <v/>
      </c>
      <c r="BU21" s="12">
        <f>BO21+BP21+BQ21+BR21+BS21+BT21</f>
        <v/>
      </c>
      <c r="BV21" s="9">
        <f>BO21*BlendedPriceEssMonthly*BA21+BP21*BlendedPricePremMonthly*BA21+BQ21*BlendedPriceEliteMonthly*BA21+BR21*BlendedPriceEssAnnual*BA21/12+BS21*BlendedPricePremAnnual*BA21/12+BT21*BlendedPriceEliteAnnual*BA21/12</f>
        <v/>
      </c>
      <c r="BW21" s="9">
        <f>BV21*12</f>
        <v/>
      </c>
      <c r="BX21" s="12">
        <f>BO21*BlendedPriceEssMonthly*BA21+BP21*BlendedPricePremMonthly*BA21+BQ21*BlendedPriceEliteMonthly*BA21</f>
        <v/>
      </c>
      <c r="BY21" s="12">
        <f>BL21*BlendedPriceEssAnnual*BA21+BM21*BlendedPricePremAnnual*BA21+BN21*BlendedPriceEliteAnnual*BA21</f>
        <v/>
      </c>
      <c r="BZ21" s="12">
        <f>BL9*POWER(1-(AnnualChurn*VLOOKUP(AX21,ChurnSeasonTable,4,FALSE)),1)*BlendedPriceEssAnnual*BA21+BM9*POWER(1-(AnnualChurn*VLOOKUP(AX21,ChurnSeasonTable,4,FALSE)),1)*BlendedPricePremAnnual*BA21+BN9*POWER(1-(AnnualChurn*VLOOKUP(AX21,ChurnSeasonTable,4,FALSE)),1)*BlendedPriceEliteAnnual*BA21</f>
        <v/>
      </c>
      <c r="CA21" s="9">
        <f>BX21+BY21+BZ21</f>
        <v/>
      </c>
      <c r="CB21" s="12">
        <f>SUM(CA10:CA21)</f>
        <v/>
      </c>
      <c r="CC21" s="12">
        <f>OR(CC20,IF(VATAgentMode,SUM($CA10:$CA21)-SUM($CH10:$CH21)&gt;=VATThreshold,SUM($CA10:$CA21)&gt;=VATThreshold))</f>
        <v/>
      </c>
      <c r="CD21" s="9">
        <f>IF(CC21,IF(VATAgentMode,CA21-((CA21-CH21)-(CA21-CH21)/(1+VATRate)),CA21/(1+VATRate)),CA21)</f>
        <v/>
      </c>
      <c r="CE21" s="12">
        <f>CA21-CD21</f>
        <v/>
      </c>
      <c r="CF21" s="12">
        <f>IF(CC21=0,0,IF(AX21=1,SUMPRODUCT(--(($AY$5:$AY21=$AY21-1)*($AX$5:$AX21&gt;=10)*($AX$5:$AX21&lt;=12)),$CE$5:$CE21),IF(AX21=4,SUMPRODUCT(--(($AY$5:$AY21=$AY21)*($AX$5:$AX21&gt;=1)*($AX$5:$AX21&lt;=3)),$CE$5:$CE21),IF(AX21=7,SUMPRODUCT(--(($AY$5:$AY21=$AY21)*($AX$5:$AX21&gt;=4)*($AX$5:$AX21&lt;=6)),$CE$5:$CE21),IF(AX21=10,SUMPRODUCT(--(($AY$5:$AY21=$AY21)*($AX$5:$AX21&gt;=7)*($AX$5:$AX21&lt;=9)),$CE$5:$CE21),0)))))</f>
        <v/>
      </c>
      <c r="CG21" s="12">
        <f>CG20+CE21-CF21</f>
        <v/>
      </c>
      <c r="CH21" s="12">
        <f>IF(ProviderDelay&gt;=1,BO20*BlendedProvPayEss+BP20*BlendedProvPayPrem+BQ20*BlendedProvPayElite+BR20*BlendedProvPayEss+BS20*BlendedProvPayPrem+BT20*BlendedProvPayElite,BO21*BlendedProvPayEss+BP21*BlendedProvPayPrem+BQ21*BlendedProvPayElite+BR21*BlendedProvPayEss+BS21*BlendedProvPayPrem+BT21*BlendedProvPayElite)</f>
        <v/>
      </c>
      <c r="CI21" s="12">
        <f>CA21*PaymentFee</f>
        <v/>
      </c>
      <c r="CJ21" s="12">
        <f>BU21*OpsAI</f>
        <v/>
      </c>
      <c r="CK21" s="12">
        <f>MonthlyFixed</f>
        <v/>
      </c>
      <c r="CL21" s="12">
        <f>BE21*ReferralReward</f>
        <v/>
      </c>
      <c r="CM21" s="12">
        <f>BC21</f>
        <v/>
      </c>
      <c r="CN21" s="9">
        <f>CD21-CH21-CI21-CJ21-CK21-CL21-CM21</f>
        <v/>
      </c>
      <c r="CO21" s="9">
        <f>CO20+CA21-(CH21+CI21+CJ21+CK21+CL21+CM21+CF21)</f>
        <v/>
      </c>
      <c r="CP21" s="12">
        <f>IF(BU21&gt;0,BV21/BU21,0)</f>
        <v/>
      </c>
      <c r="CQ21" s="11">
        <f>IF(BU20&gt;0,MAX(0,(BU20+BF21-BU21)/BU20),0)</f>
        <v/>
      </c>
      <c r="CS21" s="12" t="n">
        <v>17</v>
      </c>
      <c r="CT21" s="12">
        <f>MOD(CS21-1+LaunchMonth-1,12)+1</f>
        <v/>
      </c>
      <c r="CU21" s="12">
        <f>INT((CS21-1+LaunchMonth-1)/12)+1</f>
        <v/>
      </c>
      <c r="CV21" s="12">
        <f>VLOOKUP(CT21,SeasonTable,2,FALSE)</f>
        <v/>
      </c>
      <c r="CW21" s="12">
        <f>(1+InflationRate)^INT((CS21-1)/12)</f>
        <v/>
      </c>
      <c r="CX21" s="11">
        <f>'Sens - Scenarios'!$D$5*VLOOKUP(CT21,ChurnSeasonTable,4,FALSE)</f>
        <v/>
      </c>
      <c r="CY21" s="12">
        <f>MIN(MAX(MktMin13_18,DW20*MktPct13_18),MAX(0,EK20-CashBuffer))</f>
        <v/>
      </c>
      <c r="CZ21" s="12">
        <f>IF(CY21&gt;0,MAX(1,ROUND(CY21/'Sens - Scenarios'!$D$8*CV21,0)),0)</f>
        <v/>
      </c>
      <c r="DA21" s="12">
        <f>IF(CZ21&gt;0,ROUND(CZ21*ReferralMix/(1-ReferralMix),0),0)</f>
        <v/>
      </c>
      <c r="DB21" s="12">
        <f>CZ21+DA21</f>
        <v/>
      </c>
      <c r="DC21" s="12">
        <f>ROUND(DB21*(1-'Sens - Scenarios'!$D$7),0)</f>
        <v/>
      </c>
      <c r="DD21" s="12">
        <f>DB21-DC21</f>
        <v/>
      </c>
      <c r="DE21" s="12">
        <f>ROUND(DC21*EssentialMix,0)</f>
        <v/>
      </c>
      <c r="DF21" s="12">
        <f>ROUND(DC21*PremiumMix,0)</f>
        <v/>
      </c>
      <c r="DG21" s="12">
        <f>DC21-DE21-DF21</f>
        <v/>
      </c>
      <c r="DH21" s="12">
        <f>ROUND(DD21*EssentialMix,0)</f>
        <v/>
      </c>
      <c r="DI21" s="12">
        <f>ROUND(DD21*PremiumMix,0)</f>
        <v/>
      </c>
      <c r="DJ21" s="12">
        <f>DD21-DH21-DI21</f>
        <v/>
      </c>
      <c r="DK21" s="12">
        <f>DE21+DE20+DE19+MAX(0,DK20-DE20-DE19)*(1-CX21)</f>
        <v/>
      </c>
      <c r="DL21" s="12">
        <f>DF21+DF20+DF19+MAX(0,DL20-DF20-DF19)*(1-CX21)</f>
        <v/>
      </c>
      <c r="DM21" s="12">
        <f>DG21+DG20+DG19+MAX(0,DM20-DG20-DG19)*(1-CX21)</f>
        <v/>
      </c>
      <c r="DN21" s="12">
        <f>DN20+DH21-DH9*('Sens - Scenarios'!$D$6*VLOOKUP(CT21,ChurnSeasonTable,4,FALSE))*POWER(1-('Sens - Scenarios'!$D$6*VLOOKUP(CT21,ChurnSeasonTable,4,FALSE)),0)</f>
        <v/>
      </c>
      <c r="DO21" s="12">
        <f>DO20+DI21-DI9*('Sens - Scenarios'!$D$6*VLOOKUP(CT21,ChurnSeasonTable,4,FALSE))*POWER(1-('Sens - Scenarios'!$D$6*VLOOKUP(CT21,ChurnSeasonTable,4,FALSE)),0)</f>
        <v/>
      </c>
      <c r="DP21" s="12">
        <f>DP20+DJ21-DJ9*('Sens - Scenarios'!$D$6*VLOOKUP(CT21,ChurnSeasonTable,4,FALSE))*POWER(1-('Sens - Scenarios'!$D$6*VLOOKUP(CT21,ChurnSeasonTable,4,FALSE)),0)</f>
        <v/>
      </c>
      <c r="DQ21" s="12">
        <f>DK21+DL21+DM21+DN21+DO21+DP21</f>
        <v/>
      </c>
      <c r="DR21" s="9">
        <f>DK21*BlendedPriceEssMonthly*CW21+DL21*BlendedPricePremMonthly*CW21+DM21*BlendedPriceEliteMonthly*CW21+DN21*BlendedPriceEssAnnual*CW21/12+DO21*BlendedPricePremAnnual*CW21/12+DP21*BlendedPriceEliteAnnual*CW21/12</f>
        <v/>
      </c>
      <c r="DS21" s="9">
        <f>DR21*12</f>
        <v/>
      </c>
      <c r="DT21" s="12">
        <f>DK21*BlendedPriceEssMonthly*CW21+DL21*BlendedPricePremMonthly*CW21+DM21*BlendedPriceEliteMonthly*CW21</f>
        <v/>
      </c>
      <c r="DU21" s="12">
        <f>DH21*BlendedPriceEssAnnual*CW21+DI21*BlendedPricePremAnnual*CW21+DJ21*BlendedPriceEliteAnnual*CW21</f>
        <v/>
      </c>
      <c r="DV21" s="12">
        <f>DH9*POWER(1-('Sens - Scenarios'!$D$6*VLOOKUP(CT21,ChurnSeasonTable,4,FALSE)),1)*BlendedPriceEssAnnual*CW21+DI9*POWER(1-('Sens - Scenarios'!$D$6*VLOOKUP(CT21,ChurnSeasonTable,4,FALSE)),1)*BlendedPricePremAnnual*CW21+DJ9*POWER(1-('Sens - Scenarios'!$D$6*VLOOKUP(CT21,ChurnSeasonTable,4,FALSE)),1)*BlendedPriceEliteAnnual*CW21</f>
        <v/>
      </c>
      <c r="DW21" s="9">
        <f>DT21+DU21+DV21</f>
        <v/>
      </c>
      <c r="DX21" s="12">
        <f>SUM(DW10:DW21)</f>
        <v/>
      </c>
      <c r="DY21" s="12">
        <f>OR(DY20,IF(VATAgentMode,SUM($DW10:$DW21)-SUM($ED10:$ED21)&gt;=VATThreshold,SUM($DW10:$DW21)&gt;=VATThreshold))</f>
        <v/>
      </c>
      <c r="DZ21" s="9">
        <f>IF(DY21,IF(VATAgentMode,DW21-((DW21-ED21)-(DW21-ED21)/(1+VATRate)),DW21/(1+VATRate)),DW21)</f>
        <v/>
      </c>
      <c r="EA21" s="12">
        <f>DW21-DZ21</f>
        <v/>
      </c>
      <c r="EB21" s="12">
        <f>IF(DY21=0,0,IF(CT21=1,SUMPRODUCT(--(($CU$5:$CU21=$CU21-1)*($CT$5:$CT21&gt;=10)*($CT$5:$CT21&lt;=12)),$EA$5:$EA21),IF(CT21=4,SUMPRODUCT(--(($CU$5:$CU21=$CU21)*($CT$5:$CT21&gt;=1)*($CT$5:$CT21&lt;=3)),$EA$5:$EA21),IF(CT21=7,SUMPRODUCT(--(($CU$5:$CU21=$CU21)*($CT$5:$CT21&gt;=4)*($CT$5:$CT21&lt;=6)),$EA$5:$EA21),IF(CT21=10,SUMPRODUCT(--(($CU$5:$CU21=$CU21)*($CT$5:$CT21&gt;=7)*($CT$5:$CT21&lt;=9)),$EA$5:$EA21),0)))))</f>
        <v/>
      </c>
      <c r="EC21" s="12">
        <f>EC20+EA21-EB21</f>
        <v/>
      </c>
      <c r="ED21" s="12">
        <f>IF(ProviderDelay&gt;=1,DK20*BlendedProvPayEss+DL20*BlendedProvPayPrem+DM20*BlendedProvPayElite+DN20*BlendedProvPayEss+DO20*BlendedProvPayPrem+DP20*BlendedProvPayElite,DK21*BlendedProvPayEss+DL21*BlendedProvPayPrem+DM21*BlendedProvPayElite+DN21*BlendedProvPayEss+DO21*BlendedProvPayPrem+DP21*BlendedProvPayElite)</f>
        <v/>
      </c>
      <c r="EE21" s="12">
        <f>DW21*PaymentFee</f>
        <v/>
      </c>
      <c r="EF21" s="12">
        <f>DQ21*OpsAI</f>
        <v/>
      </c>
      <c r="EG21" s="12">
        <f>MonthlyFixed</f>
        <v/>
      </c>
      <c r="EH21" s="12">
        <f>DA21*ReferralReward</f>
        <v/>
      </c>
      <c r="EI21" s="12">
        <f>CY21</f>
        <v/>
      </c>
      <c r="EJ21" s="9">
        <f>DZ21-ED21-EE21-EF21-EG21-EH21-EI21</f>
        <v/>
      </c>
      <c r="EK21" s="9">
        <f>EK20+DW21-(ED21+EE21+EF21+EG21+EH21+EI21+EB21)</f>
        <v/>
      </c>
      <c r="EL21" s="12">
        <f>IF(DQ21&gt;0,DR21/DQ21,0)</f>
        <v/>
      </c>
      <c r="EM21" s="11">
        <f>IF(DQ20&gt;0,MAX(0,(DQ20+DB21-DQ21)/DQ20),0)</f>
        <v/>
      </c>
      <c r="EO21" s="12" t="n">
        <v>17</v>
      </c>
      <c r="EP21" s="12">
        <f>MOD(EO21-1+LaunchMonth-1,12)+1</f>
        <v/>
      </c>
      <c r="EQ21" s="12">
        <f>INT((EO21-1+LaunchMonth-1)/12)+1</f>
        <v/>
      </c>
      <c r="ER21" s="12">
        <f>VLOOKUP(EP21,SeasonTable,2,FALSE)</f>
        <v/>
      </c>
      <c r="ES21" s="12">
        <f>(1+InflationRate)^INT((EO21-1)/12)</f>
        <v/>
      </c>
      <c r="ET21" s="11">
        <f>'Sens - Churn'!$A$13*VLOOKUP(EP21,ChurnSeasonTable,4,FALSE)</f>
        <v/>
      </c>
      <c r="EU21" s="12">
        <f>MIN(MAX(MktMin13_18,FS20*MktPct13_18),MAX(0,GG20-CashBuffer))</f>
        <v/>
      </c>
      <c r="EV21" s="12">
        <f>IF(EU21&gt;0,MAX(1,ROUND(EU21/CAC*ER21,0)),0)</f>
        <v/>
      </c>
      <c r="EW21" s="12">
        <f>IF(EV21&gt;0,ROUND(EV21*ReferralMix/(1-ReferralMix),0),0)</f>
        <v/>
      </c>
      <c r="EX21" s="12">
        <f>EV21+EW21</f>
        <v/>
      </c>
      <c r="EY21" s="12">
        <f>ROUND(EX21*(1-AnnualMix),0)</f>
        <v/>
      </c>
      <c r="EZ21" s="12">
        <f>EX21-EY21</f>
        <v/>
      </c>
      <c r="FA21" s="12">
        <f>ROUND(EY21*EssentialMix,0)</f>
        <v/>
      </c>
      <c r="FB21" s="12">
        <f>ROUND(EY21*PremiumMix,0)</f>
        <v/>
      </c>
      <c r="FC21" s="12">
        <f>EY21-FA21-FB21</f>
        <v/>
      </c>
      <c r="FD21" s="12">
        <f>ROUND(EZ21*EssentialMix,0)</f>
        <v/>
      </c>
      <c r="FE21" s="12">
        <f>ROUND(EZ21*PremiumMix,0)</f>
        <v/>
      </c>
      <c r="FF21" s="12">
        <f>EZ21-FD21-FE21</f>
        <v/>
      </c>
      <c r="FG21" s="12">
        <f>FA21+FA20+FA19+MAX(0,FG20-FA20-FA19)*(1-ET21)</f>
        <v/>
      </c>
      <c r="FH21" s="12">
        <f>FB21+FB20+FB19+MAX(0,FH20-FB20-FB19)*(1-ET21)</f>
        <v/>
      </c>
      <c r="FI21" s="12">
        <f>FC21+FC20+FC19+MAX(0,FI20-FC20-FC19)*(1-ET21)</f>
        <v/>
      </c>
      <c r="FJ21" s="12">
        <f>FJ20+FD21-FD9*(AnnualChurn*VLOOKUP(EP21,ChurnSeasonTable,4,FALSE))*POWER(1-(AnnualChurn*VLOOKUP(EP21,ChurnSeasonTable,4,FALSE)),0)</f>
        <v/>
      </c>
      <c r="FK21" s="12">
        <f>FK20+FE21-FE9*(AnnualChurn*VLOOKUP(EP21,ChurnSeasonTable,4,FALSE))*POWER(1-(AnnualChurn*VLOOKUP(EP21,ChurnSeasonTable,4,FALSE)),0)</f>
        <v/>
      </c>
      <c r="FL21" s="12">
        <f>FL20+FF21-FF9*(AnnualChurn*VLOOKUP(EP21,ChurnSeasonTable,4,FALSE))*POWER(1-(AnnualChurn*VLOOKUP(EP21,ChurnSeasonTable,4,FALSE)),0)</f>
        <v/>
      </c>
      <c r="FM21" s="12">
        <f>FG21+FH21+FI21+FJ21+FK21+FL21</f>
        <v/>
      </c>
      <c r="FN21" s="9">
        <f>FG21*BlendedPriceEssMonthly*ES21+FH21*BlendedPricePremMonthly*ES21+FI21*BlendedPriceEliteMonthly*ES21+FJ21*BlendedPriceEssAnnual*ES21/12+FK21*BlendedPricePremAnnual*ES21/12+FL21*BlendedPriceEliteAnnual*ES21/12</f>
        <v/>
      </c>
      <c r="FO21" s="9">
        <f>FN21*12</f>
        <v/>
      </c>
      <c r="FP21" s="12">
        <f>FG21*BlendedPriceEssMonthly*ES21+FH21*BlendedPricePremMonthly*ES21+FI21*BlendedPriceEliteMonthly*ES21</f>
        <v/>
      </c>
      <c r="FQ21" s="12">
        <f>FD21*BlendedPriceEssAnnual*ES21+FE21*BlendedPricePremAnnual*ES21+FF21*BlendedPriceEliteAnnual*ES21</f>
        <v/>
      </c>
      <c r="FR21" s="12">
        <f>FD9*POWER(1-(AnnualChurn*VLOOKUP(EP21,ChurnSeasonTable,4,FALSE)),1)*BlendedPriceEssAnnual*ES21+FE9*POWER(1-(AnnualChurn*VLOOKUP(EP21,ChurnSeasonTable,4,FALSE)),1)*BlendedPricePremAnnual*ES21+FF9*POWER(1-(AnnualChurn*VLOOKUP(EP21,ChurnSeasonTable,4,FALSE)),1)*BlendedPriceEliteAnnual*ES21</f>
        <v/>
      </c>
      <c r="FS21" s="9">
        <f>FP21+FQ21+FR21</f>
        <v/>
      </c>
      <c r="FT21" s="12">
        <f>SUM(FS10:FS21)</f>
        <v/>
      </c>
      <c r="FU21" s="12">
        <f>OR(FU20,IF(VATAgentMode,SUM($FS10:$FS21)-SUM($FZ10:$FZ21)&gt;=VATThreshold,SUM($FS10:$FS21)&gt;=VATThreshold))</f>
        <v/>
      </c>
      <c r="FV21" s="9">
        <f>IF(FU21,IF(VATAgentMode,FS21-((FS21-FZ21)-(FS21-FZ21)/(1+VATRate)),FS21/(1+VATRate)),FS21)</f>
        <v/>
      </c>
      <c r="FW21" s="12">
        <f>FS21-FV21</f>
        <v/>
      </c>
      <c r="FX21" s="12">
        <f>IF(FU21=0,0,IF(EP21=1,SUMPRODUCT(--(($EQ$5:$EQ21=$EQ21-1)*($EP$5:$EP21&gt;=10)*($EP$5:$EP21&lt;=12)),$FW$5:$FW21),IF(EP21=4,SUMPRODUCT(--(($EQ$5:$EQ21=$EQ21)*($EP$5:$EP21&gt;=1)*($EP$5:$EP21&lt;=3)),$FW$5:$FW21),IF(EP21=7,SUMPRODUCT(--(($EQ$5:$EQ21=$EQ21)*($EP$5:$EP21&gt;=4)*($EP$5:$EP21&lt;=6)),$FW$5:$FW21),IF(EP21=10,SUMPRODUCT(--(($EQ$5:$EQ21=$EQ21)*($EP$5:$EP21&gt;=7)*($EP$5:$EP21&lt;=9)),$FW$5:$FW21),0)))))</f>
        <v/>
      </c>
      <c r="FY21" s="12">
        <f>FY20+FW21-FX21</f>
        <v/>
      </c>
      <c r="FZ21" s="12">
        <f>IF(ProviderDelay&gt;=1,FG20*BlendedProvPayEss+FH20*BlendedProvPayPrem+FI20*BlendedProvPayElite+FJ20*BlendedProvPayEss+FK20*BlendedProvPayPrem+FL20*BlendedProvPayElite,FG21*BlendedProvPayEss+FH21*BlendedProvPayPrem+FI21*BlendedProvPayElite+FJ21*BlendedProvPayEss+FK21*BlendedProvPayPrem+FL21*BlendedProvPayElite)</f>
        <v/>
      </c>
      <c r="GA21" s="12">
        <f>FS21*PaymentFee</f>
        <v/>
      </c>
      <c r="GB21" s="12">
        <f>FM21*OpsAI</f>
        <v/>
      </c>
      <c r="GC21" s="12">
        <f>MonthlyFixed</f>
        <v/>
      </c>
      <c r="GD21" s="12">
        <f>EW21*ReferralReward</f>
        <v/>
      </c>
      <c r="GE21" s="12">
        <f>EU21</f>
        <v/>
      </c>
      <c r="GF21" s="9">
        <f>FV21-FZ21-GA21-GB21-GC21-GD21-GE21</f>
        <v/>
      </c>
      <c r="GG21" s="9">
        <f>GG20+FS21-(FZ21+GA21+GB21+GC21+GD21+GE21+FX21)</f>
        <v/>
      </c>
      <c r="GH21" s="12">
        <f>IF(FM21&gt;0,FN21/FM21,0)</f>
        <v/>
      </c>
      <c r="GI21" s="11">
        <f>IF(FM20&gt;0,MAX(0,(FM20+EX21-FM21)/FM20),0)</f>
        <v/>
      </c>
      <c r="GK21" s="12" t="n">
        <v>17</v>
      </c>
      <c r="GL21" s="12">
        <f>MOD(GK21-1+LaunchMonth-1,12)+1</f>
        <v/>
      </c>
      <c r="GM21" s="12">
        <f>INT((GK21-1+LaunchMonth-1)/12)+1</f>
        <v/>
      </c>
      <c r="GN21" s="12">
        <f>VLOOKUP(GL21,SeasonTable,2,FALSE)</f>
        <v/>
      </c>
      <c r="GO21" s="12">
        <f>(1+InflationRate)^INT((GK21-1)/12)</f>
        <v/>
      </c>
      <c r="GP21" s="11">
        <f>'Sens - Churn'!$A$14*VLOOKUP(GL21,ChurnSeasonTable,4,FALSE)</f>
        <v/>
      </c>
      <c r="GQ21" s="12">
        <f>MIN(MAX(MktMin13_18,HO20*MktPct13_18),MAX(0,IC20-CashBuffer))</f>
        <v/>
      </c>
      <c r="GR21" s="12">
        <f>IF(GQ21&gt;0,MAX(1,ROUND(GQ21/CAC*GN21,0)),0)</f>
        <v/>
      </c>
      <c r="GS21" s="12">
        <f>IF(GR21&gt;0,ROUND(GR21*ReferralMix/(1-ReferralMix),0),0)</f>
        <v/>
      </c>
      <c r="GT21" s="12">
        <f>GR21+GS21</f>
        <v/>
      </c>
      <c r="GU21" s="12">
        <f>ROUND(GT21*(1-AnnualMix),0)</f>
        <v/>
      </c>
      <c r="GV21" s="12">
        <f>GT21-GU21</f>
        <v/>
      </c>
      <c r="GW21" s="12">
        <f>ROUND(GU21*EssentialMix,0)</f>
        <v/>
      </c>
      <c r="GX21" s="12">
        <f>ROUND(GU21*PremiumMix,0)</f>
        <v/>
      </c>
      <c r="GY21" s="12">
        <f>GU21-GW21-GX21</f>
        <v/>
      </c>
      <c r="GZ21" s="12">
        <f>ROUND(GV21*EssentialMix,0)</f>
        <v/>
      </c>
      <c r="HA21" s="12">
        <f>ROUND(GV21*PremiumMix,0)</f>
        <v/>
      </c>
      <c r="HB21" s="12">
        <f>GV21-GZ21-HA21</f>
        <v/>
      </c>
      <c r="HC21" s="12">
        <f>GW21+GW20+GW19+MAX(0,HC20-GW20-GW19)*(1-GP21)</f>
        <v/>
      </c>
      <c r="HD21" s="12">
        <f>GX21+GX20+GX19+MAX(0,HD20-GX20-GX19)*(1-GP21)</f>
        <v/>
      </c>
      <c r="HE21" s="12">
        <f>GY21+GY20+GY19+MAX(0,HE20-GY20-GY19)*(1-GP21)</f>
        <v/>
      </c>
      <c r="HF21" s="12">
        <f>HF20+GZ21-GZ9*(AnnualChurn*VLOOKUP(GL21,ChurnSeasonTable,4,FALSE))*POWER(1-(AnnualChurn*VLOOKUP(GL21,ChurnSeasonTable,4,FALSE)),0)</f>
        <v/>
      </c>
      <c r="HG21" s="12">
        <f>HG20+HA21-HA9*(AnnualChurn*VLOOKUP(GL21,ChurnSeasonTable,4,FALSE))*POWER(1-(AnnualChurn*VLOOKUP(GL21,ChurnSeasonTable,4,FALSE)),0)</f>
        <v/>
      </c>
      <c r="HH21" s="12">
        <f>HH20+HB21-HB9*(AnnualChurn*VLOOKUP(GL21,ChurnSeasonTable,4,FALSE))*POWER(1-(AnnualChurn*VLOOKUP(GL21,ChurnSeasonTable,4,FALSE)),0)</f>
        <v/>
      </c>
      <c r="HI21" s="12">
        <f>HC21+HD21+HE21+HF21+HG21+HH21</f>
        <v/>
      </c>
      <c r="HJ21" s="9">
        <f>HC21*BlendedPriceEssMonthly*GO21+HD21*BlendedPricePremMonthly*GO21+HE21*BlendedPriceEliteMonthly*GO21+HF21*BlendedPriceEssAnnual*GO21/12+HG21*BlendedPricePremAnnual*GO21/12+HH21*BlendedPriceEliteAnnual*GO21/12</f>
        <v/>
      </c>
      <c r="HK21" s="9">
        <f>HJ21*12</f>
        <v/>
      </c>
      <c r="HL21" s="12">
        <f>HC21*BlendedPriceEssMonthly*GO21+HD21*BlendedPricePremMonthly*GO21+HE21*BlendedPriceEliteMonthly*GO21</f>
        <v/>
      </c>
      <c r="HM21" s="12">
        <f>GZ21*BlendedPriceEssAnnual*GO21+HA21*BlendedPricePremAnnual*GO21+HB21*BlendedPriceEliteAnnual*GO21</f>
        <v/>
      </c>
      <c r="HN21" s="12">
        <f>GZ9*POWER(1-(AnnualChurn*VLOOKUP(GL21,ChurnSeasonTable,4,FALSE)),1)*BlendedPriceEssAnnual*GO21+HA9*POWER(1-(AnnualChurn*VLOOKUP(GL21,ChurnSeasonTable,4,FALSE)),1)*BlendedPricePremAnnual*GO21+HB9*POWER(1-(AnnualChurn*VLOOKUP(GL21,ChurnSeasonTable,4,FALSE)),1)*BlendedPriceEliteAnnual*GO21</f>
        <v/>
      </c>
      <c r="HO21" s="9">
        <f>HL21+HM21+HN21</f>
        <v/>
      </c>
      <c r="HP21" s="12">
        <f>SUM(HO10:HO21)</f>
        <v/>
      </c>
      <c r="HQ21" s="12">
        <f>OR(HQ20,IF(VATAgentMode,SUM($HO10:$HO21)-SUM($HV10:$HV21)&gt;=VATThreshold,SUM($HO10:$HO21)&gt;=VATThreshold))</f>
        <v/>
      </c>
      <c r="HR21" s="9">
        <f>IF(HQ21,IF(VATAgentMode,HO21-((HO21-HV21)-(HO21-HV21)/(1+VATRate)),HO21/(1+VATRate)),HO21)</f>
        <v/>
      </c>
      <c r="HS21" s="12">
        <f>HO21-HR21</f>
        <v/>
      </c>
      <c r="HT21" s="12">
        <f>IF(HQ21=0,0,IF(GL21=1,SUMPRODUCT(--(($GM$5:$GM21=$GM21-1)*($GL$5:$GL21&gt;=10)*($GL$5:$GL21&lt;=12)),$HS$5:$HS21),IF(GL21=4,SUMPRODUCT(--(($GM$5:$GM21=$GM21)*($GL$5:$GL21&gt;=1)*($GL$5:$GL21&lt;=3)),$HS$5:$HS21),IF(GL21=7,SUMPRODUCT(--(($GM$5:$GM21=$GM21)*($GL$5:$GL21&gt;=4)*($GL$5:$GL21&lt;=6)),$HS$5:$HS21),IF(GL21=10,SUMPRODUCT(--(($GM$5:$GM21=$GM21)*($GL$5:$GL21&gt;=7)*($GL$5:$GL21&lt;=9)),$HS$5:$HS21),0)))))</f>
        <v/>
      </c>
      <c r="HU21" s="12">
        <f>HU20+HS21-HT21</f>
        <v/>
      </c>
      <c r="HV21" s="12">
        <f>IF(ProviderDelay&gt;=1,HC20*BlendedProvPayEss+HD20*BlendedProvPayPrem+HE20*BlendedProvPayElite+HF20*BlendedProvPayEss+HG20*BlendedProvPayPrem+HH20*BlendedProvPayElite,HC21*BlendedProvPayEss+HD21*BlendedProvPayPrem+HE21*BlendedProvPayElite+HF21*BlendedProvPayEss+HG21*BlendedProvPayPrem+HH21*BlendedProvPayElite)</f>
        <v/>
      </c>
      <c r="HW21" s="12">
        <f>HO21*PaymentFee</f>
        <v/>
      </c>
      <c r="HX21" s="12">
        <f>HI21*OpsAI</f>
        <v/>
      </c>
      <c r="HY21" s="12">
        <f>MonthlyFixed</f>
        <v/>
      </c>
      <c r="HZ21" s="12">
        <f>GS21*ReferralReward</f>
        <v/>
      </c>
      <c r="IA21" s="12">
        <f>GQ21</f>
        <v/>
      </c>
      <c r="IB21" s="9">
        <f>HR21-HV21-HW21-HX21-HY21-HZ21-IA21</f>
        <v/>
      </c>
      <c r="IC21" s="9">
        <f>IC20+HO21-(HV21+HW21+HX21+HY21+HZ21+IA21+HT21)</f>
        <v/>
      </c>
      <c r="ID21" s="12">
        <f>IF(HI21&gt;0,HJ21/HI21,0)</f>
        <v/>
      </c>
      <c r="IE21" s="11">
        <f>IF(HI20&gt;0,MAX(0,(HI20+GT21-HI21)/HI20),0)</f>
        <v/>
      </c>
      <c r="IG21" s="12" t="n">
        <v>17</v>
      </c>
      <c r="IH21" s="12">
        <f>MOD(IG21-1+LaunchMonth-1,12)+1</f>
        <v/>
      </c>
      <c r="II21" s="12">
        <f>INT((IG21-1+LaunchMonth-1)/12)+1</f>
        <v/>
      </c>
      <c r="IJ21" s="12">
        <f>VLOOKUP(IH21,SeasonTable,2,FALSE)</f>
        <v/>
      </c>
      <c r="IK21" s="12">
        <f>(1+InflationRate)^INT((IG21-1)/12)</f>
        <v/>
      </c>
      <c r="IL21" s="11">
        <f>'Sens - Churn'!$A$15*VLOOKUP(IH21,ChurnSeasonTable,4,FALSE)</f>
        <v/>
      </c>
      <c r="IM21" s="12">
        <f>MIN(MAX(MktMin13_18,JK20*MktPct13_18),MAX(0,JY20-CashBuffer))</f>
        <v/>
      </c>
      <c r="IN21" s="12">
        <f>IF(IM21&gt;0,MAX(1,ROUND(IM21/CAC*IJ21,0)),0)</f>
        <v/>
      </c>
      <c r="IO21" s="12">
        <f>IF(IN21&gt;0,ROUND(IN21*ReferralMix/(1-ReferralMix),0),0)</f>
        <v/>
      </c>
      <c r="IP21" s="12">
        <f>IN21+IO21</f>
        <v/>
      </c>
      <c r="IQ21" s="12">
        <f>ROUND(IP21*(1-AnnualMix),0)</f>
        <v/>
      </c>
      <c r="IR21" s="12">
        <f>IP21-IQ21</f>
        <v/>
      </c>
      <c r="IS21" s="12">
        <f>ROUND(IQ21*EssentialMix,0)</f>
        <v/>
      </c>
      <c r="IT21" s="12">
        <f>ROUND(IQ21*PremiumMix,0)</f>
        <v/>
      </c>
      <c r="IU21" s="12">
        <f>IQ21-IS21-IT21</f>
        <v/>
      </c>
      <c r="IV21" s="12">
        <f>ROUND(IR21*EssentialMix,0)</f>
        <v/>
      </c>
      <c r="IW21" s="12">
        <f>ROUND(IR21*PremiumMix,0)</f>
        <v/>
      </c>
      <c r="IX21" s="12">
        <f>IR21-IV21-IW21</f>
        <v/>
      </c>
      <c r="IY21" s="12">
        <f>IS21+IS20+IS19+MAX(0,IY20-IS20-IS19)*(1-IL21)</f>
        <v/>
      </c>
      <c r="IZ21" s="12">
        <f>IT21+IT20+IT19+MAX(0,IZ20-IT20-IT19)*(1-IL21)</f>
        <v/>
      </c>
      <c r="JA21" s="12">
        <f>IU21+IU20+IU19+MAX(0,JA20-IU20-IU19)*(1-IL21)</f>
        <v/>
      </c>
      <c r="JB21" s="12">
        <f>JB20+IV21-IV9*(AnnualChurn*VLOOKUP(IH21,ChurnSeasonTable,4,FALSE))*POWER(1-(AnnualChurn*VLOOKUP(IH21,ChurnSeasonTable,4,FALSE)),0)</f>
        <v/>
      </c>
      <c r="JC21" s="12">
        <f>JC20+IW21-IW9*(AnnualChurn*VLOOKUP(IH21,ChurnSeasonTable,4,FALSE))*POWER(1-(AnnualChurn*VLOOKUP(IH21,ChurnSeasonTable,4,FALSE)),0)</f>
        <v/>
      </c>
      <c r="JD21" s="12">
        <f>JD20+IX21-IX9*(AnnualChurn*VLOOKUP(IH21,ChurnSeasonTable,4,FALSE))*POWER(1-(AnnualChurn*VLOOKUP(IH21,ChurnSeasonTable,4,FALSE)),0)</f>
        <v/>
      </c>
      <c r="JE21" s="12">
        <f>IY21+IZ21+JA21+JB21+JC21+JD21</f>
        <v/>
      </c>
      <c r="JF21" s="9">
        <f>IY21*BlendedPriceEssMonthly*IK21+IZ21*BlendedPricePremMonthly*IK21+JA21*BlendedPriceEliteMonthly*IK21+JB21*BlendedPriceEssAnnual*IK21/12+JC21*BlendedPricePremAnnual*IK21/12+JD21*BlendedPriceEliteAnnual*IK21/12</f>
        <v/>
      </c>
      <c r="JG21" s="9">
        <f>JF21*12</f>
        <v/>
      </c>
      <c r="JH21" s="12">
        <f>IY21*BlendedPriceEssMonthly*IK21+IZ21*BlendedPricePremMonthly*IK21+JA21*BlendedPriceEliteMonthly*IK21</f>
        <v/>
      </c>
      <c r="JI21" s="12">
        <f>IV21*BlendedPriceEssAnnual*IK21+IW21*BlendedPricePremAnnual*IK21+IX21*BlendedPriceEliteAnnual*IK21</f>
        <v/>
      </c>
      <c r="JJ21" s="12">
        <f>IV9*POWER(1-(AnnualChurn*VLOOKUP(IH21,ChurnSeasonTable,4,FALSE)),1)*BlendedPriceEssAnnual*IK21+IW9*POWER(1-(AnnualChurn*VLOOKUP(IH21,ChurnSeasonTable,4,FALSE)),1)*BlendedPricePremAnnual*IK21+IX9*POWER(1-(AnnualChurn*VLOOKUP(IH21,ChurnSeasonTable,4,FALSE)),1)*BlendedPriceEliteAnnual*IK21</f>
        <v/>
      </c>
      <c r="JK21" s="9">
        <f>JH21+JI21+JJ21</f>
        <v/>
      </c>
      <c r="JL21" s="12">
        <f>SUM(JK10:JK21)</f>
        <v/>
      </c>
      <c r="JM21" s="12">
        <f>OR(JM20,IF(VATAgentMode,SUM($JK10:$JK21)-SUM($JR10:$JR21)&gt;=VATThreshold,SUM($JK10:$JK21)&gt;=VATThreshold))</f>
        <v/>
      </c>
      <c r="JN21" s="9">
        <f>IF(JM21,IF(VATAgentMode,JK21-((JK21-JR21)-(JK21-JR21)/(1+VATRate)),JK21/(1+VATRate)),JK21)</f>
        <v/>
      </c>
      <c r="JO21" s="12">
        <f>JK21-JN21</f>
        <v/>
      </c>
      <c r="JP21" s="12">
        <f>IF(JM21=0,0,IF(IH21=1,SUMPRODUCT(--(($II$5:$II21=$II21-1)*($IH$5:$IH21&gt;=10)*($IH$5:$IH21&lt;=12)),$JO$5:$JO21),IF(IH21=4,SUMPRODUCT(--(($II$5:$II21=$II21)*($IH$5:$IH21&gt;=1)*($IH$5:$IH21&lt;=3)),$JO$5:$JO21),IF(IH21=7,SUMPRODUCT(--(($II$5:$II21=$II21)*($IH$5:$IH21&gt;=4)*($IH$5:$IH21&lt;=6)),$JO$5:$JO21),IF(IH21=10,SUMPRODUCT(--(($II$5:$II21=$II21)*($IH$5:$IH21&gt;=7)*($IH$5:$IH21&lt;=9)),$JO$5:$JO21),0)))))</f>
        <v/>
      </c>
      <c r="JQ21" s="12">
        <f>JQ20+JO21-JP21</f>
        <v/>
      </c>
      <c r="JR21" s="12">
        <f>IF(ProviderDelay&gt;=1,IY20*BlendedProvPayEss+IZ20*BlendedProvPayPrem+JA20*BlendedProvPayElite+JB20*BlendedProvPayEss+JC20*BlendedProvPayPrem+JD20*BlendedProvPayElite,IY21*BlendedProvPayEss+IZ21*BlendedProvPayPrem+JA21*BlendedProvPayElite+JB21*BlendedProvPayEss+JC21*BlendedProvPayPrem+JD21*BlendedProvPayElite)</f>
        <v/>
      </c>
      <c r="JS21" s="12">
        <f>JK21*PaymentFee</f>
        <v/>
      </c>
      <c r="JT21" s="12">
        <f>JE21*OpsAI</f>
        <v/>
      </c>
      <c r="JU21" s="12">
        <f>MonthlyFixed</f>
        <v/>
      </c>
      <c r="JV21" s="12">
        <f>IO21*ReferralReward</f>
        <v/>
      </c>
      <c r="JW21" s="12">
        <f>IM21</f>
        <v/>
      </c>
      <c r="JX21" s="9">
        <f>JN21-JR21-JS21-JT21-JU21-JV21-JW21</f>
        <v/>
      </c>
      <c r="JY21" s="9">
        <f>JY20+JK21-(JR21+JS21+JT21+JU21+JV21+JW21+JP21)</f>
        <v/>
      </c>
      <c r="JZ21" s="12">
        <f>IF(JE21&gt;0,JF21/JE21,0)</f>
        <v/>
      </c>
      <c r="KA21" s="11">
        <f>IF(JE20&gt;0,MAX(0,(JE20+IP21-JE21)/JE20),0)</f>
        <v/>
      </c>
      <c r="KC21" s="12" t="n">
        <v>17</v>
      </c>
      <c r="KD21" s="12">
        <f>MOD(KC21-1+LaunchMonth-1,12)+1</f>
        <v/>
      </c>
      <c r="KE21" s="12">
        <f>INT((KC21-1+LaunchMonth-1)/12)+1</f>
        <v/>
      </c>
      <c r="KF21" s="12">
        <f>VLOOKUP(KD21,SeasonTable,2,FALSE)</f>
        <v/>
      </c>
      <c r="KG21" s="12">
        <f>(1+InflationRate)^INT((KC21-1)/12)</f>
        <v/>
      </c>
      <c r="KH21" s="11">
        <f>'Sens - Churn'!$A$16*VLOOKUP(KD21,ChurnSeasonTable,4,FALSE)</f>
        <v/>
      </c>
      <c r="KI21" s="12">
        <f>MIN(MAX(MktMin13_18,LG20*MktPct13_18),MAX(0,LU20-CashBuffer))</f>
        <v/>
      </c>
      <c r="KJ21" s="12">
        <f>IF(KI21&gt;0,MAX(1,ROUND(KI21/CAC*KF21,0)),0)</f>
        <v/>
      </c>
      <c r="KK21" s="12">
        <f>IF(KJ21&gt;0,ROUND(KJ21*ReferralMix/(1-ReferralMix),0),0)</f>
        <v/>
      </c>
      <c r="KL21" s="12">
        <f>KJ21+KK21</f>
        <v/>
      </c>
      <c r="KM21" s="12">
        <f>ROUND(KL21*(1-AnnualMix),0)</f>
        <v/>
      </c>
      <c r="KN21" s="12">
        <f>KL21-KM21</f>
        <v/>
      </c>
      <c r="KO21" s="12">
        <f>ROUND(KM21*EssentialMix,0)</f>
        <v/>
      </c>
      <c r="KP21" s="12">
        <f>ROUND(KM21*PremiumMix,0)</f>
        <v/>
      </c>
      <c r="KQ21" s="12">
        <f>KM21-KO21-KP21</f>
        <v/>
      </c>
      <c r="KR21" s="12">
        <f>ROUND(KN21*EssentialMix,0)</f>
        <v/>
      </c>
      <c r="KS21" s="12">
        <f>ROUND(KN21*PremiumMix,0)</f>
        <v/>
      </c>
      <c r="KT21" s="12">
        <f>KN21-KR21-KS21</f>
        <v/>
      </c>
      <c r="KU21" s="12">
        <f>KO21+KO20+KO19+MAX(0,KU20-KO20-KO19)*(1-KH21)</f>
        <v/>
      </c>
      <c r="KV21" s="12">
        <f>KP21+KP20+KP19+MAX(0,KV20-KP20-KP19)*(1-KH21)</f>
        <v/>
      </c>
      <c r="KW21" s="12">
        <f>KQ21+KQ20+KQ19+MAX(0,KW20-KQ20-KQ19)*(1-KH21)</f>
        <v/>
      </c>
      <c r="KX21" s="12">
        <f>KX20+KR21-KR9*(AnnualChurn*VLOOKUP(KD21,ChurnSeasonTable,4,FALSE))*POWER(1-(AnnualChurn*VLOOKUP(KD21,ChurnSeasonTable,4,FALSE)),0)</f>
        <v/>
      </c>
      <c r="KY21" s="12">
        <f>KY20+KS21-KS9*(AnnualChurn*VLOOKUP(KD21,ChurnSeasonTable,4,FALSE))*POWER(1-(AnnualChurn*VLOOKUP(KD21,ChurnSeasonTable,4,FALSE)),0)</f>
        <v/>
      </c>
      <c r="KZ21" s="12">
        <f>KZ20+KT21-KT9*(AnnualChurn*VLOOKUP(KD21,ChurnSeasonTable,4,FALSE))*POWER(1-(AnnualChurn*VLOOKUP(KD21,ChurnSeasonTable,4,FALSE)),0)</f>
        <v/>
      </c>
      <c r="LA21" s="12">
        <f>KU21+KV21+KW21+KX21+KY21+KZ21</f>
        <v/>
      </c>
      <c r="LB21" s="9">
        <f>KU21*BlendedPriceEssMonthly*KG21+KV21*BlendedPricePremMonthly*KG21+KW21*BlendedPriceEliteMonthly*KG21+KX21*BlendedPriceEssAnnual*KG21/12+KY21*BlendedPricePremAnnual*KG21/12+KZ21*BlendedPriceEliteAnnual*KG21/12</f>
        <v/>
      </c>
      <c r="LC21" s="9">
        <f>LB21*12</f>
        <v/>
      </c>
      <c r="LD21" s="12">
        <f>KU21*BlendedPriceEssMonthly*KG21+KV21*BlendedPricePremMonthly*KG21+KW21*BlendedPriceEliteMonthly*KG21</f>
        <v/>
      </c>
      <c r="LE21" s="12">
        <f>KR21*BlendedPriceEssAnnual*KG21+KS21*BlendedPricePremAnnual*KG21+KT21*BlendedPriceEliteAnnual*KG21</f>
        <v/>
      </c>
      <c r="LF21" s="12">
        <f>KR9*POWER(1-(AnnualChurn*VLOOKUP(KD21,ChurnSeasonTable,4,FALSE)),1)*BlendedPriceEssAnnual*KG21+KS9*POWER(1-(AnnualChurn*VLOOKUP(KD21,ChurnSeasonTable,4,FALSE)),1)*BlendedPricePremAnnual*KG21+KT9*POWER(1-(AnnualChurn*VLOOKUP(KD21,ChurnSeasonTable,4,FALSE)),1)*BlendedPriceEliteAnnual*KG21</f>
        <v/>
      </c>
      <c r="LG21" s="9">
        <f>LD21+LE21+LF21</f>
        <v/>
      </c>
      <c r="LH21" s="12">
        <f>SUM(LG10:LG21)</f>
        <v/>
      </c>
      <c r="LI21" s="12">
        <f>OR(LI20,IF(VATAgentMode,SUM($LG10:$LG21)-SUM($LN10:$LN21)&gt;=VATThreshold,SUM($LG10:$LG21)&gt;=VATThreshold))</f>
        <v/>
      </c>
      <c r="LJ21" s="9">
        <f>IF(LI21,IF(VATAgentMode,LG21-((LG21-LN21)-(LG21-LN21)/(1+VATRate)),LG21/(1+VATRate)),LG21)</f>
        <v/>
      </c>
      <c r="LK21" s="12">
        <f>LG21-LJ21</f>
        <v/>
      </c>
      <c r="LL21" s="12">
        <f>IF(LI21=0,0,IF(KD21=1,SUMPRODUCT(--(($KE$5:$KE21=$KE21-1)*($KD$5:$KD21&gt;=10)*($KD$5:$KD21&lt;=12)),$LK$5:$LK21),IF(KD21=4,SUMPRODUCT(--(($KE$5:$KE21=$KE21)*($KD$5:$KD21&gt;=1)*($KD$5:$KD21&lt;=3)),$LK$5:$LK21),IF(KD21=7,SUMPRODUCT(--(($KE$5:$KE21=$KE21)*($KD$5:$KD21&gt;=4)*($KD$5:$KD21&lt;=6)),$LK$5:$LK21),IF(KD21=10,SUMPRODUCT(--(($KE$5:$KE21=$KE21)*($KD$5:$KD21&gt;=7)*($KD$5:$KD21&lt;=9)),$LK$5:$LK21),0)))))</f>
        <v/>
      </c>
      <c r="LM21" s="12">
        <f>LM20+LK21-LL21</f>
        <v/>
      </c>
      <c r="LN21" s="12">
        <f>IF(ProviderDelay&gt;=1,KU20*BlendedProvPayEss+KV20*BlendedProvPayPrem+KW20*BlendedProvPayElite+KX20*BlendedProvPayEss+KY20*BlendedProvPayPrem+KZ20*BlendedProvPayElite,KU21*BlendedProvPayEss+KV21*BlendedProvPayPrem+KW21*BlendedProvPayElite+KX21*BlendedProvPayEss+KY21*BlendedProvPayPrem+KZ21*BlendedProvPayElite)</f>
        <v/>
      </c>
      <c r="LO21" s="12">
        <f>LG21*PaymentFee</f>
        <v/>
      </c>
      <c r="LP21" s="12">
        <f>LA21*OpsAI</f>
        <v/>
      </c>
      <c r="LQ21" s="12">
        <f>MonthlyFixed</f>
        <v/>
      </c>
      <c r="LR21" s="12">
        <f>KK21*ReferralReward</f>
        <v/>
      </c>
      <c r="LS21" s="12">
        <f>KI21</f>
        <v/>
      </c>
      <c r="LT21" s="9">
        <f>LJ21-LN21-LO21-LP21-LQ21-LR21-LS21</f>
        <v/>
      </c>
      <c r="LU21" s="9">
        <f>LU20+LG21-(LN21+LO21+LP21+LQ21+LR21+LS21+LL21)</f>
        <v/>
      </c>
      <c r="LV21" s="12">
        <f>IF(LA21&gt;0,LB21/LA21,0)</f>
        <v/>
      </c>
      <c r="LW21" s="11">
        <f>IF(LA20&gt;0,MAX(0,(LA20+KL21-LA21)/LA20),0)</f>
        <v/>
      </c>
      <c r="LY21" s="12" t="n">
        <v>17</v>
      </c>
      <c r="LZ21" s="12">
        <f>MOD(LY21-1+LaunchMonth-1,12)+1</f>
        <v/>
      </c>
      <c r="MA21" s="12">
        <f>INT((LY21-1+LaunchMonth-1)/12)+1</f>
        <v/>
      </c>
      <c r="MB21" s="12">
        <f>VLOOKUP(LZ21,SeasonTable,2,FALSE)</f>
        <v/>
      </c>
      <c r="MC21" s="12">
        <f>(1+InflationRate)^INT((LY21-1)/12)</f>
        <v/>
      </c>
      <c r="MD21" s="11">
        <f>'Sens - Churn'!$A$17*VLOOKUP(LZ21,ChurnSeasonTable,4,FALSE)</f>
        <v/>
      </c>
      <c r="ME21" s="12">
        <f>MIN(MAX(MktMin13_18,NC20*MktPct13_18),MAX(0,NQ20-CashBuffer))</f>
        <v/>
      </c>
      <c r="MF21" s="12">
        <f>IF(ME21&gt;0,MAX(1,ROUND(ME21/CAC*MB21,0)),0)</f>
        <v/>
      </c>
      <c r="MG21" s="12">
        <f>IF(MF21&gt;0,ROUND(MF21*ReferralMix/(1-ReferralMix),0),0)</f>
        <v/>
      </c>
      <c r="MH21" s="12">
        <f>MF21+MG21</f>
        <v/>
      </c>
      <c r="MI21" s="12">
        <f>ROUND(MH21*(1-AnnualMix),0)</f>
        <v/>
      </c>
      <c r="MJ21" s="12">
        <f>MH21-MI21</f>
        <v/>
      </c>
      <c r="MK21" s="12">
        <f>ROUND(MI21*EssentialMix,0)</f>
        <v/>
      </c>
      <c r="ML21" s="12">
        <f>ROUND(MI21*PremiumMix,0)</f>
        <v/>
      </c>
      <c r="MM21" s="12">
        <f>MI21-MK21-ML21</f>
        <v/>
      </c>
      <c r="MN21" s="12">
        <f>ROUND(MJ21*EssentialMix,0)</f>
        <v/>
      </c>
      <c r="MO21" s="12">
        <f>ROUND(MJ21*PremiumMix,0)</f>
        <v/>
      </c>
      <c r="MP21" s="12">
        <f>MJ21-MN21-MO21</f>
        <v/>
      </c>
      <c r="MQ21" s="12">
        <f>MK21+MK20+MK19+MAX(0,MQ20-MK20-MK19)*(1-MD21)</f>
        <v/>
      </c>
      <c r="MR21" s="12">
        <f>ML21+ML20+ML19+MAX(0,MR20-ML20-ML19)*(1-MD21)</f>
        <v/>
      </c>
      <c r="MS21" s="12">
        <f>MM21+MM20+MM19+MAX(0,MS20-MM20-MM19)*(1-MD21)</f>
        <v/>
      </c>
      <c r="MT21" s="12">
        <f>MT20+MN21-MN9*(AnnualChurn*VLOOKUP(LZ21,ChurnSeasonTable,4,FALSE))*POWER(1-(AnnualChurn*VLOOKUP(LZ21,ChurnSeasonTable,4,FALSE)),0)</f>
        <v/>
      </c>
      <c r="MU21" s="12">
        <f>MU20+MO21-MO9*(AnnualChurn*VLOOKUP(LZ21,ChurnSeasonTable,4,FALSE))*POWER(1-(AnnualChurn*VLOOKUP(LZ21,ChurnSeasonTable,4,FALSE)),0)</f>
        <v/>
      </c>
      <c r="MV21" s="12">
        <f>MV20+MP21-MP9*(AnnualChurn*VLOOKUP(LZ21,ChurnSeasonTable,4,FALSE))*POWER(1-(AnnualChurn*VLOOKUP(LZ21,ChurnSeasonTable,4,FALSE)),0)</f>
        <v/>
      </c>
      <c r="MW21" s="12">
        <f>MQ21+MR21+MS21+MT21+MU21+MV21</f>
        <v/>
      </c>
      <c r="MX21" s="9">
        <f>MQ21*BlendedPriceEssMonthly*MC21+MR21*BlendedPricePremMonthly*MC21+MS21*BlendedPriceEliteMonthly*MC21+MT21*BlendedPriceEssAnnual*MC21/12+MU21*BlendedPricePremAnnual*MC21/12+MV21*BlendedPriceEliteAnnual*MC21/12</f>
        <v/>
      </c>
      <c r="MY21" s="9">
        <f>MX21*12</f>
        <v/>
      </c>
      <c r="MZ21" s="12">
        <f>MQ21*BlendedPriceEssMonthly*MC21+MR21*BlendedPricePremMonthly*MC21+MS21*BlendedPriceEliteMonthly*MC21</f>
        <v/>
      </c>
      <c r="NA21" s="12">
        <f>MN21*BlendedPriceEssAnnual*MC21+MO21*BlendedPricePremAnnual*MC21+MP21*BlendedPriceEliteAnnual*MC21</f>
        <v/>
      </c>
      <c r="NB21" s="12">
        <f>MN9*POWER(1-(AnnualChurn*VLOOKUP(LZ21,ChurnSeasonTable,4,FALSE)),1)*BlendedPriceEssAnnual*MC21+MO9*POWER(1-(AnnualChurn*VLOOKUP(LZ21,ChurnSeasonTable,4,FALSE)),1)*BlendedPricePremAnnual*MC21+MP9*POWER(1-(AnnualChurn*VLOOKUP(LZ21,ChurnSeasonTable,4,FALSE)),1)*BlendedPriceEliteAnnual*MC21</f>
        <v/>
      </c>
      <c r="NC21" s="9">
        <f>MZ21+NA21+NB21</f>
        <v/>
      </c>
      <c r="ND21" s="12">
        <f>SUM(NC10:NC21)</f>
        <v/>
      </c>
      <c r="NE21" s="12">
        <f>OR(NE20,IF(VATAgentMode,SUM($NC10:$NC21)-SUM($NJ10:$NJ21)&gt;=VATThreshold,SUM($NC10:$NC21)&gt;=VATThreshold))</f>
        <v/>
      </c>
      <c r="NF21" s="9">
        <f>IF(NE21,IF(VATAgentMode,NC21-((NC21-NJ21)-(NC21-NJ21)/(1+VATRate)),NC21/(1+VATRate)),NC21)</f>
        <v/>
      </c>
      <c r="NG21" s="12">
        <f>NC21-NF21</f>
        <v/>
      </c>
      <c r="NH21" s="12">
        <f>IF(NE21=0,0,IF(LZ21=1,SUMPRODUCT(--(($MA$5:$MA21=$MA21-1)*($LZ$5:$LZ21&gt;=10)*($LZ$5:$LZ21&lt;=12)),$NG$5:$NG21),IF(LZ21=4,SUMPRODUCT(--(($MA$5:$MA21=$MA21)*($LZ$5:$LZ21&gt;=1)*($LZ$5:$LZ21&lt;=3)),$NG$5:$NG21),IF(LZ21=7,SUMPRODUCT(--(($MA$5:$MA21=$MA21)*($LZ$5:$LZ21&gt;=4)*($LZ$5:$LZ21&lt;=6)),$NG$5:$NG21),IF(LZ21=10,SUMPRODUCT(--(($MA$5:$MA21=$MA21)*($LZ$5:$LZ21&gt;=7)*($LZ$5:$LZ21&lt;=9)),$NG$5:$NG21),0)))))</f>
        <v/>
      </c>
      <c r="NI21" s="12">
        <f>NI20+NG21-NH21</f>
        <v/>
      </c>
      <c r="NJ21" s="12">
        <f>IF(ProviderDelay&gt;=1,MQ20*BlendedProvPayEss+MR20*BlendedProvPayPrem+MS20*BlendedProvPayElite+MT20*BlendedProvPayEss+MU20*BlendedProvPayPrem+MV20*BlendedProvPayElite,MQ21*BlendedProvPayEss+MR21*BlendedProvPayPrem+MS21*BlendedProvPayElite+MT21*BlendedProvPayEss+MU21*BlendedProvPayPrem+MV21*BlendedProvPayElite)</f>
        <v/>
      </c>
      <c r="NK21" s="12">
        <f>NC21*PaymentFee</f>
        <v/>
      </c>
      <c r="NL21" s="12">
        <f>MW21*OpsAI</f>
        <v/>
      </c>
      <c r="NM21" s="12">
        <f>MonthlyFixed</f>
        <v/>
      </c>
      <c r="NN21" s="12">
        <f>MG21*ReferralReward</f>
        <v/>
      </c>
      <c r="NO21" s="12">
        <f>ME21</f>
        <v/>
      </c>
      <c r="NP21" s="9">
        <f>NF21-NJ21-NK21-NL21-NM21-NN21-NO21</f>
        <v/>
      </c>
      <c r="NQ21" s="9">
        <f>NQ20+NC21-(NJ21+NK21+NL21+NM21+NN21+NO21+NH21)</f>
        <v/>
      </c>
      <c r="NR21" s="12">
        <f>IF(MW21&gt;0,MX21/MW21,0)</f>
        <v/>
      </c>
      <c r="NS21" s="11">
        <f>IF(MW20&gt;0,MAX(0,(MW20+MH21-MW21)/MW20),0)</f>
        <v/>
      </c>
      <c r="NU21" s="12" t="n">
        <v>17</v>
      </c>
      <c r="NV21" s="12">
        <f>MOD(NU21-1+LaunchMonth-1,12)+1</f>
        <v/>
      </c>
      <c r="NW21" s="12">
        <f>INT((NU21-1+LaunchMonth-1)/12)+1</f>
        <v/>
      </c>
      <c r="NX21" s="12">
        <f>VLOOKUP(NV21,SeasonTable,2,FALSE)</f>
        <v/>
      </c>
      <c r="NY21" s="12">
        <f>(1+InflationRate)^INT((NU21-1)/12)</f>
        <v/>
      </c>
      <c r="NZ21" s="11">
        <f>'Sens - Churn'!$A$18*VLOOKUP(NV21,ChurnSeasonTable,4,FALSE)</f>
        <v/>
      </c>
      <c r="OA21" s="12">
        <f>MIN(MAX(MktMin13_18,OY20*MktPct13_18),MAX(0,PM20-CashBuffer))</f>
        <v/>
      </c>
      <c r="OB21" s="12">
        <f>IF(OA21&gt;0,MAX(1,ROUND(OA21/CAC*NX21,0)),0)</f>
        <v/>
      </c>
      <c r="OC21" s="12">
        <f>IF(OB21&gt;0,ROUND(OB21*ReferralMix/(1-ReferralMix),0),0)</f>
        <v/>
      </c>
      <c r="OD21" s="12">
        <f>OB21+OC21</f>
        <v/>
      </c>
      <c r="OE21" s="12">
        <f>ROUND(OD21*(1-AnnualMix),0)</f>
        <v/>
      </c>
      <c r="OF21" s="12">
        <f>OD21-OE21</f>
        <v/>
      </c>
      <c r="OG21" s="12">
        <f>ROUND(OE21*EssentialMix,0)</f>
        <v/>
      </c>
      <c r="OH21" s="12">
        <f>ROUND(OE21*PremiumMix,0)</f>
        <v/>
      </c>
      <c r="OI21" s="12">
        <f>OE21-OG21-OH21</f>
        <v/>
      </c>
      <c r="OJ21" s="12">
        <f>ROUND(OF21*EssentialMix,0)</f>
        <v/>
      </c>
      <c r="OK21" s="12">
        <f>ROUND(OF21*PremiumMix,0)</f>
        <v/>
      </c>
      <c r="OL21" s="12">
        <f>OF21-OJ21-OK21</f>
        <v/>
      </c>
      <c r="OM21" s="12">
        <f>OG21+OG20+OG19+MAX(0,OM20-OG20-OG19)*(1-NZ21)</f>
        <v/>
      </c>
      <c r="ON21" s="12">
        <f>OH21+OH20+OH19+MAX(0,ON20-OH20-OH19)*(1-NZ21)</f>
        <v/>
      </c>
      <c r="OO21" s="12">
        <f>OI21+OI20+OI19+MAX(0,OO20-OI20-OI19)*(1-NZ21)</f>
        <v/>
      </c>
      <c r="OP21" s="12">
        <f>OP20+OJ21-OJ9*(AnnualChurn*VLOOKUP(NV21,ChurnSeasonTable,4,FALSE))*POWER(1-(AnnualChurn*VLOOKUP(NV21,ChurnSeasonTable,4,FALSE)),0)</f>
        <v/>
      </c>
      <c r="OQ21" s="12">
        <f>OQ20+OK21-OK9*(AnnualChurn*VLOOKUP(NV21,ChurnSeasonTable,4,FALSE))*POWER(1-(AnnualChurn*VLOOKUP(NV21,ChurnSeasonTable,4,FALSE)),0)</f>
        <v/>
      </c>
      <c r="OR21" s="12">
        <f>OR20+OL21-OL9*(AnnualChurn*VLOOKUP(NV21,ChurnSeasonTable,4,FALSE))*POWER(1-(AnnualChurn*VLOOKUP(NV21,ChurnSeasonTable,4,FALSE)),0)</f>
        <v/>
      </c>
      <c r="OS21" s="12">
        <f>OM21+ON21+OO21+OP21+OQ21+OR21</f>
        <v/>
      </c>
      <c r="OT21" s="9">
        <f>OM21*BlendedPriceEssMonthly*NY21+ON21*BlendedPricePremMonthly*NY21+OO21*BlendedPriceEliteMonthly*NY21+OP21*BlendedPriceEssAnnual*NY21/12+OQ21*BlendedPricePremAnnual*NY21/12+OR21*BlendedPriceEliteAnnual*NY21/12</f>
        <v/>
      </c>
      <c r="OU21" s="9">
        <f>OT21*12</f>
        <v/>
      </c>
      <c r="OV21" s="12">
        <f>OM21*BlendedPriceEssMonthly*NY21+ON21*BlendedPricePremMonthly*NY21+OO21*BlendedPriceEliteMonthly*NY21</f>
        <v/>
      </c>
      <c r="OW21" s="12">
        <f>OJ21*BlendedPriceEssAnnual*NY21+OK21*BlendedPricePremAnnual*NY21+OL21*BlendedPriceEliteAnnual*NY21</f>
        <v/>
      </c>
      <c r="OX21" s="12">
        <f>OJ9*POWER(1-(AnnualChurn*VLOOKUP(NV21,ChurnSeasonTable,4,FALSE)),1)*BlendedPriceEssAnnual*NY21+OK9*POWER(1-(AnnualChurn*VLOOKUP(NV21,ChurnSeasonTable,4,FALSE)),1)*BlendedPricePremAnnual*NY21+OL9*POWER(1-(AnnualChurn*VLOOKUP(NV21,ChurnSeasonTable,4,FALSE)),1)*BlendedPriceEliteAnnual*NY21</f>
        <v/>
      </c>
      <c r="OY21" s="9">
        <f>OV21+OW21+OX21</f>
        <v/>
      </c>
      <c r="OZ21" s="12">
        <f>SUM(OY10:OY21)</f>
        <v/>
      </c>
      <c r="PA21" s="12">
        <f>OR(PA20,IF(VATAgentMode,SUM($OY10:$OY21)-SUM($PF10:$PF21)&gt;=VATThreshold,SUM($OY10:$OY21)&gt;=VATThreshold))</f>
        <v/>
      </c>
      <c r="PB21" s="9">
        <f>IF(PA21,IF(VATAgentMode,OY21-((OY21-PF21)-(OY21-PF21)/(1+VATRate)),OY21/(1+VATRate)),OY21)</f>
        <v/>
      </c>
      <c r="PC21" s="12">
        <f>OY21-PB21</f>
        <v/>
      </c>
      <c r="PD21" s="12">
        <f>IF(PA21=0,0,IF(NV21=1,SUMPRODUCT(--(($NW$5:$NW21=$NW21-1)*($NV$5:$NV21&gt;=10)*($NV$5:$NV21&lt;=12)),$PC$5:$PC21),IF(NV21=4,SUMPRODUCT(--(($NW$5:$NW21=$NW21)*($NV$5:$NV21&gt;=1)*($NV$5:$NV21&lt;=3)),$PC$5:$PC21),IF(NV21=7,SUMPRODUCT(--(($NW$5:$NW21=$NW21)*($NV$5:$NV21&gt;=4)*($NV$5:$NV21&lt;=6)),$PC$5:$PC21),IF(NV21=10,SUMPRODUCT(--(($NW$5:$NW21=$NW21)*($NV$5:$NV21&gt;=7)*($NV$5:$NV21&lt;=9)),$PC$5:$PC21),0)))))</f>
        <v/>
      </c>
      <c r="PE21" s="12">
        <f>PE20+PC21-PD21</f>
        <v/>
      </c>
      <c r="PF21" s="12">
        <f>IF(ProviderDelay&gt;=1,OM20*BlendedProvPayEss+ON20*BlendedProvPayPrem+OO20*BlendedProvPayElite+OP20*BlendedProvPayEss+OQ20*BlendedProvPayPrem+OR20*BlendedProvPayElite,OM21*BlendedProvPayEss+ON21*BlendedProvPayPrem+OO21*BlendedProvPayElite+OP21*BlendedProvPayEss+OQ21*BlendedProvPayPrem+OR21*BlendedProvPayElite)</f>
        <v/>
      </c>
      <c r="PG21" s="12">
        <f>OY21*PaymentFee</f>
        <v/>
      </c>
      <c r="PH21" s="12">
        <f>OS21*OpsAI</f>
        <v/>
      </c>
      <c r="PI21" s="12">
        <f>MonthlyFixed</f>
        <v/>
      </c>
      <c r="PJ21" s="12">
        <f>OC21*ReferralReward</f>
        <v/>
      </c>
      <c r="PK21" s="12">
        <f>OA21</f>
        <v/>
      </c>
      <c r="PL21" s="9">
        <f>PB21-PF21-PG21-PH21-PI21-PJ21-PK21</f>
        <v/>
      </c>
      <c r="PM21" s="9">
        <f>PM20+OY21-(PF21+PG21+PH21+PI21+PJ21+PK21+PD21)</f>
        <v/>
      </c>
      <c r="PN21" s="12">
        <f>IF(OS21&gt;0,OT21/OS21,0)</f>
        <v/>
      </c>
      <c r="PO21" s="11">
        <f>IF(OS20&gt;0,MAX(0,(OS20+OD21-OS21)/OS20),0)</f>
        <v/>
      </c>
      <c r="PQ21" s="12" t="n">
        <v>17</v>
      </c>
      <c r="PR21" s="12">
        <f>MOD(PQ21-1+LaunchMonth-1,12)+1</f>
        <v/>
      </c>
      <c r="PS21" s="12">
        <f>INT((PQ21-1+LaunchMonth-1)/12)+1</f>
        <v/>
      </c>
      <c r="PT21" s="12">
        <f>VLOOKUP(PR21,SeasonTable,2,FALSE)</f>
        <v/>
      </c>
      <c r="PU21" s="12">
        <f>(1+InflationRate)^INT((PQ21-1)/12)</f>
        <v/>
      </c>
      <c r="PV21" s="11">
        <f>'Sens - Churn'!$A$19*VLOOKUP(PR21,ChurnSeasonTable,4,FALSE)</f>
        <v/>
      </c>
      <c r="PW21" s="12">
        <f>MIN(MAX(MktMin13_18,QU20*MktPct13_18),MAX(0,RI20-CashBuffer))</f>
        <v/>
      </c>
      <c r="PX21" s="12">
        <f>IF(PW21&gt;0,MAX(1,ROUND(PW21/CAC*PT21,0)),0)</f>
        <v/>
      </c>
      <c r="PY21" s="12">
        <f>IF(PX21&gt;0,ROUND(PX21*ReferralMix/(1-ReferralMix),0),0)</f>
        <v/>
      </c>
      <c r="PZ21" s="12">
        <f>PX21+PY21</f>
        <v/>
      </c>
      <c r="QA21" s="12">
        <f>ROUND(PZ21*(1-AnnualMix),0)</f>
        <v/>
      </c>
      <c r="QB21" s="12">
        <f>PZ21-QA21</f>
        <v/>
      </c>
      <c r="QC21" s="12">
        <f>ROUND(QA21*EssentialMix,0)</f>
        <v/>
      </c>
      <c r="QD21" s="12">
        <f>ROUND(QA21*PremiumMix,0)</f>
        <v/>
      </c>
      <c r="QE21" s="12">
        <f>QA21-QC21-QD21</f>
        <v/>
      </c>
      <c r="QF21" s="12">
        <f>ROUND(QB21*EssentialMix,0)</f>
        <v/>
      </c>
      <c r="QG21" s="12">
        <f>ROUND(QB21*PremiumMix,0)</f>
        <v/>
      </c>
      <c r="QH21" s="12">
        <f>QB21-QF21-QG21</f>
        <v/>
      </c>
      <c r="QI21" s="12">
        <f>QC21+QC20+QC19+MAX(0,QI20-QC20-QC19)*(1-PV21)</f>
        <v/>
      </c>
      <c r="QJ21" s="12">
        <f>QD21+QD20+QD19+MAX(0,QJ20-QD20-QD19)*(1-PV21)</f>
        <v/>
      </c>
      <c r="QK21" s="12">
        <f>QE21+QE20+QE19+MAX(0,QK20-QE20-QE19)*(1-PV21)</f>
        <v/>
      </c>
      <c r="QL21" s="12">
        <f>QL20+QF21-QF9*(AnnualChurn*VLOOKUP(PR21,ChurnSeasonTable,4,FALSE))*POWER(1-(AnnualChurn*VLOOKUP(PR21,ChurnSeasonTable,4,FALSE)),0)</f>
        <v/>
      </c>
      <c r="QM21" s="12">
        <f>QM20+QG21-QG9*(AnnualChurn*VLOOKUP(PR21,ChurnSeasonTable,4,FALSE))*POWER(1-(AnnualChurn*VLOOKUP(PR21,ChurnSeasonTable,4,FALSE)),0)</f>
        <v/>
      </c>
      <c r="QN21" s="12">
        <f>QN20+QH21-QH9*(AnnualChurn*VLOOKUP(PR21,ChurnSeasonTable,4,FALSE))*POWER(1-(AnnualChurn*VLOOKUP(PR21,ChurnSeasonTable,4,FALSE)),0)</f>
        <v/>
      </c>
      <c r="QO21" s="12">
        <f>QI21+QJ21+QK21+QL21+QM21+QN21</f>
        <v/>
      </c>
      <c r="QP21" s="9">
        <f>QI21*BlendedPriceEssMonthly*PU21+QJ21*BlendedPricePremMonthly*PU21+QK21*BlendedPriceEliteMonthly*PU21+QL21*BlendedPriceEssAnnual*PU21/12+QM21*BlendedPricePremAnnual*PU21/12+QN21*BlendedPriceEliteAnnual*PU21/12</f>
        <v/>
      </c>
      <c r="QQ21" s="9">
        <f>QP21*12</f>
        <v/>
      </c>
      <c r="QR21" s="12">
        <f>QI21*BlendedPriceEssMonthly*PU21+QJ21*BlendedPricePremMonthly*PU21+QK21*BlendedPriceEliteMonthly*PU21</f>
        <v/>
      </c>
      <c r="QS21" s="12">
        <f>QF21*BlendedPriceEssAnnual*PU21+QG21*BlendedPricePremAnnual*PU21+QH21*BlendedPriceEliteAnnual*PU21</f>
        <v/>
      </c>
      <c r="QT21" s="12">
        <f>QF9*POWER(1-(AnnualChurn*VLOOKUP(PR21,ChurnSeasonTable,4,FALSE)),1)*BlendedPriceEssAnnual*PU21+QG9*POWER(1-(AnnualChurn*VLOOKUP(PR21,ChurnSeasonTable,4,FALSE)),1)*BlendedPricePremAnnual*PU21+QH9*POWER(1-(AnnualChurn*VLOOKUP(PR21,ChurnSeasonTable,4,FALSE)),1)*BlendedPriceEliteAnnual*PU21</f>
        <v/>
      </c>
      <c r="QU21" s="9">
        <f>QR21+QS21+QT21</f>
        <v/>
      </c>
      <c r="QV21" s="12">
        <f>SUM(QU10:QU21)</f>
        <v/>
      </c>
      <c r="QW21" s="12">
        <f>OR(QW20,IF(VATAgentMode,SUM($QU10:$QU21)-SUM($RB10:$RB21)&gt;=VATThreshold,SUM($QU10:$QU21)&gt;=VATThreshold))</f>
        <v/>
      </c>
      <c r="QX21" s="9">
        <f>IF(QW21,IF(VATAgentMode,QU21-((QU21-RB21)-(QU21-RB21)/(1+VATRate)),QU21/(1+VATRate)),QU21)</f>
        <v/>
      </c>
      <c r="QY21" s="12">
        <f>QU21-QX21</f>
        <v/>
      </c>
      <c r="QZ21" s="12">
        <f>IF(QW21=0,0,IF(PR21=1,SUMPRODUCT(--(($PS$5:$PS21=$PS21-1)*($PR$5:$PR21&gt;=10)*($PR$5:$PR21&lt;=12)),$QY$5:$QY21),IF(PR21=4,SUMPRODUCT(--(($PS$5:$PS21=$PS21)*($PR$5:$PR21&gt;=1)*($PR$5:$PR21&lt;=3)),$QY$5:$QY21),IF(PR21=7,SUMPRODUCT(--(($PS$5:$PS21=$PS21)*($PR$5:$PR21&gt;=4)*($PR$5:$PR21&lt;=6)),$QY$5:$QY21),IF(PR21=10,SUMPRODUCT(--(($PS$5:$PS21=$PS21)*($PR$5:$PR21&gt;=7)*($PR$5:$PR21&lt;=9)),$QY$5:$QY21),0)))))</f>
        <v/>
      </c>
      <c r="RA21" s="12">
        <f>RA20+QY21-QZ21</f>
        <v/>
      </c>
      <c r="RB21" s="12">
        <f>IF(ProviderDelay&gt;=1,QI20*BlendedProvPayEss+QJ20*BlendedProvPayPrem+QK20*BlendedProvPayElite+QL20*BlendedProvPayEss+QM20*BlendedProvPayPrem+QN20*BlendedProvPayElite,QI21*BlendedProvPayEss+QJ21*BlendedProvPayPrem+QK21*BlendedProvPayElite+QL21*BlendedProvPayEss+QM21*BlendedProvPayPrem+QN21*BlendedProvPayElite)</f>
        <v/>
      </c>
      <c r="RC21" s="12">
        <f>QU21*PaymentFee</f>
        <v/>
      </c>
      <c r="RD21" s="12">
        <f>QO21*OpsAI</f>
        <v/>
      </c>
      <c r="RE21" s="12">
        <f>MonthlyFixed</f>
        <v/>
      </c>
      <c r="RF21" s="12">
        <f>PY21*ReferralReward</f>
        <v/>
      </c>
      <c r="RG21" s="12">
        <f>PW21</f>
        <v/>
      </c>
      <c r="RH21" s="9">
        <f>QX21-RB21-RC21-RD21-RE21-RF21-RG21</f>
        <v/>
      </c>
      <c r="RI21" s="9">
        <f>RI20+QU21-(RB21+RC21+RD21+RE21+RF21+RG21+QZ21)</f>
        <v/>
      </c>
      <c r="RJ21" s="12">
        <f>IF(QO21&gt;0,QP21/QO21,0)</f>
        <v/>
      </c>
      <c r="RK21" s="11">
        <f>IF(QO20&gt;0,MAX(0,(QO20+PZ21-QO21)/QO20),0)</f>
        <v/>
      </c>
      <c r="RM21" s="12" t="n">
        <v>17</v>
      </c>
      <c r="RN21" s="12">
        <f>MOD(RM21-1+LaunchMonth-1,12)+1</f>
        <v/>
      </c>
      <c r="RO21" s="12">
        <f>INT((RM21-1+LaunchMonth-1)/12)+1</f>
        <v/>
      </c>
      <c r="RP21" s="12">
        <f>VLOOKUP(RN21,SeasonTable,2,FALSE)</f>
        <v/>
      </c>
      <c r="RQ21" s="12">
        <f>(1+InflationRate)^INT((RM21-1)/12)</f>
        <v/>
      </c>
      <c r="RR21" s="11">
        <f>'Sens - Churn'!$A$20*VLOOKUP(RN21,ChurnSeasonTable,4,FALSE)</f>
        <v/>
      </c>
      <c r="RS21" s="12">
        <f>MIN(MAX(MktMin13_18,SQ20*MktPct13_18),MAX(0,TE20-CashBuffer))</f>
        <v/>
      </c>
      <c r="RT21" s="12">
        <f>IF(RS21&gt;0,MAX(1,ROUND(RS21/CAC*RP21,0)),0)</f>
        <v/>
      </c>
      <c r="RU21" s="12">
        <f>IF(RT21&gt;0,ROUND(RT21*ReferralMix/(1-ReferralMix),0),0)</f>
        <v/>
      </c>
      <c r="RV21" s="12">
        <f>RT21+RU21</f>
        <v/>
      </c>
      <c r="RW21" s="12">
        <f>ROUND(RV21*(1-AnnualMix),0)</f>
        <v/>
      </c>
      <c r="RX21" s="12">
        <f>RV21-RW21</f>
        <v/>
      </c>
      <c r="RY21" s="12">
        <f>ROUND(RW21*EssentialMix,0)</f>
        <v/>
      </c>
      <c r="RZ21" s="12">
        <f>ROUND(RW21*PremiumMix,0)</f>
        <v/>
      </c>
      <c r="SA21" s="12">
        <f>RW21-RY21-RZ21</f>
        <v/>
      </c>
      <c r="SB21" s="12">
        <f>ROUND(RX21*EssentialMix,0)</f>
        <v/>
      </c>
      <c r="SC21" s="12">
        <f>ROUND(RX21*PremiumMix,0)</f>
        <v/>
      </c>
      <c r="SD21" s="12">
        <f>RX21-SB21-SC21</f>
        <v/>
      </c>
      <c r="SE21" s="12">
        <f>RY21+RY20+RY19+MAX(0,SE20-RY20-RY19)*(1-RR21)</f>
        <v/>
      </c>
      <c r="SF21" s="12">
        <f>RZ21+RZ20+RZ19+MAX(0,SF20-RZ20-RZ19)*(1-RR21)</f>
        <v/>
      </c>
      <c r="SG21" s="12">
        <f>SA21+SA20+SA19+MAX(0,SG20-SA20-SA19)*(1-RR21)</f>
        <v/>
      </c>
      <c r="SH21" s="12">
        <f>SH20+SB21-SB9*(AnnualChurn*VLOOKUP(RN21,ChurnSeasonTable,4,FALSE))*POWER(1-(AnnualChurn*VLOOKUP(RN21,ChurnSeasonTable,4,FALSE)),0)</f>
        <v/>
      </c>
      <c r="SI21" s="12">
        <f>SI20+SC21-SC9*(AnnualChurn*VLOOKUP(RN21,ChurnSeasonTable,4,FALSE))*POWER(1-(AnnualChurn*VLOOKUP(RN21,ChurnSeasonTable,4,FALSE)),0)</f>
        <v/>
      </c>
      <c r="SJ21" s="12">
        <f>SJ20+SD21-SD9*(AnnualChurn*VLOOKUP(RN21,ChurnSeasonTable,4,FALSE))*POWER(1-(AnnualChurn*VLOOKUP(RN21,ChurnSeasonTable,4,FALSE)),0)</f>
        <v/>
      </c>
      <c r="SK21" s="12">
        <f>SE21+SF21+SG21+SH21+SI21+SJ21</f>
        <v/>
      </c>
      <c r="SL21" s="9">
        <f>SE21*BlendedPriceEssMonthly*RQ21+SF21*BlendedPricePremMonthly*RQ21+SG21*BlendedPriceEliteMonthly*RQ21+SH21*BlendedPriceEssAnnual*RQ21/12+SI21*BlendedPricePremAnnual*RQ21/12+SJ21*BlendedPriceEliteAnnual*RQ21/12</f>
        <v/>
      </c>
      <c r="SM21" s="9">
        <f>SL21*12</f>
        <v/>
      </c>
      <c r="SN21" s="12">
        <f>SE21*BlendedPriceEssMonthly*RQ21+SF21*BlendedPricePremMonthly*RQ21+SG21*BlendedPriceEliteMonthly*RQ21</f>
        <v/>
      </c>
      <c r="SO21" s="12">
        <f>SB21*BlendedPriceEssAnnual*RQ21+SC21*BlendedPricePremAnnual*RQ21+SD21*BlendedPriceEliteAnnual*RQ21</f>
        <v/>
      </c>
      <c r="SP21" s="12">
        <f>SB9*POWER(1-(AnnualChurn*VLOOKUP(RN21,ChurnSeasonTable,4,FALSE)),1)*BlendedPriceEssAnnual*RQ21+SC9*POWER(1-(AnnualChurn*VLOOKUP(RN21,ChurnSeasonTable,4,FALSE)),1)*BlendedPricePremAnnual*RQ21+SD9*POWER(1-(AnnualChurn*VLOOKUP(RN21,ChurnSeasonTable,4,FALSE)),1)*BlendedPriceEliteAnnual*RQ21</f>
        <v/>
      </c>
      <c r="SQ21" s="9">
        <f>SN21+SO21+SP21</f>
        <v/>
      </c>
      <c r="SR21" s="12">
        <f>SUM(SQ10:SQ21)</f>
        <v/>
      </c>
      <c r="SS21" s="12">
        <f>OR(SS20,IF(VATAgentMode,SUM($SQ10:$SQ21)-SUM($SX10:$SX21)&gt;=VATThreshold,SUM($SQ10:$SQ21)&gt;=VATThreshold))</f>
        <v/>
      </c>
      <c r="ST21" s="9">
        <f>IF(SS21,IF(VATAgentMode,SQ21-((SQ21-SX21)-(SQ21-SX21)/(1+VATRate)),SQ21/(1+VATRate)),SQ21)</f>
        <v/>
      </c>
      <c r="SU21" s="12">
        <f>SQ21-ST21</f>
        <v/>
      </c>
      <c r="SV21" s="12">
        <f>IF(SS21=0,0,IF(RN21=1,SUMPRODUCT(--(($RO$5:$RO21=$RO21-1)*($RN$5:$RN21&gt;=10)*($RN$5:$RN21&lt;=12)),$SU$5:$SU21),IF(RN21=4,SUMPRODUCT(--(($RO$5:$RO21=$RO21)*($RN$5:$RN21&gt;=1)*($RN$5:$RN21&lt;=3)),$SU$5:$SU21),IF(RN21=7,SUMPRODUCT(--(($RO$5:$RO21=$RO21)*($RN$5:$RN21&gt;=4)*($RN$5:$RN21&lt;=6)),$SU$5:$SU21),IF(RN21=10,SUMPRODUCT(--(($RO$5:$RO21=$RO21)*($RN$5:$RN21&gt;=7)*($RN$5:$RN21&lt;=9)),$SU$5:$SU21),0)))))</f>
        <v/>
      </c>
      <c r="SW21" s="12">
        <f>SW20+SU21-SV21</f>
        <v/>
      </c>
      <c r="SX21" s="12">
        <f>IF(ProviderDelay&gt;=1,SE20*BlendedProvPayEss+SF20*BlendedProvPayPrem+SG20*BlendedProvPayElite+SH20*BlendedProvPayEss+SI20*BlendedProvPayPrem+SJ20*BlendedProvPayElite,SE21*BlendedProvPayEss+SF21*BlendedProvPayPrem+SG21*BlendedProvPayElite+SH21*BlendedProvPayEss+SI21*BlendedProvPayPrem+SJ21*BlendedProvPayElite)</f>
        <v/>
      </c>
      <c r="SY21" s="12">
        <f>SQ21*PaymentFee</f>
        <v/>
      </c>
      <c r="SZ21" s="12">
        <f>SK21*OpsAI</f>
        <v/>
      </c>
      <c r="TA21" s="12">
        <f>MonthlyFixed</f>
        <v/>
      </c>
      <c r="TB21" s="12">
        <f>RU21*ReferralReward</f>
        <v/>
      </c>
      <c r="TC21" s="12">
        <f>RS21</f>
        <v/>
      </c>
      <c r="TD21" s="9">
        <f>ST21-SX21-SY21-SZ21-TA21-TB21-TC21</f>
        <v/>
      </c>
      <c r="TE21" s="9">
        <f>TE20+SQ21-(SX21+SY21+SZ21+TA21+TB21+TC21+SV21)</f>
        <v/>
      </c>
      <c r="TF21" s="12">
        <f>IF(SK21&gt;0,SL21/SK21,0)</f>
        <v/>
      </c>
      <c r="TG21" s="11">
        <f>IF(SK20&gt;0,MAX(0,(SK20+RV21-SK21)/SK20),0)</f>
        <v/>
      </c>
      <c r="TI21" s="12" t="n">
        <v>17</v>
      </c>
      <c r="TJ21" s="12">
        <f>MOD(TI21-1+LaunchMonth-1,12)+1</f>
        <v/>
      </c>
      <c r="TK21" s="12">
        <f>INT((TI21-1+LaunchMonth-1)/12)+1</f>
        <v/>
      </c>
      <c r="TL21" s="12">
        <f>VLOOKUP(TJ21,SeasonTable,2,FALSE)</f>
        <v/>
      </c>
      <c r="TM21" s="12">
        <f>(1+InflationRate)^INT((TI21-1)/12)</f>
        <v/>
      </c>
      <c r="TN21" s="11">
        <f>'Sens - Churn'!$A$21*VLOOKUP(TJ21,ChurnSeasonTable,4,FALSE)</f>
        <v/>
      </c>
      <c r="TO21" s="12">
        <f>MIN(MAX(MktMin13_18,UM20*MktPct13_18),MAX(0,VA20-CashBuffer))</f>
        <v/>
      </c>
      <c r="TP21" s="12">
        <f>IF(TO21&gt;0,MAX(1,ROUND(TO21/CAC*TL21,0)),0)</f>
        <v/>
      </c>
      <c r="TQ21" s="12">
        <f>IF(TP21&gt;0,ROUND(TP21*ReferralMix/(1-ReferralMix),0),0)</f>
        <v/>
      </c>
      <c r="TR21" s="12">
        <f>TP21+TQ21</f>
        <v/>
      </c>
      <c r="TS21" s="12">
        <f>ROUND(TR21*(1-AnnualMix),0)</f>
        <v/>
      </c>
      <c r="TT21" s="12">
        <f>TR21-TS21</f>
        <v/>
      </c>
      <c r="TU21" s="12">
        <f>ROUND(TS21*EssentialMix,0)</f>
        <v/>
      </c>
      <c r="TV21" s="12">
        <f>ROUND(TS21*PremiumMix,0)</f>
        <v/>
      </c>
      <c r="TW21" s="12">
        <f>TS21-TU21-TV21</f>
        <v/>
      </c>
      <c r="TX21" s="12">
        <f>ROUND(TT21*EssentialMix,0)</f>
        <v/>
      </c>
      <c r="TY21" s="12">
        <f>ROUND(TT21*PremiumMix,0)</f>
        <v/>
      </c>
      <c r="TZ21" s="12">
        <f>TT21-TX21-TY21</f>
        <v/>
      </c>
      <c r="UA21" s="12">
        <f>TU21+TU20+TU19+MAX(0,UA20-TU20-TU19)*(1-TN21)</f>
        <v/>
      </c>
      <c r="UB21" s="12">
        <f>TV21+TV20+TV19+MAX(0,UB20-TV20-TV19)*(1-TN21)</f>
        <v/>
      </c>
      <c r="UC21" s="12">
        <f>TW21+TW20+TW19+MAX(0,UC20-TW20-TW19)*(1-TN21)</f>
        <v/>
      </c>
      <c r="UD21" s="12">
        <f>UD20+TX21-TX9*(AnnualChurn*VLOOKUP(TJ21,ChurnSeasonTable,4,FALSE))*POWER(1-(AnnualChurn*VLOOKUP(TJ21,ChurnSeasonTable,4,FALSE)),0)</f>
        <v/>
      </c>
      <c r="UE21" s="12">
        <f>UE20+TY21-TY9*(AnnualChurn*VLOOKUP(TJ21,ChurnSeasonTable,4,FALSE))*POWER(1-(AnnualChurn*VLOOKUP(TJ21,ChurnSeasonTable,4,FALSE)),0)</f>
        <v/>
      </c>
      <c r="UF21" s="12">
        <f>UF20+TZ21-TZ9*(AnnualChurn*VLOOKUP(TJ21,ChurnSeasonTable,4,FALSE))*POWER(1-(AnnualChurn*VLOOKUP(TJ21,ChurnSeasonTable,4,FALSE)),0)</f>
        <v/>
      </c>
      <c r="UG21" s="12">
        <f>UA21+UB21+UC21+UD21+UE21+UF21</f>
        <v/>
      </c>
      <c r="UH21" s="9">
        <f>UA21*BlendedPriceEssMonthly*TM21+UB21*BlendedPricePremMonthly*TM21+UC21*BlendedPriceEliteMonthly*TM21+UD21*BlendedPriceEssAnnual*TM21/12+UE21*BlendedPricePremAnnual*TM21/12+UF21*BlendedPriceEliteAnnual*TM21/12</f>
        <v/>
      </c>
      <c r="UI21" s="9">
        <f>UH21*12</f>
        <v/>
      </c>
      <c r="UJ21" s="12">
        <f>UA21*BlendedPriceEssMonthly*TM21+UB21*BlendedPricePremMonthly*TM21+UC21*BlendedPriceEliteMonthly*TM21</f>
        <v/>
      </c>
      <c r="UK21" s="12">
        <f>TX21*BlendedPriceEssAnnual*TM21+TY21*BlendedPricePremAnnual*TM21+TZ21*BlendedPriceEliteAnnual*TM21</f>
        <v/>
      </c>
      <c r="UL21" s="12">
        <f>TX9*POWER(1-(AnnualChurn*VLOOKUP(TJ21,ChurnSeasonTable,4,FALSE)),1)*BlendedPriceEssAnnual*TM21+TY9*POWER(1-(AnnualChurn*VLOOKUP(TJ21,ChurnSeasonTable,4,FALSE)),1)*BlendedPricePremAnnual*TM21+TZ9*POWER(1-(AnnualChurn*VLOOKUP(TJ21,ChurnSeasonTable,4,FALSE)),1)*BlendedPriceEliteAnnual*TM21</f>
        <v/>
      </c>
      <c r="UM21" s="9">
        <f>UJ21+UK21+UL21</f>
        <v/>
      </c>
      <c r="UN21" s="12">
        <f>SUM(UM10:UM21)</f>
        <v/>
      </c>
      <c r="UO21" s="12">
        <f>OR(UO20,IF(VATAgentMode,SUM($UM10:$UM21)-SUM($UT10:$UT21)&gt;=VATThreshold,SUM($UM10:$UM21)&gt;=VATThreshold))</f>
        <v/>
      </c>
      <c r="UP21" s="9">
        <f>IF(UO21,IF(VATAgentMode,UM21-((UM21-UT21)-(UM21-UT21)/(1+VATRate)),UM21/(1+VATRate)),UM21)</f>
        <v/>
      </c>
      <c r="UQ21" s="12">
        <f>UM21-UP21</f>
        <v/>
      </c>
      <c r="UR21" s="12">
        <f>IF(UO21=0,0,IF(TJ21=1,SUMPRODUCT(--(($TK$5:$TK21=$TK21-1)*($TJ$5:$TJ21&gt;=10)*($TJ$5:$TJ21&lt;=12)),$UQ$5:$UQ21),IF(TJ21=4,SUMPRODUCT(--(($TK$5:$TK21=$TK21)*($TJ$5:$TJ21&gt;=1)*($TJ$5:$TJ21&lt;=3)),$UQ$5:$UQ21),IF(TJ21=7,SUMPRODUCT(--(($TK$5:$TK21=$TK21)*($TJ$5:$TJ21&gt;=4)*($TJ$5:$TJ21&lt;=6)),$UQ$5:$UQ21),IF(TJ21=10,SUMPRODUCT(--(($TK$5:$TK21=$TK21)*($TJ$5:$TJ21&gt;=7)*($TJ$5:$TJ21&lt;=9)),$UQ$5:$UQ21),0)))))</f>
        <v/>
      </c>
      <c r="US21" s="12">
        <f>US20+UQ21-UR21</f>
        <v/>
      </c>
      <c r="UT21" s="12">
        <f>IF(ProviderDelay&gt;=1,UA20*BlendedProvPayEss+UB20*BlendedProvPayPrem+UC20*BlendedProvPayElite+UD20*BlendedProvPayEss+UE20*BlendedProvPayPrem+UF20*BlendedProvPayElite,UA21*BlendedProvPayEss+UB21*BlendedProvPayPrem+UC21*BlendedProvPayElite+UD21*BlendedProvPayEss+UE21*BlendedProvPayPrem+UF21*BlendedProvPayElite)</f>
        <v/>
      </c>
      <c r="UU21" s="12">
        <f>UM21*PaymentFee</f>
        <v/>
      </c>
      <c r="UV21" s="12">
        <f>UG21*OpsAI</f>
        <v/>
      </c>
      <c r="UW21" s="12">
        <f>MonthlyFixed</f>
        <v/>
      </c>
      <c r="UX21" s="12">
        <f>TQ21*ReferralReward</f>
        <v/>
      </c>
      <c r="UY21" s="12">
        <f>TO21</f>
        <v/>
      </c>
      <c r="UZ21" s="9">
        <f>UP21-UT21-UU21-UV21-UW21-UX21-UY21</f>
        <v/>
      </c>
      <c r="VA21" s="9">
        <f>VA20+UM21-(UT21+UU21+UV21+UW21+UX21+UY21+UR21)</f>
        <v/>
      </c>
      <c r="VB21" s="12">
        <f>IF(UG21&gt;0,UH21/UG21,0)</f>
        <v/>
      </c>
      <c r="VC21" s="11">
        <f>IF(UG20&gt;0,MAX(0,(UG20+TR21-UG21)/UG20),0)</f>
        <v/>
      </c>
      <c r="VE21" s="12" t="n">
        <v>17</v>
      </c>
      <c r="VF21" s="12">
        <f>MOD(VE21-1+LaunchMonth-1,12)+1</f>
        <v/>
      </c>
      <c r="VG21" s="12">
        <f>INT((VE21-1+LaunchMonth-1)/12)+1</f>
        <v/>
      </c>
      <c r="VH21" s="12">
        <f>VLOOKUP(VF21,SeasonTable,2,FALSE)</f>
        <v/>
      </c>
      <c r="VI21" s="12">
        <f>(1+InflationRate)^INT((VE21-1)/12)</f>
        <v/>
      </c>
      <c r="VJ21" s="11">
        <f>MonthlyChurn*VLOOKUP(VF21,ChurnSeasonTable,4,FALSE)</f>
        <v/>
      </c>
      <c r="VK21" s="12">
        <f>MIN(MAX(MktMin13_18,WI20*MktPct13_18),MAX(0,WW20-CashBuffer))</f>
        <v/>
      </c>
      <c r="VL21" s="12">
        <f>IF(VK21&gt;0,MAX(1,ROUND(VK21/CAC*VH21,0)),0)</f>
        <v/>
      </c>
      <c r="VM21" s="12">
        <f>IF(VL21&gt;0,ROUND(VL21*ReferralMix/(1-ReferralMix),0),0)</f>
        <v/>
      </c>
      <c r="VN21" s="12">
        <f>VL21+VM21</f>
        <v/>
      </c>
      <c r="VO21" s="12">
        <f>ROUND(VN21*(1-'Sens - Annual Mix'!$A$9),0)</f>
        <v/>
      </c>
      <c r="VP21" s="12">
        <f>VN21-VO21</f>
        <v/>
      </c>
      <c r="VQ21" s="12">
        <f>ROUND(VO21*EssentialMix,0)</f>
        <v/>
      </c>
      <c r="VR21" s="12">
        <f>ROUND(VO21*PremiumMix,0)</f>
        <v/>
      </c>
      <c r="VS21" s="12">
        <f>VO21-VQ21-VR21</f>
        <v/>
      </c>
      <c r="VT21" s="12">
        <f>ROUND(VP21*EssentialMix,0)</f>
        <v/>
      </c>
      <c r="VU21" s="12">
        <f>ROUND(VP21*PremiumMix,0)</f>
        <v/>
      </c>
      <c r="VV21" s="12">
        <f>VP21-VT21-VU21</f>
        <v/>
      </c>
      <c r="VW21" s="12">
        <f>VQ21+VQ20+VQ19+MAX(0,VW20-VQ20-VQ19)*(1-VJ21)</f>
        <v/>
      </c>
      <c r="VX21" s="12">
        <f>VR21+VR20+VR19+MAX(0,VX20-VR20-VR19)*(1-VJ21)</f>
        <v/>
      </c>
      <c r="VY21" s="12">
        <f>VS21+VS20+VS19+MAX(0,VY20-VS20-VS19)*(1-VJ21)</f>
        <v/>
      </c>
      <c r="VZ21" s="12">
        <f>VZ20+VT21-VT9*(AnnualChurn*VLOOKUP(VF21,ChurnSeasonTable,4,FALSE))*POWER(1-(AnnualChurn*VLOOKUP(VF21,ChurnSeasonTable,4,FALSE)),0)</f>
        <v/>
      </c>
      <c r="WA21" s="12">
        <f>WA20+VU21-VU9*(AnnualChurn*VLOOKUP(VF21,ChurnSeasonTable,4,FALSE))*POWER(1-(AnnualChurn*VLOOKUP(VF21,ChurnSeasonTable,4,FALSE)),0)</f>
        <v/>
      </c>
      <c r="WB21" s="12">
        <f>WB20+VV21-VV9*(AnnualChurn*VLOOKUP(VF21,ChurnSeasonTable,4,FALSE))*POWER(1-(AnnualChurn*VLOOKUP(VF21,ChurnSeasonTable,4,FALSE)),0)</f>
        <v/>
      </c>
      <c r="WC21" s="12">
        <f>VW21+VX21+VY21+VZ21+WA21+WB21</f>
        <v/>
      </c>
      <c r="WD21" s="9">
        <f>VW21*BlendedPriceEssMonthly*VI21+VX21*BlendedPricePremMonthly*VI21+VY21*BlendedPriceEliteMonthly*VI21+VZ21*BlendedPriceEssAnnual*VI21/12+WA21*BlendedPricePremAnnual*VI21/12+WB21*BlendedPriceEliteAnnual*VI21/12</f>
        <v/>
      </c>
      <c r="WE21" s="9">
        <f>WD21*12</f>
        <v/>
      </c>
      <c r="WF21" s="12">
        <f>VW21*BlendedPriceEssMonthly*VI21+VX21*BlendedPricePremMonthly*VI21+VY21*BlendedPriceEliteMonthly*VI21</f>
        <v/>
      </c>
      <c r="WG21" s="12">
        <f>VT21*BlendedPriceEssAnnual*VI21+VU21*BlendedPricePremAnnual*VI21+VV21*BlendedPriceEliteAnnual*VI21</f>
        <v/>
      </c>
      <c r="WH21" s="12">
        <f>VT9*POWER(1-(AnnualChurn*VLOOKUP(VF21,ChurnSeasonTable,4,FALSE)),1)*BlendedPriceEssAnnual*VI21+VU9*POWER(1-(AnnualChurn*VLOOKUP(VF21,ChurnSeasonTable,4,FALSE)),1)*BlendedPricePremAnnual*VI21+VV9*POWER(1-(AnnualChurn*VLOOKUP(VF21,ChurnSeasonTable,4,FALSE)),1)*BlendedPriceEliteAnnual*VI21</f>
        <v/>
      </c>
      <c r="WI21" s="9">
        <f>WF21+WG21+WH21</f>
        <v/>
      </c>
      <c r="WJ21" s="12">
        <f>SUM(WI10:WI21)</f>
        <v/>
      </c>
      <c r="WK21" s="12">
        <f>OR(WK20,IF(VATAgentMode,SUM($WI10:$WI21)-SUM($WP10:$WP21)&gt;=VATThreshold,SUM($WI10:$WI21)&gt;=VATThreshold))</f>
        <v/>
      </c>
      <c r="WL21" s="9">
        <f>IF(WK21,IF(VATAgentMode,WI21-((WI21-WP21)-(WI21-WP21)/(1+VATRate)),WI21/(1+VATRate)),WI21)</f>
        <v/>
      </c>
      <c r="WM21" s="12">
        <f>WI21-WL21</f>
        <v/>
      </c>
      <c r="WN21" s="12">
        <f>IF(WK21=0,0,IF(VF21=1,SUMPRODUCT(--(($VG$5:$VG21=$VG21-1)*($VF$5:$VF21&gt;=10)*($VF$5:$VF21&lt;=12)),$WM$5:$WM21),IF(VF21=4,SUMPRODUCT(--(($VG$5:$VG21=$VG21)*($VF$5:$VF21&gt;=1)*($VF$5:$VF21&lt;=3)),$WM$5:$WM21),IF(VF21=7,SUMPRODUCT(--(($VG$5:$VG21=$VG21)*($VF$5:$VF21&gt;=4)*($VF$5:$VF21&lt;=6)),$WM$5:$WM21),IF(VF21=10,SUMPRODUCT(--(($VG$5:$VG21=$VG21)*($VF$5:$VF21&gt;=7)*($VF$5:$VF21&lt;=9)),$WM$5:$WM21),0)))))</f>
        <v/>
      </c>
      <c r="WO21" s="12">
        <f>WO20+WM21-WN21</f>
        <v/>
      </c>
      <c r="WP21" s="12">
        <f>IF(ProviderDelay&gt;=1,VW20*BlendedProvPayEss+VX20*BlendedProvPayPrem+VY20*BlendedProvPayElite+VZ20*BlendedProvPayEss+WA20*BlendedProvPayPrem+WB20*BlendedProvPayElite,VW21*BlendedProvPayEss+VX21*BlendedProvPayPrem+VY21*BlendedProvPayElite+VZ21*BlendedProvPayEss+WA21*BlendedProvPayPrem+WB21*BlendedProvPayElite)</f>
        <v/>
      </c>
      <c r="WQ21" s="12">
        <f>WI21*PaymentFee</f>
        <v/>
      </c>
      <c r="WR21" s="12">
        <f>WC21*OpsAI</f>
        <v/>
      </c>
      <c r="WS21" s="12">
        <f>MonthlyFixed</f>
        <v/>
      </c>
      <c r="WT21" s="12">
        <f>VM21*ReferralReward</f>
        <v/>
      </c>
      <c r="WU21" s="12">
        <f>VK21</f>
        <v/>
      </c>
      <c r="WV21" s="9">
        <f>WL21-WP21-WQ21-WR21-WS21-WT21-WU21</f>
        <v/>
      </c>
      <c r="WW21" s="9">
        <f>WW20+WI21-(WP21+WQ21+WR21+WS21+WT21+WU21+WN21)</f>
        <v/>
      </c>
      <c r="WX21" s="12">
        <f>IF(WC21&gt;0,WD21/WC21,0)</f>
        <v/>
      </c>
      <c r="WY21" s="11">
        <f>IF(WC20&gt;0,MAX(0,(WC20+VN21-WC21)/WC20),0)</f>
        <v/>
      </c>
      <c r="XA21" s="12" t="n">
        <v>17</v>
      </c>
      <c r="XB21" s="12">
        <f>MOD(XA21-1+LaunchMonth-1,12)+1</f>
        <v/>
      </c>
      <c r="XC21" s="12">
        <f>INT((XA21-1+LaunchMonth-1)/12)+1</f>
        <v/>
      </c>
      <c r="XD21" s="12">
        <f>VLOOKUP(XB21,SeasonTable,2,FALSE)</f>
        <v/>
      </c>
      <c r="XE21" s="12">
        <f>(1+InflationRate)^INT((XA21-1)/12)</f>
        <v/>
      </c>
      <c r="XF21" s="11">
        <f>MonthlyChurn*VLOOKUP(XB21,ChurnSeasonTable,4,FALSE)</f>
        <v/>
      </c>
      <c r="XG21" s="12">
        <f>MIN(MAX(MktMin13_18,YE20*MktPct13_18),MAX(0,YS20-CashBuffer))</f>
        <v/>
      </c>
      <c r="XH21" s="12">
        <f>IF(XG21&gt;0,MAX(1,ROUND(XG21/CAC*XD21,0)),0)</f>
        <v/>
      </c>
      <c r="XI21" s="12">
        <f>IF(XH21&gt;0,ROUND(XH21*ReferralMix/(1-ReferralMix),0),0)</f>
        <v/>
      </c>
      <c r="XJ21" s="12">
        <f>XH21+XI21</f>
        <v/>
      </c>
      <c r="XK21" s="12">
        <f>ROUND(XJ21*(1-'Sens - Annual Mix'!$A$10),0)</f>
        <v/>
      </c>
      <c r="XL21" s="12">
        <f>XJ21-XK21</f>
        <v/>
      </c>
      <c r="XM21" s="12">
        <f>ROUND(XK21*EssentialMix,0)</f>
        <v/>
      </c>
      <c r="XN21" s="12">
        <f>ROUND(XK21*PremiumMix,0)</f>
        <v/>
      </c>
      <c r="XO21" s="12">
        <f>XK21-XM21-XN21</f>
        <v/>
      </c>
      <c r="XP21" s="12">
        <f>ROUND(XL21*EssentialMix,0)</f>
        <v/>
      </c>
      <c r="XQ21" s="12">
        <f>ROUND(XL21*PremiumMix,0)</f>
        <v/>
      </c>
      <c r="XR21" s="12">
        <f>XL21-XP21-XQ21</f>
        <v/>
      </c>
      <c r="XS21" s="12">
        <f>XM21+XM20+XM19+MAX(0,XS20-XM20-XM19)*(1-XF21)</f>
        <v/>
      </c>
      <c r="XT21" s="12">
        <f>XN21+XN20+XN19+MAX(0,XT20-XN20-XN19)*(1-XF21)</f>
        <v/>
      </c>
      <c r="XU21" s="12">
        <f>XO21+XO20+XO19+MAX(0,XU20-XO20-XO19)*(1-XF21)</f>
        <v/>
      </c>
      <c r="XV21" s="12">
        <f>XV20+XP21-XP9*(AnnualChurn*VLOOKUP(XB21,ChurnSeasonTable,4,FALSE))*POWER(1-(AnnualChurn*VLOOKUP(XB21,ChurnSeasonTable,4,FALSE)),0)</f>
        <v/>
      </c>
      <c r="XW21" s="12">
        <f>XW20+XQ21-XQ9*(AnnualChurn*VLOOKUP(XB21,ChurnSeasonTable,4,FALSE))*POWER(1-(AnnualChurn*VLOOKUP(XB21,ChurnSeasonTable,4,FALSE)),0)</f>
        <v/>
      </c>
      <c r="XX21" s="12">
        <f>XX20+XR21-XR9*(AnnualChurn*VLOOKUP(XB21,ChurnSeasonTable,4,FALSE))*POWER(1-(AnnualChurn*VLOOKUP(XB21,ChurnSeasonTable,4,FALSE)),0)</f>
        <v/>
      </c>
      <c r="XY21" s="12">
        <f>XS21+XT21+XU21+XV21+XW21+XX21</f>
        <v/>
      </c>
      <c r="XZ21" s="9">
        <f>XS21*BlendedPriceEssMonthly*XE21+XT21*BlendedPricePremMonthly*XE21+XU21*BlendedPriceEliteMonthly*XE21+XV21*BlendedPriceEssAnnual*XE21/12+XW21*BlendedPricePremAnnual*XE21/12+XX21*BlendedPriceEliteAnnual*XE21/12</f>
        <v/>
      </c>
      <c r="YA21" s="9">
        <f>XZ21*12</f>
        <v/>
      </c>
      <c r="YB21" s="12">
        <f>XS21*BlendedPriceEssMonthly*XE21+XT21*BlendedPricePremMonthly*XE21+XU21*BlendedPriceEliteMonthly*XE21</f>
        <v/>
      </c>
      <c r="YC21" s="12">
        <f>XP21*BlendedPriceEssAnnual*XE21+XQ21*BlendedPricePremAnnual*XE21+XR21*BlendedPriceEliteAnnual*XE21</f>
        <v/>
      </c>
      <c r="YD21" s="12">
        <f>XP9*POWER(1-(AnnualChurn*VLOOKUP(XB21,ChurnSeasonTable,4,FALSE)),1)*BlendedPriceEssAnnual*XE21+XQ9*POWER(1-(AnnualChurn*VLOOKUP(XB21,ChurnSeasonTable,4,FALSE)),1)*BlendedPricePremAnnual*XE21+XR9*POWER(1-(AnnualChurn*VLOOKUP(XB21,ChurnSeasonTable,4,FALSE)),1)*BlendedPriceEliteAnnual*XE21</f>
        <v/>
      </c>
      <c r="YE21" s="9">
        <f>YB21+YC21+YD21</f>
        <v/>
      </c>
      <c r="YF21" s="12">
        <f>SUM(YE10:YE21)</f>
        <v/>
      </c>
      <c r="YG21" s="12">
        <f>OR(YG20,IF(VATAgentMode,SUM($YE10:$YE21)-SUM($YL10:$YL21)&gt;=VATThreshold,SUM($YE10:$YE21)&gt;=VATThreshold))</f>
        <v/>
      </c>
      <c r="YH21" s="9">
        <f>IF(YG21,IF(VATAgentMode,YE21-((YE21-YL21)-(YE21-YL21)/(1+VATRate)),YE21/(1+VATRate)),YE21)</f>
        <v/>
      </c>
      <c r="YI21" s="12">
        <f>YE21-YH21</f>
        <v/>
      </c>
      <c r="YJ21" s="12">
        <f>IF(YG21=0,0,IF(XB21=1,SUMPRODUCT(--(($XC$5:$XC21=$XC21-1)*($XB$5:$XB21&gt;=10)*($XB$5:$XB21&lt;=12)),$YI$5:$YI21),IF(XB21=4,SUMPRODUCT(--(($XC$5:$XC21=$XC21)*($XB$5:$XB21&gt;=1)*($XB$5:$XB21&lt;=3)),$YI$5:$YI21),IF(XB21=7,SUMPRODUCT(--(($XC$5:$XC21=$XC21)*($XB$5:$XB21&gt;=4)*($XB$5:$XB21&lt;=6)),$YI$5:$YI21),IF(XB21=10,SUMPRODUCT(--(($XC$5:$XC21=$XC21)*($XB$5:$XB21&gt;=7)*($XB$5:$XB21&lt;=9)),$YI$5:$YI21),0)))))</f>
        <v/>
      </c>
      <c r="YK21" s="12">
        <f>YK20+YI21-YJ21</f>
        <v/>
      </c>
      <c r="YL21" s="12">
        <f>IF(ProviderDelay&gt;=1,XS20*BlendedProvPayEss+XT20*BlendedProvPayPrem+XU20*BlendedProvPayElite+XV20*BlendedProvPayEss+XW20*BlendedProvPayPrem+XX20*BlendedProvPayElite,XS21*BlendedProvPayEss+XT21*BlendedProvPayPrem+XU21*BlendedProvPayElite+XV21*BlendedProvPayEss+XW21*BlendedProvPayPrem+XX21*BlendedProvPayElite)</f>
        <v/>
      </c>
      <c r="YM21" s="12">
        <f>YE21*PaymentFee</f>
        <v/>
      </c>
      <c r="YN21" s="12">
        <f>XY21*OpsAI</f>
        <v/>
      </c>
      <c r="YO21" s="12">
        <f>MonthlyFixed</f>
        <v/>
      </c>
      <c r="YP21" s="12">
        <f>XI21*ReferralReward</f>
        <v/>
      </c>
      <c r="YQ21" s="12">
        <f>XG21</f>
        <v/>
      </c>
      <c r="YR21" s="9">
        <f>YH21-YL21-YM21-YN21-YO21-YP21-YQ21</f>
        <v/>
      </c>
      <c r="YS21" s="9">
        <f>YS20+YE21-(YL21+YM21+YN21+YO21+YP21+YQ21+YJ21)</f>
        <v/>
      </c>
      <c r="YT21" s="12">
        <f>IF(XY21&gt;0,XZ21/XY21,0)</f>
        <v/>
      </c>
      <c r="YU21" s="11">
        <f>IF(XY20&gt;0,MAX(0,(XY20+XJ21-XY21)/XY20),0)</f>
        <v/>
      </c>
      <c r="YW21" s="12" t="n">
        <v>17</v>
      </c>
      <c r="YX21" s="12">
        <f>MOD(YW21-1+LaunchMonth-1,12)+1</f>
        <v/>
      </c>
      <c r="YY21" s="12">
        <f>INT((YW21-1+LaunchMonth-1)/12)+1</f>
        <v/>
      </c>
      <c r="YZ21" s="12">
        <f>VLOOKUP(YX21,SeasonTable,2,FALSE)</f>
        <v/>
      </c>
      <c r="ZA21" s="12">
        <f>(1+InflationRate)^INT((YW21-1)/12)</f>
        <v/>
      </c>
      <c r="ZB21" s="11">
        <f>MonthlyChurn*VLOOKUP(YX21,ChurnSeasonTable,4,FALSE)</f>
        <v/>
      </c>
      <c r="ZC21" s="12">
        <f>MIN(MAX(MktMin13_18,AAA20*MktPct13_18),MAX(0,AAO20-CashBuffer))</f>
        <v/>
      </c>
      <c r="ZD21" s="12">
        <f>IF(ZC21&gt;0,MAX(1,ROUND(ZC21/CAC*YZ21,0)),0)</f>
        <v/>
      </c>
      <c r="ZE21" s="12">
        <f>IF(ZD21&gt;0,ROUND(ZD21*ReferralMix/(1-ReferralMix),0),0)</f>
        <v/>
      </c>
      <c r="ZF21" s="12">
        <f>ZD21+ZE21</f>
        <v/>
      </c>
      <c r="ZG21" s="12">
        <f>ROUND(ZF21*(1-'Sens - Annual Mix'!$A$11),0)</f>
        <v/>
      </c>
      <c r="ZH21" s="12">
        <f>ZF21-ZG21</f>
        <v/>
      </c>
      <c r="ZI21" s="12">
        <f>ROUND(ZG21*EssentialMix,0)</f>
        <v/>
      </c>
      <c r="ZJ21" s="12">
        <f>ROUND(ZG21*PremiumMix,0)</f>
        <v/>
      </c>
      <c r="ZK21" s="12">
        <f>ZG21-ZI21-ZJ21</f>
        <v/>
      </c>
      <c r="ZL21" s="12">
        <f>ROUND(ZH21*EssentialMix,0)</f>
        <v/>
      </c>
      <c r="ZM21" s="12">
        <f>ROUND(ZH21*PremiumMix,0)</f>
        <v/>
      </c>
      <c r="ZN21" s="12">
        <f>ZH21-ZL21-ZM21</f>
        <v/>
      </c>
      <c r="ZO21" s="12">
        <f>ZI21+ZI20+ZI19+MAX(0,ZO20-ZI20-ZI19)*(1-ZB21)</f>
        <v/>
      </c>
      <c r="ZP21" s="12">
        <f>ZJ21+ZJ20+ZJ19+MAX(0,ZP20-ZJ20-ZJ19)*(1-ZB21)</f>
        <v/>
      </c>
      <c r="ZQ21" s="12">
        <f>ZK21+ZK20+ZK19+MAX(0,ZQ20-ZK20-ZK19)*(1-ZB21)</f>
        <v/>
      </c>
      <c r="ZR21" s="12">
        <f>ZR20+ZL21-ZL9*(AnnualChurn*VLOOKUP(YX21,ChurnSeasonTable,4,FALSE))*POWER(1-(AnnualChurn*VLOOKUP(YX21,ChurnSeasonTable,4,FALSE)),0)</f>
        <v/>
      </c>
      <c r="ZS21" s="12">
        <f>ZS20+ZM21-ZM9*(AnnualChurn*VLOOKUP(YX21,ChurnSeasonTable,4,FALSE))*POWER(1-(AnnualChurn*VLOOKUP(YX21,ChurnSeasonTable,4,FALSE)),0)</f>
        <v/>
      </c>
      <c r="ZT21" s="12">
        <f>ZT20+ZN21-ZN9*(AnnualChurn*VLOOKUP(YX21,ChurnSeasonTable,4,FALSE))*POWER(1-(AnnualChurn*VLOOKUP(YX21,ChurnSeasonTable,4,FALSE)),0)</f>
        <v/>
      </c>
      <c r="ZU21" s="12">
        <f>ZO21+ZP21+ZQ21+ZR21+ZS21+ZT21</f>
        <v/>
      </c>
      <c r="ZV21" s="9">
        <f>ZO21*BlendedPriceEssMonthly*ZA21+ZP21*BlendedPricePremMonthly*ZA21+ZQ21*BlendedPriceEliteMonthly*ZA21+ZR21*BlendedPriceEssAnnual*ZA21/12+ZS21*BlendedPricePremAnnual*ZA21/12+ZT21*BlendedPriceEliteAnnual*ZA21/12</f>
        <v/>
      </c>
      <c r="ZW21" s="9">
        <f>ZV21*12</f>
        <v/>
      </c>
      <c r="ZX21" s="12">
        <f>ZO21*BlendedPriceEssMonthly*ZA21+ZP21*BlendedPricePremMonthly*ZA21+ZQ21*BlendedPriceEliteMonthly*ZA21</f>
        <v/>
      </c>
      <c r="ZY21" s="12">
        <f>ZL21*BlendedPriceEssAnnual*ZA21+ZM21*BlendedPricePremAnnual*ZA21+ZN21*BlendedPriceEliteAnnual*ZA21</f>
        <v/>
      </c>
      <c r="ZZ21" s="12">
        <f>ZL9*POWER(1-(AnnualChurn*VLOOKUP(YX21,ChurnSeasonTable,4,FALSE)),1)*BlendedPriceEssAnnual*ZA21+ZM9*POWER(1-(AnnualChurn*VLOOKUP(YX21,ChurnSeasonTable,4,FALSE)),1)*BlendedPricePremAnnual*ZA21+ZN9*POWER(1-(AnnualChurn*VLOOKUP(YX21,ChurnSeasonTable,4,FALSE)),1)*BlendedPriceEliteAnnual*ZA21</f>
        <v/>
      </c>
      <c r="AAA21" s="9">
        <f>ZX21+ZY21+ZZ21</f>
        <v/>
      </c>
      <c r="AAB21" s="12">
        <f>SUM(AAA10:AAA21)</f>
        <v/>
      </c>
      <c r="AAC21" s="12">
        <f>OR(AAC20,IF(VATAgentMode,SUM($AAA10:$AAA21)-SUM($AAH10:$AAH21)&gt;=VATThreshold,SUM($AAA10:$AAA21)&gt;=VATThreshold))</f>
        <v/>
      </c>
      <c r="AAD21" s="9">
        <f>IF(AAC21,IF(VATAgentMode,AAA21-((AAA21-AAH21)-(AAA21-AAH21)/(1+VATRate)),AAA21/(1+VATRate)),AAA21)</f>
        <v/>
      </c>
      <c r="AAE21" s="12">
        <f>AAA21-AAD21</f>
        <v/>
      </c>
      <c r="AAF21" s="12">
        <f>IF(AAC21=0,0,IF(YX21=1,SUMPRODUCT(--(($YY$5:$YY21=$YY21-1)*($YX$5:$YX21&gt;=10)*($YX$5:$YX21&lt;=12)),$AAE$5:$AAE21),IF(YX21=4,SUMPRODUCT(--(($YY$5:$YY21=$YY21)*($YX$5:$YX21&gt;=1)*($YX$5:$YX21&lt;=3)),$AAE$5:$AAE21),IF(YX21=7,SUMPRODUCT(--(($YY$5:$YY21=$YY21)*($YX$5:$YX21&gt;=4)*($YX$5:$YX21&lt;=6)),$AAE$5:$AAE21),IF(YX21=10,SUMPRODUCT(--(($YY$5:$YY21=$YY21)*($YX$5:$YX21&gt;=7)*($YX$5:$YX21&lt;=9)),$AAE$5:$AAE21),0)))))</f>
        <v/>
      </c>
      <c r="AAG21" s="12">
        <f>AAG20+AAE21-AAF21</f>
        <v/>
      </c>
      <c r="AAH21" s="12">
        <f>IF(ProviderDelay&gt;=1,ZO20*BlendedProvPayEss+ZP20*BlendedProvPayPrem+ZQ20*BlendedProvPayElite+ZR20*BlendedProvPayEss+ZS20*BlendedProvPayPrem+ZT20*BlendedProvPayElite,ZO21*BlendedProvPayEss+ZP21*BlendedProvPayPrem+ZQ21*BlendedProvPayElite+ZR21*BlendedProvPayEss+ZS21*BlendedProvPayPrem+ZT21*BlendedProvPayElite)</f>
        <v/>
      </c>
      <c r="AAI21" s="12">
        <f>AAA21*PaymentFee</f>
        <v/>
      </c>
      <c r="AAJ21" s="12">
        <f>ZU21*OpsAI</f>
        <v/>
      </c>
      <c r="AAK21" s="12">
        <f>MonthlyFixed</f>
        <v/>
      </c>
      <c r="AAL21" s="12">
        <f>ZE21*ReferralReward</f>
        <v/>
      </c>
      <c r="AAM21" s="12">
        <f>ZC21</f>
        <v/>
      </c>
      <c r="AAN21" s="9">
        <f>AAD21-AAH21-AAI21-AAJ21-AAK21-AAL21-AAM21</f>
        <v/>
      </c>
      <c r="AAO21" s="9">
        <f>AAO20+AAA21-(AAH21+AAI21+AAJ21+AAK21+AAL21+AAM21+AAF21)</f>
        <v/>
      </c>
      <c r="AAP21" s="12">
        <f>IF(ZU21&gt;0,ZV21/ZU21,0)</f>
        <v/>
      </c>
      <c r="AAQ21" s="11">
        <f>IF(ZU20&gt;0,MAX(0,(ZU20+ZF21-ZU21)/ZU20),0)</f>
        <v/>
      </c>
      <c r="AAS21" s="12" t="n">
        <v>17</v>
      </c>
      <c r="AAT21" s="12">
        <f>MOD(AAS21-1+LaunchMonth-1,12)+1</f>
        <v/>
      </c>
      <c r="AAU21" s="12">
        <f>INT((AAS21-1+LaunchMonth-1)/12)+1</f>
        <v/>
      </c>
      <c r="AAV21" s="12">
        <f>VLOOKUP(AAT21,SeasonTable,2,FALSE)</f>
        <v/>
      </c>
      <c r="AAW21" s="12">
        <f>(1+InflationRate)^INT((AAS21-1)/12)</f>
        <v/>
      </c>
      <c r="AAX21" s="11">
        <f>MonthlyChurn*VLOOKUP(AAT21,ChurnSeasonTable,4,FALSE)</f>
        <v/>
      </c>
      <c r="AAY21" s="12">
        <f>MIN(MAX(MktMin13_18,ABW20*MktPct13_18),MAX(0,ACK20-CashBuffer))</f>
        <v/>
      </c>
      <c r="AAZ21" s="12">
        <f>IF(AAY21&gt;0,MAX(1,ROUND(AAY21/CAC*AAV21,0)),0)</f>
        <v/>
      </c>
      <c r="ABA21" s="12">
        <f>IF(AAZ21&gt;0,ROUND(AAZ21*ReferralMix/(1-ReferralMix),0),0)</f>
        <v/>
      </c>
      <c r="ABB21" s="12">
        <f>AAZ21+ABA21</f>
        <v/>
      </c>
      <c r="ABC21" s="12">
        <f>ROUND(ABB21*(1-'Sens - Annual Mix'!$A$12),0)</f>
        <v/>
      </c>
      <c r="ABD21" s="12">
        <f>ABB21-ABC21</f>
        <v/>
      </c>
      <c r="ABE21" s="12">
        <f>ROUND(ABC21*EssentialMix,0)</f>
        <v/>
      </c>
      <c r="ABF21" s="12">
        <f>ROUND(ABC21*PremiumMix,0)</f>
        <v/>
      </c>
      <c r="ABG21" s="12">
        <f>ABC21-ABE21-ABF21</f>
        <v/>
      </c>
      <c r="ABH21" s="12">
        <f>ROUND(ABD21*EssentialMix,0)</f>
        <v/>
      </c>
      <c r="ABI21" s="12">
        <f>ROUND(ABD21*PremiumMix,0)</f>
        <v/>
      </c>
      <c r="ABJ21" s="12">
        <f>ABD21-ABH21-ABI21</f>
        <v/>
      </c>
      <c r="ABK21" s="12">
        <f>ABE21+ABE20+ABE19+MAX(0,ABK20-ABE20-ABE19)*(1-AAX21)</f>
        <v/>
      </c>
      <c r="ABL21" s="12">
        <f>ABF21+ABF20+ABF19+MAX(0,ABL20-ABF20-ABF19)*(1-AAX21)</f>
        <v/>
      </c>
      <c r="ABM21" s="12">
        <f>ABG21+ABG20+ABG19+MAX(0,ABM20-ABG20-ABG19)*(1-AAX21)</f>
        <v/>
      </c>
      <c r="ABN21" s="12">
        <f>ABN20+ABH21-ABH9*(AnnualChurn*VLOOKUP(AAT21,ChurnSeasonTable,4,FALSE))*POWER(1-(AnnualChurn*VLOOKUP(AAT21,ChurnSeasonTable,4,FALSE)),0)</f>
        <v/>
      </c>
      <c r="ABO21" s="12">
        <f>ABO20+ABI21-ABI9*(AnnualChurn*VLOOKUP(AAT21,ChurnSeasonTable,4,FALSE))*POWER(1-(AnnualChurn*VLOOKUP(AAT21,ChurnSeasonTable,4,FALSE)),0)</f>
        <v/>
      </c>
      <c r="ABP21" s="12">
        <f>ABP20+ABJ21-ABJ9*(AnnualChurn*VLOOKUP(AAT21,ChurnSeasonTable,4,FALSE))*POWER(1-(AnnualChurn*VLOOKUP(AAT21,ChurnSeasonTable,4,FALSE)),0)</f>
        <v/>
      </c>
      <c r="ABQ21" s="12">
        <f>ABK21+ABL21+ABM21+ABN21+ABO21+ABP21</f>
        <v/>
      </c>
      <c r="ABR21" s="9">
        <f>ABK21*BlendedPriceEssMonthly*AAW21+ABL21*BlendedPricePremMonthly*AAW21+ABM21*BlendedPriceEliteMonthly*AAW21+ABN21*BlendedPriceEssAnnual*AAW21/12+ABO21*BlendedPricePremAnnual*AAW21/12+ABP21*BlendedPriceEliteAnnual*AAW21/12</f>
        <v/>
      </c>
      <c r="ABS21" s="9">
        <f>ABR21*12</f>
        <v/>
      </c>
      <c r="ABT21" s="12">
        <f>ABK21*BlendedPriceEssMonthly*AAW21+ABL21*BlendedPricePremMonthly*AAW21+ABM21*BlendedPriceEliteMonthly*AAW21</f>
        <v/>
      </c>
      <c r="ABU21" s="12">
        <f>ABH21*BlendedPriceEssAnnual*AAW21+ABI21*BlendedPricePremAnnual*AAW21+ABJ21*BlendedPriceEliteAnnual*AAW21</f>
        <v/>
      </c>
      <c r="ABV21" s="12">
        <f>ABH9*POWER(1-(AnnualChurn*VLOOKUP(AAT21,ChurnSeasonTable,4,FALSE)),1)*BlendedPriceEssAnnual*AAW21+ABI9*POWER(1-(AnnualChurn*VLOOKUP(AAT21,ChurnSeasonTable,4,FALSE)),1)*BlendedPricePremAnnual*AAW21+ABJ9*POWER(1-(AnnualChurn*VLOOKUP(AAT21,ChurnSeasonTable,4,FALSE)),1)*BlendedPriceEliteAnnual*AAW21</f>
        <v/>
      </c>
      <c r="ABW21" s="9">
        <f>ABT21+ABU21+ABV21</f>
        <v/>
      </c>
      <c r="ABX21" s="12">
        <f>SUM(ABW10:ABW21)</f>
        <v/>
      </c>
      <c r="ABY21" s="12">
        <f>OR(ABY20,IF(VATAgentMode,SUM($ABW10:$ABW21)-SUM($ACD10:$ACD21)&gt;=VATThreshold,SUM($ABW10:$ABW21)&gt;=VATThreshold))</f>
        <v/>
      </c>
      <c r="ABZ21" s="9">
        <f>IF(ABY21,IF(VATAgentMode,ABW21-((ABW21-ACD21)-(ABW21-ACD21)/(1+VATRate)),ABW21/(1+VATRate)),ABW21)</f>
        <v/>
      </c>
      <c r="ACA21" s="12">
        <f>ABW21-ABZ21</f>
        <v/>
      </c>
      <c r="ACB21" s="12">
        <f>IF(ABY21=0,0,IF(AAT21=1,SUMPRODUCT(--(($AAU$5:$AAU21=$AAU21-1)*($AAT$5:$AAT21&gt;=10)*($AAT$5:$AAT21&lt;=12)),$ACA$5:$ACA21),IF(AAT21=4,SUMPRODUCT(--(($AAU$5:$AAU21=$AAU21)*($AAT$5:$AAT21&gt;=1)*($AAT$5:$AAT21&lt;=3)),$ACA$5:$ACA21),IF(AAT21=7,SUMPRODUCT(--(($AAU$5:$AAU21=$AAU21)*($AAT$5:$AAT21&gt;=4)*($AAT$5:$AAT21&lt;=6)),$ACA$5:$ACA21),IF(AAT21=10,SUMPRODUCT(--(($AAU$5:$AAU21=$AAU21)*($AAT$5:$AAT21&gt;=7)*($AAT$5:$AAT21&lt;=9)),$ACA$5:$ACA21),0)))))</f>
        <v/>
      </c>
      <c r="ACC21" s="12">
        <f>ACC20+ACA21-ACB21</f>
        <v/>
      </c>
      <c r="ACD21" s="12">
        <f>IF(ProviderDelay&gt;=1,ABK20*BlendedProvPayEss+ABL20*BlendedProvPayPrem+ABM20*BlendedProvPayElite+ABN20*BlendedProvPayEss+ABO20*BlendedProvPayPrem+ABP20*BlendedProvPayElite,ABK21*BlendedProvPayEss+ABL21*BlendedProvPayPrem+ABM21*BlendedProvPayElite+ABN21*BlendedProvPayEss+ABO21*BlendedProvPayPrem+ABP21*BlendedProvPayElite)</f>
        <v/>
      </c>
      <c r="ACE21" s="12">
        <f>ABW21*PaymentFee</f>
        <v/>
      </c>
      <c r="ACF21" s="12">
        <f>ABQ21*OpsAI</f>
        <v/>
      </c>
      <c r="ACG21" s="12">
        <f>MonthlyFixed</f>
        <v/>
      </c>
      <c r="ACH21" s="12">
        <f>ABA21*ReferralReward</f>
        <v/>
      </c>
      <c r="ACI21" s="12">
        <f>AAY21</f>
        <v/>
      </c>
      <c r="ACJ21" s="9">
        <f>ABZ21-ACD21-ACE21-ACF21-ACG21-ACH21-ACI21</f>
        <v/>
      </c>
      <c r="ACK21" s="9">
        <f>ACK20+ABW21-(ACD21+ACE21+ACF21+ACG21+ACH21+ACI21+ACB21)</f>
        <v/>
      </c>
      <c r="ACL21" s="12">
        <f>IF(ABQ21&gt;0,ABR21/ABQ21,0)</f>
        <v/>
      </c>
      <c r="ACM21" s="11">
        <f>IF(ABQ20&gt;0,MAX(0,(ABQ20+ABB21-ABQ21)/ABQ20),0)</f>
        <v/>
      </c>
      <c r="ACO21" s="12" t="n">
        <v>17</v>
      </c>
      <c r="ACP21" s="12">
        <f>MOD(ACO21-1+LaunchMonth-1,12)+1</f>
        <v/>
      </c>
      <c r="ACQ21" s="12">
        <f>INT((ACO21-1+LaunchMonth-1)/12)+1</f>
        <v/>
      </c>
      <c r="ACR21" s="12">
        <f>VLOOKUP(ACP21,SeasonTable,2,FALSE)</f>
        <v/>
      </c>
      <c r="ACS21" s="12">
        <f>(1+InflationRate)^INT((ACO21-1)/12)</f>
        <v/>
      </c>
      <c r="ACT21" s="11">
        <f>MonthlyChurn*VLOOKUP(ACP21,ChurnSeasonTable,4,FALSE)</f>
        <v/>
      </c>
      <c r="ACU21" s="12">
        <f>MIN(MAX(MktMin13_18,ADS20*MktPct13_18),MAX(0,AEG20-CashBuffer))</f>
        <v/>
      </c>
      <c r="ACV21" s="12">
        <f>IF(ACU21&gt;0,MAX(1,ROUND(ACU21/CAC*ACR21,0)),0)</f>
        <v/>
      </c>
      <c r="ACW21" s="12">
        <f>IF(ACV21&gt;0,ROUND(ACV21*ReferralMix/(1-ReferralMix),0),0)</f>
        <v/>
      </c>
      <c r="ACX21" s="12">
        <f>ACV21+ACW21</f>
        <v/>
      </c>
      <c r="ACY21" s="12">
        <f>ROUND(ACX21*(1-'Sens - Annual Mix'!$A$13),0)</f>
        <v/>
      </c>
      <c r="ACZ21" s="12">
        <f>ACX21-ACY21</f>
        <v/>
      </c>
      <c r="ADA21" s="12">
        <f>ROUND(ACY21*EssentialMix,0)</f>
        <v/>
      </c>
      <c r="ADB21" s="12">
        <f>ROUND(ACY21*PremiumMix,0)</f>
        <v/>
      </c>
      <c r="ADC21" s="12">
        <f>ACY21-ADA21-ADB21</f>
        <v/>
      </c>
      <c r="ADD21" s="12">
        <f>ROUND(ACZ21*EssentialMix,0)</f>
        <v/>
      </c>
      <c r="ADE21" s="12">
        <f>ROUND(ACZ21*PremiumMix,0)</f>
        <v/>
      </c>
      <c r="ADF21" s="12">
        <f>ACZ21-ADD21-ADE21</f>
        <v/>
      </c>
      <c r="ADG21" s="12">
        <f>ADA21+ADA20+ADA19+MAX(0,ADG20-ADA20-ADA19)*(1-ACT21)</f>
        <v/>
      </c>
      <c r="ADH21" s="12">
        <f>ADB21+ADB20+ADB19+MAX(0,ADH20-ADB20-ADB19)*(1-ACT21)</f>
        <v/>
      </c>
      <c r="ADI21" s="12">
        <f>ADC21+ADC20+ADC19+MAX(0,ADI20-ADC20-ADC19)*(1-ACT21)</f>
        <v/>
      </c>
      <c r="ADJ21" s="12">
        <f>ADJ20+ADD21-ADD9*(AnnualChurn*VLOOKUP(ACP21,ChurnSeasonTable,4,FALSE))*POWER(1-(AnnualChurn*VLOOKUP(ACP21,ChurnSeasonTable,4,FALSE)),0)</f>
        <v/>
      </c>
      <c r="ADK21" s="12">
        <f>ADK20+ADE21-ADE9*(AnnualChurn*VLOOKUP(ACP21,ChurnSeasonTable,4,FALSE))*POWER(1-(AnnualChurn*VLOOKUP(ACP21,ChurnSeasonTable,4,FALSE)),0)</f>
        <v/>
      </c>
      <c r="ADL21" s="12">
        <f>ADL20+ADF21-ADF9*(AnnualChurn*VLOOKUP(ACP21,ChurnSeasonTable,4,FALSE))*POWER(1-(AnnualChurn*VLOOKUP(ACP21,ChurnSeasonTable,4,FALSE)),0)</f>
        <v/>
      </c>
      <c r="ADM21" s="12">
        <f>ADG21+ADH21+ADI21+ADJ21+ADK21+ADL21</f>
        <v/>
      </c>
      <c r="ADN21" s="9">
        <f>ADG21*BlendedPriceEssMonthly*ACS21+ADH21*BlendedPricePremMonthly*ACS21+ADI21*BlendedPriceEliteMonthly*ACS21+ADJ21*BlendedPriceEssAnnual*ACS21/12+ADK21*BlendedPricePremAnnual*ACS21/12+ADL21*BlendedPriceEliteAnnual*ACS21/12</f>
        <v/>
      </c>
      <c r="ADO21" s="9">
        <f>ADN21*12</f>
        <v/>
      </c>
      <c r="ADP21" s="12">
        <f>ADG21*BlendedPriceEssMonthly*ACS21+ADH21*BlendedPricePremMonthly*ACS21+ADI21*BlendedPriceEliteMonthly*ACS21</f>
        <v/>
      </c>
      <c r="ADQ21" s="12">
        <f>ADD21*BlendedPriceEssAnnual*ACS21+ADE21*BlendedPricePremAnnual*ACS21+ADF21*BlendedPriceEliteAnnual*ACS21</f>
        <v/>
      </c>
      <c r="ADR21" s="12">
        <f>ADD9*POWER(1-(AnnualChurn*VLOOKUP(ACP21,ChurnSeasonTable,4,FALSE)),1)*BlendedPriceEssAnnual*ACS21+ADE9*POWER(1-(AnnualChurn*VLOOKUP(ACP21,ChurnSeasonTable,4,FALSE)),1)*BlendedPricePremAnnual*ACS21+ADF9*POWER(1-(AnnualChurn*VLOOKUP(ACP21,ChurnSeasonTable,4,FALSE)),1)*BlendedPriceEliteAnnual*ACS21</f>
        <v/>
      </c>
      <c r="ADS21" s="9">
        <f>ADP21+ADQ21+ADR21</f>
        <v/>
      </c>
      <c r="ADT21" s="12">
        <f>SUM(ADS10:ADS21)</f>
        <v/>
      </c>
      <c r="ADU21" s="12">
        <f>OR(ADU20,IF(VATAgentMode,SUM($ADS10:$ADS21)-SUM($ADZ10:$ADZ21)&gt;=VATThreshold,SUM($ADS10:$ADS21)&gt;=VATThreshold))</f>
        <v/>
      </c>
      <c r="ADV21" s="9">
        <f>IF(ADU21,IF(VATAgentMode,ADS21-((ADS21-ADZ21)-(ADS21-ADZ21)/(1+VATRate)),ADS21/(1+VATRate)),ADS21)</f>
        <v/>
      </c>
      <c r="ADW21" s="12">
        <f>ADS21-ADV21</f>
        <v/>
      </c>
      <c r="ADX21" s="12">
        <f>IF(ADU21=0,0,IF(ACP21=1,SUMPRODUCT(--(($ACQ$5:$ACQ21=$ACQ21-1)*($ACP$5:$ACP21&gt;=10)*($ACP$5:$ACP21&lt;=12)),$ADW$5:$ADW21),IF(ACP21=4,SUMPRODUCT(--(($ACQ$5:$ACQ21=$ACQ21)*($ACP$5:$ACP21&gt;=1)*($ACP$5:$ACP21&lt;=3)),$ADW$5:$ADW21),IF(ACP21=7,SUMPRODUCT(--(($ACQ$5:$ACQ21=$ACQ21)*($ACP$5:$ACP21&gt;=4)*($ACP$5:$ACP21&lt;=6)),$ADW$5:$ADW21),IF(ACP21=10,SUMPRODUCT(--(($ACQ$5:$ACQ21=$ACQ21)*($ACP$5:$ACP21&gt;=7)*($ACP$5:$ACP21&lt;=9)),$ADW$5:$ADW21),0)))))</f>
        <v/>
      </c>
      <c r="ADY21" s="12">
        <f>ADY20+ADW21-ADX21</f>
        <v/>
      </c>
      <c r="ADZ21" s="12">
        <f>IF(ProviderDelay&gt;=1,ADG20*BlendedProvPayEss+ADH20*BlendedProvPayPrem+ADI20*BlendedProvPayElite+ADJ20*BlendedProvPayEss+ADK20*BlendedProvPayPrem+ADL20*BlendedProvPayElite,ADG21*BlendedProvPayEss+ADH21*BlendedProvPayPrem+ADI21*BlendedProvPayElite+ADJ21*BlendedProvPayEss+ADK21*BlendedProvPayPrem+ADL21*BlendedProvPayElite)</f>
        <v/>
      </c>
      <c r="AEA21" s="12">
        <f>ADS21*PaymentFee</f>
        <v/>
      </c>
      <c r="AEB21" s="12">
        <f>ADM21*OpsAI</f>
        <v/>
      </c>
      <c r="AEC21" s="12">
        <f>MonthlyFixed</f>
        <v/>
      </c>
      <c r="AED21" s="12">
        <f>ACW21*ReferralReward</f>
        <v/>
      </c>
      <c r="AEE21" s="12">
        <f>ACU21</f>
        <v/>
      </c>
      <c r="AEF21" s="9">
        <f>ADV21-ADZ21-AEA21-AEB21-AEC21-AED21-AEE21</f>
        <v/>
      </c>
      <c r="AEG21" s="9">
        <f>AEG20+ADS21-(ADZ21+AEA21+AEB21+AEC21+AED21+AEE21+ADX21)</f>
        <v/>
      </c>
      <c r="AEH21" s="12">
        <f>IF(ADM21&gt;0,ADN21/ADM21,0)</f>
        <v/>
      </c>
      <c r="AEI21" s="11">
        <f>IF(ADM20&gt;0,MAX(0,(ADM20+ACX21-ADM21)/ADM20),0)</f>
        <v/>
      </c>
      <c r="AEK21" s="12" t="n">
        <v>17</v>
      </c>
      <c r="AEL21" s="12">
        <f>MOD(AEK21-1+LaunchMonth-1,12)+1</f>
        <v/>
      </c>
      <c r="AEM21" s="12">
        <f>INT((AEK21-1+LaunchMonth-1)/12)+1</f>
        <v/>
      </c>
      <c r="AEN21" s="12">
        <f>VLOOKUP(AEL21,SeasonTable,2,FALSE)</f>
        <v/>
      </c>
      <c r="AEO21" s="12">
        <f>(1+InflationRate)^INT((AEK21-1)/12)</f>
        <v/>
      </c>
      <c r="AEP21" s="11">
        <f>MonthlyChurn*VLOOKUP(AEL21,ChurnSeasonTable,4,FALSE)</f>
        <v/>
      </c>
      <c r="AEQ21" s="12">
        <f>MIN(MAX(MktMin13_18,AFO20*MktPct13_18),MAX(0,AGC20-CashBuffer))</f>
        <v/>
      </c>
      <c r="AER21" s="12">
        <f>IF(AEQ21&gt;0,MAX(1,ROUND(AEQ21/CAC*AEN21,0)),0)</f>
        <v/>
      </c>
      <c r="AES21" s="12">
        <f>IF(AER21&gt;0,ROUND(AER21*ReferralMix/(1-ReferralMix),0),0)</f>
        <v/>
      </c>
      <c r="AET21" s="12">
        <f>AER21+AES21</f>
        <v/>
      </c>
      <c r="AEU21" s="12">
        <f>ROUND(AET21*(1-'Sens - Annual Mix'!$A$14),0)</f>
        <v/>
      </c>
      <c r="AEV21" s="12">
        <f>AET21-AEU21</f>
        <v/>
      </c>
      <c r="AEW21" s="12">
        <f>ROUND(AEU21*EssentialMix,0)</f>
        <v/>
      </c>
      <c r="AEX21" s="12">
        <f>ROUND(AEU21*PremiumMix,0)</f>
        <v/>
      </c>
      <c r="AEY21" s="12">
        <f>AEU21-AEW21-AEX21</f>
        <v/>
      </c>
      <c r="AEZ21" s="12">
        <f>ROUND(AEV21*EssentialMix,0)</f>
        <v/>
      </c>
      <c r="AFA21" s="12">
        <f>ROUND(AEV21*PremiumMix,0)</f>
        <v/>
      </c>
      <c r="AFB21" s="12">
        <f>AEV21-AEZ21-AFA21</f>
        <v/>
      </c>
      <c r="AFC21" s="12">
        <f>AEW21+AEW20+AEW19+MAX(0,AFC20-AEW20-AEW19)*(1-AEP21)</f>
        <v/>
      </c>
      <c r="AFD21" s="12">
        <f>AEX21+AEX20+AEX19+MAX(0,AFD20-AEX20-AEX19)*(1-AEP21)</f>
        <v/>
      </c>
      <c r="AFE21" s="12">
        <f>AEY21+AEY20+AEY19+MAX(0,AFE20-AEY20-AEY19)*(1-AEP21)</f>
        <v/>
      </c>
      <c r="AFF21" s="12">
        <f>AFF20+AEZ21-AEZ9*(AnnualChurn*VLOOKUP(AEL21,ChurnSeasonTable,4,FALSE))*POWER(1-(AnnualChurn*VLOOKUP(AEL21,ChurnSeasonTable,4,FALSE)),0)</f>
        <v/>
      </c>
      <c r="AFG21" s="12">
        <f>AFG20+AFA21-AFA9*(AnnualChurn*VLOOKUP(AEL21,ChurnSeasonTable,4,FALSE))*POWER(1-(AnnualChurn*VLOOKUP(AEL21,ChurnSeasonTable,4,FALSE)),0)</f>
        <v/>
      </c>
      <c r="AFH21" s="12">
        <f>AFH20+AFB21-AFB9*(AnnualChurn*VLOOKUP(AEL21,ChurnSeasonTable,4,FALSE))*POWER(1-(AnnualChurn*VLOOKUP(AEL21,ChurnSeasonTable,4,FALSE)),0)</f>
        <v/>
      </c>
      <c r="AFI21" s="12">
        <f>AFC21+AFD21+AFE21+AFF21+AFG21+AFH21</f>
        <v/>
      </c>
      <c r="AFJ21" s="9">
        <f>AFC21*BlendedPriceEssMonthly*AEO21+AFD21*BlendedPricePremMonthly*AEO21+AFE21*BlendedPriceEliteMonthly*AEO21+AFF21*BlendedPriceEssAnnual*AEO21/12+AFG21*BlendedPricePremAnnual*AEO21/12+AFH21*BlendedPriceEliteAnnual*AEO21/12</f>
        <v/>
      </c>
      <c r="AFK21" s="9">
        <f>AFJ21*12</f>
        <v/>
      </c>
      <c r="AFL21" s="12">
        <f>AFC21*BlendedPriceEssMonthly*AEO21+AFD21*BlendedPricePremMonthly*AEO21+AFE21*BlendedPriceEliteMonthly*AEO21</f>
        <v/>
      </c>
      <c r="AFM21" s="12">
        <f>AEZ21*BlendedPriceEssAnnual*AEO21+AFA21*BlendedPricePremAnnual*AEO21+AFB21*BlendedPriceEliteAnnual*AEO21</f>
        <v/>
      </c>
      <c r="AFN21" s="12">
        <f>AEZ9*POWER(1-(AnnualChurn*VLOOKUP(AEL21,ChurnSeasonTable,4,FALSE)),1)*BlendedPriceEssAnnual*AEO21+AFA9*POWER(1-(AnnualChurn*VLOOKUP(AEL21,ChurnSeasonTable,4,FALSE)),1)*BlendedPricePremAnnual*AEO21+AFB9*POWER(1-(AnnualChurn*VLOOKUP(AEL21,ChurnSeasonTable,4,FALSE)),1)*BlendedPriceEliteAnnual*AEO21</f>
        <v/>
      </c>
      <c r="AFO21" s="9">
        <f>AFL21+AFM21+AFN21</f>
        <v/>
      </c>
      <c r="AFP21" s="12">
        <f>SUM(AFO10:AFO21)</f>
        <v/>
      </c>
      <c r="AFQ21" s="12">
        <f>OR(AFQ20,IF(VATAgentMode,SUM($AFO10:$AFO21)-SUM($AFV10:$AFV21)&gt;=VATThreshold,SUM($AFO10:$AFO21)&gt;=VATThreshold))</f>
        <v/>
      </c>
      <c r="AFR21" s="9">
        <f>IF(AFQ21,IF(VATAgentMode,AFO21-((AFO21-AFV21)-(AFO21-AFV21)/(1+VATRate)),AFO21/(1+VATRate)),AFO21)</f>
        <v/>
      </c>
      <c r="AFS21" s="12">
        <f>AFO21-AFR21</f>
        <v/>
      </c>
      <c r="AFT21" s="12">
        <f>IF(AFQ21=0,0,IF(AEL21=1,SUMPRODUCT(--(($AEM$5:$AEM21=$AEM21-1)*($AEL$5:$AEL21&gt;=10)*($AEL$5:$AEL21&lt;=12)),$AFS$5:$AFS21),IF(AEL21=4,SUMPRODUCT(--(($AEM$5:$AEM21=$AEM21)*($AEL$5:$AEL21&gt;=1)*($AEL$5:$AEL21&lt;=3)),$AFS$5:$AFS21),IF(AEL21=7,SUMPRODUCT(--(($AEM$5:$AEM21=$AEM21)*($AEL$5:$AEL21&gt;=4)*($AEL$5:$AEL21&lt;=6)),$AFS$5:$AFS21),IF(AEL21=10,SUMPRODUCT(--(($AEM$5:$AEM21=$AEM21)*($AEL$5:$AEL21&gt;=7)*($AEL$5:$AEL21&lt;=9)),$AFS$5:$AFS21),0)))))</f>
        <v/>
      </c>
      <c r="AFU21" s="12">
        <f>AFU20+AFS21-AFT21</f>
        <v/>
      </c>
      <c r="AFV21" s="12">
        <f>IF(ProviderDelay&gt;=1,AFC20*BlendedProvPayEss+AFD20*BlendedProvPayPrem+AFE20*BlendedProvPayElite+AFF20*BlendedProvPayEss+AFG20*BlendedProvPayPrem+AFH20*BlendedProvPayElite,AFC21*BlendedProvPayEss+AFD21*BlendedProvPayPrem+AFE21*BlendedProvPayElite+AFF21*BlendedProvPayEss+AFG21*BlendedProvPayPrem+AFH21*BlendedProvPayElite)</f>
        <v/>
      </c>
      <c r="AFW21" s="12">
        <f>AFO21*PaymentFee</f>
        <v/>
      </c>
      <c r="AFX21" s="12">
        <f>AFI21*OpsAI</f>
        <v/>
      </c>
      <c r="AFY21" s="12">
        <f>MonthlyFixed</f>
        <v/>
      </c>
      <c r="AFZ21" s="12">
        <f>AES21*ReferralReward</f>
        <v/>
      </c>
      <c r="AGA21" s="12">
        <f>AEQ21</f>
        <v/>
      </c>
      <c r="AGB21" s="9">
        <f>AFR21-AFV21-AFW21-AFX21-AFY21-AFZ21-AGA21</f>
        <v/>
      </c>
      <c r="AGC21" s="9">
        <f>AGC20+AFO21-(AFV21+AFW21+AFX21+AFY21+AFZ21+AGA21+AFT21)</f>
        <v/>
      </c>
      <c r="AGD21" s="12">
        <f>IF(AFI21&gt;0,AFJ21/AFI21,0)</f>
        <v/>
      </c>
      <c r="AGE21" s="11">
        <f>IF(AFI20&gt;0,MAX(0,(AFI20+AET21-AFI21)/AFI20),0)</f>
        <v/>
      </c>
      <c r="AGG21" s="12" t="n">
        <v>17</v>
      </c>
      <c r="AGH21" s="12">
        <f>MOD(AGG21-1+LaunchMonth-1,12)+1</f>
        <v/>
      </c>
      <c r="AGI21" s="12">
        <f>INT((AGG21-1+LaunchMonth-1)/12)+1</f>
        <v/>
      </c>
      <c r="AGJ21" s="12">
        <f>VLOOKUP(AGH21,SeasonTable,2,FALSE)</f>
        <v/>
      </c>
      <c r="AGK21" s="12">
        <f>(1+InflationRate)^INT((AGG21-1)/12)</f>
        <v/>
      </c>
      <c r="AGL21" s="11">
        <f>MonthlyChurn*VLOOKUP(AGH21,ChurnSeasonTable,4,FALSE)</f>
        <v/>
      </c>
      <c r="AGM21" s="12">
        <f>MIN(MAX(MktMin13_18,AHK20*MktPct13_18),MAX(0,AHY20-CashBuffer))</f>
        <v/>
      </c>
      <c r="AGN21" s="12">
        <f>IF(AGM21&gt;0,MAX(1,ROUND(AGM21/CAC*AGJ21,0)),0)</f>
        <v/>
      </c>
      <c r="AGO21" s="12">
        <f>IF(AGN21&gt;0,ROUND(AGN21*ReferralMix/(1-ReferralMix),0),0)</f>
        <v/>
      </c>
      <c r="AGP21" s="12">
        <f>AGN21+AGO21</f>
        <v/>
      </c>
      <c r="AGQ21" s="12">
        <f>ROUND(AGP21*(1-'Sens - Annual Mix'!$A$15),0)</f>
        <v/>
      </c>
      <c r="AGR21" s="12">
        <f>AGP21-AGQ21</f>
        <v/>
      </c>
      <c r="AGS21" s="12">
        <f>ROUND(AGQ21*EssentialMix,0)</f>
        <v/>
      </c>
      <c r="AGT21" s="12">
        <f>ROUND(AGQ21*PremiumMix,0)</f>
        <v/>
      </c>
      <c r="AGU21" s="12">
        <f>AGQ21-AGS21-AGT21</f>
        <v/>
      </c>
      <c r="AGV21" s="12">
        <f>ROUND(AGR21*EssentialMix,0)</f>
        <v/>
      </c>
      <c r="AGW21" s="12">
        <f>ROUND(AGR21*PremiumMix,0)</f>
        <v/>
      </c>
      <c r="AGX21" s="12">
        <f>AGR21-AGV21-AGW21</f>
        <v/>
      </c>
      <c r="AGY21" s="12">
        <f>AGS21+AGS20+AGS19+MAX(0,AGY20-AGS20-AGS19)*(1-AGL21)</f>
        <v/>
      </c>
      <c r="AGZ21" s="12">
        <f>AGT21+AGT20+AGT19+MAX(0,AGZ20-AGT20-AGT19)*(1-AGL21)</f>
        <v/>
      </c>
      <c r="AHA21" s="12">
        <f>AGU21+AGU20+AGU19+MAX(0,AHA20-AGU20-AGU19)*(1-AGL21)</f>
        <v/>
      </c>
      <c r="AHB21" s="12">
        <f>AHB20+AGV21-AGV9*(AnnualChurn*VLOOKUP(AGH21,ChurnSeasonTable,4,FALSE))*POWER(1-(AnnualChurn*VLOOKUP(AGH21,ChurnSeasonTable,4,FALSE)),0)</f>
        <v/>
      </c>
      <c r="AHC21" s="12">
        <f>AHC20+AGW21-AGW9*(AnnualChurn*VLOOKUP(AGH21,ChurnSeasonTable,4,FALSE))*POWER(1-(AnnualChurn*VLOOKUP(AGH21,ChurnSeasonTable,4,FALSE)),0)</f>
        <v/>
      </c>
      <c r="AHD21" s="12">
        <f>AHD20+AGX21-AGX9*(AnnualChurn*VLOOKUP(AGH21,ChurnSeasonTable,4,FALSE))*POWER(1-(AnnualChurn*VLOOKUP(AGH21,ChurnSeasonTable,4,FALSE)),0)</f>
        <v/>
      </c>
      <c r="AHE21" s="12">
        <f>AGY21+AGZ21+AHA21+AHB21+AHC21+AHD21</f>
        <v/>
      </c>
      <c r="AHF21" s="9">
        <f>AGY21*BlendedPriceEssMonthly*AGK21+AGZ21*BlendedPricePremMonthly*AGK21+AHA21*BlendedPriceEliteMonthly*AGK21+AHB21*BlendedPriceEssAnnual*AGK21/12+AHC21*BlendedPricePremAnnual*AGK21/12+AHD21*BlendedPriceEliteAnnual*AGK21/12</f>
        <v/>
      </c>
      <c r="AHG21" s="9">
        <f>AHF21*12</f>
        <v/>
      </c>
      <c r="AHH21" s="12">
        <f>AGY21*BlendedPriceEssMonthly*AGK21+AGZ21*BlendedPricePremMonthly*AGK21+AHA21*BlendedPriceEliteMonthly*AGK21</f>
        <v/>
      </c>
      <c r="AHI21" s="12">
        <f>AGV21*BlendedPriceEssAnnual*AGK21+AGW21*BlendedPricePremAnnual*AGK21+AGX21*BlendedPriceEliteAnnual*AGK21</f>
        <v/>
      </c>
      <c r="AHJ21" s="12">
        <f>AGV9*POWER(1-(AnnualChurn*VLOOKUP(AGH21,ChurnSeasonTable,4,FALSE)),1)*BlendedPriceEssAnnual*AGK21+AGW9*POWER(1-(AnnualChurn*VLOOKUP(AGH21,ChurnSeasonTable,4,FALSE)),1)*BlendedPricePremAnnual*AGK21+AGX9*POWER(1-(AnnualChurn*VLOOKUP(AGH21,ChurnSeasonTable,4,FALSE)),1)*BlendedPriceEliteAnnual*AGK21</f>
        <v/>
      </c>
      <c r="AHK21" s="9">
        <f>AHH21+AHI21+AHJ21</f>
        <v/>
      </c>
      <c r="AHL21" s="12">
        <f>SUM(AHK10:AHK21)</f>
        <v/>
      </c>
      <c r="AHM21" s="12">
        <f>OR(AHM20,IF(VATAgentMode,SUM($AHK10:$AHK21)-SUM($AHR10:$AHR21)&gt;=VATThreshold,SUM($AHK10:$AHK21)&gt;=VATThreshold))</f>
        <v/>
      </c>
      <c r="AHN21" s="9">
        <f>IF(AHM21,IF(VATAgentMode,AHK21-((AHK21-AHR21)-(AHK21-AHR21)/(1+VATRate)),AHK21/(1+VATRate)),AHK21)</f>
        <v/>
      </c>
      <c r="AHO21" s="12">
        <f>AHK21-AHN21</f>
        <v/>
      </c>
      <c r="AHP21" s="12">
        <f>IF(AHM21=0,0,IF(AGH21=1,SUMPRODUCT(--(($AGI$5:$AGI21=$AGI21-1)*($AGH$5:$AGH21&gt;=10)*($AGH$5:$AGH21&lt;=12)),$AHO$5:$AHO21),IF(AGH21=4,SUMPRODUCT(--(($AGI$5:$AGI21=$AGI21)*($AGH$5:$AGH21&gt;=1)*($AGH$5:$AGH21&lt;=3)),$AHO$5:$AHO21),IF(AGH21=7,SUMPRODUCT(--(($AGI$5:$AGI21=$AGI21)*($AGH$5:$AGH21&gt;=4)*($AGH$5:$AGH21&lt;=6)),$AHO$5:$AHO21),IF(AGH21=10,SUMPRODUCT(--(($AGI$5:$AGI21=$AGI21)*($AGH$5:$AGH21&gt;=7)*($AGH$5:$AGH21&lt;=9)),$AHO$5:$AHO21),0)))))</f>
        <v/>
      </c>
      <c r="AHQ21" s="12">
        <f>AHQ20+AHO21-AHP21</f>
        <v/>
      </c>
      <c r="AHR21" s="12">
        <f>IF(ProviderDelay&gt;=1,AGY20*BlendedProvPayEss+AGZ20*BlendedProvPayPrem+AHA20*BlendedProvPayElite+AHB20*BlendedProvPayEss+AHC20*BlendedProvPayPrem+AHD20*BlendedProvPayElite,AGY21*BlendedProvPayEss+AGZ21*BlendedProvPayPrem+AHA21*BlendedProvPayElite+AHB21*BlendedProvPayEss+AHC21*BlendedProvPayPrem+AHD21*BlendedProvPayElite)</f>
        <v/>
      </c>
      <c r="AHS21" s="12">
        <f>AHK21*PaymentFee</f>
        <v/>
      </c>
      <c r="AHT21" s="12">
        <f>AHE21*OpsAI</f>
        <v/>
      </c>
      <c r="AHU21" s="12">
        <f>MonthlyFixed</f>
        <v/>
      </c>
      <c r="AHV21" s="12">
        <f>AGO21*ReferralReward</f>
        <v/>
      </c>
      <c r="AHW21" s="12">
        <f>AGM21</f>
        <v/>
      </c>
      <c r="AHX21" s="9">
        <f>AHN21-AHR21-AHS21-AHT21-AHU21-AHV21-AHW21</f>
        <v/>
      </c>
      <c r="AHY21" s="9">
        <f>AHY20+AHK21-(AHR21+AHS21+AHT21+AHU21+AHV21+AHW21+AHP21)</f>
        <v/>
      </c>
      <c r="AHZ21" s="12">
        <f>IF(AHE21&gt;0,AHF21/AHE21,0)</f>
        <v/>
      </c>
      <c r="AIA21" s="11">
        <f>IF(AHE20&gt;0,MAX(0,(AHE20+AGP21-AHE21)/AHE20),0)</f>
        <v/>
      </c>
      <c r="AIC21" s="12" t="n">
        <v>17</v>
      </c>
      <c r="AID21" s="12">
        <f>MOD(AIC21-1+LaunchMonth-1,12)+1</f>
        <v/>
      </c>
      <c r="AIE21" s="12">
        <f>INT((AIC21-1+LaunchMonth-1)/12)+1</f>
        <v/>
      </c>
      <c r="AIF21" s="12">
        <f>VLOOKUP(AID21,SeasonTable,2,FALSE)</f>
        <v/>
      </c>
      <c r="AIG21" s="12">
        <f>(1+InflationRate)^INT((AIC21-1)/12)</f>
        <v/>
      </c>
      <c r="AIH21" s="11">
        <f>MonthlyChurn*VLOOKUP(AID21,ChurnSeasonTable,4,FALSE)</f>
        <v/>
      </c>
      <c r="AII21" s="12">
        <f>MIN(MAX(MktMin13_18,AJG20*MktPct13_18),MAX(0,AJU20-CashBuffer))</f>
        <v/>
      </c>
      <c r="AIJ21" s="12">
        <f>IF(AII21&gt;0,MAX(1,ROUND(AII21/'Sens - CAC &amp; Marketing'!$A$9*AIF21,0)),0)</f>
        <v/>
      </c>
      <c r="AIK21" s="12">
        <f>IF(AIJ21&gt;0,ROUND(AIJ21*ReferralMix/(1-ReferralMix),0),0)</f>
        <v/>
      </c>
      <c r="AIL21" s="12">
        <f>AIJ21+AIK21</f>
        <v/>
      </c>
      <c r="AIM21" s="12">
        <f>ROUND(AIL21*(1-AnnualMix),0)</f>
        <v/>
      </c>
      <c r="AIN21" s="12">
        <f>AIL21-AIM21</f>
        <v/>
      </c>
      <c r="AIO21" s="12">
        <f>ROUND(AIM21*EssentialMix,0)</f>
        <v/>
      </c>
      <c r="AIP21" s="12">
        <f>ROUND(AIM21*PremiumMix,0)</f>
        <v/>
      </c>
      <c r="AIQ21" s="12">
        <f>AIM21-AIO21-AIP21</f>
        <v/>
      </c>
      <c r="AIR21" s="12">
        <f>ROUND(AIN21*EssentialMix,0)</f>
        <v/>
      </c>
      <c r="AIS21" s="12">
        <f>ROUND(AIN21*PremiumMix,0)</f>
        <v/>
      </c>
      <c r="AIT21" s="12">
        <f>AIN21-AIR21-AIS21</f>
        <v/>
      </c>
      <c r="AIU21" s="12">
        <f>AIO21+AIO20+AIO19+MAX(0,AIU20-AIO20-AIO19)*(1-AIH21)</f>
        <v/>
      </c>
      <c r="AIV21" s="12">
        <f>AIP21+AIP20+AIP19+MAX(0,AIV20-AIP20-AIP19)*(1-AIH21)</f>
        <v/>
      </c>
      <c r="AIW21" s="12">
        <f>AIQ21+AIQ20+AIQ19+MAX(0,AIW20-AIQ20-AIQ19)*(1-AIH21)</f>
        <v/>
      </c>
      <c r="AIX21" s="12">
        <f>AIX20+AIR21-AIR9*(AnnualChurn*VLOOKUP(AID21,ChurnSeasonTable,4,FALSE))*POWER(1-(AnnualChurn*VLOOKUP(AID21,ChurnSeasonTable,4,FALSE)),0)</f>
        <v/>
      </c>
      <c r="AIY21" s="12">
        <f>AIY20+AIS21-AIS9*(AnnualChurn*VLOOKUP(AID21,ChurnSeasonTable,4,FALSE))*POWER(1-(AnnualChurn*VLOOKUP(AID21,ChurnSeasonTable,4,FALSE)),0)</f>
        <v/>
      </c>
      <c r="AIZ21" s="12">
        <f>AIZ20+AIT21-AIT9*(AnnualChurn*VLOOKUP(AID21,ChurnSeasonTable,4,FALSE))*POWER(1-(AnnualChurn*VLOOKUP(AID21,ChurnSeasonTable,4,FALSE)),0)</f>
        <v/>
      </c>
      <c r="AJA21" s="12">
        <f>AIU21+AIV21+AIW21+AIX21+AIY21+AIZ21</f>
        <v/>
      </c>
      <c r="AJB21" s="9">
        <f>AIU21*BlendedPriceEssMonthly*AIG21+AIV21*BlendedPricePremMonthly*AIG21+AIW21*BlendedPriceEliteMonthly*AIG21+AIX21*BlendedPriceEssAnnual*AIG21/12+AIY21*BlendedPricePremAnnual*AIG21/12+AIZ21*BlendedPriceEliteAnnual*AIG21/12</f>
        <v/>
      </c>
      <c r="AJC21" s="9">
        <f>AJB21*12</f>
        <v/>
      </c>
      <c r="AJD21" s="12">
        <f>AIU21*BlendedPriceEssMonthly*AIG21+AIV21*BlendedPricePremMonthly*AIG21+AIW21*BlendedPriceEliteMonthly*AIG21</f>
        <v/>
      </c>
      <c r="AJE21" s="12">
        <f>AIR21*BlendedPriceEssAnnual*AIG21+AIS21*BlendedPricePremAnnual*AIG21+AIT21*BlendedPriceEliteAnnual*AIG21</f>
        <v/>
      </c>
      <c r="AJF21" s="12">
        <f>AIR9*POWER(1-(AnnualChurn*VLOOKUP(AID21,ChurnSeasonTable,4,FALSE)),1)*BlendedPriceEssAnnual*AIG21+AIS9*POWER(1-(AnnualChurn*VLOOKUP(AID21,ChurnSeasonTable,4,FALSE)),1)*BlendedPricePremAnnual*AIG21+AIT9*POWER(1-(AnnualChurn*VLOOKUP(AID21,ChurnSeasonTable,4,FALSE)),1)*BlendedPriceEliteAnnual*AIG21</f>
        <v/>
      </c>
      <c r="AJG21" s="9">
        <f>AJD21+AJE21+AJF21</f>
        <v/>
      </c>
      <c r="AJH21" s="12">
        <f>SUM(AJG10:AJG21)</f>
        <v/>
      </c>
      <c r="AJI21" s="12">
        <f>OR(AJI20,IF(VATAgentMode,SUM($AJG10:$AJG21)-SUM($AJN10:$AJN21)&gt;=VATThreshold,SUM($AJG10:$AJG21)&gt;=VATThreshold))</f>
        <v/>
      </c>
      <c r="AJJ21" s="9">
        <f>IF(AJI21,IF(VATAgentMode,AJG21-((AJG21-AJN21)-(AJG21-AJN21)/(1+VATRate)),AJG21/(1+VATRate)),AJG21)</f>
        <v/>
      </c>
      <c r="AJK21" s="12">
        <f>AJG21-AJJ21</f>
        <v/>
      </c>
      <c r="AJL21" s="12">
        <f>IF(AJI21=0,0,IF(AID21=1,SUMPRODUCT(--(($AIE$5:$AIE21=$AIE21-1)*($AID$5:$AID21&gt;=10)*($AID$5:$AID21&lt;=12)),$AJK$5:$AJK21),IF(AID21=4,SUMPRODUCT(--(($AIE$5:$AIE21=$AIE21)*($AID$5:$AID21&gt;=1)*($AID$5:$AID21&lt;=3)),$AJK$5:$AJK21),IF(AID21=7,SUMPRODUCT(--(($AIE$5:$AIE21=$AIE21)*($AID$5:$AID21&gt;=4)*($AID$5:$AID21&lt;=6)),$AJK$5:$AJK21),IF(AID21=10,SUMPRODUCT(--(($AIE$5:$AIE21=$AIE21)*($AID$5:$AID21&gt;=7)*($AID$5:$AID21&lt;=9)),$AJK$5:$AJK21),0)))))</f>
        <v/>
      </c>
      <c r="AJM21" s="12">
        <f>AJM20+AJK21-AJL21</f>
        <v/>
      </c>
      <c r="AJN21" s="12">
        <f>IF(ProviderDelay&gt;=1,AIU20*BlendedProvPayEss+AIV20*BlendedProvPayPrem+AIW20*BlendedProvPayElite+AIX20*BlendedProvPayEss+AIY20*BlendedProvPayPrem+AIZ20*BlendedProvPayElite,AIU21*BlendedProvPayEss+AIV21*BlendedProvPayPrem+AIW21*BlendedProvPayElite+AIX21*BlendedProvPayEss+AIY21*BlendedProvPayPrem+AIZ21*BlendedProvPayElite)</f>
        <v/>
      </c>
      <c r="AJO21" s="12">
        <f>AJG21*PaymentFee</f>
        <v/>
      </c>
      <c r="AJP21" s="12">
        <f>AJA21*OpsAI</f>
        <v/>
      </c>
      <c r="AJQ21" s="12">
        <f>MonthlyFixed</f>
        <v/>
      </c>
      <c r="AJR21" s="12">
        <f>AIK21*ReferralReward</f>
        <v/>
      </c>
      <c r="AJS21" s="12">
        <f>AII21</f>
        <v/>
      </c>
      <c r="AJT21" s="9">
        <f>AJJ21-AJN21-AJO21-AJP21-AJQ21-AJR21-AJS21</f>
        <v/>
      </c>
      <c r="AJU21" s="9">
        <f>AJU20+AJG21-(AJN21+AJO21+AJP21+AJQ21+AJR21+AJS21+AJL21)</f>
        <v/>
      </c>
      <c r="AJV21" s="12">
        <f>IF(AJA21&gt;0,AJB21/AJA21,0)</f>
        <v/>
      </c>
      <c r="AJW21" s="11">
        <f>IF(AJA20&gt;0,MAX(0,(AJA20+AIL21-AJA21)/AJA20),0)</f>
        <v/>
      </c>
      <c r="AJY21" s="12" t="n">
        <v>17</v>
      </c>
      <c r="AJZ21" s="12">
        <f>MOD(AJY21-1+LaunchMonth-1,12)+1</f>
        <v/>
      </c>
      <c r="AKA21" s="12">
        <f>INT((AJY21-1+LaunchMonth-1)/12)+1</f>
        <v/>
      </c>
      <c r="AKB21" s="12">
        <f>VLOOKUP(AJZ21,SeasonTable,2,FALSE)</f>
        <v/>
      </c>
      <c r="AKC21" s="12">
        <f>(1+InflationRate)^INT((AJY21-1)/12)</f>
        <v/>
      </c>
      <c r="AKD21" s="11">
        <f>MonthlyChurn*VLOOKUP(AJZ21,ChurnSeasonTable,4,FALSE)</f>
        <v/>
      </c>
      <c r="AKE21" s="12">
        <f>MIN(MAX(MktMin13_18,ALC20*MktPct13_18),MAX(0,ALQ20-CashBuffer))</f>
        <v/>
      </c>
      <c r="AKF21" s="12">
        <f>IF(AKE21&gt;0,MAX(1,ROUND(AKE21/'Sens - CAC &amp; Marketing'!$A$10*AKB21,0)),0)</f>
        <v/>
      </c>
      <c r="AKG21" s="12">
        <f>IF(AKF21&gt;0,ROUND(AKF21*ReferralMix/(1-ReferralMix),0),0)</f>
        <v/>
      </c>
      <c r="AKH21" s="12">
        <f>AKF21+AKG21</f>
        <v/>
      </c>
      <c r="AKI21" s="12">
        <f>ROUND(AKH21*(1-AnnualMix),0)</f>
        <v/>
      </c>
      <c r="AKJ21" s="12">
        <f>AKH21-AKI21</f>
        <v/>
      </c>
      <c r="AKK21" s="12">
        <f>ROUND(AKI21*EssentialMix,0)</f>
        <v/>
      </c>
      <c r="AKL21" s="12">
        <f>ROUND(AKI21*PremiumMix,0)</f>
        <v/>
      </c>
      <c r="AKM21" s="12">
        <f>AKI21-AKK21-AKL21</f>
        <v/>
      </c>
      <c r="AKN21" s="12">
        <f>ROUND(AKJ21*EssentialMix,0)</f>
        <v/>
      </c>
      <c r="AKO21" s="12">
        <f>ROUND(AKJ21*PremiumMix,0)</f>
        <v/>
      </c>
      <c r="AKP21" s="12">
        <f>AKJ21-AKN21-AKO21</f>
        <v/>
      </c>
      <c r="AKQ21" s="12">
        <f>AKK21+AKK20+AKK19+MAX(0,AKQ20-AKK20-AKK19)*(1-AKD21)</f>
        <v/>
      </c>
      <c r="AKR21" s="12">
        <f>AKL21+AKL20+AKL19+MAX(0,AKR20-AKL20-AKL19)*(1-AKD21)</f>
        <v/>
      </c>
      <c r="AKS21" s="12">
        <f>AKM21+AKM20+AKM19+MAX(0,AKS20-AKM20-AKM19)*(1-AKD21)</f>
        <v/>
      </c>
      <c r="AKT21" s="12">
        <f>AKT20+AKN21-AKN9*(AnnualChurn*VLOOKUP(AJZ21,ChurnSeasonTable,4,FALSE))*POWER(1-(AnnualChurn*VLOOKUP(AJZ21,ChurnSeasonTable,4,FALSE)),0)</f>
        <v/>
      </c>
      <c r="AKU21" s="12">
        <f>AKU20+AKO21-AKO9*(AnnualChurn*VLOOKUP(AJZ21,ChurnSeasonTable,4,FALSE))*POWER(1-(AnnualChurn*VLOOKUP(AJZ21,ChurnSeasonTable,4,FALSE)),0)</f>
        <v/>
      </c>
      <c r="AKV21" s="12">
        <f>AKV20+AKP21-AKP9*(AnnualChurn*VLOOKUP(AJZ21,ChurnSeasonTable,4,FALSE))*POWER(1-(AnnualChurn*VLOOKUP(AJZ21,ChurnSeasonTable,4,FALSE)),0)</f>
        <v/>
      </c>
      <c r="AKW21" s="12">
        <f>AKQ21+AKR21+AKS21+AKT21+AKU21+AKV21</f>
        <v/>
      </c>
      <c r="AKX21" s="9">
        <f>AKQ21*BlendedPriceEssMonthly*AKC21+AKR21*BlendedPricePremMonthly*AKC21+AKS21*BlendedPriceEliteMonthly*AKC21+AKT21*BlendedPriceEssAnnual*AKC21/12+AKU21*BlendedPricePremAnnual*AKC21/12+AKV21*BlendedPriceEliteAnnual*AKC21/12</f>
        <v/>
      </c>
      <c r="AKY21" s="9">
        <f>AKX21*12</f>
        <v/>
      </c>
      <c r="AKZ21" s="12">
        <f>AKQ21*BlendedPriceEssMonthly*AKC21+AKR21*BlendedPricePremMonthly*AKC21+AKS21*BlendedPriceEliteMonthly*AKC21</f>
        <v/>
      </c>
      <c r="ALA21" s="12">
        <f>AKN21*BlendedPriceEssAnnual*AKC21+AKO21*BlendedPricePremAnnual*AKC21+AKP21*BlendedPriceEliteAnnual*AKC21</f>
        <v/>
      </c>
      <c r="ALB21" s="12">
        <f>AKN9*POWER(1-(AnnualChurn*VLOOKUP(AJZ21,ChurnSeasonTable,4,FALSE)),1)*BlendedPriceEssAnnual*AKC21+AKO9*POWER(1-(AnnualChurn*VLOOKUP(AJZ21,ChurnSeasonTable,4,FALSE)),1)*BlendedPricePremAnnual*AKC21+AKP9*POWER(1-(AnnualChurn*VLOOKUP(AJZ21,ChurnSeasonTable,4,FALSE)),1)*BlendedPriceEliteAnnual*AKC21</f>
        <v/>
      </c>
      <c r="ALC21" s="9">
        <f>AKZ21+ALA21+ALB21</f>
        <v/>
      </c>
      <c r="ALD21" s="12">
        <f>SUM(ALC10:ALC21)</f>
        <v/>
      </c>
      <c r="ALE21" s="12">
        <f>OR(ALE20,IF(VATAgentMode,SUM($ALC10:$ALC21)-SUM($ALJ10:$ALJ21)&gt;=VATThreshold,SUM($ALC10:$ALC21)&gt;=VATThreshold))</f>
        <v/>
      </c>
      <c r="ALF21" s="9">
        <f>IF(ALE21,IF(VATAgentMode,ALC21-((ALC21-ALJ21)-(ALC21-ALJ21)/(1+VATRate)),ALC21/(1+VATRate)),ALC21)</f>
        <v/>
      </c>
      <c r="ALG21" s="12">
        <f>ALC21-ALF21</f>
        <v/>
      </c>
      <c r="ALH21" s="12">
        <f>IF(ALE21=0,0,IF(AJZ21=1,SUMPRODUCT(--(($AKA$5:$AKA21=$AKA21-1)*($AJZ$5:$AJZ21&gt;=10)*($AJZ$5:$AJZ21&lt;=12)),$ALG$5:$ALG21),IF(AJZ21=4,SUMPRODUCT(--(($AKA$5:$AKA21=$AKA21)*($AJZ$5:$AJZ21&gt;=1)*($AJZ$5:$AJZ21&lt;=3)),$ALG$5:$ALG21),IF(AJZ21=7,SUMPRODUCT(--(($AKA$5:$AKA21=$AKA21)*($AJZ$5:$AJZ21&gt;=4)*($AJZ$5:$AJZ21&lt;=6)),$ALG$5:$ALG21),IF(AJZ21=10,SUMPRODUCT(--(($AKA$5:$AKA21=$AKA21)*($AJZ$5:$AJZ21&gt;=7)*($AJZ$5:$AJZ21&lt;=9)),$ALG$5:$ALG21),0)))))</f>
        <v/>
      </c>
      <c r="ALI21" s="12">
        <f>ALI20+ALG21-ALH21</f>
        <v/>
      </c>
      <c r="ALJ21" s="12">
        <f>IF(ProviderDelay&gt;=1,AKQ20*BlendedProvPayEss+AKR20*BlendedProvPayPrem+AKS20*BlendedProvPayElite+AKT20*BlendedProvPayEss+AKU20*BlendedProvPayPrem+AKV20*BlendedProvPayElite,AKQ21*BlendedProvPayEss+AKR21*BlendedProvPayPrem+AKS21*BlendedProvPayElite+AKT21*BlendedProvPayEss+AKU21*BlendedProvPayPrem+AKV21*BlendedProvPayElite)</f>
        <v/>
      </c>
      <c r="ALK21" s="12">
        <f>ALC21*PaymentFee</f>
        <v/>
      </c>
      <c r="ALL21" s="12">
        <f>AKW21*OpsAI</f>
        <v/>
      </c>
      <c r="ALM21" s="12">
        <f>MonthlyFixed</f>
        <v/>
      </c>
      <c r="ALN21" s="12">
        <f>AKG21*ReferralReward</f>
        <v/>
      </c>
      <c r="ALO21" s="12">
        <f>AKE21</f>
        <v/>
      </c>
      <c r="ALP21" s="9">
        <f>ALF21-ALJ21-ALK21-ALL21-ALM21-ALN21-ALO21</f>
        <v/>
      </c>
      <c r="ALQ21" s="9">
        <f>ALQ20+ALC21-(ALJ21+ALK21+ALL21+ALM21+ALN21+ALO21+ALH21)</f>
        <v/>
      </c>
      <c r="ALR21" s="12">
        <f>IF(AKW21&gt;0,AKX21/AKW21,0)</f>
        <v/>
      </c>
      <c r="ALS21" s="11">
        <f>IF(AKW20&gt;0,MAX(0,(AKW20+AKH21-AKW21)/AKW20),0)</f>
        <v/>
      </c>
      <c r="ALU21" s="12" t="n">
        <v>17</v>
      </c>
      <c r="ALV21" s="12">
        <f>MOD(ALU21-1+LaunchMonth-1,12)+1</f>
        <v/>
      </c>
      <c r="ALW21" s="12">
        <f>INT((ALU21-1+LaunchMonth-1)/12)+1</f>
        <v/>
      </c>
      <c r="ALX21" s="12">
        <f>VLOOKUP(ALV21,SeasonTable,2,FALSE)</f>
        <v/>
      </c>
      <c r="ALY21" s="12">
        <f>(1+InflationRate)^INT((ALU21-1)/12)</f>
        <v/>
      </c>
      <c r="ALZ21" s="11">
        <f>MonthlyChurn*VLOOKUP(ALV21,ChurnSeasonTable,4,FALSE)</f>
        <v/>
      </c>
      <c r="AMA21" s="12">
        <f>MIN(MAX(MktMin13_18,AMY20*MktPct13_18),MAX(0,ANM20-CashBuffer))</f>
        <v/>
      </c>
      <c r="AMB21" s="12">
        <f>IF(AMA21&gt;0,MAX(1,ROUND(AMA21/'Sens - CAC &amp; Marketing'!$A$11*ALX21,0)),0)</f>
        <v/>
      </c>
      <c r="AMC21" s="12">
        <f>IF(AMB21&gt;0,ROUND(AMB21*ReferralMix/(1-ReferralMix),0),0)</f>
        <v/>
      </c>
      <c r="AMD21" s="12">
        <f>AMB21+AMC21</f>
        <v/>
      </c>
      <c r="AME21" s="12">
        <f>ROUND(AMD21*(1-AnnualMix),0)</f>
        <v/>
      </c>
      <c r="AMF21" s="12">
        <f>AMD21-AME21</f>
        <v/>
      </c>
      <c r="AMG21" s="12">
        <f>ROUND(AME21*EssentialMix,0)</f>
        <v/>
      </c>
      <c r="AMH21" s="12">
        <f>ROUND(AME21*PremiumMix,0)</f>
        <v/>
      </c>
      <c r="AMI21" s="12">
        <f>AME21-AMG21-AMH21</f>
        <v/>
      </c>
      <c r="AMJ21" s="12">
        <f>ROUND(AMF21*EssentialMix,0)</f>
        <v/>
      </c>
      <c r="AMK21" s="12">
        <f>ROUND(AMF21*PremiumMix,0)</f>
        <v/>
      </c>
      <c r="AML21" s="12">
        <f>AMF21-AMJ21-AMK21</f>
        <v/>
      </c>
      <c r="AMM21" s="12">
        <f>AMG21+AMG20+AMG19+MAX(0,AMM20-AMG20-AMG19)*(1-ALZ21)</f>
        <v/>
      </c>
      <c r="AMN21" s="12">
        <f>AMH21+AMH20+AMH19+MAX(0,AMN20-AMH20-AMH19)*(1-ALZ21)</f>
        <v/>
      </c>
      <c r="AMO21" s="12">
        <f>AMI21+AMI20+AMI19+MAX(0,AMO20-AMI20-AMI19)*(1-ALZ21)</f>
        <v/>
      </c>
      <c r="AMP21" s="12">
        <f>AMP20+AMJ21-AMJ9*(AnnualChurn*VLOOKUP(ALV21,ChurnSeasonTable,4,FALSE))*POWER(1-(AnnualChurn*VLOOKUP(ALV21,ChurnSeasonTable,4,FALSE)),0)</f>
        <v/>
      </c>
      <c r="AMQ21" s="12">
        <f>AMQ20+AMK21-AMK9*(AnnualChurn*VLOOKUP(ALV21,ChurnSeasonTable,4,FALSE))*POWER(1-(AnnualChurn*VLOOKUP(ALV21,ChurnSeasonTable,4,FALSE)),0)</f>
        <v/>
      </c>
      <c r="AMR21" s="12">
        <f>AMR20+AML21-AML9*(AnnualChurn*VLOOKUP(ALV21,ChurnSeasonTable,4,FALSE))*POWER(1-(AnnualChurn*VLOOKUP(ALV21,ChurnSeasonTable,4,FALSE)),0)</f>
        <v/>
      </c>
      <c r="AMS21" s="12">
        <f>AMM21+AMN21+AMO21+AMP21+AMQ21+AMR21</f>
        <v/>
      </c>
      <c r="AMT21" s="9">
        <f>AMM21*BlendedPriceEssMonthly*ALY21+AMN21*BlendedPricePremMonthly*ALY21+AMO21*BlendedPriceEliteMonthly*ALY21+AMP21*BlendedPriceEssAnnual*ALY21/12+AMQ21*BlendedPricePremAnnual*ALY21/12+AMR21*BlendedPriceEliteAnnual*ALY21/12</f>
        <v/>
      </c>
      <c r="AMU21" s="9">
        <f>AMT21*12</f>
        <v/>
      </c>
      <c r="AMV21" s="12">
        <f>AMM21*BlendedPriceEssMonthly*ALY21+AMN21*BlendedPricePremMonthly*ALY21+AMO21*BlendedPriceEliteMonthly*ALY21</f>
        <v/>
      </c>
      <c r="AMW21" s="12">
        <f>AMJ21*BlendedPriceEssAnnual*ALY21+AMK21*BlendedPricePremAnnual*ALY21+AML21*BlendedPriceEliteAnnual*ALY21</f>
        <v/>
      </c>
      <c r="AMX21" s="12">
        <f>AMJ9*POWER(1-(AnnualChurn*VLOOKUP(ALV21,ChurnSeasonTable,4,FALSE)),1)*BlendedPriceEssAnnual*ALY21+AMK9*POWER(1-(AnnualChurn*VLOOKUP(ALV21,ChurnSeasonTable,4,FALSE)),1)*BlendedPricePremAnnual*ALY21+AML9*POWER(1-(AnnualChurn*VLOOKUP(ALV21,ChurnSeasonTable,4,FALSE)),1)*BlendedPriceEliteAnnual*ALY21</f>
        <v/>
      </c>
      <c r="AMY21" s="9">
        <f>AMV21+AMW21+AMX21</f>
        <v/>
      </c>
      <c r="AMZ21" s="12">
        <f>SUM(AMY10:AMY21)</f>
        <v/>
      </c>
      <c r="ANA21" s="12">
        <f>OR(ANA20,IF(VATAgentMode,SUM($AMY10:$AMY21)-SUM($ANF10:$ANF21)&gt;=VATThreshold,SUM($AMY10:$AMY21)&gt;=VATThreshold))</f>
        <v/>
      </c>
      <c r="ANB21" s="9">
        <f>IF(ANA21,IF(VATAgentMode,AMY21-((AMY21-ANF21)-(AMY21-ANF21)/(1+VATRate)),AMY21/(1+VATRate)),AMY21)</f>
        <v/>
      </c>
      <c r="ANC21" s="12">
        <f>AMY21-ANB21</f>
        <v/>
      </c>
      <c r="AND21" s="12">
        <f>IF(ANA21=0,0,IF(ALV21=1,SUMPRODUCT(--(($ALW$5:$ALW21=$ALW21-1)*($ALV$5:$ALV21&gt;=10)*($ALV$5:$ALV21&lt;=12)),$ANC$5:$ANC21),IF(ALV21=4,SUMPRODUCT(--(($ALW$5:$ALW21=$ALW21)*($ALV$5:$ALV21&gt;=1)*($ALV$5:$ALV21&lt;=3)),$ANC$5:$ANC21),IF(ALV21=7,SUMPRODUCT(--(($ALW$5:$ALW21=$ALW21)*($ALV$5:$ALV21&gt;=4)*($ALV$5:$ALV21&lt;=6)),$ANC$5:$ANC21),IF(ALV21=10,SUMPRODUCT(--(($ALW$5:$ALW21=$ALW21)*($ALV$5:$ALV21&gt;=7)*($ALV$5:$ALV21&lt;=9)),$ANC$5:$ANC21),0)))))</f>
        <v/>
      </c>
      <c r="ANE21" s="12">
        <f>ANE20+ANC21-AND21</f>
        <v/>
      </c>
      <c r="ANF21" s="12">
        <f>IF(ProviderDelay&gt;=1,AMM20*BlendedProvPayEss+AMN20*BlendedProvPayPrem+AMO20*BlendedProvPayElite+AMP20*BlendedProvPayEss+AMQ20*BlendedProvPayPrem+AMR20*BlendedProvPayElite,AMM21*BlendedProvPayEss+AMN21*BlendedProvPayPrem+AMO21*BlendedProvPayElite+AMP21*BlendedProvPayEss+AMQ21*BlendedProvPayPrem+AMR21*BlendedProvPayElite)</f>
        <v/>
      </c>
      <c r="ANG21" s="12">
        <f>AMY21*PaymentFee</f>
        <v/>
      </c>
      <c r="ANH21" s="12">
        <f>AMS21*OpsAI</f>
        <v/>
      </c>
      <c r="ANI21" s="12">
        <f>MonthlyFixed</f>
        <v/>
      </c>
      <c r="ANJ21" s="12">
        <f>AMC21*ReferralReward</f>
        <v/>
      </c>
      <c r="ANK21" s="12">
        <f>AMA21</f>
        <v/>
      </c>
      <c r="ANL21" s="9">
        <f>ANB21-ANF21-ANG21-ANH21-ANI21-ANJ21-ANK21</f>
        <v/>
      </c>
      <c r="ANM21" s="9">
        <f>ANM20+AMY21-(ANF21+ANG21+ANH21+ANI21+ANJ21+ANK21+AND21)</f>
        <v/>
      </c>
      <c r="ANN21" s="12">
        <f>IF(AMS21&gt;0,AMT21/AMS21,0)</f>
        <v/>
      </c>
      <c r="ANO21" s="11">
        <f>IF(AMS20&gt;0,MAX(0,(AMS20+AMD21-AMS21)/AMS20),0)</f>
        <v/>
      </c>
      <c r="ANQ21" s="12" t="n">
        <v>17</v>
      </c>
      <c r="ANR21" s="12">
        <f>MOD(ANQ21-1+LaunchMonth-1,12)+1</f>
        <v/>
      </c>
      <c r="ANS21" s="12">
        <f>INT((ANQ21-1+LaunchMonth-1)/12)+1</f>
        <v/>
      </c>
      <c r="ANT21" s="12">
        <f>VLOOKUP(ANR21,SeasonTable,2,FALSE)</f>
        <v/>
      </c>
      <c r="ANU21" s="12">
        <f>(1+InflationRate)^INT((ANQ21-1)/12)</f>
        <v/>
      </c>
      <c r="ANV21" s="11">
        <f>MonthlyChurn*VLOOKUP(ANR21,ChurnSeasonTable,4,FALSE)</f>
        <v/>
      </c>
      <c r="ANW21" s="12">
        <f>MIN(MAX(MktMin13_18,AOU20*MktPct13_18),MAX(0,API20-CashBuffer))</f>
        <v/>
      </c>
      <c r="ANX21" s="12">
        <f>IF(ANW21&gt;0,MAX(1,ROUND(ANW21/'Sens - CAC &amp; Marketing'!$A$12*ANT21,0)),0)</f>
        <v/>
      </c>
      <c r="ANY21" s="12">
        <f>IF(ANX21&gt;0,ROUND(ANX21*ReferralMix/(1-ReferralMix),0),0)</f>
        <v/>
      </c>
      <c r="ANZ21" s="12">
        <f>ANX21+ANY21</f>
        <v/>
      </c>
      <c r="AOA21" s="12">
        <f>ROUND(ANZ21*(1-AnnualMix),0)</f>
        <v/>
      </c>
      <c r="AOB21" s="12">
        <f>ANZ21-AOA21</f>
        <v/>
      </c>
      <c r="AOC21" s="12">
        <f>ROUND(AOA21*EssentialMix,0)</f>
        <v/>
      </c>
      <c r="AOD21" s="12">
        <f>ROUND(AOA21*PremiumMix,0)</f>
        <v/>
      </c>
      <c r="AOE21" s="12">
        <f>AOA21-AOC21-AOD21</f>
        <v/>
      </c>
      <c r="AOF21" s="12">
        <f>ROUND(AOB21*EssentialMix,0)</f>
        <v/>
      </c>
      <c r="AOG21" s="12">
        <f>ROUND(AOB21*PremiumMix,0)</f>
        <v/>
      </c>
      <c r="AOH21" s="12">
        <f>AOB21-AOF21-AOG21</f>
        <v/>
      </c>
      <c r="AOI21" s="12">
        <f>AOC21+AOC20+AOC19+MAX(0,AOI20-AOC20-AOC19)*(1-ANV21)</f>
        <v/>
      </c>
      <c r="AOJ21" s="12">
        <f>AOD21+AOD20+AOD19+MAX(0,AOJ20-AOD20-AOD19)*(1-ANV21)</f>
        <v/>
      </c>
      <c r="AOK21" s="12">
        <f>AOE21+AOE20+AOE19+MAX(0,AOK20-AOE20-AOE19)*(1-ANV21)</f>
        <v/>
      </c>
      <c r="AOL21" s="12">
        <f>AOL20+AOF21-AOF9*(AnnualChurn*VLOOKUP(ANR21,ChurnSeasonTable,4,FALSE))*POWER(1-(AnnualChurn*VLOOKUP(ANR21,ChurnSeasonTable,4,FALSE)),0)</f>
        <v/>
      </c>
      <c r="AOM21" s="12">
        <f>AOM20+AOG21-AOG9*(AnnualChurn*VLOOKUP(ANR21,ChurnSeasonTable,4,FALSE))*POWER(1-(AnnualChurn*VLOOKUP(ANR21,ChurnSeasonTable,4,FALSE)),0)</f>
        <v/>
      </c>
      <c r="AON21" s="12">
        <f>AON20+AOH21-AOH9*(AnnualChurn*VLOOKUP(ANR21,ChurnSeasonTable,4,FALSE))*POWER(1-(AnnualChurn*VLOOKUP(ANR21,ChurnSeasonTable,4,FALSE)),0)</f>
        <v/>
      </c>
      <c r="AOO21" s="12">
        <f>AOI21+AOJ21+AOK21+AOL21+AOM21+AON21</f>
        <v/>
      </c>
      <c r="AOP21" s="9">
        <f>AOI21*BlendedPriceEssMonthly*ANU21+AOJ21*BlendedPricePremMonthly*ANU21+AOK21*BlendedPriceEliteMonthly*ANU21+AOL21*BlendedPriceEssAnnual*ANU21/12+AOM21*BlendedPricePremAnnual*ANU21/12+AON21*BlendedPriceEliteAnnual*ANU21/12</f>
        <v/>
      </c>
      <c r="AOQ21" s="9">
        <f>AOP21*12</f>
        <v/>
      </c>
      <c r="AOR21" s="12">
        <f>AOI21*BlendedPriceEssMonthly*ANU21+AOJ21*BlendedPricePremMonthly*ANU21+AOK21*BlendedPriceEliteMonthly*ANU21</f>
        <v/>
      </c>
      <c r="AOS21" s="12">
        <f>AOF21*BlendedPriceEssAnnual*ANU21+AOG21*BlendedPricePremAnnual*ANU21+AOH21*BlendedPriceEliteAnnual*ANU21</f>
        <v/>
      </c>
      <c r="AOT21" s="12">
        <f>AOF9*POWER(1-(AnnualChurn*VLOOKUP(ANR21,ChurnSeasonTable,4,FALSE)),1)*BlendedPriceEssAnnual*ANU21+AOG9*POWER(1-(AnnualChurn*VLOOKUP(ANR21,ChurnSeasonTable,4,FALSE)),1)*BlendedPricePremAnnual*ANU21+AOH9*POWER(1-(AnnualChurn*VLOOKUP(ANR21,ChurnSeasonTable,4,FALSE)),1)*BlendedPriceEliteAnnual*ANU21</f>
        <v/>
      </c>
      <c r="AOU21" s="9">
        <f>AOR21+AOS21+AOT21</f>
        <v/>
      </c>
      <c r="AOV21" s="12">
        <f>SUM(AOU10:AOU21)</f>
        <v/>
      </c>
      <c r="AOW21" s="12">
        <f>OR(AOW20,IF(VATAgentMode,SUM($AOU10:$AOU21)-SUM($APB10:$APB21)&gt;=VATThreshold,SUM($AOU10:$AOU21)&gt;=VATThreshold))</f>
        <v/>
      </c>
      <c r="AOX21" s="9">
        <f>IF(AOW21,IF(VATAgentMode,AOU21-((AOU21-APB21)-(AOU21-APB21)/(1+VATRate)),AOU21/(1+VATRate)),AOU21)</f>
        <v/>
      </c>
      <c r="AOY21" s="12">
        <f>AOU21-AOX21</f>
        <v/>
      </c>
      <c r="AOZ21" s="12">
        <f>IF(AOW21=0,0,IF(ANR21=1,SUMPRODUCT(--(($ANS$5:$ANS21=$ANS21-1)*($ANR$5:$ANR21&gt;=10)*($ANR$5:$ANR21&lt;=12)),$AOY$5:$AOY21),IF(ANR21=4,SUMPRODUCT(--(($ANS$5:$ANS21=$ANS21)*($ANR$5:$ANR21&gt;=1)*($ANR$5:$ANR21&lt;=3)),$AOY$5:$AOY21),IF(ANR21=7,SUMPRODUCT(--(($ANS$5:$ANS21=$ANS21)*($ANR$5:$ANR21&gt;=4)*($ANR$5:$ANR21&lt;=6)),$AOY$5:$AOY21),IF(ANR21=10,SUMPRODUCT(--(($ANS$5:$ANS21=$ANS21)*($ANR$5:$ANR21&gt;=7)*($ANR$5:$ANR21&lt;=9)),$AOY$5:$AOY21),0)))))</f>
        <v/>
      </c>
      <c r="APA21" s="12">
        <f>APA20+AOY21-AOZ21</f>
        <v/>
      </c>
      <c r="APB21" s="12">
        <f>IF(ProviderDelay&gt;=1,AOI20*BlendedProvPayEss+AOJ20*BlendedProvPayPrem+AOK20*BlendedProvPayElite+AOL20*BlendedProvPayEss+AOM20*BlendedProvPayPrem+AON20*BlendedProvPayElite,AOI21*BlendedProvPayEss+AOJ21*BlendedProvPayPrem+AOK21*BlendedProvPayElite+AOL21*BlendedProvPayEss+AOM21*BlendedProvPayPrem+AON21*BlendedProvPayElite)</f>
        <v/>
      </c>
      <c r="APC21" s="12">
        <f>AOU21*PaymentFee</f>
        <v/>
      </c>
      <c r="APD21" s="12">
        <f>AOO21*OpsAI</f>
        <v/>
      </c>
      <c r="APE21" s="12">
        <f>MonthlyFixed</f>
        <v/>
      </c>
      <c r="APF21" s="12">
        <f>ANY21*ReferralReward</f>
        <v/>
      </c>
      <c r="APG21" s="12">
        <f>ANW21</f>
        <v/>
      </c>
      <c r="APH21" s="9">
        <f>AOX21-APB21-APC21-APD21-APE21-APF21-APG21</f>
        <v/>
      </c>
      <c r="API21" s="9">
        <f>API20+AOU21-(APB21+APC21+APD21+APE21+APF21+APG21+AOZ21)</f>
        <v/>
      </c>
      <c r="APJ21" s="12">
        <f>IF(AOO21&gt;0,AOP21/AOO21,0)</f>
        <v/>
      </c>
      <c r="APK21" s="11">
        <f>IF(AOO20&gt;0,MAX(0,(AOO20+ANZ21-AOO21)/AOO20),0)</f>
        <v/>
      </c>
      <c r="APM21" s="12" t="n">
        <v>17</v>
      </c>
      <c r="APN21" s="12">
        <f>MOD(APM21-1+LaunchMonth-1,12)+1</f>
        <v/>
      </c>
      <c r="APO21" s="12">
        <f>INT((APM21-1+LaunchMonth-1)/12)+1</f>
        <v/>
      </c>
      <c r="APP21" s="12">
        <f>VLOOKUP(APN21,SeasonTable,2,FALSE)</f>
        <v/>
      </c>
      <c r="APQ21" s="12">
        <f>(1+InflationRate)^INT((APM21-1)/12)</f>
        <v/>
      </c>
      <c r="APR21" s="11">
        <f>MonthlyChurn*VLOOKUP(APN21,ChurnSeasonTable,4,FALSE)</f>
        <v/>
      </c>
      <c r="APS21" s="12">
        <f>MIN(MAX(MktMin13_18,AQQ20*MktPct13_18),MAX(0,ARE20-CashBuffer))</f>
        <v/>
      </c>
      <c r="APT21" s="12">
        <f>IF(APS21&gt;0,MAX(1,ROUND(APS21/'Sens - CAC &amp; Marketing'!$A$13*APP21,0)),0)</f>
        <v/>
      </c>
      <c r="APU21" s="12">
        <f>IF(APT21&gt;0,ROUND(APT21*ReferralMix/(1-ReferralMix),0),0)</f>
        <v/>
      </c>
      <c r="APV21" s="12">
        <f>APT21+APU21</f>
        <v/>
      </c>
      <c r="APW21" s="12">
        <f>ROUND(APV21*(1-AnnualMix),0)</f>
        <v/>
      </c>
      <c r="APX21" s="12">
        <f>APV21-APW21</f>
        <v/>
      </c>
      <c r="APY21" s="12">
        <f>ROUND(APW21*EssentialMix,0)</f>
        <v/>
      </c>
      <c r="APZ21" s="12">
        <f>ROUND(APW21*PremiumMix,0)</f>
        <v/>
      </c>
      <c r="AQA21" s="12">
        <f>APW21-APY21-APZ21</f>
        <v/>
      </c>
      <c r="AQB21" s="12">
        <f>ROUND(APX21*EssentialMix,0)</f>
        <v/>
      </c>
      <c r="AQC21" s="12">
        <f>ROUND(APX21*PremiumMix,0)</f>
        <v/>
      </c>
      <c r="AQD21" s="12">
        <f>APX21-AQB21-AQC21</f>
        <v/>
      </c>
      <c r="AQE21" s="12">
        <f>APY21+APY20+APY19+MAX(0,AQE20-APY20-APY19)*(1-APR21)</f>
        <v/>
      </c>
      <c r="AQF21" s="12">
        <f>APZ21+APZ20+APZ19+MAX(0,AQF20-APZ20-APZ19)*(1-APR21)</f>
        <v/>
      </c>
      <c r="AQG21" s="12">
        <f>AQA21+AQA20+AQA19+MAX(0,AQG20-AQA20-AQA19)*(1-APR21)</f>
        <v/>
      </c>
      <c r="AQH21" s="12">
        <f>AQH20+AQB21-AQB9*(AnnualChurn*VLOOKUP(APN21,ChurnSeasonTable,4,FALSE))*POWER(1-(AnnualChurn*VLOOKUP(APN21,ChurnSeasonTable,4,FALSE)),0)</f>
        <v/>
      </c>
      <c r="AQI21" s="12">
        <f>AQI20+AQC21-AQC9*(AnnualChurn*VLOOKUP(APN21,ChurnSeasonTable,4,FALSE))*POWER(1-(AnnualChurn*VLOOKUP(APN21,ChurnSeasonTable,4,FALSE)),0)</f>
        <v/>
      </c>
      <c r="AQJ21" s="12">
        <f>AQJ20+AQD21-AQD9*(AnnualChurn*VLOOKUP(APN21,ChurnSeasonTable,4,FALSE))*POWER(1-(AnnualChurn*VLOOKUP(APN21,ChurnSeasonTable,4,FALSE)),0)</f>
        <v/>
      </c>
      <c r="AQK21" s="12">
        <f>AQE21+AQF21+AQG21+AQH21+AQI21+AQJ21</f>
        <v/>
      </c>
      <c r="AQL21" s="9">
        <f>AQE21*BlendedPriceEssMonthly*APQ21+AQF21*BlendedPricePremMonthly*APQ21+AQG21*BlendedPriceEliteMonthly*APQ21+AQH21*BlendedPriceEssAnnual*APQ21/12+AQI21*BlendedPricePremAnnual*APQ21/12+AQJ21*BlendedPriceEliteAnnual*APQ21/12</f>
        <v/>
      </c>
      <c r="AQM21" s="9">
        <f>AQL21*12</f>
        <v/>
      </c>
      <c r="AQN21" s="12">
        <f>AQE21*BlendedPriceEssMonthly*APQ21+AQF21*BlendedPricePremMonthly*APQ21+AQG21*BlendedPriceEliteMonthly*APQ21</f>
        <v/>
      </c>
      <c r="AQO21" s="12">
        <f>AQB21*BlendedPriceEssAnnual*APQ21+AQC21*BlendedPricePremAnnual*APQ21+AQD21*BlendedPriceEliteAnnual*APQ21</f>
        <v/>
      </c>
      <c r="AQP21" s="12">
        <f>AQB9*POWER(1-(AnnualChurn*VLOOKUP(APN21,ChurnSeasonTable,4,FALSE)),1)*BlendedPriceEssAnnual*APQ21+AQC9*POWER(1-(AnnualChurn*VLOOKUP(APN21,ChurnSeasonTable,4,FALSE)),1)*BlendedPricePremAnnual*APQ21+AQD9*POWER(1-(AnnualChurn*VLOOKUP(APN21,ChurnSeasonTable,4,FALSE)),1)*BlendedPriceEliteAnnual*APQ21</f>
        <v/>
      </c>
      <c r="AQQ21" s="9">
        <f>AQN21+AQO21+AQP21</f>
        <v/>
      </c>
      <c r="AQR21" s="12">
        <f>SUM(AQQ10:AQQ21)</f>
        <v/>
      </c>
      <c r="AQS21" s="12">
        <f>OR(AQS20,IF(VATAgentMode,SUM($AQQ10:$AQQ21)-SUM($AQX10:$AQX21)&gt;=VATThreshold,SUM($AQQ10:$AQQ21)&gt;=VATThreshold))</f>
        <v/>
      </c>
      <c r="AQT21" s="9">
        <f>IF(AQS21,IF(VATAgentMode,AQQ21-((AQQ21-AQX21)-(AQQ21-AQX21)/(1+VATRate)),AQQ21/(1+VATRate)),AQQ21)</f>
        <v/>
      </c>
      <c r="AQU21" s="12">
        <f>AQQ21-AQT21</f>
        <v/>
      </c>
      <c r="AQV21" s="12">
        <f>IF(AQS21=0,0,IF(APN21=1,SUMPRODUCT(--(($APO$5:$APO21=$APO21-1)*($APN$5:$APN21&gt;=10)*($APN$5:$APN21&lt;=12)),$AQU$5:$AQU21),IF(APN21=4,SUMPRODUCT(--(($APO$5:$APO21=$APO21)*($APN$5:$APN21&gt;=1)*($APN$5:$APN21&lt;=3)),$AQU$5:$AQU21),IF(APN21=7,SUMPRODUCT(--(($APO$5:$APO21=$APO21)*($APN$5:$APN21&gt;=4)*($APN$5:$APN21&lt;=6)),$AQU$5:$AQU21),IF(APN21=10,SUMPRODUCT(--(($APO$5:$APO21=$APO21)*($APN$5:$APN21&gt;=7)*($APN$5:$APN21&lt;=9)),$AQU$5:$AQU21),0)))))</f>
        <v/>
      </c>
      <c r="AQW21" s="12">
        <f>AQW20+AQU21-AQV21</f>
        <v/>
      </c>
      <c r="AQX21" s="12">
        <f>IF(ProviderDelay&gt;=1,AQE20*BlendedProvPayEss+AQF20*BlendedProvPayPrem+AQG20*BlendedProvPayElite+AQH20*BlendedProvPayEss+AQI20*BlendedProvPayPrem+AQJ20*BlendedProvPayElite,AQE21*BlendedProvPayEss+AQF21*BlendedProvPayPrem+AQG21*BlendedProvPayElite+AQH21*BlendedProvPayEss+AQI21*BlendedProvPayPrem+AQJ21*BlendedProvPayElite)</f>
        <v/>
      </c>
      <c r="AQY21" s="12">
        <f>AQQ21*PaymentFee</f>
        <v/>
      </c>
      <c r="AQZ21" s="12">
        <f>AQK21*OpsAI</f>
        <v/>
      </c>
      <c r="ARA21" s="12">
        <f>MonthlyFixed</f>
        <v/>
      </c>
      <c r="ARB21" s="12">
        <f>APU21*ReferralReward</f>
        <v/>
      </c>
      <c r="ARC21" s="12">
        <f>APS21</f>
        <v/>
      </c>
      <c r="ARD21" s="9">
        <f>AQT21-AQX21-AQY21-AQZ21-ARA21-ARB21-ARC21</f>
        <v/>
      </c>
      <c r="ARE21" s="9">
        <f>ARE20+AQQ21-(AQX21+AQY21+AQZ21+ARA21+ARB21+ARC21+AQV21)</f>
        <v/>
      </c>
      <c r="ARF21" s="12">
        <f>IF(AQK21&gt;0,AQL21/AQK21,0)</f>
        <v/>
      </c>
      <c r="ARG21" s="11">
        <f>IF(AQK20&gt;0,MAX(0,(AQK20+APV21-AQK21)/AQK20),0)</f>
        <v/>
      </c>
      <c r="ARI21" s="12" t="n">
        <v>17</v>
      </c>
      <c r="ARJ21" s="12">
        <f>MOD(ARI21-1+LaunchMonth-1,12)+1</f>
        <v/>
      </c>
      <c r="ARK21" s="12">
        <f>INT((ARI21-1+LaunchMonth-1)/12)+1</f>
        <v/>
      </c>
      <c r="ARL21" s="12">
        <f>VLOOKUP(ARJ21,SeasonTable,2,FALSE)</f>
        <v/>
      </c>
      <c r="ARM21" s="12">
        <f>(1+InflationRate)^INT((ARI21-1)/12)</f>
        <v/>
      </c>
      <c r="ARN21" s="11">
        <f>MonthlyChurn*VLOOKUP(ARJ21,ChurnSeasonTable,4,FALSE)</f>
        <v/>
      </c>
      <c r="ARO21" s="12">
        <f>MIN(MAX(MktMin13_18,ASM20*MktPct13_18),MAX(0,ATA20-CashBuffer))</f>
        <v/>
      </c>
      <c r="ARP21" s="12">
        <f>IF(ARO21&gt;0,MAX(1,ROUND(ARO21/'Sens - CAC &amp; Marketing'!$A$14*ARL21,0)),0)</f>
        <v/>
      </c>
      <c r="ARQ21" s="12">
        <f>IF(ARP21&gt;0,ROUND(ARP21*ReferralMix/(1-ReferralMix),0),0)</f>
        <v/>
      </c>
      <c r="ARR21" s="12">
        <f>ARP21+ARQ21</f>
        <v/>
      </c>
      <c r="ARS21" s="12">
        <f>ROUND(ARR21*(1-AnnualMix),0)</f>
        <v/>
      </c>
      <c r="ART21" s="12">
        <f>ARR21-ARS21</f>
        <v/>
      </c>
      <c r="ARU21" s="12">
        <f>ROUND(ARS21*EssentialMix,0)</f>
        <v/>
      </c>
      <c r="ARV21" s="12">
        <f>ROUND(ARS21*PremiumMix,0)</f>
        <v/>
      </c>
      <c r="ARW21" s="12">
        <f>ARS21-ARU21-ARV21</f>
        <v/>
      </c>
      <c r="ARX21" s="12">
        <f>ROUND(ART21*EssentialMix,0)</f>
        <v/>
      </c>
      <c r="ARY21" s="12">
        <f>ROUND(ART21*PremiumMix,0)</f>
        <v/>
      </c>
      <c r="ARZ21" s="12">
        <f>ART21-ARX21-ARY21</f>
        <v/>
      </c>
      <c r="ASA21" s="12">
        <f>ARU21+ARU20+ARU19+MAX(0,ASA20-ARU20-ARU19)*(1-ARN21)</f>
        <v/>
      </c>
      <c r="ASB21" s="12">
        <f>ARV21+ARV20+ARV19+MAX(0,ASB20-ARV20-ARV19)*(1-ARN21)</f>
        <v/>
      </c>
      <c r="ASC21" s="12">
        <f>ARW21+ARW20+ARW19+MAX(0,ASC20-ARW20-ARW19)*(1-ARN21)</f>
        <v/>
      </c>
      <c r="ASD21" s="12">
        <f>ASD20+ARX21-ARX9*(AnnualChurn*VLOOKUP(ARJ21,ChurnSeasonTable,4,FALSE))*POWER(1-(AnnualChurn*VLOOKUP(ARJ21,ChurnSeasonTable,4,FALSE)),0)</f>
        <v/>
      </c>
      <c r="ASE21" s="12">
        <f>ASE20+ARY21-ARY9*(AnnualChurn*VLOOKUP(ARJ21,ChurnSeasonTable,4,FALSE))*POWER(1-(AnnualChurn*VLOOKUP(ARJ21,ChurnSeasonTable,4,FALSE)),0)</f>
        <v/>
      </c>
      <c r="ASF21" s="12">
        <f>ASF20+ARZ21-ARZ9*(AnnualChurn*VLOOKUP(ARJ21,ChurnSeasonTable,4,FALSE))*POWER(1-(AnnualChurn*VLOOKUP(ARJ21,ChurnSeasonTable,4,FALSE)),0)</f>
        <v/>
      </c>
      <c r="ASG21" s="12">
        <f>ASA21+ASB21+ASC21+ASD21+ASE21+ASF21</f>
        <v/>
      </c>
      <c r="ASH21" s="9">
        <f>ASA21*BlendedPriceEssMonthly*ARM21+ASB21*BlendedPricePremMonthly*ARM21+ASC21*BlendedPriceEliteMonthly*ARM21+ASD21*BlendedPriceEssAnnual*ARM21/12+ASE21*BlendedPricePremAnnual*ARM21/12+ASF21*BlendedPriceEliteAnnual*ARM21/12</f>
        <v/>
      </c>
      <c r="ASI21" s="9">
        <f>ASH21*12</f>
        <v/>
      </c>
      <c r="ASJ21" s="12">
        <f>ASA21*BlendedPriceEssMonthly*ARM21+ASB21*BlendedPricePremMonthly*ARM21+ASC21*BlendedPriceEliteMonthly*ARM21</f>
        <v/>
      </c>
      <c r="ASK21" s="12">
        <f>ARX21*BlendedPriceEssAnnual*ARM21+ARY21*BlendedPricePremAnnual*ARM21+ARZ21*BlendedPriceEliteAnnual*ARM21</f>
        <v/>
      </c>
      <c r="ASL21" s="12">
        <f>ARX9*POWER(1-(AnnualChurn*VLOOKUP(ARJ21,ChurnSeasonTable,4,FALSE)),1)*BlendedPriceEssAnnual*ARM21+ARY9*POWER(1-(AnnualChurn*VLOOKUP(ARJ21,ChurnSeasonTable,4,FALSE)),1)*BlendedPricePremAnnual*ARM21+ARZ9*POWER(1-(AnnualChurn*VLOOKUP(ARJ21,ChurnSeasonTable,4,FALSE)),1)*BlendedPriceEliteAnnual*ARM21</f>
        <v/>
      </c>
      <c r="ASM21" s="9">
        <f>ASJ21+ASK21+ASL21</f>
        <v/>
      </c>
      <c r="ASN21" s="12">
        <f>SUM(ASM10:ASM21)</f>
        <v/>
      </c>
      <c r="ASO21" s="12">
        <f>OR(ASO20,IF(VATAgentMode,SUM($ASM10:$ASM21)-SUM($AST10:$AST21)&gt;=VATThreshold,SUM($ASM10:$ASM21)&gt;=VATThreshold))</f>
        <v/>
      </c>
      <c r="ASP21" s="9">
        <f>IF(ASO21,IF(VATAgentMode,ASM21-((ASM21-AST21)-(ASM21-AST21)/(1+VATRate)),ASM21/(1+VATRate)),ASM21)</f>
        <v/>
      </c>
      <c r="ASQ21" s="12">
        <f>ASM21-ASP21</f>
        <v/>
      </c>
      <c r="ASR21" s="12">
        <f>IF(ASO21=0,0,IF(ARJ21=1,SUMPRODUCT(--(($ARK$5:$ARK21=$ARK21-1)*($ARJ$5:$ARJ21&gt;=10)*($ARJ$5:$ARJ21&lt;=12)),$ASQ$5:$ASQ21),IF(ARJ21=4,SUMPRODUCT(--(($ARK$5:$ARK21=$ARK21)*($ARJ$5:$ARJ21&gt;=1)*($ARJ$5:$ARJ21&lt;=3)),$ASQ$5:$ASQ21),IF(ARJ21=7,SUMPRODUCT(--(($ARK$5:$ARK21=$ARK21)*($ARJ$5:$ARJ21&gt;=4)*($ARJ$5:$ARJ21&lt;=6)),$ASQ$5:$ASQ21),IF(ARJ21=10,SUMPRODUCT(--(($ARK$5:$ARK21=$ARK21)*($ARJ$5:$ARJ21&gt;=7)*($ARJ$5:$ARJ21&lt;=9)),$ASQ$5:$ASQ21),0)))))</f>
        <v/>
      </c>
      <c r="ASS21" s="12">
        <f>ASS20+ASQ21-ASR21</f>
        <v/>
      </c>
      <c r="AST21" s="12">
        <f>IF(ProviderDelay&gt;=1,ASA20*BlendedProvPayEss+ASB20*BlendedProvPayPrem+ASC20*BlendedProvPayElite+ASD20*BlendedProvPayEss+ASE20*BlendedProvPayPrem+ASF20*BlendedProvPayElite,ASA21*BlendedProvPayEss+ASB21*BlendedProvPayPrem+ASC21*BlendedProvPayElite+ASD21*BlendedProvPayEss+ASE21*BlendedProvPayPrem+ASF21*BlendedProvPayElite)</f>
        <v/>
      </c>
      <c r="ASU21" s="12">
        <f>ASM21*PaymentFee</f>
        <v/>
      </c>
      <c r="ASV21" s="12">
        <f>ASG21*OpsAI</f>
        <v/>
      </c>
      <c r="ASW21" s="12">
        <f>MonthlyFixed</f>
        <v/>
      </c>
      <c r="ASX21" s="12">
        <f>ARQ21*ReferralReward</f>
        <v/>
      </c>
      <c r="ASY21" s="12">
        <f>ARO21</f>
        <v/>
      </c>
      <c r="ASZ21" s="9">
        <f>ASP21-AST21-ASU21-ASV21-ASW21-ASX21-ASY21</f>
        <v/>
      </c>
      <c r="ATA21" s="9">
        <f>ATA20+ASM21-(AST21+ASU21+ASV21+ASW21+ASX21+ASY21+ASR21)</f>
        <v/>
      </c>
      <c r="ATB21" s="12">
        <f>IF(ASG21&gt;0,ASH21/ASG21,0)</f>
        <v/>
      </c>
      <c r="ATC21" s="11">
        <f>IF(ASG20&gt;0,MAX(0,(ASG20+ARR21-ASG21)/ASG20),0)</f>
        <v/>
      </c>
      <c r="ATE21" s="12" t="n">
        <v>17</v>
      </c>
      <c r="ATF21" s="12">
        <f>MOD(ATE21-1+LaunchMonth-1,12)+1</f>
        <v/>
      </c>
      <c r="ATG21" s="12">
        <f>INT((ATE21-1+LaunchMonth-1)/12)+1</f>
        <v/>
      </c>
      <c r="ATH21" s="12">
        <f>VLOOKUP(ATF21,SeasonTable,2,FALSE)</f>
        <v/>
      </c>
      <c r="ATI21" s="12">
        <f>(1+InflationRate)^INT((ATE21-1)/12)</f>
        <v/>
      </c>
      <c r="ATJ21" s="11">
        <f>MonthlyChurn*VLOOKUP(ATF21,ChurnSeasonTable,4,FALSE)</f>
        <v/>
      </c>
      <c r="ATK21" s="12">
        <f>MIN(MAX(MktMin13_18,AUI20*MktPct13_18),MAX(0,AUW20-CashBuffer))</f>
        <v/>
      </c>
      <c r="ATL21" s="12">
        <f>IF(ATK21&gt;0,MAX(1,ROUND(ATK21/'Sens - CAC &amp; Marketing'!$A$15*ATH21,0)),0)</f>
        <v/>
      </c>
      <c r="ATM21" s="12">
        <f>IF(ATL21&gt;0,ROUND(ATL21*ReferralMix/(1-ReferralMix),0),0)</f>
        <v/>
      </c>
      <c r="ATN21" s="12">
        <f>ATL21+ATM21</f>
        <v/>
      </c>
      <c r="ATO21" s="12">
        <f>ROUND(ATN21*(1-AnnualMix),0)</f>
        <v/>
      </c>
      <c r="ATP21" s="12">
        <f>ATN21-ATO21</f>
        <v/>
      </c>
      <c r="ATQ21" s="12">
        <f>ROUND(ATO21*EssentialMix,0)</f>
        <v/>
      </c>
      <c r="ATR21" s="12">
        <f>ROUND(ATO21*PremiumMix,0)</f>
        <v/>
      </c>
      <c r="ATS21" s="12">
        <f>ATO21-ATQ21-ATR21</f>
        <v/>
      </c>
      <c r="ATT21" s="12">
        <f>ROUND(ATP21*EssentialMix,0)</f>
        <v/>
      </c>
      <c r="ATU21" s="12">
        <f>ROUND(ATP21*PremiumMix,0)</f>
        <v/>
      </c>
      <c r="ATV21" s="12">
        <f>ATP21-ATT21-ATU21</f>
        <v/>
      </c>
      <c r="ATW21" s="12">
        <f>ATQ21+ATQ20+ATQ19+MAX(0,ATW20-ATQ20-ATQ19)*(1-ATJ21)</f>
        <v/>
      </c>
      <c r="ATX21" s="12">
        <f>ATR21+ATR20+ATR19+MAX(0,ATX20-ATR20-ATR19)*(1-ATJ21)</f>
        <v/>
      </c>
      <c r="ATY21" s="12">
        <f>ATS21+ATS20+ATS19+MAX(0,ATY20-ATS20-ATS19)*(1-ATJ21)</f>
        <v/>
      </c>
      <c r="ATZ21" s="12">
        <f>ATZ20+ATT21-ATT9*(AnnualChurn*VLOOKUP(ATF21,ChurnSeasonTable,4,FALSE))*POWER(1-(AnnualChurn*VLOOKUP(ATF21,ChurnSeasonTable,4,FALSE)),0)</f>
        <v/>
      </c>
      <c r="AUA21" s="12">
        <f>AUA20+ATU21-ATU9*(AnnualChurn*VLOOKUP(ATF21,ChurnSeasonTable,4,FALSE))*POWER(1-(AnnualChurn*VLOOKUP(ATF21,ChurnSeasonTable,4,FALSE)),0)</f>
        <v/>
      </c>
      <c r="AUB21" s="12">
        <f>AUB20+ATV21-ATV9*(AnnualChurn*VLOOKUP(ATF21,ChurnSeasonTable,4,FALSE))*POWER(1-(AnnualChurn*VLOOKUP(ATF21,ChurnSeasonTable,4,FALSE)),0)</f>
        <v/>
      </c>
      <c r="AUC21" s="12">
        <f>ATW21+ATX21+ATY21+ATZ21+AUA21+AUB21</f>
        <v/>
      </c>
      <c r="AUD21" s="9">
        <f>ATW21*BlendedPriceEssMonthly*ATI21+ATX21*BlendedPricePremMonthly*ATI21+ATY21*BlendedPriceEliteMonthly*ATI21+ATZ21*BlendedPriceEssAnnual*ATI21/12+AUA21*BlendedPricePremAnnual*ATI21/12+AUB21*BlendedPriceEliteAnnual*ATI21/12</f>
        <v/>
      </c>
      <c r="AUE21" s="9">
        <f>AUD21*12</f>
        <v/>
      </c>
      <c r="AUF21" s="12">
        <f>ATW21*BlendedPriceEssMonthly*ATI21+ATX21*BlendedPricePremMonthly*ATI21+ATY21*BlendedPriceEliteMonthly*ATI21</f>
        <v/>
      </c>
      <c r="AUG21" s="12">
        <f>ATT21*BlendedPriceEssAnnual*ATI21+ATU21*BlendedPricePremAnnual*ATI21+ATV21*BlendedPriceEliteAnnual*ATI21</f>
        <v/>
      </c>
      <c r="AUH21" s="12">
        <f>ATT9*POWER(1-(AnnualChurn*VLOOKUP(ATF21,ChurnSeasonTable,4,FALSE)),1)*BlendedPriceEssAnnual*ATI21+ATU9*POWER(1-(AnnualChurn*VLOOKUP(ATF21,ChurnSeasonTable,4,FALSE)),1)*BlendedPricePremAnnual*ATI21+ATV9*POWER(1-(AnnualChurn*VLOOKUP(ATF21,ChurnSeasonTable,4,FALSE)),1)*BlendedPriceEliteAnnual*ATI21</f>
        <v/>
      </c>
      <c r="AUI21" s="9">
        <f>AUF21+AUG21+AUH21</f>
        <v/>
      </c>
      <c r="AUJ21" s="12">
        <f>SUM(AUI10:AUI21)</f>
        <v/>
      </c>
      <c r="AUK21" s="12">
        <f>OR(AUK20,IF(VATAgentMode,SUM($AUI10:$AUI21)-SUM($AUP10:$AUP21)&gt;=VATThreshold,SUM($AUI10:$AUI21)&gt;=VATThreshold))</f>
        <v/>
      </c>
      <c r="AUL21" s="9">
        <f>IF(AUK21,IF(VATAgentMode,AUI21-((AUI21-AUP21)-(AUI21-AUP21)/(1+VATRate)),AUI21/(1+VATRate)),AUI21)</f>
        <v/>
      </c>
      <c r="AUM21" s="12">
        <f>AUI21-AUL21</f>
        <v/>
      </c>
      <c r="AUN21" s="12">
        <f>IF(AUK21=0,0,IF(ATF21=1,SUMPRODUCT(--(($ATG$5:$ATG21=$ATG21-1)*($ATF$5:$ATF21&gt;=10)*($ATF$5:$ATF21&lt;=12)),$AUM$5:$AUM21),IF(ATF21=4,SUMPRODUCT(--(($ATG$5:$ATG21=$ATG21)*($ATF$5:$ATF21&gt;=1)*($ATF$5:$ATF21&lt;=3)),$AUM$5:$AUM21),IF(ATF21=7,SUMPRODUCT(--(($ATG$5:$ATG21=$ATG21)*($ATF$5:$ATF21&gt;=4)*($ATF$5:$ATF21&lt;=6)),$AUM$5:$AUM21),IF(ATF21=10,SUMPRODUCT(--(($ATG$5:$ATG21=$ATG21)*($ATF$5:$ATF21&gt;=7)*($ATF$5:$ATF21&lt;=9)),$AUM$5:$AUM21),0)))))</f>
        <v/>
      </c>
      <c r="AUO21" s="12">
        <f>AUO20+AUM21-AUN21</f>
        <v/>
      </c>
      <c r="AUP21" s="12">
        <f>IF(ProviderDelay&gt;=1,ATW20*BlendedProvPayEss+ATX20*BlendedProvPayPrem+ATY20*BlendedProvPayElite+ATZ20*BlendedProvPayEss+AUA20*BlendedProvPayPrem+AUB20*BlendedProvPayElite,ATW21*BlendedProvPayEss+ATX21*BlendedProvPayPrem+ATY21*BlendedProvPayElite+ATZ21*BlendedProvPayEss+AUA21*BlendedProvPayPrem+AUB21*BlendedProvPayElite)</f>
        <v/>
      </c>
      <c r="AUQ21" s="12">
        <f>AUI21*PaymentFee</f>
        <v/>
      </c>
      <c r="AUR21" s="12">
        <f>AUC21*OpsAI</f>
        <v/>
      </c>
      <c r="AUS21" s="12">
        <f>MonthlyFixed</f>
        <v/>
      </c>
      <c r="AUT21" s="12">
        <f>ATM21*ReferralReward</f>
        <v/>
      </c>
      <c r="AUU21" s="12">
        <f>ATK21</f>
        <v/>
      </c>
      <c r="AUV21" s="9">
        <f>AUL21-AUP21-AUQ21-AUR21-AUS21-AUT21-AUU21</f>
        <v/>
      </c>
      <c r="AUW21" s="9">
        <f>AUW20+AUI21-(AUP21+AUQ21+AUR21+AUS21+AUT21+AUU21+AUN21)</f>
        <v/>
      </c>
      <c r="AUX21" s="12">
        <f>IF(AUC21&gt;0,AUD21/AUC21,0)</f>
        <v/>
      </c>
      <c r="AUY21" s="11">
        <f>IF(AUC20&gt;0,MAX(0,(AUC20+ATN21-AUC21)/AUC20),0)</f>
        <v/>
      </c>
      <c r="AVA21" s="12" t="n">
        <v>17</v>
      </c>
      <c r="AVB21" s="12">
        <f>MOD(AVA21-1+LaunchMonth-1,12)+1</f>
        <v/>
      </c>
      <c r="AVC21" s="12">
        <f>INT((AVA21-1+LaunchMonth-1)/12)+1</f>
        <v/>
      </c>
      <c r="AVD21" s="12">
        <f>VLOOKUP(AVB21,WinterPivotSeasonTable,5,FALSE)</f>
        <v/>
      </c>
      <c r="AVE21" s="12">
        <f>(1+InflationRate)^INT((AVA21-1)/12)</f>
        <v/>
      </c>
      <c r="AVF21" s="11">
        <f>MonthlyChurn*VLOOKUP(AVB21,WinterPivotChurnTable,6,FALSE)</f>
        <v/>
      </c>
      <c r="AVG21" s="12">
        <f>MIN(MAX(MktMin13_18,AWE20*MktPct13_18),MAX(0,AWS20-CashBuffer))</f>
        <v/>
      </c>
      <c r="AVH21" s="12">
        <f>IF(AVG21&gt;0,MAX(1,ROUND(AVG21/CAC*AVD21,0)),0)</f>
        <v/>
      </c>
      <c r="AVI21" s="12">
        <f>IF(AVH21&gt;0,ROUND(AVH21*ReferralMix/(1-ReferralMix),0),0)</f>
        <v/>
      </c>
      <c r="AVJ21" s="12">
        <f>AVH21+AVI21</f>
        <v/>
      </c>
      <c r="AVK21" s="12">
        <f>ROUND(AVJ21*(1-AnnualMix),0)</f>
        <v/>
      </c>
      <c r="AVL21" s="12">
        <f>AVJ21-AVK21</f>
        <v/>
      </c>
      <c r="AVM21" s="12">
        <f>ROUND(AVK21*'Sens - Winter Pivot'!$B$6,0)</f>
        <v/>
      </c>
      <c r="AVN21" s="12">
        <f>ROUND(AVK21*PremiumMix,0)</f>
        <v/>
      </c>
      <c r="AVO21" s="12">
        <f>AVK21-AVM21-AVN21</f>
        <v/>
      </c>
      <c r="AVP21" s="12">
        <f>ROUND(AVL21*'Sens - Winter Pivot'!$B$6,0)</f>
        <v/>
      </c>
      <c r="AVQ21" s="12">
        <f>ROUND(AVL21*PremiumMix,0)</f>
        <v/>
      </c>
      <c r="AVR21" s="12">
        <f>AVL21-AVP21-AVQ21</f>
        <v/>
      </c>
      <c r="AVS21" s="12">
        <f>AVM21+AVM20+AVM19+MAX(0,AVS20-AVM20-AVM19)*(1-AVF21)</f>
        <v/>
      </c>
      <c r="AVT21" s="12">
        <f>AVN21+AVN20+AVN19+MAX(0,AVT20-AVN20-AVN19)*(1-AVF21)</f>
        <v/>
      </c>
      <c r="AVU21" s="12">
        <f>AVO21+AVO20+AVO19+MAX(0,AVU20-AVO20-AVO19)*(1-AVF21)</f>
        <v/>
      </c>
      <c r="AVV21" s="12">
        <f>AVV20+AVP21-AVP9*(AnnualChurn*VLOOKUP(AVB21,ChurnSeasonTable,4,FALSE))*POWER(1-(AnnualChurn*VLOOKUP(AVB21,ChurnSeasonTable,4,FALSE)),0)</f>
        <v/>
      </c>
      <c r="AVW21" s="12">
        <f>AVW20+AVQ21-AVQ9*(AnnualChurn*VLOOKUP(AVB21,ChurnSeasonTable,4,FALSE))*POWER(1-(AnnualChurn*VLOOKUP(AVB21,ChurnSeasonTable,4,FALSE)),0)</f>
        <v/>
      </c>
      <c r="AVX21" s="12">
        <f>AVX20+AVR21-AVR9*(AnnualChurn*VLOOKUP(AVB21,ChurnSeasonTable,4,FALSE))*POWER(1-(AnnualChurn*VLOOKUP(AVB21,ChurnSeasonTable,4,FALSE)),0)</f>
        <v/>
      </c>
      <c r="AVY21" s="12">
        <f>AVS21+AVT21+AVU21+AVV21+AVW21+AVX21</f>
        <v/>
      </c>
      <c r="AVZ21" s="9">
        <f>AVS21*BlendedPriceEssMonthly*AVE21+AVT21*(BlendedPricePremMonthly+'Sens - Winter Pivot'!$B$7)*AVE21+AVU21*BlendedPriceEliteMonthly*AVE21+AVV21*BlendedPriceEssAnnual*AVE21/12+AVW21*(BlendedPricePremAnnual+'Sens - Winter Pivot'!$B$7*12)*AVE21/12+AVX21*BlendedPriceEliteAnnual*AVE21/12</f>
        <v/>
      </c>
      <c r="AWA21" s="9">
        <f>AVZ21*12</f>
        <v/>
      </c>
      <c r="AWB21" s="12">
        <f>AVS21*BlendedPriceEssMonthly*AVE21+AVT21*(BlendedPricePremMonthly+'Sens - Winter Pivot'!$B$7)*AVE21+AVU21*BlendedPriceEliteMonthly*AVE21</f>
        <v/>
      </c>
      <c r="AWC21" s="12">
        <f>AVP21*BlendedPriceEssAnnual*AVE21+AVQ21*(BlendedPricePremAnnual+'Sens - Winter Pivot'!$B$7*12)*AVE21+AVR21*BlendedPriceEliteAnnual*AVE21</f>
        <v/>
      </c>
      <c r="AWD21" s="12">
        <f>AVP9*POWER(1-(AnnualChurn*VLOOKUP(AVB21,ChurnSeasonTable,4,FALSE)),1)*BlendedPriceEssAnnual*AVE21+AVQ9*POWER(1-(AnnualChurn*VLOOKUP(AVB21,ChurnSeasonTable,4,FALSE)),1)*BlendedPricePremAnnual*AVE21+AVR9*POWER(1-(AnnualChurn*VLOOKUP(AVB21,ChurnSeasonTable,4,FALSE)),1)*BlendedPriceEliteAnnual*AVE21</f>
        <v/>
      </c>
      <c r="AWE21" s="9">
        <f>AWB21+AWC21+AWD21</f>
        <v/>
      </c>
      <c r="AWF21" s="12">
        <f>SUM(AWE10:AWE21)</f>
        <v/>
      </c>
      <c r="AWG21" s="12">
        <f>OR(AWG20,IF(VATAgentMode,SUM($AWE10:$AWE21)-SUM($AWL10:$AWL21)&gt;=VATThreshold,SUM($AWE10:$AWE21)&gt;=VATThreshold))</f>
        <v/>
      </c>
      <c r="AWH21" s="9">
        <f>IF(AWG21,IF(VATAgentMode,AWE21-((AWE21-AWL21)-(AWE21-AWL21)/(1+VATRate)),AWE21/(1+VATRate)),AWE21)</f>
        <v/>
      </c>
      <c r="AWI21" s="12">
        <f>AWE21-AWH21</f>
        <v/>
      </c>
      <c r="AWJ21" s="12">
        <f>IF(AWG21=0,0,IF(AVB21=1,SUMPRODUCT(--(($AVC$5:$AVC21=$AVC21-1)*($AVB$5:$AVB21&gt;=10)*($AVB$5:$AVB21&lt;=12)),$AWI$5:$AWI21),IF(AVB21=4,SUMPRODUCT(--(($AVC$5:$AVC21=$AVC21)*($AVB$5:$AVB21&gt;=1)*($AVB$5:$AVB21&lt;=3)),$AWI$5:$AWI21),IF(AVB21=7,SUMPRODUCT(--(($AVC$5:$AVC21=$AVC21)*($AVB$5:$AVB21&gt;=4)*($AVB$5:$AVB21&lt;=6)),$AWI$5:$AWI21),IF(AVB21=10,SUMPRODUCT(--(($AVC$5:$AVC21=$AVC21)*($AVB$5:$AVB21&gt;=7)*($AVB$5:$AVB21&lt;=9)),$AWI$5:$AWI21),0)))))</f>
        <v/>
      </c>
      <c r="AWK21" s="12">
        <f>AWK20+AWI21-AWJ21</f>
        <v/>
      </c>
      <c r="AWL21" s="12">
        <f>IF(ProviderDelay&gt;=1,AVS20*BlendedProvPayEss+AVT20*BlendedProvPayPrem+AVU20*BlendedProvPayElite+AVV20*BlendedProvPayEss+AVW20*BlendedProvPayPrem+AVX20*BlendedProvPayElite,AVS21*BlendedProvPayEss+AVT21*BlendedProvPayPrem+AVU21*BlendedProvPayElite+AVV21*BlendedProvPayEss+AVW21*BlendedProvPayPrem+AVX21*BlendedProvPayElite)</f>
        <v/>
      </c>
      <c r="AWM21" s="12">
        <f>AWE21*PaymentFee</f>
        <v/>
      </c>
      <c r="AWN21" s="12">
        <f>AVY21*OpsAI</f>
        <v/>
      </c>
      <c r="AWO21" s="12">
        <f>MonthlyFixed</f>
        <v/>
      </c>
      <c r="AWP21" s="12">
        <f>AVI21*ReferralReward</f>
        <v/>
      </c>
      <c r="AWQ21" s="12">
        <f>AVG21</f>
        <v/>
      </c>
      <c r="AWR21" s="9">
        <f>AWH21-AWL21-AWM21-AWN21-AWO21-AWP21-AWQ21</f>
        <v/>
      </c>
      <c r="AWS21" s="9">
        <f>AWS20+AWE21-(AWL21+AWM21+AWN21+AWO21+AWP21+AWQ21+AWJ21)</f>
        <v/>
      </c>
      <c r="AWT21" s="12">
        <f>IF(AVY21&gt;0,AVZ21/AVY21,0)</f>
        <v/>
      </c>
      <c r="AWU21" s="11">
        <f>IF(AVY20&gt;0,MAX(0,(AVY20+AVJ21-AVY21)/AVY20),0)</f>
        <v/>
      </c>
    </row>
    <row r="22">
      <c r="A22" s="12" t="n">
        <v>18</v>
      </c>
      <c r="B22" s="12">
        <f>MOD(A22-1+LaunchMonth-1,12)+1</f>
        <v/>
      </c>
      <c r="C22" s="12">
        <f>INT((A22-1+LaunchMonth-1)/12)+1</f>
        <v/>
      </c>
      <c r="D22" s="12">
        <f>VLOOKUP(B22,SeasonTable,2,FALSE)</f>
        <v/>
      </c>
      <c r="E22" s="12">
        <f>(1+InflationRate)^INT((A22-1)/12)</f>
        <v/>
      </c>
      <c r="F22" s="11">
        <f>'Sens - Scenarios'!$B$5*VLOOKUP(B22,ChurnSeasonTable,4,FALSE)</f>
        <v/>
      </c>
      <c r="G22" s="12">
        <f>MIN(MAX(MktMin13_18,AE21*MktPct13_18),MAX(0,AS21-CashBuffer))</f>
        <v/>
      </c>
      <c r="H22" s="12">
        <f>IF(G22&gt;0,MAX(1,ROUND(G22/'Sens - Scenarios'!$B$8*D22,0)),0)</f>
        <v/>
      </c>
      <c r="I22" s="12">
        <f>IF(H22&gt;0,ROUND(H22*ReferralMix/(1-ReferralMix),0),0)</f>
        <v/>
      </c>
      <c r="J22" s="12">
        <f>H22+I22</f>
        <v/>
      </c>
      <c r="K22" s="12">
        <f>ROUND(J22*(1-'Sens - Scenarios'!$B$7),0)</f>
        <v/>
      </c>
      <c r="L22" s="12">
        <f>J22-K22</f>
        <v/>
      </c>
      <c r="M22" s="12">
        <f>ROUND(K22*EssentialMix,0)</f>
        <v/>
      </c>
      <c r="N22" s="12">
        <f>ROUND(K22*PremiumMix,0)</f>
        <v/>
      </c>
      <c r="O22" s="12">
        <f>K22-M22-N22</f>
        <v/>
      </c>
      <c r="P22" s="12">
        <f>ROUND(L22*EssentialMix,0)</f>
        <v/>
      </c>
      <c r="Q22" s="12">
        <f>ROUND(L22*PremiumMix,0)</f>
        <v/>
      </c>
      <c r="R22" s="12">
        <f>L22-P22-Q22</f>
        <v/>
      </c>
      <c r="S22" s="12">
        <f>M22+M21+M20+MAX(0,S21-M21-M20)*(1-F22)</f>
        <v/>
      </c>
      <c r="T22" s="12">
        <f>N22+N21+N20+MAX(0,T21-N21-N20)*(1-F22)</f>
        <v/>
      </c>
      <c r="U22" s="12">
        <f>O22+O21+O20+MAX(0,U21-O21-O20)*(1-F22)</f>
        <v/>
      </c>
      <c r="V22" s="12">
        <f>V21+P22-P10*('Sens - Scenarios'!$B$6*VLOOKUP(B22,ChurnSeasonTable,4,FALSE))*POWER(1-('Sens - Scenarios'!$B$6*VLOOKUP(B22,ChurnSeasonTable,4,FALSE)),0)</f>
        <v/>
      </c>
      <c r="W22" s="12">
        <f>W21+Q22-Q10*('Sens - Scenarios'!$B$6*VLOOKUP(B22,ChurnSeasonTable,4,FALSE))*POWER(1-('Sens - Scenarios'!$B$6*VLOOKUP(B22,ChurnSeasonTable,4,FALSE)),0)</f>
        <v/>
      </c>
      <c r="X22" s="12">
        <f>X21+R22-R10*('Sens - Scenarios'!$B$6*VLOOKUP(B22,ChurnSeasonTable,4,FALSE))*POWER(1-('Sens - Scenarios'!$B$6*VLOOKUP(B22,ChurnSeasonTable,4,FALSE)),0)</f>
        <v/>
      </c>
      <c r="Y22" s="12">
        <f>S22+T22+U22+V22+W22+X22</f>
        <v/>
      </c>
      <c r="Z22" s="9">
        <f>S22*BlendedPriceEssMonthly*E22+T22*BlendedPricePremMonthly*E22+U22*BlendedPriceEliteMonthly*E22+V22*BlendedPriceEssAnnual*E22/12+W22*BlendedPricePremAnnual*E22/12+X22*BlendedPriceEliteAnnual*E22/12</f>
        <v/>
      </c>
      <c r="AA22" s="9">
        <f>Z22*12</f>
        <v/>
      </c>
      <c r="AB22" s="12">
        <f>S22*BlendedPriceEssMonthly*E22+T22*BlendedPricePremMonthly*E22+U22*BlendedPriceEliteMonthly*E22</f>
        <v/>
      </c>
      <c r="AC22" s="12">
        <f>P22*BlendedPriceEssAnnual*E22+Q22*BlendedPricePremAnnual*E22+R22*BlendedPriceEliteAnnual*E22</f>
        <v/>
      </c>
      <c r="AD22" s="12">
        <f>P10*POWER(1-('Sens - Scenarios'!$B$6*VLOOKUP(B22,ChurnSeasonTable,4,FALSE)),1)*BlendedPriceEssAnnual*E22+Q10*POWER(1-('Sens - Scenarios'!$B$6*VLOOKUP(B22,ChurnSeasonTable,4,FALSE)),1)*BlendedPricePremAnnual*E22+R10*POWER(1-('Sens - Scenarios'!$B$6*VLOOKUP(B22,ChurnSeasonTable,4,FALSE)),1)*BlendedPriceEliteAnnual*E22</f>
        <v/>
      </c>
      <c r="AE22" s="9">
        <f>AB22+AC22+AD22</f>
        <v/>
      </c>
      <c r="AF22" s="12">
        <f>SUM(AE11:AE22)</f>
        <v/>
      </c>
      <c r="AG22" s="12">
        <f>OR(AG21,IF(VATAgentMode,SUM($AE11:$AE22)-SUM($AL11:$AL22)&gt;=VATThreshold,SUM($AE11:$AE22)&gt;=VATThreshold))</f>
        <v/>
      </c>
      <c r="AH22" s="9">
        <f>IF(AG22,IF(VATAgentMode,AE22-((AE22-AL22)-(AE22-AL22)/(1+VATRate)),AE22/(1+VATRate)),AE22)</f>
        <v/>
      </c>
      <c r="AI22" s="12">
        <f>AE22-AH22</f>
        <v/>
      </c>
      <c r="AJ22" s="12">
        <f>IF(AG22=0,0,IF(B22=1,SUMPRODUCT(--(($C$5:$C22=$C22-1)*($B$5:$B22&gt;=10)*($B$5:$B22&lt;=12)),$AI$5:$AI22),IF(B22=4,SUMPRODUCT(--(($C$5:$C22=$C22)*($B$5:$B22&gt;=1)*($B$5:$B22&lt;=3)),$AI$5:$AI22),IF(B22=7,SUMPRODUCT(--(($C$5:$C22=$C22)*($B$5:$B22&gt;=4)*($B$5:$B22&lt;=6)),$AI$5:$AI22),IF(B22=10,SUMPRODUCT(--(($C$5:$C22=$C22)*($B$5:$B22&gt;=7)*($B$5:$B22&lt;=9)),$AI$5:$AI22),0)))))</f>
        <v/>
      </c>
      <c r="AK22" s="12">
        <f>AK21+AI22-AJ22</f>
        <v/>
      </c>
      <c r="AL22" s="12">
        <f>IF(ProviderDelay&gt;=1,S21*BlendedProvPayEss+T21*BlendedProvPayPrem+U21*BlendedProvPayElite+V21*BlendedProvPayEss+W21*BlendedProvPayPrem+X21*BlendedProvPayElite,S22*BlendedProvPayEss+T22*BlendedProvPayPrem+U22*BlendedProvPayElite+V22*BlendedProvPayEss+W22*BlendedProvPayPrem+X22*BlendedProvPayElite)</f>
        <v/>
      </c>
      <c r="AM22" s="12">
        <f>AE22*PaymentFee</f>
        <v/>
      </c>
      <c r="AN22" s="12">
        <f>Y22*OpsAI</f>
        <v/>
      </c>
      <c r="AO22" s="12">
        <f>MonthlyFixed</f>
        <v/>
      </c>
      <c r="AP22" s="12">
        <f>I22*ReferralReward</f>
        <v/>
      </c>
      <c r="AQ22" s="12">
        <f>G22</f>
        <v/>
      </c>
      <c r="AR22" s="9">
        <f>AH22-AL22-AM22-AN22-AO22-AP22-AQ22</f>
        <v/>
      </c>
      <c r="AS22" s="9">
        <f>AS21+AE22-(AL22+AM22+AN22+AO22+AP22+AQ22+AJ22)</f>
        <v/>
      </c>
      <c r="AT22" s="12">
        <f>IF(Y22&gt;0,Z22/Y22,0)</f>
        <v/>
      </c>
      <c r="AU22" s="11">
        <f>IF(Y21&gt;0,MAX(0,(Y21+J22-Y22)/Y21),0)</f>
        <v/>
      </c>
      <c r="AW22" s="12" t="n">
        <v>18</v>
      </c>
      <c r="AX22" s="12">
        <f>MOD(AW22-1+LaunchMonth-1,12)+1</f>
        <v/>
      </c>
      <c r="AY22" s="12">
        <f>INT((AW22-1+LaunchMonth-1)/12)+1</f>
        <v/>
      </c>
      <c r="AZ22" s="12">
        <f>VLOOKUP(AX22,SeasonTable,2,FALSE)</f>
        <v/>
      </c>
      <c r="BA22" s="12">
        <f>(1+InflationRate)^INT((AW22-1)/12)</f>
        <v/>
      </c>
      <c r="BB22" s="11">
        <f>MonthlyChurn*VLOOKUP(AX22,ChurnSeasonTable,4,FALSE)</f>
        <v/>
      </c>
      <c r="BC22" s="12">
        <f>MIN(MAX(MktMin13_18,CA21*MktPct13_18),MAX(0,CO21-CashBuffer))</f>
        <v/>
      </c>
      <c r="BD22" s="12">
        <f>IF(BC22&gt;0,MAX(1,ROUND(BC22/CAC*AZ22,0)),0)</f>
        <v/>
      </c>
      <c r="BE22" s="12">
        <f>IF(BD22&gt;0,ROUND(BD22*ReferralMix/(1-ReferralMix),0),0)</f>
        <v/>
      </c>
      <c r="BF22" s="12">
        <f>BD22+BE22</f>
        <v/>
      </c>
      <c r="BG22" s="12">
        <f>ROUND(BF22*(1-AnnualMix),0)</f>
        <v/>
      </c>
      <c r="BH22" s="12">
        <f>BF22-BG22</f>
        <v/>
      </c>
      <c r="BI22" s="12">
        <f>ROUND(BG22*EssentialMix,0)</f>
        <v/>
      </c>
      <c r="BJ22" s="12">
        <f>ROUND(BG22*PremiumMix,0)</f>
        <v/>
      </c>
      <c r="BK22" s="12">
        <f>BG22-BI22-BJ22</f>
        <v/>
      </c>
      <c r="BL22" s="12">
        <f>ROUND(BH22*EssentialMix,0)</f>
        <v/>
      </c>
      <c r="BM22" s="12">
        <f>ROUND(BH22*PremiumMix,0)</f>
        <v/>
      </c>
      <c r="BN22" s="12">
        <f>BH22-BL22-BM22</f>
        <v/>
      </c>
      <c r="BO22" s="12">
        <f>BI22+BI21+BI20+MAX(0,BO21-BI21-BI20)*(1-BB22)</f>
        <v/>
      </c>
      <c r="BP22" s="12">
        <f>BJ22+BJ21+BJ20+MAX(0,BP21-BJ21-BJ20)*(1-BB22)</f>
        <v/>
      </c>
      <c r="BQ22" s="12">
        <f>BK22+BK21+BK20+MAX(0,BQ21-BK21-BK20)*(1-BB22)</f>
        <v/>
      </c>
      <c r="BR22" s="12">
        <f>BR21+BL22-BL10*(AnnualChurn*VLOOKUP(AX22,ChurnSeasonTable,4,FALSE))*POWER(1-(AnnualChurn*VLOOKUP(AX22,ChurnSeasonTable,4,FALSE)),0)</f>
        <v/>
      </c>
      <c r="BS22" s="12">
        <f>BS21+BM22-BM10*(AnnualChurn*VLOOKUP(AX22,ChurnSeasonTable,4,FALSE))*POWER(1-(AnnualChurn*VLOOKUP(AX22,ChurnSeasonTable,4,FALSE)),0)</f>
        <v/>
      </c>
      <c r="BT22" s="12">
        <f>BT21+BN22-BN10*(AnnualChurn*VLOOKUP(AX22,ChurnSeasonTable,4,FALSE))*POWER(1-(AnnualChurn*VLOOKUP(AX22,ChurnSeasonTable,4,FALSE)),0)</f>
        <v/>
      </c>
      <c r="BU22" s="12">
        <f>BO22+BP22+BQ22+BR22+BS22+BT22</f>
        <v/>
      </c>
      <c r="BV22" s="9">
        <f>BO22*BlendedPriceEssMonthly*BA22+BP22*BlendedPricePremMonthly*BA22+BQ22*BlendedPriceEliteMonthly*BA22+BR22*BlendedPriceEssAnnual*BA22/12+BS22*BlendedPricePremAnnual*BA22/12+BT22*BlendedPriceEliteAnnual*BA22/12</f>
        <v/>
      </c>
      <c r="BW22" s="9">
        <f>BV22*12</f>
        <v/>
      </c>
      <c r="BX22" s="12">
        <f>BO22*BlendedPriceEssMonthly*BA22+BP22*BlendedPricePremMonthly*BA22+BQ22*BlendedPriceEliteMonthly*BA22</f>
        <v/>
      </c>
      <c r="BY22" s="12">
        <f>BL22*BlendedPriceEssAnnual*BA22+BM22*BlendedPricePremAnnual*BA22+BN22*BlendedPriceEliteAnnual*BA22</f>
        <v/>
      </c>
      <c r="BZ22" s="12">
        <f>BL10*POWER(1-(AnnualChurn*VLOOKUP(AX22,ChurnSeasonTable,4,FALSE)),1)*BlendedPriceEssAnnual*BA22+BM10*POWER(1-(AnnualChurn*VLOOKUP(AX22,ChurnSeasonTable,4,FALSE)),1)*BlendedPricePremAnnual*BA22+BN10*POWER(1-(AnnualChurn*VLOOKUP(AX22,ChurnSeasonTable,4,FALSE)),1)*BlendedPriceEliteAnnual*BA22</f>
        <v/>
      </c>
      <c r="CA22" s="9">
        <f>BX22+BY22+BZ22</f>
        <v/>
      </c>
      <c r="CB22" s="12">
        <f>SUM(CA11:CA22)</f>
        <v/>
      </c>
      <c r="CC22" s="12">
        <f>OR(CC21,IF(VATAgentMode,SUM($CA11:$CA22)-SUM($CH11:$CH22)&gt;=VATThreshold,SUM($CA11:$CA22)&gt;=VATThreshold))</f>
        <v/>
      </c>
      <c r="CD22" s="9">
        <f>IF(CC22,IF(VATAgentMode,CA22-((CA22-CH22)-(CA22-CH22)/(1+VATRate)),CA22/(1+VATRate)),CA22)</f>
        <v/>
      </c>
      <c r="CE22" s="12">
        <f>CA22-CD22</f>
        <v/>
      </c>
      <c r="CF22" s="12">
        <f>IF(CC22=0,0,IF(AX22=1,SUMPRODUCT(--(($AY$5:$AY22=$AY22-1)*($AX$5:$AX22&gt;=10)*($AX$5:$AX22&lt;=12)),$CE$5:$CE22),IF(AX22=4,SUMPRODUCT(--(($AY$5:$AY22=$AY22)*($AX$5:$AX22&gt;=1)*($AX$5:$AX22&lt;=3)),$CE$5:$CE22),IF(AX22=7,SUMPRODUCT(--(($AY$5:$AY22=$AY22)*($AX$5:$AX22&gt;=4)*($AX$5:$AX22&lt;=6)),$CE$5:$CE22),IF(AX22=10,SUMPRODUCT(--(($AY$5:$AY22=$AY22)*($AX$5:$AX22&gt;=7)*($AX$5:$AX22&lt;=9)),$CE$5:$CE22),0)))))</f>
        <v/>
      </c>
      <c r="CG22" s="12">
        <f>CG21+CE22-CF22</f>
        <v/>
      </c>
      <c r="CH22" s="12">
        <f>IF(ProviderDelay&gt;=1,BO21*BlendedProvPayEss+BP21*BlendedProvPayPrem+BQ21*BlendedProvPayElite+BR21*BlendedProvPayEss+BS21*BlendedProvPayPrem+BT21*BlendedProvPayElite,BO22*BlendedProvPayEss+BP22*BlendedProvPayPrem+BQ22*BlendedProvPayElite+BR22*BlendedProvPayEss+BS22*BlendedProvPayPrem+BT22*BlendedProvPayElite)</f>
        <v/>
      </c>
      <c r="CI22" s="12">
        <f>CA22*PaymentFee</f>
        <v/>
      </c>
      <c r="CJ22" s="12">
        <f>BU22*OpsAI</f>
        <v/>
      </c>
      <c r="CK22" s="12">
        <f>MonthlyFixed</f>
        <v/>
      </c>
      <c r="CL22" s="12">
        <f>BE22*ReferralReward</f>
        <v/>
      </c>
      <c r="CM22" s="12">
        <f>BC22</f>
        <v/>
      </c>
      <c r="CN22" s="9">
        <f>CD22-CH22-CI22-CJ22-CK22-CL22-CM22</f>
        <v/>
      </c>
      <c r="CO22" s="9">
        <f>CO21+CA22-(CH22+CI22+CJ22+CK22+CL22+CM22+CF22)</f>
        <v/>
      </c>
      <c r="CP22" s="12">
        <f>IF(BU22&gt;0,BV22/BU22,0)</f>
        <v/>
      </c>
      <c r="CQ22" s="11">
        <f>IF(BU21&gt;0,MAX(0,(BU21+BF22-BU22)/BU21),0)</f>
        <v/>
      </c>
      <c r="CS22" s="12" t="n">
        <v>18</v>
      </c>
      <c r="CT22" s="12">
        <f>MOD(CS22-1+LaunchMonth-1,12)+1</f>
        <v/>
      </c>
      <c r="CU22" s="12">
        <f>INT((CS22-1+LaunchMonth-1)/12)+1</f>
        <v/>
      </c>
      <c r="CV22" s="12">
        <f>VLOOKUP(CT22,SeasonTable,2,FALSE)</f>
        <v/>
      </c>
      <c r="CW22" s="12">
        <f>(1+InflationRate)^INT((CS22-1)/12)</f>
        <v/>
      </c>
      <c r="CX22" s="11">
        <f>'Sens - Scenarios'!$D$5*VLOOKUP(CT22,ChurnSeasonTable,4,FALSE)</f>
        <v/>
      </c>
      <c r="CY22" s="12">
        <f>MIN(MAX(MktMin13_18,DW21*MktPct13_18),MAX(0,EK21-CashBuffer))</f>
        <v/>
      </c>
      <c r="CZ22" s="12">
        <f>IF(CY22&gt;0,MAX(1,ROUND(CY22/'Sens - Scenarios'!$D$8*CV22,0)),0)</f>
        <v/>
      </c>
      <c r="DA22" s="12">
        <f>IF(CZ22&gt;0,ROUND(CZ22*ReferralMix/(1-ReferralMix),0),0)</f>
        <v/>
      </c>
      <c r="DB22" s="12">
        <f>CZ22+DA22</f>
        <v/>
      </c>
      <c r="DC22" s="12">
        <f>ROUND(DB22*(1-'Sens - Scenarios'!$D$7),0)</f>
        <v/>
      </c>
      <c r="DD22" s="12">
        <f>DB22-DC22</f>
        <v/>
      </c>
      <c r="DE22" s="12">
        <f>ROUND(DC22*EssentialMix,0)</f>
        <v/>
      </c>
      <c r="DF22" s="12">
        <f>ROUND(DC22*PremiumMix,0)</f>
        <v/>
      </c>
      <c r="DG22" s="12">
        <f>DC22-DE22-DF22</f>
        <v/>
      </c>
      <c r="DH22" s="12">
        <f>ROUND(DD22*EssentialMix,0)</f>
        <v/>
      </c>
      <c r="DI22" s="12">
        <f>ROUND(DD22*PremiumMix,0)</f>
        <v/>
      </c>
      <c r="DJ22" s="12">
        <f>DD22-DH22-DI22</f>
        <v/>
      </c>
      <c r="DK22" s="12">
        <f>DE22+DE21+DE20+MAX(0,DK21-DE21-DE20)*(1-CX22)</f>
        <v/>
      </c>
      <c r="DL22" s="12">
        <f>DF22+DF21+DF20+MAX(0,DL21-DF21-DF20)*(1-CX22)</f>
        <v/>
      </c>
      <c r="DM22" s="12">
        <f>DG22+DG21+DG20+MAX(0,DM21-DG21-DG20)*(1-CX22)</f>
        <v/>
      </c>
      <c r="DN22" s="12">
        <f>DN21+DH22-DH10*('Sens - Scenarios'!$D$6*VLOOKUP(CT22,ChurnSeasonTable,4,FALSE))*POWER(1-('Sens - Scenarios'!$D$6*VLOOKUP(CT22,ChurnSeasonTable,4,FALSE)),0)</f>
        <v/>
      </c>
      <c r="DO22" s="12">
        <f>DO21+DI22-DI10*('Sens - Scenarios'!$D$6*VLOOKUP(CT22,ChurnSeasonTable,4,FALSE))*POWER(1-('Sens - Scenarios'!$D$6*VLOOKUP(CT22,ChurnSeasonTable,4,FALSE)),0)</f>
        <v/>
      </c>
      <c r="DP22" s="12">
        <f>DP21+DJ22-DJ10*('Sens - Scenarios'!$D$6*VLOOKUP(CT22,ChurnSeasonTable,4,FALSE))*POWER(1-('Sens - Scenarios'!$D$6*VLOOKUP(CT22,ChurnSeasonTable,4,FALSE)),0)</f>
        <v/>
      </c>
      <c r="DQ22" s="12">
        <f>DK22+DL22+DM22+DN22+DO22+DP22</f>
        <v/>
      </c>
      <c r="DR22" s="9">
        <f>DK22*BlendedPriceEssMonthly*CW22+DL22*BlendedPricePremMonthly*CW22+DM22*BlendedPriceEliteMonthly*CW22+DN22*BlendedPriceEssAnnual*CW22/12+DO22*BlendedPricePremAnnual*CW22/12+DP22*BlendedPriceEliteAnnual*CW22/12</f>
        <v/>
      </c>
      <c r="DS22" s="9">
        <f>DR22*12</f>
        <v/>
      </c>
      <c r="DT22" s="12">
        <f>DK22*BlendedPriceEssMonthly*CW22+DL22*BlendedPricePremMonthly*CW22+DM22*BlendedPriceEliteMonthly*CW22</f>
        <v/>
      </c>
      <c r="DU22" s="12">
        <f>DH22*BlendedPriceEssAnnual*CW22+DI22*BlendedPricePremAnnual*CW22+DJ22*BlendedPriceEliteAnnual*CW22</f>
        <v/>
      </c>
      <c r="DV22" s="12">
        <f>DH10*POWER(1-('Sens - Scenarios'!$D$6*VLOOKUP(CT22,ChurnSeasonTable,4,FALSE)),1)*BlendedPriceEssAnnual*CW22+DI10*POWER(1-('Sens - Scenarios'!$D$6*VLOOKUP(CT22,ChurnSeasonTable,4,FALSE)),1)*BlendedPricePremAnnual*CW22+DJ10*POWER(1-('Sens - Scenarios'!$D$6*VLOOKUP(CT22,ChurnSeasonTable,4,FALSE)),1)*BlendedPriceEliteAnnual*CW22</f>
        <v/>
      </c>
      <c r="DW22" s="9">
        <f>DT22+DU22+DV22</f>
        <v/>
      </c>
      <c r="DX22" s="12">
        <f>SUM(DW11:DW22)</f>
        <v/>
      </c>
      <c r="DY22" s="12">
        <f>OR(DY21,IF(VATAgentMode,SUM($DW11:$DW22)-SUM($ED11:$ED22)&gt;=VATThreshold,SUM($DW11:$DW22)&gt;=VATThreshold))</f>
        <v/>
      </c>
      <c r="DZ22" s="9">
        <f>IF(DY22,IF(VATAgentMode,DW22-((DW22-ED22)-(DW22-ED22)/(1+VATRate)),DW22/(1+VATRate)),DW22)</f>
        <v/>
      </c>
      <c r="EA22" s="12">
        <f>DW22-DZ22</f>
        <v/>
      </c>
      <c r="EB22" s="12">
        <f>IF(DY22=0,0,IF(CT22=1,SUMPRODUCT(--(($CU$5:$CU22=$CU22-1)*($CT$5:$CT22&gt;=10)*($CT$5:$CT22&lt;=12)),$EA$5:$EA22),IF(CT22=4,SUMPRODUCT(--(($CU$5:$CU22=$CU22)*($CT$5:$CT22&gt;=1)*($CT$5:$CT22&lt;=3)),$EA$5:$EA22),IF(CT22=7,SUMPRODUCT(--(($CU$5:$CU22=$CU22)*($CT$5:$CT22&gt;=4)*($CT$5:$CT22&lt;=6)),$EA$5:$EA22),IF(CT22=10,SUMPRODUCT(--(($CU$5:$CU22=$CU22)*($CT$5:$CT22&gt;=7)*($CT$5:$CT22&lt;=9)),$EA$5:$EA22),0)))))</f>
        <v/>
      </c>
      <c r="EC22" s="12">
        <f>EC21+EA22-EB22</f>
        <v/>
      </c>
      <c r="ED22" s="12">
        <f>IF(ProviderDelay&gt;=1,DK21*BlendedProvPayEss+DL21*BlendedProvPayPrem+DM21*BlendedProvPayElite+DN21*BlendedProvPayEss+DO21*BlendedProvPayPrem+DP21*BlendedProvPayElite,DK22*BlendedProvPayEss+DL22*BlendedProvPayPrem+DM22*BlendedProvPayElite+DN22*BlendedProvPayEss+DO22*BlendedProvPayPrem+DP22*BlendedProvPayElite)</f>
        <v/>
      </c>
      <c r="EE22" s="12">
        <f>DW22*PaymentFee</f>
        <v/>
      </c>
      <c r="EF22" s="12">
        <f>DQ22*OpsAI</f>
        <v/>
      </c>
      <c r="EG22" s="12">
        <f>MonthlyFixed</f>
        <v/>
      </c>
      <c r="EH22" s="12">
        <f>DA22*ReferralReward</f>
        <v/>
      </c>
      <c r="EI22" s="12">
        <f>CY22</f>
        <v/>
      </c>
      <c r="EJ22" s="9">
        <f>DZ22-ED22-EE22-EF22-EG22-EH22-EI22</f>
        <v/>
      </c>
      <c r="EK22" s="9">
        <f>EK21+DW22-(ED22+EE22+EF22+EG22+EH22+EI22+EB22)</f>
        <v/>
      </c>
      <c r="EL22" s="12">
        <f>IF(DQ22&gt;0,DR22/DQ22,0)</f>
        <v/>
      </c>
      <c r="EM22" s="11">
        <f>IF(DQ21&gt;0,MAX(0,(DQ21+DB22-DQ22)/DQ21),0)</f>
        <v/>
      </c>
      <c r="EO22" s="12" t="n">
        <v>18</v>
      </c>
      <c r="EP22" s="12">
        <f>MOD(EO22-1+LaunchMonth-1,12)+1</f>
        <v/>
      </c>
      <c r="EQ22" s="12">
        <f>INT((EO22-1+LaunchMonth-1)/12)+1</f>
        <v/>
      </c>
      <c r="ER22" s="12">
        <f>VLOOKUP(EP22,SeasonTable,2,FALSE)</f>
        <v/>
      </c>
      <c r="ES22" s="12">
        <f>(1+InflationRate)^INT((EO22-1)/12)</f>
        <v/>
      </c>
      <c r="ET22" s="11">
        <f>'Sens - Churn'!$A$13*VLOOKUP(EP22,ChurnSeasonTable,4,FALSE)</f>
        <v/>
      </c>
      <c r="EU22" s="12">
        <f>MIN(MAX(MktMin13_18,FS21*MktPct13_18),MAX(0,GG21-CashBuffer))</f>
        <v/>
      </c>
      <c r="EV22" s="12">
        <f>IF(EU22&gt;0,MAX(1,ROUND(EU22/CAC*ER22,0)),0)</f>
        <v/>
      </c>
      <c r="EW22" s="12">
        <f>IF(EV22&gt;0,ROUND(EV22*ReferralMix/(1-ReferralMix),0),0)</f>
        <v/>
      </c>
      <c r="EX22" s="12">
        <f>EV22+EW22</f>
        <v/>
      </c>
      <c r="EY22" s="12">
        <f>ROUND(EX22*(1-AnnualMix),0)</f>
        <v/>
      </c>
      <c r="EZ22" s="12">
        <f>EX22-EY22</f>
        <v/>
      </c>
      <c r="FA22" s="12">
        <f>ROUND(EY22*EssentialMix,0)</f>
        <v/>
      </c>
      <c r="FB22" s="12">
        <f>ROUND(EY22*PremiumMix,0)</f>
        <v/>
      </c>
      <c r="FC22" s="12">
        <f>EY22-FA22-FB22</f>
        <v/>
      </c>
      <c r="FD22" s="12">
        <f>ROUND(EZ22*EssentialMix,0)</f>
        <v/>
      </c>
      <c r="FE22" s="12">
        <f>ROUND(EZ22*PremiumMix,0)</f>
        <v/>
      </c>
      <c r="FF22" s="12">
        <f>EZ22-FD22-FE22</f>
        <v/>
      </c>
      <c r="FG22" s="12">
        <f>FA22+FA21+FA20+MAX(0,FG21-FA21-FA20)*(1-ET22)</f>
        <v/>
      </c>
      <c r="FH22" s="12">
        <f>FB22+FB21+FB20+MAX(0,FH21-FB21-FB20)*(1-ET22)</f>
        <v/>
      </c>
      <c r="FI22" s="12">
        <f>FC22+FC21+FC20+MAX(0,FI21-FC21-FC20)*(1-ET22)</f>
        <v/>
      </c>
      <c r="FJ22" s="12">
        <f>FJ21+FD22-FD10*(AnnualChurn*VLOOKUP(EP22,ChurnSeasonTable,4,FALSE))*POWER(1-(AnnualChurn*VLOOKUP(EP22,ChurnSeasonTable,4,FALSE)),0)</f>
        <v/>
      </c>
      <c r="FK22" s="12">
        <f>FK21+FE22-FE10*(AnnualChurn*VLOOKUP(EP22,ChurnSeasonTable,4,FALSE))*POWER(1-(AnnualChurn*VLOOKUP(EP22,ChurnSeasonTable,4,FALSE)),0)</f>
        <v/>
      </c>
      <c r="FL22" s="12">
        <f>FL21+FF22-FF10*(AnnualChurn*VLOOKUP(EP22,ChurnSeasonTable,4,FALSE))*POWER(1-(AnnualChurn*VLOOKUP(EP22,ChurnSeasonTable,4,FALSE)),0)</f>
        <v/>
      </c>
      <c r="FM22" s="12">
        <f>FG22+FH22+FI22+FJ22+FK22+FL22</f>
        <v/>
      </c>
      <c r="FN22" s="9">
        <f>FG22*BlendedPriceEssMonthly*ES22+FH22*BlendedPricePremMonthly*ES22+FI22*BlendedPriceEliteMonthly*ES22+FJ22*BlendedPriceEssAnnual*ES22/12+FK22*BlendedPricePremAnnual*ES22/12+FL22*BlendedPriceEliteAnnual*ES22/12</f>
        <v/>
      </c>
      <c r="FO22" s="9">
        <f>FN22*12</f>
        <v/>
      </c>
      <c r="FP22" s="12">
        <f>FG22*BlendedPriceEssMonthly*ES22+FH22*BlendedPricePremMonthly*ES22+FI22*BlendedPriceEliteMonthly*ES22</f>
        <v/>
      </c>
      <c r="FQ22" s="12">
        <f>FD22*BlendedPriceEssAnnual*ES22+FE22*BlendedPricePremAnnual*ES22+FF22*BlendedPriceEliteAnnual*ES22</f>
        <v/>
      </c>
      <c r="FR22" s="12">
        <f>FD10*POWER(1-(AnnualChurn*VLOOKUP(EP22,ChurnSeasonTable,4,FALSE)),1)*BlendedPriceEssAnnual*ES22+FE10*POWER(1-(AnnualChurn*VLOOKUP(EP22,ChurnSeasonTable,4,FALSE)),1)*BlendedPricePremAnnual*ES22+FF10*POWER(1-(AnnualChurn*VLOOKUP(EP22,ChurnSeasonTable,4,FALSE)),1)*BlendedPriceEliteAnnual*ES22</f>
        <v/>
      </c>
      <c r="FS22" s="9">
        <f>FP22+FQ22+FR22</f>
        <v/>
      </c>
      <c r="FT22" s="12">
        <f>SUM(FS11:FS22)</f>
        <v/>
      </c>
      <c r="FU22" s="12">
        <f>OR(FU21,IF(VATAgentMode,SUM($FS11:$FS22)-SUM($FZ11:$FZ22)&gt;=VATThreshold,SUM($FS11:$FS22)&gt;=VATThreshold))</f>
        <v/>
      </c>
      <c r="FV22" s="9">
        <f>IF(FU22,IF(VATAgentMode,FS22-((FS22-FZ22)-(FS22-FZ22)/(1+VATRate)),FS22/(1+VATRate)),FS22)</f>
        <v/>
      </c>
      <c r="FW22" s="12">
        <f>FS22-FV22</f>
        <v/>
      </c>
      <c r="FX22" s="12">
        <f>IF(FU22=0,0,IF(EP22=1,SUMPRODUCT(--(($EQ$5:$EQ22=$EQ22-1)*($EP$5:$EP22&gt;=10)*($EP$5:$EP22&lt;=12)),$FW$5:$FW22),IF(EP22=4,SUMPRODUCT(--(($EQ$5:$EQ22=$EQ22)*($EP$5:$EP22&gt;=1)*($EP$5:$EP22&lt;=3)),$FW$5:$FW22),IF(EP22=7,SUMPRODUCT(--(($EQ$5:$EQ22=$EQ22)*($EP$5:$EP22&gt;=4)*($EP$5:$EP22&lt;=6)),$FW$5:$FW22),IF(EP22=10,SUMPRODUCT(--(($EQ$5:$EQ22=$EQ22)*($EP$5:$EP22&gt;=7)*($EP$5:$EP22&lt;=9)),$FW$5:$FW22),0)))))</f>
        <v/>
      </c>
      <c r="FY22" s="12">
        <f>FY21+FW22-FX22</f>
        <v/>
      </c>
      <c r="FZ22" s="12">
        <f>IF(ProviderDelay&gt;=1,FG21*BlendedProvPayEss+FH21*BlendedProvPayPrem+FI21*BlendedProvPayElite+FJ21*BlendedProvPayEss+FK21*BlendedProvPayPrem+FL21*BlendedProvPayElite,FG22*BlendedProvPayEss+FH22*BlendedProvPayPrem+FI22*BlendedProvPayElite+FJ22*BlendedProvPayEss+FK22*BlendedProvPayPrem+FL22*BlendedProvPayElite)</f>
        <v/>
      </c>
      <c r="GA22" s="12">
        <f>FS22*PaymentFee</f>
        <v/>
      </c>
      <c r="GB22" s="12">
        <f>FM22*OpsAI</f>
        <v/>
      </c>
      <c r="GC22" s="12">
        <f>MonthlyFixed</f>
        <v/>
      </c>
      <c r="GD22" s="12">
        <f>EW22*ReferralReward</f>
        <v/>
      </c>
      <c r="GE22" s="12">
        <f>EU22</f>
        <v/>
      </c>
      <c r="GF22" s="9">
        <f>FV22-FZ22-GA22-GB22-GC22-GD22-GE22</f>
        <v/>
      </c>
      <c r="GG22" s="9">
        <f>GG21+FS22-(FZ22+GA22+GB22+GC22+GD22+GE22+FX22)</f>
        <v/>
      </c>
      <c r="GH22" s="12">
        <f>IF(FM22&gt;0,FN22/FM22,0)</f>
        <v/>
      </c>
      <c r="GI22" s="11">
        <f>IF(FM21&gt;0,MAX(0,(FM21+EX22-FM22)/FM21),0)</f>
        <v/>
      </c>
      <c r="GK22" s="12" t="n">
        <v>18</v>
      </c>
      <c r="GL22" s="12">
        <f>MOD(GK22-1+LaunchMonth-1,12)+1</f>
        <v/>
      </c>
      <c r="GM22" s="12">
        <f>INT((GK22-1+LaunchMonth-1)/12)+1</f>
        <v/>
      </c>
      <c r="GN22" s="12">
        <f>VLOOKUP(GL22,SeasonTable,2,FALSE)</f>
        <v/>
      </c>
      <c r="GO22" s="12">
        <f>(1+InflationRate)^INT((GK22-1)/12)</f>
        <v/>
      </c>
      <c r="GP22" s="11">
        <f>'Sens - Churn'!$A$14*VLOOKUP(GL22,ChurnSeasonTable,4,FALSE)</f>
        <v/>
      </c>
      <c r="GQ22" s="12">
        <f>MIN(MAX(MktMin13_18,HO21*MktPct13_18),MAX(0,IC21-CashBuffer))</f>
        <v/>
      </c>
      <c r="GR22" s="12">
        <f>IF(GQ22&gt;0,MAX(1,ROUND(GQ22/CAC*GN22,0)),0)</f>
        <v/>
      </c>
      <c r="GS22" s="12">
        <f>IF(GR22&gt;0,ROUND(GR22*ReferralMix/(1-ReferralMix),0),0)</f>
        <v/>
      </c>
      <c r="GT22" s="12">
        <f>GR22+GS22</f>
        <v/>
      </c>
      <c r="GU22" s="12">
        <f>ROUND(GT22*(1-AnnualMix),0)</f>
        <v/>
      </c>
      <c r="GV22" s="12">
        <f>GT22-GU22</f>
        <v/>
      </c>
      <c r="GW22" s="12">
        <f>ROUND(GU22*EssentialMix,0)</f>
        <v/>
      </c>
      <c r="GX22" s="12">
        <f>ROUND(GU22*PremiumMix,0)</f>
        <v/>
      </c>
      <c r="GY22" s="12">
        <f>GU22-GW22-GX22</f>
        <v/>
      </c>
      <c r="GZ22" s="12">
        <f>ROUND(GV22*EssentialMix,0)</f>
        <v/>
      </c>
      <c r="HA22" s="12">
        <f>ROUND(GV22*PremiumMix,0)</f>
        <v/>
      </c>
      <c r="HB22" s="12">
        <f>GV22-GZ22-HA22</f>
        <v/>
      </c>
      <c r="HC22" s="12">
        <f>GW22+GW21+GW20+MAX(0,HC21-GW21-GW20)*(1-GP22)</f>
        <v/>
      </c>
      <c r="HD22" s="12">
        <f>GX22+GX21+GX20+MAX(0,HD21-GX21-GX20)*(1-GP22)</f>
        <v/>
      </c>
      <c r="HE22" s="12">
        <f>GY22+GY21+GY20+MAX(0,HE21-GY21-GY20)*(1-GP22)</f>
        <v/>
      </c>
      <c r="HF22" s="12">
        <f>HF21+GZ22-GZ10*(AnnualChurn*VLOOKUP(GL22,ChurnSeasonTable,4,FALSE))*POWER(1-(AnnualChurn*VLOOKUP(GL22,ChurnSeasonTable,4,FALSE)),0)</f>
        <v/>
      </c>
      <c r="HG22" s="12">
        <f>HG21+HA22-HA10*(AnnualChurn*VLOOKUP(GL22,ChurnSeasonTable,4,FALSE))*POWER(1-(AnnualChurn*VLOOKUP(GL22,ChurnSeasonTable,4,FALSE)),0)</f>
        <v/>
      </c>
      <c r="HH22" s="12">
        <f>HH21+HB22-HB10*(AnnualChurn*VLOOKUP(GL22,ChurnSeasonTable,4,FALSE))*POWER(1-(AnnualChurn*VLOOKUP(GL22,ChurnSeasonTable,4,FALSE)),0)</f>
        <v/>
      </c>
      <c r="HI22" s="12">
        <f>HC22+HD22+HE22+HF22+HG22+HH22</f>
        <v/>
      </c>
      <c r="HJ22" s="9">
        <f>HC22*BlendedPriceEssMonthly*GO22+HD22*BlendedPricePremMonthly*GO22+HE22*BlendedPriceEliteMonthly*GO22+HF22*BlendedPriceEssAnnual*GO22/12+HG22*BlendedPricePremAnnual*GO22/12+HH22*BlendedPriceEliteAnnual*GO22/12</f>
        <v/>
      </c>
      <c r="HK22" s="9">
        <f>HJ22*12</f>
        <v/>
      </c>
      <c r="HL22" s="12">
        <f>HC22*BlendedPriceEssMonthly*GO22+HD22*BlendedPricePremMonthly*GO22+HE22*BlendedPriceEliteMonthly*GO22</f>
        <v/>
      </c>
      <c r="HM22" s="12">
        <f>GZ22*BlendedPriceEssAnnual*GO22+HA22*BlendedPricePremAnnual*GO22+HB22*BlendedPriceEliteAnnual*GO22</f>
        <v/>
      </c>
      <c r="HN22" s="12">
        <f>GZ10*POWER(1-(AnnualChurn*VLOOKUP(GL22,ChurnSeasonTable,4,FALSE)),1)*BlendedPriceEssAnnual*GO22+HA10*POWER(1-(AnnualChurn*VLOOKUP(GL22,ChurnSeasonTable,4,FALSE)),1)*BlendedPricePremAnnual*GO22+HB10*POWER(1-(AnnualChurn*VLOOKUP(GL22,ChurnSeasonTable,4,FALSE)),1)*BlendedPriceEliteAnnual*GO22</f>
        <v/>
      </c>
      <c r="HO22" s="9">
        <f>HL22+HM22+HN22</f>
        <v/>
      </c>
      <c r="HP22" s="12">
        <f>SUM(HO11:HO22)</f>
        <v/>
      </c>
      <c r="HQ22" s="12">
        <f>OR(HQ21,IF(VATAgentMode,SUM($HO11:$HO22)-SUM($HV11:$HV22)&gt;=VATThreshold,SUM($HO11:$HO22)&gt;=VATThreshold))</f>
        <v/>
      </c>
      <c r="HR22" s="9">
        <f>IF(HQ22,IF(VATAgentMode,HO22-((HO22-HV22)-(HO22-HV22)/(1+VATRate)),HO22/(1+VATRate)),HO22)</f>
        <v/>
      </c>
      <c r="HS22" s="12">
        <f>HO22-HR22</f>
        <v/>
      </c>
      <c r="HT22" s="12">
        <f>IF(HQ22=0,0,IF(GL22=1,SUMPRODUCT(--(($GM$5:$GM22=$GM22-1)*($GL$5:$GL22&gt;=10)*($GL$5:$GL22&lt;=12)),$HS$5:$HS22),IF(GL22=4,SUMPRODUCT(--(($GM$5:$GM22=$GM22)*($GL$5:$GL22&gt;=1)*($GL$5:$GL22&lt;=3)),$HS$5:$HS22),IF(GL22=7,SUMPRODUCT(--(($GM$5:$GM22=$GM22)*($GL$5:$GL22&gt;=4)*($GL$5:$GL22&lt;=6)),$HS$5:$HS22),IF(GL22=10,SUMPRODUCT(--(($GM$5:$GM22=$GM22)*($GL$5:$GL22&gt;=7)*($GL$5:$GL22&lt;=9)),$HS$5:$HS22),0)))))</f>
        <v/>
      </c>
      <c r="HU22" s="12">
        <f>HU21+HS22-HT22</f>
        <v/>
      </c>
      <c r="HV22" s="12">
        <f>IF(ProviderDelay&gt;=1,HC21*BlendedProvPayEss+HD21*BlendedProvPayPrem+HE21*BlendedProvPayElite+HF21*BlendedProvPayEss+HG21*BlendedProvPayPrem+HH21*BlendedProvPayElite,HC22*BlendedProvPayEss+HD22*BlendedProvPayPrem+HE22*BlendedProvPayElite+HF22*BlendedProvPayEss+HG22*BlendedProvPayPrem+HH22*BlendedProvPayElite)</f>
        <v/>
      </c>
      <c r="HW22" s="12">
        <f>HO22*PaymentFee</f>
        <v/>
      </c>
      <c r="HX22" s="12">
        <f>HI22*OpsAI</f>
        <v/>
      </c>
      <c r="HY22" s="12">
        <f>MonthlyFixed</f>
        <v/>
      </c>
      <c r="HZ22" s="12">
        <f>GS22*ReferralReward</f>
        <v/>
      </c>
      <c r="IA22" s="12">
        <f>GQ22</f>
        <v/>
      </c>
      <c r="IB22" s="9">
        <f>HR22-HV22-HW22-HX22-HY22-HZ22-IA22</f>
        <v/>
      </c>
      <c r="IC22" s="9">
        <f>IC21+HO22-(HV22+HW22+HX22+HY22+HZ22+IA22+HT22)</f>
        <v/>
      </c>
      <c r="ID22" s="12">
        <f>IF(HI22&gt;0,HJ22/HI22,0)</f>
        <v/>
      </c>
      <c r="IE22" s="11">
        <f>IF(HI21&gt;0,MAX(0,(HI21+GT22-HI22)/HI21),0)</f>
        <v/>
      </c>
      <c r="IG22" s="12" t="n">
        <v>18</v>
      </c>
      <c r="IH22" s="12">
        <f>MOD(IG22-1+LaunchMonth-1,12)+1</f>
        <v/>
      </c>
      <c r="II22" s="12">
        <f>INT((IG22-1+LaunchMonth-1)/12)+1</f>
        <v/>
      </c>
      <c r="IJ22" s="12">
        <f>VLOOKUP(IH22,SeasonTable,2,FALSE)</f>
        <v/>
      </c>
      <c r="IK22" s="12">
        <f>(1+InflationRate)^INT((IG22-1)/12)</f>
        <v/>
      </c>
      <c r="IL22" s="11">
        <f>'Sens - Churn'!$A$15*VLOOKUP(IH22,ChurnSeasonTable,4,FALSE)</f>
        <v/>
      </c>
      <c r="IM22" s="12">
        <f>MIN(MAX(MktMin13_18,JK21*MktPct13_18),MAX(0,JY21-CashBuffer))</f>
        <v/>
      </c>
      <c r="IN22" s="12">
        <f>IF(IM22&gt;0,MAX(1,ROUND(IM22/CAC*IJ22,0)),0)</f>
        <v/>
      </c>
      <c r="IO22" s="12">
        <f>IF(IN22&gt;0,ROUND(IN22*ReferralMix/(1-ReferralMix),0),0)</f>
        <v/>
      </c>
      <c r="IP22" s="12">
        <f>IN22+IO22</f>
        <v/>
      </c>
      <c r="IQ22" s="12">
        <f>ROUND(IP22*(1-AnnualMix),0)</f>
        <v/>
      </c>
      <c r="IR22" s="12">
        <f>IP22-IQ22</f>
        <v/>
      </c>
      <c r="IS22" s="12">
        <f>ROUND(IQ22*EssentialMix,0)</f>
        <v/>
      </c>
      <c r="IT22" s="12">
        <f>ROUND(IQ22*PremiumMix,0)</f>
        <v/>
      </c>
      <c r="IU22" s="12">
        <f>IQ22-IS22-IT22</f>
        <v/>
      </c>
      <c r="IV22" s="12">
        <f>ROUND(IR22*EssentialMix,0)</f>
        <v/>
      </c>
      <c r="IW22" s="12">
        <f>ROUND(IR22*PremiumMix,0)</f>
        <v/>
      </c>
      <c r="IX22" s="12">
        <f>IR22-IV22-IW22</f>
        <v/>
      </c>
      <c r="IY22" s="12">
        <f>IS22+IS21+IS20+MAX(0,IY21-IS21-IS20)*(1-IL22)</f>
        <v/>
      </c>
      <c r="IZ22" s="12">
        <f>IT22+IT21+IT20+MAX(0,IZ21-IT21-IT20)*(1-IL22)</f>
        <v/>
      </c>
      <c r="JA22" s="12">
        <f>IU22+IU21+IU20+MAX(0,JA21-IU21-IU20)*(1-IL22)</f>
        <v/>
      </c>
      <c r="JB22" s="12">
        <f>JB21+IV22-IV10*(AnnualChurn*VLOOKUP(IH22,ChurnSeasonTable,4,FALSE))*POWER(1-(AnnualChurn*VLOOKUP(IH22,ChurnSeasonTable,4,FALSE)),0)</f>
        <v/>
      </c>
      <c r="JC22" s="12">
        <f>JC21+IW22-IW10*(AnnualChurn*VLOOKUP(IH22,ChurnSeasonTable,4,FALSE))*POWER(1-(AnnualChurn*VLOOKUP(IH22,ChurnSeasonTable,4,FALSE)),0)</f>
        <v/>
      </c>
      <c r="JD22" s="12">
        <f>JD21+IX22-IX10*(AnnualChurn*VLOOKUP(IH22,ChurnSeasonTable,4,FALSE))*POWER(1-(AnnualChurn*VLOOKUP(IH22,ChurnSeasonTable,4,FALSE)),0)</f>
        <v/>
      </c>
      <c r="JE22" s="12">
        <f>IY22+IZ22+JA22+JB22+JC22+JD22</f>
        <v/>
      </c>
      <c r="JF22" s="9">
        <f>IY22*BlendedPriceEssMonthly*IK22+IZ22*BlendedPricePremMonthly*IK22+JA22*BlendedPriceEliteMonthly*IK22+JB22*BlendedPriceEssAnnual*IK22/12+JC22*BlendedPricePremAnnual*IK22/12+JD22*BlendedPriceEliteAnnual*IK22/12</f>
        <v/>
      </c>
      <c r="JG22" s="9">
        <f>JF22*12</f>
        <v/>
      </c>
      <c r="JH22" s="12">
        <f>IY22*BlendedPriceEssMonthly*IK22+IZ22*BlendedPricePremMonthly*IK22+JA22*BlendedPriceEliteMonthly*IK22</f>
        <v/>
      </c>
      <c r="JI22" s="12">
        <f>IV22*BlendedPriceEssAnnual*IK22+IW22*BlendedPricePremAnnual*IK22+IX22*BlendedPriceEliteAnnual*IK22</f>
        <v/>
      </c>
      <c r="JJ22" s="12">
        <f>IV10*POWER(1-(AnnualChurn*VLOOKUP(IH22,ChurnSeasonTable,4,FALSE)),1)*BlendedPriceEssAnnual*IK22+IW10*POWER(1-(AnnualChurn*VLOOKUP(IH22,ChurnSeasonTable,4,FALSE)),1)*BlendedPricePremAnnual*IK22+IX10*POWER(1-(AnnualChurn*VLOOKUP(IH22,ChurnSeasonTable,4,FALSE)),1)*BlendedPriceEliteAnnual*IK22</f>
        <v/>
      </c>
      <c r="JK22" s="9">
        <f>JH22+JI22+JJ22</f>
        <v/>
      </c>
      <c r="JL22" s="12">
        <f>SUM(JK11:JK22)</f>
        <v/>
      </c>
      <c r="JM22" s="12">
        <f>OR(JM21,IF(VATAgentMode,SUM($JK11:$JK22)-SUM($JR11:$JR22)&gt;=VATThreshold,SUM($JK11:$JK22)&gt;=VATThreshold))</f>
        <v/>
      </c>
      <c r="JN22" s="9">
        <f>IF(JM22,IF(VATAgentMode,JK22-((JK22-JR22)-(JK22-JR22)/(1+VATRate)),JK22/(1+VATRate)),JK22)</f>
        <v/>
      </c>
      <c r="JO22" s="12">
        <f>JK22-JN22</f>
        <v/>
      </c>
      <c r="JP22" s="12">
        <f>IF(JM22=0,0,IF(IH22=1,SUMPRODUCT(--(($II$5:$II22=$II22-1)*($IH$5:$IH22&gt;=10)*($IH$5:$IH22&lt;=12)),$JO$5:$JO22),IF(IH22=4,SUMPRODUCT(--(($II$5:$II22=$II22)*($IH$5:$IH22&gt;=1)*($IH$5:$IH22&lt;=3)),$JO$5:$JO22),IF(IH22=7,SUMPRODUCT(--(($II$5:$II22=$II22)*($IH$5:$IH22&gt;=4)*($IH$5:$IH22&lt;=6)),$JO$5:$JO22),IF(IH22=10,SUMPRODUCT(--(($II$5:$II22=$II22)*($IH$5:$IH22&gt;=7)*($IH$5:$IH22&lt;=9)),$JO$5:$JO22),0)))))</f>
        <v/>
      </c>
      <c r="JQ22" s="12">
        <f>JQ21+JO22-JP22</f>
        <v/>
      </c>
      <c r="JR22" s="12">
        <f>IF(ProviderDelay&gt;=1,IY21*BlendedProvPayEss+IZ21*BlendedProvPayPrem+JA21*BlendedProvPayElite+JB21*BlendedProvPayEss+JC21*BlendedProvPayPrem+JD21*BlendedProvPayElite,IY22*BlendedProvPayEss+IZ22*BlendedProvPayPrem+JA22*BlendedProvPayElite+JB22*BlendedProvPayEss+JC22*BlendedProvPayPrem+JD22*BlendedProvPayElite)</f>
        <v/>
      </c>
      <c r="JS22" s="12">
        <f>JK22*PaymentFee</f>
        <v/>
      </c>
      <c r="JT22" s="12">
        <f>JE22*OpsAI</f>
        <v/>
      </c>
      <c r="JU22" s="12">
        <f>MonthlyFixed</f>
        <v/>
      </c>
      <c r="JV22" s="12">
        <f>IO22*ReferralReward</f>
        <v/>
      </c>
      <c r="JW22" s="12">
        <f>IM22</f>
        <v/>
      </c>
      <c r="JX22" s="9">
        <f>JN22-JR22-JS22-JT22-JU22-JV22-JW22</f>
        <v/>
      </c>
      <c r="JY22" s="9">
        <f>JY21+JK22-(JR22+JS22+JT22+JU22+JV22+JW22+JP22)</f>
        <v/>
      </c>
      <c r="JZ22" s="12">
        <f>IF(JE22&gt;0,JF22/JE22,0)</f>
        <v/>
      </c>
      <c r="KA22" s="11">
        <f>IF(JE21&gt;0,MAX(0,(JE21+IP22-JE22)/JE21),0)</f>
        <v/>
      </c>
      <c r="KC22" s="12" t="n">
        <v>18</v>
      </c>
      <c r="KD22" s="12">
        <f>MOD(KC22-1+LaunchMonth-1,12)+1</f>
        <v/>
      </c>
      <c r="KE22" s="12">
        <f>INT((KC22-1+LaunchMonth-1)/12)+1</f>
        <v/>
      </c>
      <c r="KF22" s="12">
        <f>VLOOKUP(KD22,SeasonTable,2,FALSE)</f>
        <v/>
      </c>
      <c r="KG22" s="12">
        <f>(1+InflationRate)^INT((KC22-1)/12)</f>
        <v/>
      </c>
      <c r="KH22" s="11">
        <f>'Sens - Churn'!$A$16*VLOOKUP(KD22,ChurnSeasonTable,4,FALSE)</f>
        <v/>
      </c>
      <c r="KI22" s="12">
        <f>MIN(MAX(MktMin13_18,LG21*MktPct13_18),MAX(0,LU21-CashBuffer))</f>
        <v/>
      </c>
      <c r="KJ22" s="12">
        <f>IF(KI22&gt;0,MAX(1,ROUND(KI22/CAC*KF22,0)),0)</f>
        <v/>
      </c>
      <c r="KK22" s="12">
        <f>IF(KJ22&gt;0,ROUND(KJ22*ReferralMix/(1-ReferralMix),0),0)</f>
        <v/>
      </c>
      <c r="KL22" s="12">
        <f>KJ22+KK22</f>
        <v/>
      </c>
      <c r="KM22" s="12">
        <f>ROUND(KL22*(1-AnnualMix),0)</f>
        <v/>
      </c>
      <c r="KN22" s="12">
        <f>KL22-KM22</f>
        <v/>
      </c>
      <c r="KO22" s="12">
        <f>ROUND(KM22*EssentialMix,0)</f>
        <v/>
      </c>
      <c r="KP22" s="12">
        <f>ROUND(KM22*PremiumMix,0)</f>
        <v/>
      </c>
      <c r="KQ22" s="12">
        <f>KM22-KO22-KP22</f>
        <v/>
      </c>
      <c r="KR22" s="12">
        <f>ROUND(KN22*EssentialMix,0)</f>
        <v/>
      </c>
      <c r="KS22" s="12">
        <f>ROUND(KN22*PremiumMix,0)</f>
        <v/>
      </c>
      <c r="KT22" s="12">
        <f>KN22-KR22-KS22</f>
        <v/>
      </c>
      <c r="KU22" s="12">
        <f>KO22+KO21+KO20+MAX(0,KU21-KO21-KO20)*(1-KH22)</f>
        <v/>
      </c>
      <c r="KV22" s="12">
        <f>KP22+KP21+KP20+MAX(0,KV21-KP21-KP20)*(1-KH22)</f>
        <v/>
      </c>
      <c r="KW22" s="12">
        <f>KQ22+KQ21+KQ20+MAX(0,KW21-KQ21-KQ20)*(1-KH22)</f>
        <v/>
      </c>
      <c r="KX22" s="12">
        <f>KX21+KR22-KR10*(AnnualChurn*VLOOKUP(KD22,ChurnSeasonTable,4,FALSE))*POWER(1-(AnnualChurn*VLOOKUP(KD22,ChurnSeasonTable,4,FALSE)),0)</f>
        <v/>
      </c>
      <c r="KY22" s="12">
        <f>KY21+KS22-KS10*(AnnualChurn*VLOOKUP(KD22,ChurnSeasonTable,4,FALSE))*POWER(1-(AnnualChurn*VLOOKUP(KD22,ChurnSeasonTable,4,FALSE)),0)</f>
        <v/>
      </c>
      <c r="KZ22" s="12">
        <f>KZ21+KT22-KT10*(AnnualChurn*VLOOKUP(KD22,ChurnSeasonTable,4,FALSE))*POWER(1-(AnnualChurn*VLOOKUP(KD22,ChurnSeasonTable,4,FALSE)),0)</f>
        <v/>
      </c>
      <c r="LA22" s="12">
        <f>KU22+KV22+KW22+KX22+KY22+KZ22</f>
        <v/>
      </c>
      <c r="LB22" s="9">
        <f>KU22*BlendedPriceEssMonthly*KG22+KV22*BlendedPricePremMonthly*KG22+KW22*BlendedPriceEliteMonthly*KG22+KX22*BlendedPriceEssAnnual*KG22/12+KY22*BlendedPricePremAnnual*KG22/12+KZ22*BlendedPriceEliteAnnual*KG22/12</f>
        <v/>
      </c>
      <c r="LC22" s="9">
        <f>LB22*12</f>
        <v/>
      </c>
      <c r="LD22" s="12">
        <f>KU22*BlendedPriceEssMonthly*KG22+KV22*BlendedPricePremMonthly*KG22+KW22*BlendedPriceEliteMonthly*KG22</f>
        <v/>
      </c>
      <c r="LE22" s="12">
        <f>KR22*BlendedPriceEssAnnual*KG22+KS22*BlendedPricePremAnnual*KG22+KT22*BlendedPriceEliteAnnual*KG22</f>
        <v/>
      </c>
      <c r="LF22" s="12">
        <f>KR10*POWER(1-(AnnualChurn*VLOOKUP(KD22,ChurnSeasonTable,4,FALSE)),1)*BlendedPriceEssAnnual*KG22+KS10*POWER(1-(AnnualChurn*VLOOKUP(KD22,ChurnSeasonTable,4,FALSE)),1)*BlendedPricePremAnnual*KG22+KT10*POWER(1-(AnnualChurn*VLOOKUP(KD22,ChurnSeasonTable,4,FALSE)),1)*BlendedPriceEliteAnnual*KG22</f>
        <v/>
      </c>
      <c r="LG22" s="9">
        <f>LD22+LE22+LF22</f>
        <v/>
      </c>
      <c r="LH22" s="12">
        <f>SUM(LG11:LG22)</f>
        <v/>
      </c>
      <c r="LI22" s="12">
        <f>OR(LI21,IF(VATAgentMode,SUM($LG11:$LG22)-SUM($LN11:$LN22)&gt;=VATThreshold,SUM($LG11:$LG22)&gt;=VATThreshold))</f>
        <v/>
      </c>
      <c r="LJ22" s="9">
        <f>IF(LI22,IF(VATAgentMode,LG22-((LG22-LN22)-(LG22-LN22)/(1+VATRate)),LG22/(1+VATRate)),LG22)</f>
        <v/>
      </c>
      <c r="LK22" s="12">
        <f>LG22-LJ22</f>
        <v/>
      </c>
      <c r="LL22" s="12">
        <f>IF(LI22=0,0,IF(KD22=1,SUMPRODUCT(--(($KE$5:$KE22=$KE22-1)*($KD$5:$KD22&gt;=10)*($KD$5:$KD22&lt;=12)),$LK$5:$LK22),IF(KD22=4,SUMPRODUCT(--(($KE$5:$KE22=$KE22)*($KD$5:$KD22&gt;=1)*($KD$5:$KD22&lt;=3)),$LK$5:$LK22),IF(KD22=7,SUMPRODUCT(--(($KE$5:$KE22=$KE22)*($KD$5:$KD22&gt;=4)*($KD$5:$KD22&lt;=6)),$LK$5:$LK22),IF(KD22=10,SUMPRODUCT(--(($KE$5:$KE22=$KE22)*($KD$5:$KD22&gt;=7)*($KD$5:$KD22&lt;=9)),$LK$5:$LK22),0)))))</f>
        <v/>
      </c>
      <c r="LM22" s="12">
        <f>LM21+LK22-LL22</f>
        <v/>
      </c>
      <c r="LN22" s="12">
        <f>IF(ProviderDelay&gt;=1,KU21*BlendedProvPayEss+KV21*BlendedProvPayPrem+KW21*BlendedProvPayElite+KX21*BlendedProvPayEss+KY21*BlendedProvPayPrem+KZ21*BlendedProvPayElite,KU22*BlendedProvPayEss+KV22*BlendedProvPayPrem+KW22*BlendedProvPayElite+KX22*BlendedProvPayEss+KY22*BlendedProvPayPrem+KZ22*BlendedProvPayElite)</f>
        <v/>
      </c>
      <c r="LO22" s="12">
        <f>LG22*PaymentFee</f>
        <v/>
      </c>
      <c r="LP22" s="12">
        <f>LA22*OpsAI</f>
        <v/>
      </c>
      <c r="LQ22" s="12">
        <f>MonthlyFixed</f>
        <v/>
      </c>
      <c r="LR22" s="12">
        <f>KK22*ReferralReward</f>
        <v/>
      </c>
      <c r="LS22" s="12">
        <f>KI22</f>
        <v/>
      </c>
      <c r="LT22" s="9">
        <f>LJ22-LN22-LO22-LP22-LQ22-LR22-LS22</f>
        <v/>
      </c>
      <c r="LU22" s="9">
        <f>LU21+LG22-(LN22+LO22+LP22+LQ22+LR22+LS22+LL22)</f>
        <v/>
      </c>
      <c r="LV22" s="12">
        <f>IF(LA22&gt;0,LB22/LA22,0)</f>
        <v/>
      </c>
      <c r="LW22" s="11">
        <f>IF(LA21&gt;0,MAX(0,(LA21+KL22-LA22)/LA21),0)</f>
        <v/>
      </c>
      <c r="LY22" s="12" t="n">
        <v>18</v>
      </c>
      <c r="LZ22" s="12">
        <f>MOD(LY22-1+LaunchMonth-1,12)+1</f>
        <v/>
      </c>
      <c r="MA22" s="12">
        <f>INT((LY22-1+LaunchMonth-1)/12)+1</f>
        <v/>
      </c>
      <c r="MB22" s="12">
        <f>VLOOKUP(LZ22,SeasonTable,2,FALSE)</f>
        <v/>
      </c>
      <c r="MC22" s="12">
        <f>(1+InflationRate)^INT((LY22-1)/12)</f>
        <v/>
      </c>
      <c r="MD22" s="11">
        <f>'Sens - Churn'!$A$17*VLOOKUP(LZ22,ChurnSeasonTable,4,FALSE)</f>
        <v/>
      </c>
      <c r="ME22" s="12">
        <f>MIN(MAX(MktMin13_18,NC21*MktPct13_18),MAX(0,NQ21-CashBuffer))</f>
        <v/>
      </c>
      <c r="MF22" s="12">
        <f>IF(ME22&gt;0,MAX(1,ROUND(ME22/CAC*MB22,0)),0)</f>
        <v/>
      </c>
      <c r="MG22" s="12">
        <f>IF(MF22&gt;0,ROUND(MF22*ReferralMix/(1-ReferralMix),0),0)</f>
        <v/>
      </c>
      <c r="MH22" s="12">
        <f>MF22+MG22</f>
        <v/>
      </c>
      <c r="MI22" s="12">
        <f>ROUND(MH22*(1-AnnualMix),0)</f>
        <v/>
      </c>
      <c r="MJ22" s="12">
        <f>MH22-MI22</f>
        <v/>
      </c>
      <c r="MK22" s="12">
        <f>ROUND(MI22*EssentialMix,0)</f>
        <v/>
      </c>
      <c r="ML22" s="12">
        <f>ROUND(MI22*PremiumMix,0)</f>
        <v/>
      </c>
      <c r="MM22" s="12">
        <f>MI22-MK22-ML22</f>
        <v/>
      </c>
      <c r="MN22" s="12">
        <f>ROUND(MJ22*EssentialMix,0)</f>
        <v/>
      </c>
      <c r="MO22" s="12">
        <f>ROUND(MJ22*PremiumMix,0)</f>
        <v/>
      </c>
      <c r="MP22" s="12">
        <f>MJ22-MN22-MO22</f>
        <v/>
      </c>
      <c r="MQ22" s="12">
        <f>MK22+MK21+MK20+MAX(0,MQ21-MK21-MK20)*(1-MD22)</f>
        <v/>
      </c>
      <c r="MR22" s="12">
        <f>ML22+ML21+ML20+MAX(0,MR21-ML21-ML20)*(1-MD22)</f>
        <v/>
      </c>
      <c r="MS22" s="12">
        <f>MM22+MM21+MM20+MAX(0,MS21-MM21-MM20)*(1-MD22)</f>
        <v/>
      </c>
      <c r="MT22" s="12">
        <f>MT21+MN22-MN10*(AnnualChurn*VLOOKUP(LZ22,ChurnSeasonTable,4,FALSE))*POWER(1-(AnnualChurn*VLOOKUP(LZ22,ChurnSeasonTable,4,FALSE)),0)</f>
        <v/>
      </c>
      <c r="MU22" s="12">
        <f>MU21+MO22-MO10*(AnnualChurn*VLOOKUP(LZ22,ChurnSeasonTable,4,FALSE))*POWER(1-(AnnualChurn*VLOOKUP(LZ22,ChurnSeasonTable,4,FALSE)),0)</f>
        <v/>
      </c>
      <c r="MV22" s="12">
        <f>MV21+MP22-MP10*(AnnualChurn*VLOOKUP(LZ22,ChurnSeasonTable,4,FALSE))*POWER(1-(AnnualChurn*VLOOKUP(LZ22,ChurnSeasonTable,4,FALSE)),0)</f>
        <v/>
      </c>
      <c r="MW22" s="12">
        <f>MQ22+MR22+MS22+MT22+MU22+MV22</f>
        <v/>
      </c>
      <c r="MX22" s="9">
        <f>MQ22*BlendedPriceEssMonthly*MC22+MR22*BlendedPricePremMonthly*MC22+MS22*BlendedPriceEliteMonthly*MC22+MT22*BlendedPriceEssAnnual*MC22/12+MU22*BlendedPricePremAnnual*MC22/12+MV22*BlendedPriceEliteAnnual*MC22/12</f>
        <v/>
      </c>
      <c r="MY22" s="9">
        <f>MX22*12</f>
        <v/>
      </c>
      <c r="MZ22" s="12">
        <f>MQ22*BlendedPriceEssMonthly*MC22+MR22*BlendedPricePremMonthly*MC22+MS22*BlendedPriceEliteMonthly*MC22</f>
        <v/>
      </c>
      <c r="NA22" s="12">
        <f>MN22*BlendedPriceEssAnnual*MC22+MO22*BlendedPricePremAnnual*MC22+MP22*BlendedPriceEliteAnnual*MC22</f>
        <v/>
      </c>
      <c r="NB22" s="12">
        <f>MN10*POWER(1-(AnnualChurn*VLOOKUP(LZ22,ChurnSeasonTable,4,FALSE)),1)*BlendedPriceEssAnnual*MC22+MO10*POWER(1-(AnnualChurn*VLOOKUP(LZ22,ChurnSeasonTable,4,FALSE)),1)*BlendedPricePremAnnual*MC22+MP10*POWER(1-(AnnualChurn*VLOOKUP(LZ22,ChurnSeasonTable,4,FALSE)),1)*BlendedPriceEliteAnnual*MC22</f>
        <v/>
      </c>
      <c r="NC22" s="9">
        <f>MZ22+NA22+NB22</f>
        <v/>
      </c>
      <c r="ND22" s="12">
        <f>SUM(NC11:NC22)</f>
        <v/>
      </c>
      <c r="NE22" s="12">
        <f>OR(NE21,IF(VATAgentMode,SUM($NC11:$NC22)-SUM($NJ11:$NJ22)&gt;=VATThreshold,SUM($NC11:$NC22)&gt;=VATThreshold))</f>
        <v/>
      </c>
      <c r="NF22" s="9">
        <f>IF(NE22,IF(VATAgentMode,NC22-((NC22-NJ22)-(NC22-NJ22)/(1+VATRate)),NC22/(1+VATRate)),NC22)</f>
        <v/>
      </c>
      <c r="NG22" s="12">
        <f>NC22-NF22</f>
        <v/>
      </c>
      <c r="NH22" s="12">
        <f>IF(NE22=0,0,IF(LZ22=1,SUMPRODUCT(--(($MA$5:$MA22=$MA22-1)*($LZ$5:$LZ22&gt;=10)*($LZ$5:$LZ22&lt;=12)),$NG$5:$NG22),IF(LZ22=4,SUMPRODUCT(--(($MA$5:$MA22=$MA22)*($LZ$5:$LZ22&gt;=1)*($LZ$5:$LZ22&lt;=3)),$NG$5:$NG22),IF(LZ22=7,SUMPRODUCT(--(($MA$5:$MA22=$MA22)*($LZ$5:$LZ22&gt;=4)*($LZ$5:$LZ22&lt;=6)),$NG$5:$NG22),IF(LZ22=10,SUMPRODUCT(--(($MA$5:$MA22=$MA22)*($LZ$5:$LZ22&gt;=7)*($LZ$5:$LZ22&lt;=9)),$NG$5:$NG22),0)))))</f>
        <v/>
      </c>
      <c r="NI22" s="12">
        <f>NI21+NG22-NH22</f>
        <v/>
      </c>
      <c r="NJ22" s="12">
        <f>IF(ProviderDelay&gt;=1,MQ21*BlendedProvPayEss+MR21*BlendedProvPayPrem+MS21*BlendedProvPayElite+MT21*BlendedProvPayEss+MU21*BlendedProvPayPrem+MV21*BlendedProvPayElite,MQ22*BlendedProvPayEss+MR22*BlendedProvPayPrem+MS22*BlendedProvPayElite+MT22*BlendedProvPayEss+MU22*BlendedProvPayPrem+MV22*BlendedProvPayElite)</f>
        <v/>
      </c>
      <c r="NK22" s="12">
        <f>NC22*PaymentFee</f>
        <v/>
      </c>
      <c r="NL22" s="12">
        <f>MW22*OpsAI</f>
        <v/>
      </c>
      <c r="NM22" s="12">
        <f>MonthlyFixed</f>
        <v/>
      </c>
      <c r="NN22" s="12">
        <f>MG22*ReferralReward</f>
        <v/>
      </c>
      <c r="NO22" s="12">
        <f>ME22</f>
        <v/>
      </c>
      <c r="NP22" s="9">
        <f>NF22-NJ22-NK22-NL22-NM22-NN22-NO22</f>
        <v/>
      </c>
      <c r="NQ22" s="9">
        <f>NQ21+NC22-(NJ22+NK22+NL22+NM22+NN22+NO22+NH22)</f>
        <v/>
      </c>
      <c r="NR22" s="12">
        <f>IF(MW22&gt;0,MX22/MW22,0)</f>
        <v/>
      </c>
      <c r="NS22" s="11">
        <f>IF(MW21&gt;0,MAX(0,(MW21+MH22-MW22)/MW21),0)</f>
        <v/>
      </c>
      <c r="NU22" s="12" t="n">
        <v>18</v>
      </c>
      <c r="NV22" s="12">
        <f>MOD(NU22-1+LaunchMonth-1,12)+1</f>
        <v/>
      </c>
      <c r="NW22" s="12">
        <f>INT((NU22-1+LaunchMonth-1)/12)+1</f>
        <v/>
      </c>
      <c r="NX22" s="12">
        <f>VLOOKUP(NV22,SeasonTable,2,FALSE)</f>
        <v/>
      </c>
      <c r="NY22" s="12">
        <f>(1+InflationRate)^INT((NU22-1)/12)</f>
        <v/>
      </c>
      <c r="NZ22" s="11">
        <f>'Sens - Churn'!$A$18*VLOOKUP(NV22,ChurnSeasonTable,4,FALSE)</f>
        <v/>
      </c>
      <c r="OA22" s="12">
        <f>MIN(MAX(MktMin13_18,OY21*MktPct13_18),MAX(0,PM21-CashBuffer))</f>
        <v/>
      </c>
      <c r="OB22" s="12">
        <f>IF(OA22&gt;0,MAX(1,ROUND(OA22/CAC*NX22,0)),0)</f>
        <v/>
      </c>
      <c r="OC22" s="12">
        <f>IF(OB22&gt;0,ROUND(OB22*ReferralMix/(1-ReferralMix),0),0)</f>
        <v/>
      </c>
      <c r="OD22" s="12">
        <f>OB22+OC22</f>
        <v/>
      </c>
      <c r="OE22" s="12">
        <f>ROUND(OD22*(1-AnnualMix),0)</f>
        <v/>
      </c>
      <c r="OF22" s="12">
        <f>OD22-OE22</f>
        <v/>
      </c>
      <c r="OG22" s="12">
        <f>ROUND(OE22*EssentialMix,0)</f>
        <v/>
      </c>
      <c r="OH22" s="12">
        <f>ROUND(OE22*PremiumMix,0)</f>
        <v/>
      </c>
      <c r="OI22" s="12">
        <f>OE22-OG22-OH22</f>
        <v/>
      </c>
      <c r="OJ22" s="12">
        <f>ROUND(OF22*EssentialMix,0)</f>
        <v/>
      </c>
      <c r="OK22" s="12">
        <f>ROUND(OF22*PremiumMix,0)</f>
        <v/>
      </c>
      <c r="OL22" s="12">
        <f>OF22-OJ22-OK22</f>
        <v/>
      </c>
      <c r="OM22" s="12">
        <f>OG22+OG21+OG20+MAX(0,OM21-OG21-OG20)*(1-NZ22)</f>
        <v/>
      </c>
      <c r="ON22" s="12">
        <f>OH22+OH21+OH20+MAX(0,ON21-OH21-OH20)*(1-NZ22)</f>
        <v/>
      </c>
      <c r="OO22" s="12">
        <f>OI22+OI21+OI20+MAX(0,OO21-OI21-OI20)*(1-NZ22)</f>
        <v/>
      </c>
      <c r="OP22" s="12">
        <f>OP21+OJ22-OJ10*(AnnualChurn*VLOOKUP(NV22,ChurnSeasonTable,4,FALSE))*POWER(1-(AnnualChurn*VLOOKUP(NV22,ChurnSeasonTable,4,FALSE)),0)</f>
        <v/>
      </c>
      <c r="OQ22" s="12">
        <f>OQ21+OK22-OK10*(AnnualChurn*VLOOKUP(NV22,ChurnSeasonTable,4,FALSE))*POWER(1-(AnnualChurn*VLOOKUP(NV22,ChurnSeasonTable,4,FALSE)),0)</f>
        <v/>
      </c>
      <c r="OR22" s="12">
        <f>OR21+OL22-OL10*(AnnualChurn*VLOOKUP(NV22,ChurnSeasonTable,4,FALSE))*POWER(1-(AnnualChurn*VLOOKUP(NV22,ChurnSeasonTable,4,FALSE)),0)</f>
        <v/>
      </c>
      <c r="OS22" s="12">
        <f>OM22+ON22+OO22+OP22+OQ22+OR22</f>
        <v/>
      </c>
      <c r="OT22" s="9">
        <f>OM22*BlendedPriceEssMonthly*NY22+ON22*BlendedPricePremMonthly*NY22+OO22*BlendedPriceEliteMonthly*NY22+OP22*BlendedPriceEssAnnual*NY22/12+OQ22*BlendedPricePremAnnual*NY22/12+OR22*BlendedPriceEliteAnnual*NY22/12</f>
        <v/>
      </c>
      <c r="OU22" s="9">
        <f>OT22*12</f>
        <v/>
      </c>
      <c r="OV22" s="12">
        <f>OM22*BlendedPriceEssMonthly*NY22+ON22*BlendedPricePremMonthly*NY22+OO22*BlendedPriceEliteMonthly*NY22</f>
        <v/>
      </c>
      <c r="OW22" s="12">
        <f>OJ22*BlendedPriceEssAnnual*NY22+OK22*BlendedPricePremAnnual*NY22+OL22*BlendedPriceEliteAnnual*NY22</f>
        <v/>
      </c>
      <c r="OX22" s="12">
        <f>OJ10*POWER(1-(AnnualChurn*VLOOKUP(NV22,ChurnSeasonTable,4,FALSE)),1)*BlendedPriceEssAnnual*NY22+OK10*POWER(1-(AnnualChurn*VLOOKUP(NV22,ChurnSeasonTable,4,FALSE)),1)*BlendedPricePremAnnual*NY22+OL10*POWER(1-(AnnualChurn*VLOOKUP(NV22,ChurnSeasonTable,4,FALSE)),1)*BlendedPriceEliteAnnual*NY22</f>
        <v/>
      </c>
      <c r="OY22" s="9">
        <f>OV22+OW22+OX22</f>
        <v/>
      </c>
      <c r="OZ22" s="12">
        <f>SUM(OY11:OY22)</f>
        <v/>
      </c>
      <c r="PA22" s="12">
        <f>OR(PA21,IF(VATAgentMode,SUM($OY11:$OY22)-SUM($PF11:$PF22)&gt;=VATThreshold,SUM($OY11:$OY22)&gt;=VATThreshold))</f>
        <v/>
      </c>
      <c r="PB22" s="9">
        <f>IF(PA22,IF(VATAgentMode,OY22-((OY22-PF22)-(OY22-PF22)/(1+VATRate)),OY22/(1+VATRate)),OY22)</f>
        <v/>
      </c>
      <c r="PC22" s="12">
        <f>OY22-PB22</f>
        <v/>
      </c>
      <c r="PD22" s="12">
        <f>IF(PA22=0,0,IF(NV22=1,SUMPRODUCT(--(($NW$5:$NW22=$NW22-1)*($NV$5:$NV22&gt;=10)*($NV$5:$NV22&lt;=12)),$PC$5:$PC22),IF(NV22=4,SUMPRODUCT(--(($NW$5:$NW22=$NW22)*($NV$5:$NV22&gt;=1)*($NV$5:$NV22&lt;=3)),$PC$5:$PC22),IF(NV22=7,SUMPRODUCT(--(($NW$5:$NW22=$NW22)*($NV$5:$NV22&gt;=4)*($NV$5:$NV22&lt;=6)),$PC$5:$PC22),IF(NV22=10,SUMPRODUCT(--(($NW$5:$NW22=$NW22)*($NV$5:$NV22&gt;=7)*($NV$5:$NV22&lt;=9)),$PC$5:$PC22),0)))))</f>
        <v/>
      </c>
      <c r="PE22" s="12">
        <f>PE21+PC22-PD22</f>
        <v/>
      </c>
      <c r="PF22" s="12">
        <f>IF(ProviderDelay&gt;=1,OM21*BlendedProvPayEss+ON21*BlendedProvPayPrem+OO21*BlendedProvPayElite+OP21*BlendedProvPayEss+OQ21*BlendedProvPayPrem+OR21*BlendedProvPayElite,OM22*BlendedProvPayEss+ON22*BlendedProvPayPrem+OO22*BlendedProvPayElite+OP22*BlendedProvPayEss+OQ22*BlendedProvPayPrem+OR22*BlendedProvPayElite)</f>
        <v/>
      </c>
      <c r="PG22" s="12">
        <f>OY22*PaymentFee</f>
        <v/>
      </c>
      <c r="PH22" s="12">
        <f>OS22*OpsAI</f>
        <v/>
      </c>
      <c r="PI22" s="12">
        <f>MonthlyFixed</f>
        <v/>
      </c>
      <c r="PJ22" s="12">
        <f>OC22*ReferralReward</f>
        <v/>
      </c>
      <c r="PK22" s="12">
        <f>OA22</f>
        <v/>
      </c>
      <c r="PL22" s="9">
        <f>PB22-PF22-PG22-PH22-PI22-PJ22-PK22</f>
        <v/>
      </c>
      <c r="PM22" s="9">
        <f>PM21+OY22-(PF22+PG22+PH22+PI22+PJ22+PK22+PD22)</f>
        <v/>
      </c>
      <c r="PN22" s="12">
        <f>IF(OS22&gt;0,OT22/OS22,0)</f>
        <v/>
      </c>
      <c r="PO22" s="11">
        <f>IF(OS21&gt;0,MAX(0,(OS21+OD22-OS22)/OS21),0)</f>
        <v/>
      </c>
      <c r="PQ22" s="12" t="n">
        <v>18</v>
      </c>
      <c r="PR22" s="12">
        <f>MOD(PQ22-1+LaunchMonth-1,12)+1</f>
        <v/>
      </c>
      <c r="PS22" s="12">
        <f>INT((PQ22-1+LaunchMonth-1)/12)+1</f>
        <v/>
      </c>
      <c r="PT22" s="12">
        <f>VLOOKUP(PR22,SeasonTable,2,FALSE)</f>
        <v/>
      </c>
      <c r="PU22" s="12">
        <f>(1+InflationRate)^INT((PQ22-1)/12)</f>
        <v/>
      </c>
      <c r="PV22" s="11">
        <f>'Sens - Churn'!$A$19*VLOOKUP(PR22,ChurnSeasonTable,4,FALSE)</f>
        <v/>
      </c>
      <c r="PW22" s="12">
        <f>MIN(MAX(MktMin13_18,QU21*MktPct13_18),MAX(0,RI21-CashBuffer))</f>
        <v/>
      </c>
      <c r="PX22" s="12">
        <f>IF(PW22&gt;0,MAX(1,ROUND(PW22/CAC*PT22,0)),0)</f>
        <v/>
      </c>
      <c r="PY22" s="12">
        <f>IF(PX22&gt;0,ROUND(PX22*ReferralMix/(1-ReferralMix),0),0)</f>
        <v/>
      </c>
      <c r="PZ22" s="12">
        <f>PX22+PY22</f>
        <v/>
      </c>
      <c r="QA22" s="12">
        <f>ROUND(PZ22*(1-AnnualMix),0)</f>
        <v/>
      </c>
      <c r="QB22" s="12">
        <f>PZ22-QA22</f>
        <v/>
      </c>
      <c r="QC22" s="12">
        <f>ROUND(QA22*EssentialMix,0)</f>
        <v/>
      </c>
      <c r="QD22" s="12">
        <f>ROUND(QA22*PremiumMix,0)</f>
        <v/>
      </c>
      <c r="QE22" s="12">
        <f>QA22-QC22-QD22</f>
        <v/>
      </c>
      <c r="QF22" s="12">
        <f>ROUND(QB22*EssentialMix,0)</f>
        <v/>
      </c>
      <c r="QG22" s="12">
        <f>ROUND(QB22*PremiumMix,0)</f>
        <v/>
      </c>
      <c r="QH22" s="12">
        <f>QB22-QF22-QG22</f>
        <v/>
      </c>
      <c r="QI22" s="12">
        <f>QC22+QC21+QC20+MAX(0,QI21-QC21-QC20)*(1-PV22)</f>
        <v/>
      </c>
      <c r="QJ22" s="12">
        <f>QD22+QD21+QD20+MAX(0,QJ21-QD21-QD20)*(1-PV22)</f>
        <v/>
      </c>
      <c r="QK22" s="12">
        <f>QE22+QE21+QE20+MAX(0,QK21-QE21-QE20)*(1-PV22)</f>
        <v/>
      </c>
      <c r="QL22" s="12">
        <f>QL21+QF22-QF10*(AnnualChurn*VLOOKUP(PR22,ChurnSeasonTable,4,FALSE))*POWER(1-(AnnualChurn*VLOOKUP(PR22,ChurnSeasonTable,4,FALSE)),0)</f>
        <v/>
      </c>
      <c r="QM22" s="12">
        <f>QM21+QG22-QG10*(AnnualChurn*VLOOKUP(PR22,ChurnSeasonTable,4,FALSE))*POWER(1-(AnnualChurn*VLOOKUP(PR22,ChurnSeasonTable,4,FALSE)),0)</f>
        <v/>
      </c>
      <c r="QN22" s="12">
        <f>QN21+QH22-QH10*(AnnualChurn*VLOOKUP(PR22,ChurnSeasonTable,4,FALSE))*POWER(1-(AnnualChurn*VLOOKUP(PR22,ChurnSeasonTable,4,FALSE)),0)</f>
        <v/>
      </c>
      <c r="QO22" s="12">
        <f>QI22+QJ22+QK22+QL22+QM22+QN22</f>
        <v/>
      </c>
      <c r="QP22" s="9">
        <f>QI22*BlendedPriceEssMonthly*PU22+QJ22*BlendedPricePremMonthly*PU22+QK22*BlendedPriceEliteMonthly*PU22+QL22*BlendedPriceEssAnnual*PU22/12+QM22*BlendedPricePremAnnual*PU22/12+QN22*BlendedPriceEliteAnnual*PU22/12</f>
        <v/>
      </c>
      <c r="QQ22" s="9">
        <f>QP22*12</f>
        <v/>
      </c>
      <c r="QR22" s="12">
        <f>QI22*BlendedPriceEssMonthly*PU22+QJ22*BlendedPricePremMonthly*PU22+QK22*BlendedPriceEliteMonthly*PU22</f>
        <v/>
      </c>
      <c r="QS22" s="12">
        <f>QF22*BlendedPriceEssAnnual*PU22+QG22*BlendedPricePremAnnual*PU22+QH22*BlendedPriceEliteAnnual*PU22</f>
        <v/>
      </c>
      <c r="QT22" s="12">
        <f>QF10*POWER(1-(AnnualChurn*VLOOKUP(PR22,ChurnSeasonTable,4,FALSE)),1)*BlendedPriceEssAnnual*PU22+QG10*POWER(1-(AnnualChurn*VLOOKUP(PR22,ChurnSeasonTable,4,FALSE)),1)*BlendedPricePremAnnual*PU22+QH10*POWER(1-(AnnualChurn*VLOOKUP(PR22,ChurnSeasonTable,4,FALSE)),1)*BlendedPriceEliteAnnual*PU22</f>
        <v/>
      </c>
      <c r="QU22" s="9">
        <f>QR22+QS22+QT22</f>
        <v/>
      </c>
      <c r="QV22" s="12">
        <f>SUM(QU11:QU22)</f>
        <v/>
      </c>
      <c r="QW22" s="12">
        <f>OR(QW21,IF(VATAgentMode,SUM($QU11:$QU22)-SUM($RB11:$RB22)&gt;=VATThreshold,SUM($QU11:$QU22)&gt;=VATThreshold))</f>
        <v/>
      </c>
      <c r="QX22" s="9">
        <f>IF(QW22,IF(VATAgentMode,QU22-((QU22-RB22)-(QU22-RB22)/(1+VATRate)),QU22/(1+VATRate)),QU22)</f>
        <v/>
      </c>
      <c r="QY22" s="12">
        <f>QU22-QX22</f>
        <v/>
      </c>
      <c r="QZ22" s="12">
        <f>IF(QW22=0,0,IF(PR22=1,SUMPRODUCT(--(($PS$5:$PS22=$PS22-1)*($PR$5:$PR22&gt;=10)*($PR$5:$PR22&lt;=12)),$QY$5:$QY22),IF(PR22=4,SUMPRODUCT(--(($PS$5:$PS22=$PS22)*($PR$5:$PR22&gt;=1)*($PR$5:$PR22&lt;=3)),$QY$5:$QY22),IF(PR22=7,SUMPRODUCT(--(($PS$5:$PS22=$PS22)*($PR$5:$PR22&gt;=4)*($PR$5:$PR22&lt;=6)),$QY$5:$QY22),IF(PR22=10,SUMPRODUCT(--(($PS$5:$PS22=$PS22)*($PR$5:$PR22&gt;=7)*($PR$5:$PR22&lt;=9)),$QY$5:$QY22),0)))))</f>
        <v/>
      </c>
      <c r="RA22" s="12">
        <f>RA21+QY22-QZ22</f>
        <v/>
      </c>
      <c r="RB22" s="12">
        <f>IF(ProviderDelay&gt;=1,QI21*BlendedProvPayEss+QJ21*BlendedProvPayPrem+QK21*BlendedProvPayElite+QL21*BlendedProvPayEss+QM21*BlendedProvPayPrem+QN21*BlendedProvPayElite,QI22*BlendedProvPayEss+QJ22*BlendedProvPayPrem+QK22*BlendedProvPayElite+QL22*BlendedProvPayEss+QM22*BlendedProvPayPrem+QN22*BlendedProvPayElite)</f>
        <v/>
      </c>
      <c r="RC22" s="12">
        <f>QU22*PaymentFee</f>
        <v/>
      </c>
      <c r="RD22" s="12">
        <f>QO22*OpsAI</f>
        <v/>
      </c>
      <c r="RE22" s="12">
        <f>MonthlyFixed</f>
        <v/>
      </c>
      <c r="RF22" s="12">
        <f>PY22*ReferralReward</f>
        <v/>
      </c>
      <c r="RG22" s="12">
        <f>PW22</f>
        <v/>
      </c>
      <c r="RH22" s="9">
        <f>QX22-RB22-RC22-RD22-RE22-RF22-RG22</f>
        <v/>
      </c>
      <c r="RI22" s="9">
        <f>RI21+QU22-(RB22+RC22+RD22+RE22+RF22+RG22+QZ22)</f>
        <v/>
      </c>
      <c r="RJ22" s="12">
        <f>IF(QO22&gt;0,QP22/QO22,0)</f>
        <v/>
      </c>
      <c r="RK22" s="11">
        <f>IF(QO21&gt;0,MAX(0,(QO21+PZ22-QO22)/QO21),0)</f>
        <v/>
      </c>
      <c r="RM22" s="12" t="n">
        <v>18</v>
      </c>
      <c r="RN22" s="12">
        <f>MOD(RM22-1+LaunchMonth-1,12)+1</f>
        <v/>
      </c>
      <c r="RO22" s="12">
        <f>INT((RM22-1+LaunchMonth-1)/12)+1</f>
        <v/>
      </c>
      <c r="RP22" s="12">
        <f>VLOOKUP(RN22,SeasonTable,2,FALSE)</f>
        <v/>
      </c>
      <c r="RQ22" s="12">
        <f>(1+InflationRate)^INT((RM22-1)/12)</f>
        <v/>
      </c>
      <c r="RR22" s="11">
        <f>'Sens - Churn'!$A$20*VLOOKUP(RN22,ChurnSeasonTable,4,FALSE)</f>
        <v/>
      </c>
      <c r="RS22" s="12">
        <f>MIN(MAX(MktMin13_18,SQ21*MktPct13_18),MAX(0,TE21-CashBuffer))</f>
        <v/>
      </c>
      <c r="RT22" s="12">
        <f>IF(RS22&gt;0,MAX(1,ROUND(RS22/CAC*RP22,0)),0)</f>
        <v/>
      </c>
      <c r="RU22" s="12">
        <f>IF(RT22&gt;0,ROUND(RT22*ReferralMix/(1-ReferralMix),0),0)</f>
        <v/>
      </c>
      <c r="RV22" s="12">
        <f>RT22+RU22</f>
        <v/>
      </c>
      <c r="RW22" s="12">
        <f>ROUND(RV22*(1-AnnualMix),0)</f>
        <v/>
      </c>
      <c r="RX22" s="12">
        <f>RV22-RW22</f>
        <v/>
      </c>
      <c r="RY22" s="12">
        <f>ROUND(RW22*EssentialMix,0)</f>
        <v/>
      </c>
      <c r="RZ22" s="12">
        <f>ROUND(RW22*PremiumMix,0)</f>
        <v/>
      </c>
      <c r="SA22" s="12">
        <f>RW22-RY22-RZ22</f>
        <v/>
      </c>
      <c r="SB22" s="12">
        <f>ROUND(RX22*EssentialMix,0)</f>
        <v/>
      </c>
      <c r="SC22" s="12">
        <f>ROUND(RX22*PremiumMix,0)</f>
        <v/>
      </c>
      <c r="SD22" s="12">
        <f>RX22-SB22-SC22</f>
        <v/>
      </c>
      <c r="SE22" s="12">
        <f>RY22+RY21+RY20+MAX(0,SE21-RY21-RY20)*(1-RR22)</f>
        <v/>
      </c>
      <c r="SF22" s="12">
        <f>RZ22+RZ21+RZ20+MAX(0,SF21-RZ21-RZ20)*(1-RR22)</f>
        <v/>
      </c>
      <c r="SG22" s="12">
        <f>SA22+SA21+SA20+MAX(0,SG21-SA21-SA20)*(1-RR22)</f>
        <v/>
      </c>
      <c r="SH22" s="12">
        <f>SH21+SB22-SB10*(AnnualChurn*VLOOKUP(RN22,ChurnSeasonTable,4,FALSE))*POWER(1-(AnnualChurn*VLOOKUP(RN22,ChurnSeasonTable,4,FALSE)),0)</f>
        <v/>
      </c>
      <c r="SI22" s="12">
        <f>SI21+SC22-SC10*(AnnualChurn*VLOOKUP(RN22,ChurnSeasonTable,4,FALSE))*POWER(1-(AnnualChurn*VLOOKUP(RN22,ChurnSeasonTable,4,FALSE)),0)</f>
        <v/>
      </c>
      <c r="SJ22" s="12">
        <f>SJ21+SD22-SD10*(AnnualChurn*VLOOKUP(RN22,ChurnSeasonTable,4,FALSE))*POWER(1-(AnnualChurn*VLOOKUP(RN22,ChurnSeasonTable,4,FALSE)),0)</f>
        <v/>
      </c>
      <c r="SK22" s="12">
        <f>SE22+SF22+SG22+SH22+SI22+SJ22</f>
        <v/>
      </c>
      <c r="SL22" s="9">
        <f>SE22*BlendedPriceEssMonthly*RQ22+SF22*BlendedPricePremMonthly*RQ22+SG22*BlendedPriceEliteMonthly*RQ22+SH22*BlendedPriceEssAnnual*RQ22/12+SI22*BlendedPricePremAnnual*RQ22/12+SJ22*BlendedPriceEliteAnnual*RQ22/12</f>
        <v/>
      </c>
      <c r="SM22" s="9">
        <f>SL22*12</f>
        <v/>
      </c>
      <c r="SN22" s="12">
        <f>SE22*BlendedPriceEssMonthly*RQ22+SF22*BlendedPricePremMonthly*RQ22+SG22*BlendedPriceEliteMonthly*RQ22</f>
        <v/>
      </c>
      <c r="SO22" s="12">
        <f>SB22*BlendedPriceEssAnnual*RQ22+SC22*BlendedPricePremAnnual*RQ22+SD22*BlendedPriceEliteAnnual*RQ22</f>
        <v/>
      </c>
      <c r="SP22" s="12">
        <f>SB10*POWER(1-(AnnualChurn*VLOOKUP(RN22,ChurnSeasonTable,4,FALSE)),1)*BlendedPriceEssAnnual*RQ22+SC10*POWER(1-(AnnualChurn*VLOOKUP(RN22,ChurnSeasonTable,4,FALSE)),1)*BlendedPricePremAnnual*RQ22+SD10*POWER(1-(AnnualChurn*VLOOKUP(RN22,ChurnSeasonTable,4,FALSE)),1)*BlendedPriceEliteAnnual*RQ22</f>
        <v/>
      </c>
      <c r="SQ22" s="9">
        <f>SN22+SO22+SP22</f>
        <v/>
      </c>
      <c r="SR22" s="12">
        <f>SUM(SQ11:SQ22)</f>
        <v/>
      </c>
      <c r="SS22" s="12">
        <f>OR(SS21,IF(VATAgentMode,SUM($SQ11:$SQ22)-SUM($SX11:$SX22)&gt;=VATThreshold,SUM($SQ11:$SQ22)&gt;=VATThreshold))</f>
        <v/>
      </c>
      <c r="ST22" s="9">
        <f>IF(SS22,IF(VATAgentMode,SQ22-((SQ22-SX22)-(SQ22-SX22)/(1+VATRate)),SQ22/(1+VATRate)),SQ22)</f>
        <v/>
      </c>
      <c r="SU22" s="12">
        <f>SQ22-ST22</f>
        <v/>
      </c>
      <c r="SV22" s="12">
        <f>IF(SS22=0,0,IF(RN22=1,SUMPRODUCT(--(($RO$5:$RO22=$RO22-1)*($RN$5:$RN22&gt;=10)*($RN$5:$RN22&lt;=12)),$SU$5:$SU22),IF(RN22=4,SUMPRODUCT(--(($RO$5:$RO22=$RO22)*($RN$5:$RN22&gt;=1)*($RN$5:$RN22&lt;=3)),$SU$5:$SU22),IF(RN22=7,SUMPRODUCT(--(($RO$5:$RO22=$RO22)*($RN$5:$RN22&gt;=4)*($RN$5:$RN22&lt;=6)),$SU$5:$SU22),IF(RN22=10,SUMPRODUCT(--(($RO$5:$RO22=$RO22)*($RN$5:$RN22&gt;=7)*($RN$5:$RN22&lt;=9)),$SU$5:$SU22),0)))))</f>
        <v/>
      </c>
      <c r="SW22" s="12">
        <f>SW21+SU22-SV22</f>
        <v/>
      </c>
      <c r="SX22" s="12">
        <f>IF(ProviderDelay&gt;=1,SE21*BlendedProvPayEss+SF21*BlendedProvPayPrem+SG21*BlendedProvPayElite+SH21*BlendedProvPayEss+SI21*BlendedProvPayPrem+SJ21*BlendedProvPayElite,SE22*BlendedProvPayEss+SF22*BlendedProvPayPrem+SG22*BlendedProvPayElite+SH22*BlendedProvPayEss+SI22*BlendedProvPayPrem+SJ22*BlendedProvPayElite)</f>
        <v/>
      </c>
      <c r="SY22" s="12">
        <f>SQ22*PaymentFee</f>
        <v/>
      </c>
      <c r="SZ22" s="12">
        <f>SK22*OpsAI</f>
        <v/>
      </c>
      <c r="TA22" s="12">
        <f>MonthlyFixed</f>
        <v/>
      </c>
      <c r="TB22" s="12">
        <f>RU22*ReferralReward</f>
        <v/>
      </c>
      <c r="TC22" s="12">
        <f>RS22</f>
        <v/>
      </c>
      <c r="TD22" s="9">
        <f>ST22-SX22-SY22-SZ22-TA22-TB22-TC22</f>
        <v/>
      </c>
      <c r="TE22" s="9">
        <f>TE21+SQ22-(SX22+SY22+SZ22+TA22+TB22+TC22+SV22)</f>
        <v/>
      </c>
      <c r="TF22" s="12">
        <f>IF(SK22&gt;0,SL22/SK22,0)</f>
        <v/>
      </c>
      <c r="TG22" s="11">
        <f>IF(SK21&gt;0,MAX(0,(SK21+RV22-SK22)/SK21),0)</f>
        <v/>
      </c>
      <c r="TI22" s="12" t="n">
        <v>18</v>
      </c>
      <c r="TJ22" s="12">
        <f>MOD(TI22-1+LaunchMonth-1,12)+1</f>
        <v/>
      </c>
      <c r="TK22" s="12">
        <f>INT((TI22-1+LaunchMonth-1)/12)+1</f>
        <v/>
      </c>
      <c r="TL22" s="12">
        <f>VLOOKUP(TJ22,SeasonTable,2,FALSE)</f>
        <v/>
      </c>
      <c r="TM22" s="12">
        <f>(1+InflationRate)^INT((TI22-1)/12)</f>
        <v/>
      </c>
      <c r="TN22" s="11">
        <f>'Sens - Churn'!$A$21*VLOOKUP(TJ22,ChurnSeasonTable,4,FALSE)</f>
        <v/>
      </c>
      <c r="TO22" s="12">
        <f>MIN(MAX(MktMin13_18,UM21*MktPct13_18),MAX(0,VA21-CashBuffer))</f>
        <v/>
      </c>
      <c r="TP22" s="12">
        <f>IF(TO22&gt;0,MAX(1,ROUND(TO22/CAC*TL22,0)),0)</f>
        <v/>
      </c>
      <c r="TQ22" s="12">
        <f>IF(TP22&gt;0,ROUND(TP22*ReferralMix/(1-ReferralMix),0),0)</f>
        <v/>
      </c>
      <c r="TR22" s="12">
        <f>TP22+TQ22</f>
        <v/>
      </c>
      <c r="TS22" s="12">
        <f>ROUND(TR22*(1-AnnualMix),0)</f>
        <v/>
      </c>
      <c r="TT22" s="12">
        <f>TR22-TS22</f>
        <v/>
      </c>
      <c r="TU22" s="12">
        <f>ROUND(TS22*EssentialMix,0)</f>
        <v/>
      </c>
      <c r="TV22" s="12">
        <f>ROUND(TS22*PremiumMix,0)</f>
        <v/>
      </c>
      <c r="TW22" s="12">
        <f>TS22-TU22-TV22</f>
        <v/>
      </c>
      <c r="TX22" s="12">
        <f>ROUND(TT22*EssentialMix,0)</f>
        <v/>
      </c>
      <c r="TY22" s="12">
        <f>ROUND(TT22*PremiumMix,0)</f>
        <v/>
      </c>
      <c r="TZ22" s="12">
        <f>TT22-TX22-TY22</f>
        <v/>
      </c>
      <c r="UA22" s="12">
        <f>TU22+TU21+TU20+MAX(0,UA21-TU21-TU20)*(1-TN22)</f>
        <v/>
      </c>
      <c r="UB22" s="12">
        <f>TV22+TV21+TV20+MAX(0,UB21-TV21-TV20)*(1-TN22)</f>
        <v/>
      </c>
      <c r="UC22" s="12">
        <f>TW22+TW21+TW20+MAX(0,UC21-TW21-TW20)*(1-TN22)</f>
        <v/>
      </c>
      <c r="UD22" s="12">
        <f>UD21+TX22-TX10*(AnnualChurn*VLOOKUP(TJ22,ChurnSeasonTable,4,FALSE))*POWER(1-(AnnualChurn*VLOOKUP(TJ22,ChurnSeasonTable,4,FALSE)),0)</f>
        <v/>
      </c>
      <c r="UE22" s="12">
        <f>UE21+TY22-TY10*(AnnualChurn*VLOOKUP(TJ22,ChurnSeasonTable,4,FALSE))*POWER(1-(AnnualChurn*VLOOKUP(TJ22,ChurnSeasonTable,4,FALSE)),0)</f>
        <v/>
      </c>
      <c r="UF22" s="12">
        <f>UF21+TZ22-TZ10*(AnnualChurn*VLOOKUP(TJ22,ChurnSeasonTable,4,FALSE))*POWER(1-(AnnualChurn*VLOOKUP(TJ22,ChurnSeasonTable,4,FALSE)),0)</f>
        <v/>
      </c>
      <c r="UG22" s="12">
        <f>UA22+UB22+UC22+UD22+UE22+UF22</f>
        <v/>
      </c>
      <c r="UH22" s="9">
        <f>UA22*BlendedPriceEssMonthly*TM22+UB22*BlendedPricePremMonthly*TM22+UC22*BlendedPriceEliteMonthly*TM22+UD22*BlendedPriceEssAnnual*TM22/12+UE22*BlendedPricePremAnnual*TM22/12+UF22*BlendedPriceEliteAnnual*TM22/12</f>
        <v/>
      </c>
      <c r="UI22" s="9">
        <f>UH22*12</f>
        <v/>
      </c>
      <c r="UJ22" s="12">
        <f>UA22*BlendedPriceEssMonthly*TM22+UB22*BlendedPricePremMonthly*TM22+UC22*BlendedPriceEliteMonthly*TM22</f>
        <v/>
      </c>
      <c r="UK22" s="12">
        <f>TX22*BlendedPriceEssAnnual*TM22+TY22*BlendedPricePremAnnual*TM22+TZ22*BlendedPriceEliteAnnual*TM22</f>
        <v/>
      </c>
      <c r="UL22" s="12">
        <f>TX10*POWER(1-(AnnualChurn*VLOOKUP(TJ22,ChurnSeasonTable,4,FALSE)),1)*BlendedPriceEssAnnual*TM22+TY10*POWER(1-(AnnualChurn*VLOOKUP(TJ22,ChurnSeasonTable,4,FALSE)),1)*BlendedPricePremAnnual*TM22+TZ10*POWER(1-(AnnualChurn*VLOOKUP(TJ22,ChurnSeasonTable,4,FALSE)),1)*BlendedPriceEliteAnnual*TM22</f>
        <v/>
      </c>
      <c r="UM22" s="9">
        <f>UJ22+UK22+UL22</f>
        <v/>
      </c>
      <c r="UN22" s="12">
        <f>SUM(UM11:UM22)</f>
        <v/>
      </c>
      <c r="UO22" s="12">
        <f>OR(UO21,IF(VATAgentMode,SUM($UM11:$UM22)-SUM($UT11:$UT22)&gt;=VATThreshold,SUM($UM11:$UM22)&gt;=VATThreshold))</f>
        <v/>
      </c>
      <c r="UP22" s="9">
        <f>IF(UO22,IF(VATAgentMode,UM22-((UM22-UT22)-(UM22-UT22)/(1+VATRate)),UM22/(1+VATRate)),UM22)</f>
        <v/>
      </c>
      <c r="UQ22" s="12">
        <f>UM22-UP22</f>
        <v/>
      </c>
      <c r="UR22" s="12">
        <f>IF(UO22=0,0,IF(TJ22=1,SUMPRODUCT(--(($TK$5:$TK22=$TK22-1)*($TJ$5:$TJ22&gt;=10)*($TJ$5:$TJ22&lt;=12)),$UQ$5:$UQ22),IF(TJ22=4,SUMPRODUCT(--(($TK$5:$TK22=$TK22)*($TJ$5:$TJ22&gt;=1)*($TJ$5:$TJ22&lt;=3)),$UQ$5:$UQ22),IF(TJ22=7,SUMPRODUCT(--(($TK$5:$TK22=$TK22)*($TJ$5:$TJ22&gt;=4)*($TJ$5:$TJ22&lt;=6)),$UQ$5:$UQ22),IF(TJ22=10,SUMPRODUCT(--(($TK$5:$TK22=$TK22)*($TJ$5:$TJ22&gt;=7)*($TJ$5:$TJ22&lt;=9)),$UQ$5:$UQ22),0)))))</f>
        <v/>
      </c>
      <c r="US22" s="12">
        <f>US21+UQ22-UR22</f>
        <v/>
      </c>
      <c r="UT22" s="12">
        <f>IF(ProviderDelay&gt;=1,UA21*BlendedProvPayEss+UB21*BlendedProvPayPrem+UC21*BlendedProvPayElite+UD21*BlendedProvPayEss+UE21*BlendedProvPayPrem+UF21*BlendedProvPayElite,UA22*BlendedProvPayEss+UB22*BlendedProvPayPrem+UC22*BlendedProvPayElite+UD22*BlendedProvPayEss+UE22*BlendedProvPayPrem+UF22*BlendedProvPayElite)</f>
        <v/>
      </c>
      <c r="UU22" s="12">
        <f>UM22*PaymentFee</f>
        <v/>
      </c>
      <c r="UV22" s="12">
        <f>UG22*OpsAI</f>
        <v/>
      </c>
      <c r="UW22" s="12">
        <f>MonthlyFixed</f>
        <v/>
      </c>
      <c r="UX22" s="12">
        <f>TQ22*ReferralReward</f>
        <v/>
      </c>
      <c r="UY22" s="12">
        <f>TO22</f>
        <v/>
      </c>
      <c r="UZ22" s="9">
        <f>UP22-UT22-UU22-UV22-UW22-UX22-UY22</f>
        <v/>
      </c>
      <c r="VA22" s="9">
        <f>VA21+UM22-(UT22+UU22+UV22+UW22+UX22+UY22+UR22)</f>
        <v/>
      </c>
      <c r="VB22" s="12">
        <f>IF(UG22&gt;0,UH22/UG22,0)</f>
        <v/>
      </c>
      <c r="VC22" s="11">
        <f>IF(UG21&gt;0,MAX(0,(UG21+TR22-UG22)/UG21),0)</f>
        <v/>
      </c>
      <c r="VE22" s="12" t="n">
        <v>18</v>
      </c>
      <c r="VF22" s="12">
        <f>MOD(VE22-1+LaunchMonth-1,12)+1</f>
        <v/>
      </c>
      <c r="VG22" s="12">
        <f>INT((VE22-1+LaunchMonth-1)/12)+1</f>
        <v/>
      </c>
      <c r="VH22" s="12">
        <f>VLOOKUP(VF22,SeasonTable,2,FALSE)</f>
        <v/>
      </c>
      <c r="VI22" s="12">
        <f>(1+InflationRate)^INT((VE22-1)/12)</f>
        <v/>
      </c>
      <c r="VJ22" s="11">
        <f>MonthlyChurn*VLOOKUP(VF22,ChurnSeasonTable,4,FALSE)</f>
        <v/>
      </c>
      <c r="VK22" s="12">
        <f>MIN(MAX(MktMin13_18,WI21*MktPct13_18),MAX(0,WW21-CashBuffer))</f>
        <v/>
      </c>
      <c r="VL22" s="12">
        <f>IF(VK22&gt;0,MAX(1,ROUND(VK22/CAC*VH22,0)),0)</f>
        <v/>
      </c>
      <c r="VM22" s="12">
        <f>IF(VL22&gt;0,ROUND(VL22*ReferralMix/(1-ReferralMix),0),0)</f>
        <v/>
      </c>
      <c r="VN22" s="12">
        <f>VL22+VM22</f>
        <v/>
      </c>
      <c r="VO22" s="12">
        <f>ROUND(VN22*(1-'Sens - Annual Mix'!$A$9),0)</f>
        <v/>
      </c>
      <c r="VP22" s="12">
        <f>VN22-VO22</f>
        <v/>
      </c>
      <c r="VQ22" s="12">
        <f>ROUND(VO22*EssentialMix,0)</f>
        <v/>
      </c>
      <c r="VR22" s="12">
        <f>ROUND(VO22*PremiumMix,0)</f>
        <v/>
      </c>
      <c r="VS22" s="12">
        <f>VO22-VQ22-VR22</f>
        <v/>
      </c>
      <c r="VT22" s="12">
        <f>ROUND(VP22*EssentialMix,0)</f>
        <v/>
      </c>
      <c r="VU22" s="12">
        <f>ROUND(VP22*PremiumMix,0)</f>
        <v/>
      </c>
      <c r="VV22" s="12">
        <f>VP22-VT22-VU22</f>
        <v/>
      </c>
      <c r="VW22" s="12">
        <f>VQ22+VQ21+VQ20+MAX(0,VW21-VQ21-VQ20)*(1-VJ22)</f>
        <v/>
      </c>
      <c r="VX22" s="12">
        <f>VR22+VR21+VR20+MAX(0,VX21-VR21-VR20)*(1-VJ22)</f>
        <v/>
      </c>
      <c r="VY22" s="12">
        <f>VS22+VS21+VS20+MAX(0,VY21-VS21-VS20)*(1-VJ22)</f>
        <v/>
      </c>
      <c r="VZ22" s="12">
        <f>VZ21+VT22-VT10*(AnnualChurn*VLOOKUP(VF22,ChurnSeasonTable,4,FALSE))*POWER(1-(AnnualChurn*VLOOKUP(VF22,ChurnSeasonTable,4,FALSE)),0)</f>
        <v/>
      </c>
      <c r="WA22" s="12">
        <f>WA21+VU22-VU10*(AnnualChurn*VLOOKUP(VF22,ChurnSeasonTable,4,FALSE))*POWER(1-(AnnualChurn*VLOOKUP(VF22,ChurnSeasonTable,4,FALSE)),0)</f>
        <v/>
      </c>
      <c r="WB22" s="12">
        <f>WB21+VV22-VV10*(AnnualChurn*VLOOKUP(VF22,ChurnSeasonTable,4,FALSE))*POWER(1-(AnnualChurn*VLOOKUP(VF22,ChurnSeasonTable,4,FALSE)),0)</f>
        <v/>
      </c>
      <c r="WC22" s="12">
        <f>VW22+VX22+VY22+VZ22+WA22+WB22</f>
        <v/>
      </c>
      <c r="WD22" s="9">
        <f>VW22*BlendedPriceEssMonthly*VI22+VX22*BlendedPricePremMonthly*VI22+VY22*BlendedPriceEliteMonthly*VI22+VZ22*BlendedPriceEssAnnual*VI22/12+WA22*BlendedPricePremAnnual*VI22/12+WB22*BlendedPriceEliteAnnual*VI22/12</f>
        <v/>
      </c>
      <c r="WE22" s="9">
        <f>WD22*12</f>
        <v/>
      </c>
      <c r="WF22" s="12">
        <f>VW22*BlendedPriceEssMonthly*VI22+VX22*BlendedPricePremMonthly*VI22+VY22*BlendedPriceEliteMonthly*VI22</f>
        <v/>
      </c>
      <c r="WG22" s="12">
        <f>VT22*BlendedPriceEssAnnual*VI22+VU22*BlendedPricePremAnnual*VI22+VV22*BlendedPriceEliteAnnual*VI22</f>
        <v/>
      </c>
      <c r="WH22" s="12">
        <f>VT10*POWER(1-(AnnualChurn*VLOOKUP(VF22,ChurnSeasonTable,4,FALSE)),1)*BlendedPriceEssAnnual*VI22+VU10*POWER(1-(AnnualChurn*VLOOKUP(VF22,ChurnSeasonTable,4,FALSE)),1)*BlendedPricePremAnnual*VI22+VV10*POWER(1-(AnnualChurn*VLOOKUP(VF22,ChurnSeasonTable,4,FALSE)),1)*BlendedPriceEliteAnnual*VI22</f>
        <v/>
      </c>
      <c r="WI22" s="9">
        <f>WF22+WG22+WH22</f>
        <v/>
      </c>
      <c r="WJ22" s="12">
        <f>SUM(WI11:WI22)</f>
        <v/>
      </c>
      <c r="WK22" s="12">
        <f>OR(WK21,IF(VATAgentMode,SUM($WI11:$WI22)-SUM($WP11:$WP22)&gt;=VATThreshold,SUM($WI11:$WI22)&gt;=VATThreshold))</f>
        <v/>
      </c>
      <c r="WL22" s="9">
        <f>IF(WK22,IF(VATAgentMode,WI22-((WI22-WP22)-(WI22-WP22)/(1+VATRate)),WI22/(1+VATRate)),WI22)</f>
        <v/>
      </c>
      <c r="WM22" s="12">
        <f>WI22-WL22</f>
        <v/>
      </c>
      <c r="WN22" s="12">
        <f>IF(WK22=0,0,IF(VF22=1,SUMPRODUCT(--(($VG$5:$VG22=$VG22-1)*($VF$5:$VF22&gt;=10)*($VF$5:$VF22&lt;=12)),$WM$5:$WM22),IF(VF22=4,SUMPRODUCT(--(($VG$5:$VG22=$VG22)*($VF$5:$VF22&gt;=1)*($VF$5:$VF22&lt;=3)),$WM$5:$WM22),IF(VF22=7,SUMPRODUCT(--(($VG$5:$VG22=$VG22)*($VF$5:$VF22&gt;=4)*($VF$5:$VF22&lt;=6)),$WM$5:$WM22),IF(VF22=10,SUMPRODUCT(--(($VG$5:$VG22=$VG22)*($VF$5:$VF22&gt;=7)*($VF$5:$VF22&lt;=9)),$WM$5:$WM22),0)))))</f>
        <v/>
      </c>
      <c r="WO22" s="12">
        <f>WO21+WM22-WN22</f>
        <v/>
      </c>
      <c r="WP22" s="12">
        <f>IF(ProviderDelay&gt;=1,VW21*BlendedProvPayEss+VX21*BlendedProvPayPrem+VY21*BlendedProvPayElite+VZ21*BlendedProvPayEss+WA21*BlendedProvPayPrem+WB21*BlendedProvPayElite,VW22*BlendedProvPayEss+VX22*BlendedProvPayPrem+VY22*BlendedProvPayElite+VZ22*BlendedProvPayEss+WA22*BlendedProvPayPrem+WB22*BlendedProvPayElite)</f>
        <v/>
      </c>
      <c r="WQ22" s="12">
        <f>WI22*PaymentFee</f>
        <v/>
      </c>
      <c r="WR22" s="12">
        <f>WC22*OpsAI</f>
        <v/>
      </c>
      <c r="WS22" s="12">
        <f>MonthlyFixed</f>
        <v/>
      </c>
      <c r="WT22" s="12">
        <f>VM22*ReferralReward</f>
        <v/>
      </c>
      <c r="WU22" s="12">
        <f>VK22</f>
        <v/>
      </c>
      <c r="WV22" s="9">
        <f>WL22-WP22-WQ22-WR22-WS22-WT22-WU22</f>
        <v/>
      </c>
      <c r="WW22" s="9">
        <f>WW21+WI22-(WP22+WQ22+WR22+WS22+WT22+WU22+WN22)</f>
        <v/>
      </c>
      <c r="WX22" s="12">
        <f>IF(WC22&gt;0,WD22/WC22,0)</f>
        <v/>
      </c>
      <c r="WY22" s="11">
        <f>IF(WC21&gt;0,MAX(0,(WC21+VN22-WC22)/WC21),0)</f>
        <v/>
      </c>
      <c r="XA22" s="12" t="n">
        <v>18</v>
      </c>
      <c r="XB22" s="12">
        <f>MOD(XA22-1+LaunchMonth-1,12)+1</f>
        <v/>
      </c>
      <c r="XC22" s="12">
        <f>INT((XA22-1+LaunchMonth-1)/12)+1</f>
        <v/>
      </c>
      <c r="XD22" s="12">
        <f>VLOOKUP(XB22,SeasonTable,2,FALSE)</f>
        <v/>
      </c>
      <c r="XE22" s="12">
        <f>(1+InflationRate)^INT((XA22-1)/12)</f>
        <v/>
      </c>
      <c r="XF22" s="11">
        <f>MonthlyChurn*VLOOKUP(XB22,ChurnSeasonTable,4,FALSE)</f>
        <v/>
      </c>
      <c r="XG22" s="12">
        <f>MIN(MAX(MktMin13_18,YE21*MktPct13_18),MAX(0,YS21-CashBuffer))</f>
        <v/>
      </c>
      <c r="XH22" s="12">
        <f>IF(XG22&gt;0,MAX(1,ROUND(XG22/CAC*XD22,0)),0)</f>
        <v/>
      </c>
      <c r="XI22" s="12">
        <f>IF(XH22&gt;0,ROUND(XH22*ReferralMix/(1-ReferralMix),0),0)</f>
        <v/>
      </c>
      <c r="XJ22" s="12">
        <f>XH22+XI22</f>
        <v/>
      </c>
      <c r="XK22" s="12">
        <f>ROUND(XJ22*(1-'Sens - Annual Mix'!$A$10),0)</f>
        <v/>
      </c>
      <c r="XL22" s="12">
        <f>XJ22-XK22</f>
        <v/>
      </c>
      <c r="XM22" s="12">
        <f>ROUND(XK22*EssentialMix,0)</f>
        <v/>
      </c>
      <c r="XN22" s="12">
        <f>ROUND(XK22*PremiumMix,0)</f>
        <v/>
      </c>
      <c r="XO22" s="12">
        <f>XK22-XM22-XN22</f>
        <v/>
      </c>
      <c r="XP22" s="12">
        <f>ROUND(XL22*EssentialMix,0)</f>
        <v/>
      </c>
      <c r="XQ22" s="12">
        <f>ROUND(XL22*PremiumMix,0)</f>
        <v/>
      </c>
      <c r="XR22" s="12">
        <f>XL22-XP22-XQ22</f>
        <v/>
      </c>
      <c r="XS22" s="12">
        <f>XM22+XM21+XM20+MAX(0,XS21-XM21-XM20)*(1-XF22)</f>
        <v/>
      </c>
      <c r="XT22" s="12">
        <f>XN22+XN21+XN20+MAX(0,XT21-XN21-XN20)*(1-XF22)</f>
        <v/>
      </c>
      <c r="XU22" s="12">
        <f>XO22+XO21+XO20+MAX(0,XU21-XO21-XO20)*(1-XF22)</f>
        <v/>
      </c>
      <c r="XV22" s="12">
        <f>XV21+XP22-XP10*(AnnualChurn*VLOOKUP(XB22,ChurnSeasonTable,4,FALSE))*POWER(1-(AnnualChurn*VLOOKUP(XB22,ChurnSeasonTable,4,FALSE)),0)</f>
        <v/>
      </c>
      <c r="XW22" s="12">
        <f>XW21+XQ22-XQ10*(AnnualChurn*VLOOKUP(XB22,ChurnSeasonTable,4,FALSE))*POWER(1-(AnnualChurn*VLOOKUP(XB22,ChurnSeasonTable,4,FALSE)),0)</f>
        <v/>
      </c>
      <c r="XX22" s="12">
        <f>XX21+XR22-XR10*(AnnualChurn*VLOOKUP(XB22,ChurnSeasonTable,4,FALSE))*POWER(1-(AnnualChurn*VLOOKUP(XB22,ChurnSeasonTable,4,FALSE)),0)</f>
        <v/>
      </c>
      <c r="XY22" s="12">
        <f>XS22+XT22+XU22+XV22+XW22+XX22</f>
        <v/>
      </c>
      <c r="XZ22" s="9">
        <f>XS22*BlendedPriceEssMonthly*XE22+XT22*BlendedPricePremMonthly*XE22+XU22*BlendedPriceEliteMonthly*XE22+XV22*BlendedPriceEssAnnual*XE22/12+XW22*BlendedPricePremAnnual*XE22/12+XX22*BlendedPriceEliteAnnual*XE22/12</f>
        <v/>
      </c>
      <c r="YA22" s="9">
        <f>XZ22*12</f>
        <v/>
      </c>
      <c r="YB22" s="12">
        <f>XS22*BlendedPriceEssMonthly*XE22+XT22*BlendedPricePremMonthly*XE22+XU22*BlendedPriceEliteMonthly*XE22</f>
        <v/>
      </c>
      <c r="YC22" s="12">
        <f>XP22*BlendedPriceEssAnnual*XE22+XQ22*BlendedPricePremAnnual*XE22+XR22*BlendedPriceEliteAnnual*XE22</f>
        <v/>
      </c>
      <c r="YD22" s="12">
        <f>XP10*POWER(1-(AnnualChurn*VLOOKUP(XB22,ChurnSeasonTable,4,FALSE)),1)*BlendedPriceEssAnnual*XE22+XQ10*POWER(1-(AnnualChurn*VLOOKUP(XB22,ChurnSeasonTable,4,FALSE)),1)*BlendedPricePremAnnual*XE22+XR10*POWER(1-(AnnualChurn*VLOOKUP(XB22,ChurnSeasonTable,4,FALSE)),1)*BlendedPriceEliteAnnual*XE22</f>
        <v/>
      </c>
      <c r="YE22" s="9">
        <f>YB22+YC22+YD22</f>
        <v/>
      </c>
      <c r="YF22" s="12">
        <f>SUM(YE11:YE22)</f>
        <v/>
      </c>
      <c r="YG22" s="12">
        <f>OR(YG21,IF(VATAgentMode,SUM($YE11:$YE22)-SUM($YL11:$YL22)&gt;=VATThreshold,SUM($YE11:$YE22)&gt;=VATThreshold))</f>
        <v/>
      </c>
      <c r="YH22" s="9">
        <f>IF(YG22,IF(VATAgentMode,YE22-((YE22-YL22)-(YE22-YL22)/(1+VATRate)),YE22/(1+VATRate)),YE22)</f>
        <v/>
      </c>
      <c r="YI22" s="12">
        <f>YE22-YH22</f>
        <v/>
      </c>
      <c r="YJ22" s="12">
        <f>IF(YG22=0,0,IF(XB22=1,SUMPRODUCT(--(($XC$5:$XC22=$XC22-1)*($XB$5:$XB22&gt;=10)*($XB$5:$XB22&lt;=12)),$YI$5:$YI22),IF(XB22=4,SUMPRODUCT(--(($XC$5:$XC22=$XC22)*($XB$5:$XB22&gt;=1)*($XB$5:$XB22&lt;=3)),$YI$5:$YI22),IF(XB22=7,SUMPRODUCT(--(($XC$5:$XC22=$XC22)*($XB$5:$XB22&gt;=4)*($XB$5:$XB22&lt;=6)),$YI$5:$YI22),IF(XB22=10,SUMPRODUCT(--(($XC$5:$XC22=$XC22)*($XB$5:$XB22&gt;=7)*($XB$5:$XB22&lt;=9)),$YI$5:$YI22),0)))))</f>
        <v/>
      </c>
      <c r="YK22" s="12">
        <f>YK21+YI22-YJ22</f>
        <v/>
      </c>
      <c r="YL22" s="12">
        <f>IF(ProviderDelay&gt;=1,XS21*BlendedProvPayEss+XT21*BlendedProvPayPrem+XU21*BlendedProvPayElite+XV21*BlendedProvPayEss+XW21*BlendedProvPayPrem+XX21*BlendedProvPayElite,XS22*BlendedProvPayEss+XT22*BlendedProvPayPrem+XU22*BlendedProvPayElite+XV22*BlendedProvPayEss+XW22*BlendedProvPayPrem+XX22*BlendedProvPayElite)</f>
        <v/>
      </c>
      <c r="YM22" s="12">
        <f>YE22*PaymentFee</f>
        <v/>
      </c>
      <c r="YN22" s="12">
        <f>XY22*OpsAI</f>
        <v/>
      </c>
      <c r="YO22" s="12">
        <f>MonthlyFixed</f>
        <v/>
      </c>
      <c r="YP22" s="12">
        <f>XI22*ReferralReward</f>
        <v/>
      </c>
      <c r="YQ22" s="12">
        <f>XG22</f>
        <v/>
      </c>
      <c r="YR22" s="9">
        <f>YH22-YL22-YM22-YN22-YO22-YP22-YQ22</f>
        <v/>
      </c>
      <c r="YS22" s="9">
        <f>YS21+YE22-(YL22+YM22+YN22+YO22+YP22+YQ22+YJ22)</f>
        <v/>
      </c>
      <c r="YT22" s="12">
        <f>IF(XY22&gt;0,XZ22/XY22,0)</f>
        <v/>
      </c>
      <c r="YU22" s="11">
        <f>IF(XY21&gt;0,MAX(0,(XY21+XJ22-XY22)/XY21),0)</f>
        <v/>
      </c>
      <c r="YW22" s="12" t="n">
        <v>18</v>
      </c>
      <c r="YX22" s="12">
        <f>MOD(YW22-1+LaunchMonth-1,12)+1</f>
        <v/>
      </c>
      <c r="YY22" s="12">
        <f>INT((YW22-1+LaunchMonth-1)/12)+1</f>
        <v/>
      </c>
      <c r="YZ22" s="12">
        <f>VLOOKUP(YX22,SeasonTable,2,FALSE)</f>
        <v/>
      </c>
      <c r="ZA22" s="12">
        <f>(1+InflationRate)^INT((YW22-1)/12)</f>
        <v/>
      </c>
      <c r="ZB22" s="11">
        <f>MonthlyChurn*VLOOKUP(YX22,ChurnSeasonTable,4,FALSE)</f>
        <v/>
      </c>
      <c r="ZC22" s="12">
        <f>MIN(MAX(MktMin13_18,AAA21*MktPct13_18),MAX(0,AAO21-CashBuffer))</f>
        <v/>
      </c>
      <c r="ZD22" s="12">
        <f>IF(ZC22&gt;0,MAX(1,ROUND(ZC22/CAC*YZ22,0)),0)</f>
        <v/>
      </c>
      <c r="ZE22" s="12">
        <f>IF(ZD22&gt;0,ROUND(ZD22*ReferralMix/(1-ReferralMix),0),0)</f>
        <v/>
      </c>
      <c r="ZF22" s="12">
        <f>ZD22+ZE22</f>
        <v/>
      </c>
      <c r="ZG22" s="12">
        <f>ROUND(ZF22*(1-'Sens - Annual Mix'!$A$11),0)</f>
        <v/>
      </c>
      <c r="ZH22" s="12">
        <f>ZF22-ZG22</f>
        <v/>
      </c>
      <c r="ZI22" s="12">
        <f>ROUND(ZG22*EssentialMix,0)</f>
        <v/>
      </c>
      <c r="ZJ22" s="12">
        <f>ROUND(ZG22*PremiumMix,0)</f>
        <v/>
      </c>
      <c r="ZK22" s="12">
        <f>ZG22-ZI22-ZJ22</f>
        <v/>
      </c>
      <c r="ZL22" s="12">
        <f>ROUND(ZH22*EssentialMix,0)</f>
        <v/>
      </c>
      <c r="ZM22" s="12">
        <f>ROUND(ZH22*PremiumMix,0)</f>
        <v/>
      </c>
      <c r="ZN22" s="12">
        <f>ZH22-ZL22-ZM22</f>
        <v/>
      </c>
      <c r="ZO22" s="12">
        <f>ZI22+ZI21+ZI20+MAX(0,ZO21-ZI21-ZI20)*(1-ZB22)</f>
        <v/>
      </c>
      <c r="ZP22" s="12">
        <f>ZJ22+ZJ21+ZJ20+MAX(0,ZP21-ZJ21-ZJ20)*(1-ZB22)</f>
        <v/>
      </c>
      <c r="ZQ22" s="12">
        <f>ZK22+ZK21+ZK20+MAX(0,ZQ21-ZK21-ZK20)*(1-ZB22)</f>
        <v/>
      </c>
      <c r="ZR22" s="12">
        <f>ZR21+ZL22-ZL10*(AnnualChurn*VLOOKUP(YX22,ChurnSeasonTable,4,FALSE))*POWER(1-(AnnualChurn*VLOOKUP(YX22,ChurnSeasonTable,4,FALSE)),0)</f>
        <v/>
      </c>
      <c r="ZS22" s="12">
        <f>ZS21+ZM22-ZM10*(AnnualChurn*VLOOKUP(YX22,ChurnSeasonTable,4,FALSE))*POWER(1-(AnnualChurn*VLOOKUP(YX22,ChurnSeasonTable,4,FALSE)),0)</f>
        <v/>
      </c>
      <c r="ZT22" s="12">
        <f>ZT21+ZN22-ZN10*(AnnualChurn*VLOOKUP(YX22,ChurnSeasonTable,4,FALSE))*POWER(1-(AnnualChurn*VLOOKUP(YX22,ChurnSeasonTable,4,FALSE)),0)</f>
        <v/>
      </c>
      <c r="ZU22" s="12">
        <f>ZO22+ZP22+ZQ22+ZR22+ZS22+ZT22</f>
        <v/>
      </c>
      <c r="ZV22" s="9">
        <f>ZO22*BlendedPriceEssMonthly*ZA22+ZP22*BlendedPricePremMonthly*ZA22+ZQ22*BlendedPriceEliteMonthly*ZA22+ZR22*BlendedPriceEssAnnual*ZA22/12+ZS22*BlendedPricePremAnnual*ZA22/12+ZT22*BlendedPriceEliteAnnual*ZA22/12</f>
        <v/>
      </c>
      <c r="ZW22" s="9">
        <f>ZV22*12</f>
        <v/>
      </c>
      <c r="ZX22" s="12">
        <f>ZO22*BlendedPriceEssMonthly*ZA22+ZP22*BlendedPricePremMonthly*ZA22+ZQ22*BlendedPriceEliteMonthly*ZA22</f>
        <v/>
      </c>
      <c r="ZY22" s="12">
        <f>ZL22*BlendedPriceEssAnnual*ZA22+ZM22*BlendedPricePremAnnual*ZA22+ZN22*BlendedPriceEliteAnnual*ZA22</f>
        <v/>
      </c>
      <c r="ZZ22" s="12">
        <f>ZL10*POWER(1-(AnnualChurn*VLOOKUP(YX22,ChurnSeasonTable,4,FALSE)),1)*BlendedPriceEssAnnual*ZA22+ZM10*POWER(1-(AnnualChurn*VLOOKUP(YX22,ChurnSeasonTable,4,FALSE)),1)*BlendedPricePremAnnual*ZA22+ZN10*POWER(1-(AnnualChurn*VLOOKUP(YX22,ChurnSeasonTable,4,FALSE)),1)*BlendedPriceEliteAnnual*ZA22</f>
        <v/>
      </c>
      <c r="AAA22" s="9">
        <f>ZX22+ZY22+ZZ22</f>
        <v/>
      </c>
      <c r="AAB22" s="12">
        <f>SUM(AAA11:AAA22)</f>
        <v/>
      </c>
      <c r="AAC22" s="12">
        <f>OR(AAC21,IF(VATAgentMode,SUM($AAA11:$AAA22)-SUM($AAH11:$AAH22)&gt;=VATThreshold,SUM($AAA11:$AAA22)&gt;=VATThreshold))</f>
        <v/>
      </c>
      <c r="AAD22" s="9">
        <f>IF(AAC22,IF(VATAgentMode,AAA22-((AAA22-AAH22)-(AAA22-AAH22)/(1+VATRate)),AAA22/(1+VATRate)),AAA22)</f>
        <v/>
      </c>
      <c r="AAE22" s="12">
        <f>AAA22-AAD22</f>
        <v/>
      </c>
      <c r="AAF22" s="12">
        <f>IF(AAC22=0,0,IF(YX22=1,SUMPRODUCT(--(($YY$5:$YY22=$YY22-1)*($YX$5:$YX22&gt;=10)*($YX$5:$YX22&lt;=12)),$AAE$5:$AAE22),IF(YX22=4,SUMPRODUCT(--(($YY$5:$YY22=$YY22)*($YX$5:$YX22&gt;=1)*($YX$5:$YX22&lt;=3)),$AAE$5:$AAE22),IF(YX22=7,SUMPRODUCT(--(($YY$5:$YY22=$YY22)*($YX$5:$YX22&gt;=4)*($YX$5:$YX22&lt;=6)),$AAE$5:$AAE22),IF(YX22=10,SUMPRODUCT(--(($YY$5:$YY22=$YY22)*($YX$5:$YX22&gt;=7)*($YX$5:$YX22&lt;=9)),$AAE$5:$AAE22),0)))))</f>
        <v/>
      </c>
      <c r="AAG22" s="12">
        <f>AAG21+AAE22-AAF22</f>
        <v/>
      </c>
      <c r="AAH22" s="12">
        <f>IF(ProviderDelay&gt;=1,ZO21*BlendedProvPayEss+ZP21*BlendedProvPayPrem+ZQ21*BlendedProvPayElite+ZR21*BlendedProvPayEss+ZS21*BlendedProvPayPrem+ZT21*BlendedProvPayElite,ZO22*BlendedProvPayEss+ZP22*BlendedProvPayPrem+ZQ22*BlendedProvPayElite+ZR22*BlendedProvPayEss+ZS22*BlendedProvPayPrem+ZT22*BlendedProvPayElite)</f>
        <v/>
      </c>
      <c r="AAI22" s="12">
        <f>AAA22*PaymentFee</f>
        <v/>
      </c>
      <c r="AAJ22" s="12">
        <f>ZU22*OpsAI</f>
        <v/>
      </c>
      <c r="AAK22" s="12">
        <f>MonthlyFixed</f>
        <v/>
      </c>
      <c r="AAL22" s="12">
        <f>ZE22*ReferralReward</f>
        <v/>
      </c>
      <c r="AAM22" s="12">
        <f>ZC22</f>
        <v/>
      </c>
      <c r="AAN22" s="9">
        <f>AAD22-AAH22-AAI22-AAJ22-AAK22-AAL22-AAM22</f>
        <v/>
      </c>
      <c r="AAO22" s="9">
        <f>AAO21+AAA22-(AAH22+AAI22+AAJ22+AAK22+AAL22+AAM22+AAF22)</f>
        <v/>
      </c>
      <c r="AAP22" s="12">
        <f>IF(ZU22&gt;0,ZV22/ZU22,0)</f>
        <v/>
      </c>
      <c r="AAQ22" s="11">
        <f>IF(ZU21&gt;0,MAX(0,(ZU21+ZF22-ZU22)/ZU21),0)</f>
        <v/>
      </c>
      <c r="AAS22" s="12" t="n">
        <v>18</v>
      </c>
      <c r="AAT22" s="12">
        <f>MOD(AAS22-1+LaunchMonth-1,12)+1</f>
        <v/>
      </c>
      <c r="AAU22" s="12">
        <f>INT((AAS22-1+LaunchMonth-1)/12)+1</f>
        <v/>
      </c>
      <c r="AAV22" s="12">
        <f>VLOOKUP(AAT22,SeasonTable,2,FALSE)</f>
        <v/>
      </c>
      <c r="AAW22" s="12">
        <f>(1+InflationRate)^INT((AAS22-1)/12)</f>
        <v/>
      </c>
      <c r="AAX22" s="11">
        <f>MonthlyChurn*VLOOKUP(AAT22,ChurnSeasonTable,4,FALSE)</f>
        <v/>
      </c>
      <c r="AAY22" s="12">
        <f>MIN(MAX(MktMin13_18,ABW21*MktPct13_18),MAX(0,ACK21-CashBuffer))</f>
        <v/>
      </c>
      <c r="AAZ22" s="12">
        <f>IF(AAY22&gt;0,MAX(1,ROUND(AAY22/CAC*AAV22,0)),0)</f>
        <v/>
      </c>
      <c r="ABA22" s="12">
        <f>IF(AAZ22&gt;0,ROUND(AAZ22*ReferralMix/(1-ReferralMix),0),0)</f>
        <v/>
      </c>
      <c r="ABB22" s="12">
        <f>AAZ22+ABA22</f>
        <v/>
      </c>
      <c r="ABC22" s="12">
        <f>ROUND(ABB22*(1-'Sens - Annual Mix'!$A$12),0)</f>
        <v/>
      </c>
      <c r="ABD22" s="12">
        <f>ABB22-ABC22</f>
        <v/>
      </c>
      <c r="ABE22" s="12">
        <f>ROUND(ABC22*EssentialMix,0)</f>
        <v/>
      </c>
      <c r="ABF22" s="12">
        <f>ROUND(ABC22*PremiumMix,0)</f>
        <v/>
      </c>
      <c r="ABG22" s="12">
        <f>ABC22-ABE22-ABF22</f>
        <v/>
      </c>
      <c r="ABH22" s="12">
        <f>ROUND(ABD22*EssentialMix,0)</f>
        <v/>
      </c>
      <c r="ABI22" s="12">
        <f>ROUND(ABD22*PremiumMix,0)</f>
        <v/>
      </c>
      <c r="ABJ22" s="12">
        <f>ABD22-ABH22-ABI22</f>
        <v/>
      </c>
      <c r="ABK22" s="12">
        <f>ABE22+ABE21+ABE20+MAX(0,ABK21-ABE21-ABE20)*(1-AAX22)</f>
        <v/>
      </c>
      <c r="ABL22" s="12">
        <f>ABF22+ABF21+ABF20+MAX(0,ABL21-ABF21-ABF20)*(1-AAX22)</f>
        <v/>
      </c>
      <c r="ABM22" s="12">
        <f>ABG22+ABG21+ABG20+MAX(0,ABM21-ABG21-ABG20)*(1-AAX22)</f>
        <v/>
      </c>
      <c r="ABN22" s="12">
        <f>ABN21+ABH22-ABH10*(AnnualChurn*VLOOKUP(AAT22,ChurnSeasonTable,4,FALSE))*POWER(1-(AnnualChurn*VLOOKUP(AAT22,ChurnSeasonTable,4,FALSE)),0)</f>
        <v/>
      </c>
      <c r="ABO22" s="12">
        <f>ABO21+ABI22-ABI10*(AnnualChurn*VLOOKUP(AAT22,ChurnSeasonTable,4,FALSE))*POWER(1-(AnnualChurn*VLOOKUP(AAT22,ChurnSeasonTable,4,FALSE)),0)</f>
        <v/>
      </c>
      <c r="ABP22" s="12">
        <f>ABP21+ABJ22-ABJ10*(AnnualChurn*VLOOKUP(AAT22,ChurnSeasonTable,4,FALSE))*POWER(1-(AnnualChurn*VLOOKUP(AAT22,ChurnSeasonTable,4,FALSE)),0)</f>
        <v/>
      </c>
      <c r="ABQ22" s="12">
        <f>ABK22+ABL22+ABM22+ABN22+ABO22+ABP22</f>
        <v/>
      </c>
      <c r="ABR22" s="9">
        <f>ABK22*BlendedPriceEssMonthly*AAW22+ABL22*BlendedPricePremMonthly*AAW22+ABM22*BlendedPriceEliteMonthly*AAW22+ABN22*BlendedPriceEssAnnual*AAW22/12+ABO22*BlendedPricePremAnnual*AAW22/12+ABP22*BlendedPriceEliteAnnual*AAW22/12</f>
        <v/>
      </c>
      <c r="ABS22" s="9">
        <f>ABR22*12</f>
        <v/>
      </c>
      <c r="ABT22" s="12">
        <f>ABK22*BlendedPriceEssMonthly*AAW22+ABL22*BlendedPricePremMonthly*AAW22+ABM22*BlendedPriceEliteMonthly*AAW22</f>
        <v/>
      </c>
      <c r="ABU22" s="12">
        <f>ABH22*BlendedPriceEssAnnual*AAW22+ABI22*BlendedPricePremAnnual*AAW22+ABJ22*BlendedPriceEliteAnnual*AAW22</f>
        <v/>
      </c>
      <c r="ABV22" s="12">
        <f>ABH10*POWER(1-(AnnualChurn*VLOOKUP(AAT22,ChurnSeasonTable,4,FALSE)),1)*BlendedPriceEssAnnual*AAW22+ABI10*POWER(1-(AnnualChurn*VLOOKUP(AAT22,ChurnSeasonTable,4,FALSE)),1)*BlendedPricePremAnnual*AAW22+ABJ10*POWER(1-(AnnualChurn*VLOOKUP(AAT22,ChurnSeasonTable,4,FALSE)),1)*BlendedPriceEliteAnnual*AAW22</f>
        <v/>
      </c>
      <c r="ABW22" s="9">
        <f>ABT22+ABU22+ABV22</f>
        <v/>
      </c>
      <c r="ABX22" s="12">
        <f>SUM(ABW11:ABW22)</f>
        <v/>
      </c>
      <c r="ABY22" s="12">
        <f>OR(ABY21,IF(VATAgentMode,SUM($ABW11:$ABW22)-SUM($ACD11:$ACD22)&gt;=VATThreshold,SUM($ABW11:$ABW22)&gt;=VATThreshold))</f>
        <v/>
      </c>
      <c r="ABZ22" s="9">
        <f>IF(ABY22,IF(VATAgentMode,ABW22-((ABW22-ACD22)-(ABW22-ACD22)/(1+VATRate)),ABW22/(1+VATRate)),ABW22)</f>
        <v/>
      </c>
      <c r="ACA22" s="12">
        <f>ABW22-ABZ22</f>
        <v/>
      </c>
      <c r="ACB22" s="12">
        <f>IF(ABY22=0,0,IF(AAT22=1,SUMPRODUCT(--(($AAU$5:$AAU22=$AAU22-1)*($AAT$5:$AAT22&gt;=10)*($AAT$5:$AAT22&lt;=12)),$ACA$5:$ACA22),IF(AAT22=4,SUMPRODUCT(--(($AAU$5:$AAU22=$AAU22)*($AAT$5:$AAT22&gt;=1)*($AAT$5:$AAT22&lt;=3)),$ACA$5:$ACA22),IF(AAT22=7,SUMPRODUCT(--(($AAU$5:$AAU22=$AAU22)*($AAT$5:$AAT22&gt;=4)*($AAT$5:$AAT22&lt;=6)),$ACA$5:$ACA22),IF(AAT22=10,SUMPRODUCT(--(($AAU$5:$AAU22=$AAU22)*($AAT$5:$AAT22&gt;=7)*($AAT$5:$AAT22&lt;=9)),$ACA$5:$ACA22),0)))))</f>
        <v/>
      </c>
      <c r="ACC22" s="12">
        <f>ACC21+ACA22-ACB22</f>
        <v/>
      </c>
      <c r="ACD22" s="12">
        <f>IF(ProviderDelay&gt;=1,ABK21*BlendedProvPayEss+ABL21*BlendedProvPayPrem+ABM21*BlendedProvPayElite+ABN21*BlendedProvPayEss+ABO21*BlendedProvPayPrem+ABP21*BlendedProvPayElite,ABK22*BlendedProvPayEss+ABL22*BlendedProvPayPrem+ABM22*BlendedProvPayElite+ABN22*BlendedProvPayEss+ABO22*BlendedProvPayPrem+ABP22*BlendedProvPayElite)</f>
        <v/>
      </c>
      <c r="ACE22" s="12">
        <f>ABW22*PaymentFee</f>
        <v/>
      </c>
      <c r="ACF22" s="12">
        <f>ABQ22*OpsAI</f>
        <v/>
      </c>
      <c r="ACG22" s="12">
        <f>MonthlyFixed</f>
        <v/>
      </c>
      <c r="ACH22" s="12">
        <f>ABA22*ReferralReward</f>
        <v/>
      </c>
      <c r="ACI22" s="12">
        <f>AAY22</f>
        <v/>
      </c>
      <c r="ACJ22" s="9">
        <f>ABZ22-ACD22-ACE22-ACF22-ACG22-ACH22-ACI22</f>
        <v/>
      </c>
      <c r="ACK22" s="9">
        <f>ACK21+ABW22-(ACD22+ACE22+ACF22+ACG22+ACH22+ACI22+ACB22)</f>
        <v/>
      </c>
      <c r="ACL22" s="12">
        <f>IF(ABQ22&gt;0,ABR22/ABQ22,0)</f>
        <v/>
      </c>
      <c r="ACM22" s="11">
        <f>IF(ABQ21&gt;0,MAX(0,(ABQ21+ABB22-ABQ22)/ABQ21),0)</f>
        <v/>
      </c>
      <c r="ACO22" s="12" t="n">
        <v>18</v>
      </c>
      <c r="ACP22" s="12">
        <f>MOD(ACO22-1+LaunchMonth-1,12)+1</f>
        <v/>
      </c>
      <c r="ACQ22" s="12">
        <f>INT((ACO22-1+LaunchMonth-1)/12)+1</f>
        <v/>
      </c>
      <c r="ACR22" s="12">
        <f>VLOOKUP(ACP22,SeasonTable,2,FALSE)</f>
        <v/>
      </c>
      <c r="ACS22" s="12">
        <f>(1+InflationRate)^INT((ACO22-1)/12)</f>
        <v/>
      </c>
      <c r="ACT22" s="11">
        <f>MonthlyChurn*VLOOKUP(ACP22,ChurnSeasonTable,4,FALSE)</f>
        <v/>
      </c>
      <c r="ACU22" s="12">
        <f>MIN(MAX(MktMin13_18,ADS21*MktPct13_18),MAX(0,AEG21-CashBuffer))</f>
        <v/>
      </c>
      <c r="ACV22" s="12">
        <f>IF(ACU22&gt;0,MAX(1,ROUND(ACU22/CAC*ACR22,0)),0)</f>
        <v/>
      </c>
      <c r="ACW22" s="12">
        <f>IF(ACV22&gt;0,ROUND(ACV22*ReferralMix/(1-ReferralMix),0),0)</f>
        <v/>
      </c>
      <c r="ACX22" s="12">
        <f>ACV22+ACW22</f>
        <v/>
      </c>
      <c r="ACY22" s="12">
        <f>ROUND(ACX22*(1-'Sens - Annual Mix'!$A$13),0)</f>
        <v/>
      </c>
      <c r="ACZ22" s="12">
        <f>ACX22-ACY22</f>
        <v/>
      </c>
      <c r="ADA22" s="12">
        <f>ROUND(ACY22*EssentialMix,0)</f>
        <v/>
      </c>
      <c r="ADB22" s="12">
        <f>ROUND(ACY22*PremiumMix,0)</f>
        <v/>
      </c>
      <c r="ADC22" s="12">
        <f>ACY22-ADA22-ADB22</f>
        <v/>
      </c>
      <c r="ADD22" s="12">
        <f>ROUND(ACZ22*EssentialMix,0)</f>
        <v/>
      </c>
      <c r="ADE22" s="12">
        <f>ROUND(ACZ22*PremiumMix,0)</f>
        <v/>
      </c>
      <c r="ADF22" s="12">
        <f>ACZ22-ADD22-ADE22</f>
        <v/>
      </c>
      <c r="ADG22" s="12">
        <f>ADA22+ADA21+ADA20+MAX(0,ADG21-ADA21-ADA20)*(1-ACT22)</f>
        <v/>
      </c>
      <c r="ADH22" s="12">
        <f>ADB22+ADB21+ADB20+MAX(0,ADH21-ADB21-ADB20)*(1-ACT22)</f>
        <v/>
      </c>
      <c r="ADI22" s="12">
        <f>ADC22+ADC21+ADC20+MAX(0,ADI21-ADC21-ADC20)*(1-ACT22)</f>
        <v/>
      </c>
      <c r="ADJ22" s="12">
        <f>ADJ21+ADD22-ADD10*(AnnualChurn*VLOOKUP(ACP22,ChurnSeasonTable,4,FALSE))*POWER(1-(AnnualChurn*VLOOKUP(ACP22,ChurnSeasonTable,4,FALSE)),0)</f>
        <v/>
      </c>
      <c r="ADK22" s="12">
        <f>ADK21+ADE22-ADE10*(AnnualChurn*VLOOKUP(ACP22,ChurnSeasonTable,4,FALSE))*POWER(1-(AnnualChurn*VLOOKUP(ACP22,ChurnSeasonTable,4,FALSE)),0)</f>
        <v/>
      </c>
      <c r="ADL22" s="12">
        <f>ADL21+ADF22-ADF10*(AnnualChurn*VLOOKUP(ACP22,ChurnSeasonTable,4,FALSE))*POWER(1-(AnnualChurn*VLOOKUP(ACP22,ChurnSeasonTable,4,FALSE)),0)</f>
        <v/>
      </c>
      <c r="ADM22" s="12">
        <f>ADG22+ADH22+ADI22+ADJ22+ADK22+ADL22</f>
        <v/>
      </c>
      <c r="ADN22" s="9">
        <f>ADG22*BlendedPriceEssMonthly*ACS22+ADH22*BlendedPricePremMonthly*ACS22+ADI22*BlendedPriceEliteMonthly*ACS22+ADJ22*BlendedPriceEssAnnual*ACS22/12+ADK22*BlendedPricePremAnnual*ACS22/12+ADL22*BlendedPriceEliteAnnual*ACS22/12</f>
        <v/>
      </c>
      <c r="ADO22" s="9">
        <f>ADN22*12</f>
        <v/>
      </c>
      <c r="ADP22" s="12">
        <f>ADG22*BlendedPriceEssMonthly*ACS22+ADH22*BlendedPricePremMonthly*ACS22+ADI22*BlendedPriceEliteMonthly*ACS22</f>
        <v/>
      </c>
      <c r="ADQ22" s="12">
        <f>ADD22*BlendedPriceEssAnnual*ACS22+ADE22*BlendedPricePremAnnual*ACS22+ADF22*BlendedPriceEliteAnnual*ACS22</f>
        <v/>
      </c>
      <c r="ADR22" s="12">
        <f>ADD10*POWER(1-(AnnualChurn*VLOOKUP(ACP22,ChurnSeasonTable,4,FALSE)),1)*BlendedPriceEssAnnual*ACS22+ADE10*POWER(1-(AnnualChurn*VLOOKUP(ACP22,ChurnSeasonTable,4,FALSE)),1)*BlendedPricePremAnnual*ACS22+ADF10*POWER(1-(AnnualChurn*VLOOKUP(ACP22,ChurnSeasonTable,4,FALSE)),1)*BlendedPriceEliteAnnual*ACS22</f>
        <v/>
      </c>
      <c r="ADS22" s="9">
        <f>ADP22+ADQ22+ADR22</f>
        <v/>
      </c>
      <c r="ADT22" s="12">
        <f>SUM(ADS11:ADS22)</f>
        <v/>
      </c>
      <c r="ADU22" s="12">
        <f>OR(ADU21,IF(VATAgentMode,SUM($ADS11:$ADS22)-SUM($ADZ11:$ADZ22)&gt;=VATThreshold,SUM($ADS11:$ADS22)&gt;=VATThreshold))</f>
        <v/>
      </c>
      <c r="ADV22" s="9">
        <f>IF(ADU22,IF(VATAgentMode,ADS22-((ADS22-ADZ22)-(ADS22-ADZ22)/(1+VATRate)),ADS22/(1+VATRate)),ADS22)</f>
        <v/>
      </c>
      <c r="ADW22" s="12">
        <f>ADS22-ADV22</f>
        <v/>
      </c>
      <c r="ADX22" s="12">
        <f>IF(ADU22=0,0,IF(ACP22=1,SUMPRODUCT(--(($ACQ$5:$ACQ22=$ACQ22-1)*($ACP$5:$ACP22&gt;=10)*($ACP$5:$ACP22&lt;=12)),$ADW$5:$ADW22),IF(ACP22=4,SUMPRODUCT(--(($ACQ$5:$ACQ22=$ACQ22)*($ACP$5:$ACP22&gt;=1)*($ACP$5:$ACP22&lt;=3)),$ADW$5:$ADW22),IF(ACP22=7,SUMPRODUCT(--(($ACQ$5:$ACQ22=$ACQ22)*($ACP$5:$ACP22&gt;=4)*($ACP$5:$ACP22&lt;=6)),$ADW$5:$ADW22),IF(ACP22=10,SUMPRODUCT(--(($ACQ$5:$ACQ22=$ACQ22)*($ACP$5:$ACP22&gt;=7)*($ACP$5:$ACP22&lt;=9)),$ADW$5:$ADW22),0)))))</f>
        <v/>
      </c>
      <c r="ADY22" s="12">
        <f>ADY21+ADW22-ADX22</f>
        <v/>
      </c>
      <c r="ADZ22" s="12">
        <f>IF(ProviderDelay&gt;=1,ADG21*BlendedProvPayEss+ADH21*BlendedProvPayPrem+ADI21*BlendedProvPayElite+ADJ21*BlendedProvPayEss+ADK21*BlendedProvPayPrem+ADL21*BlendedProvPayElite,ADG22*BlendedProvPayEss+ADH22*BlendedProvPayPrem+ADI22*BlendedProvPayElite+ADJ22*BlendedProvPayEss+ADK22*BlendedProvPayPrem+ADL22*BlendedProvPayElite)</f>
        <v/>
      </c>
      <c r="AEA22" s="12">
        <f>ADS22*PaymentFee</f>
        <v/>
      </c>
      <c r="AEB22" s="12">
        <f>ADM22*OpsAI</f>
        <v/>
      </c>
      <c r="AEC22" s="12">
        <f>MonthlyFixed</f>
        <v/>
      </c>
      <c r="AED22" s="12">
        <f>ACW22*ReferralReward</f>
        <v/>
      </c>
      <c r="AEE22" s="12">
        <f>ACU22</f>
        <v/>
      </c>
      <c r="AEF22" s="9">
        <f>ADV22-ADZ22-AEA22-AEB22-AEC22-AED22-AEE22</f>
        <v/>
      </c>
      <c r="AEG22" s="9">
        <f>AEG21+ADS22-(ADZ22+AEA22+AEB22+AEC22+AED22+AEE22+ADX22)</f>
        <v/>
      </c>
      <c r="AEH22" s="12">
        <f>IF(ADM22&gt;0,ADN22/ADM22,0)</f>
        <v/>
      </c>
      <c r="AEI22" s="11">
        <f>IF(ADM21&gt;0,MAX(0,(ADM21+ACX22-ADM22)/ADM21),0)</f>
        <v/>
      </c>
      <c r="AEK22" s="12" t="n">
        <v>18</v>
      </c>
      <c r="AEL22" s="12">
        <f>MOD(AEK22-1+LaunchMonth-1,12)+1</f>
        <v/>
      </c>
      <c r="AEM22" s="12">
        <f>INT((AEK22-1+LaunchMonth-1)/12)+1</f>
        <v/>
      </c>
      <c r="AEN22" s="12">
        <f>VLOOKUP(AEL22,SeasonTable,2,FALSE)</f>
        <v/>
      </c>
      <c r="AEO22" s="12">
        <f>(1+InflationRate)^INT((AEK22-1)/12)</f>
        <v/>
      </c>
      <c r="AEP22" s="11">
        <f>MonthlyChurn*VLOOKUP(AEL22,ChurnSeasonTable,4,FALSE)</f>
        <v/>
      </c>
      <c r="AEQ22" s="12">
        <f>MIN(MAX(MktMin13_18,AFO21*MktPct13_18),MAX(0,AGC21-CashBuffer))</f>
        <v/>
      </c>
      <c r="AER22" s="12">
        <f>IF(AEQ22&gt;0,MAX(1,ROUND(AEQ22/CAC*AEN22,0)),0)</f>
        <v/>
      </c>
      <c r="AES22" s="12">
        <f>IF(AER22&gt;0,ROUND(AER22*ReferralMix/(1-ReferralMix),0),0)</f>
        <v/>
      </c>
      <c r="AET22" s="12">
        <f>AER22+AES22</f>
        <v/>
      </c>
      <c r="AEU22" s="12">
        <f>ROUND(AET22*(1-'Sens - Annual Mix'!$A$14),0)</f>
        <v/>
      </c>
      <c r="AEV22" s="12">
        <f>AET22-AEU22</f>
        <v/>
      </c>
      <c r="AEW22" s="12">
        <f>ROUND(AEU22*EssentialMix,0)</f>
        <v/>
      </c>
      <c r="AEX22" s="12">
        <f>ROUND(AEU22*PremiumMix,0)</f>
        <v/>
      </c>
      <c r="AEY22" s="12">
        <f>AEU22-AEW22-AEX22</f>
        <v/>
      </c>
      <c r="AEZ22" s="12">
        <f>ROUND(AEV22*EssentialMix,0)</f>
        <v/>
      </c>
      <c r="AFA22" s="12">
        <f>ROUND(AEV22*PremiumMix,0)</f>
        <v/>
      </c>
      <c r="AFB22" s="12">
        <f>AEV22-AEZ22-AFA22</f>
        <v/>
      </c>
      <c r="AFC22" s="12">
        <f>AEW22+AEW21+AEW20+MAX(0,AFC21-AEW21-AEW20)*(1-AEP22)</f>
        <v/>
      </c>
      <c r="AFD22" s="12">
        <f>AEX22+AEX21+AEX20+MAX(0,AFD21-AEX21-AEX20)*(1-AEP22)</f>
        <v/>
      </c>
      <c r="AFE22" s="12">
        <f>AEY22+AEY21+AEY20+MAX(0,AFE21-AEY21-AEY20)*(1-AEP22)</f>
        <v/>
      </c>
      <c r="AFF22" s="12">
        <f>AFF21+AEZ22-AEZ10*(AnnualChurn*VLOOKUP(AEL22,ChurnSeasonTable,4,FALSE))*POWER(1-(AnnualChurn*VLOOKUP(AEL22,ChurnSeasonTable,4,FALSE)),0)</f>
        <v/>
      </c>
      <c r="AFG22" s="12">
        <f>AFG21+AFA22-AFA10*(AnnualChurn*VLOOKUP(AEL22,ChurnSeasonTable,4,FALSE))*POWER(1-(AnnualChurn*VLOOKUP(AEL22,ChurnSeasonTable,4,FALSE)),0)</f>
        <v/>
      </c>
      <c r="AFH22" s="12">
        <f>AFH21+AFB22-AFB10*(AnnualChurn*VLOOKUP(AEL22,ChurnSeasonTable,4,FALSE))*POWER(1-(AnnualChurn*VLOOKUP(AEL22,ChurnSeasonTable,4,FALSE)),0)</f>
        <v/>
      </c>
      <c r="AFI22" s="12">
        <f>AFC22+AFD22+AFE22+AFF22+AFG22+AFH22</f>
        <v/>
      </c>
      <c r="AFJ22" s="9">
        <f>AFC22*BlendedPriceEssMonthly*AEO22+AFD22*BlendedPricePremMonthly*AEO22+AFE22*BlendedPriceEliteMonthly*AEO22+AFF22*BlendedPriceEssAnnual*AEO22/12+AFG22*BlendedPricePremAnnual*AEO22/12+AFH22*BlendedPriceEliteAnnual*AEO22/12</f>
        <v/>
      </c>
      <c r="AFK22" s="9">
        <f>AFJ22*12</f>
        <v/>
      </c>
      <c r="AFL22" s="12">
        <f>AFC22*BlendedPriceEssMonthly*AEO22+AFD22*BlendedPricePremMonthly*AEO22+AFE22*BlendedPriceEliteMonthly*AEO22</f>
        <v/>
      </c>
      <c r="AFM22" s="12">
        <f>AEZ22*BlendedPriceEssAnnual*AEO22+AFA22*BlendedPricePremAnnual*AEO22+AFB22*BlendedPriceEliteAnnual*AEO22</f>
        <v/>
      </c>
      <c r="AFN22" s="12">
        <f>AEZ10*POWER(1-(AnnualChurn*VLOOKUP(AEL22,ChurnSeasonTable,4,FALSE)),1)*BlendedPriceEssAnnual*AEO22+AFA10*POWER(1-(AnnualChurn*VLOOKUP(AEL22,ChurnSeasonTable,4,FALSE)),1)*BlendedPricePremAnnual*AEO22+AFB10*POWER(1-(AnnualChurn*VLOOKUP(AEL22,ChurnSeasonTable,4,FALSE)),1)*BlendedPriceEliteAnnual*AEO22</f>
        <v/>
      </c>
      <c r="AFO22" s="9">
        <f>AFL22+AFM22+AFN22</f>
        <v/>
      </c>
      <c r="AFP22" s="12">
        <f>SUM(AFO11:AFO22)</f>
        <v/>
      </c>
      <c r="AFQ22" s="12">
        <f>OR(AFQ21,IF(VATAgentMode,SUM($AFO11:$AFO22)-SUM($AFV11:$AFV22)&gt;=VATThreshold,SUM($AFO11:$AFO22)&gt;=VATThreshold))</f>
        <v/>
      </c>
      <c r="AFR22" s="9">
        <f>IF(AFQ22,IF(VATAgentMode,AFO22-((AFO22-AFV22)-(AFO22-AFV22)/(1+VATRate)),AFO22/(1+VATRate)),AFO22)</f>
        <v/>
      </c>
      <c r="AFS22" s="12">
        <f>AFO22-AFR22</f>
        <v/>
      </c>
      <c r="AFT22" s="12">
        <f>IF(AFQ22=0,0,IF(AEL22=1,SUMPRODUCT(--(($AEM$5:$AEM22=$AEM22-1)*($AEL$5:$AEL22&gt;=10)*($AEL$5:$AEL22&lt;=12)),$AFS$5:$AFS22),IF(AEL22=4,SUMPRODUCT(--(($AEM$5:$AEM22=$AEM22)*($AEL$5:$AEL22&gt;=1)*($AEL$5:$AEL22&lt;=3)),$AFS$5:$AFS22),IF(AEL22=7,SUMPRODUCT(--(($AEM$5:$AEM22=$AEM22)*($AEL$5:$AEL22&gt;=4)*($AEL$5:$AEL22&lt;=6)),$AFS$5:$AFS22),IF(AEL22=10,SUMPRODUCT(--(($AEM$5:$AEM22=$AEM22)*($AEL$5:$AEL22&gt;=7)*($AEL$5:$AEL22&lt;=9)),$AFS$5:$AFS22),0)))))</f>
        <v/>
      </c>
      <c r="AFU22" s="12">
        <f>AFU21+AFS22-AFT22</f>
        <v/>
      </c>
      <c r="AFV22" s="12">
        <f>IF(ProviderDelay&gt;=1,AFC21*BlendedProvPayEss+AFD21*BlendedProvPayPrem+AFE21*BlendedProvPayElite+AFF21*BlendedProvPayEss+AFG21*BlendedProvPayPrem+AFH21*BlendedProvPayElite,AFC22*BlendedProvPayEss+AFD22*BlendedProvPayPrem+AFE22*BlendedProvPayElite+AFF22*BlendedProvPayEss+AFG22*BlendedProvPayPrem+AFH22*BlendedProvPayElite)</f>
        <v/>
      </c>
      <c r="AFW22" s="12">
        <f>AFO22*PaymentFee</f>
        <v/>
      </c>
      <c r="AFX22" s="12">
        <f>AFI22*OpsAI</f>
        <v/>
      </c>
      <c r="AFY22" s="12">
        <f>MonthlyFixed</f>
        <v/>
      </c>
      <c r="AFZ22" s="12">
        <f>AES22*ReferralReward</f>
        <v/>
      </c>
      <c r="AGA22" s="12">
        <f>AEQ22</f>
        <v/>
      </c>
      <c r="AGB22" s="9">
        <f>AFR22-AFV22-AFW22-AFX22-AFY22-AFZ22-AGA22</f>
        <v/>
      </c>
      <c r="AGC22" s="9">
        <f>AGC21+AFO22-(AFV22+AFW22+AFX22+AFY22+AFZ22+AGA22+AFT22)</f>
        <v/>
      </c>
      <c r="AGD22" s="12">
        <f>IF(AFI22&gt;0,AFJ22/AFI22,0)</f>
        <v/>
      </c>
      <c r="AGE22" s="11">
        <f>IF(AFI21&gt;0,MAX(0,(AFI21+AET22-AFI22)/AFI21),0)</f>
        <v/>
      </c>
      <c r="AGG22" s="12" t="n">
        <v>18</v>
      </c>
      <c r="AGH22" s="12">
        <f>MOD(AGG22-1+LaunchMonth-1,12)+1</f>
        <v/>
      </c>
      <c r="AGI22" s="12">
        <f>INT((AGG22-1+LaunchMonth-1)/12)+1</f>
        <v/>
      </c>
      <c r="AGJ22" s="12">
        <f>VLOOKUP(AGH22,SeasonTable,2,FALSE)</f>
        <v/>
      </c>
      <c r="AGK22" s="12">
        <f>(1+InflationRate)^INT((AGG22-1)/12)</f>
        <v/>
      </c>
      <c r="AGL22" s="11">
        <f>MonthlyChurn*VLOOKUP(AGH22,ChurnSeasonTable,4,FALSE)</f>
        <v/>
      </c>
      <c r="AGM22" s="12">
        <f>MIN(MAX(MktMin13_18,AHK21*MktPct13_18),MAX(0,AHY21-CashBuffer))</f>
        <v/>
      </c>
      <c r="AGN22" s="12">
        <f>IF(AGM22&gt;0,MAX(1,ROUND(AGM22/CAC*AGJ22,0)),0)</f>
        <v/>
      </c>
      <c r="AGO22" s="12">
        <f>IF(AGN22&gt;0,ROUND(AGN22*ReferralMix/(1-ReferralMix),0),0)</f>
        <v/>
      </c>
      <c r="AGP22" s="12">
        <f>AGN22+AGO22</f>
        <v/>
      </c>
      <c r="AGQ22" s="12">
        <f>ROUND(AGP22*(1-'Sens - Annual Mix'!$A$15),0)</f>
        <v/>
      </c>
      <c r="AGR22" s="12">
        <f>AGP22-AGQ22</f>
        <v/>
      </c>
      <c r="AGS22" s="12">
        <f>ROUND(AGQ22*EssentialMix,0)</f>
        <v/>
      </c>
      <c r="AGT22" s="12">
        <f>ROUND(AGQ22*PremiumMix,0)</f>
        <v/>
      </c>
      <c r="AGU22" s="12">
        <f>AGQ22-AGS22-AGT22</f>
        <v/>
      </c>
      <c r="AGV22" s="12">
        <f>ROUND(AGR22*EssentialMix,0)</f>
        <v/>
      </c>
      <c r="AGW22" s="12">
        <f>ROUND(AGR22*PremiumMix,0)</f>
        <v/>
      </c>
      <c r="AGX22" s="12">
        <f>AGR22-AGV22-AGW22</f>
        <v/>
      </c>
      <c r="AGY22" s="12">
        <f>AGS22+AGS21+AGS20+MAX(0,AGY21-AGS21-AGS20)*(1-AGL22)</f>
        <v/>
      </c>
      <c r="AGZ22" s="12">
        <f>AGT22+AGT21+AGT20+MAX(0,AGZ21-AGT21-AGT20)*(1-AGL22)</f>
        <v/>
      </c>
      <c r="AHA22" s="12">
        <f>AGU22+AGU21+AGU20+MAX(0,AHA21-AGU21-AGU20)*(1-AGL22)</f>
        <v/>
      </c>
      <c r="AHB22" s="12">
        <f>AHB21+AGV22-AGV10*(AnnualChurn*VLOOKUP(AGH22,ChurnSeasonTable,4,FALSE))*POWER(1-(AnnualChurn*VLOOKUP(AGH22,ChurnSeasonTable,4,FALSE)),0)</f>
        <v/>
      </c>
      <c r="AHC22" s="12">
        <f>AHC21+AGW22-AGW10*(AnnualChurn*VLOOKUP(AGH22,ChurnSeasonTable,4,FALSE))*POWER(1-(AnnualChurn*VLOOKUP(AGH22,ChurnSeasonTable,4,FALSE)),0)</f>
        <v/>
      </c>
      <c r="AHD22" s="12">
        <f>AHD21+AGX22-AGX10*(AnnualChurn*VLOOKUP(AGH22,ChurnSeasonTable,4,FALSE))*POWER(1-(AnnualChurn*VLOOKUP(AGH22,ChurnSeasonTable,4,FALSE)),0)</f>
        <v/>
      </c>
      <c r="AHE22" s="12">
        <f>AGY22+AGZ22+AHA22+AHB22+AHC22+AHD22</f>
        <v/>
      </c>
      <c r="AHF22" s="9">
        <f>AGY22*BlendedPriceEssMonthly*AGK22+AGZ22*BlendedPricePremMonthly*AGK22+AHA22*BlendedPriceEliteMonthly*AGK22+AHB22*BlendedPriceEssAnnual*AGK22/12+AHC22*BlendedPricePremAnnual*AGK22/12+AHD22*BlendedPriceEliteAnnual*AGK22/12</f>
        <v/>
      </c>
      <c r="AHG22" s="9">
        <f>AHF22*12</f>
        <v/>
      </c>
      <c r="AHH22" s="12">
        <f>AGY22*BlendedPriceEssMonthly*AGK22+AGZ22*BlendedPricePremMonthly*AGK22+AHA22*BlendedPriceEliteMonthly*AGK22</f>
        <v/>
      </c>
      <c r="AHI22" s="12">
        <f>AGV22*BlendedPriceEssAnnual*AGK22+AGW22*BlendedPricePremAnnual*AGK22+AGX22*BlendedPriceEliteAnnual*AGK22</f>
        <v/>
      </c>
      <c r="AHJ22" s="12">
        <f>AGV10*POWER(1-(AnnualChurn*VLOOKUP(AGH22,ChurnSeasonTable,4,FALSE)),1)*BlendedPriceEssAnnual*AGK22+AGW10*POWER(1-(AnnualChurn*VLOOKUP(AGH22,ChurnSeasonTable,4,FALSE)),1)*BlendedPricePremAnnual*AGK22+AGX10*POWER(1-(AnnualChurn*VLOOKUP(AGH22,ChurnSeasonTable,4,FALSE)),1)*BlendedPriceEliteAnnual*AGK22</f>
        <v/>
      </c>
      <c r="AHK22" s="9">
        <f>AHH22+AHI22+AHJ22</f>
        <v/>
      </c>
      <c r="AHL22" s="12">
        <f>SUM(AHK11:AHK22)</f>
        <v/>
      </c>
      <c r="AHM22" s="12">
        <f>OR(AHM21,IF(VATAgentMode,SUM($AHK11:$AHK22)-SUM($AHR11:$AHR22)&gt;=VATThreshold,SUM($AHK11:$AHK22)&gt;=VATThreshold))</f>
        <v/>
      </c>
      <c r="AHN22" s="9">
        <f>IF(AHM22,IF(VATAgentMode,AHK22-((AHK22-AHR22)-(AHK22-AHR22)/(1+VATRate)),AHK22/(1+VATRate)),AHK22)</f>
        <v/>
      </c>
      <c r="AHO22" s="12">
        <f>AHK22-AHN22</f>
        <v/>
      </c>
      <c r="AHP22" s="12">
        <f>IF(AHM22=0,0,IF(AGH22=1,SUMPRODUCT(--(($AGI$5:$AGI22=$AGI22-1)*($AGH$5:$AGH22&gt;=10)*($AGH$5:$AGH22&lt;=12)),$AHO$5:$AHO22),IF(AGH22=4,SUMPRODUCT(--(($AGI$5:$AGI22=$AGI22)*($AGH$5:$AGH22&gt;=1)*($AGH$5:$AGH22&lt;=3)),$AHO$5:$AHO22),IF(AGH22=7,SUMPRODUCT(--(($AGI$5:$AGI22=$AGI22)*($AGH$5:$AGH22&gt;=4)*($AGH$5:$AGH22&lt;=6)),$AHO$5:$AHO22),IF(AGH22=10,SUMPRODUCT(--(($AGI$5:$AGI22=$AGI22)*($AGH$5:$AGH22&gt;=7)*($AGH$5:$AGH22&lt;=9)),$AHO$5:$AHO22),0)))))</f>
        <v/>
      </c>
      <c r="AHQ22" s="12">
        <f>AHQ21+AHO22-AHP22</f>
        <v/>
      </c>
      <c r="AHR22" s="12">
        <f>IF(ProviderDelay&gt;=1,AGY21*BlendedProvPayEss+AGZ21*BlendedProvPayPrem+AHA21*BlendedProvPayElite+AHB21*BlendedProvPayEss+AHC21*BlendedProvPayPrem+AHD21*BlendedProvPayElite,AGY22*BlendedProvPayEss+AGZ22*BlendedProvPayPrem+AHA22*BlendedProvPayElite+AHB22*BlendedProvPayEss+AHC22*BlendedProvPayPrem+AHD22*BlendedProvPayElite)</f>
        <v/>
      </c>
      <c r="AHS22" s="12">
        <f>AHK22*PaymentFee</f>
        <v/>
      </c>
      <c r="AHT22" s="12">
        <f>AHE22*OpsAI</f>
        <v/>
      </c>
      <c r="AHU22" s="12">
        <f>MonthlyFixed</f>
        <v/>
      </c>
      <c r="AHV22" s="12">
        <f>AGO22*ReferralReward</f>
        <v/>
      </c>
      <c r="AHW22" s="12">
        <f>AGM22</f>
        <v/>
      </c>
      <c r="AHX22" s="9">
        <f>AHN22-AHR22-AHS22-AHT22-AHU22-AHV22-AHW22</f>
        <v/>
      </c>
      <c r="AHY22" s="9">
        <f>AHY21+AHK22-(AHR22+AHS22+AHT22+AHU22+AHV22+AHW22+AHP22)</f>
        <v/>
      </c>
      <c r="AHZ22" s="12">
        <f>IF(AHE22&gt;0,AHF22/AHE22,0)</f>
        <v/>
      </c>
      <c r="AIA22" s="11">
        <f>IF(AHE21&gt;0,MAX(0,(AHE21+AGP22-AHE22)/AHE21),0)</f>
        <v/>
      </c>
      <c r="AIC22" s="12" t="n">
        <v>18</v>
      </c>
      <c r="AID22" s="12">
        <f>MOD(AIC22-1+LaunchMonth-1,12)+1</f>
        <v/>
      </c>
      <c r="AIE22" s="12">
        <f>INT((AIC22-1+LaunchMonth-1)/12)+1</f>
        <v/>
      </c>
      <c r="AIF22" s="12">
        <f>VLOOKUP(AID22,SeasonTable,2,FALSE)</f>
        <v/>
      </c>
      <c r="AIG22" s="12">
        <f>(1+InflationRate)^INT((AIC22-1)/12)</f>
        <v/>
      </c>
      <c r="AIH22" s="11">
        <f>MonthlyChurn*VLOOKUP(AID22,ChurnSeasonTable,4,FALSE)</f>
        <v/>
      </c>
      <c r="AII22" s="12">
        <f>MIN(MAX(MktMin13_18,AJG21*MktPct13_18),MAX(0,AJU21-CashBuffer))</f>
        <v/>
      </c>
      <c r="AIJ22" s="12">
        <f>IF(AII22&gt;0,MAX(1,ROUND(AII22/'Sens - CAC &amp; Marketing'!$A$9*AIF22,0)),0)</f>
        <v/>
      </c>
      <c r="AIK22" s="12">
        <f>IF(AIJ22&gt;0,ROUND(AIJ22*ReferralMix/(1-ReferralMix),0),0)</f>
        <v/>
      </c>
      <c r="AIL22" s="12">
        <f>AIJ22+AIK22</f>
        <v/>
      </c>
      <c r="AIM22" s="12">
        <f>ROUND(AIL22*(1-AnnualMix),0)</f>
        <v/>
      </c>
      <c r="AIN22" s="12">
        <f>AIL22-AIM22</f>
        <v/>
      </c>
      <c r="AIO22" s="12">
        <f>ROUND(AIM22*EssentialMix,0)</f>
        <v/>
      </c>
      <c r="AIP22" s="12">
        <f>ROUND(AIM22*PremiumMix,0)</f>
        <v/>
      </c>
      <c r="AIQ22" s="12">
        <f>AIM22-AIO22-AIP22</f>
        <v/>
      </c>
      <c r="AIR22" s="12">
        <f>ROUND(AIN22*EssentialMix,0)</f>
        <v/>
      </c>
      <c r="AIS22" s="12">
        <f>ROUND(AIN22*PremiumMix,0)</f>
        <v/>
      </c>
      <c r="AIT22" s="12">
        <f>AIN22-AIR22-AIS22</f>
        <v/>
      </c>
      <c r="AIU22" s="12">
        <f>AIO22+AIO21+AIO20+MAX(0,AIU21-AIO21-AIO20)*(1-AIH22)</f>
        <v/>
      </c>
      <c r="AIV22" s="12">
        <f>AIP22+AIP21+AIP20+MAX(0,AIV21-AIP21-AIP20)*(1-AIH22)</f>
        <v/>
      </c>
      <c r="AIW22" s="12">
        <f>AIQ22+AIQ21+AIQ20+MAX(0,AIW21-AIQ21-AIQ20)*(1-AIH22)</f>
        <v/>
      </c>
      <c r="AIX22" s="12">
        <f>AIX21+AIR22-AIR10*(AnnualChurn*VLOOKUP(AID22,ChurnSeasonTable,4,FALSE))*POWER(1-(AnnualChurn*VLOOKUP(AID22,ChurnSeasonTable,4,FALSE)),0)</f>
        <v/>
      </c>
      <c r="AIY22" s="12">
        <f>AIY21+AIS22-AIS10*(AnnualChurn*VLOOKUP(AID22,ChurnSeasonTable,4,FALSE))*POWER(1-(AnnualChurn*VLOOKUP(AID22,ChurnSeasonTable,4,FALSE)),0)</f>
        <v/>
      </c>
      <c r="AIZ22" s="12">
        <f>AIZ21+AIT22-AIT10*(AnnualChurn*VLOOKUP(AID22,ChurnSeasonTable,4,FALSE))*POWER(1-(AnnualChurn*VLOOKUP(AID22,ChurnSeasonTable,4,FALSE)),0)</f>
        <v/>
      </c>
      <c r="AJA22" s="12">
        <f>AIU22+AIV22+AIW22+AIX22+AIY22+AIZ22</f>
        <v/>
      </c>
      <c r="AJB22" s="9">
        <f>AIU22*BlendedPriceEssMonthly*AIG22+AIV22*BlendedPricePremMonthly*AIG22+AIW22*BlendedPriceEliteMonthly*AIG22+AIX22*BlendedPriceEssAnnual*AIG22/12+AIY22*BlendedPricePremAnnual*AIG22/12+AIZ22*BlendedPriceEliteAnnual*AIG22/12</f>
        <v/>
      </c>
      <c r="AJC22" s="9">
        <f>AJB22*12</f>
        <v/>
      </c>
      <c r="AJD22" s="12">
        <f>AIU22*BlendedPriceEssMonthly*AIG22+AIV22*BlendedPricePremMonthly*AIG22+AIW22*BlendedPriceEliteMonthly*AIG22</f>
        <v/>
      </c>
      <c r="AJE22" s="12">
        <f>AIR22*BlendedPriceEssAnnual*AIG22+AIS22*BlendedPricePremAnnual*AIG22+AIT22*BlendedPriceEliteAnnual*AIG22</f>
        <v/>
      </c>
      <c r="AJF22" s="12">
        <f>AIR10*POWER(1-(AnnualChurn*VLOOKUP(AID22,ChurnSeasonTable,4,FALSE)),1)*BlendedPriceEssAnnual*AIG22+AIS10*POWER(1-(AnnualChurn*VLOOKUP(AID22,ChurnSeasonTable,4,FALSE)),1)*BlendedPricePremAnnual*AIG22+AIT10*POWER(1-(AnnualChurn*VLOOKUP(AID22,ChurnSeasonTable,4,FALSE)),1)*BlendedPriceEliteAnnual*AIG22</f>
        <v/>
      </c>
      <c r="AJG22" s="9">
        <f>AJD22+AJE22+AJF22</f>
        <v/>
      </c>
      <c r="AJH22" s="12">
        <f>SUM(AJG11:AJG22)</f>
        <v/>
      </c>
      <c r="AJI22" s="12">
        <f>OR(AJI21,IF(VATAgentMode,SUM($AJG11:$AJG22)-SUM($AJN11:$AJN22)&gt;=VATThreshold,SUM($AJG11:$AJG22)&gt;=VATThreshold))</f>
        <v/>
      </c>
      <c r="AJJ22" s="9">
        <f>IF(AJI22,IF(VATAgentMode,AJG22-((AJG22-AJN22)-(AJG22-AJN22)/(1+VATRate)),AJG22/(1+VATRate)),AJG22)</f>
        <v/>
      </c>
      <c r="AJK22" s="12">
        <f>AJG22-AJJ22</f>
        <v/>
      </c>
      <c r="AJL22" s="12">
        <f>IF(AJI22=0,0,IF(AID22=1,SUMPRODUCT(--(($AIE$5:$AIE22=$AIE22-1)*($AID$5:$AID22&gt;=10)*($AID$5:$AID22&lt;=12)),$AJK$5:$AJK22),IF(AID22=4,SUMPRODUCT(--(($AIE$5:$AIE22=$AIE22)*($AID$5:$AID22&gt;=1)*($AID$5:$AID22&lt;=3)),$AJK$5:$AJK22),IF(AID22=7,SUMPRODUCT(--(($AIE$5:$AIE22=$AIE22)*($AID$5:$AID22&gt;=4)*($AID$5:$AID22&lt;=6)),$AJK$5:$AJK22),IF(AID22=10,SUMPRODUCT(--(($AIE$5:$AIE22=$AIE22)*($AID$5:$AID22&gt;=7)*($AID$5:$AID22&lt;=9)),$AJK$5:$AJK22),0)))))</f>
        <v/>
      </c>
      <c r="AJM22" s="12">
        <f>AJM21+AJK22-AJL22</f>
        <v/>
      </c>
      <c r="AJN22" s="12">
        <f>IF(ProviderDelay&gt;=1,AIU21*BlendedProvPayEss+AIV21*BlendedProvPayPrem+AIW21*BlendedProvPayElite+AIX21*BlendedProvPayEss+AIY21*BlendedProvPayPrem+AIZ21*BlendedProvPayElite,AIU22*BlendedProvPayEss+AIV22*BlendedProvPayPrem+AIW22*BlendedProvPayElite+AIX22*BlendedProvPayEss+AIY22*BlendedProvPayPrem+AIZ22*BlendedProvPayElite)</f>
        <v/>
      </c>
      <c r="AJO22" s="12">
        <f>AJG22*PaymentFee</f>
        <v/>
      </c>
      <c r="AJP22" s="12">
        <f>AJA22*OpsAI</f>
        <v/>
      </c>
      <c r="AJQ22" s="12">
        <f>MonthlyFixed</f>
        <v/>
      </c>
      <c r="AJR22" s="12">
        <f>AIK22*ReferralReward</f>
        <v/>
      </c>
      <c r="AJS22" s="12">
        <f>AII22</f>
        <v/>
      </c>
      <c r="AJT22" s="9">
        <f>AJJ22-AJN22-AJO22-AJP22-AJQ22-AJR22-AJS22</f>
        <v/>
      </c>
      <c r="AJU22" s="9">
        <f>AJU21+AJG22-(AJN22+AJO22+AJP22+AJQ22+AJR22+AJS22+AJL22)</f>
        <v/>
      </c>
      <c r="AJV22" s="12">
        <f>IF(AJA22&gt;0,AJB22/AJA22,0)</f>
        <v/>
      </c>
      <c r="AJW22" s="11">
        <f>IF(AJA21&gt;0,MAX(0,(AJA21+AIL22-AJA22)/AJA21),0)</f>
        <v/>
      </c>
      <c r="AJY22" s="12" t="n">
        <v>18</v>
      </c>
      <c r="AJZ22" s="12">
        <f>MOD(AJY22-1+LaunchMonth-1,12)+1</f>
        <v/>
      </c>
      <c r="AKA22" s="12">
        <f>INT((AJY22-1+LaunchMonth-1)/12)+1</f>
        <v/>
      </c>
      <c r="AKB22" s="12">
        <f>VLOOKUP(AJZ22,SeasonTable,2,FALSE)</f>
        <v/>
      </c>
      <c r="AKC22" s="12">
        <f>(1+InflationRate)^INT((AJY22-1)/12)</f>
        <v/>
      </c>
      <c r="AKD22" s="11">
        <f>MonthlyChurn*VLOOKUP(AJZ22,ChurnSeasonTable,4,FALSE)</f>
        <v/>
      </c>
      <c r="AKE22" s="12">
        <f>MIN(MAX(MktMin13_18,ALC21*MktPct13_18),MAX(0,ALQ21-CashBuffer))</f>
        <v/>
      </c>
      <c r="AKF22" s="12">
        <f>IF(AKE22&gt;0,MAX(1,ROUND(AKE22/'Sens - CAC &amp; Marketing'!$A$10*AKB22,0)),0)</f>
        <v/>
      </c>
      <c r="AKG22" s="12">
        <f>IF(AKF22&gt;0,ROUND(AKF22*ReferralMix/(1-ReferralMix),0),0)</f>
        <v/>
      </c>
      <c r="AKH22" s="12">
        <f>AKF22+AKG22</f>
        <v/>
      </c>
      <c r="AKI22" s="12">
        <f>ROUND(AKH22*(1-AnnualMix),0)</f>
        <v/>
      </c>
      <c r="AKJ22" s="12">
        <f>AKH22-AKI22</f>
        <v/>
      </c>
      <c r="AKK22" s="12">
        <f>ROUND(AKI22*EssentialMix,0)</f>
        <v/>
      </c>
      <c r="AKL22" s="12">
        <f>ROUND(AKI22*PremiumMix,0)</f>
        <v/>
      </c>
      <c r="AKM22" s="12">
        <f>AKI22-AKK22-AKL22</f>
        <v/>
      </c>
      <c r="AKN22" s="12">
        <f>ROUND(AKJ22*EssentialMix,0)</f>
        <v/>
      </c>
      <c r="AKO22" s="12">
        <f>ROUND(AKJ22*PremiumMix,0)</f>
        <v/>
      </c>
      <c r="AKP22" s="12">
        <f>AKJ22-AKN22-AKO22</f>
        <v/>
      </c>
      <c r="AKQ22" s="12">
        <f>AKK22+AKK21+AKK20+MAX(0,AKQ21-AKK21-AKK20)*(1-AKD22)</f>
        <v/>
      </c>
      <c r="AKR22" s="12">
        <f>AKL22+AKL21+AKL20+MAX(0,AKR21-AKL21-AKL20)*(1-AKD22)</f>
        <v/>
      </c>
      <c r="AKS22" s="12">
        <f>AKM22+AKM21+AKM20+MAX(0,AKS21-AKM21-AKM20)*(1-AKD22)</f>
        <v/>
      </c>
      <c r="AKT22" s="12">
        <f>AKT21+AKN22-AKN10*(AnnualChurn*VLOOKUP(AJZ22,ChurnSeasonTable,4,FALSE))*POWER(1-(AnnualChurn*VLOOKUP(AJZ22,ChurnSeasonTable,4,FALSE)),0)</f>
        <v/>
      </c>
      <c r="AKU22" s="12">
        <f>AKU21+AKO22-AKO10*(AnnualChurn*VLOOKUP(AJZ22,ChurnSeasonTable,4,FALSE))*POWER(1-(AnnualChurn*VLOOKUP(AJZ22,ChurnSeasonTable,4,FALSE)),0)</f>
        <v/>
      </c>
      <c r="AKV22" s="12">
        <f>AKV21+AKP22-AKP10*(AnnualChurn*VLOOKUP(AJZ22,ChurnSeasonTable,4,FALSE))*POWER(1-(AnnualChurn*VLOOKUP(AJZ22,ChurnSeasonTable,4,FALSE)),0)</f>
        <v/>
      </c>
      <c r="AKW22" s="12">
        <f>AKQ22+AKR22+AKS22+AKT22+AKU22+AKV22</f>
        <v/>
      </c>
      <c r="AKX22" s="9">
        <f>AKQ22*BlendedPriceEssMonthly*AKC22+AKR22*BlendedPricePremMonthly*AKC22+AKS22*BlendedPriceEliteMonthly*AKC22+AKT22*BlendedPriceEssAnnual*AKC22/12+AKU22*BlendedPricePremAnnual*AKC22/12+AKV22*BlendedPriceEliteAnnual*AKC22/12</f>
        <v/>
      </c>
      <c r="AKY22" s="9">
        <f>AKX22*12</f>
        <v/>
      </c>
      <c r="AKZ22" s="12">
        <f>AKQ22*BlendedPriceEssMonthly*AKC22+AKR22*BlendedPricePremMonthly*AKC22+AKS22*BlendedPriceEliteMonthly*AKC22</f>
        <v/>
      </c>
      <c r="ALA22" s="12">
        <f>AKN22*BlendedPriceEssAnnual*AKC22+AKO22*BlendedPricePremAnnual*AKC22+AKP22*BlendedPriceEliteAnnual*AKC22</f>
        <v/>
      </c>
      <c r="ALB22" s="12">
        <f>AKN10*POWER(1-(AnnualChurn*VLOOKUP(AJZ22,ChurnSeasonTable,4,FALSE)),1)*BlendedPriceEssAnnual*AKC22+AKO10*POWER(1-(AnnualChurn*VLOOKUP(AJZ22,ChurnSeasonTable,4,FALSE)),1)*BlendedPricePremAnnual*AKC22+AKP10*POWER(1-(AnnualChurn*VLOOKUP(AJZ22,ChurnSeasonTable,4,FALSE)),1)*BlendedPriceEliteAnnual*AKC22</f>
        <v/>
      </c>
      <c r="ALC22" s="9">
        <f>AKZ22+ALA22+ALB22</f>
        <v/>
      </c>
      <c r="ALD22" s="12">
        <f>SUM(ALC11:ALC22)</f>
        <v/>
      </c>
      <c r="ALE22" s="12">
        <f>OR(ALE21,IF(VATAgentMode,SUM($ALC11:$ALC22)-SUM($ALJ11:$ALJ22)&gt;=VATThreshold,SUM($ALC11:$ALC22)&gt;=VATThreshold))</f>
        <v/>
      </c>
      <c r="ALF22" s="9">
        <f>IF(ALE22,IF(VATAgentMode,ALC22-((ALC22-ALJ22)-(ALC22-ALJ22)/(1+VATRate)),ALC22/(1+VATRate)),ALC22)</f>
        <v/>
      </c>
      <c r="ALG22" s="12">
        <f>ALC22-ALF22</f>
        <v/>
      </c>
      <c r="ALH22" s="12">
        <f>IF(ALE22=0,0,IF(AJZ22=1,SUMPRODUCT(--(($AKA$5:$AKA22=$AKA22-1)*($AJZ$5:$AJZ22&gt;=10)*($AJZ$5:$AJZ22&lt;=12)),$ALG$5:$ALG22),IF(AJZ22=4,SUMPRODUCT(--(($AKA$5:$AKA22=$AKA22)*($AJZ$5:$AJZ22&gt;=1)*($AJZ$5:$AJZ22&lt;=3)),$ALG$5:$ALG22),IF(AJZ22=7,SUMPRODUCT(--(($AKA$5:$AKA22=$AKA22)*($AJZ$5:$AJZ22&gt;=4)*($AJZ$5:$AJZ22&lt;=6)),$ALG$5:$ALG22),IF(AJZ22=10,SUMPRODUCT(--(($AKA$5:$AKA22=$AKA22)*($AJZ$5:$AJZ22&gt;=7)*($AJZ$5:$AJZ22&lt;=9)),$ALG$5:$ALG22),0)))))</f>
        <v/>
      </c>
      <c r="ALI22" s="12">
        <f>ALI21+ALG22-ALH22</f>
        <v/>
      </c>
      <c r="ALJ22" s="12">
        <f>IF(ProviderDelay&gt;=1,AKQ21*BlendedProvPayEss+AKR21*BlendedProvPayPrem+AKS21*BlendedProvPayElite+AKT21*BlendedProvPayEss+AKU21*BlendedProvPayPrem+AKV21*BlendedProvPayElite,AKQ22*BlendedProvPayEss+AKR22*BlendedProvPayPrem+AKS22*BlendedProvPayElite+AKT22*BlendedProvPayEss+AKU22*BlendedProvPayPrem+AKV22*BlendedProvPayElite)</f>
        <v/>
      </c>
      <c r="ALK22" s="12">
        <f>ALC22*PaymentFee</f>
        <v/>
      </c>
      <c r="ALL22" s="12">
        <f>AKW22*OpsAI</f>
        <v/>
      </c>
      <c r="ALM22" s="12">
        <f>MonthlyFixed</f>
        <v/>
      </c>
      <c r="ALN22" s="12">
        <f>AKG22*ReferralReward</f>
        <v/>
      </c>
      <c r="ALO22" s="12">
        <f>AKE22</f>
        <v/>
      </c>
      <c r="ALP22" s="9">
        <f>ALF22-ALJ22-ALK22-ALL22-ALM22-ALN22-ALO22</f>
        <v/>
      </c>
      <c r="ALQ22" s="9">
        <f>ALQ21+ALC22-(ALJ22+ALK22+ALL22+ALM22+ALN22+ALO22+ALH22)</f>
        <v/>
      </c>
      <c r="ALR22" s="12">
        <f>IF(AKW22&gt;0,AKX22/AKW22,0)</f>
        <v/>
      </c>
      <c r="ALS22" s="11">
        <f>IF(AKW21&gt;0,MAX(0,(AKW21+AKH22-AKW22)/AKW21),0)</f>
        <v/>
      </c>
      <c r="ALU22" s="12" t="n">
        <v>18</v>
      </c>
      <c r="ALV22" s="12">
        <f>MOD(ALU22-1+LaunchMonth-1,12)+1</f>
        <v/>
      </c>
      <c r="ALW22" s="12">
        <f>INT((ALU22-1+LaunchMonth-1)/12)+1</f>
        <v/>
      </c>
      <c r="ALX22" s="12">
        <f>VLOOKUP(ALV22,SeasonTable,2,FALSE)</f>
        <v/>
      </c>
      <c r="ALY22" s="12">
        <f>(1+InflationRate)^INT((ALU22-1)/12)</f>
        <v/>
      </c>
      <c r="ALZ22" s="11">
        <f>MonthlyChurn*VLOOKUP(ALV22,ChurnSeasonTable,4,FALSE)</f>
        <v/>
      </c>
      <c r="AMA22" s="12">
        <f>MIN(MAX(MktMin13_18,AMY21*MktPct13_18),MAX(0,ANM21-CashBuffer))</f>
        <v/>
      </c>
      <c r="AMB22" s="12">
        <f>IF(AMA22&gt;0,MAX(1,ROUND(AMA22/'Sens - CAC &amp; Marketing'!$A$11*ALX22,0)),0)</f>
        <v/>
      </c>
      <c r="AMC22" s="12">
        <f>IF(AMB22&gt;0,ROUND(AMB22*ReferralMix/(1-ReferralMix),0),0)</f>
        <v/>
      </c>
      <c r="AMD22" s="12">
        <f>AMB22+AMC22</f>
        <v/>
      </c>
      <c r="AME22" s="12">
        <f>ROUND(AMD22*(1-AnnualMix),0)</f>
        <v/>
      </c>
      <c r="AMF22" s="12">
        <f>AMD22-AME22</f>
        <v/>
      </c>
      <c r="AMG22" s="12">
        <f>ROUND(AME22*EssentialMix,0)</f>
        <v/>
      </c>
      <c r="AMH22" s="12">
        <f>ROUND(AME22*PremiumMix,0)</f>
        <v/>
      </c>
      <c r="AMI22" s="12">
        <f>AME22-AMG22-AMH22</f>
        <v/>
      </c>
      <c r="AMJ22" s="12">
        <f>ROUND(AMF22*EssentialMix,0)</f>
        <v/>
      </c>
      <c r="AMK22" s="12">
        <f>ROUND(AMF22*PremiumMix,0)</f>
        <v/>
      </c>
      <c r="AML22" s="12">
        <f>AMF22-AMJ22-AMK22</f>
        <v/>
      </c>
      <c r="AMM22" s="12">
        <f>AMG22+AMG21+AMG20+MAX(0,AMM21-AMG21-AMG20)*(1-ALZ22)</f>
        <v/>
      </c>
      <c r="AMN22" s="12">
        <f>AMH22+AMH21+AMH20+MAX(0,AMN21-AMH21-AMH20)*(1-ALZ22)</f>
        <v/>
      </c>
      <c r="AMO22" s="12">
        <f>AMI22+AMI21+AMI20+MAX(0,AMO21-AMI21-AMI20)*(1-ALZ22)</f>
        <v/>
      </c>
      <c r="AMP22" s="12">
        <f>AMP21+AMJ22-AMJ10*(AnnualChurn*VLOOKUP(ALV22,ChurnSeasonTable,4,FALSE))*POWER(1-(AnnualChurn*VLOOKUP(ALV22,ChurnSeasonTable,4,FALSE)),0)</f>
        <v/>
      </c>
      <c r="AMQ22" s="12">
        <f>AMQ21+AMK22-AMK10*(AnnualChurn*VLOOKUP(ALV22,ChurnSeasonTable,4,FALSE))*POWER(1-(AnnualChurn*VLOOKUP(ALV22,ChurnSeasonTable,4,FALSE)),0)</f>
        <v/>
      </c>
      <c r="AMR22" s="12">
        <f>AMR21+AML22-AML10*(AnnualChurn*VLOOKUP(ALV22,ChurnSeasonTable,4,FALSE))*POWER(1-(AnnualChurn*VLOOKUP(ALV22,ChurnSeasonTable,4,FALSE)),0)</f>
        <v/>
      </c>
      <c r="AMS22" s="12">
        <f>AMM22+AMN22+AMO22+AMP22+AMQ22+AMR22</f>
        <v/>
      </c>
      <c r="AMT22" s="9">
        <f>AMM22*BlendedPriceEssMonthly*ALY22+AMN22*BlendedPricePremMonthly*ALY22+AMO22*BlendedPriceEliteMonthly*ALY22+AMP22*BlendedPriceEssAnnual*ALY22/12+AMQ22*BlendedPricePremAnnual*ALY22/12+AMR22*BlendedPriceEliteAnnual*ALY22/12</f>
        <v/>
      </c>
      <c r="AMU22" s="9">
        <f>AMT22*12</f>
        <v/>
      </c>
      <c r="AMV22" s="12">
        <f>AMM22*BlendedPriceEssMonthly*ALY22+AMN22*BlendedPricePremMonthly*ALY22+AMO22*BlendedPriceEliteMonthly*ALY22</f>
        <v/>
      </c>
      <c r="AMW22" s="12">
        <f>AMJ22*BlendedPriceEssAnnual*ALY22+AMK22*BlendedPricePremAnnual*ALY22+AML22*BlendedPriceEliteAnnual*ALY22</f>
        <v/>
      </c>
      <c r="AMX22" s="12">
        <f>AMJ10*POWER(1-(AnnualChurn*VLOOKUP(ALV22,ChurnSeasonTable,4,FALSE)),1)*BlendedPriceEssAnnual*ALY22+AMK10*POWER(1-(AnnualChurn*VLOOKUP(ALV22,ChurnSeasonTable,4,FALSE)),1)*BlendedPricePremAnnual*ALY22+AML10*POWER(1-(AnnualChurn*VLOOKUP(ALV22,ChurnSeasonTable,4,FALSE)),1)*BlendedPriceEliteAnnual*ALY22</f>
        <v/>
      </c>
      <c r="AMY22" s="9">
        <f>AMV22+AMW22+AMX22</f>
        <v/>
      </c>
      <c r="AMZ22" s="12">
        <f>SUM(AMY11:AMY22)</f>
        <v/>
      </c>
      <c r="ANA22" s="12">
        <f>OR(ANA21,IF(VATAgentMode,SUM($AMY11:$AMY22)-SUM($ANF11:$ANF22)&gt;=VATThreshold,SUM($AMY11:$AMY22)&gt;=VATThreshold))</f>
        <v/>
      </c>
      <c r="ANB22" s="9">
        <f>IF(ANA22,IF(VATAgentMode,AMY22-((AMY22-ANF22)-(AMY22-ANF22)/(1+VATRate)),AMY22/(1+VATRate)),AMY22)</f>
        <v/>
      </c>
      <c r="ANC22" s="12">
        <f>AMY22-ANB22</f>
        <v/>
      </c>
      <c r="AND22" s="12">
        <f>IF(ANA22=0,0,IF(ALV22=1,SUMPRODUCT(--(($ALW$5:$ALW22=$ALW22-1)*($ALV$5:$ALV22&gt;=10)*($ALV$5:$ALV22&lt;=12)),$ANC$5:$ANC22),IF(ALV22=4,SUMPRODUCT(--(($ALW$5:$ALW22=$ALW22)*($ALV$5:$ALV22&gt;=1)*($ALV$5:$ALV22&lt;=3)),$ANC$5:$ANC22),IF(ALV22=7,SUMPRODUCT(--(($ALW$5:$ALW22=$ALW22)*($ALV$5:$ALV22&gt;=4)*($ALV$5:$ALV22&lt;=6)),$ANC$5:$ANC22),IF(ALV22=10,SUMPRODUCT(--(($ALW$5:$ALW22=$ALW22)*($ALV$5:$ALV22&gt;=7)*($ALV$5:$ALV22&lt;=9)),$ANC$5:$ANC22),0)))))</f>
        <v/>
      </c>
      <c r="ANE22" s="12">
        <f>ANE21+ANC22-AND22</f>
        <v/>
      </c>
      <c r="ANF22" s="12">
        <f>IF(ProviderDelay&gt;=1,AMM21*BlendedProvPayEss+AMN21*BlendedProvPayPrem+AMO21*BlendedProvPayElite+AMP21*BlendedProvPayEss+AMQ21*BlendedProvPayPrem+AMR21*BlendedProvPayElite,AMM22*BlendedProvPayEss+AMN22*BlendedProvPayPrem+AMO22*BlendedProvPayElite+AMP22*BlendedProvPayEss+AMQ22*BlendedProvPayPrem+AMR22*BlendedProvPayElite)</f>
        <v/>
      </c>
      <c r="ANG22" s="12">
        <f>AMY22*PaymentFee</f>
        <v/>
      </c>
      <c r="ANH22" s="12">
        <f>AMS22*OpsAI</f>
        <v/>
      </c>
      <c r="ANI22" s="12">
        <f>MonthlyFixed</f>
        <v/>
      </c>
      <c r="ANJ22" s="12">
        <f>AMC22*ReferralReward</f>
        <v/>
      </c>
      <c r="ANK22" s="12">
        <f>AMA22</f>
        <v/>
      </c>
      <c r="ANL22" s="9">
        <f>ANB22-ANF22-ANG22-ANH22-ANI22-ANJ22-ANK22</f>
        <v/>
      </c>
      <c r="ANM22" s="9">
        <f>ANM21+AMY22-(ANF22+ANG22+ANH22+ANI22+ANJ22+ANK22+AND22)</f>
        <v/>
      </c>
      <c r="ANN22" s="12">
        <f>IF(AMS22&gt;0,AMT22/AMS22,0)</f>
        <v/>
      </c>
      <c r="ANO22" s="11">
        <f>IF(AMS21&gt;0,MAX(0,(AMS21+AMD22-AMS22)/AMS21),0)</f>
        <v/>
      </c>
      <c r="ANQ22" s="12" t="n">
        <v>18</v>
      </c>
      <c r="ANR22" s="12">
        <f>MOD(ANQ22-1+LaunchMonth-1,12)+1</f>
        <v/>
      </c>
      <c r="ANS22" s="12">
        <f>INT((ANQ22-1+LaunchMonth-1)/12)+1</f>
        <v/>
      </c>
      <c r="ANT22" s="12">
        <f>VLOOKUP(ANR22,SeasonTable,2,FALSE)</f>
        <v/>
      </c>
      <c r="ANU22" s="12">
        <f>(1+InflationRate)^INT((ANQ22-1)/12)</f>
        <v/>
      </c>
      <c r="ANV22" s="11">
        <f>MonthlyChurn*VLOOKUP(ANR22,ChurnSeasonTable,4,FALSE)</f>
        <v/>
      </c>
      <c r="ANW22" s="12">
        <f>MIN(MAX(MktMin13_18,AOU21*MktPct13_18),MAX(0,API21-CashBuffer))</f>
        <v/>
      </c>
      <c r="ANX22" s="12">
        <f>IF(ANW22&gt;0,MAX(1,ROUND(ANW22/'Sens - CAC &amp; Marketing'!$A$12*ANT22,0)),0)</f>
        <v/>
      </c>
      <c r="ANY22" s="12">
        <f>IF(ANX22&gt;0,ROUND(ANX22*ReferralMix/(1-ReferralMix),0),0)</f>
        <v/>
      </c>
      <c r="ANZ22" s="12">
        <f>ANX22+ANY22</f>
        <v/>
      </c>
      <c r="AOA22" s="12">
        <f>ROUND(ANZ22*(1-AnnualMix),0)</f>
        <v/>
      </c>
      <c r="AOB22" s="12">
        <f>ANZ22-AOA22</f>
        <v/>
      </c>
      <c r="AOC22" s="12">
        <f>ROUND(AOA22*EssentialMix,0)</f>
        <v/>
      </c>
      <c r="AOD22" s="12">
        <f>ROUND(AOA22*PremiumMix,0)</f>
        <v/>
      </c>
      <c r="AOE22" s="12">
        <f>AOA22-AOC22-AOD22</f>
        <v/>
      </c>
      <c r="AOF22" s="12">
        <f>ROUND(AOB22*EssentialMix,0)</f>
        <v/>
      </c>
      <c r="AOG22" s="12">
        <f>ROUND(AOB22*PremiumMix,0)</f>
        <v/>
      </c>
      <c r="AOH22" s="12">
        <f>AOB22-AOF22-AOG22</f>
        <v/>
      </c>
      <c r="AOI22" s="12">
        <f>AOC22+AOC21+AOC20+MAX(0,AOI21-AOC21-AOC20)*(1-ANV22)</f>
        <v/>
      </c>
      <c r="AOJ22" s="12">
        <f>AOD22+AOD21+AOD20+MAX(0,AOJ21-AOD21-AOD20)*(1-ANV22)</f>
        <v/>
      </c>
      <c r="AOK22" s="12">
        <f>AOE22+AOE21+AOE20+MAX(0,AOK21-AOE21-AOE20)*(1-ANV22)</f>
        <v/>
      </c>
      <c r="AOL22" s="12">
        <f>AOL21+AOF22-AOF10*(AnnualChurn*VLOOKUP(ANR22,ChurnSeasonTable,4,FALSE))*POWER(1-(AnnualChurn*VLOOKUP(ANR22,ChurnSeasonTable,4,FALSE)),0)</f>
        <v/>
      </c>
      <c r="AOM22" s="12">
        <f>AOM21+AOG22-AOG10*(AnnualChurn*VLOOKUP(ANR22,ChurnSeasonTable,4,FALSE))*POWER(1-(AnnualChurn*VLOOKUP(ANR22,ChurnSeasonTable,4,FALSE)),0)</f>
        <v/>
      </c>
      <c r="AON22" s="12">
        <f>AON21+AOH22-AOH10*(AnnualChurn*VLOOKUP(ANR22,ChurnSeasonTable,4,FALSE))*POWER(1-(AnnualChurn*VLOOKUP(ANR22,ChurnSeasonTable,4,FALSE)),0)</f>
        <v/>
      </c>
      <c r="AOO22" s="12">
        <f>AOI22+AOJ22+AOK22+AOL22+AOM22+AON22</f>
        <v/>
      </c>
      <c r="AOP22" s="9">
        <f>AOI22*BlendedPriceEssMonthly*ANU22+AOJ22*BlendedPricePremMonthly*ANU22+AOK22*BlendedPriceEliteMonthly*ANU22+AOL22*BlendedPriceEssAnnual*ANU22/12+AOM22*BlendedPricePremAnnual*ANU22/12+AON22*BlendedPriceEliteAnnual*ANU22/12</f>
        <v/>
      </c>
      <c r="AOQ22" s="9">
        <f>AOP22*12</f>
        <v/>
      </c>
      <c r="AOR22" s="12">
        <f>AOI22*BlendedPriceEssMonthly*ANU22+AOJ22*BlendedPricePremMonthly*ANU22+AOK22*BlendedPriceEliteMonthly*ANU22</f>
        <v/>
      </c>
      <c r="AOS22" s="12">
        <f>AOF22*BlendedPriceEssAnnual*ANU22+AOG22*BlendedPricePremAnnual*ANU22+AOH22*BlendedPriceEliteAnnual*ANU22</f>
        <v/>
      </c>
      <c r="AOT22" s="12">
        <f>AOF10*POWER(1-(AnnualChurn*VLOOKUP(ANR22,ChurnSeasonTable,4,FALSE)),1)*BlendedPriceEssAnnual*ANU22+AOG10*POWER(1-(AnnualChurn*VLOOKUP(ANR22,ChurnSeasonTable,4,FALSE)),1)*BlendedPricePremAnnual*ANU22+AOH10*POWER(1-(AnnualChurn*VLOOKUP(ANR22,ChurnSeasonTable,4,FALSE)),1)*BlendedPriceEliteAnnual*ANU22</f>
        <v/>
      </c>
      <c r="AOU22" s="9">
        <f>AOR22+AOS22+AOT22</f>
        <v/>
      </c>
      <c r="AOV22" s="12">
        <f>SUM(AOU11:AOU22)</f>
        <v/>
      </c>
      <c r="AOW22" s="12">
        <f>OR(AOW21,IF(VATAgentMode,SUM($AOU11:$AOU22)-SUM($APB11:$APB22)&gt;=VATThreshold,SUM($AOU11:$AOU22)&gt;=VATThreshold))</f>
        <v/>
      </c>
      <c r="AOX22" s="9">
        <f>IF(AOW22,IF(VATAgentMode,AOU22-((AOU22-APB22)-(AOU22-APB22)/(1+VATRate)),AOU22/(1+VATRate)),AOU22)</f>
        <v/>
      </c>
      <c r="AOY22" s="12">
        <f>AOU22-AOX22</f>
        <v/>
      </c>
      <c r="AOZ22" s="12">
        <f>IF(AOW22=0,0,IF(ANR22=1,SUMPRODUCT(--(($ANS$5:$ANS22=$ANS22-1)*($ANR$5:$ANR22&gt;=10)*($ANR$5:$ANR22&lt;=12)),$AOY$5:$AOY22),IF(ANR22=4,SUMPRODUCT(--(($ANS$5:$ANS22=$ANS22)*($ANR$5:$ANR22&gt;=1)*($ANR$5:$ANR22&lt;=3)),$AOY$5:$AOY22),IF(ANR22=7,SUMPRODUCT(--(($ANS$5:$ANS22=$ANS22)*($ANR$5:$ANR22&gt;=4)*($ANR$5:$ANR22&lt;=6)),$AOY$5:$AOY22),IF(ANR22=10,SUMPRODUCT(--(($ANS$5:$ANS22=$ANS22)*($ANR$5:$ANR22&gt;=7)*($ANR$5:$ANR22&lt;=9)),$AOY$5:$AOY22),0)))))</f>
        <v/>
      </c>
      <c r="APA22" s="12">
        <f>APA21+AOY22-AOZ22</f>
        <v/>
      </c>
      <c r="APB22" s="12">
        <f>IF(ProviderDelay&gt;=1,AOI21*BlendedProvPayEss+AOJ21*BlendedProvPayPrem+AOK21*BlendedProvPayElite+AOL21*BlendedProvPayEss+AOM21*BlendedProvPayPrem+AON21*BlendedProvPayElite,AOI22*BlendedProvPayEss+AOJ22*BlendedProvPayPrem+AOK22*BlendedProvPayElite+AOL22*BlendedProvPayEss+AOM22*BlendedProvPayPrem+AON22*BlendedProvPayElite)</f>
        <v/>
      </c>
      <c r="APC22" s="12">
        <f>AOU22*PaymentFee</f>
        <v/>
      </c>
      <c r="APD22" s="12">
        <f>AOO22*OpsAI</f>
        <v/>
      </c>
      <c r="APE22" s="12">
        <f>MonthlyFixed</f>
        <v/>
      </c>
      <c r="APF22" s="12">
        <f>ANY22*ReferralReward</f>
        <v/>
      </c>
      <c r="APG22" s="12">
        <f>ANW22</f>
        <v/>
      </c>
      <c r="APH22" s="9">
        <f>AOX22-APB22-APC22-APD22-APE22-APF22-APG22</f>
        <v/>
      </c>
      <c r="API22" s="9">
        <f>API21+AOU22-(APB22+APC22+APD22+APE22+APF22+APG22+AOZ22)</f>
        <v/>
      </c>
      <c r="APJ22" s="12">
        <f>IF(AOO22&gt;0,AOP22/AOO22,0)</f>
        <v/>
      </c>
      <c r="APK22" s="11">
        <f>IF(AOO21&gt;0,MAX(0,(AOO21+ANZ22-AOO22)/AOO21),0)</f>
        <v/>
      </c>
      <c r="APM22" s="12" t="n">
        <v>18</v>
      </c>
      <c r="APN22" s="12">
        <f>MOD(APM22-1+LaunchMonth-1,12)+1</f>
        <v/>
      </c>
      <c r="APO22" s="12">
        <f>INT((APM22-1+LaunchMonth-1)/12)+1</f>
        <v/>
      </c>
      <c r="APP22" s="12">
        <f>VLOOKUP(APN22,SeasonTable,2,FALSE)</f>
        <v/>
      </c>
      <c r="APQ22" s="12">
        <f>(1+InflationRate)^INT((APM22-1)/12)</f>
        <v/>
      </c>
      <c r="APR22" s="11">
        <f>MonthlyChurn*VLOOKUP(APN22,ChurnSeasonTable,4,FALSE)</f>
        <v/>
      </c>
      <c r="APS22" s="12">
        <f>MIN(MAX(MktMin13_18,AQQ21*MktPct13_18),MAX(0,ARE21-CashBuffer))</f>
        <v/>
      </c>
      <c r="APT22" s="12">
        <f>IF(APS22&gt;0,MAX(1,ROUND(APS22/'Sens - CAC &amp; Marketing'!$A$13*APP22,0)),0)</f>
        <v/>
      </c>
      <c r="APU22" s="12">
        <f>IF(APT22&gt;0,ROUND(APT22*ReferralMix/(1-ReferralMix),0),0)</f>
        <v/>
      </c>
      <c r="APV22" s="12">
        <f>APT22+APU22</f>
        <v/>
      </c>
      <c r="APW22" s="12">
        <f>ROUND(APV22*(1-AnnualMix),0)</f>
        <v/>
      </c>
      <c r="APX22" s="12">
        <f>APV22-APW22</f>
        <v/>
      </c>
      <c r="APY22" s="12">
        <f>ROUND(APW22*EssentialMix,0)</f>
        <v/>
      </c>
      <c r="APZ22" s="12">
        <f>ROUND(APW22*PremiumMix,0)</f>
        <v/>
      </c>
      <c r="AQA22" s="12">
        <f>APW22-APY22-APZ22</f>
        <v/>
      </c>
      <c r="AQB22" s="12">
        <f>ROUND(APX22*EssentialMix,0)</f>
        <v/>
      </c>
      <c r="AQC22" s="12">
        <f>ROUND(APX22*PremiumMix,0)</f>
        <v/>
      </c>
      <c r="AQD22" s="12">
        <f>APX22-AQB22-AQC22</f>
        <v/>
      </c>
      <c r="AQE22" s="12">
        <f>APY22+APY21+APY20+MAX(0,AQE21-APY21-APY20)*(1-APR22)</f>
        <v/>
      </c>
      <c r="AQF22" s="12">
        <f>APZ22+APZ21+APZ20+MAX(0,AQF21-APZ21-APZ20)*(1-APR22)</f>
        <v/>
      </c>
      <c r="AQG22" s="12">
        <f>AQA22+AQA21+AQA20+MAX(0,AQG21-AQA21-AQA20)*(1-APR22)</f>
        <v/>
      </c>
      <c r="AQH22" s="12">
        <f>AQH21+AQB22-AQB10*(AnnualChurn*VLOOKUP(APN22,ChurnSeasonTable,4,FALSE))*POWER(1-(AnnualChurn*VLOOKUP(APN22,ChurnSeasonTable,4,FALSE)),0)</f>
        <v/>
      </c>
      <c r="AQI22" s="12">
        <f>AQI21+AQC22-AQC10*(AnnualChurn*VLOOKUP(APN22,ChurnSeasonTable,4,FALSE))*POWER(1-(AnnualChurn*VLOOKUP(APN22,ChurnSeasonTable,4,FALSE)),0)</f>
        <v/>
      </c>
      <c r="AQJ22" s="12">
        <f>AQJ21+AQD22-AQD10*(AnnualChurn*VLOOKUP(APN22,ChurnSeasonTable,4,FALSE))*POWER(1-(AnnualChurn*VLOOKUP(APN22,ChurnSeasonTable,4,FALSE)),0)</f>
        <v/>
      </c>
      <c r="AQK22" s="12">
        <f>AQE22+AQF22+AQG22+AQH22+AQI22+AQJ22</f>
        <v/>
      </c>
      <c r="AQL22" s="9">
        <f>AQE22*BlendedPriceEssMonthly*APQ22+AQF22*BlendedPricePremMonthly*APQ22+AQG22*BlendedPriceEliteMonthly*APQ22+AQH22*BlendedPriceEssAnnual*APQ22/12+AQI22*BlendedPricePremAnnual*APQ22/12+AQJ22*BlendedPriceEliteAnnual*APQ22/12</f>
        <v/>
      </c>
      <c r="AQM22" s="9">
        <f>AQL22*12</f>
        <v/>
      </c>
      <c r="AQN22" s="12">
        <f>AQE22*BlendedPriceEssMonthly*APQ22+AQF22*BlendedPricePremMonthly*APQ22+AQG22*BlendedPriceEliteMonthly*APQ22</f>
        <v/>
      </c>
      <c r="AQO22" s="12">
        <f>AQB22*BlendedPriceEssAnnual*APQ22+AQC22*BlendedPricePremAnnual*APQ22+AQD22*BlendedPriceEliteAnnual*APQ22</f>
        <v/>
      </c>
      <c r="AQP22" s="12">
        <f>AQB10*POWER(1-(AnnualChurn*VLOOKUP(APN22,ChurnSeasonTable,4,FALSE)),1)*BlendedPriceEssAnnual*APQ22+AQC10*POWER(1-(AnnualChurn*VLOOKUP(APN22,ChurnSeasonTable,4,FALSE)),1)*BlendedPricePremAnnual*APQ22+AQD10*POWER(1-(AnnualChurn*VLOOKUP(APN22,ChurnSeasonTable,4,FALSE)),1)*BlendedPriceEliteAnnual*APQ22</f>
        <v/>
      </c>
      <c r="AQQ22" s="9">
        <f>AQN22+AQO22+AQP22</f>
        <v/>
      </c>
      <c r="AQR22" s="12">
        <f>SUM(AQQ11:AQQ22)</f>
        <v/>
      </c>
      <c r="AQS22" s="12">
        <f>OR(AQS21,IF(VATAgentMode,SUM($AQQ11:$AQQ22)-SUM($AQX11:$AQX22)&gt;=VATThreshold,SUM($AQQ11:$AQQ22)&gt;=VATThreshold))</f>
        <v/>
      </c>
      <c r="AQT22" s="9">
        <f>IF(AQS22,IF(VATAgentMode,AQQ22-((AQQ22-AQX22)-(AQQ22-AQX22)/(1+VATRate)),AQQ22/(1+VATRate)),AQQ22)</f>
        <v/>
      </c>
      <c r="AQU22" s="12">
        <f>AQQ22-AQT22</f>
        <v/>
      </c>
      <c r="AQV22" s="12">
        <f>IF(AQS22=0,0,IF(APN22=1,SUMPRODUCT(--(($APO$5:$APO22=$APO22-1)*($APN$5:$APN22&gt;=10)*($APN$5:$APN22&lt;=12)),$AQU$5:$AQU22),IF(APN22=4,SUMPRODUCT(--(($APO$5:$APO22=$APO22)*($APN$5:$APN22&gt;=1)*($APN$5:$APN22&lt;=3)),$AQU$5:$AQU22),IF(APN22=7,SUMPRODUCT(--(($APO$5:$APO22=$APO22)*($APN$5:$APN22&gt;=4)*($APN$5:$APN22&lt;=6)),$AQU$5:$AQU22),IF(APN22=10,SUMPRODUCT(--(($APO$5:$APO22=$APO22)*($APN$5:$APN22&gt;=7)*($APN$5:$APN22&lt;=9)),$AQU$5:$AQU22),0)))))</f>
        <v/>
      </c>
      <c r="AQW22" s="12">
        <f>AQW21+AQU22-AQV22</f>
        <v/>
      </c>
      <c r="AQX22" s="12">
        <f>IF(ProviderDelay&gt;=1,AQE21*BlendedProvPayEss+AQF21*BlendedProvPayPrem+AQG21*BlendedProvPayElite+AQH21*BlendedProvPayEss+AQI21*BlendedProvPayPrem+AQJ21*BlendedProvPayElite,AQE22*BlendedProvPayEss+AQF22*BlendedProvPayPrem+AQG22*BlendedProvPayElite+AQH22*BlendedProvPayEss+AQI22*BlendedProvPayPrem+AQJ22*BlendedProvPayElite)</f>
        <v/>
      </c>
      <c r="AQY22" s="12">
        <f>AQQ22*PaymentFee</f>
        <v/>
      </c>
      <c r="AQZ22" s="12">
        <f>AQK22*OpsAI</f>
        <v/>
      </c>
      <c r="ARA22" s="12">
        <f>MonthlyFixed</f>
        <v/>
      </c>
      <c r="ARB22" s="12">
        <f>APU22*ReferralReward</f>
        <v/>
      </c>
      <c r="ARC22" s="12">
        <f>APS22</f>
        <v/>
      </c>
      <c r="ARD22" s="9">
        <f>AQT22-AQX22-AQY22-AQZ22-ARA22-ARB22-ARC22</f>
        <v/>
      </c>
      <c r="ARE22" s="9">
        <f>ARE21+AQQ22-(AQX22+AQY22+AQZ22+ARA22+ARB22+ARC22+AQV22)</f>
        <v/>
      </c>
      <c r="ARF22" s="12">
        <f>IF(AQK22&gt;0,AQL22/AQK22,0)</f>
        <v/>
      </c>
      <c r="ARG22" s="11">
        <f>IF(AQK21&gt;0,MAX(0,(AQK21+APV22-AQK22)/AQK21),0)</f>
        <v/>
      </c>
      <c r="ARI22" s="12" t="n">
        <v>18</v>
      </c>
      <c r="ARJ22" s="12">
        <f>MOD(ARI22-1+LaunchMonth-1,12)+1</f>
        <v/>
      </c>
      <c r="ARK22" s="12">
        <f>INT((ARI22-1+LaunchMonth-1)/12)+1</f>
        <v/>
      </c>
      <c r="ARL22" s="12">
        <f>VLOOKUP(ARJ22,SeasonTable,2,FALSE)</f>
        <v/>
      </c>
      <c r="ARM22" s="12">
        <f>(1+InflationRate)^INT((ARI22-1)/12)</f>
        <v/>
      </c>
      <c r="ARN22" s="11">
        <f>MonthlyChurn*VLOOKUP(ARJ22,ChurnSeasonTable,4,FALSE)</f>
        <v/>
      </c>
      <c r="ARO22" s="12">
        <f>MIN(MAX(MktMin13_18,ASM21*MktPct13_18),MAX(0,ATA21-CashBuffer))</f>
        <v/>
      </c>
      <c r="ARP22" s="12">
        <f>IF(ARO22&gt;0,MAX(1,ROUND(ARO22/'Sens - CAC &amp; Marketing'!$A$14*ARL22,0)),0)</f>
        <v/>
      </c>
      <c r="ARQ22" s="12">
        <f>IF(ARP22&gt;0,ROUND(ARP22*ReferralMix/(1-ReferralMix),0),0)</f>
        <v/>
      </c>
      <c r="ARR22" s="12">
        <f>ARP22+ARQ22</f>
        <v/>
      </c>
      <c r="ARS22" s="12">
        <f>ROUND(ARR22*(1-AnnualMix),0)</f>
        <v/>
      </c>
      <c r="ART22" s="12">
        <f>ARR22-ARS22</f>
        <v/>
      </c>
      <c r="ARU22" s="12">
        <f>ROUND(ARS22*EssentialMix,0)</f>
        <v/>
      </c>
      <c r="ARV22" s="12">
        <f>ROUND(ARS22*PremiumMix,0)</f>
        <v/>
      </c>
      <c r="ARW22" s="12">
        <f>ARS22-ARU22-ARV22</f>
        <v/>
      </c>
      <c r="ARX22" s="12">
        <f>ROUND(ART22*EssentialMix,0)</f>
        <v/>
      </c>
      <c r="ARY22" s="12">
        <f>ROUND(ART22*PremiumMix,0)</f>
        <v/>
      </c>
      <c r="ARZ22" s="12">
        <f>ART22-ARX22-ARY22</f>
        <v/>
      </c>
      <c r="ASA22" s="12">
        <f>ARU22+ARU21+ARU20+MAX(0,ASA21-ARU21-ARU20)*(1-ARN22)</f>
        <v/>
      </c>
      <c r="ASB22" s="12">
        <f>ARV22+ARV21+ARV20+MAX(0,ASB21-ARV21-ARV20)*(1-ARN22)</f>
        <v/>
      </c>
      <c r="ASC22" s="12">
        <f>ARW22+ARW21+ARW20+MAX(0,ASC21-ARW21-ARW20)*(1-ARN22)</f>
        <v/>
      </c>
      <c r="ASD22" s="12">
        <f>ASD21+ARX22-ARX10*(AnnualChurn*VLOOKUP(ARJ22,ChurnSeasonTable,4,FALSE))*POWER(1-(AnnualChurn*VLOOKUP(ARJ22,ChurnSeasonTable,4,FALSE)),0)</f>
        <v/>
      </c>
      <c r="ASE22" s="12">
        <f>ASE21+ARY22-ARY10*(AnnualChurn*VLOOKUP(ARJ22,ChurnSeasonTable,4,FALSE))*POWER(1-(AnnualChurn*VLOOKUP(ARJ22,ChurnSeasonTable,4,FALSE)),0)</f>
        <v/>
      </c>
      <c r="ASF22" s="12">
        <f>ASF21+ARZ22-ARZ10*(AnnualChurn*VLOOKUP(ARJ22,ChurnSeasonTable,4,FALSE))*POWER(1-(AnnualChurn*VLOOKUP(ARJ22,ChurnSeasonTable,4,FALSE)),0)</f>
        <v/>
      </c>
      <c r="ASG22" s="12">
        <f>ASA22+ASB22+ASC22+ASD22+ASE22+ASF22</f>
        <v/>
      </c>
      <c r="ASH22" s="9">
        <f>ASA22*BlendedPriceEssMonthly*ARM22+ASB22*BlendedPricePremMonthly*ARM22+ASC22*BlendedPriceEliteMonthly*ARM22+ASD22*BlendedPriceEssAnnual*ARM22/12+ASE22*BlendedPricePremAnnual*ARM22/12+ASF22*BlendedPriceEliteAnnual*ARM22/12</f>
        <v/>
      </c>
      <c r="ASI22" s="9">
        <f>ASH22*12</f>
        <v/>
      </c>
      <c r="ASJ22" s="12">
        <f>ASA22*BlendedPriceEssMonthly*ARM22+ASB22*BlendedPricePremMonthly*ARM22+ASC22*BlendedPriceEliteMonthly*ARM22</f>
        <v/>
      </c>
      <c r="ASK22" s="12">
        <f>ARX22*BlendedPriceEssAnnual*ARM22+ARY22*BlendedPricePremAnnual*ARM22+ARZ22*BlendedPriceEliteAnnual*ARM22</f>
        <v/>
      </c>
      <c r="ASL22" s="12">
        <f>ARX10*POWER(1-(AnnualChurn*VLOOKUP(ARJ22,ChurnSeasonTable,4,FALSE)),1)*BlendedPriceEssAnnual*ARM22+ARY10*POWER(1-(AnnualChurn*VLOOKUP(ARJ22,ChurnSeasonTable,4,FALSE)),1)*BlendedPricePremAnnual*ARM22+ARZ10*POWER(1-(AnnualChurn*VLOOKUP(ARJ22,ChurnSeasonTable,4,FALSE)),1)*BlendedPriceEliteAnnual*ARM22</f>
        <v/>
      </c>
      <c r="ASM22" s="9">
        <f>ASJ22+ASK22+ASL22</f>
        <v/>
      </c>
      <c r="ASN22" s="12">
        <f>SUM(ASM11:ASM22)</f>
        <v/>
      </c>
      <c r="ASO22" s="12">
        <f>OR(ASO21,IF(VATAgentMode,SUM($ASM11:$ASM22)-SUM($AST11:$AST22)&gt;=VATThreshold,SUM($ASM11:$ASM22)&gt;=VATThreshold))</f>
        <v/>
      </c>
      <c r="ASP22" s="9">
        <f>IF(ASO22,IF(VATAgentMode,ASM22-((ASM22-AST22)-(ASM22-AST22)/(1+VATRate)),ASM22/(1+VATRate)),ASM22)</f>
        <v/>
      </c>
      <c r="ASQ22" s="12">
        <f>ASM22-ASP22</f>
        <v/>
      </c>
      <c r="ASR22" s="12">
        <f>IF(ASO22=0,0,IF(ARJ22=1,SUMPRODUCT(--(($ARK$5:$ARK22=$ARK22-1)*($ARJ$5:$ARJ22&gt;=10)*($ARJ$5:$ARJ22&lt;=12)),$ASQ$5:$ASQ22),IF(ARJ22=4,SUMPRODUCT(--(($ARK$5:$ARK22=$ARK22)*($ARJ$5:$ARJ22&gt;=1)*($ARJ$5:$ARJ22&lt;=3)),$ASQ$5:$ASQ22),IF(ARJ22=7,SUMPRODUCT(--(($ARK$5:$ARK22=$ARK22)*($ARJ$5:$ARJ22&gt;=4)*($ARJ$5:$ARJ22&lt;=6)),$ASQ$5:$ASQ22),IF(ARJ22=10,SUMPRODUCT(--(($ARK$5:$ARK22=$ARK22)*($ARJ$5:$ARJ22&gt;=7)*($ARJ$5:$ARJ22&lt;=9)),$ASQ$5:$ASQ22),0)))))</f>
        <v/>
      </c>
      <c r="ASS22" s="12">
        <f>ASS21+ASQ22-ASR22</f>
        <v/>
      </c>
      <c r="AST22" s="12">
        <f>IF(ProviderDelay&gt;=1,ASA21*BlendedProvPayEss+ASB21*BlendedProvPayPrem+ASC21*BlendedProvPayElite+ASD21*BlendedProvPayEss+ASE21*BlendedProvPayPrem+ASF21*BlendedProvPayElite,ASA22*BlendedProvPayEss+ASB22*BlendedProvPayPrem+ASC22*BlendedProvPayElite+ASD22*BlendedProvPayEss+ASE22*BlendedProvPayPrem+ASF22*BlendedProvPayElite)</f>
        <v/>
      </c>
      <c r="ASU22" s="12">
        <f>ASM22*PaymentFee</f>
        <v/>
      </c>
      <c r="ASV22" s="12">
        <f>ASG22*OpsAI</f>
        <v/>
      </c>
      <c r="ASW22" s="12">
        <f>MonthlyFixed</f>
        <v/>
      </c>
      <c r="ASX22" s="12">
        <f>ARQ22*ReferralReward</f>
        <v/>
      </c>
      <c r="ASY22" s="12">
        <f>ARO22</f>
        <v/>
      </c>
      <c r="ASZ22" s="9">
        <f>ASP22-AST22-ASU22-ASV22-ASW22-ASX22-ASY22</f>
        <v/>
      </c>
      <c r="ATA22" s="9">
        <f>ATA21+ASM22-(AST22+ASU22+ASV22+ASW22+ASX22+ASY22+ASR22)</f>
        <v/>
      </c>
      <c r="ATB22" s="12">
        <f>IF(ASG22&gt;0,ASH22/ASG22,0)</f>
        <v/>
      </c>
      <c r="ATC22" s="11">
        <f>IF(ASG21&gt;0,MAX(0,(ASG21+ARR22-ASG22)/ASG21),0)</f>
        <v/>
      </c>
      <c r="ATE22" s="12" t="n">
        <v>18</v>
      </c>
      <c r="ATF22" s="12">
        <f>MOD(ATE22-1+LaunchMonth-1,12)+1</f>
        <v/>
      </c>
      <c r="ATG22" s="12">
        <f>INT((ATE22-1+LaunchMonth-1)/12)+1</f>
        <v/>
      </c>
      <c r="ATH22" s="12">
        <f>VLOOKUP(ATF22,SeasonTable,2,FALSE)</f>
        <v/>
      </c>
      <c r="ATI22" s="12">
        <f>(1+InflationRate)^INT((ATE22-1)/12)</f>
        <v/>
      </c>
      <c r="ATJ22" s="11">
        <f>MonthlyChurn*VLOOKUP(ATF22,ChurnSeasonTable,4,FALSE)</f>
        <v/>
      </c>
      <c r="ATK22" s="12">
        <f>MIN(MAX(MktMin13_18,AUI21*MktPct13_18),MAX(0,AUW21-CashBuffer))</f>
        <v/>
      </c>
      <c r="ATL22" s="12">
        <f>IF(ATK22&gt;0,MAX(1,ROUND(ATK22/'Sens - CAC &amp; Marketing'!$A$15*ATH22,0)),0)</f>
        <v/>
      </c>
      <c r="ATM22" s="12">
        <f>IF(ATL22&gt;0,ROUND(ATL22*ReferralMix/(1-ReferralMix),0),0)</f>
        <v/>
      </c>
      <c r="ATN22" s="12">
        <f>ATL22+ATM22</f>
        <v/>
      </c>
      <c r="ATO22" s="12">
        <f>ROUND(ATN22*(1-AnnualMix),0)</f>
        <v/>
      </c>
      <c r="ATP22" s="12">
        <f>ATN22-ATO22</f>
        <v/>
      </c>
      <c r="ATQ22" s="12">
        <f>ROUND(ATO22*EssentialMix,0)</f>
        <v/>
      </c>
      <c r="ATR22" s="12">
        <f>ROUND(ATO22*PremiumMix,0)</f>
        <v/>
      </c>
      <c r="ATS22" s="12">
        <f>ATO22-ATQ22-ATR22</f>
        <v/>
      </c>
      <c r="ATT22" s="12">
        <f>ROUND(ATP22*EssentialMix,0)</f>
        <v/>
      </c>
      <c r="ATU22" s="12">
        <f>ROUND(ATP22*PremiumMix,0)</f>
        <v/>
      </c>
      <c r="ATV22" s="12">
        <f>ATP22-ATT22-ATU22</f>
        <v/>
      </c>
      <c r="ATW22" s="12">
        <f>ATQ22+ATQ21+ATQ20+MAX(0,ATW21-ATQ21-ATQ20)*(1-ATJ22)</f>
        <v/>
      </c>
      <c r="ATX22" s="12">
        <f>ATR22+ATR21+ATR20+MAX(0,ATX21-ATR21-ATR20)*(1-ATJ22)</f>
        <v/>
      </c>
      <c r="ATY22" s="12">
        <f>ATS22+ATS21+ATS20+MAX(0,ATY21-ATS21-ATS20)*(1-ATJ22)</f>
        <v/>
      </c>
      <c r="ATZ22" s="12">
        <f>ATZ21+ATT22-ATT10*(AnnualChurn*VLOOKUP(ATF22,ChurnSeasonTable,4,FALSE))*POWER(1-(AnnualChurn*VLOOKUP(ATF22,ChurnSeasonTable,4,FALSE)),0)</f>
        <v/>
      </c>
      <c r="AUA22" s="12">
        <f>AUA21+ATU22-ATU10*(AnnualChurn*VLOOKUP(ATF22,ChurnSeasonTable,4,FALSE))*POWER(1-(AnnualChurn*VLOOKUP(ATF22,ChurnSeasonTable,4,FALSE)),0)</f>
        <v/>
      </c>
      <c r="AUB22" s="12">
        <f>AUB21+ATV22-ATV10*(AnnualChurn*VLOOKUP(ATF22,ChurnSeasonTable,4,FALSE))*POWER(1-(AnnualChurn*VLOOKUP(ATF22,ChurnSeasonTable,4,FALSE)),0)</f>
        <v/>
      </c>
      <c r="AUC22" s="12">
        <f>ATW22+ATX22+ATY22+ATZ22+AUA22+AUB22</f>
        <v/>
      </c>
      <c r="AUD22" s="9">
        <f>ATW22*BlendedPriceEssMonthly*ATI22+ATX22*BlendedPricePremMonthly*ATI22+ATY22*BlendedPriceEliteMonthly*ATI22+ATZ22*BlendedPriceEssAnnual*ATI22/12+AUA22*BlendedPricePremAnnual*ATI22/12+AUB22*BlendedPriceEliteAnnual*ATI22/12</f>
        <v/>
      </c>
      <c r="AUE22" s="9">
        <f>AUD22*12</f>
        <v/>
      </c>
      <c r="AUF22" s="12">
        <f>ATW22*BlendedPriceEssMonthly*ATI22+ATX22*BlendedPricePremMonthly*ATI22+ATY22*BlendedPriceEliteMonthly*ATI22</f>
        <v/>
      </c>
      <c r="AUG22" s="12">
        <f>ATT22*BlendedPriceEssAnnual*ATI22+ATU22*BlendedPricePremAnnual*ATI22+ATV22*BlendedPriceEliteAnnual*ATI22</f>
        <v/>
      </c>
      <c r="AUH22" s="12">
        <f>ATT10*POWER(1-(AnnualChurn*VLOOKUP(ATF22,ChurnSeasonTable,4,FALSE)),1)*BlendedPriceEssAnnual*ATI22+ATU10*POWER(1-(AnnualChurn*VLOOKUP(ATF22,ChurnSeasonTable,4,FALSE)),1)*BlendedPricePremAnnual*ATI22+ATV10*POWER(1-(AnnualChurn*VLOOKUP(ATF22,ChurnSeasonTable,4,FALSE)),1)*BlendedPriceEliteAnnual*ATI22</f>
        <v/>
      </c>
      <c r="AUI22" s="9">
        <f>AUF22+AUG22+AUH22</f>
        <v/>
      </c>
      <c r="AUJ22" s="12">
        <f>SUM(AUI11:AUI22)</f>
        <v/>
      </c>
      <c r="AUK22" s="12">
        <f>OR(AUK21,IF(VATAgentMode,SUM($AUI11:$AUI22)-SUM($AUP11:$AUP22)&gt;=VATThreshold,SUM($AUI11:$AUI22)&gt;=VATThreshold))</f>
        <v/>
      </c>
      <c r="AUL22" s="9">
        <f>IF(AUK22,IF(VATAgentMode,AUI22-((AUI22-AUP22)-(AUI22-AUP22)/(1+VATRate)),AUI22/(1+VATRate)),AUI22)</f>
        <v/>
      </c>
      <c r="AUM22" s="12">
        <f>AUI22-AUL22</f>
        <v/>
      </c>
      <c r="AUN22" s="12">
        <f>IF(AUK22=0,0,IF(ATF22=1,SUMPRODUCT(--(($ATG$5:$ATG22=$ATG22-1)*($ATF$5:$ATF22&gt;=10)*($ATF$5:$ATF22&lt;=12)),$AUM$5:$AUM22),IF(ATF22=4,SUMPRODUCT(--(($ATG$5:$ATG22=$ATG22)*($ATF$5:$ATF22&gt;=1)*($ATF$5:$ATF22&lt;=3)),$AUM$5:$AUM22),IF(ATF22=7,SUMPRODUCT(--(($ATG$5:$ATG22=$ATG22)*($ATF$5:$ATF22&gt;=4)*($ATF$5:$ATF22&lt;=6)),$AUM$5:$AUM22),IF(ATF22=10,SUMPRODUCT(--(($ATG$5:$ATG22=$ATG22)*($ATF$5:$ATF22&gt;=7)*($ATF$5:$ATF22&lt;=9)),$AUM$5:$AUM22),0)))))</f>
        <v/>
      </c>
      <c r="AUO22" s="12">
        <f>AUO21+AUM22-AUN22</f>
        <v/>
      </c>
      <c r="AUP22" s="12">
        <f>IF(ProviderDelay&gt;=1,ATW21*BlendedProvPayEss+ATX21*BlendedProvPayPrem+ATY21*BlendedProvPayElite+ATZ21*BlendedProvPayEss+AUA21*BlendedProvPayPrem+AUB21*BlendedProvPayElite,ATW22*BlendedProvPayEss+ATX22*BlendedProvPayPrem+ATY22*BlendedProvPayElite+ATZ22*BlendedProvPayEss+AUA22*BlendedProvPayPrem+AUB22*BlendedProvPayElite)</f>
        <v/>
      </c>
      <c r="AUQ22" s="12">
        <f>AUI22*PaymentFee</f>
        <v/>
      </c>
      <c r="AUR22" s="12">
        <f>AUC22*OpsAI</f>
        <v/>
      </c>
      <c r="AUS22" s="12">
        <f>MonthlyFixed</f>
        <v/>
      </c>
      <c r="AUT22" s="12">
        <f>ATM22*ReferralReward</f>
        <v/>
      </c>
      <c r="AUU22" s="12">
        <f>ATK22</f>
        <v/>
      </c>
      <c r="AUV22" s="9">
        <f>AUL22-AUP22-AUQ22-AUR22-AUS22-AUT22-AUU22</f>
        <v/>
      </c>
      <c r="AUW22" s="9">
        <f>AUW21+AUI22-(AUP22+AUQ22+AUR22+AUS22+AUT22+AUU22+AUN22)</f>
        <v/>
      </c>
      <c r="AUX22" s="12">
        <f>IF(AUC22&gt;0,AUD22/AUC22,0)</f>
        <v/>
      </c>
      <c r="AUY22" s="11">
        <f>IF(AUC21&gt;0,MAX(0,(AUC21+ATN22-AUC22)/AUC21),0)</f>
        <v/>
      </c>
      <c r="AVA22" s="12" t="n">
        <v>18</v>
      </c>
      <c r="AVB22" s="12">
        <f>MOD(AVA22-1+LaunchMonth-1,12)+1</f>
        <v/>
      </c>
      <c r="AVC22" s="12">
        <f>INT((AVA22-1+LaunchMonth-1)/12)+1</f>
        <v/>
      </c>
      <c r="AVD22" s="12">
        <f>VLOOKUP(AVB22,WinterPivotSeasonTable,5,FALSE)</f>
        <v/>
      </c>
      <c r="AVE22" s="12">
        <f>(1+InflationRate)^INT((AVA22-1)/12)</f>
        <v/>
      </c>
      <c r="AVF22" s="11">
        <f>MonthlyChurn*VLOOKUP(AVB22,WinterPivotChurnTable,6,FALSE)</f>
        <v/>
      </c>
      <c r="AVG22" s="12">
        <f>MIN(MAX(MktMin13_18,AWE21*MktPct13_18),MAX(0,AWS21-CashBuffer))</f>
        <v/>
      </c>
      <c r="AVH22" s="12">
        <f>IF(AVG22&gt;0,MAX(1,ROUND(AVG22/CAC*AVD22,0)),0)</f>
        <v/>
      </c>
      <c r="AVI22" s="12">
        <f>IF(AVH22&gt;0,ROUND(AVH22*ReferralMix/(1-ReferralMix),0),0)</f>
        <v/>
      </c>
      <c r="AVJ22" s="12">
        <f>AVH22+AVI22</f>
        <v/>
      </c>
      <c r="AVK22" s="12">
        <f>ROUND(AVJ22*(1-AnnualMix),0)</f>
        <v/>
      </c>
      <c r="AVL22" s="12">
        <f>AVJ22-AVK22</f>
        <v/>
      </c>
      <c r="AVM22" s="12">
        <f>ROUND(AVK22*'Sens - Winter Pivot'!$B$6,0)</f>
        <v/>
      </c>
      <c r="AVN22" s="12">
        <f>ROUND(AVK22*PremiumMix,0)</f>
        <v/>
      </c>
      <c r="AVO22" s="12">
        <f>AVK22-AVM22-AVN22</f>
        <v/>
      </c>
      <c r="AVP22" s="12">
        <f>ROUND(AVL22*'Sens - Winter Pivot'!$B$6,0)</f>
        <v/>
      </c>
      <c r="AVQ22" s="12">
        <f>ROUND(AVL22*PremiumMix,0)</f>
        <v/>
      </c>
      <c r="AVR22" s="12">
        <f>AVL22-AVP22-AVQ22</f>
        <v/>
      </c>
      <c r="AVS22" s="12">
        <f>AVM22+AVM21+AVM20+MAX(0,AVS21-AVM21-AVM20)*(1-AVF22)</f>
        <v/>
      </c>
      <c r="AVT22" s="12">
        <f>AVN22+AVN21+AVN20+MAX(0,AVT21-AVN21-AVN20)*(1-AVF22)</f>
        <v/>
      </c>
      <c r="AVU22" s="12">
        <f>AVO22+AVO21+AVO20+MAX(0,AVU21-AVO21-AVO20)*(1-AVF22)</f>
        <v/>
      </c>
      <c r="AVV22" s="12">
        <f>AVV21+AVP22-AVP10*(AnnualChurn*VLOOKUP(AVB22,ChurnSeasonTable,4,FALSE))*POWER(1-(AnnualChurn*VLOOKUP(AVB22,ChurnSeasonTable,4,FALSE)),0)</f>
        <v/>
      </c>
      <c r="AVW22" s="12">
        <f>AVW21+AVQ22-AVQ10*(AnnualChurn*VLOOKUP(AVB22,ChurnSeasonTable,4,FALSE))*POWER(1-(AnnualChurn*VLOOKUP(AVB22,ChurnSeasonTable,4,FALSE)),0)</f>
        <v/>
      </c>
      <c r="AVX22" s="12">
        <f>AVX21+AVR22-AVR10*(AnnualChurn*VLOOKUP(AVB22,ChurnSeasonTable,4,FALSE))*POWER(1-(AnnualChurn*VLOOKUP(AVB22,ChurnSeasonTable,4,FALSE)),0)</f>
        <v/>
      </c>
      <c r="AVY22" s="12">
        <f>AVS22+AVT22+AVU22+AVV22+AVW22+AVX22</f>
        <v/>
      </c>
      <c r="AVZ22" s="9">
        <f>AVS22*BlendedPriceEssMonthly*AVE22+AVT22*(BlendedPricePremMonthly+'Sens - Winter Pivot'!$B$7)*AVE22+AVU22*BlendedPriceEliteMonthly*AVE22+AVV22*BlendedPriceEssAnnual*AVE22/12+AVW22*(BlendedPricePremAnnual+'Sens - Winter Pivot'!$B$7*12)*AVE22/12+AVX22*BlendedPriceEliteAnnual*AVE22/12</f>
        <v/>
      </c>
      <c r="AWA22" s="9">
        <f>AVZ22*12</f>
        <v/>
      </c>
      <c r="AWB22" s="12">
        <f>AVS22*BlendedPriceEssMonthly*AVE22+AVT22*(BlendedPricePremMonthly+'Sens - Winter Pivot'!$B$7)*AVE22+AVU22*BlendedPriceEliteMonthly*AVE22</f>
        <v/>
      </c>
      <c r="AWC22" s="12">
        <f>AVP22*BlendedPriceEssAnnual*AVE22+AVQ22*(BlendedPricePremAnnual+'Sens - Winter Pivot'!$B$7*12)*AVE22+AVR22*BlendedPriceEliteAnnual*AVE22</f>
        <v/>
      </c>
      <c r="AWD22" s="12">
        <f>AVP10*POWER(1-(AnnualChurn*VLOOKUP(AVB22,ChurnSeasonTable,4,FALSE)),1)*BlendedPriceEssAnnual*AVE22+AVQ10*POWER(1-(AnnualChurn*VLOOKUP(AVB22,ChurnSeasonTable,4,FALSE)),1)*BlendedPricePremAnnual*AVE22+AVR10*POWER(1-(AnnualChurn*VLOOKUP(AVB22,ChurnSeasonTable,4,FALSE)),1)*BlendedPriceEliteAnnual*AVE22</f>
        <v/>
      </c>
      <c r="AWE22" s="9">
        <f>AWB22+AWC22+AWD22</f>
        <v/>
      </c>
      <c r="AWF22" s="12">
        <f>SUM(AWE11:AWE22)</f>
        <v/>
      </c>
      <c r="AWG22" s="12">
        <f>OR(AWG21,IF(VATAgentMode,SUM($AWE11:$AWE22)-SUM($AWL11:$AWL22)&gt;=VATThreshold,SUM($AWE11:$AWE22)&gt;=VATThreshold))</f>
        <v/>
      </c>
      <c r="AWH22" s="9">
        <f>IF(AWG22,IF(VATAgentMode,AWE22-((AWE22-AWL22)-(AWE22-AWL22)/(1+VATRate)),AWE22/(1+VATRate)),AWE22)</f>
        <v/>
      </c>
      <c r="AWI22" s="12">
        <f>AWE22-AWH22</f>
        <v/>
      </c>
      <c r="AWJ22" s="12">
        <f>IF(AWG22=0,0,IF(AVB22=1,SUMPRODUCT(--(($AVC$5:$AVC22=$AVC22-1)*($AVB$5:$AVB22&gt;=10)*($AVB$5:$AVB22&lt;=12)),$AWI$5:$AWI22),IF(AVB22=4,SUMPRODUCT(--(($AVC$5:$AVC22=$AVC22)*($AVB$5:$AVB22&gt;=1)*($AVB$5:$AVB22&lt;=3)),$AWI$5:$AWI22),IF(AVB22=7,SUMPRODUCT(--(($AVC$5:$AVC22=$AVC22)*($AVB$5:$AVB22&gt;=4)*($AVB$5:$AVB22&lt;=6)),$AWI$5:$AWI22),IF(AVB22=10,SUMPRODUCT(--(($AVC$5:$AVC22=$AVC22)*($AVB$5:$AVB22&gt;=7)*($AVB$5:$AVB22&lt;=9)),$AWI$5:$AWI22),0)))))</f>
        <v/>
      </c>
      <c r="AWK22" s="12">
        <f>AWK21+AWI22-AWJ22</f>
        <v/>
      </c>
      <c r="AWL22" s="12">
        <f>IF(ProviderDelay&gt;=1,AVS21*BlendedProvPayEss+AVT21*BlendedProvPayPrem+AVU21*BlendedProvPayElite+AVV21*BlendedProvPayEss+AVW21*BlendedProvPayPrem+AVX21*BlendedProvPayElite,AVS22*BlendedProvPayEss+AVT22*BlendedProvPayPrem+AVU22*BlendedProvPayElite+AVV22*BlendedProvPayEss+AVW22*BlendedProvPayPrem+AVX22*BlendedProvPayElite)</f>
        <v/>
      </c>
      <c r="AWM22" s="12">
        <f>AWE22*PaymentFee</f>
        <v/>
      </c>
      <c r="AWN22" s="12">
        <f>AVY22*OpsAI</f>
        <v/>
      </c>
      <c r="AWO22" s="12">
        <f>MonthlyFixed</f>
        <v/>
      </c>
      <c r="AWP22" s="12">
        <f>AVI22*ReferralReward</f>
        <v/>
      </c>
      <c r="AWQ22" s="12">
        <f>AVG22</f>
        <v/>
      </c>
      <c r="AWR22" s="9">
        <f>AWH22-AWL22-AWM22-AWN22-AWO22-AWP22-AWQ22</f>
        <v/>
      </c>
      <c r="AWS22" s="9">
        <f>AWS21+AWE22-(AWL22+AWM22+AWN22+AWO22+AWP22+AWQ22+AWJ22)</f>
        <v/>
      </c>
      <c r="AWT22" s="12">
        <f>IF(AVY22&gt;0,AVZ22/AVY22,0)</f>
        <v/>
      </c>
      <c r="AWU22" s="11">
        <f>IF(AVY21&gt;0,MAX(0,(AVY21+AVJ22-AVY22)/AVY21),0)</f>
        <v/>
      </c>
    </row>
    <row r="23">
      <c r="A23" s="12" t="n">
        <v>19</v>
      </c>
      <c r="B23" s="12">
        <f>MOD(A23-1+LaunchMonth-1,12)+1</f>
        <v/>
      </c>
      <c r="C23" s="12">
        <f>INT((A23-1+LaunchMonth-1)/12)+1</f>
        <v/>
      </c>
      <c r="D23" s="12">
        <f>VLOOKUP(B23,SeasonTable,2,FALSE)</f>
        <v/>
      </c>
      <c r="E23" s="12">
        <f>(1+InflationRate)^INT((A23-1)/12)</f>
        <v/>
      </c>
      <c r="F23" s="11">
        <f>'Sens - Scenarios'!$B$5*VLOOKUP(B23,ChurnSeasonTable,4,FALSE)</f>
        <v/>
      </c>
      <c r="G23" s="12">
        <f>MIN(MAX(MktMin19plus,AE22*MktPct19plus),MAX(0,AS22-CashBuffer))</f>
        <v/>
      </c>
      <c r="H23" s="12">
        <f>IF(G23&gt;0,MAX(1,ROUND(G23/'Sens - Scenarios'!$B$8*D23,0)),0)</f>
        <v/>
      </c>
      <c r="I23" s="12">
        <f>IF(H23&gt;0,ROUND(H23*ReferralMix/(1-ReferralMix),0),0)</f>
        <v/>
      </c>
      <c r="J23" s="12">
        <f>H23+I23</f>
        <v/>
      </c>
      <c r="K23" s="12">
        <f>ROUND(J23*(1-'Sens - Scenarios'!$B$7),0)</f>
        <v/>
      </c>
      <c r="L23" s="12">
        <f>J23-K23</f>
        <v/>
      </c>
      <c r="M23" s="12">
        <f>ROUND(K23*EssentialMix,0)</f>
        <v/>
      </c>
      <c r="N23" s="12">
        <f>ROUND(K23*PremiumMix,0)</f>
        <v/>
      </c>
      <c r="O23" s="12">
        <f>K23-M23-N23</f>
        <v/>
      </c>
      <c r="P23" s="12">
        <f>ROUND(L23*EssentialMix,0)</f>
        <v/>
      </c>
      <c r="Q23" s="12">
        <f>ROUND(L23*PremiumMix,0)</f>
        <v/>
      </c>
      <c r="R23" s="12">
        <f>L23-P23-Q23</f>
        <v/>
      </c>
      <c r="S23" s="12">
        <f>M23+M22+M21+MAX(0,S22-M22-M21)*(1-F23)</f>
        <v/>
      </c>
      <c r="T23" s="12">
        <f>N23+N22+N21+MAX(0,T22-N22-N21)*(1-F23)</f>
        <v/>
      </c>
      <c r="U23" s="12">
        <f>O23+O22+O21+MAX(0,U22-O22-O21)*(1-F23)</f>
        <v/>
      </c>
      <c r="V23" s="12">
        <f>V22+P23-P11*('Sens - Scenarios'!$B$6*VLOOKUP(B23,ChurnSeasonTable,4,FALSE))*POWER(1-('Sens - Scenarios'!$B$6*VLOOKUP(B23,ChurnSeasonTable,4,FALSE)),0)</f>
        <v/>
      </c>
      <c r="W23" s="12">
        <f>W22+Q23-Q11*('Sens - Scenarios'!$B$6*VLOOKUP(B23,ChurnSeasonTable,4,FALSE))*POWER(1-('Sens - Scenarios'!$B$6*VLOOKUP(B23,ChurnSeasonTable,4,FALSE)),0)</f>
        <v/>
      </c>
      <c r="X23" s="12">
        <f>X22+R23-R11*('Sens - Scenarios'!$B$6*VLOOKUP(B23,ChurnSeasonTable,4,FALSE))*POWER(1-('Sens - Scenarios'!$B$6*VLOOKUP(B23,ChurnSeasonTable,4,FALSE)),0)</f>
        <v/>
      </c>
      <c r="Y23" s="12">
        <f>S23+T23+U23+V23+W23+X23</f>
        <v/>
      </c>
      <c r="Z23" s="9">
        <f>S23*BlendedPriceEssMonthly*E23+T23*BlendedPricePremMonthly*E23+U23*BlendedPriceEliteMonthly*E23+V23*BlendedPriceEssAnnual*E23/12+W23*BlendedPricePremAnnual*E23/12+X23*BlendedPriceEliteAnnual*E23/12</f>
        <v/>
      </c>
      <c r="AA23" s="9">
        <f>Z23*12</f>
        <v/>
      </c>
      <c r="AB23" s="12">
        <f>S23*BlendedPriceEssMonthly*E23+T23*BlendedPricePremMonthly*E23+U23*BlendedPriceEliteMonthly*E23</f>
        <v/>
      </c>
      <c r="AC23" s="12">
        <f>P23*BlendedPriceEssAnnual*E23+Q23*BlendedPricePremAnnual*E23+R23*BlendedPriceEliteAnnual*E23</f>
        <v/>
      </c>
      <c r="AD23" s="12">
        <f>P11*POWER(1-('Sens - Scenarios'!$B$6*VLOOKUP(B23,ChurnSeasonTable,4,FALSE)),1)*BlendedPriceEssAnnual*E23+Q11*POWER(1-('Sens - Scenarios'!$B$6*VLOOKUP(B23,ChurnSeasonTable,4,FALSE)),1)*BlendedPricePremAnnual*E23+R11*POWER(1-('Sens - Scenarios'!$B$6*VLOOKUP(B23,ChurnSeasonTable,4,FALSE)),1)*BlendedPriceEliteAnnual*E23</f>
        <v/>
      </c>
      <c r="AE23" s="9">
        <f>AB23+AC23+AD23</f>
        <v/>
      </c>
      <c r="AF23" s="12">
        <f>SUM(AE12:AE23)</f>
        <v/>
      </c>
      <c r="AG23" s="12">
        <f>OR(AG22,IF(VATAgentMode,SUM($AE12:$AE23)-SUM($AL12:$AL23)&gt;=VATThreshold,SUM($AE12:$AE23)&gt;=VATThreshold))</f>
        <v/>
      </c>
      <c r="AH23" s="9">
        <f>IF(AG23,IF(VATAgentMode,AE23-((AE23-AL23)-(AE23-AL23)/(1+VATRate)),AE23/(1+VATRate)),AE23)</f>
        <v/>
      </c>
      <c r="AI23" s="12">
        <f>AE23-AH23</f>
        <v/>
      </c>
      <c r="AJ23" s="12">
        <f>IF(AG23=0,0,IF(B23=1,SUMPRODUCT(--(($C$5:$C23=$C23-1)*($B$5:$B23&gt;=10)*($B$5:$B23&lt;=12)),$AI$5:$AI23),IF(B23=4,SUMPRODUCT(--(($C$5:$C23=$C23)*($B$5:$B23&gt;=1)*($B$5:$B23&lt;=3)),$AI$5:$AI23),IF(B23=7,SUMPRODUCT(--(($C$5:$C23=$C23)*($B$5:$B23&gt;=4)*($B$5:$B23&lt;=6)),$AI$5:$AI23),IF(B23=10,SUMPRODUCT(--(($C$5:$C23=$C23)*($B$5:$B23&gt;=7)*($B$5:$B23&lt;=9)),$AI$5:$AI23),0)))))</f>
        <v/>
      </c>
      <c r="AK23" s="12">
        <f>AK22+AI23-AJ23</f>
        <v/>
      </c>
      <c r="AL23" s="12">
        <f>IF(ProviderDelay&gt;=1,S22*BlendedProvPayEss+T22*BlendedProvPayPrem+U22*BlendedProvPayElite+V22*BlendedProvPayEss+W22*BlendedProvPayPrem+X22*BlendedProvPayElite,S23*BlendedProvPayEss+T23*BlendedProvPayPrem+U23*BlendedProvPayElite+V23*BlendedProvPayEss+W23*BlendedProvPayPrem+X23*BlendedProvPayElite)</f>
        <v/>
      </c>
      <c r="AM23" s="12">
        <f>AE23*PaymentFee</f>
        <v/>
      </c>
      <c r="AN23" s="12">
        <f>Y23*OpsAI</f>
        <v/>
      </c>
      <c r="AO23" s="12">
        <f>MonthlyFixed</f>
        <v/>
      </c>
      <c r="AP23" s="12">
        <f>I23*ReferralReward</f>
        <v/>
      </c>
      <c r="AQ23" s="12">
        <f>G23</f>
        <v/>
      </c>
      <c r="AR23" s="9">
        <f>AH23-AL23-AM23-AN23-AO23-AP23-AQ23</f>
        <v/>
      </c>
      <c r="AS23" s="9">
        <f>AS22+AE23-(AL23+AM23+AN23+AO23+AP23+AQ23+AJ23)</f>
        <v/>
      </c>
      <c r="AT23" s="12">
        <f>IF(Y23&gt;0,Z23/Y23,0)</f>
        <v/>
      </c>
      <c r="AU23" s="11">
        <f>IF(Y22&gt;0,MAX(0,(Y22+J23-Y23)/Y22),0)</f>
        <v/>
      </c>
      <c r="AW23" s="12" t="n">
        <v>19</v>
      </c>
      <c r="AX23" s="12">
        <f>MOD(AW23-1+LaunchMonth-1,12)+1</f>
        <v/>
      </c>
      <c r="AY23" s="12">
        <f>INT((AW23-1+LaunchMonth-1)/12)+1</f>
        <v/>
      </c>
      <c r="AZ23" s="12">
        <f>VLOOKUP(AX23,SeasonTable,2,FALSE)</f>
        <v/>
      </c>
      <c r="BA23" s="12">
        <f>(1+InflationRate)^INT((AW23-1)/12)</f>
        <v/>
      </c>
      <c r="BB23" s="11">
        <f>MonthlyChurn*VLOOKUP(AX23,ChurnSeasonTable,4,FALSE)</f>
        <v/>
      </c>
      <c r="BC23" s="12">
        <f>MIN(MAX(MktMin19plus,CA22*MktPct19plus),MAX(0,CO22-CashBuffer))</f>
        <v/>
      </c>
      <c r="BD23" s="12">
        <f>IF(BC23&gt;0,MAX(1,ROUND(BC23/CAC*AZ23,0)),0)</f>
        <v/>
      </c>
      <c r="BE23" s="12">
        <f>IF(BD23&gt;0,ROUND(BD23*ReferralMix/(1-ReferralMix),0),0)</f>
        <v/>
      </c>
      <c r="BF23" s="12">
        <f>BD23+BE23</f>
        <v/>
      </c>
      <c r="BG23" s="12">
        <f>ROUND(BF23*(1-AnnualMix),0)</f>
        <v/>
      </c>
      <c r="BH23" s="12">
        <f>BF23-BG23</f>
        <v/>
      </c>
      <c r="BI23" s="12">
        <f>ROUND(BG23*EssentialMix,0)</f>
        <v/>
      </c>
      <c r="BJ23" s="12">
        <f>ROUND(BG23*PremiumMix,0)</f>
        <v/>
      </c>
      <c r="BK23" s="12">
        <f>BG23-BI23-BJ23</f>
        <v/>
      </c>
      <c r="BL23" s="12">
        <f>ROUND(BH23*EssentialMix,0)</f>
        <v/>
      </c>
      <c r="BM23" s="12">
        <f>ROUND(BH23*PremiumMix,0)</f>
        <v/>
      </c>
      <c r="BN23" s="12">
        <f>BH23-BL23-BM23</f>
        <v/>
      </c>
      <c r="BO23" s="12">
        <f>BI23+BI22+BI21+MAX(0,BO22-BI22-BI21)*(1-BB23)</f>
        <v/>
      </c>
      <c r="BP23" s="12">
        <f>BJ23+BJ22+BJ21+MAX(0,BP22-BJ22-BJ21)*(1-BB23)</f>
        <v/>
      </c>
      <c r="BQ23" s="12">
        <f>BK23+BK22+BK21+MAX(0,BQ22-BK22-BK21)*(1-BB23)</f>
        <v/>
      </c>
      <c r="BR23" s="12">
        <f>BR22+BL23-BL11*(AnnualChurn*VLOOKUP(AX23,ChurnSeasonTable,4,FALSE))*POWER(1-(AnnualChurn*VLOOKUP(AX23,ChurnSeasonTable,4,FALSE)),0)</f>
        <v/>
      </c>
      <c r="BS23" s="12">
        <f>BS22+BM23-BM11*(AnnualChurn*VLOOKUP(AX23,ChurnSeasonTable,4,FALSE))*POWER(1-(AnnualChurn*VLOOKUP(AX23,ChurnSeasonTable,4,FALSE)),0)</f>
        <v/>
      </c>
      <c r="BT23" s="12">
        <f>BT22+BN23-BN11*(AnnualChurn*VLOOKUP(AX23,ChurnSeasonTable,4,FALSE))*POWER(1-(AnnualChurn*VLOOKUP(AX23,ChurnSeasonTable,4,FALSE)),0)</f>
        <v/>
      </c>
      <c r="BU23" s="12">
        <f>BO23+BP23+BQ23+BR23+BS23+BT23</f>
        <v/>
      </c>
      <c r="BV23" s="9">
        <f>BO23*BlendedPriceEssMonthly*BA23+BP23*BlendedPricePremMonthly*BA23+BQ23*BlendedPriceEliteMonthly*BA23+BR23*BlendedPriceEssAnnual*BA23/12+BS23*BlendedPricePremAnnual*BA23/12+BT23*BlendedPriceEliteAnnual*BA23/12</f>
        <v/>
      </c>
      <c r="BW23" s="9">
        <f>BV23*12</f>
        <v/>
      </c>
      <c r="BX23" s="12">
        <f>BO23*BlendedPriceEssMonthly*BA23+BP23*BlendedPricePremMonthly*BA23+BQ23*BlendedPriceEliteMonthly*BA23</f>
        <v/>
      </c>
      <c r="BY23" s="12">
        <f>BL23*BlendedPriceEssAnnual*BA23+BM23*BlendedPricePremAnnual*BA23+BN23*BlendedPriceEliteAnnual*BA23</f>
        <v/>
      </c>
      <c r="BZ23" s="12">
        <f>BL11*POWER(1-(AnnualChurn*VLOOKUP(AX23,ChurnSeasonTable,4,FALSE)),1)*BlendedPriceEssAnnual*BA23+BM11*POWER(1-(AnnualChurn*VLOOKUP(AX23,ChurnSeasonTable,4,FALSE)),1)*BlendedPricePremAnnual*BA23+BN11*POWER(1-(AnnualChurn*VLOOKUP(AX23,ChurnSeasonTable,4,FALSE)),1)*BlendedPriceEliteAnnual*BA23</f>
        <v/>
      </c>
      <c r="CA23" s="9">
        <f>BX23+BY23+BZ23</f>
        <v/>
      </c>
      <c r="CB23" s="12">
        <f>SUM(CA12:CA23)</f>
        <v/>
      </c>
      <c r="CC23" s="12">
        <f>OR(CC22,IF(VATAgentMode,SUM($CA12:$CA23)-SUM($CH12:$CH23)&gt;=VATThreshold,SUM($CA12:$CA23)&gt;=VATThreshold))</f>
        <v/>
      </c>
      <c r="CD23" s="9">
        <f>IF(CC23,IF(VATAgentMode,CA23-((CA23-CH23)-(CA23-CH23)/(1+VATRate)),CA23/(1+VATRate)),CA23)</f>
        <v/>
      </c>
      <c r="CE23" s="12">
        <f>CA23-CD23</f>
        <v/>
      </c>
      <c r="CF23" s="12">
        <f>IF(CC23=0,0,IF(AX23=1,SUMPRODUCT(--(($AY$5:$AY23=$AY23-1)*($AX$5:$AX23&gt;=10)*($AX$5:$AX23&lt;=12)),$CE$5:$CE23),IF(AX23=4,SUMPRODUCT(--(($AY$5:$AY23=$AY23)*($AX$5:$AX23&gt;=1)*($AX$5:$AX23&lt;=3)),$CE$5:$CE23),IF(AX23=7,SUMPRODUCT(--(($AY$5:$AY23=$AY23)*($AX$5:$AX23&gt;=4)*($AX$5:$AX23&lt;=6)),$CE$5:$CE23),IF(AX23=10,SUMPRODUCT(--(($AY$5:$AY23=$AY23)*($AX$5:$AX23&gt;=7)*($AX$5:$AX23&lt;=9)),$CE$5:$CE23),0)))))</f>
        <v/>
      </c>
      <c r="CG23" s="12">
        <f>CG22+CE23-CF23</f>
        <v/>
      </c>
      <c r="CH23" s="12">
        <f>IF(ProviderDelay&gt;=1,BO22*BlendedProvPayEss+BP22*BlendedProvPayPrem+BQ22*BlendedProvPayElite+BR22*BlendedProvPayEss+BS22*BlendedProvPayPrem+BT22*BlendedProvPayElite,BO23*BlendedProvPayEss+BP23*BlendedProvPayPrem+BQ23*BlendedProvPayElite+BR23*BlendedProvPayEss+BS23*BlendedProvPayPrem+BT23*BlendedProvPayElite)</f>
        <v/>
      </c>
      <c r="CI23" s="12">
        <f>CA23*PaymentFee</f>
        <v/>
      </c>
      <c r="CJ23" s="12">
        <f>BU23*OpsAI</f>
        <v/>
      </c>
      <c r="CK23" s="12">
        <f>MonthlyFixed</f>
        <v/>
      </c>
      <c r="CL23" s="12">
        <f>BE23*ReferralReward</f>
        <v/>
      </c>
      <c r="CM23" s="12">
        <f>BC23</f>
        <v/>
      </c>
      <c r="CN23" s="9">
        <f>CD23-CH23-CI23-CJ23-CK23-CL23-CM23</f>
        <v/>
      </c>
      <c r="CO23" s="9">
        <f>CO22+CA23-(CH23+CI23+CJ23+CK23+CL23+CM23+CF23)</f>
        <v/>
      </c>
      <c r="CP23" s="12">
        <f>IF(BU23&gt;0,BV23/BU23,0)</f>
        <v/>
      </c>
      <c r="CQ23" s="11">
        <f>IF(BU22&gt;0,MAX(0,(BU22+BF23-BU23)/BU22),0)</f>
        <v/>
      </c>
      <c r="CS23" s="12" t="n">
        <v>19</v>
      </c>
      <c r="CT23" s="12">
        <f>MOD(CS23-1+LaunchMonth-1,12)+1</f>
        <v/>
      </c>
      <c r="CU23" s="12">
        <f>INT((CS23-1+LaunchMonth-1)/12)+1</f>
        <v/>
      </c>
      <c r="CV23" s="12">
        <f>VLOOKUP(CT23,SeasonTable,2,FALSE)</f>
        <v/>
      </c>
      <c r="CW23" s="12">
        <f>(1+InflationRate)^INT((CS23-1)/12)</f>
        <v/>
      </c>
      <c r="CX23" s="11">
        <f>'Sens - Scenarios'!$D$5*VLOOKUP(CT23,ChurnSeasonTable,4,FALSE)</f>
        <v/>
      </c>
      <c r="CY23" s="12">
        <f>MIN(MAX(MktMin19plus,DW22*MktPct19plus),MAX(0,EK22-CashBuffer))</f>
        <v/>
      </c>
      <c r="CZ23" s="12">
        <f>IF(CY23&gt;0,MAX(1,ROUND(CY23/'Sens - Scenarios'!$D$8*CV23,0)),0)</f>
        <v/>
      </c>
      <c r="DA23" s="12">
        <f>IF(CZ23&gt;0,ROUND(CZ23*ReferralMix/(1-ReferralMix),0),0)</f>
        <v/>
      </c>
      <c r="DB23" s="12">
        <f>CZ23+DA23</f>
        <v/>
      </c>
      <c r="DC23" s="12">
        <f>ROUND(DB23*(1-'Sens - Scenarios'!$D$7),0)</f>
        <v/>
      </c>
      <c r="DD23" s="12">
        <f>DB23-DC23</f>
        <v/>
      </c>
      <c r="DE23" s="12">
        <f>ROUND(DC23*EssentialMix,0)</f>
        <v/>
      </c>
      <c r="DF23" s="12">
        <f>ROUND(DC23*PremiumMix,0)</f>
        <v/>
      </c>
      <c r="DG23" s="12">
        <f>DC23-DE23-DF23</f>
        <v/>
      </c>
      <c r="DH23" s="12">
        <f>ROUND(DD23*EssentialMix,0)</f>
        <v/>
      </c>
      <c r="DI23" s="12">
        <f>ROUND(DD23*PremiumMix,0)</f>
        <v/>
      </c>
      <c r="DJ23" s="12">
        <f>DD23-DH23-DI23</f>
        <v/>
      </c>
      <c r="DK23" s="12">
        <f>DE23+DE22+DE21+MAX(0,DK22-DE22-DE21)*(1-CX23)</f>
        <v/>
      </c>
      <c r="DL23" s="12">
        <f>DF23+DF22+DF21+MAX(0,DL22-DF22-DF21)*(1-CX23)</f>
        <v/>
      </c>
      <c r="DM23" s="12">
        <f>DG23+DG22+DG21+MAX(0,DM22-DG22-DG21)*(1-CX23)</f>
        <v/>
      </c>
      <c r="DN23" s="12">
        <f>DN22+DH23-DH11*('Sens - Scenarios'!$D$6*VLOOKUP(CT23,ChurnSeasonTable,4,FALSE))*POWER(1-('Sens - Scenarios'!$D$6*VLOOKUP(CT23,ChurnSeasonTable,4,FALSE)),0)</f>
        <v/>
      </c>
      <c r="DO23" s="12">
        <f>DO22+DI23-DI11*('Sens - Scenarios'!$D$6*VLOOKUP(CT23,ChurnSeasonTable,4,FALSE))*POWER(1-('Sens - Scenarios'!$D$6*VLOOKUP(CT23,ChurnSeasonTable,4,FALSE)),0)</f>
        <v/>
      </c>
      <c r="DP23" s="12">
        <f>DP22+DJ23-DJ11*('Sens - Scenarios'!$D$6*VLOOKUP(CT23,ChurnSeasonTable,4,FALSE))*POWER(1-('Sens - Scenarios'!$D$6*VLOOKUP(CT23,ChurnSeasonTable,4,FALSE)),0)</f>
        <v/>
      </c>
      <c r="DQ23" s="12">
        <f>DK23+DL23+DM23+DN23+DO23+DP23</f>
        <v/>
      </c>
      <c r="DR23" s="9">
        <f>DK23*BlendedPriceEssMonthly*CW23+DL23*BlendedPricePremMonthly*CW23+DM23*BlendedPriceEliteMonthly*CW23+DN23*BlendedPriceEssAnnual*CW23/12+DO23*BlendedPricePremAnnual*CW23/12+DP23*BlendedPriceEliteAnnual*CW23/12</f>
        <v/>
      </c>
      <c r="DS23" s="9">
        <f>DR23*12</f>
        <v/>
      </c>
      <c r="DT23" s="12">
        <f>DK23*BlendedPriceEssMonthly*CW23+DL23*BlendedPricePremMonthly*CW23+DM23*BlendedPriceEliteMonthly*CW23</f>
        <v/>
      </c>
      <c r="DU23" s="12">
        <f>DH23*BlendedPriceEssAnnual*CW23+DI23*BlendedPricePremAnnual*CW23+DJ23*BlendedPriceEliteAnnual*CW23</f>
        <v/>
      </c>
      <c r="DV23" s="12">
        <f>DH11*POWER(1-('Sens - Scenarios'!$D$6*VLOOKUP(CT23,ChurnSeasonTable,4,FALSE)),1)*BlendedPriceEssAnnual*CW23+DI11*POWER(1-('Sens - Scenarios'!$D$6*VLOOKUP(CT23,ChurnSeasonTable,4,FALSE)),1)*BlendedPricePremAnnual*CW23+DJ11*POWER(1-('Sens - Scenarios'!$D$6*VLOOKUP(CT23,ChurnSeasonTable,4,FALSE)),1)*BlendedPriceEliteAnnual*CW23</f>
        <v/>
      </c>
      <c r="DW23" s="9">
        <f>DT23+DU23+DV23</f>
        <v/>
      </c>
      <c r="DX23" s="12">
        <f>SUM(DW12:DW23)</f>
        <v/>
      </c>
      <c r="DY23" s="12">
        <f>OR(DY22,IF(VATAgentMode,SUM($DW12:$DW23)-SUM($ED12:$ED23)&gt;=VATThreshold,SUM($DW12:$DW23)&gt;=VATThreshold))</f>
        <v/>
      </c>
      <c r="DZ23" s="9">
        <f>IF(DY23,IF(VATAgentMode,DW23-((DW23-ED23)-(DW23-ED23)/(1+VATRate)),DW23/(1+VATRate)),DW23)</f>
        <v/>
      </c>
      <c r="EA23" s="12">
        <f>DW23-DZ23</f>
        <v/>
      </c>
      <c r="EB23" s="12">
        <f>IF(DY23=0,0,IF(CT23=1,SUMPRODUCT(--(($CU$5:$CU23=$CU23-1)*($CT$5:$CT23&gt;=10)*($CT$5:$CT23&lt;=12)),$EA$5:$EA23),IF(CT23=4,SUMPRODUCT(--(($CU$5:$CU23=$CU23)*($CT$5:$CT23&gt;=1)*($CT$5:$CT23&lt;=3)),$EA$5:$EA23),IF(CT23=7,SUMPRODUCT(--(($CU$5:$CU23=$CU23)*($CT$5:$CT23&gt;=4)*($CT$5:$CT23&lt;=6)),$EA$5:$EA23),IF(CT23=10,SUMPRODUCT(--(($CU$5:$CU23=$CU23)*($CT$5:$CT23&gt;=7)*($CT$5:$CT23&lt;=9)),$EA$5:$EA23),0)))))</f>
        <v/>
      </c>
      <c r="EC23" s="12">
        <f>EC22+EA23-EB23</f>
        <v/>
      </c>
      <c r="ED23" s="12">
        <f>IF(ProviderDelay&gt;=1,DK22*BlendedProvPayEss+DL22*BlendedProvPayPrem+DM22*BlendedProvPayElite+DN22*BlendedProvPayEss+DO22*BlendedProvPayPrem+DP22*BlendedProvPayElite,DK23*BlendedProvPayEss+DL23*BlendedProvPayPrem+DM23*BlendedProvPayElite+DN23*BlendedProvPayEss+DO23*BlendedProvPayPrem+DP23*BlendedProvPayElite)</f>
        <v/>
      </c>
      <c r="EE23" s="12">
        <f>DW23*PaymentFee</f>
        <v/>
      </c>
      <c r="EF23" s="12">
        <f>DQ23*OpsAI</f>
        <v/>
      </c>
      <c r="EG23" s="12">
        <f>MonthlyFixed</f>
        <v/>
      </c>
      <c r="EH23" s="12">
        <f>DA23*ReferralReward</f>
        <v/>
      </c>
      <c r="EI23" s="12">
        <f>CY23</f>
        <v/>
      </c>
      <c r="EJ23" s="9">
        <f>DZ23-ED23-EE23-EF23-EG23-EH23-EI23</f>
        <v/>
      </c>
      <c r="EK23" s="9">
        <f>EK22+DW23-(ED23+EE23+EF23+EG23+EH23+EI23+EB23)</f>
        <v/>
      </c>
      <c r="EL23" s="12">
        <f>IF(DQ23&gt;0,DR23/DQ23,0)</f>
        <v/>
      </c>
      <c r="EM23" s="11">
        <f>IF(DQ22&gt;0,MAX(0,(DQ22+DB23-DQ23)/DQ22),0)</f>
        <v/>
      </c>
      <c r="EO23" s="12" t="n">
        <v>19</v>
      </c>
      <c r="EP23" s="12">
        <f>MOD(EO23-1+LaunchMonth-1,12)+1</f>
        <v/>
      </c>
      <c r="EQ23" s="12">
        <f>INT((EO23-1+LaunchMonth-1)/12)+1</f>
        <v/>
      </c>
      <c r="ER23" s="12">
        <f>VLOOKUP(EP23,SeasonTable,2,FALSE)</f>
        <v/>
      </c>
      <c r="ES23" s="12">
        <f>(1+InflationRate)^INT((EO23-1)/12)</f>
        <v/>
      </c>
      <c r="ET23" s="11">
        <f>'Sens - Churn'!$A$13*VLOOKUP(EP23,ChurnSeasonTable,4,FALSE)</f>
        <v/>
      </c>
      <c r="EU23" s="12">
        <f>MIN(MAX(MktMin19plus,FS22*MktPct19plus),MAX(0,GG22-CashBuffer))</f>
        <v/>
      </c>
      <c r="EV23" s="12">
        <f>IF(EU23&gt;0,MAX(1,ROUND(EU23/CAC*ER23,0)),0)</f>
        <v/>
      </c>
      <c r="EW23" s="12">
        <f>IF(EV23&gt;0,ROUND(EV23*ReferralMix/(1-ReferralMix),0),0)</f>
        <v/>
      </c>
      <c r="EX23" s="12">
        <f>EV23+EW23</f>
        <v/>
      </c>
      <c r="EY23" s="12">
        <f>ROUND(EX23*(1-AnnualMix),0)</f>
        <v/>
      </c>
      <c r="EZ23" s="12">
        <f>EX23-EY23</f>
        <v/>
      </c>
      <c r="FA23" s="12">
        <f>ROUND(EY23*EssentialMix,0)</f>
        <v/>
      </c>
      <c r="FB23" s="12">
        <f>ROUND(EY23*PremiumMix,0)</f>
        <v/>
      </c>
      <c r="FC23" s="12">
        <f>EY23-FA23-FB23</f>
        <v/>
      </c>
      <c r="FD23" s="12">
        <f>ROUND(EZ23*EssentialMix,0)</f>
        <v/>
      </c>
      <c r="FE23" s="12">
        <f>ROUND(EZ23*PremiumMix,0)</f>
        <v/>
      </c>
      <c r="FF23" s="12">
        <f>EZ23-FD23-FE23</f>
        <v/>
      </c>
      <c r="FG23" s="12">
        <f>FA23+FA22+FA21+MAX(0,FG22-FA22-FA21)*(1-ET23)</f>
        <v/>
      </c>
      <c r="FH23" s="12">
        <f>FB23+FB22+FB21+MAX(0,FH22-FB22-FB21)*(1-ET23)</f>
        <v/>
      </c>
      <c r="FI23" s="12">
        <f>FC23+FC22+FC21+MAX(0,FI22-FC22-FC21)*(1-ET23)</f>
        <v/>
      </c>
      <c r="FJ23" s="12">
        <f>FJ22+FD23-FD11*(AnnualChurn*VLOOKUP(EP23,ChurnSeasonTable,4,FALSE))*POWER(1-(AnnualChurn*VLOOKUP(EP23,ChurnSeasonTable,4,FALSE)),0)</f>
        <v/>
      </c>
      <c r="FK23" s="12">
        <f>FK22+FE23-FE11*(AnnualChurn*VLOOKUP(EP23,ChurnSeasonTable,4,FALSE))*POWER(1-(AnnualChurn*VLOOKUP(EP23,ChurnSeasonTable,4,FALSE)),0)</f>
        <v/>
      </c>
      <c r="FL23" s="12">
        <f>FL22+FF23-FF11*(AnnualChurn*VLOOKUP(EP23,ChurnSeasonTable,4,FALSE))*POWER(1-(AnnualChurn*VLOOKUP(EP23,ChurnSeasonTable,4,FALSE)),0)</f>
        <v/>
      </c>
      <c r="FM23" s="12">
        <f>FG23+FH23+FI23+FJ23+FK23+FL23</f>
        <v/>
      </c>
      <c r="FN23" s="9">
        <f>FG23*BlendedPriceEssMonthly*ES23+FH23*BlendedPricePremMonthly*ES23+FI23*BlendedPriceEliteMonthly*ES23+FJ23*BlendedPriceEssAnnual*ES23/12+FK23*BlendedPricePremAnnual*ES23/12+FL23*BlendedPriceEliteAnnual*ES23/12</f>
        <v/>
      </c>
      <c r="FO23" s="9">
        <f>FN23*12</f>
        <v/>
      </c>
      <c r="FP23" s="12">
        <f>FG23*BlendedPriceEssMonthly*ES23+FH23*BlendedPricePremMonthly*ES23+FI23*BlendedPriceEliteMonthly*ES23</f>
        <v/>
      </c>
      <c r="FQ23" s="12">
        <f>FD23*BlendedPriceEssAnnual*ES23+FE23*BlendedPricePremAnnual*ES23+FF23*BlendedPriceEliteAnnual*ES23</f>
        <v/>
      </c>
      <c r="FR23" s="12">
        <f>FD11*POWER(1-(AnnualChurn*VLOOKUP(EP23,ChurnSeasonTable,4,FALSE)),1)*BlendedPriceEssAnnual*ES23+FE11*POWER(1-(AnnualChurn*VLOOKUP(EP23,ChurnSeasonTable,4,FALSE)),1)*BlendedPricePremAnnual*ES23+FF11*POWER(1-(AnnualChurn*VLOOKUP(EP23,ChurnSeasonTable,4,FALSE)),1)*BlendedPriceEliteAnnual*ES23</f>
        <v/>
      </c>
      <c r="FS23" s="9">
        <f>FP23+FQ23+FR23</f>
        <v/>
      </c>
      <c r="FT23" s="12">
        <f>SUM(FS12:FS23)</f>
        <v/>
      </c>
      <c r="FU23" s="12">
        <f>OR(FU22,IF(VATAgentMode,SUM($FS12:$FS23)-SUM($FZ12:$FZ23)&gt;=VATThreshold,SUM($FS12:$FS23)&gt;=VATThreshold))</f>
        <v/>
      </c>
      <c r="FV23" s="9">
        <f>IF(FU23,IF(VATAgentMode,FS23-((FS23-FZ23)-(FS23-FZ23)/(1+VATRate)),FS23/(1+VATRate)),FS23)</f>
        <v/>
      </c>
      <c r="FW23" s="12">
        <f>FS23-FV23</f>
        <v/>
      </c>
      <c r="FX23" s="12">
        <f>IF(FU23=0,0,IF(EP23=1,SUMPRODUCT(--(($EQ$5:$EQ23=$EQ23-1)*($EP$5:$EP23&gt;=10)*($EP$5:$EP23&lt;=12)),$FW$5:$FW23),IF(EP23=4,SUMPRODUCT(--(($EQ$5:$EQ23=$EQ23)*($EP$5:$EP23&gt;=1)*($EP$5:$EP23&lt;=3)),$FW$5:$FW23),IF(EP23=7,SUMPRODUCT(--(($EQ$5:$EQ23=$EQ23)*($EP$5:$EP23&gt;=4)*($EP$5:$EP23&lt;=6)),$FW$5:$FW23),IF(EP23=10,SUMPRODUCT(--(($EQ$5:$EQ23=$EQ23)*($EP$5:$EP23&gt;=7)*($EP$5:$EP23&lt;=9)),$FW$5:$FW23),0)))))</f>
        <v/>
      </c>
      <c r="FY23" s="12">
        <f>FY22+FW23-FX23</f>
        <v/>
      </c>
      <c r="FZ23" s="12">
        <f>IF(ProviderDelay&gt;=1,FG22*BlendedProvPayEss+FH22*BlendedProvPayPrem+FI22*BlendedProvPayElite+FJ22*BlendedProvPayEss+FK22*BlendedProvPayPrem+FL22*BlendedProvPayElite,FG23*BlendedProvPayEss+FH23*BlendedProvPayPrem+FI23*BlendedProvPayElite+FJ23*BlendedProvPayEss+FK23*BlendedProvPayPrem+FL23*BlendedProvPayElite)</f>
        <v/>
      </c>
      <c r="GA23" s="12">
        <f>FS23*PaymentFee</f>
        <v/>
      </c>
      <c r="GB23" s="12">
        <f>FM23*OpsAI</f>
        <v/>
      </c>
      <c r="GC23" s="12">
        <f>MonthlyFixed</f>
        <v/>
      </c>
      <c r="GD23" s="12">
        <f>EW23*ReferralReward</f>
        <v/>
      </c>
      <c r="GE23" s="12">
        <f>EU23</f>
        <v/>
      </c>
      <c r="GF23" s="9">
        <f>FV23-FZ23-GA23-GB23-GC23-GD23-GE23</f>
        <v/>
      </c>
      <c r="GG23" s="9">
        <f>GG22+FS23-(FZ23+GA23+GB23+GC23+GD23+GE23+FX23)</f>
        <v/>
      </c>
      <c r="GH23" s="12">
        <f>IF(FM23&gt;0,FN23/FM23,0)</f>
        <v/>
      </c>
      <c r="GI23" s="11">
        <f>IF(FM22&gt;0,MAX(0,(FM22+EX23-FM23)/FM22),0)</f>
        <v/>
      </c>
      <c r="GK23" s="12" t="n">
        <v>19</v>
      </c>
      <c r="GL23" s="12">
        <f>MOD(GK23-1+LaunchMonth-1,12)+1</f>
        <v/>
      </c>
      <c r="GM23" s="12">
        <f>INT((GK23-1+LaunchMonth-1)/12)+1</f>
        <v/>
      </c>
      <c r="GN23" s="12">
        <f>VLOOKUP(GL23,SeasonTable,2,FALSE)</f>
        <v/>
      </c>
      <c r="GO23" s="12">
        <f>(1+InflationRate)^INT((GK23-1)/12)</f>
        <v/>
      </c>
      <c r="GP23" s="11">
        <f>'Sens - Churn'!$A$14*VLOOKUP(GL23,ChurnSeasonTable,4,FALSE)</f>
        <v/>
      </c>
      <c r="GQ23" s="12">
        <f>MIN(MAX(MktMin19plus,HO22*MktPct19plus),MAX(0,IC22-CashBuffer))</f>
        <v/>
      </c>
      <c r="GR23" s="12">
        <f>IF(GQ23&gt;0,MAX(1,ROUND(GQ23/CAC*GN23,0)),0)</f>
        <v/>
      </c>
      <c r="GS23" s="12">
        <f>IF(GR23&gt;0,ROUND(GR23*ReferralMix/(1-ReferralMix),0),0)</f>
        <v/>
      </c>
      <c r="GT23" s="12">
        <f>GR23+GS23</f>
        <v/>
      </c>
      <c r="GU23" s="12">
        <f>ROUND(GT23*(1-AnnualMix),0)</f>
        <v/>
      </c>
      <c r="GV23" s="12">
        <f>GT23-GU23</f>
        <v/>
      </c>
      <c r="GW23" s="12">
        <f>ROUND(GU23*EssentialMix,0)</f>
        <v/>
      </c>
      <c r="GX23" s="12">
        <f>ROUND(GU23*PremiumMix,0)</f>
        <v/>
      </c>
      <c r="GY23" s="12">
        <f>GU23-GW23-GX23</f>
        <v/>
      </c>
      <c r="GZ23" s="12">
        <f>ROUND(GV23*EssentialMix,0)</f>
        <v/>
      </c>
      <c r="HA23" s="12">
        <f>ROUND(GV23*PremiumMix,0)</f>
        <v/>
      </c>
      <c r="HB23" s="12">
        <f>GV23-GZ23-HA23</f>
        <v/>
      </c>
      <c r="HC23" s="12">
        <f>GW23+GW22+GW21+MAX(0,HC22-GW22-GW21)*(1-GP23)</f>
        <v/>
      </c>
      <c r="HD23" s="12">
        <f>GX23+GX22+GX21+MAX(0,HD22-GX22-GX21)*(1-GP23)</f>
        <v/>
      </c>
      <c r="HE23" s="12">
        <f>GY23+GY22+GY21+MAX(0,HE22-GY22-GY21)*(1-GP23)</f>
        <v/>
      </c>
      <c r="HF23" s="12">
        <f>HF22+GZ23-GZ11*(AnnualChurn*VLOOKUP(GL23,ChurnSeasonTable,4,FALSE))*POWER(1-(AnnualChurn*VLOOKUP(GL23,ChurnSeasonTable,4,FALSE)),0)</f>
        <v/>
      </c>
      <c r="HG23" s="12">
        <f>HG22+HA23-HA11*(AnnualChurn*VLOOKUP(GL23,ChurnSeasonTable,4,FALSE))*POWER(1-(AnnualChurn*VLOOKUP(GL23,ChurnSeasonTable,4,FALSE)),0)</f>
        <v/>
      </c>
      <c r="HH23" s="12">
        <f>HH22+HB23-HB11*(AnnualChurn*VLOOKUP(GL23,ChurnSeasonTable,4,FALSE))*POWER(1-(AnnualChurn*VLOOKUP(GL23,ChurnSeasonTable,4,FALSE)),0)</f>
        <v/>
      </c>
      <c r="HI23" s="12">
        <f>HC23+HD23+HE23+HF23+HG23+HH23</f>
        <v/>
      </c>
      <c r="HJ23" s="9">
        <f>HC23*BlendedPriceEssMonthly*GO23+HD23*BlendedPricePremMonthly*GO23+HE23*BlendedPriceEliteMonthly*GO23+HF23*BlendedPriceEssAnnual*GO23/12+HG23*BlendedPricePremAnnual*GO23/12+HH23*BlendedPriceEliteAnnual*GO23/12</f>
        <v/>
      </c>
      <c r="HK23" s="9">
        <f>HJ23*12</f>
        <v/>
      </c>
      <c r="HL23" s="12">
        <f>HC23*BlendedPriceEssMonthly*GO23+HD23*BlendedPricePremMonthly*GO23+HE23*BlendedPriceEliteMonthly*GO23</f>
        <v/>
      </c>
      <c r="HM23" s="12">
        <f>GZ23*BlendedPriceEssAnnual*GO23+HA23*BlendedPricePremAnnual*GO23+HB23*BlendedPriceEliteAnnual*GO23</f>
        <v/>
      </c>
      <c r="HN23" s="12">
        <f>GZ11*POWER(1-(AnnualChurn*VLOOKUP(GL23,ChurnSeasonTable,4,FALSE)),1)*BlendedPriceEssAnnual*GO23+HA11*POWER(1-(AnnualChurn*VLOOKUP(GL23,ChurnSeasonTable,4,FALSE)),1)*BlendedPricePremAnnual*GO23+HB11*POWER(1-(AnnualChurn*VLOOKUP(GL23,ChurnSeasonTable,4,FALSE)),1)*BlendedPriceEliteAnnual*GO23</f>
        <v/>
      </c>
      <c r="HO23" s="9">
        <f>HL23+HM23+HN23</f>
        <v/>
      </c>
      <c r="HP23" s="12">
        <f>SUM(HO12:HO23)</f>
        <v/>
      </c>
      <c r="HQ23" s="12">
        <f>OR(HQ22,IF(VATAgentMode,SUM($HO12:$HO23)-SUM($HV12:$HV23)&gt;=VATThreshold,SUM($HO12:$HO23)&gt;=VATThreshold))</f>
        <v/>
      </c>
      <c r="HR23" s="9">
        <f>IF(HQ23,IF(VATAgentMode,HO23-((HO23-HV23)-(HO23-HV23)/(1+VATRate)),HO23/(1+VATRate)),HO23)</f>
        <v/>
      </c>
      <c r="HS23" s="12">
        <f>HO23-HR23</f>
        <v/>
      </c>
      <c r="HT23" s="12">
        <f>IF(HQ23=0,0,IF(GL23=1,SUMPRODUCT(--(($GM$5:$GM23=$GM23-1)*($GL$5:$GL23&gt;=10)*($GL$5:$GL23&lt;=12)),$HS$5:$HS23),IF(GL23=4,SUMPRODUCT(--(($GM$5:$GM23=$GM23)*($GL$5:$GL23&gt;=1)*($GL$5:$GL23&lt;=3)),$HS$5:$HS23),IF(GL23=7,SUMPRODUCT(--(($GM$5:$GM23=$GM23)*($GL$5:$GL23&gt;=4)*($GL$5:$GL23&lt;=6)),$HS$5:$HS23),IF(GL23=10,SUMPRODUCT(--(($GM$5:$GM23=$GM23)*($GL$5:$GL23&gt;=7)*($GL$5:$GL23&lt;=9)),$HS$5:$HS23),0)))))</f>
        <v/>
      </c>
      <c r="HU23" s="12">
        <f>HU22+HS23-HT23</f>
        <v/>
      </c>
      <c r="HV23" s="12">
        <f>IF(ProviderDelay&gt;=1,HC22*BlendedProvPayEss+HD22*BlendedProvPayPrem+HE22*BlendedProvPayElite+HF22*BlendedProvPayEss+HG22*BlendedProvPayPrem+HH22*BlendedProvPayElite,HC23*BlendedProvPayEss+HD23*BlendedProvPayPrem+HE23*BlendedProvPayElite+HF23*BlendedProvPayEss+HG23*BlendedProvPayPrem+HH23*BlendedProvPayElite)</f>
        <v/>
      </c>
      <c r="HW23" s="12">
        <f>HO23*PaymentFee</f>
        <v/>
      </c>
      <c r="HX23" s="12">
        <f>HI23*OpsAI</f>
        <v/>
      </c>
      <c r="HY23" s="12">
        <f>MonthlyFixed</f>
        <v/>
      </c>
      <c r="HZ23" s="12">
        <f>GS23*ReferralReward</f>
        <v/>
      </c>
      <c r="IA23" s="12">
        <f>GQ23</f>
        <v/>
      </c>
      <c r="IB23" s="9">
        <f>HR23-HV23-HW23-HX23-HY23-HZ23-IA23</f>
        <v/>
      </c>
      <c r="IC23" s="9">
        <f>IC22+HO23-(HV23+HW23+HX23+HY23+HZ23+IA23+HT23)</f>
        <v/>
      </c>
      <c r="ID23" s="12">
        <f>IF(HI23&gt;0,HJ23/HI23,0)</f>
        <v/>
      </c>
      <c r="IE23" s="11">
        <f>IF(HI22&gt;0,MAX(0,(HI22+GT23-HI23)/HI22),0)</f>
        <v/>
      </c>
      <c r="IG23" s="12" t="n">
        <v>19</v>
      </c>
      <c r="IH23" s="12">
        <f>MOD(IG23-1+LaunchMonth-1,12)+1</f>
        <v/>
      </c>
      <c r="II23" s="12">
        <f>INT((IG23-1+LaunchMonth-1)/12)+1</f>
        <v/>
      </c>
      <c r="IJ23" s="12">
        <f>VLOOKUP(IH23,SeasonTable,2,FALSE)</f>
        <v/>
      </c>
      <c r="IK23" s="12">
        <f>(1+InflationRate)^INT((IG23-1)/12)</f>
        <v/>
      </c>
      <c r="IL23" s="11">
        <f>'Sens - Churn'!$A$15*VLOOKUP(IH23,ChurnSeasonTable,4,FALSE)</f>
        <v/>
      </c>
      <c r="IM23" s="12">
        <f>MIN(MAX(MktMin19plus,JK22*MktPct19plus),MAX(0,JY22-CashBuffer))</f>
        <v/>
      </c>
      <c r="IN23" s="12">
        <f>IF(IM23&gt;0,MAX(1,ROUND(IM23/CAC*IJ23,0)),0)</f>
        <v/>
      </c>
      <c r="IO23" s="12">
        <f>IF(IN23&gt;0,ROUND(IN23*ReferralMix/(1-ReferralMix),0),0)</f>
        <v/>
      </c>
      <c r="IP23" s="12">
        <f>IN23+IO23</f>
        <v/>
      </c>
      <c r="IQ23" s="12">
        <f>ROUND(IP23*(1-AnnualMix),0)</f>
        <v/>
      </c>
      <c r="IR23" s="12">
        <f>IP23-IQ23</f>
        <v/>
      </c>
      <c r="IS23" s="12">
        <f>ROUND(IQ23*EssentialMix,0)</f>
        <v/>
      </c>
      <c r="IT23" s="12">
        <f>ROUND(IQ23*PremiumMix,0)</f>
        <v/>
      </c>
      <c r="IU23" s="12">
        <f>IQ23-IS23-IT23</f>
        <v/>
      </c>
      <c r="IV23" s="12">
        <f>ROUND(IR23*EssentialMix,0)</f>
        <v/>
      </c>
      <c r="IW23" s="12">
        <f>ROUND(IR23*PremiumMix,0)</f>
        <v/>
      </c>
      <c r="IX23" s="12">
        <f>IR23-IV23-IW23</f>
        <v/>
      </c>
      <c r="IY23" s="12">
        <f>IS23+IS22+IS21+MAX(0,IY22-IS22-IS21)*(1-IL23)</f>
        <v/>
      </c>
      <c r="IZ23" s="12">
        <f>IT23+IT22+IT21+MAX(0,IZ22-IT22-IT21)*(1-IL23)</f>
        <v/>
      </c>
      <c r="JA23" s="12">
        <f>IU23+IU22+IU21+MAX(0,JA22-IU22-IU21)*(1-IL23)</f>
        <v/>
      </c>
      <c r="JB23" s="12">
        <f>JB22+IV23-IV11*(AnnualChurn*VLOOKUP(IH23,ChurnSeasonTable,4,FALSE))*POWER(1-(AnnualChurn*VLOOKUP(IH23,ChurnSeasonTable,4,FALSE)),0)</f>
        <v/>
      </c>
      <c r="JC23" s="12">
        <f>JC22+IW23-IW11*(AnnualChurn*VLOOKUP(IH23,ChurnSeasonTable,4,FALSE))*POWER(1-(AnnualChurn*VLOOKUP(IH23,ChurnSeasonTable,4,FALSE)),0)</f>
        <v/>
      </c>
      <c r="JD23" s="12">
        <f>JD22+IX23-IX11*(AnnualChurn*VLOOKUP(IH23,ChurnSeasonTable,4,FALSE))*POWER(1-(AnnualChurn*VLOOKUP(IH23,ChurnSeasonTable,4,FALSE)),0)</f>
        <v/>
      </c>
      <c r="JE23" s="12">
        <f>IY23+IZ23+JA23+JB23+JC23+JD23</f>
        <v/>
      </c>
      <c r="JF23" s="9">
        <f>IY23*BlendedPriceEssMonthly*IK23+IZ23*BlendedPricePremMonthly*IK23+JA23*BlendedPriceEliteMonthly*IK23+JB23*BlendedPriceEssAnnual*IK23/12+JC23*BlendedPricePremAnnual*IK23/12+JD23*BlendedPriceEliteAnnual*IK23/12</f>
        <v/>
      </c>
      <c r="JG23" s="9">
        <f>JF23*12</f>
        <v/>
      </c>
      <c r="JH23" s="12">
        <f>IY23*BlendedPriceEssMonthly*IK23+IZ23*BlendedPricePremMonthly*IK23+JA23*BlendedPriceEliteMonthly*IK23</f>
        <v/>
      </c>
      <c r="JI23" s="12">
        <f>IV23*BlendedPriceEssAnnual*IK23+IW23*BlendedPricePremAnnual*IK23+IX23*BlendedPriceEliteAnnual*IK23</f>
        <v/>
      </c>
      <c r="JJ23" s="12">
        <f>IV11*POWER(1-(AnnualChurn*VLOOKUP(IH23,ChurnSeasonTable,4,FALSE)),1)*BlendedPriceEssAnnual*IK23+IW11*POWER(1-(AnnualChurn*VLOOKUP(IH23,ChurnSeasonTable,4,FALSE)),1)*BlendedPricePremAnnual*IK23+IX11*POWER(1-(AnnualChurn*VLOOKUP(IH23,ChurnSeasonTable,4,FALSE)),1)*BlendedPriceEliteAnnual*IK23</f>
        <v/>
      </c>
      <c r="JK23" s="9">
        <f>JH23+JI23+JJ23</f>
        <v/>
      </c>
      <c r="JL23" s="12">
        <f>SUM(JK12:JK23)</f>
        <v/>
      </c>
      <c r="JM23" s="12">
        <f>OR(JM22,IF(VATAgentMode,SUM($JK12:$JK23)-SUM($JR12:$JR23)&gt;=VATThreshold,SUM($JK12:$JK23)&gt;=VATThreshold))</f>
        <v/>
      </c>
      <c r="JN23" s="9">
        <f>IF(JM23,IF(VATAgentMode,JK23-((JK23-JR23)-(JK23-JR23)/(1+VATRate)),JK23/(1+VATRate)),JK23)</f>
        <v/>
      </c>
      <c r="JO23" s="12">
        <f>JK23-JN23</f>
        <v/>
      </c>
      <c r="JP23" s="12">
        <f>IF(JM23=0,0,IF(IH23=1,SUMPRODUCT(--(($II$5:$II23=$II23-1)*($IH$5:$IH23&gt;=10)*($IH$5:$IH23&lt;=12)),$JO$5:$JO23),IF(IH23=4,SUMPRODUCT(--(($II$5:$II23=$II23)*($IH$5:$IH23&gt;=1)*($IH$5:$IH23&lt;=3)),$JO$5:$JO23),IF(IH23=7,SUMPRODUCT(--(($II$5:$II23=$II23)*($IH$5:$IH23&gt;=4)*($IH$5:$IH23&lt;=6)),$JO$5:$JO23),IF(IH23=10,SUMPRODUCT(--(($II$5:$II23=$II23)*($IH$5:$IH23&gt;=7)*($IH$5:$IH23&lt;=9)),$JO$5:$JO23),0)))))</f>
        <v/>
      </c>
      <c r="JQ23" s="12">
        <f>JQ22+JO23-JP23</f>
        <v/>
      </c>
      <c r="JR23" s="12">
        <f>IF(ProviderDelay&gt;=1,IY22*BlendedProvPayEss+IZ22*BlendedProvPayPrem+JA22*BlendedProvPayElite+JB22*BlendedProvPayEss+JC22*BlendedProvPayPrem+JD22*BlendedProvPayElite,IY23*BlendedProvPayEss+IZ23*BlendedProvPayPrem+JA23*BlendedProvPayElite+JB23*BlendedProvPayEss+JC23*BlendedProvPayPrem+JD23*BlendedProvPayElite)</f>
        <v/>
      </c>
      <c r="JS23" s="12">
        <f>JK23*PaymentFee</f>
        <v/>
      </c>
      <c r="JT23" s="12">
        <f>JE23*OpsAI</f>
        <v/>
      </c>
      <c r="JU23" s="12">
        <f>MonthlyFixed</f>
        <v/>
      </c>
      <c r="JV23" s="12">
        <f>IO23*ReferralReward</f>
        <v/>
      </c>
      <c r="JW23" s="12">
        <f>IM23</f>
        <v/>
      </c>
      <c r="JX23" s="9">
        <f>JN23-JR23-JS23-JT23-JU23-JV23-JW23</f>
        <v/>
      </c>
      <c r="JY23" s="9">
        <f>JY22+JK23-(JR23+JS23+JT23+JU23+JV23+JW23+JP23)</f>
        <v/>
      </c>
      <c r="JZ23" s="12">
        <f>IF(JE23&gt;0,JF23/JE23,0)</f>
        <v/>
      </c>
      <c r="KA23" s="11">
        <f>IF(JE22&gt;0,MAX(0,(JE22+IP23-JE23)/JE22),0)</f>
        <v/>
      </c>
      <c r="KC23" s="12" t="n">
        <v>19</v>
      </c>
      <c r="KD23" s="12">
        <f>MOD(KC23-1+LaunchMonth-1,12)+1</f>
        <v/>
      </c>
      <c r="KE23" s="12">
        <f>INT((KC23-1+LaunchMonth-1)/12)+1</f>
        <v/>
      </c>
      <c r="KF23" s="12">
        <f>VLOOKUP(KD23,SeasonTable,2,FALSE)</f>
        <v/>
      </c>
      <c r="KG23" s="12">
        <f>(1+InflationRate)^INT((KC23-1)/12)</f>
        <v/>
      </c>
      <c r="KH23" s="11">
        <f>'Sens - Churn'!$A$16*VLOOKUP(KD23,ChurnSeasonTable,4,FALSE)</f>
        <v/>
      </c>
      <c r="KI23" s="12">
        <f>MIN(MAX(MktMin19plus,LG22*MktPct19plus),MAX(0,LU22-CashBuffer))</f>
        <v/>
      </c>
      <c r="KJ23" s="12">
        <f>IF(KI23&gt;0,MAX(1,ROUND(KI23/CAC*KF23,0)),0)</f>
        <v/>
      </c>
      <c r="KK23" s="12">
        <f>IF(KJ23&gt;0,ROUND(KJ23*ReferralMix/(1-ReferralMix),0),0)</f>
        <v/>
      </c>
      <c r="KL23" s="12">
        <f>KJ23+KK23</f>
        <v/>
      </c>
      <c r="KM23" s="12">
        <f>ROUND(KL23*(1-AnnualMix),0)</f>
        <v/>
      </c>
      <c r="KN23" s="12">
        <f>KL23-KM23</f>
        <v/>
      </c>
      <c r="KO23" s="12">
        <f>ROUND(KM23*EssentialMix,0)</f>
        <v/>
      </c>
      <c r="KP23" s="12">
        <f>ROUND(KM23*PremiumMix,0)</f>
        <v/>
      </c>
      <c r="KQ23" s="12">
        <f>KM23-KO23-KP23</f>
        <v/>
      </c>
      <c r="KR23" s="12">
        <f>ROUND(KN23*EssentialMix,0)</f>
        <v/>
      </c>
      <c r="KS23" s="12">
        <f>ROUND(KN23*PremiumMix,0)</f>
        <v/>
      </c>
      <c r="KT23" s="12">
        <f>KN23-KR23-KS23</f>
        <v/>
      </c>
      <c r="KU23" s="12">
        <f>KO23+KO22+KO21+MAX(0,KU22-KO22-KO21)*(1-KH23)</f>
        <v/>
      </c>
      <c r="KV23" s="12">
        <f>KP23+KP22+KP21+MAX(0,KV22-KP22-KP21)*(1-KH23)</f>
        <v/>
      </c>
      <c r="KW23" s="12">
        <f>KQ23+KQ22+KQ21+MAX(0,KW22-KQ22-KQ21)*(1-KH23)</f>
        <v/>
      </c>
      <c r="KX23" s="12">
        <f>KX22+KR23-KR11*(AnnualChurn*VLOOKUP(KD23,ChurnSeasonTable,4,FALSE))*POWER(1-(AnnualChurn*VLOOKUP(KD23,ChurnSeasonTable,4,FALSE)),0)</f>
        <v/>
      </c>
      <c r="KY23" s="12">
        <f>KY22+KS23-KS11*(AnnualChurn*VLOOKUP(KD23,ChurnSeasonTable,4,FALSE))*POWER(1-(AnnualChurn*VLOOKUP(KD23,ChurnSeasonTable,4,FALSE)),0)</f>
        <v/>
      </c>
      <c r="KZ23" s="12">
        <f>KZ22+KT23-KT11*(AnnualChurn*VLOOKUP(KD23,ChurnSeasonTable,4,FALSE))*POWER(1-(AnnualChurn*VLOOKUP(KD23,ChurnSeasonTable,4,FALSE)),0)</f>
        <v/>
      </c>
      <c r="LA23" s="12">
        <f>KU23+KV23+KW23+KX23+KY23+KZ23</f>
        <v/>
      </c>
      <c r="LB23" s="9">
        <f>KU23*BlendedPriceEssMonthly*KG23+KV23*BlendedPricePremMonthly*KG23+KW23*BlendedPriceEliteMonthly*KG23+KX23*BlendedPriceEssAnnual*KG23/12+KY23*BlendedPricePremAnnual*KG23/12+KZ23*BlendedPriceEliteAnnual*KG23/12</f>
        <v/>
      </c>
      <c r="LC23" s="9">
        <f>LB23*12</f>
        <v/>
      </c>
      <c r="LD23" s="12">
        <f>KU23*BlendedPriceEssMonthly*KG23+KV23*BlendedPricePremMonthly*KG23+KW23*BlendedPriceEliteMonthly*KG23</f>
        <v/>
      </c>
      <c r="LE23" s="12">
        <f>KR23*BlendedPriceEssAnnual*KG23+KS23*BlendedPricePremAnnual*KG23+KT23*BlendedPriceEliteAnnual*KG23</f>
        <v/>
      </c>
      <c r="LF23" s="12">
        <f>KR11*POWER(1-(AnnualChurn*VLOOKUP(KD23,ChurnSeasonTable,4,FALSE)),1)*BlendedPriceEssAnnual*KG23+KS11*POWER(1-(AnnualChurn*VLOOKUP(KD23,ChurnSeasonTable,4,FALSE)),1)*BlendedPricePremAnnual*KG23+KT11*POWER(1-(AnnualChurn*VLOOKUP(KD23,ChurnSeasonTable,4,FALSE)),1)*BlendedPriceEliteAnnual*KG23</f>
        <v/>
      </c>
      <c r="LG23" s="9">
        <f>LD23+LE23+LF23</f>
        <v/>
      </c>
      <c r="LH23" s="12">
        <f>SUM(LG12:LG23)</f>
        <v/>
      </c>
      <c r="LI23" s="12">
        <f>OR(LI22,IF(VATAgentMode,SUM($LG12:$LG23)-SUM($LN12:$LN23)&gt;=VATThreshold,SUM($LG12:$LG23)&gt;=VATThreshold))</f>
        <v/>
      </c>
      <c r="LJ23" s="9">
        <f>IF(LI23,IF(VATAgentMode,LG23-((LG23-LN23)-(LG23-LN23)/(1+VATRate)),LG23/(1+VATRate)),LG23)</f>
        <v/>
      </c>
      <c r="LK23" s="12">
        <f>LG23-LJ23</f>
        <v/>
      </c>
      <c r="LL23" s="12">
        <f>IF(LI23=0,0,IF(KD23=1,SUMPRODUCT(--(($KE$5:$KE23=$KE23-1)*($KD$5:$KD23&gt;=10)*($KD$5:$KD23&lt;=12)),$LK$5:$LK23),IF(KD23=4,SUMPRODUCT(--(($KE$5:$KE23=$KE23)*($KD$5:$KD23&gt;=1)*($KD$5:$KD23&lt;=3)),$LK$5:$LK23),IF(KD23=7,SUMPRODUCT(--(($KE$5:$KE23=$KE23)*($KD$5:$KD23&gt;=4)*($KD$5:$KD23&lt;=6)),$LK$5:$LK23),IF(KD23=10,SUMPRODUCT(--(($KE$5:$KE23=$KE23)*($KD$5:$KD23&gt;=7)*($KD$5:$KD23&lt;=9)),$LK$5:$LK23),0)))))</f>
        <v/>
      </c>
      <c r="LM23" s="12">
        <f>LM22+LK23-LL23</f>
        <v/>
      </c>
      <c r="LN23" s="12">
        <f>IF(ProviderDelay&gt;=1,KU22*BlendedProvPayEss+KV22*BlendedProvPayPrem+KW22*BlendedProvPayElite+KX22*BlendedProvPayEss+KY22*BlendedProvPayPrem+KZ22*BlendedProvPayElite,KU23*BlendedProvPayEss+KV23*BlendedProvPayPrem+KW23*BlendedProvPayElite+KX23*BlendedProvPayEss+KY23*BlendedProvPayPrem+KZ23*BlendedProvPayElite)</f>
        <v/>
      </c>
      <c r="LO23" s="12">
        <f>LG23*PaymentFee</f>
        <v/>
      </c>
      <c r="LP23" s="12">
        <f>LA23*OpsAI</f>
        <v/>
      </c>
      <c r="LQ23" s="12">
        <f>MonthlyFixed</f>
        <v/>
      </c>
      <c r="LR23" s="12">
        <f>KK23*ReferralReward</f>
        <v/>
      </c>
      <c r="LS23" s="12">
        <f>KI23</f>
        <v/>
      </c>
      <c r="LT23" s="9">
        <f>LJ23-LN23-LO23-LP23-LQ23-LR23-LS23</f>
        <v/>
      </c>
      <c r="LU23" s="9">
        <f>LU22+LG23-(LN23+LO23+LP23+LQ23+LR23+LS23+LL23)</f>
        <v/>
      </c>
      <c r="LV23" s="12">
        <f>IF(LA23&gt;0,LB23/LA23,0)</f>
        <v/>
      </c>
      <c r="LW23" s="11">
        <f>IF(LA22&gt;0,MAX(0,(LA22+KL23-LA23)/LA22),0)</f>
        <v/>
      </c>
      <c r="LY23" s="12" t="n">
        <v>19</v>
      </c>
      <c r="LZ23" s="12">
        <f>MOD(LY23-1+LaunchMonth-1,12)+1</f>
        <v/>
      </c>
      <c r="MA23" s="12">
        <f>INT((LY23-1+LaunchMonth-1)/12)+1</f>
        <v/>
      </c>
      <c r="MB23" s="12">
        <f>VLOOKUP(LZ23,SeasonTable,2,FALSE)</f>
        <v/>
      </c>
      <c r="MC23" s="12">
        <f>(1+InflationRate)^INT((LY23-1)/12)</f>
        <v/>
      </c>
      <c r="MD23" s="11">
        <f>'Sens - Churn'!$A$17*VLOOKUP(LZ23,ChurnSeasonTable,4,FALSE)</f>
        <v/>
      </c>
      <c r="ME23" s="12">
        <f>MIN(MAX(MktMin19plus,NC22*MktPct19plus),MAX(0,NQ22-CashBuffer))</f>
        <v/>
      </c>
      <c r="MF23" s="12">
        <f>IF(ME23&gt;0,MAX(1,ROUND(ME23/CAC*MB23,0)),0)</f>
        <v/>
      </c>
      <c r="MG23" s="12">
        <f>IF(MF23&gt;0,ROUND(MF23*ReferralMix/(1-ReferralMix),0),0)</f>
        <v/>
      </c>
      <c r="MH23" s="12">
        <f>MF23+MG23</f>
        <v/>
      </c>
      <c r="MI23" s="12">
        <f>ROUND(MH23*(1-AnnualMix),0)</f>
        <v/>
      </c>
      <c r="MJ23" s="12">
        <f>MH23-MI23</f>
        <v/>
      </c>
      <c r="MK23" s="12">
        <f>ROUND(MI23*EssentialMix,0)</f>
        <v/>
      </c>
      <c r="ML23" s="12">
        <f>ROUND(MI23*PremiumMix,0)</f>
        <v/>
      </c>
      <c r="MM23" s="12">
        <f>MI23-MK23-ML23</f>
        <v/>
      </c>
      <c r="MN23" s="12">
        <f>ROUND(MJ23*EssentialMix,0)</f>
        <v/>
      </c>
      <c r="MO23" s="12">
        <f>ROUND(MJ23*PremiumMix,0)</f>
        <v/>
      </c>
      <c r="MP23" s="12">
        <f>MJ23-MN23-MO23</f>
        <v/>
      </c>
      <c r="MQ23" s="12">
        <f>MK23+MK22+MK21+MAX(0,MQ22-MK22-MK21)*(1-MD23)</f>
        <v/>
      </c>
      <c r="MR23" s="12">
        <f>ML23+ML22+ML21+MAX(0,MR22-ML22-ML21)*(1-MD23)</f>
        <v/>
      </c>
      <c r="MS23" s="12">
        <f>MM23+MM22+MM21+MAX(0,MS22-MM22-MM21)*(1-MD23)</f>
        <v/>
      </c>
      <c r="MT23" s="12">
        <f>MT22+MN23-MN11*(AnnualChurn*VLOOKUP(LZ23,ChurnSeasonTable,4,FALSE))*POWER(1-(AnnualChurn*VLOOKUP(LZ23,ChurnSeasonTable,4,FALSE)),0)</f>
        <v/>
      </c>
      <c r="MU23" s="12">
        <f>MU22+MO23-MO11*(AnnualChurn*VLOOKUP(LZ23,ChurnSeasonTable,4,FALSE))*POWER(1-(AnnualChurn*VLOOKUP(LZ23,ChurnSeasonTable,4,FALSE)),0)</f>
        <v/>
      </c>
      <c r="MV23" s="12">
        <f>MV22+MP23-MP11*(AnnualChurn*VLOOKUP(LZ23,ChurnSeasonTable,4,FALSE))*POWER(1-(AnnualChurn*VLOOKUP(LZ23,ChurnSeasonTable,4,FALSE)),0)</f>
        <v/>
      </c>
      <c r="MW23" s="12">
        <f>MQ23+MR23+MS23+MT23+MU23+MV23</f>
        <v/>
      </c>
      <c r="MX23" s="9">
        <f>MQ23*BlendedPriceEssMonthly*MC23+MR23*BlendedPricePremMonthly*MC23+MS23*BlendedPriceEliteMonthly*MC23+MT23*BlendedPriceEssAnnual*MC23/12+MU23*BlendedPricePremAnnual*MC23/12+MV23*BlendedPriceEliteAnnual*MC23/12</f>
        <v/>
      </c>
      <c r="MY23" s="9">
        <f>MX23*12</f>
        <v/>
      </c>
      <c r="MZ23" s="12">
        <f>MQ23*BlendedPriceEssMonthly*MC23+MR23*BlendedPricePremMonthly*MC23+MS23*BlendedPriceEliteMonthly*MC23</f>
        <v/>
      </c>
      <c r="NA23" s="12">
        <f>MN23*BlendedPriceEssAnnual*MC23+MO23*BlendedPricePremAnnual*MC23+MP23*BlendedPriceEliteAnnual*MC23</f>
        <v/>
      </c>
      <c r="NB23" s="12">
        <f>MN11*POWER(1-(AnnualChurn*VLOOKUP(LZ23,ChurnSeasonTable,4,FALSE)),1)*BlendedPriceEssAnnual*MC23+MO11*POWER(1-(AnnualChurn*VLOOKUP(LZ23,ChurnSeasonTable,4,FALSE)),1)*BlendedPricePremAnnual*MC23+MP11*POWER(1-(AnnualChurn*VLOOKUP(LZ23,ChurnSeasonTable,4,FALSE)),1)*BlendedPriceEliteAnnual*MC23</f>
        <v/>
      </c>
      <c r="NC23" s="9">
        <f>MZ23+NA23+NB23</f>
        <v/>
      </c>
      <c r="ND23" s="12">
        <f>SUM(NC12:NC23)</f>
        <v/>
      </c>
      <c r="NE23" s="12">
        <f>OR(NE22,IF(VATAgentMode,SUM($NC12:$NC23)-SUM($NJ12:$NJ23)&gt;=VATThreshold,SUM($NC12:$NC23)&gt;=VATThreshold))</f>
        <v/>
      </c>
      <c r="NF23" s="9">
        <f>IF(NE23,IF(VATAgentMode,NC23-((NC23-NJ23)-(NC23-NJ23)/(1+VATRate)),NC23/(1+VATRate)),NC23)</f>
        <v/>
      </c>
      <c r="NG23" s="12">
        <f>NC23-NF23</f>
        <v/>
      </c>
      <c r="NH23" s="12">
        <f>IF(NE23=0,0,IF(LZ23=1,SUMPRODUCT(--(($MA$5:$MA23=$MA23-1)*($LZ$5:$LZ23&gt;=10)*($LZ$5:$LZ23&lt;=12)),$NG$5:$NG23),IF(LZ23=4,SUMPRODUCT(--(($MA$5:$MA23=$MA23)*($LZ$5:$LZ23&gt;=1)*($LZ$5:$LZ23&lt;=3)),$NG$5:$NG23),IF(LZ23=7,SUMPRODUCT(--(($MA$5:$MA23=$MA23)*($LZ$5:$LZ23&gt;=4)*($LZ$5:$LZ23&lt;=6)),$NG$5:$NG23),IF(LZ23=10,SUMPRODUCT(--(($MA$5:$MA23=$MA23)*($LZ$5:$LZ23&gt;=7)*($LZ$5:$LZ23&lt;=9)),$NG$5:$NG23),0)))))</f>
        <v/>
      </c>
      <c r="NI23" s="12">
        <f>NI22+NG23-NH23</f>
        <v/>
      </c>
      <c r="NJ23" s="12">
        <f>IF(ProviderDelay&gt;=1,MQ22*BlendedProvPayEss+MR22*BlendedProvPayPrem+MS22*BlendedProvPayElite+MT22*BlendedProvPayEss+MU22*BlendedProvPayPrem+MV22*BlendedProvPayElite,MQ23*BlendedProvPayEss+MR23*BlendedProvPayPrem+MS23*BlendedProvPayElite+MT23*BlendedProvPayEss+MU23*BlendedProvPayPrem+MV23*BlendedProvPayElite)</f>
        <v/>
      </c>
      <c r="NK23" s="12">
        <f>NC23*PaymentFee</f>
        <v/>
      </c>
      <c r="NL23" s="12">
        <f>MW23*OpsAI</f>
        <v/>
      </c>
      <c r="NM23" s="12">
        <f>MonthlyFixed</f>
        <v/>
      </c>
      <c r="NN23" s="12">
        <f>MG23*ReferralReward</f>
        <v/>
      </c>
      <c r="NO23" s="12">
        <f>ME23</f>
        <v/>
      </c>
      <c r="NP23" s="9">
        <f>NF23-NJ23-NK23-NL23-NM23-NN23-NO23</f>
        <v/>
      </c>
      <c r="NQ23" s="9">
        <f>NQ22+NC23-(NJ23+NK23+NL23+NM23+NN23+NO23+NH23)</f>
        <v/>
      </c>
      <c r="NR23" s="12">
        <f>IF(MW23&gt;0,MX23/MW23,0)</f>
        <v/>
      </c>
      <c r="NS23" s="11">
        <f>IF(MW22&gt;0,MAX(0,(MW22+MH23-MW23)/MW22),0)</f>
        <v/>
      </c>
      <c r="NU23" s="12" t="n">
        <v>19</v>
      </c>
      <c r="NV23" s="12">
        <f>MOD(NU23-1+LaunchMonth-1,12)+1</f>
        <v/>
      </c>
      <c r="NW23" s="12">
        <f>INT((NU23-1+LaunchMonth-1)/12)+1</f>
        <v/>
      </c>
      <c r="NX23" s="12">
        <f>VLOOKUP(NV23,SeasonTable,2,FALSE)</f>
        <v/>
      </c>
      <c r="NY23" s="12">
        <f>(1+InflationRate)^INT((NU23-1)/12)</f>
        <v/>
      </c>
      <c r="NZ23" s="11">
        <f>'Sens - Churn'!$A$18*VLOOKUP(NV23,ChurnSeasonTable,4,FALSE)</f>
        <v/>
      </c>
      <c r="OA23" s="12">
        <f>MIN(MAX(MktMin19plus,OY22*MktPct19plus),MAX(0,PM22-CashBuffer))</f>
        <v/>
      </c>
      <c r="OB23" s="12">
        <f>IF(OA23&gt;0,MAX(1,ROUND(OA23/CAC*NX23,0)),0)</f>
        <v/>
      </c>
      <c r="OC23" s="12">
        <f>IF(OB23&gt;0,ROUND(OB23*ReferralMix/(1-ReferralMix),0),0)</f>
        <v/>
      </c>
      <c r="OD23" s="12">
        <f>OB23+OC23</f>
        <v/>
      </c>
      <c r="OE23" s="12">
        <f>ROUND(OD23*(1-AnnualMix),0)</f>
        <v/>
      </c>
      <c r="OF23" s="12">
        <f>OD23-OE23</f>
        <v/>
      </c>
      <c r="OG23" s="12">
        <f>ROUND(OE23*EssentialMix,0)</f>
        <v/>
      </c>
      <c r="OH23" s="12">
        <f>ROUND(OE23*PremiumMix,0)</f>
        <v/>
      </c>
      <c r="OI23" s="12">
        <f>OE23-OG23-OH23</f>
        <v/>
      </c>
      <c r="OJ23" s="12">
        <f>ROUND(OF23*EssentialMix,0)</f>
        <v/>
      </c>
      <c r="OK23" s="12">
        <f>ROUND(OF23*PremiumMix,0)</f>
        <v/>
      </c>
      <c r="OL23" s="12">
        <f>OF23-OJ23-OK23</f>
        <v/>
      </c>
      <c r="OM23" s="12">
        <f>OG23+OG22+OG21+MAX(0,OM22-OG22-OG21)*(1-NZ23)</f>
        <v/>
      </c>
      <c r="ON23" s="12">
        <f>OH23+OH22+OH21+MAX(0,ON22-OH22-OH21)*(1-NZ23)</f>
        <v/>
      </c>
      <c r="OO23" s="12">
        <f>OI23+OI22+OI21+MAX(0,OO22-OI22-OI21)*(1-NZ23)</f>
        <v/>
      </c>
      <c r="OP23" s="12">
        <f>OP22+OJ23-OJ11*(AnnualChurn*VLOOKUP(NV23,ChurnSeasonTable,4,FALSE))*POWER(1-(AnnualChurn*VLOOKUP(NV23,ChurnSeasonTable,4,FALSE)),0)</f>
        <v/>
      </c>
      <c r="OQ23" s="12">
        <f>OQ22+OK23-OK11*(AnnualChurn*VLOOKUP(NV23,ChurnSeasonTable,4,FALSE))*POWER(1-(AnnualChurn*VLOOKUP(NV23,ChurnSeasonTable,4,FALSE)),0)</f>
        <v/>
      </c>
      <c r="OR23" s="12">
        <f>OR22+OL23-OL11*(AnnualChurn*VLOOKUP(NV23,ChurnSeasonTable,4,FALSE))*POWER(1-(AnnualChurn*VLOOKUP(NV23,ChurnSeasonTable,4,FALSE)),0)</f>
        <v/>
      </c>
      <c r="OS23" s="12">
        <f>OM23+ON23+OO23+OP23+OQ23+OR23</f>
        <v/>
      </c>
      <c r="OT23" s="9">
        <f>OM23*BlendedPriceEssMonthly*NY23+ON23*BlendedPricePremMonthly*NY23+OO23*BlendedPriceEliteMonthly*NY23+OP23*BlendedPriceEssAnnual*NY23/12+OQ23*BlendedPricePremAnnual*NY23/12+OR23*BlendedPriceEliteAnnual*NY23/12</f>
        <v/>
      </c>
      <c r="OU23" s="9">
        <f>OT23*12</f>
        <v/>
      </c>
      <c r="OV23" s="12">
        <f>OM23*BlendedPriceEssMonthly*NY23+ON23*BlendedPricePremMonthly*NY23+OO23*BlendedPriceEliteMonthly*NY23</f>
        <v/>
      </c>
      <c r="OW23" s="12">
        <f>OJ23*BlendedPriceEssAnnual*NY23+OK23*BlendedPricePremAnnual*NY23+OL23*BlendedPriceEliteAnnual*NY23</f>
        <v/>
      </c>
      <c r="OX23" s="12">
        <f>OJ11*POWER(1-(AnnualChurn*VLOOKUP(NV23,ChurnSeasonTable,4,FALSE)),1)*BlendedPriceEssAnnual*NY23+OK11*POWER(1-(AnnualChurn*VLOOKUP(NV23,ChurnSeasonTable,4,FALSE)),1)*BlendedPricePremAnnual*NY23+OL11*POWER(1-(AnnualChurn*VLOOKUP(NV23,ChurnSeasonTable,4,FALSE)),1)*BlendedPriceEliteAnnual*NY23</f>
        <v/>
      </c>
      <c r="OY23" s="9">
        <f>OV23+OW23+OX23</f>
        <v/>
      </c>
      <c r="OZ23" s="12">
        <f>SUM(OY12:OY23)</f>
        <v/>
      </c>
      <c r="PA23" s="12">
        <f>OR(PA22,IF(VATAgentMode,SUM($OY12:$OY23)-SUM($PF12:$PF23)&gt;=VATThreshold,SUM($OY12:$OY23)&gt;=VATThreshold))</f>
        <v/>
      </c>
      <c r="PB23" s="9">
        <f>IF(PA23,IF(VATAgentMode,OY23-((OY23-PF23)-(OY23-PF23)/(1+VATRate)),OY23/(1+VATRate)),OY23)</f>
        <v/>
      </c>
      <c r="PC23" s="12">
        <f>OY23-PB23</f>
        <v/>
      </c>
      <c r="PD23" s="12">
        <f>IF(PA23=0,0,IF(NV23=1,SUMPRODUCT(--(($NW$5:$NW23=$NW23-1)*($NV$5:$NV23&gt;=10)*($NV$5:$NV23&lt;=12)),$PC$5:$PC23),IF(NV23=4,SUMPRODUCT(--(($NW$5:$NW23=$NW23)*($NV$5:$NV23&gt;=1)*($NV$5:$NV23&lt;=3)),$PC$5:$PC23),IF(NV23=7,SUMPRODUCT(--(($NW$5:$NW23=$NW23)*($NV$5:$NV23&gt;=4)*($NV$5:$NV23&lt;=6)),$PC$5:$PC23),IF(NV23=10,SUMPRODUCT(--(($NW$5:$NW23=$NW23)*($NV$5:$NV23&gt;=7)*($NV$5:$NV23&lt;=9)),$PC$5:$PC23),0)))))</f>
        <v/>
      </c>
      <c r="PE23" s="12">
        <f>PE22+PC23-PD23</f>
        <v/>
      </c>
      <c r="PF23" s="12">
        <f>IF(ProviderDelay&gt;=1,OM22*BlendedProvPayEss+ON22*BlendedProvPayPrem+OO22*BlendedProvPayElite+OP22*BlendedProvPayEss+OQ22*BlendedProvPayPrem+OR22*BlendedProvPayElite,OM23*BlendedProvPayEss+ON23*BlendedProvPayPrem+OO23*BlendedProvPayElite+OP23*BlendedProvPayEss+OQ23*BlendedProvPayPrem+OR23*BlendedProvPayElite)</f>
        <v/>
      </c>
      <c r="PG23" s="12">
        <f>OY23*PaymentFee</f>
        <v/>
      </c>
      <c r="PH23" s="12">
        <f>OS23*OpsAI</f>
        <v/>
      </c>
      <c r="PI23" s="12">
        <f>MonthlyFixed</f>
        <v/>
      </c>
      <c r="PJ23" s="12">
        <f>OC23*ReferralReward</f>
        <v/>
      </c>
      <c r="PK23" s="12">
        <f>OA23</f>
        <v/>
      </c>
      <c r="PL23" s="9">
        <f>PB23-PF23-PG23-PH23-PI23-PJ23-PK23</f>
        <v/>
      </c>
      <c r="PM23" s="9">
        <f>PM22+OY23-(PF23+PG23+PH23+PI23+PJ23+PK23+PD23)</f>
        <v/>
      </c>
      <c r="PN23" s="12">
        <f>IF(OS23&gt;0,OT23/OS23,0)</f>
        <v/>
      </c>
      <c r="PO23" s="11">
        <f>IF(OS22&gt;0,MAX(0,(OS22+OD23-OS23)/OS22),0)</f>
        <v/>
      </c>
      <c r="PQ23" s="12" t="n">
        <v>19</v>
      </c>
      <c r="PR23" s="12">
        <f>MOD(PQ23-1+LaunchMonth-1,12)+1</f>
        <v/>
      </c>
      <c r="PS23" s="12">
        <f>INT((PQ23-1+LaunchMonth-1)/12)+1</f>
        <v/>
      </c>
      <c r="PT23" s="12">
        <f>VLOOKUP(PR23,SeasonTable,2,FALSE)</f>
        <v/>
      </c>
      <c r="PU23" s="12">
        <f>(1+InflationRate)^INT((PQ23-1)/12)</f>
        <v/>
      </c>
      <c r="PV23" s="11">
        <f>'Sens - Churn'!$A$19*VLOOKUP(PR23,ChurnSeasonTable,4,FALSE)</f>
        <v/>
      </c>
      <c r="PW23" s="12">
        <f>MIN(MAX(MktMin19plus,QU22*MktPct19plus),MAX(0,RI22-CashBuffer))</f>
        <v/>
      </c>
      <c r="PX23" s="12">
        <f>IF(PW23&gt;0,MAX(1,ROUND(PW23/CAC*PT23,0)),0)</f>
        <v/>
      </c>
      <c r="PY23" s="12">
        <f>IF(PX23&gt;0,ROUND(PX23*ReferralMix/(1-ReferralMix),0),0)</f>
        <v/>
      </c>
      <c r="PZ23" s="12">
        <f>PX23+PY23</f>
        <v/>
      </c>
      <c r="QA23" s="12">
        <f>ROUND(PZ23*(1-AnnualMix),0)</f>
        <v/>
      </c>
      <c r="QB23" s="12">
        <f>PZ23-QA23</f>
        <v/>
      </c>
      <c r="QC23" s="12">
        <f>ROUND(QA23*EssentialMix,0)</f>
        <v/>
      </c>
      <c r="QD23" s="12">
        <f>ROUND(QA23*PremiumMix,0)</f>
        <v/>
      </c>
      <c r="QE23" s="12">
        <f>QA23-QC23-QD23</f>
        <v/>
      </c>
      <c r="QF23" s="12">
        <f>ROUND(QB23*EssentialMix,0)</f>
        <v/>
      </c>
      <c r="QG23" s="12">
        <f>ROUND(QB23*PremiumMix,0)</f>
        <v/>
      </c>
      <c r="QH23" s="12">
        <f>QB23-QF23-QG23</f>
        <v/>
      </c>
      <c r="QI23" s="12">
        <f>QC23+QC22+QC21+MAX(0,QI22-QC22-QC21)*(1-PV23)</f>
        <v/>
      </c>
      <c r="QJ23" s="12">
        <f>QD23+QD22+QD21+MAX(0,QJ22-QD22-QD21)*(1-PV23)</f>
        <v/>
      </c>
      <c r="QK23" s="12">
        <f>QE23+QE22+QE21+MAX(0,QK22-QE22-QE21)*(1-PV23)</f>
        <v/>
      </c>
      <c r="QL23" s="12">
        <f>QL22+QF23-QF11*(AnnualChurn*VLOOKUP(PR23,ChurnSeasonTable,4,FALSE))*POWER(1-(AnnualChurn*VLOOKUP(PR23,ChurnSeasonTable,4,FALSE)),0)</f>
        <v/>
      </c>
      <c r="QM23" s="12">
        <f>QM22+QG23-QG11*(AnnualChurn*VLOOKUP(PR23,ChurnSeasonTable,4,FALSE))*POWER(1-(AnnualChurn*VLOOKUP(PR23,ChurnSeasonTable,4,FALSE)),0)</f>
        <v/>
      </c>
      <c r="QN23" s="12">
        <f>QN22+QH23-QH11*(AnnualChurn*VLOOKUP(PR23,ChurnSeasonTable,4,FALSE))*POWER(1-(AnnualChurn*VLOOKUP(PR23,ChurnSeasonTable,4,FALSE)),0)</f>
        <v/>
      </c>
      <c r="QO23" s="12">
        <f>QI23+QJ23+QK23+QL23+QM23+QN23</f>
        <v/>
      </c>
      <c r="QP23" s="9">
        <f>QI23*BlendedPriceEssMonthly*PU23+QJ23*BlendedPricePremMonthly*PU23+QK23*BlendedPriceEliteMonthly*PU23+QL23*BlendedPriceEssAnnual*PU23/12+QM23*BlendedPricePremAnnual*PU23/12+QN23*BlendedPriceEliteAnnual*PU23/12</f>
        <v/>
      </c>
      <c r="QQ23" s="9">
        <f>QP23*12</f>
        <v/>
      </c>
      <c r="QR23" s="12">
        <f>QI23*BlendedPriceEssMonthly*PU23+QJ23*BlendedPricePremMonthly*PU23+QK23*BlendedPriceEliteMonthly*PU23</f>
        <v/>
      </c>
      <c r="QS23" s="12">
        <f>QF23*BlendedPriceEssAnnual*PU23+QG23*BlendedPricePremAnnual*PU23+QH23*BlendedPriceEliteAnnual*PU23</f>
        <v/>
      </c>
      <c r="QT23" s="12">
        <f>QF11*POWER(1-(AnnualChurn*VLOOKUP(PR23,ChurnSeasonTable,4,FALSE)),1)*BlendedPriceEssAnnual*PU23+QG11*POWER(1-(AnnualChurn*VLOOKUP(PR23,ChurnSeasonTable,4,FALSE)),1)*BlendedPricePremAnnual*PU23+QH11*POWER(1-(AnnualChurn*VLOOKUP(PR23,ChurnSeasonTable,4,FALSE)),1)*BlendedPriceEliteAnnual*PU23</f>
        <v/>
      </c>
      <c r="QU23" s="9">
        <f>QR23+QS23+QT23</f>
        <v/>
      </c>
      <c r="QV23" s="12">
        <f>SUM(QU12:QU23)</f>
        <v/>
      </c>
      <c r="QW23" s="12">
        <f>OR(QW22,IF(VATAgentMode,SUM($QU12:$QU23)-SUM($RB12:$RB23)&gt;=VATThreshold,SUM($QU12:$QU23)&gt;=VATThreshold))</f>
        <v/>
      </c>
      <c r="QX23" s="9">
        <f>IF(QW23,IF(VATAgentMode,QU23-((QU23-RB23)-(QU23-RB23)/(1+VATRate)),QU23/(1+VATRate)),QU23)</f>
        <v/>
      </c>
      <c r="QY23" s="12">
        <f>QU23-QX23</f>
        <v/>
      </c>
      <c r="QZ23" s="12">
        <f>IF(QW23=0,0,IF(PR23=1,SUMPRODUCT(--(($PS$5:$PS23=$PS23-1)*($PR$5:$PR23&gt;=10)*($PR$5:$PR23&lt;=12)),$QY$5:$QY23),IF(PR23=4,SUMPRODUCT(--(($PS$5:$PS23=$PS23)*($PR$5:$PR23&gt;=1)*($PR$5:$PR23&lt;=3)),$QY$5:$QY23),IF(PR23=7,SUMPRODUCT(--(($PS$5:$PS23=$PS23)*($PR$5:$PR23&gt;=4)*($PR$5:$PR23&lt;=6)),$QY$5:$QY23),IF(PR23=10,SUMPRODUCT(--(($PS$5:$PS23=$PS23)*($PR$5:$PR23&gt;=7)*($PR$5:$PR23&lt;=9)),$QY$5:$QY23),0)))))</f>
        <v/>
      </c>
      <c r="RA23" s="12">
        <f>RA22+QY23-QZ23</f>
        <v/>
      </c>
      <c r="RB23" s="12">
        <f>IF(ProviderDelay&gt;=1,QI22*BlendedProvPayEss+QJ22*BlendedProvPayPrem+QK22*BlendedProvPayElite+QL22*BlendedProvPayEss+QM22*BlendedProvPayPrem+QN22*BlendedProvPayElite,QI23*BlendedProvPayEss+QJ23*BlendedProvPayPrem+QK23*BlendedProvPayElite+QL23*BlendedProvPayEss+QM23*BlendedProvPayPrem+QN23*BlendedProvPayElite)</f>
        <v/>
      </c>
      <c r="RC23" s="12">
        <f>QU23*PaymentFee</f>
        <v/>
      </c>
      <c r="RD23" s="12">
        <f>QO23*OpsAI</f>
        <v/>
      </c>
      <c r="RE23" s="12">
        <f>MonthlyFixed</f>
        <v/>
      </c>
      <c r="RF23" s="12">
        <f>PY23*ReferralReward</f>
        <v/>
      </c>
      <c r="RG23" s="12">
        <f>PW23</f>
        <v/>
      </c>
      <c r="RH23" s="9">
        <f>QX23-RB23-RC23-RD23-RE23-RF23-RG23</f>
        <v/>
      </c>
      <c r="RI23" s="9">
        <f>RI22+QU23-(RB23+RC23+RD23+RE23+RF23+RG23+QZ23)</f>
        <v/>
      </c>
      <c r="RJ23" s="12">
        <f>IF(QO23&gt;0,QP23/QO23,0)</f>
        <v/>
      </c>
      <c r="RK23" s="11">
        <f>IF(QO22&gt;0,MAX(0,(QO22+PZ23-QO23)/QO22),0)</f>
        <v/>
      </c>
      <c r="RM23" s="12" t="n">
        <v>19</v>
      </c>
      <c r="RN23" s="12">
        <f>MOD(RM23-1+LaunchMonth-1,12)+1</f>
        <v/>
      </c>
      <c r="RO23" s="12">
        <f>INT((RM23-1+LaunchMonth-1)/12)+1</f>
        <v/>
      </c>
      <c r="RP23" s="12">
        <f>VLOOKUP(RN23,SeasonTable,2,FALSE)</f>
        <v/>
      </c>
      <c r="RQ23" s="12">
        <f>(1+InflationRate)^INT((RM23-1)/12)</f>
        <v/>
      </c>
      <c r="RR23" s="11">
        <f>'Sens - Churn'!$A$20*VLOOKUP(RN23,ChurnSeasonTable,4,FALSE)</f>
        <v/>
      </c>
      <c r="RS23" s="12">
        <f>MIN(MAX(MktMin19plus,SQ22*MktPct19plus),MAX(0,TE22-CashBuffer))</f>
        <v/>
      </c>
      <c r="RT23" s="12">
        <f>IF(RS23&gt;0,MAX(1,ROUND(RS23/CAC*RP23,0)),0)</f>
        <v/>
      </c>
      <c r="RU23" s="12">
        <f>IF(RT23&gt;0,ROUND(RT23*ReferralMix/(1-ReferralMix),0),0)</f>
        <v/>
      </c>
      <c r="RV23" s="12">
        <f>RT23+RU23</f>
        <v/>
      </c>
      <c r="RW23" s="12">
        <f>ROUND(RV23*(1-AnnualMix),0)</f>
        <v/>
      </c>
      <c r="RX23" s="12">
        <f>RV23-RW23</f>
        <v/>
      </c>
      <c r="RY23" s="12">
        <f>ROUND(RW23*EssentialMix,0)</f>
        <v/>
      </c>
      <c r="RZ23" s="12">
        <f>ROUND(RW23*PremiumMix,0)</f>
        <v/>
      </c>
      <c r="SA23" s="12">
        <f>RW23-RY23-RZ23</f>
        <v/>
      </c>
      <c r="SB23" s="12">
        <f>ROUND(RX23*EssentialMix,0)</f>
        <v/>
      </c>
      <c r="SC23" s="12">
        <f>ROUND(RX23*PremiumMix,0)</f>
        <v/>
      </c>
      <c r="SD23" s="12">
        <f>RX23-SB23-SC23</f>
        <v/>
      </c>
      <c r="SE23" s="12">
        <f>RY23+RY22+RY21+MAX(0,SE22-RY22-RY21)*(1-RR23)</f>
        <v/>
      </c>
      <c r="SF23" s="12">
        <f>RZ23+RZ22+RZ21+MAX(0,SF22-RZ22-RZ21)*(1-RR23)</f>
        <v/>
      </c>
      <c r="SG23" s="12">
        <f>SA23+SA22+SA21+MAX(0,SG22-SA22-SA21)*(1-RR23)</f>
        <v/>
      </c>
      <c r="SH23" s="12">
        <f>SH22+SB23-SB11*(AnnualChurn*VLOOKUP(RN23,ChurnSeasonTable,4,FALSE))*POWER(1-(AnnualChurn*VLOOKUP(RN23,ChurnSeasonTable,4,FALSE)),0)</f>
        <v/>
      </c>
      <c r="SI23" s="12">
        <f>SI22+SC23-SC11*(AnnualChurn*VLOOKUP(RN23,ChurnSeasonTable,4,FALSE))*POWER(1-(AnnualChurn*VLOOKUP(RN23,ChurnSeasonTable,4,FALSE)),0)</f>
        <v/>
      </c>
      <c r="SJ23" s="12">
        <f>SJ22+SD23-SD11*(AnnualChurn*VLOOKUP(RN23,ChurnSeasonTable,4,FALSE))*POWER(1-(AnnualChurn*VLOOKUP(RN23,ChurnSeasonTable,4,FALSE)),0)</f>
        <v/>
      </c>
      <c r="SK23" s="12">
        <f>SE23+SF23+SG23+SH23+SI23+SJ23</f>
        <v/>
      </c>
      <c r="SL23" s="9">
        <f>SE23*BlendedPriceEssMonthly*RQ23+SF23*BlendedPricePremMonthly*RQ23+SG23*BlendedPriceEliteMonthly*RQ23+SH23*BlendedPriceEssAnnual*RQ23/12+SI23*BlendedPricePremAnnual*RQ23/12+SJ23*BlendedPriceEliteAnnual*RQ23/12</f>
        <v/>
      </c>
      <c r="SM23" s="9">
        <f>SL23*12</f>
        <v/>
      </c>
      <c r="SN23" s="12">
        <f>SE23*BlendedPriceEssMonthly*RQ23+SF23*BlendedPricePremMonthly*RQ23+SG23*BlendedPriceEliteMonthly*RQ23</f>
        <v/>
      </c>
      <c r="SO23" s="12">
        <f>SB23*BlendedPriceEssAnnual*RQ23+SC23*BlendedPricePremAnnual*RQ23+SD23*BlendedPriceEliteAnnual*RQ23</f>
        <v/>
      </c>
      <c r="SP23" s="12">
        <f>SB11*POWER(1-(AnnualChurn*VLOOKUP(RN23,ChurnSeasonTable,4,FALSE)),1)*BlendedPriceEssAnnual*RQ23+SC11*POWER(1-(AnnualChurn*VLOOKUP(RN23,ChurnSeasonTable,4,FALSE)),1)*BlendedPricePremAnnual*RQ23+SD11*POWER(1-(AnnualChurn*VLOOKUP(RN23,ChurnSeasonTable,4,FALSE)),1)*BlendedPriceEliteAnnual*RQ23</f>
        <v/>
      </c>
      <c r="SQ23" s="9">
        <f>SN23+SO23+SP23</f>
        <v/>
      </c>
      <c r="SR23" s="12">
        <f>SUM(SQ12:SQ23)</f>
        <v/>
      </c>
      <c r="SS23" s="12">
        <f>OR(SS22,IF(VATAgentMode,SUM($SQ12:$SQ23)-SUM($SX12:$SX23)&gt;=VATThreshold,SUM($SQ12:$SQ23)&gt;=VATThreshold))</f>
        <v/>
      </c>
      <c r="ST23" s="9">
        <f>IF(SS23,IF(VATAgentMode,SQ23-((SQ23-SX23)-(SQ23-SX23)/(1+VATRate)),SQ23/(1+VATRate)),SQ23)</f>
        <v/>
      </c>
      <c r="SU23" s="12">
        <f>SQ23-ST23</f>
        <v/>
      </c>
      <c r="SV23" s="12">
        <f>IF(SS23=0,0,IF(RN23=1,SUMPRODUCT(--(($RO$5:$RO23=$RO23-1)*($RN$5:$RN23&gt;=10)*($RN$5:$RN23&lt;=12)),$SU$5:$SU23),IF(RN23=4,SUMPRODUCT(--(($RO$5:$RO23=$RO23)*($RN$5:$RN23&gt;=1)*($RN$5:$RN23&lt;=3)),$SU$5:$SU23),IF(RN23=7,SUMPRODUCT(--(($RO$5:$RO23=$RO23)*($RN$5:$RN23&gt;=4)*($RN$5:$RN23&lt;=6)),$SU$5:$SU23),IF(RN23=10,SUMPRODUCT(--(($RO$5:$RO23=$RO23)*($RN$5:$RN23&gt;=7)*($RN$5:$RN23&lt;=9)),$SU$5:$SU23),0)))))</f>
        <v/>
      </c>
      <c r="SW23" s="12">
        <f>SW22+SU23-SV23</f>
        <v/>
      </c>
      <c r="SX23" s="12">
        <f>IF(ProviderDelay&gt;=1,SE22*BlendedProvPayEss+SF22*BlendedProvPayPrem+SG22*BlendedProvPayElite+SH22*BlendedProvPayEss+SI22*BlendedProvPayPrem+SJ22*BlendedProvPayElite,SE23*BlendedProvPayEss+SF23*BlendedProvPayPrem+SG23*BlendedProvPayElite+SH23*BlendedProvPayEss+SI23*BlendedProvPayPrem+SJ23*BlendedProvPayElite)</f>
        <v/>
      </c>
      <c r="SY23" s="12">
        <f>SQ23*PaymentFee</f>
        <v/>
      </c>
      <c r="SZ23" s="12">
        <f>SK23*OpsAI</f>
        <v/>
      </c>
      <c r="TA23" s="12">
        <f>MonthlyFixed</f>
        <v/>
      </c>
      <c r="TB23" s="12">
        <f>RU23*ReferralReward</f>
        <v/>
      </c>
      <c r="TC23" s="12">
        <f>RS23</f>
        <v/>
      </c>
      <c r="TD23" s="9">
        <f>ST23-SX23-SY23-SZ23-TA23-TB23-TC23</f>
        <v/>
      </c>
      <c r="TE23" s="9">
        <f>TE22+SQ23-(SX23+SY23+SZ23+TA23+TB23+TC23+SV23)</f>
        <v/>
      </c>
      <c r="TF23" s="12">
        <f>IF(SK23&gt;0,SL23/SK23,0)</f>
        <v/>
      </c>
      <c r="TG23" s="11">
        <f>IF(SK22&gt;0,MAX(0,(SK22+RV23-SK23)/SK22),0)</f>
        <v/>
      </c>
      <c r="TI23" s="12" t="n">
        <v>19</v>
      </c>
      <c r="TJ23" s="12">
        <f>MOD(TI23-1+LaunchMonth-1,12)+1</f>
        <v/>
      </c>
      <c r="TK23" s="12">
        <f>INT((TI23-1+LaunchMonth-1)/12)+1</f>
        <v/>
      </c>
      <c r="TL23" s="12">
        <f>VLOOKUP(TJ23,SeasonTable,2,FALSE)</f>
        <v/>
      </c>
      <c r="TM23" s="12">
        <f>(1+InflationRate)^INT((TI23-1)/12)</f>
        <v/>
      </c>
      <c r="TN23" s="11">
        <f>'Sens - Churn'!$A$21*VLOOKUP(TJ23,ChurnSeasonTable,4,FALSE)</f>
        <v/>
      </c>
      <c r="TO23" s="12">
        <f>MIN(MAX(MktMin19plus,UM22*MktPct19plus),MAX(0,VA22-CashBuffer))</f>
        <v/>
      </c>
      <c r="TP23" s="12">
        <f>IF(TO23&gt;0,MAX(1,ROUND(TO23/CAC*TL23,0)),0)</f>
        <v/>
      </c>
      <c r="TQ23" s="12">
        <f>IF(TP23&gt;0,ROUND(TP23*ReferralMix/(1-ReferralMix),0),0)</f>
        <v/>
      </c>
      <c r="TR23" s="12">
        <f>TP23+TQ23</f>
        <v/>
      </c>
      <c r="TS23" s="12">
        <f>ROUND(TR23*(1-AnnualMix),0)</f>
        <v/>
      </c>
      <c r="TT23" s="12">
        <f>TR23-TS23</f>
        <v/>
      </c>
      <c r="TU23" s="12">
        <f>ROUND(TS23*EssentialMix,0)</f>
        <v/>
      </c>
      <c r="TV23" s="12">
        <f>ROUND(TS23*PremiumMix,0)</f>
        <v/>
      </c>
      <c r="TW23" s="12">
        <f>TS23-TU23-TV23</f>
        <v/>
      </c>
      <c r="TX23" s="12">
        <f>ROUND(TT23*EssentialMix,0)</f>
        <v/>
      </c>
      <c r="TY23" s="12">
        <f>ROUND(TT23*PremiumMix,0)</f>
        <v/>
      </c>
      <c r="TZ23" s="12">
        <f>TT23-TX23-TY23</f>
        <v/>
      </c>
      <c r="UA23" s="12">
        <f>TU23+TU22+TU21+MAX(0,UA22-TU22-TU21)*(1-TN23)</f>
        <v/>
      </c>
      <c r="UB23" s="12">
        <f>TV23+TV22+TV21+MAX(0,UB22-TV22-TV21)*(1-TN23)</f>
        <v/>
      </c>
      <c r="UC23" s="12">
        <f>TW23+TW22+TW21+MAX(0,UC22-TW22-TW21)*(1-TN23)</f>
        <v/>
      </c>
      <c r="UD23" s="12">
        <f>UD22+TX23-TX11*(AnnualChurn*VLOOKUP(TJ23,ChurnSeasonTable,4,FALSE))*POWER(1-(AnnualChurn*VLOOKUP(TJ23,ChurnSeasonTable,4,FALSE)),0)</f>
        <v/>
      </c>
      <c r="UE23" s="12">
        <f>UE22+TY23-TY11*(AnnualChurn*VLOOKUP(TJ23,ChurnSeasonTable,4,FALSE))*POWER(1-(AnnualChurn*VLOOKUP(TJ23,ChurnSeasonTable,4,FALSE)),0)</f>
        <v/>
      </c>
      <c r="UF23" s="12">
        <f>UF22+TZ23-TZ11*(AnnualChurn*VLOOKUP(TJ23,ChurnSeasonTable,4,FALSE))*POWER(1-(AnnualChurn*VLOOKUP(TJ23,ChurnSeasonTable,4,FALSE)),0)</f>
        <v/>
      </c>
      <c r="UG23" s="12">
        <f>UA23+UB23+UC23+UD23+UE23+UF23</f>
        <v/>
      </c>
      <c r="UH23" s="9">
        <f>UA23*BlendedPriceEssMonthly*TM23+UB23*BlendedPricePremMonthly*TM23+UC23*BlendedPriceEliteMonthly*TM23+UD23*BlendedPriceEssAnnual*TM23/12+UE23*BlendedPricePremAnnual*TM23/12+UF23*BlendedPriceEliteAnnual*TM23/12</f>
        <v/>
      </c>
      <c r="UI23" s="9">
        <f>UH23*12</f>
        <v/>
      </c>
      <c r="UJ23" s="12">
        <f>UA23*BlendedPriceEssMonthly*TM23+UB23*BlendedPricePremMonthly*TM23+UC23*BlendedPriceEliteMonthly*TM23</f>
        <v/>
      </c>
      <c r="UK23" s="12">
        <f>TX23*BlendedPriceEssAnnual*TM23+TY23*BlendedPricePremAnnual*TM23+TZ23*BlendedPriceEliteAnnual*TM23</f>
        <v/>
      </c>
      <c r="UL23" s="12">
        <f>TX11*POWER(1-(AnnualChurn*VLOOKUP(TJ23,ChurnSeasonTable,4,FALSE)),1)*BlendedPriceEssAnnual*TM23+TY11*POWER(1-(AnnualChurn*VLOOKUP(TJ23,ChurnSeasonTable,4,FALSE)),1)*BlendedPricePremAnnual*TM23+TZ11*POWER(1-(AnnualChurn*VLOOKUP(TJ23,ChurnSeasonTable,4,FALSE)),1)*BlendedPriceEliteAnnual*TM23</f>
        <v/>
      </c>
      <c r="UM23" s="9">
        <f>UJ23+UK23+UL23</f>
        <v/>
      </c>
      <c r="UN23" s="12">
        <f>SUM(UM12:UM23)</f>
        <v/>
      </c>
      <c r="UO23" s="12">
        <f>OR(UO22,IF(VATAgentMode,SUM($UM12:$UM23)-SUM($UT12:$UT23)&gt;=VATThreshold,SUM($UM12:$UM23)&gt;=VATThreshold))</f>
        <v/>
      </c>
      <c r="UP23" s="9">
        <f>IF(UO23,IF(VATAgentMode,UM23-((UM23-UT23)-(UM23-UT23)/(1+VATRate)),UM23/(1+VATRate)),UM23)</f>
        <v/>
      </c>
      <c r="UQ23" s="12">
        <f>UM23-UP23</f>
        <v/>
      </c>
      <c r="UR23" s="12">
        <f>IF(UO23=0,0,IF(TJ23=1,SUMPRODUCT(--(($TK$5:$TK23=$TK23-1)*($TJ$5:$TJ23&gt;=10)*($TJ$5:$TJ23&lt;=12)),$UQ$5:$UQ23),IF(TJ23=4,SUMPRODUCT(--(($TK$5:$TK23=$TK23)*($TJ$5:$TJ23&gt;=1)*($TJ$5:$TJ23&lt;=3)),$UQ$5:$UQ23),IF(TJ23=7,SUMPRODUCT(--(($TK$5:$TK23=$TK23)*($TJ$5:$TJ23&gt;=4)*($TJ$5:$TJ23&lt;=6)),$UQ$5:$UQ23),IF(TJ23=10,SUMPRODUCT(--(($TK$5:$TK23=$TK23)*($TJ$5:$TJ23&gt;=7)*($TJ$5:$TJ23&lt;=9)),$UQ$5:$UQ23),0)))))</f>
        <v/>
      </c>
      <c r="US23" s="12">
        <f>US22+UQ23-UR23</f>
        <v/>
      </c>
      <c r="UT23" s="12">
        <f>IF(ProviderDelay&gt;=1,UA22*BlendedProvPayEss+UB22*BlendedProvPayPrem+UC22*BlendedProvPayElite+UD22*BlendedProvPayEss+UE22*BlendedProvPayPrem+UF22*BlendedProvPayElite,UA23*BlendedProvPayEss+UB23*BlendedProvPayPrem+UC23*BlendedProvPayElite+UD23*BlendedProvPayEss+UE23*BlendedProvPayPrem+UF23*BlendedProvPayElite)</f>
        <v/>
      </c>
      <c r="UU23" s="12">
        <f>UM23*PaymentFee</f>
        <v/>
      </c>
      <c r="UV23" s="12">
        <f>UG23*OpsAI</f>
        <v/>
      </c>
      <c r="UW23" s="12">
        <f>MonthlyFixed</f>
        <v/>
      </c>
      <c r="UX23" s="12">
        <f>TQ23*ReferralReward</f>
        <v/>
      </c>
      <c r="UY23" s="12">
        <f>TO23</f>
        <v/>
      </c>
      <c r="UZ23" s="9">
        <f>UP23-UT23-UU23-UV23-UW23-UX23-UY23</f>
        <v/>
      </c>
      <c r="VA23" s="9">
        <f>VA22+UM23-(UT23+UU23+UV23+UW23+UX23+UY23+UR23)</f>
        <v/>
      </c>
      <c r="VB23" s="12">
        <f>IF(UG23&gt;0,UH23/UG23,0)</f>
        <v/>
      </c>
      <c r="VC23" s="11">
        <f>IF(UG22&gt;0,MAX(0,(UG22+TR23-UG23)/UG22),0)</f>
        <v/>
      </c>
      <c r="VE23" s="12" t="n">
        <v>19</v>
      </c>
      <c r="VF23" s="12">
        <f>MOD(VE23-1+LaunchMonth-1,12)+1</f>
        <v/>
      </c>
      <c r="VG23" s="12">
        <f>INT((VE23-1+LaunchMonth-1)/12)+1</f>
        <v/>
      </c>
      <c r="VH23" s="12">
        <f>VLOOKUP(VF23,SeasonTable,2,FALSE)</f>
        <v/>
      </c>
      <c r="VI23" s="12">
        <f>(1+InflationRate)^INT((VE23-1)/12)</f>
        <v/>
      </c>
      <c r="VJ23" s="11">
        <f>MonthlyChurn*VLOOKUP(VF23,ChurnSeasonTable,4,FALSE)</f>
        <v/>
      </c>
      <c r="VK23" s="12">
        <f>MIN(MAX(MktMin19plus,WI22*MktPct19plus),MAX(0,WW22-CashBuffer))</f>
        <v/>
      </c>
      <c r="VL23" s="12">
        <f>IF(VK23&gt;0,MAX(1,ROUND(VK23/CAC*VH23,0)),0)</f>
        <v/>
      </c>
      <c r="VM23" s="12">
        <f>IF(VL23&gt;0,ROUND(VL23*ReferralMix/(1-ReferralMix),0),0)</f>
        <v/>
      </c>
      <c r="VN23" s="12">
        <f>VL23+VM23</f>
        <v/>
      </c>
      <c r="VO23" s="12">
        <f>ROUND(VN23*(1-'Sens - Annual Mix'!$A$9),0)</f>
        <v/>
      </c>
      <c r="VP23" s="12">
        <f>VN23-VO23</f>
        <v/>
      </c>
      <c r="VQ23" s="12">
        <f>ROUND(VO23*EssentialMix,0)</f>
        <v/>
      </c>
      <c r="VR23" s="12">
        <f>ROUND(VO23*PremiumMix,0)</f>
        <v/>
      </c>
      <c r="VS23" s="12">
        <f>VO23-VQ23-VR23</f>
        <v/>
      </c>
      <c r="VT23" s="12">
        <f>ROUND(VP23*EssentialMix,0)</f>
        <v/>
      </c>
      <c r="VU23" s="12">
        <f>ROUND(VP23*PremiumMix,0)</f>
        <v/>
      </c>
      <c r="VV23" s="12">
        <f>VP23-VT23-VU23</f>
        <v/>
      </c>
      <c r="VW23" s="12">
        <f>VQ23+VQ22+VQ21+MAX(0,VW22-VQ22-VQ21)*(1-VJ23)</f>
        <v/>
      </c>
      <c r="VX23" s="12">
        <f>VR23+VR22+VR21+MAX(0,VX22-VR22-VR21)*(1-VJ23)</f>
        <v/>
      </c>
      <c r="VY23" s="12">
        <f>VS23+VS22+VS21+MAX(0,VY22-VS22-VS21)*(1-VJ23)</f>
        <v/>
      </c>
      <c r="VZ23" s="12">
        <f>VZ22+VT23-VT11*(AnnualChurn*VLOOKUP(VF23,ChurnSeasonTable,4,FALSE))*POWER(1-(AnnualChurn*VLOOKUP(VF23,ChurnSeasonTable,4,FALSE)),0)</f>
        <v/>
      </c>
      <c r="WA23" s="12">
        <f>WA22+VU23-VU11*(AnnualChurn*VLOOKUP(VF23,ChurnSeasonTable,4,FALSE))*POWER(1-(AnnualChurn*VLOOKUP(VF23,ChurnSeasonTable,4,FALSE)),0)</f>
        <v/>
      </c>
      <c r="WB23" s="12">
        <f>WB22+VV23-VV11*(AnnualChurn*VLOOKUP(VF23,ChurnSeasonTable,4,FALSE))*POWER(1-(AnnualChurn*VLOOKUP(VF23,ChurnSeasonTable,4,FALSE)),0)</f>
        <v/>
      </c>
      <c r="WC23" s="12">
        <f>VW23+VX23+VY23+VZ23+WA23+WB23</f>
        <v/>
      </c>
      <c r="WD23" s="9">
        <f>VW23*BlendedPriceEssMonthly*VI23+VX23*BlendedPricePremMonthly*VI23+VY23*BlendedPriceEliteMonthly*VI23+VZ23*BlendedPriceEssAnnual*VI23/12+WA23*BlendedPricePremAnnual*VI23/12+WB23*BlendedPriceEliteAnnual*VI23/12</f>
        <v/>
      </c>
      <c r="WE23" s="9">
        <f>WD23*12</f>
        <v/>
      </c>
      <c r="WF23" s="12">
        <f>VW23*BlendedPriceEssMonthly*VI23+VX23*BlendedPricePremMonthly*VI23+VY23*BlendedPriceEliteMonthly*VI23</f>
        <v/>
      </c>
      <c r="WG23" s="12">
        <f>VT23*BlendedPriceEssAnnual*VI23+VU23*BlendedPricePremAnnual*VI23+VV23*BlendedPriceEliteAnnual*VI23</f>
        <v/>
      </c>
      <c r="WH23" s="12">
        <f>VT11*POWER(1-(AnnualChurn*VLOOKUP(VF23,ChurnSeasonTable,4,FALSE)),1)*BlendedPriceEssAnnual*VI23+VU11*POWER(1-(AnnualChurn*VLOOKUP(VF23,ChurnSeasonTable,4,FALSE)),1)*BlendedPricePremAnnual*VI23+VV11*POWER(1-(AnnualChurn*VLOOKUP(VF23,ChurnSeasonTable,4,FALSE)),1)*BlendedPriceEliteAnnual*VI23</f>
        <v/>
      </c>
      <c r="WI23" s="9">
        <f>WF23+WG23+WH23</f>
        <v/>
      </c>
      <c r="WJ23" s="12">
        <f>SUM(WI12:WI23)</f>
        <v/>
      </c>
      <c r="WK23" s="12">
        <f>OR(WK22,IF(VATAgentMode,SUM($WI12:$WI23)-SUM($WP12:$WP23)&gt;=VATThreshold,SUM($WI12:$WI23)&gt;=VATThreshold))</f>
        <v/>
      </c>
      <c r="WL23" s="9">
        <f>IF(WK23,IF(VATAgentMode,WI23-((WI23-WP23)-(WI23-WP23)/(1+VATRate)),WI23/(1+VATRate)),WI23)</f>
        <v/>
      </c>
      <c r="WM23" s="12">
        <f>WI23-WL23</f>
        <v/>
      </c>
      <c r="WN23" s="12">
        <f>IF(WK23=0,0,IF(VF23=1,SUMPRODUCT(--(($VG$5:$VG23=$VG23-1)*($VF$5:$VF23&gt;=10)*($VF$5:$VF23&lt;=12)),$WM$5:$WM23),IF(VF23=4,SUMPRODUCT(--(($VG$5:$VG23=$VG23)*($VF$5:$VF23&gt;=1)*($VF$5:$VF23&lt;=3)),$WM$5:$WM23),IF(VF23=7,SUMPRODUCT(--(($VG$5:$VG23=$VG23)*($VF$5:$VF23&gt;=4)*($VF$5:$VF23&lt;=6)),$WM$5:$WM23),IF(VF23=10,SUMPRODUCT(--(($VG$5:$VG23=$VG23)*($VF$5:$VF23&gt;=7)*($VF$5:$VF23&lt;=9)),$WM$5:$WM23),0)))))</f>
        <v/>
      </c>
      <c r="WO23" s="12">
        <f>WO22+WM23-WN23</f>
        <v/>
      </c>
      <c r="WP23" s="12">
        <f>IF(ProviderDelay&gt;=1,VW22*BlendedProvPayEss+VX22*BlendedProvPayPrem+VY22*BlendedProvPayElite+VZ22*BlendedProvPayEss+WA22*BlendedProvPayPrem+WB22*BlendedProvPayElite,VW23*BlendedProvPayEss+VX23*BlendedProvPayPrem+VY23*BlendedProvPayElite+VZ23*BlendedProvPayEss+WA23*BlendedProvPayPrem+WB23*BlendedProvPayElite)</f>
        <v/>
      </c>
      <c r="WQ23" s="12">
        <f>WI23*PaymentFee</f>
        <v/>
      </c>
      <c r="WR23" s="12">
        <f>WC23*OpsAI</f>
        <v/>
      </c>
      <c r="WS23" s="12">
        <f>MonthlyFixed</f>
        <v/>
      </c>
      <c r="WT23" s="12">
        <f>VM23*ReferralReward</f>
        <v/>
      </c>
      <c r="WU23" s="12">
        <f>VK23</f>
        <v/>
      </c>
      <c r="WV23" s="9">
        <f>WL23-WP23-WQ23-WR23-WS23-WT23-WU23</f>
        <v/>
      </c>
      <c r="WW23" s="9">
        <f>WW22+WI23-(WP23+WQ23+WR23+WS23+WT23+WU23+WN23)</f>
        <v/>
      </c>
      <c r="WX23" s="12">
        <f>IF(WC23&gt;0,WD23/WC23,0)</f>
        <v/>
      </c>
      <c r="WY23" s="11">
        <f>IF(WC22&gt;0,MAX(0,(WC22+VN23-WC23)/WC22),0)</f>
        <v/>
      </c>
      <c r="XA23" s="12" t="n">
        <v>19</v>
      </c>
      <c r="XB23" s="12">
        <f>MOD(XA23-1+LaunchMonth-1,12)+1</f>
        <v/>
      </c>
      <c r="XC23" s="12">
        <f>INT((XA23-1+LaunchMonth-1)/12)+1</f>
        <v/>
      </c>
      <c r="XD23" s="12">
        <f>VLOOKUP(XB23,SeasonTable,2,FALSE)</f>
        <v/>
      </c>
      <c r="XE23" s="12">
        <f>(1+InflationRate)^INT((XA23-1)/12)</f>
        <v/>
      </c>
      <c r="XF23" s="11">
        <f>MonthlyChurn*VLOOKUP(XB23,ChurnSeasonTable,4,FALSE)</f>
        <v/>
      </c>
      <c r="XG23" s="12">
        <f>MIN(MAX(MktMin19plus,YE22*MktPct19plus),MAX(0,YS22-CashBuffer))</f>
        <v/>
      </c>
      <c r="XH23" s="12">
        <f>IF(XG23&gt;0,MAX(1,ROUND(XG23/CAC*XD23,0)),0)</f>
        <v/>
      </c>
      <c r="XI23" s="12">
        <f>IF(XH23&gt;0,ROUND(XH23*ReferralMix/(1-ReferralMix),0),0)</f>
        <v/>
      </c>
      <c r="XJ23" s="12">
        <f>XH23+XI23</f>
        <v/>
      </c>
      <c r="XK23" s="12">
        <f>ROUND(XJ23*(1-'Sens - Annual Mix'!$A$10),0)</f>
        <v/>
      </c>
      <c r="XL23" s="12">
        <f>XJ23-XK23</f>
        <v/>
      </c>
      <c r="XM23" s="12">
        <f>ROUND(XK23*EssentialMix,0)</f>
        <v/>
      </c>
      <c r="XN23" s="12">
        <f>ROUND(XK23*PremiumMix,0)</f>
        <v/>
      </c>
      <c r="XO23" s="12">
        <f>XK23-XM23-XN23</f>
        <v/>
      </c>
      <c r="XP23" s="12">
        <f>ROUND(XL23*EssentialMix,0)</f>
        <v/>
      </c>
      <c r="XQ23" s="12">
        <f>ROUND(XL23*PremiumMix,0)</f>
        <v/>
      </c>
      <c r="XR23" s="12">
        <f>XL23-XP23-XQ23</f>
        <v/>
      </c>
      <c r="XS23" s="12">
        <f>XM23+XM22+XM21+MAX(0,XS22-XM22-XM21)*(1-XF23)</f>
        <v/>
      </c>
      <c r="XT23" s="12">
        <f>XN23+XN22+XN21+MAX(0,XT22-XN22-XN21)*(1-XF23)</f>
        <v/>
      </c>
      <c r="XU23" s="12">
        <f>XO23+XO22+XO21+MAX(0,XU22-XO22-XO21)*(1-XF23)</f>
        <v/>
      </c>
      <c r="XV23" s="12">
        <f>XV22+XP23-XP11*(AnnualChurn*VLOOKUP(XB23,ChurnSeasonTable,4,FALSE))*POWER(1-(AnnualChurn*VLOOKUP(XB23,ChurnSeasonTable,4,FALSE)),0)</f>
        <v/>
      </c>
      <c r="XW23" s="12">
        <f>XW22+XQ23-XQ11*(AnnualChurn*VLOOKUP(XB23,ChurnSeasonTable,4,FALSE))*POWER(1-(AnnualChurn*VLOOKUP(XB23,ChurnSeasonTable,4,FALSE)),0)</f>
        <v/>
      </c>
      <c r="XX23" s="12">
        <f>XX22+XR23-XR11*(AnnualChurn*VLOOKUP(XB23,ChurnSeasonTable,4,FALSE))*POWER(1-(AnnualChurn*VLOOKUP(XB23,ChurnSeasonTable,4,FALSE)),0)</f>
        <v/>
      </c>
      <c r="XY23" s="12">
        <f>XS23+XT23+XU23+XV23+XW23+XX23</f>
        <v/>
      </c>
      <c r="XZ23" s="9">
        <f>XS23*BlendedPriceEssMonthly*XE23+XT23*BlendedPricePremMonthly*XE23+XU23*BlendedPriceEliteMonthly*XE23+XV23*BlendedPriceEssAnnual*XE23/12+XW23*BlendedPricePremAnnual*XE23/12+XX23*BlendedPriceEliteAnnual*XE23/12</f>
        <v/>
      </c>
      <c r="YA23" s="9">
        <f>XZ23*12</f>
        <v/>
      </c>
      <c r="YB23" s="12">
        <f>XS23*BlendedPriceEssMonthly*XE23+XT23*BlendedPricePremMonthly*XE23+XU23*BlendedPriceEliteMonthly*XE23</f>
        <v/>
      </c>
      <c r="YC23" s="12">
        <f>XP23*BlendedPriceEssAnnual*XE23+XQ23*BlendedPricePremAnnual*XE23+XR23*BlendedPriceEliteAnnual*XE23</f>
        <v/>
      </c>
      <c r="YD23" s="12">
        <f>XP11*POWER(1-(AnnualChurn*VLOOKUP(XB23,ChurnSeasonTable,4,FALSE)),1)*BlendedPriceEssAnnual*XE23+XQ11*POWER(1-(AnnualChurn*VLOOKUP(XB23,ChurnSeasonTable,4,FALSE)),1)*BlendedPricePremAnnual*XE23+XR11*POWER(1-(AnnualChurn*VLOOKUP(XB23,ChurnSeasonTable,4,FALSE)),1)*BlendedPriceEliteAnnual*XE23</f>
        <v/>
      </c>
      <c r="YE23" s="9">
        <f>YB23+YC23+YD23</f>
        <v/>
      </c>
      <c r="YF23" s="12">
        <f>SUM(YE12:YE23)</f>
        <v/>
      </c>
      <c r="YG23" s="12">
        <f>OR(YG22,IF(VATAgentMode,SUM($YE12:$YE23)-SUM($YL12:$YL23)&gt;=VATThreshold,SUM($YE12:$YE23)&gt;=VATThreshold))</f>
        <v/>
      </c>
      <c r="YH23" s="9">
        <f>IF(YG23,IF(VATAgentMode,YE23-((YE23-YL23)-(YE23-YL23)/(1+VATRate)),YE23/(1+VATRate)),YE23)</f>
        <v/>
      </c>
      <c r="YI23" s="12">
        <f>YE23-YH23</f>
        <v/>
      </c>
      <c r="YJ23" s="12">
        <f>IF(YG23=0,0,IF(XB23=1,SUMPRODUCT(--(($XC$5:$XC23=$XC23-1)*($XB$5:$XB23&gt;=10)*($XB$5:$XB23&lt;=12)),$YI$5:$YI23),IF(XB23=4,SUMPRODUCT(--(($XC$5:$XC23=$XC23)*($XB$5:$XB23&gt;=1)*($XB$5:$XB23&lt;=3)),$YI$5:$YI23),IF(XB23=7,SUMPRODUCT(--(($XC$5:$XC23=$XC23)*($XB$5:$XB23&gt;=4)*($XB$5:$XB23&lt;=6)),$YI$5:$YI23),IF(XB23=10,SUMPRODUCT(--(($XC$5:$XC23=$XC23)*($XB$5:$XB23&gt;=7)*($XB$5:$XB23&lt;=9)),$YI$5:$YI23),0)))))</f>
        <v/>
      </c>
      <c r="YK23" s="12">
        <f>YK22+YI23-YJ23</f>
        <v/>
      </c>
      <c r="YL23" s="12">
        <f>IF(ProviderDelay&gt;=1,XS22*BlendedProvPayEss+XT22*BlendedProvPayPrem+XU22*BlendedProvPayElite+XV22*BlendedProvPayEss+XW22*BlendedProvPayPrem+XX22*BlendedProvPayElite,XS23*BlendedProvPayEss+XT23*BlendedProvPayPrem+XU23*BlendedProvPayElite+XV23*BlendedProvPayEss+XW23*BlendedProvPayPrem+XX23*BlendedProvPayElite)</f>
        <v/>
      </c>
      <c r="YM23" s="12">
        <f>YE23*PaymentFee</f>
        <v/>
      </c>
      <c r="YN23" s="12">
        <f>XY23*OpsAI</f>
        <v/>
      </c>
      <c r="YO23" s="12">
        <f>MonthlyFixed</f>
        <v/>
      </c>
      <c r="YP23" s="12">
        <f>XI23*ReferralReward</f>
        <v/>
      </c>
      <c r="YQ23" s="12">
        <f>XG23</f>
        <v/>
      </c>
      <c r="YR23" s="9">
        <f>YH23-YL23-YM23-YN23-YO23-YP23-YQ23</f>
        <v/>
      </c>
      <c r="YS23" s="9">
        <f>YS22+YE23-(YL23+YM23+YN23+YO23+YP23+YQ23+YJ23)</f>
        <v/>
      </c>
      <c r="YT23" s="12">
        <f>IF(XY23&gt;0,XZ23/XY23,0)</f>
        <v/>
      </c>
      <c r="YU23" s="11">
        <f>IF(XY22&gt;0,MAX(0,(XY22+XJ23-XY23)/XY22),0)</f>
        <v/>
      </c>
      <c r="YW23" s="12" t="n">
        <v>19</v>
      </c>
      <c r="YX23" s="12">
        <f>MOD(YW23-1+LaunchMonth-1,12)+1</f>
        <v/>
      </c>
      <c r="YY23" s="12">
        <f>INT((YW23-1+LaunchMonth-1)/12)+1</f>
        <v/>
      </c>
      <c r="YZ23" s="12">
        <f>VLOOKUP(YX23,SeasonTable,2,FALSE)</f>
        <v/>
      </c>
      <c r="ZA23" s="12">
        <f>(1+InflationRate)^INT((YW23-1)/12)</f>
        <v/>
      </c>
      <c r="ZB23" s="11">
        <f>MonthlyChurn*VLOOKUP(YX23,ChurnSeasonTable,4,FALSE)</f>
        <v/>
      </c>
      <c r="ZC23" s="12">
        <f>MIN(MAX(MktMin19plus,AAA22*MktPct19plus),MAX(0,AAO22-CashBuffer))</f>
        <v/>
      </c>
      <c r="ZD23" s="12">
        <f>IF(ZC23&gt;0,MAX(1,ROUND(ZC23/CAC*YZ23,0)),0)</f>
        <v/>
      </c>
      <c r="ZE23" s="12">
        <f>IF(ZD23&gt;0,ROUND(ZD23*ReferralMix/(1-ReferralMix),0),0)</f>
        <v/>
      </c>
      <c r="ZF23" s="12">
        <f>ZD23+ZE23</f>
        <v/>
      </c>
      <c r="ZG23" s="12">
        <f>ROUND(ZF23*(1-'Sens - Annual Mix'!$A$11),0)</f>
        <v/>
      </c>
      <c r="ZH23" s="12">
        <f>ZF23-ZG23</f>
        <v/>
      </c>
      <c r="ZI23" s="12">
        <f>ROUND(ZG23*EssentialMix,0)</f>
        <v/>
      </c>
      <c r="ZJ23" s="12">
        <f>ROUND(ZG23*PremiumMix,0)</f>
        <v/>
      </c>
      <c r="ZK23" s="12">
        <f>ZG23-ZI23-ZJ23</f>
        <v/>
      </c>
      <c r="ZL23" s="12">
        <f>ROUND(ZH23*EssentialMix,0)</f>
        <v/>
      </c>
      <c r="ZM23" s="12">
        <f>ROUND(ZH23*PremiumMix,0)</f>
        <v/>
      </c>
      <c r="ZN23" s="12">
        <f>ZH23-ZL23-ZM23</f>
        <v/>
      </c>
      <c r="ZO23" s="12">
        <f>ZI23+ZI22+ZI21+MAX(0,ZO22-ZI22-ZI21)*(1-ZB23)</f>
        <v/>
      </c>
      <c r="ZP23" s="12">
        <f>ZJ23+ZJ22+ZJ21+MAX(0,ZP22-ZJ22-ZJ21)*(1-ZB23)</f>
        <v/>
      </c>
      <c r="ZQ23" s="12">
        <f>ZK23+ZK22+ZK21+MAX(0,ZQ22-ZK22-ZK21)*(1-ZB23)</f>
        <v/>
      </c>
      <c r="ZR23" s="12">
        <f>ZR22+ZL23-ZL11*(AnnualChurn*VLOOKUP(YX23,ChurnSeasonTable,4,FALSE))*POWER(1-(AnnualChurn*VLOOKUP(YX23,ChurnSeasonTable,4,FALSE)),0)</f>
        <v/>
      </c>
      <c r="ZS23" s="12">
        <f>ZS22+ZM23-ZM11*(AnnualChurn*VLOOKUP(YX23,ChurnSeasonTable,4,FALSE))*POWER(1-(AnnualChurn*VLOOKUP(YX23,ChurnSeasonTable,4,FALSE)),0)</f>
        <v/>
      </c>
      <c r="ZT23" s="12">
        <f>ZT22+ZN23-ZN11*(AnnualChurn*VLOOKUP(YX23,ChurnSeasonTable,4,FALSE))*POWER(1-(AnnualChurn*VLOOKUP(YX23,ChurnSeasonTable,4,FALSE)),0)</f>
        <v/>
      </c>
      <c r="ZU23" s="12">
        <f>ZO23+ZP23+ZQ23+ZR23+ZS23+ZT23</f>
        <v/>
      </c>
      <c r="ZV23" s="9">
        <f>ZO23*BlendedPriceEssMonthly*ZA23+ZP23*BlendedPricePremMonthly*ZA23+ZQ23*BlendedPriceEliteMonthly*ZA23+ZR23*BlendedPriceEssAnnual*ZA23/12+ZS23*BlendedPricePremAnnual*ZA23/12+ZT23*BlendedPriceEliteAnnual*ZA23/12</f>
        <v/>
      </c>
      <c r="ZW23" s="9">
        <f>ZV23*12</f>
        <v/>
      </c>
      <c r="ZX23" s="12">
        <f>ZO23*BlendedPriceEssMonthly*ZA23+ZP23*BlendedPricePremMonthly*ZA23+ZQ23*BlendedPriceEliteMonthly*ZA23</f>
        <v/>
      </c>
      <c r="ZY23" s="12">
        <f>ZL23*BlendedPriceEssAnnual*ZA23+ZM23*BlendedPricePremAnnual*ZA23+ZN23*BlendedPriceEliteAnnual*ZA23</f>
        <v/>
      </c>
      <c r="ZZ23" s="12">
        <f>ZL11*POWER(1-(AnnualChurn*VLOOKUP(YX23,ChurnSeasonTable,4,FALSE)),1)*BlendedPriceEssAnnual*ZA23+ZM11*POWER(1-(AnnualChurn*VLOOKUP(YX23,ChurnSeasonTable,4,FALSE)),1)*BlendedPricePremAnnual*ZA23+ZN11*POWER(1-(AnnualChurn*VLOOKUP(YX23,ChurnSeasonTable,4,FALSE)),1)*BlendedPriceEliteAnnual*ZA23</f>
        <v/>
      </c>
      <c r="AAA23" s="9">
        <f>ZX23+ZY23+ZZ23</f>
        <v/>
      </c>
      <c r="AAB23" s="12">
        <f>SUM(AAA12:AAA23)</f>
        <v/>
      </c>
      <c r="AAC23" s="12">
        <f>OR(AAC22,IF(VATAgentMode,SUM($AAA12:$AAA23)-SUM($AAH12:$AAH23)&gt;=VATThreshold,SUM($AAA12:$AAA23)&gt;=VATThreshold))</f>
        <v/>
      </c>
      <c r="AAD23" s="9">
        <f>IF(AAC23,IF(VATAgentMode,AAA23-((AAA23-AAH23)-(AAA23-AAH23)/(1+VATRate)),AAA23/(1+VATRate)),AAA23)</f>
        <v/>
      </c>
      <c r="AAE23" s="12">
        <f>AAA23-AAD23</f>
        <v/>
      </c>
      <c r="AAF23" s="12">
        <f>IF(AAC23=0,0,IF(YX23=1,SUMPRODUCT(--(($YY$5:$YY23=$YY23-1)*($YX$5:$YX23&gt;=10)*($YX$5:$YX23&lt;=12)),$AAE$5:$AAE23),IF(YX23=4,SUMPRODUCT(--(($YY$5:$YY23=$YY23)*($YX$5:$YX23&gt;=1)*($YX$5:$YX23&lt;=3)),$AAE$5:$AAE23),IF(YX23=7,SUMPRODUCT(--(($YY$5:$YY23=$YY23)*($YX$5:$YX23&gt;=4)*($YX$5:$YX23&lt;=6)),$AAE$5:$AAE23),IF(YX23=10,SUMPRODUCT(--(($YY$5:$YY23=$YY23)*($YX$5:$YX23&gt;=7)*($YX$5:$YX23&lt;=9)),$AAE$5:$AAE23),0)))))</f>
        <v/>
      </c>
      <c r="AAG23" s="12">
        <f>AAG22+AAE23-AAF23</f>
        <v/>
      </c>
      <c r="AAH23" s="12">
        <f>IF(ProviderDelay&gt;=1,ZO22*BlendedProvPayEss+ZP22*BlendedProvPayPrem+ZQ22*BlendedProvPayElite+ZR22*BlendedProvPayEss+ZS22*BlendedProvPayPrem+ZT22*BlendedProvPayElite,ZO23*BlendedProvPayEss+ZP23*BlendedProvPayPrem+ZQ23*BlendedProvPayElite+ZR23*BlendedProvPayEss+ZS23*BlendedProvPayPrem+ZT23*BlendedProvPayElite)</f>
        <v/>
      </c>
      <c r="AAI23" s="12">
        <f>AAA23*PaymentFee</f>
        <v/>
      </c>
      <c r="AAJ23" s="12">
        <f>ZU23*OpsAI</f>
        <v/>
      </c>
      <c r="AAK23" s="12">
        <f>MonthlyFixed</f>
        <v/>
      </c>
      <c r="AAL23" s="12">
        <f>ZE23*ReferralReward</f>
        <v/>
      </c>
      <c r="AAM23" s="12">
        <f>ZC23</f>
        <v/>
      </c>
      <c r="AAN23" s="9">
        <f>AAD23-AAH23-AAI23-AAJ23-AAK23-AAL23-AAM23</f>
        <v/>
      </c>
      <c r="AAO23" s="9">
        <f>AAO22+AAA23-(AAH23+AAI23+AAJ23+AAK23+AAL23+AAM23+AAF23)</f>
        <v/>
      </c>
      <c r="AAP23" s="12">
        <f>IF(ZU23&gt;0,ZV23/ZU23,0)</f>
        <v/>
      </c>
      <c r="AAQ23" s="11">
        <f>IF(ZU22&gt;0,MAX(0,(ZU22+ZF23-ZU23)/ZU22),0)</f>
        <v/>
      </c>
      <c r="AAS23" s="12" t="n">
        <v>19</v>
      </c>
      <c r="AAT23" s="12">
        <f>MOD(AAS23-1+LaunchMonth-1,12)+1</f>
        <v/>
      </c>
      <c r="AAU23" s="12">
        <f>INT((AAS23-1+LaunchMonth-1)/12)+1</f>
        <v/>
      </c>
      <c r="AAV23" s="12">
        <f>VLOOKUP(AAT23,SeasonTable,2,FALSE)</f>
        <v/>
      </c>
      <c r="AAW23" s="12">
        <f>(1+InflationRate)^INT((AAS23-1)/12)</f>
        <v/>
      </c>
      <c r="AAX23" s="11">
        <f>MonthlyChurn*VLOOKUP(AAT23,ChurnSeasonTable,4,FALSE)</f>
        <v/>
      </c>
      <c r="AAY23" s="12">
        <f>MIN(MAX(MktMin19plus,ABW22*MktPct19plus),MAX(0,ACK22-CashBuffer))</f>
        <v/>
      </c>
      <c r="AAZ23" s="12">
        <f>IF(AAY23&gt;0,MAX(1,ROUND(AAY23/CAC*AAV23,0)),0)</f>
        <v/>
      </c>
      <c r="ABA23" s="12">
        <f>IF(AAZ23&gt;0,ROUND(AAZ23*ReferralMix/(1-ReferralMix),0),0)</f>
        <v/>
      </c>
      <c r="ABB23" s="12">
        <f>AAZ23+ABA23</f>
        <v/>
      </c>
      <c r="ABC23" s="12">
        <f>ROUND(ABB23*(1-'Sens - Annual Mix'!$A$12),0)</f>
        <v/>
      </c>
      <c r="ABD23" s="12">
        <f>ABB23-ABC23</f>
        <v/>
      </c>
      <c r="ABE23" s="12">
        <f>ROUND(ABC23*EssentialMix,0)</f>
        <v/>
      </c>
      <c r="ABF23" s="12">
        <f>ROUND(ABC23*PremiumMix,0)</f>
        <v/>
      </c>
      <c r="ABG23" s="12">
        <f>ABC23-ABE23-ABF23</f>
        <v/>
      </c>
      <c r="ABH23" s="12">
        <f>ROUND(ABD23*EssentialMix,0)</f>
        <v/>
      </c>
      <c r="ABI23" s="12">
        <f>ROUND(ABD23*PremiumMix,0)</f>
        <v/>
      </c>
      <c r="ABJ23" s="12">
        <f>ABD23-ABH23-ABI23</f>
        <v/>
      </c>
      <c r="ABK23" s="12">
        <f>ABE23+ABE22+ABE21+MAX(0,ABK22-ABE22-ABE21)*(1-AAX23)</f>
        <v/>
      </c>
      <c r="ABL23" s="12">
        <f>ABF23+ABF22+ABF21+MAX(0,ABL22-ABF22-ABF21)*(1-AAX23)</f>
        <v/>
      </c>
      <c r="ABM23" s="12">
        <f>ABG23+ABG22+ABG21+MAX(0,ABM22-ABG22-ABG21)*(1-AAX23)</f>
        <v/>
      </c>
      <c r="ABN23" s="12">
        <f>ABN22+ABH23-ABH11*(AnnualChurn*VLOOKUP(AAT23,ChurnSeasonTable,4,FALSE))*POWER(1-(AnnualChurn*VLOOKUP(AAT23,ChurnSeasonTable,4,FALSE)),0)</f>
        <v/>
      </c>
      <c r="ABO23" s="12">
        <f>ABO22+ABI23-ABI11*(AnnualChurn*VLOOKUP(AAT23,ChurnSeasonTable,4,FALSE))*POWER(1-(AnnualChurn*VLOOKUP(AAT23,ChurnSeasonTable,4,FALSE)),0)</f>
        <v/>
      </c>
      <c r="ABP23" s="12">
        <f>ABP22+ABJ23-ABJ11*(AnnualChurn*VLOOKUP(AAT23,ChurnSeasonTable,4,FALSE))*POWER(1-(AnnualChurn*VLOOKUP(AAT23,ChurnSeasonTable,4,FALSE)),0)</f>
        <v/>
      </c>
      <c r="ABQ23" s="12">
        <f>ABK23+ABL23+ABM23+ABN23+ABO23+ABP23</f>
        <v/>
      </c>
      <c r="ABR23" s="9">
        <f>ABK23*BlendedPriceEssMonthly*AAW23+ABL23*BlendedPricePremMonthly*AAW23+ABM23*BlendedPriceEliteMonthly*AAW23+ABN23*BlendedPriceEssAnnual*AAW23/12+ABO23*BlendedPricePremAnnual*AAW23/12+ABP23*BlendedPriceEliteAnnual*AAW23/12</f>
        <v/>
      </c>
      <c r="ABS23" s="9">
        <f>ABR23*12</f>
        <v/>
      </c>
      <c r="ABT23" s="12">
        <f>ABK23*BlendedPriceEssMonthly*AAW23+ABL23*BlendedPricePremMonthly*AAW23+ABM23*BlendedPriceEliteMonthly*AAW23</f>
        <v/>
      </c>
      <c r="ABU23" s="12">
        <f>ABH23*BlendedPriceEssAnnual*AAW23+ABI23*BlendedPricePremAnnual*AAW23+ABJ23*BlendedPriceEliteAnnual*AAW23</f>
        <v/>
      </c>
      <c r="ABV23" s="12">
        <f>ABH11*POWER(1-(AnnualChurn*VLOOKUP(AAT23,ChurnSeasonTable,4,FALSE)),1)*BlendedPriceEssAnnual*AAW23+ABI11*POWER(1-(AnnualChurn*VLOOKUP(AAT23,ChurnSeasonTable,4,FALSE)),1)*BlendedPricePremAnnual*AAW23+ABJ11*POWER(1-(AnnualChurn*VLOOKUP(AAT23,ChurnSeasonTable,4,FALSE)),1)*BlendedPriceEliteAnnual*AAW23</f>
        <v/>
      </c>
      <c r="ABW23" s="9">
        <f>ABT23+ABU23+ABV23</f>
        <v/>
      </c>
      <c r="ABX23" s="12">
        <f>SUM(ABW12:ABW23)</f>
        <v/>
      </c>
      <c r="ABY23" s="12">
        <f>OR(ABY22,IF(VATAgentMode,SUM($ABW12:$ABW23)-SUM($ACD12:$ACD23)&gt;=VATThreshold,SUM($ABW12:$ABW23)&gt;=VATThreshold))</f>
        <v/>
      </c>
      <c r="ABZ23" s="9">
        <f>IF(ABY23,IF(VATAgentMode,ABW23-((ABW23-ACD23)-(ABW23-ACD23)/(1+VATRate)),ABW23/(1+VATRate)),ABW23)</f>
        <v/>
      </c>
      <c r="ACA23" s="12">
        <f>ABW23-ABZ23</f>
        <v/>
      </c>
      <c r="ACB23" s="12">
        <f>IF(ABY23=0,0,IF(AAT23=1,SUMPRODUCT(--(($AAU$5:$AAU23=$AAU23-1)*($AAT$5:$AAT23&gt;=10)*($AAT$5:$AAT23&lt;=12)),$ACA$5:$ACA23),IF(AAT23=4,SUMPRODUCT(--(($AAU$5:$AAU23=$AAU23)*($AAT$5:$AAT23&gt;=1)*($AAT$5:$AAT23&lt;=3)),$ACA$5:$ACA23),IF(AAT23=7,SUMPRODUCT(--(($AAU$5:$AAU23=$AAU23)*($AAT$5:$AAT23&gt;=4)*($AAT$5:$AAT23&lt;=6)),$ACA$5:$ACA23),IF(AAT23=10,SUMPRODUCT(--(($AAU$5:$AAU23=$AAU23)*($AAT$5:$AAT23&gt;=7)*($AAT$5:$AAT23&lt;=9)),$ACA$5:$ACA23),0)))))</f>
        <v/>
      </c>
      <c r="ACC23" s="12">
        <f>ACC22+ACA23-ACB23</f>
        <v/>
      </c>
      <c r="ACD23" s="12">
        <f>IF(ProviderDelay&gt;=1,ABK22*BlendedProvPayEss+ABL22*BlendedProvPayPrem+ABM22*BlendedProvPayElite+ABN22*BlendedProvPayEss+ABO22*BlendedProvPayPrem+ABP22*BlendedProvPayElite,ABK23*BlendedProvPayEss+ABL23*BlendedProvPayPrem+ABM23*BlendedProvPayElite+ABN23*BlendedProvPayEss+ABO23*BlendedProvPayPrem+ABP23*BlendedProvPayElite)</f>
        <v/>
      </c>
      <c r="ACE23" s="12">
        <f>ABW23*PaymentFee</f>
        <v/>
      </c>
      <c r="ACF23" s="12">
        <f>ABQ23*OpsAI</f>
        <v/>
      </c>
      <c r="ACG23" s="12">
        <f>MonthlyFixed</f>
        <v/>
      </c>
      <c r="ACH23" s="12">
        <f>ABA23*ReferralReward</f>
        <v/>
      </c>
      <c r="ACI23" s="12">
        <f>AAY23</f>
        <v/>
      </c>
      <c r="ACJ23" s="9">
        <f>ABZ23-ACD23-ACE23-ACF23-ACG23-ACH23-ACI23</f>
        <v/>
      </c>
      <c r="ACK23" s="9">
        <f>ACK22+ABW23-(ACD23+ACE23+ACF23+ACG23+ACH23+ACI23+ACB23)</f>
        <v/>
      </c>
      <c r="ACL23" s="12">
        <f>IF(ABQ23&gt;0,ABR23/ABQ23,0)</f>
        <v/>
      </c>
      <c r="ACM23" s="11">
        <f>IF(ABQ22&gt;0,MAX(0,(ABQ22+ABB23-ABQ23)/ABQ22),0)</f>
        <v/>
      </c>
      <c r="ACO23" s="12" t="n">
        <v>19</v>
      </c>
      <c r="ACP23" s="12">
        <f>MOD(ACO23-1+LaunchMonth-1,12)+1</f>
        <v/>
      </c>
      <c r="ACQ23" s="12">
        <f>INT((ACO23-1+LaunchMonth-1)/12)+1</f>
        <v/>
      </c>
      <c r="ACR23" s="12">
        <f>VLOOKUP(ACP23,SeasonTable,2,FALSE)</f>
        <v/>
      </c>
      <c r="ACS23" s="12">
        <f>(1+InflationRate)^INT((ACO23-1)/12)</f>
        <v/>
      </c>
      <c r="ACT23" s="11">
        <f>MonthlyChurn*VLOOKUP(ACP23,ChurnSeasonTable,4,FALSE)</f>
        <v/>
      </c>
      <c r="ACU23" s="12">
        <f>MIN(MAX(MktMin19plus,ADS22*MktPct19plus),MAX(0,AEG22-CashBuffer))</f>
        <v/>
      </c>
      <c r="ACV23" s="12">
        <f>IF(ACU23&gt;0,MAX(1,ROUND(ACU23/CAC*ACR23,0)),0)</f>
        <v/>
      </c>
      <c r="ACW23" s="12">
        <f>IF(ACV23&gt;0,ROUND(ACV23*ReferralMix/(1-ReferralMix),0),0)</f>
        <v/>
      </c>
      <c r="ACX23" s="12">
        <f>ACV23+ACW23</f>
        <v/>
      </c>
      <c r="ACY23" s="12">
        <f>ROUND(ACX23*(1-'Sens - Annual Mix'!$A$13),0)</f>
        <v/>
      </c>
      <c r="ACZ23" s="12">
        <f>ACX23-ACY23</f>
        <v/>
      </c>
      <c r="ADA23" s="12">
        <f>ROUND(ACY23*EssentialMix,0)</f>
        <v/>
      </c>
      <c r="ADB23" s="12">
        <f>ROUND(ACY23*PremiumMix,0)</f>
        <v/>
      </c>
      <c r="ADC23" s="12">
        <f>ACY23-ADA23-ADB23</f>
        <v/>
      </c>
      <c r="ADD23" s="12">
        <f>ROUND(ACZ23*EssentialMix,0)</f>
        <v/>
      </c>
      <c r="ADE23" s="12">
        <f>ROUND(ACZ23*PremiumMix,0)</f>
        <v/>
      </c>
      <c r="ADF23" s="12">
        <f>ACZ23-ADD23-ADE23</f>
        <v/>
      </c>
      <c r="ADG23" s="12">
        <f>ADA23+ADA22+ADA21+MAX(0,ADG22-ADA22-ADA21)*(1-ACT23)</f>
        <v/>
      </c>
      <c r="ADH23" s="12">
        <f>ADB23+ADB22+ADB21+MAX(0,ADH22-ADB22-ADB21)*(1-ACT23)</f>
        <v/>
      </c>
      <c r="ADI23" s="12">
        <f>ADC23+ADC22+ADC21+MAX(0,ADI22-ADC22-ADC21)*(1-ACT23)</f>
        <v/>
      </c>
      <c r="ADJ23" s="12">
        <f>ADJ22+ADD23-ADD11*(AnnualChurn*VLOOKUP(ACP23,ChurnSeasonTable,4,FALSE))*POWER(1-(AnnualChurn*VLOOKUP(ACP23,ChurnSeasonTable,4,FALSE)),0)</f>
        <v/>
      </c>
      <c r="ADK23" s="12">
        <f>ADK22+ADE23-ADE11*(AnnualChurn*VLOOKUP(ACP23,ChurnSeasonTable,4,FALSE))*POWER(1-(AnnualChurn*VLOOKUP(ACP23,ChurnSeasonTable,4,FALSE)),0)</f>
        <v/>
      </c>
      <c r="ADL23" s="12">
        <f>ADL22+ADF23-ADF11*(AnnualChurn*VLOOKUP(ACP23,ChurnSeasonTable,4,FALSE))*POWER(1-(AnnualChurn*VLOOKUP(ACP23,ChurnSeasonTable,4,FALSE)),0)</f>
        <v/>
      </c>
      <c r="ADM23" s="12">
        <f>ADG23+ADH23+ADI23+ADJ23+ADK23+ADL23</f>
        <v/>
      </c>
      <c r="ADN23" s="9">
        <f>ADG23*BlendedPriceEssMonthly*ACS23+ADH23*BlendedPricePremMonthly*ACS23+ADI23*BlendedPriceEliteMonthly*ACS23+ADJ23*BlendedPriceEssAnnual*ACS23/12+ADK23*BlendedPricePremAnnual*ACS23/12+ADL23*BlendedPriceEliteAnnual*ACS23/12</f>
        <v/>
      </c>
      <c r="ADO23" s="9">
        <f>ADN23*12</f>
        <v/>
      </c>
      <c r="ADP23" s="12">
        <f>ADG23*BlendedPriceEssMonthly*ACS23+ADH23*BlendedPricePremMonthly*ACS23+ADI23*BlendedPriceEliteMonthly*ACS23</f>
        <v/>
      </c>
      <c r="ADQ23" s="12">
        <f>ADD23*BlendedPriceEssAnnual*ACS23+ADE23*BlendedPricePremAnnual*ACS23+ADF23*BlendedPriceEliteAnnual*ACS23</f>
        <v/>
      </c>
      <c r="ADR23" s="12">
        <f>ADD11*POWER(1-(AnnualChurn*VLOOKUP(ACP23,ChurnSeasonTable,4,FALSE)),1)*BlendedPriceEssAnnual*ACS23+ADE11*POWER(1-(AnnualChurn*VLOOKUP(ACP23,ChurnSeasonTable,4,FALSE)),1)*BlendedPricePremAnnual*ACS23+ADF11*POWER(1-(AnnualChurn*VLOOKUP(ACP23,ChurnSeasonTable,4,FALSE)),1)*BlendedPriceEliteAnnual*ACS23</f>
        <v/>
      </c>
      <c r="ADS23" s="9">
        <f>ADP23+ADQ23+ADR23</f>
        <v/>
      </c>
      <c r="ADT23" s="12">
        <f>SUM(ADS12:ADS23)</f>
        <v/>
      </c>
      <c r="ADU23" s="12">
        <f>OR(ADU22,IF(VATAgentMode,SUM($ADS12:$ADS23)-SUM($ADZ12:$ADZ23)&gt;=VATThreshold,SUM($ADS12:$ADS23)&gt;=VATThreshold))</f>
        <v/>
      </c>
      <c r="ADV23" s="9">
        <f>IF(ADU23,IF(VATAgentMode,ADS23-((ADS23-ADZ23)-(ADS23-ADZ23)/(1+VATRate)),ADS23/(1+VATRate)),ADS23)</f>
        <v/>
      </c>
      <c r="ADW23" s="12">
        <f>ADS23-ADV23</f>
        <v/>
      </c>
      <c r="ADX23" s="12">
        <f>IF(ADU23=0,0,IF(ACP23=1,SUMPRODUCT(--(($ACQ$5:$ACQ23=$ACQ23-1)*($ACP$5:$ACP23&gt;=10)*($ACP$5:$ACP23&lt;=12)),$ADW$5:$ADW23),IF(ACP23=4,SUMPRODUCT(--(($ACQ$5:$ACQ23=$ACQ23)*($ACP$5:$ACP23&gt;=1)*($ACP$5:$ACP23&lt;=3)),$ADW$5:$ADW23),IF(ACP23=7,SUMPRODUCT(--(($ACQ$5:$ACQ23=$ACQ23)*($ACP$5:$ACP23&gt;=4)*($ACP$5:$ACP23&lt;=6)),$ADW$5:$ADW23),IF(ACP23=10,SUMPRODUCT(--(($ACQ$5:$ACQ23=$ACQ23)*($ACP$5:$ACP23&gt;=7)*($ACP$5:$ACP23&lt;=9)),$ADW$5:$ADW23),0)))))</f>
        <v/>
      </c>
      <c r="ADY23" s="12">
        <f>ADY22+ADW23-ADX23</f>
        <v/>
      </c>
      <c r="ADZ23" s="12">
        <f>IF(ProviderDelay&gt;=1,ADG22*BlendedProvPayEss+ADH22*BlendedProvPayPrem+ADI22*BlendedProvPayElite+ADJ22*BlendedProvPayEss+ADK22*BlendedProvPayPrem+ADL22*BlendedProvPayElite,ADG23*BlendedProvPayEss+ADH23*BlendedProvPayPrem+ADI23*BlendedProvPayElite+ADJ23*BlendedProvPayEss+ADK23*BlendedProvPayPrem+ADL23*BlendedProvPayElite)</f>
        <v/>
      </c>
      <c r="AEA23" s="12">
        <f>ADS23*PaymentFee</f>
        <v/>
      </c>
      <c r="AEB23" s="12">
        <f>ADM23*OpsAI</f>
        <v/>
      </c>
      <c r="AEC23" s="12">
        <f>MonthlyFixed</f>
        <v/>
      </c>
      <c r="AED23" s="12">
        <f>ACW23*ReferralReward</f>
        <v/>
      </c>
      <c r="AEE23" s="12">
        <f>ACU23</f>
        <v/>
      </c>
      <c r="AEF23" s="9">
        <f>ADV23-ADZ23-AEA23-AEB23-AEC23-AED23-AEE23</f>
        <v/>
      </c>
      <c r="AEG23" s="9">
        <f>AEG22+ADS23-(ADZ23+AEA23+AEB23+AEC23+AED23+AEE23+ADX23)</f>
        <v/>
      </c>
      <c r="AEH23" s="12">
        <f>IF(ADM23&gt;0,ADN23/ADM23,0)</f>
        <v/>
      </c>
      <c r="AEI23" s="11">
        <f>IF(ADM22&gt;0,MAX(0,(ADM22+ACX23-ADM23)/ADM22),0)</f>
        <v/>
      </c>
      <c r="AEK23" s="12" t="n">
        <v>19</v>
      </c>
      <c r="AEL23" s="12">
        <f>MOD(AEK23-1+LaunchMonth-1,12)+1</f>
        <v/>
      </c>
      <c r="AEM23" s="12">
        <f>INT((AEK23-1+LaunchMonth-1)/12)+1</f>
        <v/>
      </c>
      <c r="AEN23" s="12">
        <f>VLOOKUP(AEL23,SeasonTable,2,FALSE)</f>
        <v/>
      </c>
      <c r="AEO23" s="12">
        <f>(1+InflationRate)^INT((AEK23-1)/12)</f>
        <v/>
      </c>
      <c r="AEP23" s="11">
        <f>MonthlyChurn*VLOOKUP(AEL23,ChurnSeasonTable,4,FALSE)</f>
        <v/>
      </c>
      <c r="AEQ23" s="12">
        <f>MIN(MAX(MktMin19plus,AFO22*MktPct19plus),MAX(0,AGC22-CashBuffer))</f>
        <v/>
      </c>
      <c r="AER23" s="12">
        <f>IF(AEQ23&gt;0,MAX(1,ROUND(AEQ23/CAC*AEN23,0)),0)</f>
        <v/>
      </c>
      <c r="AES23" s="12">
        <f>IF(AER23&gt;0,ROUND(AER23*ReferralMix/(1-ReferralMix),0),0)</f>
        <v/>
      </c>
      <c r="AET23" s="12">
        <f>AER23+AES23</f>
        <v/>
      </c>
      <c r="AEU23" s="12">
        <f>ROUND(AET23*(1-'Sens - Annual Mix'!$A$14),0)</f>
        <v/>
      </c>
      <c r="AEV23" s="12">
        <f>AET23-AEU23</f>
        <v/>
      </c>
      <c r="AEW23" s="12">
        <f>ROUND(AEU23*EssentialMix,0)</f>
        <v/>
      </c>
      <c r="AEX23" s="12">
        <f>ROUND(AEU23*PremiumMix,0)</f>
        <v/>
      </c>
      <c r="AEY23" s="12">
        <f>AEU23-AEW23-AEX23</f>
        <v/>
      </c>
      <c r="AEZ23" s="12">
        <f>ROUND(AEV23*EssentialMix,0)</f>
        <v/>
      </c>
      <c r="AFA23" s="12">
        <f>ROUND(AEV23*PremiumMix,0)</f>
        <v/>
      </c>
      <c r="AFB23" s="12">
        <f>AEV23-AEZ23-AFA23</f>
        <v/>
      </c>
      <c r="AFC23" s="12">
        <f>AEW23+AEW22+AEW21+MAX(0,AFC22-AEW22-AEW21)*(1-AEP23)</f>
        <v/>
      </c>
      <c r="AFD23" s="12">
        <f>AEX23+AEX22+AEX21+MAX(0,AFD22-AEX22-AEX21)*(1-AEP23)</f>
        <v/>
      </c>
      <c r="AFE23" s="12">
        <f>AEY23+AEY22+AEY21+MAX(0,AFE22-AEY22-AEY21)*(1-AEP23)</f>
        <v/>
      </c>
      <c r="AFF23" s="12">
        <f>AFF22+AEZ23-AEZ11*(AnnualChurn*VLOOKUP(AEL23,ChurnSeasonTable,4,FALSE))*POWER(1-(AnnualChurn*VLOOKUP(AEL23,ChurnSeasonTable,4,FALSE)),0)</f>
        <v/>
      </c>
      <c r="AFG23" s="12">
        <f>AFG22+AFA23-AFA11*(AnnualChurn*VLOOKUP(AEL23,ChurnSeasonTable,4,FALSE))*POWER(1-(AnnualChurn*VLOOKUP(AEL23,ChurnSeasonTable,4,FALSE)),0)</f>
        <v/>
      </c>
      <c r="AFH23" s="12">
        <f>AFH22+AFB23-AFB11*(AnnualChurn*VLOOKUP(AEL23,ChurnSeasonTable,4,FALSE))*POWER(1-(AnnualChurn*VLOOKUP(AEL23,ChurnSeasonTable,4,FALSE)),0)</f>
        <v/>
      </c>
      <c r="AFI23" s="12">
        <f>AFC23+AFD23+AFE23+AFF23+AFG23+AFH23</f>
        <v/>
      </c>
      <c r="AFJ23" s="9">
        <f>AFC23*BlendedPriceEssMonthly*AEO23+AFD23*BlendedPricePremMonthly*AEO23+AFE23*BlendedPriceEliteMonthly*AEO23+AFF23*BlendedPriceEssAnnual*AEO23/12+AFG23*BlendedPricePremAnnual*AEO23/12+AFH23*BlendedPriceEliteAnnual*AEO23/12</f>
        <v/>
      </c>
      <c r="AFK23" s="9">
        <f>AFJ23*12</f>
        <v/>
      </c>
      <c r="AFL23" s="12">
        <f>AFC23*BlendedPriceEssMonthly*AEO23+AFD23*BlendedPricePremMonthly*AEO23+AFE23*BlendedPriceEliteMonthly*AEO23</f>
        <v/>
      </c>
      <c r="AFM23" s="12">
        <f>AEZ23*BlendedPriceEssAnnual*AEO23+AFA23*BlendedPricePremAnnual*AEO23+AFB23*BlendedPriceEliteAnnual*AEO23</f>
        <v/>
      </c>
      <c r="AFN23" s="12">
        <f>AEZ11*POWER(1-(AnnualChurn*VLOOKUP(AEL23,ChurnSeasonTable,4,FALSE)),1)*BlendedPriceEssAnnual*AEO23+AFA11*POWER(1-(AnnualChurn*VLOOKUP(AEL23,ChurnSeasonTable,4,FALSE)),1)*BlendedPricePremAnnual*AEO23+AFB11*POWER(1-(AnnualChurn*VLOOKUP(AEL23,ChurnSeasonTable,4,FALSE)),1)*BlendedPriceEliteAnnual*AEO23</f>
        <v/>
      </c>
      <c r="AFO23" s="9">
        <f>AFL23+AFM23+AFN23</f>
        <v/>
      </c>
      <c r="AFP23" s="12">
        <f>SUM(AFO12:AFO23)</f>
        <v/>
      </c>
      <c r="AFQ23" s="12">
        <f>OR(AFQ22,IF(VATAgentMode,SUM($AFO12:$AFO23)-SUM($AFV12:$AFV23)&gt;=VATThreshold,SUM($AFO12:$AFO23)&gt;=VATThreshold))</f>
        <v/>
      </c>
      <c r="AFR23" s="9">
        <f>IF(AFQ23,IF(VATAgentMode,AFO23-((AFO23-AFV23)-(AFO23-AFV23)/(1+VATRate)),AFO23/(1+VATRate)),AFO23)</f>
        <v/>
      </c>
      <c r="AFS23" s="12">
        <f>AFO23-AFR23</f>
        <v/>
      </c>
      <c r="AFT23" s="12">
        <f>IF(AFQ23=0,0,IF(AEL23=1,SUMPRODUCT(--(($AEM$5:$AEM23=$AEM23-1)*($AEL$5:$AEL23&gt;=10)*($AEL$5:$AEL23&lt;=12)),$AFS$5:$AFS23),IF(AEL23=4,SUMPRODUCT(--(($AEM$5:$AEM23=$AEM23)*($AEL$5:$AEL23&gt;=1)*($AEL$5:$AEL23&lt;=3)),$AFS$5:$AFS23),IF(AEL23=7,SUMPRODUCT(--(($AEM$5:$AEM23=$AEM23)*($AEL$5:$AEL23&gt;=4)*($AEL$5:$AEL23&lt;=6)),$AFS$5:$AFS23),IF(AEL23=10,SUMPRODUCT(--(($AEM$5:$AEM23=$AEM23)*($AEL$5:$AEL23&gt;=7)*($AEL$5:$AEL23&lt;=9)),$AFS$5:$AFS23),0)))))</f>
        <v/>
      </c>
      <c r="AFU23" s="12">
        <f>AFU22+AFS23-AFT23</f>
        <v/>
      </c>
      <c r="AFV23" s="12">
        <f>IF(ProviderDelay&gt;=1,AFC22*BlendedProvPayEss+AFD22*BlendedProvPayPrem+AFE22*BlendedProvPayElite+AFF22*BlendedProvPayEss+AFG22*BlendedProvPayPrem+AFH22*BlendedProvPayElite,AFC23*BlendedProvPayEss+AFD23*BlendedProvPayPrem+AFE23*BlendedProvPayElite+AFF23*BlendedProvPayEss+AFG23*BlendedProvPayPrem+AFH23*BlendedProvPayElite)</f>
        <v/>
      </c>
      <c r="AFW23" s="12">
        <f>AFO23*PaymentFee</f>
        <v/>
      </c>
      <c r="AFX23" s="12">
        <f>AFI23*OpsAI</f>
        <v/>
      </c>
      <c r="AFY23" s="12">
        <f>MonthlyFixed</f>
        <v/>
      </c>
      <c r="AFZ23" s="12">
        <f>AES23*ReferralReward</f>
        <v/>
      </c>
      <c r="AGA23" s="12">
        <f>AEQ23</f>
        <v/>
      </c>
      <c r="AGB23" s="9">
        <f>AFR23-AFV23-AFW23-AFX23-AFY23-AFZ23-AGA23</f>
        <v/>
      </c>
      <c r="AGC23" s="9">
        <f>AGC22+AFO23-(AFV23+AFW23+AFX23+AFY23+AFZ23+AGA23+AFT23)</f>
        <v/>
      </c>
      <c r="AGD23" s="12">
        <f>IF(AFI23&gt;0,AFJ23/AFI23,0)</f>
        <v/>
      </c>
      <c r="AGE23" s="11">
        <f>IF(AFI22&gt;0,MAX(0,(AFI22+AET23-AFI23)/AFI22),0)</f>
        <v/>
      </c>
      <c r="AGG23" s="12" t="n">
        <v>19</v>
      </c>
      <c r="AGH23" s="12">
        <f>MOD(AGG23-1+LaunchMonth-1,12)+1</f>
        <v/>
      </c>
      <c r="AGI23" s="12">
        <f>INT((AGG23-1+LaunchMonth-1)/12)+1</f>
        <v/>
      </c>
      <c r="AGJ23" s="12">
        <f>VLOOKUP(AGH23,SeasonTable,2,FALSE)</f>
        <v/>
      </c>
      <c r="AGK23" s="12">
        <f>(1+InflationRate)^INT((AGG23-1)/12)</f>
        <v/>
      </c>
      <c r="AGL23" s="11">
        <f>MonthlyChurn*VLOOKUP(AGH23,ChurnSeasonTable,4,FALSE)</f>
        <v/>
      </c>
      <c r="AGM23" s="12">
        <f>MIN(MAX(MktMin19plus,AHK22*MktPct19plus),MAX(0,AHY22-CashBuffer))</f>
        <v/>
      </c>
      <c r="AGN23" s="12">
        <f>IF(AGM23&gt;0,MAX(1,ROUND(AGM23/CAC*AGJ23,0)),0)</f>
        <v/>
      </c>
      <c r="AGO23" s="12">
        <f>IF(AGN23&gt;0,ROUND(AGN23*ReferralMix/(1-ReferralMix),0),0)</f>
        <v/>
      </c>
      <c r="AGP23" s="12">
        <f>AGN23+AGO23</f>
        <v/>
      </c>
      <c r="AGQ23" s="12">
        <f>ROUND(AGP23*(1-'Sens - Annual Mix'!$A$15),0)</f>
        <v/>
      </c>
      <c r="AGR23" s="12">
        <f>AGP23-AGQ23</f>
        <v/>
      </c>
      <c r="AGS23" s="12">
        <f>ROUND(AGQ23*EssentialMix,0)</f>
        <v/>
      </c>
      <c r="AGT23" s="12">
        <f>ROUND(AGQ23*PremiumMix,0)</f>
        <v/>
      </c>
      <c r="AGU23" s="12">
        <f>AGQ23-AGS23-AGT23</f>
        <v/>
      </c>
      <c r="AGV23" s="12">
        <f>ROUND(AGR23*EssentialMix,0)</f>
        <v/>
      </c>
      <c r="AGW23" s="12">
        <f>ROUND(AGR23*PremiumMix,0)</f>
        <v/>
      </c>
      <c r="AGX23" s="12">
        <f>AGR23-AGV23-AGW23</f>
        <v/>
      </c>
      <c r="AGY23" s="12">
        <f>AGS23+AGS22+AGS21+MAX(0,AGY22-AGS22-AGS21)*(1-AGL23)</f>
        <v/>
      </c>
      <c r="AGZ23" s="12">
        <f>AGT23+AGT22+AGT21+MAX(0,AGZ22-AGT22-AGT21)*(1-AGL23)</f>
        <v/>
      </c>
      <c r="AHA23" s="12">
        <f>AGU23+AGU22+AGU21+MAX(0,AHA22-AGU22-AGU21)*(1-AGL23)</f>
        <v/>
      </c>
      <c r="AHB23" s="12">
        <f>AHB22+AGV23-AGV11*(AnnualChurn*VLOOKUP(AGH23,ChurnSeasonTable,4,FALSE))*POWER(1-(AnnualChurn*VLOOKUP(AGH23,ChurnSeasonTable,4,FALSE)),0)</f>
        <v/>
      </c>
      <c r="AHC23" s="12">
        <f>AHC22+AGW23-AGW11*(AnnualChurn*VLOOKUP(AGH23,ChurnSeasonTable,4,FALSE))*POWER(1-(AnnualChurn*VLOOKUP(AGH23,ChurnSeasonTable,4,FALSE)),0)</f>
        <v/>
      </c>
      <c r="AHD23" s="12">
        <f>AHD22+AGX23-AGX11*(AnnualChurn*VLOOKUP(AGH23,ChurnSeasonTable,4,FALSE))*POWER(1-(AnnualChurn*VLOOKUP(AGH23,ChurnSeasonTable,4,FALSE)),0)</f>
        <v/>
      </c>
      <c r="AHE23" s="12">
        <f>AGY23+AGZ23+AHA23+AHB23+AHC23+AHD23</f>
        <v/>
      </c>
      <c r="AHF23" s="9">
        <f>AGY23*BlendedPriceEssMonthly*AGK23+AGZ23*BlendedPricePremMonthly*AGK23+AHA23*BlendedPriceEliteMonthly*AGK23+AHB23*BlendedPriceEssAnnual*AGK23/12+AHC23*BlendedPricePremAnnual*AGK23/12+AHD23*BlendedPriceEliteAnnual*AGK23/12</f>
        <v/>
      </c>
      <c r="AHG23" s="9">
        <f>AHF23*12</f>
        <v/>
      </c>
      <c r="AHH23" s="12">
        <f>AGY23*BlendedPriceEssMonthly*AGK23+AGZ23*BlendedPricePremMonthly*AGK23+AHA23*BlendedPriceEliteMonthly*AGK23</f>
        <v/>
      </c>
      <c r="AHI23" s="12">
        <f>AGV23*BlendedPriceEssAnnual*AGK23+AGW23*BlendedPricePremAnnual*AGK23+AGX23*BlendedPriceEliteAnnual*AGK23</f>
        <v/>
      </c>
      <c r="AHJ23" s="12">
        <f>AGV11*POWER(1-(AnnualChurn*VLOOKUP(AGH23,ChurnSeasonTable,4,FALSE)),1)*BlendedPriceEssAnnual*AGK23+AGW11*POWER(1-(AnnualChurn*VLOOKUP(AGH23,ChurnSeasonTable,4,FALSE)),1)*BlendedPricePremAnnual*AGK23+AGX11*POWER(1-(AnnualChurn*VLOOKUP(AGH23,ChurnSeasonTable,4,FALSE)),1)*BlendedPriceEliteAnnual*AGK23</f>
        <v/>
      </c>
      <c r="AHK23" s="9">
        <f>AHH23+AHI23+AHJ23</f>
        <v/>
      </c>
      <c r="AHL23" s="12">
        <f>SUM(AHK12:AHK23)</f>
        <v/>
      </c>
      <c r="AHM23" s="12">
        <f>OR(AHM22,IF(VATAgentMode,SUM($AHK12:$AHK23)-SUM($AHR12:$AHR23)&gt;=VATThreshold,SUM($AHK12:$AHK23)&gt;=VATThreshold))</f>
        <v/>
      </c>
      <c r="AHN23" s="9">
        <f>IF(AHM23,IF(VATAgentMode,AHK23-((AHK23-AHR23)-(AHK23-AHR23)/(1+VATRate)),AHK23/(1+VATRate)),AHK23)</f>
        <v/>
      </c>
      <c r="AHO23" s="12">
        <f>AHK23-AHN23</f>
        <v/>
      </c>
      <c r="AHP23" s="12">
        <f>IF(AHM23=0,0,IF(AGH23=1,SUMPRODUCT(--(($AGI$5:$AGI23=$AGI23-1)*($AGH$5:$AGH23&gt;=10)*($AGH$5:$AGH23&lt;=12)),$AHO$5:$AHO23),IF(AGH23=4,SUMPRODUCT(--(($AGI$5:$AGI23=$AGI23)*($AGH$5:$AGH23&gt;=1)*($AGH$5:$AGH23&lt;=3)),$AHO$5:$AHO23),IF(AGH23=7,SUMPRODUCT(--(($AGI$5:$AGI23=$AGI23)*($AGH$5:$AGH23&gt;=4)*($AGH$5:$AGH23&lt;=6)),$AHO$5:$AHO23),IF(AGH23=10,SUMPRODUCT(--(($AGI$5:$AGI23=$AGI23)*($AGH$5:$AGH23&gt;=7)*($AGH$5:$AGH23&lt;=9)),$AHO$5:$AHO23),0)))))</f>
        <v/>
      </c>
      <c r="AHQ23" s="12">
        <f>AHQ22+AHO23-AHP23</f>
        <v/>
      </c>
      <c r="AHR23" s="12">
        <f>IF(ProviderDelay&gt;=1,AGY22*BlendedProvPayEss+AGZ22*BlendedProvPayPrem+AHA22*BlendedProvPayElite+AHB22*BlendedProvPayEss+AHC22*BlendedProvPayPrem+AHD22*BlendedProvPayElite,AGY23*BlendedProvPayEss+AGZ23*BlendedProvPayPrem+AHA23*BlendedProvPayElite+AHB23*BlendedProvPayEss+AHC23*BlendedProvPayPrem+AHD23*BlendedProvPayElite)</f>
        <v/>
      </c>
      <c r="AHS23" s="12">
        <f>AHK23*PaymentFee</f>
        <v/>
      </c>
      <c r="AHT23" s="12">
        <f>AHE23*OpsAI</f>
        <v/>
      </c>
      <c r="AHU23" s="12">
        <f>MonthlyFixed</f>
        <v/>
      </c>
      <c r="AHV23" s="12">
        <f>AGO23*ReferralReward</f>
        <v/>
      </c>
      <c r="AHW23" s="12">
        <f>AGM23</f>
        <v/>
      </c>
      <c r="AHX23" s="9">
        <f>AHN23-AHR23-AHS23-AHT23-AHU23-AHV23-AHW23</f>
        <v/>
      </c>
      <c r="AHY23" s="9">
        <f>AHY22+AHK23-(AHR23+AHS23+AHT23+AHU23+AHV23+AHW23+AHP23)</f>
        <v/>
      </c>
      <c r="AHZ23" s="12">
        <f>IF(AHE23&gt;0,AHF23/AHE23,0)</f>
        <v/>
      </c>
      <c r="AIA23" s="11">
        <f>IF(AHE22&gt;0,MAX(0,(AHE22+AGP23-AHE23)/AHE22),0)</f>
        <v/>
      </c>
      <c r="AIC23" s="12" t="n">
        <v>19</v>
      </c>
      <c r="AID23" s="12">
        <f>MOD(AIC23-1+LaunchMonth-1,12)+1</f>
        <v/>
      </c>
      <c r="AIE23" s="12">
        <f>INT((AIC23-1+LaunchMonth-1)/12)+1</f>
        <v/>
      </c>
      <c r="AIF23" s="12">
        <f>VLOOKUP(AID23,SeasonTable,2,FALSE)</f>
        <v/>
      </c>
      <c r="AIG23" s="12">
        <f>(1+InflationRate)^INT((AIC23-1)/12)</f>
        <v/>
      </c>
      <c r="AIH23" s="11">
        <f>MonthlyChurn*VLOOKUP(AID23,ChurnSeasonTable,4,FALSE)</f>
        <v/>
      </c>
      <c r="AII23" s="12">
        <f>MIN(MAX(MktMin19plus,AJG22*MktPct19plus),MAX(0,AJU22-CashBuffer))</f>
        <v/>
      </c>
      <c r="AIJ23" s="12">
        <f>IF(AII23&gt;0,MAX(1,ROUND(AII23/'Sens - CAC &amp; Marketing'!$A$9*AIF23,0)),0)</f>
        <v/>
      </c>
      <c r="AIK23" s="12">
        <f>IF(AIJ23&gt;0,ROUND(AIJ23*ReferralMix/(1-ReferralMix),0),0)</f>
        <v/>
      </c>
      <c r="AIL23" s="12">
        <f>AIJ23+AIK23</f>
        <v/>
      </c>
      <c r="AIM23" s="12">
        <f>ROUND(AIL23*(1-AnnualMix),0)</f>
        <v/>
      </c>
      <c r="AIN23" s="12">
        <f>AIL23-AIM23</f>
        <v/>
      </c>
      <c r="AIO23" s="12">
        <f>ROUND(AIM23*EssentialMix,0)</f>
        <v/>
      </c>
      <c r="AIP23" s="12">
        <f>ROUND(AIM23*PremiumMix,0)</f>
        <v/>
      </c>
      <c r="AIQ23" s="12">
        <f>AIM23-AIO23-AIP23</f>
        <v/>
      </c>
      <c r="AIR23" s="12">
        <f>ROUND(AIN23*EssentialMix,0)</f>
        <v/>
      </c>
      <c r="AIS23" s="12">
        <f>ROUND(AIN23*PremiumMix,0)</f>
        <v/>
      </c>
      <c r="AIT23" s="12">
        <f>AIN23-AIR23-AIS23</f>
        <v/>
      </c>
      <c r="AIU23" s="12">
        <f>AIO23+AIO22+AIO21+MAX(0,AIU22-AIO22-AIO21)*(1-AIH23)</f>
        <v/>
      </c>
      <c r="AIV23" s="12">
        <f>AIP23+AIP22+AIP21+MAX(0,AIV22-AIP22-AIP21)*(1-AIH23)</f>
        <v/>
      </c>
      <c r="AIW23" s="12">
        <f>AIQ23+AIQ22+AIQ21+MAX(0,AIW22-AIQ22-AIQ21)*(1-AIH23)</f>
        <v/>
      </c>
      <c r="AIX23" s="12">
        <f>AIX22+AIR23-AIR11*(AnnualChurn*VLOOKUP(AID23,ChurnSeasonTable,4,FALSE))*POWER(1-(AnnualChurn*VLOOKUP(AID23,ChurnSeasonTable,4,FALSE)),0)</f>
        <v/>
      </c>
      <c r="AIY23" s="12">
        <f>AIY22+AIS23-AIS11*(AnnualChurn*VLOOKUP(AID23,ChurnSeasonTable,4,FALSE))*POWER(1-(AnnualChurn*VLOOKUP(AID23,ChurnSeasonTable,4,FALSE)),0)</f>
        <v/>
      </c>
      <c r="AIZ23" s="12">
        <f>AIZ22+AIT23-AIT11*(AnnualChurn*VLOOKUP(AID23,ChurnSeasonTable,4,FALSE))*POWER(1-(AnnualChurn*VLOOKUP(AID23,ChurnSeasonTable,4,FALSE)),0)</f>
        <v/>
      </c>
      <c r="AJA23" s="12">
        <f>AIU23+AIV23+AIW23+AIX23+AIY23+AIZ23</f>
        <v/>
      </c>
      <c r="AJB23" s="9">
        <f>AIU23*BlendedPriceEssMonthly*AIG23+AIV23*BlendedPricePremMonthly*AIG23+AIW23*BlendedPriceEliteMonthly*AIG23+AIX23*BlendedPriceEssAnnual*AIG23/12+AIY23*BlendedPricePremAnnual*AIG23/12+AIZ23*BlendedPriceEliteAnnual*AIG23/12</f>
        <v/>
      </c>
      <c r="AJC23" s="9">
        <f>AJB23*12</f>
        <v/>
      </c>
      <c r="AJD23" s="12">
        <f>AIU23*BlendedPriceEssMonthly*AIG23+AIV23*BlendedPricePremMonthly*AIG23+AIW23*BlendedPriceEliteMonthly*AIG23</f>
        <v/>
      </c>
      <c r="AJE23" s="12">
        <f>AIR23*BlendedPriceEssAnnual*AIG23+AIS23*BlendedPricePremAnnual*AIG23+AIT23*BlendedPriceEliteAnnual*AIG23</f>
        <v/>
      </c>
      <c r="AJF23" s="12">
        <f>AIR11*POWER(1-(AnnualChurn*VLOOKUP(AID23,ChurnSeasonTable,4,FALSE)),1)*BlendedPriceEssAnnual*AIG23+AIS11*POWER(1-(AnnualChurn*VLOOKUP(AID23,ChurnSeasonTable,4,FALSE)),1)*BlendedPricePremAnnual*AIG23+AIT11*POWER(1-(AnnualChurn*VLOOKUP(AID23,ChurnSeasonTable,4,FALSE)),1)*BlendedPriceEliteAnnual*AIG23</f>
        <v/>
      </c>
      <c r="AJG23" s="9">
        <f>AJD23+AJE23+AJF23</f>
        <v/>
      </c>
      <c r="AJH23" s="12">
        <f>SUM(AJG12:AJG23)</f>
        <v/>
      </c>
      <c r="AJI23" s="12">
        <f>OR(AJI22,IF(VATAgentMode,SUM($AJG12:$AJG23)-SUM($AJN12:$AJN23)&gt;=VATThreshold,SUM($AJG12:$AJG23)&gt;=VATThreshold))</f>
        <v/>
      </c>
      <c r="AJJ23" s="9">
        <f>IF(AJI23,IF(VATAgentMode,AJG23-((AJG23-AJN23)-(AJG23-AJN23)/(1+VATRate)),AJG23/(1+VATRate)),AJG23)</f>
        <v/>
      </c>
      <c r="AJK23" s="12">
        <f>AJG23-AJJ23</f>
        <v/>
      </c>
      <c r="AJL23" s="12">
        <f>IF(AJI23=0,0,IF(AID23=1,SUMPRODUCT(--(($AIE$5:$AIE23=$AIE23-1)*($AID$5:$AID23&gt;=10)*($AID$5:$AID23&lt;=12)),$AJK$5:$AJK23),IF(AID23=4,SUMPRODUCT(--(($AIE$5:$AIE23=$AIE23)*($AID$5:$AID23&gt;=1)*($AID$5:$AID23&lt;=3)),$AJK$5:$AJK23),IF(AID23=7,SUMPRODUCT(--(($AIE$5:$AIE23=$AIE23)*($AID$5:$AID23&gt;=4)*($AID$5:$AID23&lt;=6)),$AJK$5:$AJK23),IF(AID23=10,SUMPRODUCT(--(($AIE$5:$AIE23=$AIE23)*($AID$5:$AID23&gt;=7)*($AID$5:$AID23&lt;=9)),$AJK$5:$AJK23),0)))))</f>
        <v/>
      </c>
      <c r="AJM23" s="12">
        <f>AJM22+AJK23-AJL23</f>
        <v/>
      </c>
      <c r="AJN23" s="12">
        <f>IF(ProviderDelay&gt;=1,AIU22*BlendedProvPayEss+AIV22*BlendedProvPayPrem+AIW22*BlendedProvPayElite+AIX22*BlendedProvPayEss+AIY22*BlendedProvPayPrem+AIZ22*BlendedProvPayElite,AIU23*BlendedProvPayEss+AIV23*BlendedProvPayPrem+AIW23*BlendedProvPayElite+AIX23*BlendedProvPayEss+AIY23*BlendedProvPayPrem+AIZ23*BlendedProvPayElite)</f>
        <v/>
      </c>
      <c r="AJO23" s="12">
        <f>AJG23*PaymentFee</f>
        <v/>
      </c>
      <c r="AJP23" s="12">
        <f>AJA23*OpsAI</f>
        <v/>
      </c>
      <c r="AJQ23" s="12">
        <f>MonthlyFixed</f>
        <v/>
      </c>
      <c r="AJR23" s="12">
        <f>AIK23*ReferralReward</f>
        <v/>
      </c>
      <c r="AJS23" s="12">
        <f>AII23</f>
        <v/>
      </c>
      <c r="AJT23" s="9">
        <f>AJJ23-AJN23-AJO23-AJP23-AJQ23-AJR23-AJS23</f>
        <v/>
      </c>
      <c r="AJU23" s="9">
        <f>AJU22+AJG23-(AJN23+AJO23+AJP23+AJQ23+AJR23+AJS23+AJL23)</f>
        <v/>
      </c>
      <c r="AJV23" s="12">
        <f>IF(AJA23&gt;0,AJB23/AJA23,0)</f>
        <v/>
      </c>
      <c r="AJW23" s="11">
        <f>IF(AJA22&gt;0,MAX(0,(AJA22+AIL23-AJA23)/AJA22),0)</f>
        <v/>
      </c>
      <c r="AJY23" s="12" t="n">
        <v>19</v>
      </c>
      <c r="AJZ23" s="12">
        <f>MOD(AJY23-1+LaunchMonth-1,12)+1</f>
        <v/>
      </c>
      <c r="AKA23" s="12">
        <f>INT((AJY23-1+LaunchMonth-1)/12)+1</f>
        <v/>
      </c>
      <c r="AKB23" s="12">
        <f>VLOOKUP(AJZ23,SeasonTable,2,FALSE)</f>
        <v/>
      </c>
      <c r="AKC23" s="12">
        <f>(1+InflationRate)^INT((AJY23-1)/12)</f>
        <v/>
      </c>
      <c r="AKD23" s="11">
        <f>MonthlyChurn*VLOOKUP(AJZ23,ChurnSeasonTable,4,FALSE)</f>
        <v/>
      </c>
      <c r="AKE23" s="12">
        <f>MIN(MAX(MktMin19plus,ALC22*MktPct19plus),MAX(0,ALQ22-CashBuffer))</f>
        <v/>
      </c>
      <c r="AKF23" s="12">
        <f>IF(AKE23&gt;0,MAX(1,ROUND(AKE23/'Sens - CAC &amp; Marketing'!$A$10*AKB23,0)),0)</f>
        <v/>
      </c>
      <c r="AKG23" s="12">
        <f>IF(AKF23&gt;0,ROUND(AKF23*ReferralMix/(1-ReferralMix),0),0)</f>
        <v/>
      </c>
      <c r="AKH23" s="12">
        <f>AKF23+AKG23</f>
        <v/>
      </c>
      <c r="AKI23" s="12">
        <f>ROUND(AKH23*(1-AnnualMix),0)</f>
        <v/>
      </c>
      <c r="AKJ23" s="12">
        <f>AKH23-AKI23</f>
        <v/>
      </c>
      <c r="AKK23" s="12">
        <f>ROUND(AKI23*EssentialMix,0)</f>
        <v/>
      </c>
      <c r="AKL23" s="12">
        <f>ROUND(AKI23*PremiumMix,0)</f>
        <v/>
      </c>
      <c r="AKM23" s="12">
        <f>AKI23-AKK23-AKL23</f>
        <v/>
      </c>
      <c r="AKN23" s="12">
        <f>ROUND(AKJ23*EssentialMix,0)</f>
        <v/>
      </c>
      <c r="AKO23" s="12">
        <f>ROUND(AKJ23*PremiumMix,0)</f>
        <v/>
      </c>
      <c r="AKP23" s="12">
        <f>AKJ23-AKN23-AKO23</f>
        <v/>
      </c>
      <c r="AKQ23" s="12">
        <f>AKK23+AKK22+AKK21+MAX(0,AKQ22-AKK22-AKK21)*(1-AKD23)</f>
        <v/>
      </c>
      <c r="AKR23" s="12">
        <f>AKL23+AKL22+AKL21+MAX(0,AKR22-AKL22-AKL21)*(1-AKD23)</f>
        <v/>
      </c>
      <c r="AKS23" s="12">
        <f>AKM23+AKM22+AKM21+MAX(0,AKS22-AKM22-AKM21)*(1-AKD23)</f>
        <v/>
      </c>
      <c r="AKT23" s="12">
        <f>AKT22+AKN23-AKN11*(AnnualChurn*VLOOKUP(AJZ23,ChurnSeasonTable,4,FALSE))*POWER(1-(AnnualChurn*VLOOKUP(AJZ23,ChurnSeasonTable,4,FALSE)),0)</f>
        <v/>
      </c>
      <c r="AKU23" s="12">
        <f>AKU22+AKO23-AKO11*(AnnualChurn*VLOOKUP(AJZ23,ChurnSeasonTable,4,FALSE))*POWER(1-(AnnualChurn*VLOOKUP(AJZ23,ChurnSeasonTable,4,FALSE)),0)</f>
        <v/>
      </c>
      <c r="AKV23" s="12">
        <f>AKV22+AKP23-AKP11*(AnnualChurn*VLOOKUP(AJZ23,ChurnSeasonTable,4,FALSE))*POWER(1-(AnnualChurn*VLOOKUP(AJZ23,ChurnSeasonTable,4,FALSE)),0)</f>
        <v/>
      </c>
      <c r="AKW23" s="12">
        <f>AKQ23+AKR23+AKS23+AKT23+AKU23+AKV23</f>
        <v/>
      </c>
      <c r="AKX23" s="9">
        <f>AKQ23*BlendedPriceEssMonthly*AKC23+AKR23*BlendedPricePremMonthly*AKC23+AKS23*BlendedPriceEliteMonthly*AKC23+AKT23*BlendedPriceEssAnnual*AKC23/12+AKU23*BlendedPricePremAnnual*AKC23/12+AKV23*BlendedPriceEliteAnnual*AKC23/12</f>
        <v/>
      </c>
      <c r="AKY23" s="9">
        <f>AKX23*12</f>
        <v/>
      </c>
      <c r="AKZ23" s="12">
        <f>AKQ23*BlendedPriceEssMonthly*AKC23+AKR23*BlendedPricePremMonthly*AKC23+AKS23*BlendedPriceEliteMonthly*AKC23</f>
        <v/>
      </c>
      <c r="ALA23" s="12">
        <f>AKN23*BlendedPriceEssAnnual*AKC23+AKO23*BlendedPricePremAnnual*AKC23+AKP23*BlendedPriceEliteAnnual*AKC23</f>
        <v/>
      </c>
      <c r="ALB23" s="12">
        <f>AKN11*POWER(1-(AnnualChurn*VLOOKUP(AJZ23,ChurnSeasonTable,4,FALSE)),1)*BlendedPriceEssAnnual*AKC23+AKO11*POWER(1-(AnnualChurn*VLOOKUP(AJZ23,ChurnSeasonTable,4,FALSE)),1)*BlendedPricePremAnnual*AKC23+AKP11*POWER(1-(AnnualChurn*VLOOKUP(AJZ23,ChurnSeasonTable,4,FALSE)),1)*BlendedPriceEliteAnnual*AKC23</f>
        <v/>
      </c>
      <c r="ALC23" s="9">
        <f>AKZ23+ALA23+ALB23</f>
        <v/>
      </c>
      <c r="ALD23" s="12">
        <f>SUM(ALC12:ALC23)</f>
        <v/>
      </c>
      <c r="ALE23" s="12">
        <f>OR(ALE22,IF(VATAgentMode,SUM($ALC12:$ALC23)-SUM($ALJ12:$ALJ23)&gt;=VATThreshold,SUM($ALC12:$ALC23)&gt;=VATThreshold))</f>
        <v/>
      </c>
      <c r="ALF23" s="9">
        <f>IF(ALE23,IF(VATAgentMode,ALC23-((ALC23-ALJ23)-(ALC23-ALJ23)/(1+VATRate)),ALC23/(1+VATRate)),ALC23)</f>
        <v/>
      </c>
      <c r="ALG23" s="12">
        <f>ALC23-ALF23</f>
        <v/>
      </c>
      <c r="ALH23" s="12">
        <f>IF(ALE23=0,0,IF(AJZ23=1,SUMPRODUCT(--(($AKA$5:$AKA23=$AKA23-1)*($AJZ$5:$AJZ23&gt;=10)*($AJZ$5:$AJZ23&lt;=12)),$ALG$5:$ALG23),IF(AJZ23=4,SUMPRODUCT(--(($AKA$5:$AKA23=$AKA23)*($AJZ$5:$AJZ23&gt;=1)*($AJZ$5:$AJZ23&lt;=3)),$ALG$5:$ALG23),IF(AJZ23=7,SUMPRODUCT(--(($AKA$5:$AKA23=$AKA23)*($AJZ$5:$AJZ23&gt;=4)*($AJZ$5:$AJZ23&lt;=6)),$ALG$5:$ALG23),IF(AJZ23=10,SUMPRODUCT(--(($AKA$5:$AKA23=$AKA23)*($AJZ$5:$AJZ23&gt;=7)*($AJZ$5:$AJZ23&lt;=9)),$ALG$5:$ALG23),0)))))</f>
        <v/>
      </c>
      <c r="ALI23" s="12">
        <f>ALI22+ALG23-ALH23</f>
        <v/>
      </c>
      <c r="ALJ23" s="12">
        <f>IF(ProviderDelay&gt;=1,AKQ22*BlendedProvPayEss+AKR22*BlendedProvPayPrem+AKS22*BlendedProvPayElite+AKT22*BlendedProvPayEss+AKU22*BlendedProvPayPrem+AKV22*BlendedProvPayElite,AKQ23*BlendedProvPayEss+AKR23*BlendedProvPayPrem+AKS23*BlendedProvPayElite+AKT23*BlendedProvPayEss+AKU23*BlendedProvPayPrem+AKV23*BlendedProvPayElite)</f>
        <v/>
      </c>
      <c r="ALK23" s="12">
        <f>ALC23*PaymentFee</f>
        <v/>
      </c>
      <c r="ALL23" s="12">
        <f>AKW23*OpsAI</f>
        <v/>
      </c>
      <c r="ALM23" s="12">
        <f>MonthlyFixed</f>
        <v/>
      </c>
      <c r="ALN23" s="12">
        <f>AKG23*ReferralReward</f>
        <v/>
      </c>
      <c r="ALO23" s="12">
        <f>AKE23</f>
        <v/>
      </c>
      <c r="ALP23" s="9">
        <f>ALF23-ALJ23-ALK23-ALL23-ALM23-ALN23-ALO23</f>
        <v/>
      </c>
      <c r="ALQ23" s="9">
        <f>ALQ22+ALC23-(ALJ23+ALK23+ALL23+ALM23+ALN23+ALO23+ALH23)</f>
        <v/>
      </c>
      <c r="ALR23" s="12">
        <f>IF(AKW23&gt;0,AKX23/AKW23,0)</f>
        <v/>
      </c>
      <c r="ALS23" s="11">
        <f>IF(AKW22&gt;0,MAX(0,(AKW22+AKH23-AKW23)/AKW22),0)</f>
        <v/>
      </c>
      <c r="ALU23" s="12" t="n">
        <v>19</v>
      </c>
      <c r="ALV23" s="12">
        <f>MOD(ALU23-1+LaunchMonth-1,12)+1</f>
        <v/>
      </c>
      <c r="ALW23" s="12">
        <f>INT((ALU23-1+LaunchMonth-1)/12)+1</f>
        <v/>
      </c>
      <c r="ALX23" s="12">
        <f>VLOOKUP(ALV23,SeasonTable,2,FALSE)</f>
        <v/>
      </c>
      <c r="ALY23" s="12">
        <f>(1+InflationRate)^INT((ALU23-1)/12)</f>
        <v/>
      </c>
      <c r="ALZ23" s="11">
        <f>MonthlyChurn*VLOOKUP(ALV23,ChurnSeasonTable,4,FALSE)</f>
        <v/>
      </c>
      <c r="AMA23" s="12">
        <f>MIN(MAX(MktMin19plus,AMY22*MktPct19plus),MAX(0,ANM22-CashBuffer))</f>
        <v/>
      </c>
      <c r="AMB23" s="12">
        <f>IF(AMA23&gt;0,MAX(1,ROUND(AMA23/'Sens - CAC &amp; Marketing'!$A$11*ALX23,0)),0)</f>
        <v/>
      </c>
      <c r="AMC23" s="12">
        <f>IF(AMB23&gt;0,ROUND(AMB23*ReferralMix/(1-ReferralMix),0),0)</f>
        <v/>
      </c>
      <c r="AMD23" s="12">
        <f>AMB23+AMC23</f>
        <v/>
      </c>
      <c r="AME23" s="12">
        <f>ROUND(AMD23*(1-AnnualMix),0)</f>
        <v/>
      </c>
      <c r="AMF23" s="12">
        <f>AMD23-AME23</f>
        <v/>
      </c>
      <c r="AMG23" s="12">
        <f>ROUND(AME23*EssentialMix,0)</f>
        <v/>
      </c>
      <c r="AMH23" s="12">
        <f>ROUND(AME23*PremiumMix,0)</f>
        <v/>
      </c>
      <c r="AMI23" s="12">
        <f>AME23-AMG23-AMH23</f>
        <v/>
      </c>
      <c r="AMJ23" s="12">
        <f>ROUND(AMF23*EssentialMix,0)</f>
        <v/>
      </c>
      <c r="AMK23" s="12">
        <f>ROUND(AMF23*PremiumMix,0)</f>
        <v/>
      </c>
      <c r="AML23" s="12">
        <f>AMF23-AMJ23-AMK23</f>
        <v/>
      </c>
      <c r="AMM23" s="12">
        <f>AMG23+AMG22+AMG21+MAX(0,AMM22-AMG22-AMG21)*(1-ALZ23)</f>
        <v/>
      </c>
      <c r="AMN23" s="12">
        <f>AMH23+AMH22+AMH21+MAX(0,AMN22-AMH22-AMH21)*(1-ALZ23)</f>
        <v/>
      </c>
      <c r="AMO23" s="12">
        <f>AMI23+AMI22+AMI21+MAX(0,AMO22-AMI22-AMI21)*(1-ALZ23)</f>
        <v/>
      </c>
      <c r="AMP23" s="12">
        <f>AMP22+AMJ23-AMJ11*(AnnualChurn*VLOOKUP(ALV23,ChurnSeasonTable,4,FALSE))*POWER(1-(AnnualChurn*VLOOKUP(ALV23,ChurnSeasonTable,4,FALSE)),0)</f>
        <v/>
      </c>
      <c r="AMQ23" s="12">
        <f>AMQ22+AMK23-AMK11*(AnnualChurn*VLOOKUP(ALV23,ChurnSeasonTable,4,FALSE))*POWER(1-(AnnualChurn*VLOOKUP(ALV23,ChurnSeasonTable,4,FALSE)),0)</f>
        <v/>
      </c>
      <c r="AMR23" s="12">
        <f>AMR22+AML23-AML11*(AnnualChurn*VLOOKUP(ALV23,ChurnSeasonTable,4,FALSE))*POWER(1-(AnnualChurn*VLOOKUP(ALV23,ChurnSeasonTable,4,FALSE)),0)</f>
        <v/>
      </c>
      <c r="AMS23" s="12">
        <f>AMM23+AMN23+AMO23+AMP23+AMQ23+AMR23</f>
        <v/>
      </c>
      <c r="AMT23" s="9">
        <f>AMM23*BlendedPriceEssMonthly*ALY23+AMN23*BlendedPricePremMonthly*ALY23+AMO23*BlendedPriceEliteMonthly*ALY23+AMP23*BlendedPriceEssAnnual*ALY23/12+AMQ23*BlendedPricePremAnnual*ALY23/12+AMR23*BlendedPriceEliteAnnual*ALY23/12</f>
        <v/>
      </c>
      <c r="AMU23" s="9">
        <f>AMT23*12</f>
        <v/>
      </c>
      <c r="AMV23" s="12">
        <f>AMM23*BlendedPriceEssMonthly*ALY23+AMN23*BlendedPricePremMonthly*ALY23+AMO23*BlendedPriceEliteMonthly*ALY23</f>
        <v/>
      </c>
      <c r="AMW23" s="12">
        <f>AMJ23*BlendedPriceEssAnnual*ALY23+AMK23*BlendedPricePremAnnual*ALY23+AML23*BlendedPriceEliteAnnual*ALY23</f>
        <v/>
      </c>
      <c r="AMX23" s="12">
        <f>AMJ11*POWER(1-(AnnualChurn*VLOOKUP(ALV23,ChurnSeasonTable,4,FALSE)),1)*BlendedPriceEssAnnual*ALY23+AMK11*POWER(1-(AnnualChurn*VLOOKUP(ALV23,ChurnSeasonTable,4,FALSE)),1)*BlendedPricePremAnnual*ALY23+AML11*POWER(1-(AnnualChurn*VLOOKUP(ALV23,ChurnSeasonTable,4,FALSE)),1)*BlendedPriceEliteAnnual*ALY23</f>
        <v/>
      </c>
      <c r="AMY23" s="9">
        <f>AMV23+AMW23+AMX23</f>
        <v/>
      </c>
      <c r="AMZ23" s="12">
        <f>SUM(AMY12:AMY23)</f>
        <v/>
      </c>
      <c r="ANA23" s="12">
        <f>OR(ANA22,IF(VATAgentMode,SUM($AMY12:$AMY23)-SUM($ANF12:$ANF23)&gt;=VATThreshold,SUM($AMY12:$AMY23)&gt;=VATThreshold))</f>
        <v/>
      </c>
      <c r="ANB23" s="9">
        <f>IF(ANA23,IF(VATAgentMode,AMY23-((AMY23-ANF23)-(AMY23-ANF23)/(1+VATRate)),AMY23/(1+VATRate)),AMY23)</f>
        <v/>
      </c>
      <c r="ANC23" s="12">
        <f>AMY23-ANB23</f>
        <v/>
      </c>
      <c r="AND23" s="12">
        <f>IF(ANA23=0,0,IF(ALV23=1,SUMPRODUCT(--(($ALW$5:$ALW23=$ALW23-1)*($ALV$5:$ALV23&gt;=10)*($ALV$5:$ALV23&lt;=12)),$ANC$5:$ANC23),IF(ALV23=4,SUMPRODUCT(--(($ALW$5:$ALW23=$ALW23)*($ALV$5:$ALV23&gt;=1)*($ALV$5:$ALV23&lt;=3)),$ANC$5:$ANC23),IF(ALV23=7,SUMPRODUCT(--(($ALW$5:$ALW23=$ALW23)*($ALV$5:$ALV23&gt;=4)*($ALV$5:$ALV23&lt;=6)),$ANC$5:$ANC23),IF(ALV23=10,SUMPRODUCT(--(($ALW$5:$ALW23=$ALW23)*($ALV$5:$ALV23&gt;=7)*($ALV$5:$ALV23&lt;=9)),$ANC$5:$ANC23),0)))))</f>
        <v/>
      </c>
      <c r="ANE23" s="12">
        <f>ANE22+ANC23-AND23</f>
        <v/>
      </c>
      <c r="ANF23" s="12">
        <f>IF(ProviderDelay&gt;=1,AMM22*BlendedProvPayEss+AMN22*BlendedProvPayPrem+AMO22*BlendedProvPayElite+AMP22*BlendedProvPayEss+AMQ22*BlendedProvPayPrem+AMR22*BlendedProvPayElite,AMM23*BlendedProvPayEss+AMN23*BlendedProvPayPrem+AMO23*BlendedProvPayElite+AMP23*BlendedProvPayEss+AMQ23*BlendedProvPayPrem+AMR23*BlendedProvPayElite)</f>
        <v/>
      </c>
      <c r="ANG23" s="12">
        <f>AMY23*PaymentFee</f>
        <v/>
      </c>
      <c r="ANH23" s="12">
        <f>AMS23*OpsAI</f>
        <v/>
      </c>
      <c r="ANI23" s="12">
        <f>MonthlyFixed</f>
        <v/>
      </c>
      <c r="ANJ23" s="12">
        <f>AMC23*ReferralReward</f>
        <v/>
      </c>
      <c r="ANK23" s="12">
        <f>AMA23</f>
        <v/>
      </c>
      <c r="ANL23" s="9">
        <f>ANB23-ANF23-ANG23-ANH23-ANI23-ANJ23-ANK23</f>
        <v/>
      </c>
      <c r="ANM23" s="9">
        <f>ANM22+AMY23-(ANF23+ANG23+ANH23+ANI23+ANJ23+ANK23+AND23)</f>
        <v/>
      </c>
      <c r="ANN23" s="12">
        <f>IF(AMS23&gt;0,AMT23/AMS23,0)</f>
        <v/>
      </c>
      <c r="ANO23" s="11">
        <f>IF(AMS22&gt;0,MAX(0,(AMS22+AMD23-AMS23)/AMS22),0)</f>
        <v/>
      </c>
      <c r="ANQ23" s="12" t="n">
        <v>19</v>
      </c>
      <c r="ANR23" s="12">
        <f>MOD(ANQ23-1+LaunchMonth-1,12)+1</f>
        <v/>
      </c>
      <c r="ANS23" s="12">
        <f>INT((ANQ23-1+LaunchMonth-1)/12)+1</f>
        <v/>
      </c>
      <c r="ANT23" s="12">
        <f>VLOOKUP(ANR23,SeasonTable,2,FALSE)</f>
        <v/>
      </c>
      <c r="ANU23" s="12">
        <f>(1+InflationRate)^INT((ANQ23-1)/12)</f>
        <v/>
      </c>
      <c r="ANV23" s="11">
        <f>MonthlyChurn*VLOOKUP(ANR23,ChurnSeasonTable,4,FALSE)</f>
        <v/>
      </c>
      <c r="ANW23" s="12">
        <f>MIN(MAX(MktMin19plus,AOU22*MktPct19plus),MAX(0,API22-CashBuffer))</f>
        <v/>
      </c>
      <c r="ANX23" s="12">
        <f>IF(ANW23&gt;0,MAX(1,ROUND(ANW23/'Sens - CAC &amp; Marketing'!$A$12*ANT23,0)),0)</f>
        <v/>
      </c>
      <c r="ANY23" s="12">
        <f>IF(ANX23&gt;0,ROUND(ANX23*ReferralMix/(1-ReferralMix),0),0)</f>
        <v/>
      </c>
      <c r="ANZ23" s="12">
        <f>ANX23+ANY23</f>
        <v/>
      </c>
      <c r="AOA23" s="12">
        <f>ROUND(ANZ23*(1-AnnualMix),0)</f>
        <v/>
      </c>
      <c r="AOB23" s="12">
        <f>ANZ23-AOA23</f>
        <v/>
      </c>
      <c r="AOC23" s="12">
        <f>ROUND(AOA23*EssentialMix,0)</f>
        <v/>
      </c>
      <c r="AOD23" s="12">
        <f>ROUND(AOA23*PremiumMix,0)</f>
        <v/>
      </c>
      <c r="AOE23" s="12">
        <f>AOA23-AOC23-AOD23</f>
        <v/>
      </c>
      <c r="AOF23" s="12">
        <f>ROUND(AOB23*EssentialMix,0)</f>
        <v/>
      </c>
      <c r="AOG23" s="12">
        <f>ROUND(AOB23*PremiumMix,0)</f>
        <v/>
      </c>
      <c r="AOH23" s="12">
        <f>AOB23-AOF23-AOG23</f>
        <v/>
      </c>
      <c r="AOI23" s="12">
        <f>AOC23+AOC22+AOC21+MAX(0,AOI22-AOC22-AOC21)*(1-ANV23)</f>
        <v/>
      </c>
      <c r="AOJ23" s="12">
        <f>AOD23+AOD22+AOD21+MAX(0,AOJ22-AOD22-AOD21)*(1-ANV23)</f>
        <v/>
      </c>
      <c r="AOK23" s="12">
        <f>AOE23+AOE22+AOE21+MAX(0,AOK22-AOE22-AOE21)*(1-ANV23)</f>
        <v/>
      </c>
      <c r="AOL23" s="12">
        <f>AOL22+AOF23-AOF11*(AnnualChurn*VLOOKUP(ANR23,ChurnSeasonTable,4,FALSE))*POWER(1-(AnnualChurn*VLOOKUP(ANR23,ChurnSeasonTable,4,FALSE)),0)</f>
        <v/>
      </c>
      <c r="AOM23" s="12">
        <f>AOM22+AOG23-AOG11*(AnnualChurn*VLOOKUP(ANR23,ChurnSeasonTable,4,FALSE))*POWER(1-(AnnualChurn*VLOOKUP(ANR23,ChurnSeasonTable,4,FALSE)),0)</f>
        <v/>
      </c>
      <c r="AON23" s="12">
        <f>AON22+AOH23-AOH11*(AnnualChurn*VLOOKUP(ANR23,ChurnSeasonTable,4,FALSE))*POWER(1-(AnnualChurn*VLOOKUP(ANR23,ChurnSeasonTable,4,FALSE)),0)</f>
        <v/>
      </c>
      <c r="AOO23" s="12">
        <f>AOI23+AOJ23+AOK23+AOL23+AOM23+AON23</f>
        <v/>
      </c>
      <c r="AOP23" s="9">
        <f>AOI23*BlendedPriceEssMonthly*ANU23+AOJ23*BlendedPricePremMonthly*ANU23+AOK23*BlendedPriceEliteMonthly*ANU23+AOL23*BlendedPriceEssAnnual*ANU23/12+AOM23*BlendedPricePremAnnual*ANU23/12+AON23*BlendedPriceEliteAnnual*ANU23/12</f>
        <v/>
      </c>
      <c r="AOQ23" s="9">
        <f>AOP23*12</f>
        <v/>
      </c>
      <c r="AOR23" s="12">
        <f>AOI23*BlendedPriceEssMonthly*ANU23+AOJ23*BlendedPricePremMonthly*ANU23+AOK23*BlendedPriceEliteMonthly*ANU23</f>
        <v/>
      </c>
      <c r="AOS23" s="12">
        <f>AOF23*BlendedPriceEssAnnual*ANU23+AOG23*BlendedPricePremAnnual*ANU23+AOH23*BlendedPriceEliteAnnual*ANU23</f>
        <v/>
      </c>
      <c r="AOT23" s="12">
        <f>AOF11*POWER(1-(AnnualChurn*VLOOKUP(ANR23,ChurnSeasonTable,4,FALSE)),1)*BlendedPriceEssAnnual*ANU23+AOG11*POWER(1-(AnnualChurn*VLOOKUP(ANR23,ChurnSeasonTable,4,FALSE)),1)*BlendedPricePremAnnual*ANU23+AOH11*POWER(1-(AnnualChurn*VLOOKUP(ANR23,ChurnSeasonTable,4,FALSE)),1)*BlendedPriceEliteAnnual*ANU23</f>
        <v/>
      </c>
      <c r="AOU23" s="9">
        <f>AOR23+AOS23+AOT23</f>
        <v/>
      </c>
      <c r="AOV23" s="12">
        <f>SUM(AOU12:AOU23)</f>
        <v/>
      </c>
      <c r="AOW23" s="12">
        <f>OR(AOW22,IF(VATAgentMode,SUM($AOU12:$AOU23)-SUM($APB12:$APB23)&gt;=VATThreshold,SUM($AOU12:$AOU23)&gt;=VATThreshold))</f>
        <v/>
      </c>
      <c r="AOX23" s="9">
        <f>IF(AOW23,IF(VATAgentMode,AOU23-((AOU23-APB23)-(AOU23-APB23)/(1+VATRate)),AOU23/(1+VATRate)),AOU23)</f>
        <v/>
      </c>
      <c r="AOY23" s="12">
        <f>AOU23-AOX23</f>
        <v/>
      </c>
      <c r="AOZ23" s="12">
        <f>IF(AOW23=0,0,IF(ANR23=1,SUMPRODUCT(--(($ANS$5:$ANS23=$ANS23-1)*($ANR$5:$ANR23&gt;=10)*($ANR$5:$ANR23&lt;=12)),$AOY$5:$AOY23),IF(ANR23=4,SUMPRODUCT(--(($ANS$5:$ANS23=$ANS23)*($ANR$5:$ANR23&gt;=1)*($ANR$5:$ANR23&lt;=3)),$AOY$5:$AOY23),IF(ANR23=7,SUMPRODUCT(--(($ANS$5:$ANS23=$ANS23)*($ANR$5:$ANR23&gt;=4)*($ANR$5:$ANR23&lt;=6)),$AOY$5:$AOY23),IF(ANR23=10,SUMPRODUCT(--(($ANS$5:$ANS23=$ANS23)*($ANR$5:$ANR23&gt;=7)*($ANR$5:$ANR23&lt;=9)),$AOY$5:$AOY23),0)))))</f>
        <v/>
      </c>
      <c r="APA23" s="12">
        <f>APA22+AOY23-AOZ23</f>
        <v/>
      </c>
      <c r="APB23" s="12">
        <f>IF(ProviderDelay&gt;=1,AOI22*BlendedProvPayEss+AOJ22*BlendedProvPayPrem+AOK22*BlendedProvPayElite+AOL22*BlendedProvPayEss+AOM22*BlendedProvPayPrem+AON22*BlendedProvPayElite,AOI23*BlendedProvPayEss+AOJ23*BlendedProvPayPrem+AOK23*BlendedProvPayElite+AOL23*BlendedProvPayEss+AOM23*BlendedProvPayPrem+AON23*BlendedProvPayElite)</f>
        <v/>
      </c>
      <c r="APC23" s="12">
        <f>AOU23*PaymentFee</f>
        <v/>
      </c>
      <c r="APD23" s="12">
        <f>AOO23*OpsAI</f>
        <v/>
      </c>
      <c r="APE23" s="12">
        <f>MonthlyFixed</f>
        <v/>
      </c>
      <c r="APF23" s="12">
        <f>ANY23*ReferralReward</f>
        <v/>
      </c>
      <c r="APG23" s="12">
        <f>ANW23</f>
        <v/>
      </c>
      <c r="APH23" s="9">
        <f>AOX23-APB23-APC23-APD23-APE23-APF23-APG23</f>
        <v/>
      </c>
      <c r="API23" s="9">
        <f>API22+AOU23-(APB23+APC23+APD23+APE23+APF23+APG23+AOZ23)</f>
        <v/>
      </c>
      <c r="APJ23" s="12">
        <f>IF(AOO23&gt;0,AOP23/AOO23,0)</f>
        <v/>
      </c>
      <c r="APK23" s="11">
        <f>IF(AOO22&gt;0,MAX(0,(AOO22+ANZ23-AOO23)/AOO22),0)</f>
        <v/>
      </c>
      <c r="APM23" s="12" t="n">
        <v>19</v>
      </c>
      <c r="APN23" s="12">
        <f>MOD(APM23-1+LaunchMonth-1,12)+1</f>
        <v/>
      </c>
      <c r="APO23" s="12">
        <f>INT((APM23-1+LaunchMonth-1)/12)+1</f>
        <v/>
      </c>
      <c r="APP23" s="12">
        <f>VLOOKUP(APN23,SeasonTable,2,FALSE)</f>
        <v/>
      </c>
      <c r="APQ23" s="12">
        <f>(1+InflationRate)^INT((APM23-1)/12)</f>
        <v/>
      </c>
      <c r="APR23" s="11">
        <f>MonthlyChurn*VLOOKUP(APN23,ChurnSeasonTable,4,FALSE)</f>
        <v/>
      </c>
      <c r="APS23" s="12">
        <f>MIN(MAX(MktMin19plus,AQQ22*MktPct19plus),MAX(0,ARE22-CashBuffer))</f>
        <v/>
      </c>
      <c r="APT23" s="12">
        <f>IF(APS23&gt;0,MAX(1,ROUND(APS23/'Sens - CAC &amp; Marketing'!$A$13*APP23,0)),0)</f>
        <v/>
      </c>
      <c r="APU23" s="12">
        <f>IF(APT23&gt;0,ROUND(APT23*ReferralMix/(1-ReferralMix),0),0)</f>
        <v/>
      </c>
      <c r="APV23" s="12">
        <f>APT23+APU23</f>
        <v/>
      </c>
      <c r="APW23" s="12">
        <f>ROUND(APV23*(1-AnnualMix),0)</f>
        <v/>
      </c>
      <c r="APX23" s="12">
        <f>APV23-APW23</f>
        <v/>
      </c>
      <c r="APY23" s="12">
        <f>ROUND(APW23*EssentialMix,0)</f>
        <v/>
      </c>
      <c r="APZ23" s="12">
        <f>ROUND(APW23*PremiumMix,0)</f>
        <v/>
      </c>
      <c r="AQA23" s="12">
        <f>APW23-APY23-APZ23</f>
        <v/>
      </c>
      <c r="AQB23" s="12">
        <f>ROUND(APX23*EssentialMix,0)</f>
        <v/>
      </c>
      <c r="AQC23" s="12">
        <f>ROUND(APX23*PremiumMix,0)</f>
        <v/>
      </c>
      <c r="AQD23" s="12">
        <f>APX23-AQB23-AQC23</f>
        <v/>
      </c>
      <c r="AQE23" s="12">
        <f>APY23+APY22+APY21+MAX(0,AQE22-APY22-APY21)*(1-APR23)</f>
        <v/>
      </c>
      <c r="AQF23" s="12">
        <f>APZ23+APZ22+APZ21+MAX(0,AQF22-APZ22-APZ21)*(1-APR23)</f>
        <v/>
      </c>
      <c r="AQG23" s="12">
        <f>AQA23+AQA22+AQA21+MAX(0,AQG22-AQA22-AQA21)*(1-APR23)</f>
        <v/>
      </c>
      <c r="AQH23" s="12">
        <f>AQH22+AQB23-AQB11*(AnnualChurn*VLOOKUP(APN23,ChurnSeasonTable,4,FALSE))*POWER(1-(AnnualChurn*VLOOKUP(APN23,ChurnSeasonTable,4,FALSE)),0)</f>
        <v/>
      </c>
      <c r="AQI23" s="12">
        <f>AQI22+AQC23-AQC11*(AnnualChurn*VLOOKUP(APN23,ChurnSeasonTable,4,FALSE))*POWER(1-(AnnualChurn*VLOOKUP(APN23,ChurnSeasonTable,4,FALSE)),0)</f>
        <v/>
      </c>
      <c r="AQJ23" s="12">
        <f>AQJ22+AQD23-AQD11*(AnnualChurn*VLOOKUP(APN23,ChurnSeasonTable,4,FALSE))*POWER(1-(AnnualChurn*VLOOKUP(APN23,ChurnSeasonTable,4,FALSE)),0)</f>
        <v/>
      </c>
      <c r="AQK23" s="12">
        <f>AQE23+AQF23+AQG23+AQH23+AQI23+AQJ23</f>
        <v/>
      </c>
      <c r="AQL23" s="9">
        <f>AQE23*BlendedPriceEssMonthly*APQ23+AQF23*BlendedPricePremMonthly*APQ23+AQG23*BlendedPriceEliteMonthly*APQ23+AQH23*BlendedPriceEssAnnual*APQ23/12+AQI23*BlendedPricePremAnnual*APQ23/12+AQJ23*BlendedPriceEliteAnnual*APQ23/12</f>
        <v/>
      </c>
      <c r="AQM23" s="9">
        <f>AQL23*12</f>
        <v/>
      </c>
      <c r="AQN23" s="12">
        <f>AQE23*BlendedPriceEssMonthly*APQ23+AQF23*BlendedPricePremMonthly*APQ23+AQG23*BlendedPriceEliteMonthly*APQ23</f>
        <v/>
      </c>
      <c r="AQO23" s="12">
        <f>AQB23*BlendedPriceEssAnnual*APQ23+AQC23*BlendedPricePremAnnual*APQ23+AQD23*BlendedPriceEliteAnnual*APQ23</f>
        <v/>
      </c>
      <c r="AQP23" s="12">
        <f>AQB11*POWER(1-(AnnualChurn*VLOOKUP(APN23,ChurnSeasonTable,4,FALSE)),1)*BlendedPriceEssAnnual*APQ23+AQC11*POWER(1-(AnnualChurn*VLOOKUP(APN23,ChurnSeasonTable,4,FALSE)),1)*BlendedPricePremAnnual*APQ23+AQD11*POWER(1-(AnnualChurn*VLOOKUP(APN23,ChurnSeasonTable,4,FALSE)),1)*BlendedPriceEliteAnnual*APQ23</f>
        <v/>
      </c>
      <c r="AQQ23" s="9">
        <f>AQN23+AQO23+AQP23</f>
        <v/>
      </c>
      <c r="AQR23" s="12">
        <f>SUM(AQQ12:AQQ23)</f>
        <v/>
      </c>
      <c r="AQS23" s="12">
        <f>OR(AQS22,IF(VATAgentMode,SUM($AQQ12:$AQQ23)-SUM($AQX12:$AQX23)&gt;=VATThreshold,SUM($AQQ12:$AQQ23)&gt;=VATThreshold))</f>
        <v/>
      </c>
      <c r="AQT23" s="9">
        <f>IF(AQS23,IF(VATAgentMode,AQQ23-((AQQ23-AQX23)-(AQQ23-AQX23)/(1+VATRate)),AQQ23/(1+VATRate)),AQQ23)</f>
        <v/>
      </c>
      <c r="AQU23" s="12">
        <f>AQQ23-AQT23</f>
        <v/>
      </c>
      <c r="AQV23" s="12">
        <f>IF(AQS23=0,0,IF(APN23=1,SUMPRODUCT(--(($APO$5:$APO23=$APO23-1)*($APN$5:$APN23&gt;=10)*($APN$5:$APN23&lt;=12)),$AQU$5:$AQU23),IF(APN23=4,SUMPRODUCT(--(($APO$5:$APO23=$APO23)*($APN$5:$APN23&gt;=1)*($APN$5:$APN23&lt;=3)),$AQU$5:$AQU23),IF(APN23=7,SUMPRODUCT(--(($APO$5:$APO23=$APO23)*($APN$5:$APN23&gt;=4)*($APN$5:$APN23&lt;=6)),$AQU$5:$AQU23),IF(APN23=10,SUMPRODUCT(--(($APO$5:$APO23=$APO23)*($APN$5:$APN23&gt;=7)*($APN$5:$APN23&lt;=9)),$AQU$5:$AQU23),0)))))</f>
        <v/>
      </c>
      <c r="AQW23" s="12">
        <f>AQW22+AQU23-AQV23</f>
        <v/>
      </c>
      <c r="AQX23" s="12">
        <f>IF(ProviderDelay&gt;=1,AQE22*BlendedProvPayEss+AQF22*BlendedProvPayPrem+AQG22*BlendedProvPayElite+AQH22*BlendedProvPayEss+AQI22*BlendedProvPayPrem+AQJ22*BlendedProvPayElite,AQE23*BlendedProvPayEss+AQF23*BlendedProvPayPrem+AQG23*BlendedProvPayElite+AQH23*BlendedProvPayEss+AQI23*BlendedProvPayPrem+AQJ23*BlendedProvPayElite)</f>
        <v/>
      </c>
      <c r="AQY23" s="12">
        <f>AQQ23*PaymentFee</f>
        <v/>
      </c>
      <c r="AQZ23" s="12">
        <f>AQK23*OpsAI</f>
        <v/>
      </c>
      <c r="ARA23" s="12">
        <f>MonthlyFixed</f>
        <v/>
      </c>
      <c r="ARB23" s="12">
        <f>APU23*ReferralReward</f>
        <v/>
      </c>
      <c r="ARC23" s="12">
        <f>APS23</f>
        <v/>
      </c>
      <c r="ARD23" s="9">
        <f>AQT23-AQX23-AQY23-AQZ23-ARA23-ARB23-ARC23</f>
        <v/>
      </c>
      <c r="ARE23" s="9">
        <f>ARE22+AQQ23-(AQX23+AQY23+AQZ23+ARA23+ARB23+ARC23+AQV23)</f>
        <v/>
      </c>
      <c r="ARF23" s="12">
        <f>IF(AQK23&gt;0,AQL23/AQK23,0)</f>
        <v/>
      </c>
      <c r="ARG23" s="11">
        <f>IF(AQK22&gt;0,MAX(0,(AQK22+APV23-AQK23)/AQK22),0)</f>
        <v/>
      </c>
      <c r="ARI23" s="12" t="n">
        <v>19</v>
      </c>
      <c r="ARJ23" s="12">
        <f>MOD(ARI23-1+LaunchMonth-1,12)+1</f>
        <v/>
      </c>
      <c r="ARK23" s="12">
        <f>INT((ARI23-1+LaunchMonth-1)/12)+1</f>
        <v/>
      </c>
      <c r="ARL23" s="12">
        <f>VLOOKUP(ARJ23,SeasonTable,2,FALSE)</f>
        <v/>
      </c>
      <c r="ARM23" s="12">
        <f>(1+InflationRate)^INT((ARI23-1)/12)</f>
        <v/>
      </c>
      <c r="ARN23" s="11">
        <f>MonthlyChurn*VLOOKUP(ARJ23,ChurnSeasonTable,4,FALSE)</f>
        <v/>
      </c>
      <c r="ARO23" s="12">
        <f>MIN(MAX(MktMin19plus,ASM22*MktPct19plus),MAX(0,ATA22-CashBuffer))</f>
        <v/>
      </c>
      <c r="ARP23" s="12">
        <f>IF(ARO23&gt;0,MAX(1,ROUND(ARO23/'Sens - CAC &amp; Marketing'!$A$14*ARL23,0)),0)</f>
        <v/>
      </c>
      <c r="ARQ23" s="12">
        <f>IF(ARP23&gt;0,ROUND(ARP23*ReferralMix/(1-ReferralMix),0),0)</f>
        <v/>
      </c>
      <c r="ARR23" s="12">
        <f>ARP23+ARQ23</f>
        <v/>
      </c>
      <c r="ARS23" s="12">
        <f>ROUND(ARR23*(1-AnnualMix),0)</f>
        <v/>
      </c>
      <c r="ART23" s="12">
        <f>ARR23-ARS23</f>
        <v/>
      </c>
      <c r="ARU23" s="12">
        <f>ROUND(ARS23*EssentialMix,0)</f>
        <v/>
      </c>
      <c r="ARV23" s="12">
        <f>ROUND(ARS23*PremiumMix,0)</f>
        <v/>
      </c>
      <c r="ARW23" s="12">
        <f>ARS23-ARU23-ARV23</f>
        <v/>
      </c>
      <c r="ARX23" s="12">
        <f>ROUND(ART23*EssentialMix,0)</f>
        <v/>
      </c>
      <c r="ARY23" s="12">
        <f>ROUND(ART23*PremiumMix,0)</f>
        <v/>
      </c>
      <c r="ARZ23" s="12">
        <f>ART23-ARX23-ARY23</f>
        <v/>
      </c>
      <c r="ASA23" s="12">
        <f>ARU23+ARU22+ARU21+MAX(0,ASA22-ARU22-ARU21)*(1-ARN23)</f>
        <v/>
      </c>
      <c r="ASB23" s="12">
        <f>ARV23+ARV22+ARV21+MAX(0,ASB22-ARV22-ARV21)*(1-ARN23)</f>
        <v/>
      </c>
      <c r="ASC23" s="12">
        <f>ARW23+ARW22+ARW21+MAX(0,ASC22-ARW22-ARW21)*(1-ARN23)</f>
        <v/>
      </c>
      <c r="ASD23" s="12">
        <f>ASD22+ARX23-ARX11*(AnnualChurn*VLOOKUP(ARJ23,ChurnSeasonTable,4,FALSE))*POWER(1-(AnnualChurn*VLOOKUP(ARJ23,ChurnSeasonTable,4,FALSE)),0)</f>
        <v/>
      </c>
      <c r="ASE23" s="12">
        <f>ASE22+ARY23-ARY11*(AnnualChurn*VLOOKUP(ARJ23,ChurnSeasonTable,4,FALSE))*POWER(1-(AnnualChurn*VLOOKUP(ARJ23,ChurnSeasonTable,4,FALSE)),0)</f>
        <v/>
      </c>
      <c r="ASF23" s="12">
        <f>ASF22+ARZ23-ARZ11*(AnnualChurn*VLOOKUP(ARJ23,ChurnSeasonTable,4,FALSE))*POWER(1-(AnnualChurn*VLOOKUP(ARJ23,ChurnSeasonTable,4,FALSE)),0)</f>
        <v/>
      </c>
      <c r="ASG23" s="12">
        <f>ASA23+ASB23+ASC23+ASD23+ASE23+ASF23</f>
        <v/>
      </c>
      <c r="ASH23" s="9">
        <f>ASA23*BlendedPriceEssMonthly*ARM23+ASB23*BlendedPricePremMonthly*ARM23+ASC23*BlendedPriceEliteMonthly*ARM23+ASD23*BlendedPriceEssAnnual*ARM23/12+ASE23*BlendedPricePremAnnual*ARM23/12+ASF23*BlendedPriceEliteAnnual*ARM23/12</f>
        <v/>
      </c>
      <c r="ASI23" s="9">
        <f>ASH23*12</f>
        <v/>
      </c>
      <c r="ASJ23" s="12">
        <f>ASA23*BlendedPriceEssMonthly*ARM23+ASB23*BlendedPricePremMonthly*ARM23+ASC23*BlendedPriceEliteMonthly*ARM23</f>
        <v/>
      </c>
      <c r="ASK23" s="12">
        <f>ARX23*BlendedPriceEssAnnual*ARM23+ARY23*BlendedPricePremAnnual*ARM23+ARZ23*BlendedPriceEliteAnnual*ARM23</f>
        <v/>
      </c>
      <c r="ASL23" s="12">
        <f>ARX11*POWER(1-(AnnualChurn*VLOOKUP(ARJ23,ChurnSeasonTable,4,FALSE)),1)*BlendedPriceEssAnnual*ARM23+ARY11*POWER(1-(AnnualChurn*VLOOKUP(ARJ23,ChurnSeasonTable,4,FALSE)),1)*BlendedPricePremAnnual*ARM23+ARZ11*POWER(1-(AnnualChurn*VLOOKUP(ARJ23,ChurnSeasonTable,4,FALSE)),1)*BlendedPriceEliteAnnual*ARM23</f>
        <v/>
      </c>
      <c r="ASM23" s="9">
        <f>ASJ23+ASK23+ASL23</f>
        <v/>
      </c>
      <c r="ASN23" s="12">
        <f>SUM(ASM12:ASM23)</f>
        <v/>
      </c>
      <c r="ASO23" s="12">
        <f>OR(ASO22,IF(VATAgentMode,SUM($ASM12:$ASM23)-SUM($AST12:$AST23)&gt;=VATThreshold,SUM($ASM12:$ASM23)&gt;=VATThreshold))</f>
        <v/>
      </c>
      <c r="ASP23" s="9">
        <f>IF(ASO23,IF(VATAgentMode,ASM23-((ASM23-AST23)-(ASM23-AST23)/(1+VATRate)),ASM23/(1+VATRate)),ASM23)</f>
        <v/>
      </c>
      <c r="ASQ23" s="12">
        <f>ASM23-ASP23</f>
        <v/>
      </c>
      <c r="ASR23" s="12">
        <f>IF(ASO23=0,0,IF(ARJ23=1,SUMPRODUCT(--(($ARK$5:$ARK23=$ARK23-1)*($ARJ$5:$ARJ23&gt;=10)*($ARJ$5:$ARJ23&lt;=12)),$ASQ$5:$ASQ23),IF(ARJ23=4,SUMPRODUCT(--(($ARK$5:$ARK23=$ARK23)*($ARJ$5:$ARJ23&gt;=1)*($ARJ$5:$ARJ23&lt;=3)),$ASQ$5:$ASQ23),IF(ARJ23=7,SUMPRODUCT(--(($ARK$5:$ARK23=$ARK23)*($ARJ$5:$ARJ23&gt;=4)*($ARJ$5:$ARJ23&lt;=6)),$ASQ$5:$ASQ23),IF(ARJ23=10,SUMPRODUCT(--(($ARK$5:$ARK23=$ARK23)*($ARJ$5:$ARJ23&gt;=7)*($ARJ$5:$ARJ23&lt;=9)),$ASQ$5:$ASQ23),0)))))</f>
        <v/>
      </c>
      <c r="ASS23" s="12">
        <f>ASS22+ASQ23-ASR23</f>
        <v/>
      </c>
      <c r="AST23" s="12">
        <f>IF(ProviderDelay&gt;=1,ASA22*BlendedProvPayEss+ASB22*BlendedProvPayPrem+ASC22*BlendedProvPayElite+ASD22*BlendedProvPayEss+ASE22*BlendedProvPayPrem+ASF22*BlendedProvPayElite,ASA23*BlendedProvPayEss+ASB23*BlendedProvPayPrem+ASC23*BlendedProvPayElite+ASD23*BlendedProvPayEss+ASE23*BlendedProvPayPrem+ASF23*BlendedProvPayElite)</f>
        <v/>
      </c>
      <c r="ASU23" s="12">
        <f>ASM23*PaymentFee</f>
        <v/>
      </c>
      <c r="ASV23" s="12">
        <f>ASG23*OpsAI</f>
        <v/>
      </c>
      <c r="ASW23" s="12">
        <f>MonthlyFixed</f>
        <v/>
      </c>
      <c r="ASX23" s="12">
        <f>ARQ23*ReferralReward</f>
        <v/>
      </c>
      <c r="ASY23" s="12">
        <f>ARO23</f>
        <v/>
      </c>
      <c r="ASZ23" s="9">
        <f>ASP23-AST23-ASU23-ASV23-ASW23-ASX23-ASY23</f>
        <v/>
      </c>
      <c r="ATA23" s="9">
        <f>ATA22+ASM23-(AST23+ASU23+ASV23+ASW23+ASX23+ASY23+ASR23)</f>
        <v/>
      </c>
      <c r="ATB23" s="12">
        <f>IF(ASG23&gt;0,ASH23/ASG23,0)</f>
        <v/>
      </c>
      <c r="ATC23" s="11">
        <f>IF(ASG22&gt;0,MAX(0,(ASG22+ARR23-ASG23)/ASG22),0)</f>
        <v/>
      </c>
      <c r="ATE23" s="12" t="n">
        <v>19</v>
      </c>
      <c r="ATF23" s="12">
        <f>MOD(ATE23-1+LaunchMonth-1,12)+1</f>
        <v/>
      </c>
      <c r="ATG23" s="12">
        <f>INT((ATE23-1+LaunchMonth-1)/12)+1</f>
        <v/>
      </c>
      <c r="ATH23" s="12">
        <f>VLOOKUP(ATF23,SeasonTable,2,FALSE)</f>
        <v/>
      </c>
      <c r="ATI23" s="12">
        <f>(1+InflationRate)^INT((ATE23-1)/12)</f>
        <v/>
      </c>
      <c r="ATJ23" s="11">
        <f>MonthlyChurn*VLOOKUP(ATF23,ChurnSeasonTable,4,FALSE)</f>
        <v/>
      </c>
      <c r="ATK23" s="12">
        <f>MIN(MAX(MktMin19plus,AUI22*MktPct19plus),MAX(0,AUW22-CashBuffer))</f>
        <v/>
      </c>
      <c r="ATL23" s="12">
        <f>IF(ATK23&gt;0,MAX(1,ROUND(ATK23/'Sens - CAC &amp; Marketing'!$A$15*ATH23,0)),0)</f>
        <v/>
      </c>
      <c r="ATM23" s="12">
        <f>IF(ATL23&gt;0,ROUND(ATL23*ReferralMix/(1-ReferralMix),0),0)</f>
        <v/>
      </c>
      <c r="ATN23" s="12">
        <f>ATL23+ATM23</f>
        <v/>
      </c>
      <c r="ATO23" s="12">
        <f>ROUND(ATN23*(1-AnnualMix),0)</f>
        <v/>
      </c>
      <c r="ATP23" s="12">
        <f>ATN23-ATO23</f>
        <v/>
      </c>
      <c r="ATQ23" s="12">
        <f>ROUND(ATO23*EssentialMix,0)</f>
        <v/>
      </c>
      <c r="ATR23" s="12">
        <f>ROUND(ATO23*PremiumMix,0)</f>
        <v/>
      </c>
      <c r="ATS23" s="12">
        <f>ATO23-ATQ23-ATR23</f>
        <v/>
      </c>
      <c r="ATT23" s="12">
        <f>ROUND(ATP23*EssentialMix,0)</f>
        <v/>
      </c>
      <c r="ATU23" s="12">
        <f>ROUND(ATP23*PremiumMix,0)</f>
        <v/>
      </c>
      <c r="ATV23" s="12">
        <f>ATP23-ATT23-ATU23</f>
        <v/>
      </c>
      <c r="ATW23" s="12">
        <f>ATQ23+ATQ22+ATQ21+MAX(0,ATW22-ATQ22-ATQ21)*(1-ATJ23)</f>
        <v/>
      </c>
      <c r="ATX23" s="12">
        <f>ATR23+ATR22+ATR21+MAX(0,ATX22-ATR22-ATR21)*(1-ATJ23)</f>
        <v/>
      </c>
      <c r="ATY23" s="12">
        <f>ATS23+ATS22+ATS21+MAX(0,ATY22-ATS22-ATS21)*(1-ATJ23)</f>
        <v/>
      </c>
      <c r="ATZ23" s="12">
        <f>ATZ22+ATT23-ATT11*(AnnualChurn*VLOOKUP(ATF23,ChurnSeasonTable,4,FALSE))*POWER(1-(AnnualChurn*VLOOKUP(ATF23,ChurnSeasonTable,4,FALSE)),0)</f>
        <v/>
      </c>
      <c r="AUA23" s="12">
        <f>AUA22+ATU23-ATU11*(AnnualChurn*VLOOKUP(ATF23,ChurnSeasonTable,4,FALSE))*POWER(1-(AnnualChurn*VLOOKUP(ATF23,ChurnSeasonTable,4,FALSE)),0)</f>
        <v/>
      </c>
      <c r="AUB23" s="12">
        <f>AUB22+ATV23-ATV11*(AnnualChurn*VLOOKUP(ATF23,ChurnSeasonTable,4,FALSE))*POWER(1-(AnnualChurn*VLOOKUP(ATF23,ChurnSeasonTable,4,FALSE)),0)</f>
        <v/>
      </c>
      <c r="AUC23" s="12">
        <f>ATW23+ATX23+ATY23+ATZ23+AUA23+AUB23</f>
        <v/>
      </c>
      <c r="AUD23" s="9">
        <f>ATW23*BlendedPriceEssMonthly*ATI23+ATX23*BlendedPricePremMonthly*ATI23+ATY23*BlendedPriceEliteMonthly*ATI23+ATZ23*BlendedPriceEssAnnual*ATI23/12+AUA23*BlendedPricePremAnnual*ATI23/12+AUB23*BlendedPriceEliteAnnual*ATI23/12</f>
        <v/>
      </c>
      <c r="AUE23" s="9">
        <f>AUD23*12</f>
        <v/>
      </c>
      <c r="AUF23" s="12">
        <f>ATW23*BlendedPriceEssMonthly*ATI23+ATX23*BlendedPricePremMonthly*ATI23+ATY23*BlendedPriceEliteMonthly*ATI23</f>
        <v/>
      </c>
      <c r="AUG23" s="12">
        <f>ATT23*BlendedPriceEssAnnual*ATI23+ATU23*BlendedPricePremAnnual*ATI23+ATV23*BlendedPriceEliteAnnual*ATI23</f>
        <v/>
      </c>
      <c r="AUH23" s="12">
        <f>ATT11*POWER(1-(AnnualChurn*VLOOKUP(ATF23,ChurnSeasonTable,4,FALSE)),1)*BlendedPriceEssAnnual*ATI23+ATU11*POWER(1-(AnnualChurn*VLOOKUP(ATF23,ChurnSeasonTable,4,FALSE)),1)*BlendedPricePremAnnual*ATI23+ATV11*POWER(1-(AnnualChurn*VLOOKUP(ATF23,ChurnSeasonTable,4,FALSE)),1)*BlendedPriceEliteAnnual*ATI23</f>
        <v/>
      </c>
      <c r="AUI23" s="9">
        <f>AUF23+AUG23+AUH23</f>
        <v/>
      </c>
      <c r="AUJ23" s="12">
        <f>SUM(AUI12:AUI23)</f>
        <v/>
      </c>
      <c r="AUK23" s="12">
        <f>OR(AUK22,IF(VATAgentMode,SUM($AUI12:$AUI23)-SUM($AUP12:$AUP23)&gt;=VATThreshold,SUM($AUI12:$AUI23)&gt;=VATThreshold))</f>
        <v/>
      </c>
      <c r="AUL23" s="9">
        <f>IF(AUK23,IF(VATAgentMode,AUI23-((AUI23-AUP23)-(AUI23-AUP23)/(1+VATRate)),AUI23/(1+VATRate)),AUI23)</f>
        <v/>
      </c>
      <c r="AUM23" s="12">
        <f>AUI23-AUL23</f>
        <v/>
      </c>
      <c r="AUN23" s="12">
        <f>IF(AUK23=0,0,IF(ATF23=1,SUMPRODUCT(--(($ATG$5:$ATG23=$ATG23-1)*($ATF$5:$ATF23&gt;=10)*($ATF$5:$ATF23&lt;=12)),$AUM$5:$AUM23),IF(ATF23=4,SUMPRODUCT(--(($ATG$5:$ATG23=$ATG23)*($ATF$5:$ATF23&gt;=1)*($ATF$5:$ATF23&lt;=3)),$AUM$5:$AUM23),IF(ATF23=7,SUMPRODUCT(--(($ATG$5:$ATG23=$ATG23)*($ATF$5:$ATF23&gt;=4)*($ATF$5:$ATF23&lt;=6)),$AUM$5:$AUM23),IF(ATF23=10,SUMPRODUCT(--(($ATG$5:$ATG23=$ATG23)*($ATF$5:$ATF23&gt;=7)*($ATF$5:$ATF23&lt;=9)),$AUM$5:$AUM23),0)))))</f>
        <v/>
      </c>
      <c r="AUO23" s="12">
        <f>AUO22+AUM23-AUN23</f>
        <v/>
      </c>
      <c r="AUP23" s="12">
        <f>IF(ProviderDelay&gt;=1,ATW22*BlendedProvPayEss+ATX22*BlendedProvPayPrem+ATY22*BlendedProvPayElite+ATZ22*BlendedProvPayEss+AUA22*BlendedProvPayPrem+AUB22*BlendedProvPayElite,ATW23*BlendedProvPayEss+ATX23*BlendedProvPayPrem+ATY23*BlendedProvPayElite+ATZ23*BlendedProvPayEss+AUA23*BlendedProvPayPrem+AUB23*BlendedProvPayElite)</f>
        <v/>
      </c>
      <c r="AUQ23" s="12">
        <f>AUI23*PaymentFee</f>
        <v/>
      </c>
      <c r="AUR23" s="12">
        <f>AUC23*OpsAI</f>
        <v/>
      </c>
      <c r="AUS23" s="12">
        <f>MonthlyFixed</f>
        <v/>
      </c>
      <c r="AUT23" s="12">
        <f>ATM23*ReferralReward</f>
        <v/>
      </c>
      <c r="AUU23" s="12">
        <f>ATK23</f>
        <v/>
      </c>
      <c r="AUV23" s="9">
        <f>AUL23-AUP23-AUQ23-AUR23-AUS23-AUT23-AUU23</f>
        <v/>
      </c>
      <c r="AUW23" s="9">
        <f>AUW22+AUI23-(AUP23+AUQ23+AUR23+AUS23+AUT23+AUU23+AUN23)</f>
        <v/>
      </c>
      <c r="AUX23" s="12">
        <f>IF(AUC23&gt;0,AUD23/AUC23,0)</f>
        <v/>
      </c>
      <c r="AUY23" s="11">
        <f>IF(AUC22&gt;0,MAX(0,(AUC22+ATN23-AUC23)/AUC22),0)</f>
        <v/>
      </c>
      <c r="AVA23" s="12" t="n">
        <v>19</v>
      </c>
      <c r="AVB23" s="12">
        <f>MOD(AVA23-1+LaunchMonth-1,12)+1</f>
        <v/>
      </c>
      <c r="AVC23" s="12">
        <f>INT((AVA23-1+LaunchMonth-1)/12)+1</f>
        <v/>
      </c>
      <c r="AVD23" s="12">
        <f>VLOOKUP(AVB23,WinterPivotSeasonTable,5,FALSE)</f>
        <v/>
      </c>
      <c r="AVE23" s="12">
        <f>(1+InflationRate)^INT((AVA23-1)/12)</f>
        <v/>
      </c>
      <c r="AVF23" s="11">
        <f>MonthlyChurn*VLOOKUP(AVB23,WinterPivotChurnTable,6,FALSE)</f>
        <v/>
      </c>
      <c r="AVG23" s="12">
        <f>MIN(MAX(MktMin19plus,AWE22*MktPct19plus),MAX(0,AWS22-CashBuffer))</f>
        <v/>
      </c>
      <c r="AVH23" s="12">
        <f>IF(AVG23&gt;0,MAX(1,ROUND(AVG23/CAC*AVD23,0)),0)</f>
        <v/>
      </c>
      <c r="AVI23" s="12">
        <f>IF(AVH23&gt;0,ROUND(AVH23*ReferralMix/(1-ReferralMix),0),0)</f>
        <v/>
      </c>
      <c r="AVJ23" s="12">
        <f>AVH23+AVI23</f>
        <v/>
      </c>
      <c r="AVK23" s="12">
        <f>ROUND(AVJ23*(1-AnnualMix),0)</f>
        <v/>
      </c>
      <c r="AVL23" s="12">
        <f>AVJ23-AVK23</f>
        <v/>
      </c>
      <c r="AVM23" s="12">
        <f>ROUND(AVK23*'Sens - Winter Pivot'!$B$6,0)</f>
        <v/>
      </c>
      <c r="AVN23" s="12">
        <f>ROUND(AVK23*PremiumMix,0)</f>
        <v/>
      </c>
      <c r="AVO23" s="12">
        <f>AVK23-AVM23-AVN23</f>
        <v/>
      </c>
      <c r="AVP23" s="12">
        <f>ROUND(AVL23*'Sens - Winter Pivot'!$B$6,0)</f>
        <v/>
      </c>
      <c r="AVQ23" s="12">
        <f>ROUND(AVL23*PremiumMix,0)</f>
        <v/>
      </c>
      <c r="AVR23" s="12">
        <f>AVL23-AVP23-AVQ23</f>
        <v/>
      </c>
      <c r="AVS23" s="12">
        <f>AVM23+AVM22+AVM21+MAX(0,AVS22-AVM22-AVM21)*(1-AVF23)</f>
        <v/>
      </c>
      <c r="AVT23" s="12">
        <f>AVN23+AVN22+AVN21+MAX(0,AVT22-AVN22-AVN21)*(1-AVF23)</f>
        <v/>
      </c>
      <c r="AVU23" s="12">
        <f>AVO23+AVO22+AVO21+MAX(0,AVU22-AVO22-AVO21)*(1-AVF23)</f>
        <v/>
      </c>
      <c r="AVV23" s="12">
        <f>AVV22+AVP23-AVP11*(AnnualChurn*VLOOKUP(AVB23,ChurnSeasonTable,4,FALSE))*POWER(1-(AnnualChurn*VLOOKUP(AVB23,ChurnSeasonTable,4,FALSE)),0)</f>
        <v/>
      </c>
      <c r="AVW23" s="12">
        <f>AVW22+AVQ23-AVQ11*(AnnualChurn*VLOOKUP(AVB23,ChurnSeasonTable,4,FALSE))*POWER(1-(AnnualChurn*VLOOKUP(AVB23,ChurnSeasonTable,4,FALSE)),0)</f>
        <v/>
      </c>
      <c r="AVX23" s="12">
        <f>AVX22+AVR23-AVR11*(AnnualChurn*VLOOKUP(AVB23,ChurnSeasonTable,4,FALSE))*POWER(1-(AnnualChurn*VLOOKUP(AVB23,ChurnSeasonTable,4,FALSE)),0)</f>
        <v/>
      </c>
      <c r="AVY23" s="12">
        <f>AVS23+AVT23+AVU23+AVV23+AVW23+AVX23</f>
        <v/>
      </c>
      <c r="AVZ23" s="9">
        <f>AVS23*BlendedPriceEssMonthly*AVE23+AVT23*(BlendedPricePremMonthly+'Sens - Winter Pivot'!$B$7)*AVE23+AVU23*BlendedPriceEliteMonthly*AVE23+AVV23*BlendedPriceEssAnnual*AVE23/12+AVW23*(BlendedPricePremAnnual+'Sens - Winter Pivot'!$B$7*12)*AVE23/12+AVX23*BlendedPriceEliteAnnual*AVE23/12</f>
        <v/>
      </c>
      <c r="AWA23" s="9">
        <f>AVZ23*12</f>
        <v/>
      </c>
      <c r="AWB23" s="12">
        <f>AVS23*BlendedPriceEssMonthly*AVE23+AVT23*(BlendedPricePremMonthly+'Sens - Winter Pivot'!$B$7)*AVE23+AVU23*BlendedPriceEliteMonthly*AVE23</f>
        <v/>
      </c>
      <c r="AWC23" s="12">
        <f>AVP23*BlendedPriceEssAnnual*AVE23+AVQ23*(BlendedPricePremAnnual+'Sens - Winter Pivot'!$B$7*12)*AVE23+AVR23*BlendedPriceEliteAnnual*AVE23</f>
        <v/>
      </c>
      <c r="AWD23" s="12">
        <f>AVP11*POWER(1-(AnnualChurn*VLOOKUP(AVB23,ChurnSeasonTable,4,FALSE)),1)*BlendedPriceEssAnnual*AVE23+AVQ11*POWER(1-(AnnualChurn*VLOOKUP(AVB23,ChurnSeasonTable,4,FALSE)),1)*BlendedPricePremAnnual*AVE23+AVR11*POWER(1-(AnnualChurn*VLOOKUP(AVB23,ChurnSeasonTable,4,FALSE)),1)*BlendedPriceEliteAnnual*AVE23</f>
        <v/>
      </c>
      <c r="AWE23" s="9">
        <f>AWB23+AWC23+AWD23</f>
        <v/>
      </c>
      <c r="AWF23" s="12">
        <f>SUM(AWE12:AWE23)</f>
        <v/>
      </c>
      <c r="AWG23" s="12">
        <f>OR(AWG22,IF(VATAgentMode,SUM($AWE12:$AWE23)-SUM($AWL12:$AWL23)&gt;=VATThreshold,SUM($AWE12:$AWE23)&gt;=VATThreshold))</f>
        <v/>
      </c>
      <c r="AWH23" s="9">
        <f>IF(AWG23,IF(VATAgentMode,AWE23-((AWE23-AWL23)-(AWE23-AWL23)/(1+VATRate)),AWE23/(1+VATRate)),AWE23)</f>
        <v/>
      </c>
      <c r="AWI23" s="12">
        <f>AWE23-AWH23</f>
        <v/>
      </c>
      <c r="AWJ23" s="12">
        <f>IF(AWG23=0,0,IF(AVB23=1,SUMPRODUCT(--(($AVC$5:$AVC23=$AVC23-1)*($AVB$5:$AVB23&gt;=10)*($AVB$5:$AVB23&lt;=12)),$AWI$5:$AWI23),IF(AVB23=4,SUMPRODUCT(--(($AVC$5:$AVC23=$AVC23)*($AVB$5:$AVB23&gt;=1)*($AVB$5:$AVB23&lt;=3)),$AWI$5:$AWI23),IF(AVB23=7,SUMPRODUCT(--(($AVC$5:$AVC23=$AVC23)*($AVB$5:$AVB23&gt;=4)*($AVB$5:$AVB23&lt;=6)),$AWI$5:$AWI23),IF(AVB23=10,SUMPRODUCT(--(($AVC$5:$AVC23=$AVC23)*($AVB$5:$AVB23&gt;=7)*($AVB$5:$AVB23&lt;=9)),$AWI$5:$AWI23),0)))))</f>
        <v/>
      </c>
      <c r="AWK23" s="12">
        <f>AWK22+AWI23-AWJ23</f>
        <v/>
      </c>
      <c r="AWL23" s="12">
        <f>IF(ProviderDelay&gt;=1,AVS22*BlendedProvPayEss+AVT22*BlendedProvPayPrem+AVU22*BlendedProvPayElite+AVV22*BlendedProvPayEss+AVW22*BlendedProvPayPrem+AVX22*BlendedProvPayElite,AVS23*BlendedProvPayEss+AVT23*BlendedProvPayPrem+AVU23*BlendedProvPayElite+AVV23*BlendedProvPayEss+AVW23*BlendedProvPayPrem+AVX23*BlendedProvPayElite)</f>
        <v/>
      </c>
      <c r="AWM23" s="12">
        <f>AWE23*PaymentFee</f>
        <v/>
      </c>
      <c r="AWN23" s="12">
        <f>AVY23*OpsAI</f>
        <v/>
      </c>
      <c r="AWO23" s="12">
        <f>MonthlyFixed</f>
        <v/>
      </c>
      <c r="AWP23" s="12">
        <f>AVI23*ReferralReward</f>
        <v/>
      </c>
      <c r="AWQ23" s="12">
        <f>AVG23</f>
        <v/>
      </c>
      <c r="AWR23" s="9">
        <f>AWH23-AWL23-AWM23-AWN23-AWO23-AWP23-AWQ23</f>
        <v/>
      </c>
      <c r="AWS23" s="9">
        <f>AWS22+AWE23-(AWL23+AWM23+AWN23+AWO23+AWP23+AWQ23+AWJ23)</f>
        <v/>
      </c>
      <c r="AWT23" s="12">
        <f>IF(AVY23&gt;0,AVZ23/AVY23,0)</f>
        <v/>
      </c>
      <c r="AWU23" s="11">
        <f>IF(AVY22&gt;0,MAX(0,(AVY22+AVJ23-AVY23)/AVY22),0)</f>
        <v/>
      </c>
    </row>
    <row r="24">
      <c r="A24" s="12" t="n">
        <v>20</v>
      </c>
      <c r="B24" s="12">
        <f>MOD(A24-1+LaunchMonth-1,12)+1</f>
        <v/>
      </c>
      <c r="C24" s="12">
        <f>INT((A24-1+LaunchMonth-1)/12)+1</f>
        <v/>
      </c>
      <c r="D24" s="12">
        <f>VLOOKUP(B24,SeasonTable,2,FALSE)</f>
        <v/>
      </c>
      <c r="E24" s="12">
        <f>(1+InflationRate)^INT((A24-1)/12)</f>
        <v/>
      </c>
      <c r="F24" s="11">
        <f>'Sens - Scenarios'!$B$5*VLOOKUP(B24,ChurnSeasonTable,4,FALSE)</f>
        <v/>
      </c>
      <c r="G24" s="12">
        <f>MIN(MAX(MktMin19plus,AE23*MktPct19plus),MAX(0,AS23-CashBuffer))</f>
        <v/>
      </c>
      <c r="H24" s="12">
        <f>IF(G24&gt;0,MAX(1,ROUND(G24/'Sens - Scenarios'!$B$8*D24,0)),0)</f>
        <v/>
      </c>
      <c r="I24" s="12">
        <f>IF(H24&gt;0,ROUND(H24*ReferralMix/(1-ReferralMix),0),0)</f>
        <v/>
      </c>
      <c r="J24" s="12">
        <f>H24+I24</f>
        <v/>
      </c>
      <c r="K24" s="12">
        <f>ROUND(J24*(1-'Sens - Scenarios'!$B$7),0)</f>
        <v/>
      </c>
      <c r="L24" s="12">
        <f>J24-K24</f>
        <v/>
      </c>
      <c r="M24" s="12">
        <f>ROUND(K24*EssentialMix,0)</f>
        <v/>
      </c>
      <c r="N24" s="12">
        <f>ROUND(K24*PremiumMix,0)</f>
        <v/>
      </c>
      <c r="O24" s="12">
        <f>K24-M24-N24</f>
        <v/>
      </c>
      <c r="P24" s="12">
        <f>ROUND(L24*EssentialMix,0)</f>
        <v/>
      </c>
      <c r="Q24" s="12">
        <f>ROUND(L24*PremiumMix,0)</f>
        <v/>
      </c>
      <c r="R24" s="12">
        <f>L24-P24-Q24</f>
        <v/>
      </c>
      <c r="S24" s="12">
        <f>M24+M23+M22+MAX(0,S23-M23-M22)*(1-F24)</f>
        <v/>
      </c>
      <c r="T24" s="12">
        <f>N24+N23+N22+MAX(0,T23-N23-N22)*(1-F24)</f>
        <v/>
      </c>
      <c r="U24" s="12">
        <f>O24+O23+O22+MAX(0,U23-O23-O22)*(1-F24)</f>
        <v/>
      </c>
      <c r="V24" s="12">
        <f>V23+P24-P12*('Sens - Scenarios'!$B$6*VLOOKUP(B24,ChurnSeasonTable,4,FALSE))*POWER(1-('Sens - Scenarios'!$B$6*VLOOKUP(B24,ChurnSeasonTable,4,FALSE)),0)</f>
        <v/>
      </c>
      <c r="W24" s="12">
        <f>W23+Q24-Q12*('Sens - Scenarios'!$B$6*VLOOKUP(B24,ChurnSeasonTable,4,FALSE))*POWER(1-('Sens - Scenarios'!$B$6*VLOOKUP(B24,ChurnSeasonTable,4,FALSE)),0)</f>
        <v/>
      </c>
      <c r="X24" s="12">
        <f>X23+R24-R12*('Sens - Scenarios'!$B$6*VLOOKUP(B24,ChurnSeasonTable,4,FALSE))*POWER(1-('Sens - Scenarios'!$B$6*VLOOKUP(B24,ChurnSeasonTable,4,FALSE)),0)</f>
        <v/>
      </c>
      <c r="Y24" s="12">
        <f>S24+T24+U24+V24+W24+X24</f>
        <v/>
      </c>
      <c r="Z24" s="9">
        <f>S24*BlendedPriceEssMonthly*E24+T24*BlendedPricePremMonthly*E24+U24*BlendedPriceEliteMonthly*E24+V24*BlendedPriceEssAnnual*E24/12+W24*BlendedPricePremAnnual*E24/12+X24*BlendedPriceEliteAnnual*E24/12</f>
        <v/>
      </c>
      <c r="AA24" s="9">
        <f>Z24*12</f>
        <v/>
      </c>
      <c r="AB24" s="12">
        <f>S24*BlendedPriceEssMonthly*E24+T24*BlendedPricePremMonthly*E24+U24*BlendedPriceEliteMonthly*E24</f>
        <v/>
      </c>
      <c r="AC24" s="12">
        <f>P24*BlendedPriceEssAnnual*E24+Q24*BlendedPricePremAnnual*E24+R24*BlendedPriceEliteAnnual*E24</f>
        <v/>
      </c>
      <c r="AD24" s="12">
        <f>P12*POWER(1-('Sens - Scenarios'!$B$6*VLOOKUP(B24,ChurnSeasonTable,4,FALSE)),1)*BlendedPriceEssAnnual*E24+Q12*POWER(1-('Sens - Scenarios'!$B$6*VLOOKUP(B24,ChurnSeasonTable,4,FALSE)),1)*BlendedPricePremAnnual*E24+R12*POWER(1-('Sens - Scenarios'!$B$6*VLOOKUP(B24,ChurnSeasonTable,4,FALSE)),1)*BlendedPriceEliteAnnual*E24</f>
        <v/>
      </c>
      <c r="AE24" s="9">
        <f>AB24+AC24+AD24</f>
        <v/>
      </c>
      <c r="AF24" s="12">
        <f>SUM(AE13:AE24)</f>
        <v/>
      </c>
      <c r="AG24" s="12">
        <f>OR(AG23,IF(VATAgentMode,SUM($AE13:$AE24)-SUM($AL13:$AL24)&gt;=VATThreshold,SUM($AE13:$AE24)&gt;=VATThreshold))</f>
        <v/>
      </c>
      <c r="AH24" s="9">
        <f>IF(AG24,IF(VATAgentMode,AE24-((AE24-AL24)-(AE24-AL24)/(1+VATRate)),AE24/(1+VATRate)),AE24)</f>
        <v/>
      </c>
      <c r="AI24" s="12">
        <f>AE24-AH24</f>
        <v/>
      </c>
      <c r="AJ24" s="12">
        <f>IF(AG24=0,0,IF(B24=1,SUMPRODUCT(--(($C$5:$C24=$C24-1)*($B$5:$B24&gt;=10)*($B$5:$B24&lt;=12)),$AI$5:$AI24),IF(B24=4,SUMPRODUCT(--(($C$5:$C24=$C24)*($B$5:$B24&gt;=1)*($B$5:$B24&lt;=3)),$AI$5:$AI24),IF(B24=7,SUMPRODUCT(--(($C$5:$C24=$C24)*($B$5:$B24&gt;=4)*($B$5:$B24&lt;=6)),$AI$5:$AI24),IF(B24=10,SUMPRODUCT(--(($C$5:$C24=$C24)*($B$5:$B24&gt;=7)*($B$5:$B24&lt;=9)),$AI$5:$AI24),0)))))</f>
        <v/>
      </c>
      <c r="AK24" s="12">
        <f>AK23+AI24-AJ24</f>
        <v/>
      </c>
      <c r="AL24" s="12">
        <f>IF(ProviderDelay&gt;=1,S23*BlendedProvPayEss+T23*BlendedProvPayPrem+U23*BlendedProvPayElite+V23*BlendedProvPayEss+W23*BlendedProvPayPrem+X23*BlendedProvPayElite,S24*BlendedProvPayEss+T24*BlendedProvPayPrem+U24*BlendedProvPayElite+V24*BlendedProvPayEss+W24*BlendedProvPayPrem+X24*BlendedProvPayElite)</f>
        <v/>
      </c>
      <c r="AM24" s="12">
        <f>AE24*PaymentFee</f>
        <v/>
      </c>
      <c r="AN24" s="12">
        <f>Y24*OpsAI</f>
        <v/>
      </c>
      <c r="AO24" s="12">
        <f>MonthlyFixed</f>
        <v/>
      </c>
      <c r="AP24" s="12">
        <f>I24*ReferralReward</f>
        <v/>
      </c>
      <c r="AQ24" s="12">
        <f>G24</f>
        <v/>
      </c>
      <c r="AR24" s="9">
        <f>AH24-AL24-AM24-AN24-AO24-AP24-AQ24</f>
        <v/>
      </c>
      <c r="AS24" s="9">
        <f>AS23+AE24-(AL24+AM24+AN24+AO24+AP24+AQ24+AJ24)</f>
        <v/>
      </c>
      <c r="AT24" s="12">
        <f>IF(Y24&gt;0,Z24/Y24,0)</f>
        <v/>
      </c>
      <c r="AU24" s="11">
        <f>IF(Y23&gt;0,MAX(0,(Y23+J24-Y24)/Y23),0)</f>
        <v/>
      </c>
      <c r="AW24" s="12" t="n">
        <v>20</v>
      </c>
      <c r="AX24" s="12">
        <f>MOD(AW24-1+LaunchMonth-1,12)+1</f>
        <v/>
      </c>
      <c r="AY24" s="12">
        <f>INT((AW24-1+LaunchMonth-1)/12)+1</f>
        <v/>
      </c>
      <c r="AZ24" s="12">
        <f>VLOOKUP(AX24,SeasonTable,2,FALSE)</f>
        <v/>
      </c>
      <c r="BA24" s="12">
        <f>(1+InflationRate)^INT((AW24-1)/12)</f>
        <v/>
      </c>
      <c r="BB24" s="11">
        <f>MonthlyChurn*VLOOKUP(AX24,ChurnSeasonTable,4,FALSE)</f>
        <v/>
      </c>
      <c r="BC24" s="12">
        <f>MIN(MAX(MktMin19plus,CA23*MktPct19plus),MAX(0,CO23-CashBuffer))</f>
        <v/>
      </c>
      <c r="BD24" s="12">
        <f>IF(BC24&gt;0,MAX(1,ROUND(BC24/CAC*AZ24,0)),0)</f>
        <v/>
      </c>
      <c r="BE24" s="12">
        <f>IF(BD24&gt;0,ROUND(BD24*ReferralMix/(1-ReferralMix),0),0)</f>
        <v/>
      </c>
      <c r="BF24" s="12">
        <f>BD24+BE24</f>
        <v/>
      </c>
      <c r="BG24" s="12">
        <f>ROUND(BF24*(1-AnnualMix),0)</f>
        <v/>
      </c>
      <c r="BH24" s="12">
        <f>BF24-BG24</f>
        <v/>
      </c>
      <c r="BI24" s="12">
        <f>ROUND(BG24*EssentialMix,0)</f>
        <v/>
      </c>
      <c r="BJ24" s="12">
        <f>ROUND(BG24*PremiumMix,0)</f>
        <v/>
      </c>
      <c r="BK24" s="12">
        <f>BG24-BI24-BJ24</f>
        <v/>
      </c>
      <c r="BL24" s="12">
        <f>ROUND(BH24*EssentialMix,0)</f>
        <v/>
      </c>
      <c r="BM24" s="12">
        <f>ROUND(BH24*PremiumMix,0)</f>
        <v/>
      </c>
      <c r="BN24" s="12">
        <f>BH24-BL24-BM24</f>
        <v/>
      </c>
      <c r="BO24" s="12">
        <f>BI24+BI23+BI22+MAX(0,BO23-BI23-BI22)*(1-BB24)</f>
        <v/>
      </c>
      <c r="BP24" s="12">
        <f>BJ24+BJ23+BJ22+MAX(0,BP23-BJ23-BJ22)*(1-BB24)</f>
        <v/>
      </c>
      <c r="BQ24" s="12">
        <f>BK24+BK23+BK22+MAX(0,BQ23-BK23-BK22)*(1-BB24)</f>
        <v/>
      </c>
      <c r="BR24" s="12">
        <f>BR23+BL24-BL12*(AnnualChurn*VLOOKUP(AX24,ChurnSeasonTable,4,FALSE))*POWER(1-(AnnualChurn*VLOOKUP(AX24,ChurnSeasonTable,4,FALSE)),0)</f>
        <v/>
      </c>
      <c r="BS24" s="12">
        <f>BS23+BM24-BM12*(AnnualChurn*VLOOKUP(AX24,ChurnSeasonTable,4,FALSE))*POWER(1-(AnnualChurn*VLOOKUP(AX24,ChurnSeasonTable,4,FALSE)),0)</f>
        <v/>
      </c>
      <c r="BT24" s="12">
        <f>BT23+BN24-BN12*(AnnualChurn*VLOOKUP(AX24,ChurnSeasonTable,4,FALSE))*POWER(1-(AnnualChurn*VLOOKUP(AX24,ChurnSeasonTable,4,FALSE)),0)</f>
        <v/>
      </c>
      <c r="BU24" s="12">
        <f>BO24+BP24+BQ24+BR24+BS24+BT24</f>
        <v/>
      </c>
      <c r="BV24" s="9">
        <f>BO24*BlendedPriceEssMonthly*BA24+BP24*BlendedPricePremMonthly*BA24+BQ24*BlendedPriceEliteMonthly*BA24+BR24*BlendedPriceEssAnnual*BA24/12+BS24*BlendedPricePremAnnual*BA24/12+BT24*BlendedPriceEliteAnnual*BA24/12</f>
        <v/>
      </c>
      <c r="BW24" s="9">
        <f>BV24*12</f>
        <v/>
      </c>
      <c r="BX24" s="12">
        <f>BO24*BlendedPriceEssMonthly*BA24+BP24*BlendedPricePremMonthly*BA24+BQ24*BlendedPriceEliteMonthly*BA24</f>
        <v/>
      </c>
      <c r="BY24" s="12">
        <f>BL24*BlendedPriceEssAnnual*BA24+BM24*BlendedPricePremAnnual*BA24+BN24*BlendedPriceEliteAnnual*BA24</f>
        <v/>
      </c>
      <c r="BZ24" s="12">
        <f>BL12*POWER(1-(AnnualChurn*VLOOKUP(AX24,ChurnSeasonTable,4,FALSE)),1)*BlendedPriceEssAnnual*BA24+BM12*POWER(1-(AnnualChurn*VLOOKUP(AX24,ChurnSeasonTable,4,FALSE)),1)*BlendedPricePremAnnual*BA24+BN12*POWER(1-(AnnualChurn*VLOOKUP(AX24,ChurnSeasonTable,4,FALSE)),1)*BlendedPriceEliteAnnual*BA24</f>
        <v/>
      </c>
      <c r="CA24" s="9">
        <f>BX24+BY24+BZ24</f>
        <v/>
      </c>
      <c r="CB24" s="12">
        <f>SUM(CA13:CA24)</f>
        <v/>
      </c>
      <c r="CC24" s="12">
        <f>OR(CC23,IF(VATAgentMode,SUM($CA13:$CA24)-SUM($CH13:$CH24)&gt;=VATThreshold,SUM($CA13:$CA24)&gt;=VATThreshold))</f>
        <v/>
      </c>
      <c r="CD24" s="9">
        <f>IF(CC24,IF(VATAgentMode,CA24-((CA24-CH24)-(CA24-CH24)/(1+VATRate)),CA24/(1+VATRate)),CA24)</f>
        <v/>
      </c>
      <c r="CE24" s="12">
        <f>CA24-CD24</f>
        <v/>
      </c>
      <c r="CF24" s="12">
        <f>IF(CC24=0,0,IF(AX24=1,SUMPRODUCT(--(($AY$5:$AY24=$AY24-1)*($AX$5:$AX24&gt;=10)*($AX$5:$AX24&lt;=12)),$CE$5:$CE24),IF(AX24=4,SUMPRODUCT(--(($AY$5:$AY24=$AY24)*($AX$5:$AX24&gt;=1)*($AX$5:$AX24&lt;=3)),$CE$5:$CE24),IF(AX24=7,SUMPRODUCT(--(($AY$5:$AY24=$AY24)*($AX$5:$AX24&gt;=4)*($AX$5:$AX24&lt;=6)),$CE$5:$CE24),IF(AX24=10,SUMPRODUCT(--(($AY$5:$AY24=$AY24)*($AX$5:$AX24&gt;=7)*($AX$5:$AX24&lt;=9)),$CE$5:$CE24),0)))))</f>
        <v/>
      </c>
      <c r="CG24" s="12">
        <f>CG23+CE24-CF24</f>
        <v/>
      </c>
      <c r="CH24" s="12">
        <f>IF(ProviderDelay&gt;=1,BO23*BlendedProvPayEss+BP23*BlendedProvPayPrem+BQ23*BlendedProvPayElite+BR23*BlendedProvPayEss+BS23*BlendedProvPayPrem+BT23*BlendedProvPayElite,BO24*BlendedProvPayEss+BP24*BlendedProvPayPrem+BQ24*BlendedProvPayElite+BR24*BlendedProvPayEss+BS24*BlendedProvPayPrem+BT24*BlendedProvPayElite)</f>
        <v/>
      </c>
      <c r="CI24" s="12">
        <f>CA24*PaymentFee</f>
        <v/>
      </c>
      <c r="CJ24" s="12">
        <f>BU24*OpsAI</f>
        <v/>
      </c>
      <c r="CK24" s="12">
        <f>MonthlyFixed</f>
        <v/>
      </c>
      <c r="CL24" s="12">
        <f>BE24*ReferralReward</f>
        <v/>
      </c>
      <c r="CM24" s="12">
        <f>BC24</f>
        <v/>
      </c>
      <c r="CN24" s="9">
        <f>CD24-CH24-CI24-CJ24-CK24-CL24-CM24</f>
        <v/>
      </c>
      <c r="CO24" s="9">
        <f>CO23+CA24-(CH24+CI24+CJ24+CK24+CL24+CM24+CF24)</f>
        <v/>
      </c>
      <c r="CP24" s="12">
        <f>IF(BU24&gt;0,BV24/BU24,0)</f>
        <v/>
      </c>
      <c r="CQ24" s="11">
        <f>IF(BU23&gt;0,MAX(0,(BU23+BF24-BU24)/BU23),0)</f>
        <v/>
      </c>
      <c r="CS24" s="12" t="n">
        <v>20</v>
      </c>
      <c r="CT24" s="12">
        <f>MOD(CS24-1+LaunchMonth-1,12)+1</f>
        <v/>
      </c>
      <c r="CU24" s="12">
        <f>INT((CS24-1+LaunchMonth-1)/12)+1</f>
        <v/>
      </c>
      <c r="CV24" s="12">
        <f>VLOOKUP(CT24,SeasonTable,2,FALSE)</f>
        <v/>
      </c>
      <c r="CW24" s="12">
        <f>(1+InflationRate)^INT((CS24-1)/12)</f>
        <v/>
      </c>
      <c r="CX24" s="11">
        <f>'Sens - Scenarios'!$D$5*VLOOKUP(CT24,ChurnSeasonTable,4,FALSE)</f>
        <v/>
      </c>
      <c r="CY24" s="12">
        <f>MIN(MAX(MktMin19plus,DW23*MktPct19plus),MAX(0,EK23-CashBuffer))</f>
        <v/>
      </c>
      <c r="CZ24" s="12">
        <f>IF(CY24&gt;0,MAX(1,ROUND(CY24/'Sens - Scenarios'!$D$8*CV24,0)),0)</f>
        <v/>
      </c>
      <c r="DA24" s="12">
        <f>IF(CZ24&gt;0,ROUND(CZ24*ReferralMix/(1-ReferralMix),0),0)</f>
        <v/>
      </c>
      <c r="DB24" s="12">
        <f>CZ24+DA24</f>
        <v/>
      </c>
      <c r="DC24" s="12">
        <f>ROUND(DB24*(1-'Sens - Scenarios'!$D$7),0)</f>
        <v/>
      </c>
      <c r="DD24" s="12">
        <f>DB24-DC24</f>
        <v/>
      </c>
      <c r="DE24" s="12">
        <f>ROUND(DC24*EssentialMix,0)</f>
        <v/>
      </c>
      <c r="DF24" s="12">
        <f>ROUND(DC24*PremiumMix,0)</f>
        <v/>
      </c>
      <c r="DG24" s="12">
        <f>DC24-DE24-DF24</f>
        <v/>
      </c>
      <c r="DH24" s="12">
        <f>ROUND(DD24*EssentialMix,0)</f>
        <v/>
      </c>
      <c r="DI24" s="12">
        <f>ROUND(DD24*PremiumMix,0)</f>
        <v/>
      </c>
      <c r="DJ24" s="12">
        <f>DD24-DH24-DI24</f>
        <v/>
      </c>
      <c r="DK24" s="12">
        <f>DE24+DE23+DE22+MAX(0,DK23-DE23-DE22)*(1-CX24)</f>
        <v/>
      </c>
      <c r="DL24" s="12">
        <f>DF24+DF23+DF22+MAX(0,DL23-DF23-DF22)*(1-CX24)</f>
        <v/>
      </c>
      <c r="DM24" s="12">
        <f>DG24+DG23+DG22+MAX(0,DM23-DG23-DG22)*(1-CX24)</f>
        <v/>
      </c>
      <c r="DN24" s="12">
        <f>DN23+DH24-DH12*('Sens - Scenarios'!$D$6*VLOOKUP(CT24,ChurnSeasonTable,4,FALSE))*POWER(1-('Sens - Scenarios'!$D$6*VLOOKUP(CT24,ChurnSeasonTable,4,FALSE)),0)</f>
        <v/>
      </c>
      <c r="DO24" s="12">
        <f>DO23+DI24-DI12*('Sens - Scenarios'!$D$6*VLOOKUP(CT24,ChurnSeasonTable,4,FALSE))*POWER(1-('Sens - Scenarios'!$D$6*VLOOKUP(CT24,ChurnSeasonTable,4,FALSE)),0)</f>
        <v/>
      </c>
      <c r="DP24" s="12">
        <f>DP23+DJ24-DJ12*('Sens - Scenarios'!$D$6*VLOOKUP(CT24,ChurnSeasonTable,4,FALSE))*POWER(1-('Sens - Scenarios'!$D$6*VLOOKUP(CT24,ChurnSeasonTable,4,FALSE)),0)</f>
        <v/>
      </c>
      <c r="DQ24" s="12">
        <f>DK24+DL24+DM24+DN24+DO24+DP24</f>
        <v/>
      </c>
      <c r="DR24" s="9">
        <f>DK24*BlendedPriceEssMonthly*CW24+DL24*BlendedPricePremMonthly*CW24+DM24*BlendedPriceEliteMonthly*CW24+DN24*BlendedPriceEssAnnual*CW24/12+DO24*BlendedPricePremAnnual*CW24/12+DP24*BlendedPriceEliteAnnual*CW24/12</f>
        <v/>
      </c>
      <c r="DS24" s="9">
        <f>DR24*12</f>
        <v/>
      </c>
      <c r="DT24" s="12">
        <f>DK24*BlendedPriceEssMonthly*CW24+DL24*BlendedPricePremMonthly*CW24+DM24*BlendedPriceEliteMonthly*CW24</f>
        <v/>
      </c>
      <c r="DU24" s="12">
        <f>DH24*BlendedPriceEssAnnual*CW24+DI24*BlendedPricePremAnnual*CW24+DJ24*BlendedPriceEliteAnnual*CW24</f>
        <v/>
      </c>
      <c r="DV24" s="12">
        <f>DH12*POWER(1-('Sens - Scenarios'!$D$6*VLOOKUP(CT24,ChurnSeasonTable,4,FALSE)),1)*BlendedPriceEssAnnual*CW24+DI12*POWER(1-('Sens - Scenarios'!$D$6*VLOOKUP(CT24,ChurnSeasonTable,4,FALSE)),1)*BlendedPricePremAnnual*CW24+DJ12*POWER(1-('Sens - Scenarios'!$D$6*VLOOKUP(CT24,ChurnSeasonTable,4,FALSE)),1)*BlendedPriceEliteAnnual*CW24</f>
        <v/>
      </c>
      <c r="DW24" s="9">
        <f>DT24+DU24+DV24</f>
        <v/>
      </c>
      <c r="DX24" s="12">
        <f>SUM(DW13:DW24)</f>
        <v/>
      </c>
      <c r="DY24" s="12">
        <f>OR(DY23,IF(VATAgentMode,SUM($DW13:$DW24)-SUM($ED13:$ED24)&gt;=VATThreshold,SUM($DW13:$DW24)&gt;=VATThreshold))</f>
        <v/>
      </c>
      <c r="DZ24" s="9">
        <f>IF(DY24,IF(VATAgentMode,DW24-((DW24-ED24)-(DW24-ED24)/(1+VATRate)),DW24/(1+VATRate)),DW24)</f>
        <v/>
      </c>
      <c r="EA24" s="12">
        <f>DW24-DZ24</f>
        <v/>
      </c>
      <c r="EB24" s="12">
        <f>IF(DY24=0,0,IF(CT24=1,SUMPRODUCT(--(($CU$5:$CU24=$CU24-1)*($CT$5:$CT24&gt;=10)*($CT$5:$CT24&lt;=12)),$EA$5:$EA24),IF(CT24=4,SUMPRODUCT(--(($CU$5:$CU24=$CU24)*($CT$5:$CT24&gt;=1)*($CT$5:$CT24&lt;=3)),$EA$5:$EA24),IF(CT24=7,SUMPRODUCT(--(($CU$5:$CU24=$CU24)*($CT$5:$CT24&gt;=4)*($CT$5:$CT24&lt;=6)),$EA$5:$EA24),IF(CT24=10,SUMPRODUCT(--(($CU$5:$CU24=$CU24)*($CT$5:$CT24&gt;=7)*($CT$5:$CT24&lt;=9)),$EA$5:$EA24),0)))))</f>
        <v/>
      </c>
      <c r="EC24" s="12">
        <f>EC23+EA24-EB24</f>
        <v/>
      </c>
      <c r="ED24" s="12">
        <f>IF(ProviderDelay&gt;=1,DK23*BlendedProvPayEss+DL23*BlendedProvPayPrem+DM23*BlendedProvPayElite+DN23*BlendedProvPayEss+DO23*BlendedProvPayPrem+DP23*BlendedProvPayElite,DK24*BlendedProvPayEss+DL24*BlendedProvPayPrem+DM24*BlendedProvPayElite+DN24*BlendedProvPayEss+DO24*BlendedProvPayPrem+DP24*BlendedProvPayElite)</f>
        <v/>
      </c>
      <c r="EE24" s="12">
        <f>DW24*PaymentFee</f>
        <v/>
      </c>
      <c r="EF24" s="12">
        <f>DQ24*OpsAI</f>
        <v/>
      </c>
      <c r="EG24" s="12">
        <f>MonthlyFixed</f>
        <v/>
      </c>
      <c r="EH24" s="12">
        <f>DA24*ReferralReward</f>
        <v/>
      </c>
      <c r="EI24" s="12">
        <f>CY24</f>
        <v/>
      </c>
      <c r="EJ24" s="9">
        <f>DZ24-ED24-EE24-EF24-EG24-EH24-EI24</f>
        <v/>
      </c>
      <c r="EK24" s="9">
        <f>EK23+DW24-(ED24+EE24+EF24+EG24+EH24+EI24+EB24)</f>
        <v/>
      </c>
      <c r="EL24" s="12">
        <f>IF(DQ24&gt;0,DR24/DQ24,0)</f>
        <v/>
      </c>
      <c r="EM24" s="11">
        <f>IF(DQ23&gt;0,MAX(0,(DQ23+DB24-DQ24)/DQ23),0)</f>
        <v/>
      </c>
      <c r="EO24" s="12" t="n">
        <v>20</v>
      </c>
      <c r="EP24" s="12">
        <f>MOD(EO24-1+LaunchMonth-1,12)+1</f>
        <v/>
      </c>
      <c r="EQ24" s="12">
        <f>INT((EO24-1+LaunchMonth-1)/12)+1</f>
        <v/>
      </c>
      <c r="ER24" s="12">
        <f>VLOOKUP(EP24,SeasonTable,2,FALSE)</f>
        <v/>
      </c>
      <c r="ES24" s="12">
        <f>(1+InflationRate)^INT((EO24-1)/12)</f>
        <v/>
      </c>
      <c r="ET24" s="11">
        <f>'Sens - Churn'!$A$13*VLOOKUP(EP24,ChurnSeasonTable,4,FALSE)</f>
        <v/>
      </c>
      <c r="EU24" s="12">
        <f>MIN(MAX(MktMin19plus,FS23*MktPct19plus),MAX(0,GG23-CashBuffer))</f>
        <v/>
      </c>
      <c r="EV24" s="12">
        <f>IF(EU24&gt;0,MAX(1,ROUND(EU24/CAC*ER24,0)),0)</f>
        <v/>
      </c>
      <c r="EW24" s="12">
        <f>IF(EV24&gt;0,ROUND(EV24*ReferralMix/(1-ReferralMix),0),0)</f>
        <v/>
      </c>
      <c r="EX24" s="12">
        <f>EV24+EW24</f>
        <v/>
      </c>
      <c r="EY24" s="12">
        <f>ROUND(EX24*(1-AnnualMix),0)</f>
        <v/>
      </c>
      <c r="EZ24" s="12">
        <f>EX24-EY24</f>
        <v/>
      </c>
      <c r="FA24" s="12">
        <f>ROUND(EY24*EssentialMix,0)</f>
        <v/>
      </c>
      <c r="FB24" s="12">
        <f>ROUND(EY24*PremiumMix,0)</f>
        <v/>
      </c>
      <c r="FC24" s="12">
        <f>EY24-FA24-FB24</f>
        <v/>
      </c>
      <c r="FD24" s="12">
        <f>ROUND(EZ24*EssentialMix,0)</f>
        <v/>
      </c>
      <c r="FE24" s="12">
        <f>ROUND(EZ24*PremiumMix,0)</f>
        <v/>
      </c>
      <c r="FF24" s="12">
        <f>EZ24-FD24-FE24</f>
        <v/>
      </c>
      <c r="FG24" s="12">
        <f>FA24+FA23+FA22+MAX(0,FG23-FA23-FA22)*(1-ET24)</f>
        <v/>
      </c>
      <c r="FH24" s="12">
        <f>FB24+FB23+FB22+MAX(0,FH23-FB23-FB22)*(1-ET24)</f>
        <v/>
      </c>
      <c r="FI24" s="12">
        <f>FC24+FC23+FC22+MAX(0,FI23-FC23-FC22)*(1-ET24)</f>
        <v/>
      </c>
      <c r="FJ24" s="12">
        <f>FJ23+FD24-FD12*(AnnualChurn*VLOOKUP(EP24,ChurnSeasonTable,4,FALSE))*POWER(1-(AnnualChurn*VLOOKUP(EP24,ChurnSeasonTable,4,FALSE)),0)</f>
        <v/>
      </c>
      <c r="FK24" s="12">
        <f>FK23+FE24-FE12*(AnnualChurn*VLOOKUP(EP24,ChurnSeasonTable,4,FALSE))*POWER(1-(AnnualChurn*VLOOKUP(EP24,ChurnSeasonTable,4,FALSE)),0)</f>
        <v/>
      </c>
      <c r="FL24" s="12">
        <f>FL23+FF24-FF12*(AnnualChurn*VLOOKUP(EP24,ChurnSeasonTable,4,FALSE))*POWER(1-(AnnualChurn*VLOOKUP(EP24,ChurnSeasonTable,4,FALSE)),0)</f>
        <v/>
      </c>
      <c r="FM24" s="12">
        <f>FG24+FH24+FI24+FJ24+FK24+FL24</f>
        <v/>
      </c>
      <c r="FN24" s="9">
        <f>FG24*BlendedPriceEssMonthly*ES24+FH24*BlendedPricePremMonthly*ES24+FI24*BlendedPriceEliteMonthly*ES24+FJ24*BlendedPriceEssAnnual*ES24/12+FK24*BlendedPricePremAnnual*ES24/12+FL24*BlendedPriceEliteAnnual*ES24/12</f>
        <v/>
      </c>
      <c r="FO24" s="9">
        <f>FN24*12</f>
        <v/>
      </c>
      <c r="FP24" s="12">
        <f>FG24*BlendedPriceEssMonthly*ES24+FH24*BlendedPricePremMonthly*ES24+FI24*BlendedPriceEliteMonthly*ES24</f>
        <v/>
      </c>
      <c r="FQ24" s="12">
        <f>FD24*BlendedPriceEssAnnual*ES24+FE24*BlendedPricePremAnnual*ES24+FF24*BlendedPriceEliteAnnual*ES24</f>
        <v/>
      </c>
      <c r="FR24" s="12">
        <f>FD12*POWER(1-(AnnualChurn*VLOOKUP(EP24,ChurnSeasonTable,4,FALSE)),1)*BlendedPriceEssAnnual*ES24+FE12*POWER(1-(AnnualChurn*VLOOKUP(EP24,ChurnSeasonTable,4,FALSE)),1)*BlendedPricePremAnnual*ES24+FF12*POWER(1-(AnnualChurn*VLOOKUP(EP24,ChurnSeasonTable,4,FALSE)),1)*BlendedPriceEliteAnnual*ES24</f>
        <v/>
      </c>
      <c r="FS24" s="9">
        <f>FP24+FQ24+FR24</f>
        <v/>
      </c>
      <c r="FT24" s="12">
        <f>SUM(FS13:FS24)</f>
        <v/>
      </c>
      <c r="FU24" s="12">
        <f>OR(FU23,IF(VATAgentMode,SUM($FS13:$FS24)-SUM($FZ13:$FZ24)&gt;=VATThreshold,SUM($FS13:$FS24)&gt;=VATThreshold))</f>
        <v/>
      </c>
      <c r="FV24" s="9">
        <f>IF(FU24,IF(VATAgentMode,FS24-((FS24-FZ24)-(FS24-FZ24)/(1+VATRate)),FS24/(1+VATRate)),FS24)</f>
        <v/>
      </c>
      <c r="FW24" s="12">
        <f>FS24-FV24</f>
        <v/>
      </c>
      <c r="FX24" s="12">
        <f>IF(FU24=0,0,IF(EP24=1,SUMPRODUCT(--(($EQ$5:$EQ24=$EQ24-1)*($EP$5:$EP24&gt;=10)*($EP$5:$EP24&lt;=12)),$FW$5:$FW24),IF(EP24=4,SUMPRODUCT(--(($EQ$5:$EQ24=$EQ24)*($EP$5:$EP24&gt;=1)*($EP$5:$EP24&lt;=3)),$FW$5:$FW24),IF(EP24=7,SUMPRODUCT(--(($EQ$5:$EQ24=$EQ24)*($EP$5:$EP24&gt;=4)*($EP$5:$EP24&lt;=6)),$FW$5:$FW24),IF(EP24=10,SUMPRODUCT(--(($EQ$5:$EQ24=$EQ24)*($EP$5:$EP24&gt;=7)*($EP$5:$EP24&lt;=9)),$FW$5:$FW24),0)))))</f>
        <v/>
      </c>
      <c r="FY24" s="12">
        <f>FY23+FW24-FX24</f>
        <v/>
      </c>
      <c r="FZ24" s="12">
        <f>IF(ProviderDelay&gt;=1,FG23*BlendedProvPayEss+FH23*BlendedProvPayPrem+FI23*BlendedProvPayElite+FJ23*BlendedProvPayEss+FK23*BlendedProvPayPrem+FL23*BlendedProvPayElite,FG24*BlendedProvPayEss+FH24*BlendedProvPayPrem+FI24*BlendedProvPayElite+FJ24*BlendedProvPayEss+FK24*BlendedProvPayPrem+FL24*BlendedProvPayElite)</f>
        <v/>
      </c>
      <c r="GA24" s="12">
        <f>FS24*PaymentFee</f>
        <v/>
      </c>
      <c r="GB24" s="12">
        <f>FM24*OpsAI</f>
        <v/>
      </c>
      <c r="GC24" s="12">
        <f>MonthlyFixed</f>
        <v/>
      </c>
      <c r="GD24" s="12">
        <f>EW24*ReferralReward</f>
        <v/>
      </c>
      <c r="GE24" s="12">
        <f>EU24</f>
        <v/>
      </c>
      <c r="GF24" s="9">
        <f>FV24-FZ24-GA24-GB24-GC24-GD24-GE24</f>
        <v/>
      </c>
      <c r="GG24" s="9">
        <f>GG23+FS24-(FZ24+GA24+GB24+GC24+GD24+GE24+FX24)</f>
        <v/>
      </c>
      <c r="GH24" s="12">
        <f>IF(FM24&gt;0,FN24/FM24,0)</f>
        <v/>
      </c>
      <c r="GI24" s="11">
        <f>IF(FM23&gt;0,MAX(0,(FM23+EX24-FM24)/FM23),0)</f>
        <v/>
      </c>
      <c r="GK24" s="12" t="n">
        <v>20</v>
      </c>
      <c r="GL24" s="12">
        <f>MOD(GK24-1+LaunchMonth-1,12)+1</f>
        <v/>
      </c>
      <c r="GM24" s="12">
        <f>INT((GK24-1+LaunchMonth-1)/12)+1</f>
        <v/>
      </c>
      <c r="GN24" s="12">
        <f>VLOOKUP(GL24,SeasonTable,2,FALSE)</f>
        <v/>
      </c>
      <c r="GO24" s="12">
        <f>(1+InflationRate)^INT((GK24-1)/12)</f>
        <v/>
      </c>
      <c r="GP24" s="11">
        <f>'Sens - Churn'!$A$14*VLOOKUP(GL24,ChurnSeasonTable,4,FALSE)</f>
        <v/>
      </c>
      <c r="GQ24" s="12">
        <f>MIN(MAX(MktMin19plus,HO23*MktPct19plus),MAX(0,IC23-CashBuffer))</f>
        <v/>
      </c>
      <c r="GR24" s="12">
        <f>IF(GQ24&gt;0,MAX(1,ROUND(GQ24/CAC*GN24,0)),0)</f>
        <v/>
      </c>
      <c r="GS24" s="12">
        <f>IF(GR24&gt;0,ROUND(GR24*ReferralMix/(1-ReferralMix),0),0)</f>
        <v/>
      </c>
      <c r="GT24" s="12">
        <f>GR24+GS24</f>
        <v/>
      </c>
      <c r="GU24" s="12">
        <f>ROUND(GT24*(1-AnnualMix),0)</f>
        <v/>
      </c>
      <c r="GV24" s="12">
        <f>GT24-GU24</f>
        <v/>
      </c>
      <c r="GW24" s="12">
        <f>ROUND(GU24*EssentialMix,0)</f>
        <v/>
      </c>
      <c r="GX24" s="12">
        <f>ROUND(GU24*PremiumMix,0)</f>
        <v/>
      </c>
      <c r="GY24" s="12">
        <f>GU24-GW24-GX24</f>
        <v/>
      </c>
      <c r="GZ24" s="12">
        <f>ROUND(GV24*EssentialMix,0)</f>
        <v/>
      </c>
      <c r="HA24" s="12">
        <f>ROUND(GV24*PremiumMix,0)</f>
        <v/>
      </c>
      <c r="HB24" s="12">
        <f>GV24-GZ24-HA24</f>
        <v/>
      </c>
      <c r="HC24" s="12">
        <f>GW24+GW23+GW22+MAX(0,HC23-GW23-GW22)*(1-GP24)</f>
        <v/>
      </c>
      <c r="HD24" s="12">
        <f>GX24+GX23+GX22+MAX(0,HD23-GX23-GX22)*(1-GP24)</f>
        <v/>
      </c>
      <c r="HE24" s="12">
        <f>GY24+GY23+GY22+MAX(0,HE23-GY23-GY22)*(1-GP24)</f>
        <v/>
      </c>
      <c r="HF24" s="12">
        <f>HF23+GZ24-GZ12*(AnnualChurn*VLOOKUP(GL24,ChurnSeasonTable,4,FALSE))*POWER(1-(AnnualChurn*VLOOKUP(GL24,ChurnSeasonTable,4,FALSE)),0)</f>
        <v/>
      </c>
      <c r="HG24" s="12">
        <f>HG23+HA24-HA12*(AnnualChurn*VLOOKUP(GL24,ChurnSeasonTable,4,FALSE))*POWER(1-(AnnualChurn*VLOOKUP(GL24,ChurnSeasonTable,4,FALSE)),0)</f>
        <v/>
      </c>
      <c r="HH24" s="12">
        <f>HH23+HB24-HB12*(AnnualChurn*VLOOKUP(GL24,ChurnSeasonTable,4,FALSE))*POWER(1-(AnnualChurn*VLOOKUP(GL24,ChurnSeasonTable,4,FALSE)),0)</f>
        <v/>
      </c>
      <c r="HI24" s="12">
        <f>HC24+HD24+HE24+HF24+HG24+HH24</f>
        <v/>
      </c>
      <c r="HJ24" s="9">
        <f>HC24*BlendedPriceEssMonthly*GO24+HD24*BlendedPricePremMonthly*GO24+HE24*BlendedPriceEliteMonthly*GO24+HF24*BlendedPriceEssAnnual*GO24/12+HG24*BlendedPricePremAnnual*GO24/12+HH24*BlendedPriceEliteAnnual*GO24/12</f>
        <v/>
      </c>
      <c r="HK24" s="9">
        <f>HJ24*12</f>
        <v/>
      </c>
      <c r="HL24" s="12">
        <f>HC24*BlendedPriceEssMonthly*GO24+HD24*BlendedPricePremMonthly*GO24+HE24*BlendedPriceEliteMonthly*GO24</f>
        <v/>
      </c>
      <c r="HM24" s="12">
        <f>GZ24*BlendedPriceEssAnnual*GO24+HA24*BlendedPricePremAnnual*GO24+HB24*BlendedPriceEliteAnnual*GO24</f>
        <v/>
      </c>
      <c r="HN24" s="12">
        <f>GZ12*POWER(1-(AnnualChurn*VLOOKUP(GL24,ChurnSeasonTable,4,FALSE)),1)*BlendedPriceEssAnnual*GO24+HA12*POWER(1-(AnnualChurn*VLOOKUP(GL24,ChurnSeasonTable,4,FALSE)),1)*BlendedPricePremAnnual*GO24+HB12*POWER(1-(AnnualChurn*VLOOKUP(GL24,ChurnSeasonTable,4,FALSE)),1)*BlendedPriceEliteAnnual*GO24</f>
        <v/>
      </c>
      <c r="HO24" s="9">
        <f>HL24+HM24+HN24</f>
        <v/>
      </c>
      <c r="HP24" s="12">
        <f>SUM(HO13:HO24)</f>
        <v/>
      </c>
      <c r="HQ24" s="12">
        <f>OR(HQ23,IF(VATAgentMode,SUM($HO13:$HO24)-SUM($HV13:$HV24)&gt;=VATThreshold,SUM($HO13:$HO24)&gt;=VATThreshold))</f>
        <v/>
      </c>
      <c r="HR24" s="9">
        <f>IF(HQ24,IF(VATAgentMode,HO24-((HO24-HV24)-(HO24-HV24)/(1+VATRate)),HO24/(1+VATRate)),HO24)</f>
        <v/>
      </c>
      <c r="HS24" s="12">
        <f>HO24-HR24</f>
        <v/>
      </c>
      <c r="HT24" s="12">
        <f>IF(HQ24=0,0,IF(GL24=1,SUMPRODUCT(--(($GM$5:$GM24=$GM24-1)*($GL$5:$GL24&gt;=10)*($GL$5:$GL24&lt;=12)),$HS$5:$HS24),IF(GL24=4,SUMPRODUCT(--(($GM$5:$GM24=$GM24)*($GL$5:$GL24&gt;=1)*($GL$5:$GL24&lt;=3)),$HS$5:$HS24),IF(GL24=7,SUMPRODUCT(--(($GM$5:$GM24=$GM24)*($GL$5:$GL24&gt;=4)*($GL$5:$GL24&lt;=6)),$HS$5:$HS24),IF(GL24=10,SUMPRODUCT(--(($GM$5:$GM24=$GM24)*($GL$5:$GL24&gt;=7)*($GL$5:$GL24&lt;=9)),$HS$5:$HS24),0)))))</f>
        <v/>
      </c>
      <c r="HU24" s="12">
        <f>HU23+HS24-HT24</f>
        <v/>
      </c>
      <c r="HV24" s="12">
        <f>IF(ProviderDelay&gt;=1,HC23*BlendedProvPayEss+HD23*BlendedProvPayPrem+HE23*BlendedProvPayElite+HF23*BlendedProvPayEss+HG23*BlendedProvPayPrem+HH23*BlendedProvPayElite,HC24*BlendedProvPayEss+HD24*BlendedProvPayPrem+HE24*BlendedProvPayElite+HF24*BlendedProvPayEss+HG24*BlendedProvPayPrem+HH24*BlendedProvPayElite)</f>
        <v/>
      </c>
      <c r="HW24" s="12">
        <f>HO24*PaymentFee</f>
        <v/>
      </c>
      <c r="HX24" s="12">
        <f>HI24*OpsAI</f>
        <v/>
      </c>
      <c r="HY24" s="12">
        <f>MonthlyFixed</f>
        <v/>
      </c>
      <c r="HZ24" s="12">
        <f>GS24*ReferralReward</f>
        <v/>
      </c>
      <c r="IA24" s="12">
        <f>GQ24</f>
        <v/>
      </c>
      <c r="IB24" s="9">
        <f>HR24-HV24-HW24-HX24-HY24-HZ24-IA24</f>
        <v/>
      </c>
      <c r="IC24" s="9">
        <f>IC23+HO24-(HV24+HW24+HX24+HY24+HZ24+IA24+HT24)</f>
        <v/>
      </c>
      <c r="ID24" s="12">
        <f>IF(HI24&gt;0,HJ24/HI24,0)</f>
        <v/>
      </c>
      <c r="IE24" s="11">
        <f>IF(HI23&gt;0,MAX(0,(HI23+GT24-HI24)/HI23),0)</f>
        <v/>
      </c>
      <c r="IG24" s="12" t="n">
        <v>20</v>
      </c>
      <c r="IH24" s="12">
        <f>MOD(IG24-1+LaunchMonth-1,12)+1</f>
        <v/>
      </c>
      <c r="II24" s="12">
        <f>INT((IG24-1+LaunchMonth-1)/12)+1</f>
        <v/>
      </c>
      <c r="IJ24" s="12">
        <f>VLOOKUP(IH24,SeasonTable,2,FALSE)</f>
        <v/>
      </c>
      <c r="IK24" s="12">
        <f>(1+InflationRate)^INT((IG24-1)/12)</f>
        <v/>
      </c>
      <c r="IL24" s="11">
        <f>'Sens - Churn'!$A$15*VLOOKUP(IH24,ChurnSeasonTable,4,FALSE)</f>
        <v/>
      </c>
      <c r="IM24" s="12">
        <f>MIN(MAX(MktMin19plus,JK23*MktPct19plus),MAX(0,JY23-CashBuffer))</f>
        <v/>
      </c>
      <c r="IN24" s="12">
        <f>IF(IM24&gt;0,MAX(1,ROUND(IM24/CAC*IJ24,0)),0)</f>
        <v/>
      </c>
      <c r="IO24" s="12">
        <f>IF(IN24&gt;0,ROUND(IN24*ReferralMix/(1-ReferralMix),0),0)</f>
        <v/>
      </c>
      <c r="IP24" s="12">
        <f>IN24+IO24</f>
        <v/>
      </c>
      <c r="IQ24" s="12">
        <f>ROUND(IP24*(1-AnnualMix),0)</f>
        <v/>
      </c>
      <c r="IR24" s="12">
        <f>IP24-IQ24</f>
        <v/>
      </c>
      <c r="IS24" s="12">
        <f>ROUND(IQ24*EssentialMix,0)</f>
        <v/>
      </c>
      <c r="IT24" s="12">
        <f>ROUND(IQ24*PremiumMix,0)</f>
        <v/>
      </c>
      <c r="IU24" s="12">
        <f>IQ24-IS24-IT24</f>
        <v/>
      </c>
      <c r="IV24" s="12">
        <f>ROUND(IR24*EssentialMix,0)</f>
        <v/>
      </c>
      <c r="IW24" s="12">
        <f>ROUND(IR24*PremiumMix,0)</f>
        <v/>
      </c>
      <c r="IX24" s="12">
        <f>IR24-IV24-IW24</f>
        <v/>
      </c>
      <c r="IY24" s="12">
        <f>IS24+IS23+IS22+MAX(0,IY23-IS23-IS22)*(1-IL24)</f>
        <v/>
      </c>
      <c r="IZ24" s="12">
        <f>IT24+IT23+IT22+MAX(0,IZ23-IT23-IT22)*(1-IL24)</f>
        <v/>
      </c>
      <c r="JA24" s="12">
        <f>IU24+IU23+IU22+MAX(0,JA23-IU23-IU22)*(1-IL24)</f>
        <v/>
      </c>
      <c r="JB24" s="12">
        <f>JB23+IV24-IV12*(AnnualChurn*VLOOKUP(IH24,ChurnSeasonTable,4,FALSE))*POWER(1-(AnnualChurn*VLOOKUP(IH24,ChurnSeasonTable,4,FALSE)),0)</f>
        <v/>
      </c>
      <c r="JC24" s="12">
        <f>JC23+IW24-IW12*(AnnualChurn*VLOOKUP(IH24,ChurnSeasonTable,4,FALSE))*POWER(1-(AnnualChurn*VLOOKUP(IH24,ChurnSeasonTable,4,FALSE)),0)</f>
        <v/>
      </c>
      <c r="JD24" s="12">
        <f>JD23+IX24-IX12*(AnnualChurn*VLOOKUP(IH24,ChurnSeasonTable,4,FALSE))*POWER(1-(AnnualChurn*VLOOKUP(IH24,ChurnSeasonTable,4,FALSE)),0)</f>
        <v/>
      </c>
      <c r="JE24" s="12">
        <f>IY24+IZ24+JA24+JB24+JC24+JD24</f>
        <v/>
      </c>
      <c r="JF24" s="9">
        <f>IY24*BlendedPriceEssMonthly*IK24+IZ24*BlendedPricePremMonthly*IK24+JA24*BlendedPriceEliteMonthly*IK24+JB24*BlendedPriceEssAnnual*IK24/12+JC24*BlendedPricePremAnnual*IK24/12+JD24*BlendedPriceEliteAnnual*IK24/12</f>
        <v/>
      </c>
      <c r="JG24" s="9">
        <f>JF24*12</f>
        <v/>
      </c>
      <c r="JH24" s="12">
        <f>IY24*BlendedPriceEssMonthly*IK24+IZ24*BlendedPricePremMonthly*IK24+JA24*BlendedPriceEliteMonthly*IK24</f>
        <v/>
      </c>
      <c r="JI24" s="12">
        <f>IV24*BlendedPriceEssAnnual*IK24+IW24*BlendedPricePremAnnual*IK24+IX24*BlendedPriceEliteAnnual*IK24</f>
        <v/>
      </c>
      <c r="JJ24" s="12">
        <f>IV12*POWER(1-(AnnualChurn*VLOOKUP(IH24,ChurnSeasonTable,4,FALSE)),1)*BlendedPriceEssAnnual*IK24+IW12*POWER(1-(AnnualChurn*VLOOKUP(IH24,ChurnSeasonTable,4,FALSE)),1)*BlendedPricePremAnnual*IK24+IX12*POWER(1-(AnnualChurn*VLOOKUP(IH24,ChurnSeasonTable,4,FALSE)),1)*BlendedPriceEliteAnnual*IK24</f>
        <v/>
      </c>
      <c r="JK24" s="9">
        <f>JH24+JI24+JJ24</f>
        <v/>
      </c>
      <c r="JL24" s="12">
        <f>SUM(JK13:JK24)</f>
        <v/>
      </c>
      <c r="JM24" s="12">
        <f>OR(JM23,IF(VATAgentMode,SUM($JK13:$JK24)-SUM($JR13:$JR24)&gt;=VATThreshold,SUM($JK13:$JK24)&gt;=VATThreshold))</f>
        <v/>
      </c>
      <c r="JN24" s="9">
        <f>IF(JM24,IF(VATAgentMode,JK24-((JK24-JR24)-(JK24-JR24)/(1+VATRate)),JK24/(1+VATRate)),JK24)</f>
        <v/>
      </c>
      <c r="JO24" s="12">
        <f>JK24-JN24</f>
        <v/>
      </c>
      <c r="JP24" s="12">
        <f>IF(JM24=0,0,IF(IH24=1,SUMPRODUCT(--(($II$5:$II24=$II24-1)*($IH$5:$IH24&gt;=10)*($IH$5:$IH24&lt;=12)),$JO$5:$JO24),IF(IH24=4,SUMPRODUCT(--(($II$5:$II24=$II24)*($IH$5:$IH24&gt;=1)*($IH$5:$IH24&lt;=3)),$JO$5:$JO24),IF(IH24=7,SUMPRODUCT(--(($II$5:$II24=$II24)*($IH$5:$IH24&gt;=4)*($IH$5:$IH24&lt;=6)),$JO$5:$JO24),IF(IH24=10,SUMPRODUCT(--(($II$5:$II24=$II24)*($IH$5:$IH24&gt;=7)*($IH$5:$IH24&lt;=9)),$JO$5:$JO24),0)))))</f>
        <v/>
      </c>
      <c r="JQ24" s="12">
        <f>JQ23+JO24-JP24</f>
        <v/>
      </c>
      <c r="JR24" s="12">
        <f>IF(ProviderDelay&gt;=1,IY23*BlendedProvPayEss+IZ23*BlendedProvPayPrem+JA23*BlendedProvPayElite+JB23*BlendedProvPayEss+JC23*BlendedProvPayPrem+JD23*BlendedProvPayElite,IY24*BlendedProvPayEss+IZ24*BlendedProvPayPrem+JA24*BlendedProvPayElite+JB24*BlendedProvPayEss+JC24*BlendedProvPayPrem+JD24*BlendedProvPayElite)</f>
        <v/>
      </c>
      <c r="JS24" s="12">
        <f>JK24*PaymentFee</f>
        <v/>
      </c>
      <c r="JT24" s="12">
        <f>JE24*OpsAI</f>
        <v/>
      </c>
      <c r="JU24" s="12">
        <f>MonthlyFixed</f>
        <v/>
      </c>
      <c r="JV24" s="12">
        <f>IO24*ReferralReward</f>
        <v/>
      </c>
      <c r="JW24" s="12">
        <f>IM24</f>
        <v/>
      </c>
      <c r="JX24" s="9">
        <f>JN24-JR24-JS24-JT24-JU24-JV24-JW24</f>
        <v/>
      </c>
      <c r="JY24" s="9">
        <f>JY23+JK24-(JR24+JS24+JT24+JU24+JV24+JW24+JP24)</f>
        <v/>
      </c>
      <c r="JZ24" s="12">
        <f>IF(JE24&gt;0,JF24/JE24,0)</f>
        <v/>
      </c>
      <c r="KA24" s="11">
        <f>IF(JE23&gt;0,MAX(0,(JE23+IP24-JE24)/JE23),0)</f>
        <v/>
      </c>
      <c r="KC24" s="12" t="n">
        <v>20</v>
      </c>
      <c r="KD24" s="12">
        <f>MOD(KC24-1+LaunchMonth-1,12)+1</f>
        <v/>
      </c>
      <c r="KE24" s="12">
        <f>INT((KC24-1+LaunchMonth-1)/12)+1</f>
        <v/>
      </c>
      <c r="KF24" s="12">
        <f>VLOOKUP(KD24,SeasonTable,2,FALSE)</f>
        <v/>
      </c>
      <c r="KG24" s="12">
        <f>(1+InflationRate)^INT((KC24-1)/12)</f>
        <v/>
      </c>
      <c r="KH24" s="11">
        <f>'Sens - Churn'!$A$16*VLOOKUP(KD24,ChurnSeasonTable,4,FALSE)</f>
        <v/>
      </c>
      <c r="KI24" s="12">
        <f>MIN(MAX(MktMin19plus,LG23*MktPct19plus),MAX(0,LU23-CashBuffer))</f>
        <v/>
      </c>
      <c r="KJ24" s="12">
        <f>IF(KI24&gt;0,MAX(1,ROUND(KI24/CAC*KF24,0)),0)</f>
        <v/>
      </c>
      <c r="KK24" s="12">
        <f>IF(KJ24&gt;0,ROUND(KJ24*ReferralMix/(1-ReferralMix),0),0)</f>
        <v/>
      </c>
      <c r="KL24" s="12">
        <f>KJ24+KK24</f>
        <v/>
      </c>
      <c r="KM24" s="12">
        <f>ROUND(KL24*(1-AnnualMix),0)</f>
        <v/>
      </c>
      <c r="KN24" s="12">
        <f>KL24-KM24</f>
        <v/>
      </c>
      <c r="KO24" s="12">
        <f>ROUND(KM24*EssentialMix,0)</f>
        <v/>
      </c>
      <c r="KP24" s="12">
        <f>ROUND(KM24*PremiumMix,0)</f>
        <v/>
      </c>
      <c r="KQ24" s="12">
        <f>KM24-KO24-KP24</f>
        <v/>
      </c>
      <c r="KR24" s="12">
        <f>ROUND(KN24*EssentialMix,0)</f>
        <v/>
      </c>
      <c r="KS24" s="12">
        <f>ROUND(KN24*PremiumMix,0)</f>
        <v/>
      </c>
      <c r="KT24" s="12">
        <f>KN24-KR24-KS24</f>
        <v/>
      </c>
      <c r="KU24" s="12">
        <f>KO24+KO23+KO22+MAX(0,KU23-KO23-KO22)*(1-KH24)</f>
        <v/>
      </c>
      <c r="KV24" s="12">
        <f>KP24+KP23+KP22+MAX(0,KV23-KP23-KP22)*(1-KH24)</f>
        <v/>
      </c>
      <c r="KW24" s="12">
        <f>KQ24+KQ23+KQ22+MAX(0,KW23-KQ23-KQ22)*(1-KH24)</f>
        <v/>
      </c>
      <c r="KX24" s="12">
        <f>KX23+KR24-KR12*(AnnualChurn*VLOOKUP(KD24,ChurnSeasonTable,4,FALSE))*POWER(1-(AnnualChurn*VLOOKUP(KD24,ChurnSeasonTable,4,FALSE)),0)</f>
        <v/>
      </c>
      <c r="KY24" s="12">
        <f>KY23+KS24-KS12*(AnnualChurn*VLOOKUP(KD24,ChurnSeasonTable,4,FALSE))*POWER(1-(AnnualChurn*VLOOKUP(KD24,ChurnSeasonTable,4,FALSE)),0)</f>
        <v/>
      </c>
      <c r="KZ24" s="12">
        <f>KZ23+KT24-KT12*(AnnualChurn*VLOOKUP(KD24,ChurnSeasonTable,4,FALSE))*POWER(1-(AnnualChurn*VLOOKUP(KD24,ChurnSeasonTable,4,FALSE)),0)</f>
        <v/>
      </c>
      <c r="LA24" s="12">
        <f>KU24+KV24+KW24+KX24+KY24+KZ24</f>
        <v/>
      </c>
      <c r="LB24" s="9">
        <f>KU24*BlendedPriceEssMonthly*KG24+KV24*BlendedPricePremMonthly*KG24+KW24*BlendedPriceEliteMonthly*KG24+KX24*BlendedPriceEssAnnual*KG24/12+KY24*BlendedPricePremAnnual*KG24/12+KZ24*BlendedPriceEliteAnnual*KG24/12</f>
        <v/>
      </c>
      <c r="LC24" s="9">
        <f>LB24*12</f>
        <v/>
      </c>
      <c r="LD24" s="12">
        <f>KU24*BlendedPriceEssMonthly*KG24+KV24*BlendedPricePremMonthly*KG24+KW24*BlendedPriceEliteMonthly*KG24</f>
        <v/>
      </c>
      <c r="LE24" s="12">
        <f>KR24*BlendedPriceEssAnnual*KG24+KS24*BlendedPricePremAnnual*KG24+KT24*BlendedPriceEliteAnnual*KG24</f>
        <v/>
      </c>
      <c r="LF24" s="12">
        <f>KR12*POWER(1-(AnnualChurn*VLOOKUP(KD24,ChurnSeasonTable,4,FALSE)),1)*BlendedPriceEssAnnual*KG24+KS12*POWER(1-(AnnualChurn*VLOOKUP(KD24,ChurnSeasonTable,4,FALSE)),1)*BlendedPricePremAnnual*KG24+KT12*POWER(1-(AnnualChurn*VLOOKUP(KD24,ChurnSeasonTable,4,FALSE)),1)*BlendedPriceEliteAnnual*KG24</f>
        <v/>
      </c>
      <c r="LG24" s="9">
        <f>LD24+LE24+LF24</f>
        <v/>
      </c>
      <c r="LH24" s="12">
        <f>SUM(LG13:LG24)</f>
        <v/>
      </c>
      <c r="LI24" s="12">
        <f>OR(LI23,IF(VATAgentMode,SUM($LG13:$LG24)-SUM($LN13:$LN24)&gt;=VATThreshold,SUM($LG13:$LG24)&gt;=VATThreshold))</f>
        <v/>
      </c>
      <c r="LJ24" s="9">
        <f>IF(LI24,IF(VATAgentMode,LG24-((LG24-LN24)-(LG24-LN24)/(1+VATRate)),LG24/(1+VATRate)),LG24)</f>
        <v/>
      </c>
      <c r="LK24" s="12">
        <f>LG24-LJ24</f>
        <v/>
      </c>
      <c r="LL24" s="12">
        <f>IF(LI24=0,0,IF(KD24=1,SUMPRODUCT(--(($KE$5:$KE24=$KE24-1)*($KD$5:$KD24&gt;=10)*($KD$5:$KD24&lt;=12)),$LK$5:$LK24),IF(KD24=4,SUMPRODUCT(--(($KE$5:$KE24=$KE24)*($KD$5:$KD24&gt;=1)*($KD$5:$KD24&lt;=3)),$LK$5:$LK24),IF(KD24=7,SUMPRODUCT(--(($KE$5:$KE24=$KE24)*($KD$5:$KD24&gt;=4)*($KD$5:$KD24&lt;=6)),$LK$5:$LK24),IF(KD24=10,SUMPRODUCT(--(($KE$5:$KE24=$KE24)*($KD$5:$KD24&gt;=7)*($KD$5:$KD24&lt;=9)),$LK$5:$LK24),0)))))</f>
        <v/>
      </c>
      <c r="LM24" s="12">
        <f>LM23+LK24-LL24</f>
        <v/>
      </c>
      <c r="LN24" s="12">
        <f>IF(ProviderDelay&gt;=1,KU23*BlendedProvPayEss+KV23*BlendedProvPayPrem+KW23*BlendedProvPayElite+KX23*BlendedProvPayEss+KY23*BlendedProvPayPrem+KZ23*BlendedProvPayElite,KU24*BlendedProvPayEss+KV24*BlendedProvPayPrem+KW24*BlendedProvPayElite+KX24*BlendedProvPayEss+KY24*BlendedProvPayPrem+KZ24*BlendedProvPayElite)</f>
        <v/>
      </c>
      <c r="LO24" s="12">
        <f>LG24*PaymentFee</f>
        <v/>
      </c>
      <c r="LP24" s="12">
        <f>LA24*OpsAI</f>
        <v/>
      </c>
      <c r="LQ24" s="12">
        <f>MonthlyFixed</f>
        <v/>
      </c>
      <c r="LR24" s="12">
        <f>KK24*ReferralReward</f>
        <v/>
      </c>
      <c r="LS24" s="12">
        <f>KI24</f>
        <v/>
      </c>
      <c r="LT24" s="9">
        <f>LJ24-LN24-LO24-LP24-LQ24-LR24-LS24</f>
        <v/>
      </c>
      <c r="LU24" s="9">
        <f>LU23+LG24-(LN24+LO24+LP24+LQ24+LR24+LS24+LL24)</f>
        <v/>
      </c>
      <c r="LV24" s="12">
        <f>IF(LA24&gt;0,LB24/LA24,0)</f>
        <v/>
      </c>
      <c r="LW24" s="11">
        <f>IF(LA23&gt;0,MAX(0,(LA23+KL24-LA24)/LA23),0)</f>
        <v/>
      </c>
      <c r="LY24" s="12" t="n">
        <v>20</v>
      </c>
      <c r="LZ24" s="12">
        <f>MOD(LY24-1+LaunchMonth-1,12)+1</f>
        <v/>
      </c>
      <c r="MA24" s="12">
        <f>INT((LY24-1+LaunchMonth-1)/12)+1</f>
        <v/>
      </c>
      <c r="MB24" s="12">
        <f>VLOOKUP(LZ24,SeasonTable,2,FALSE)</f>
        <v/>
      </c>
      <c r="MC24" s="12">
        <f>(1+InflationRate)^INT((LY24-1)/12)</f>
        <v/>
      </c>
      <c r="MD24" s="11">
        <f>'Sens - Churn'!$A$17*VLOOKUP(LZ24,ChurnSeasonTable,4,FALSE)</f>
        <v/>
      </c>
      <c r="ME24" s="12">
        <f>MIN(MAX(MktMin19plus,NC23*MktPct19plus),MAX(0,NQ23-CashBuffer))</f>
        <v/>
      </c>
      <c r="MF24" s="12">
        <f>IF(ME24&gt;0,MAX(1,ROUND(ME24/CAC*MB24,0)),0)</f>
        <v/>
      </c>
      <c r="MG24" s="12">
        <f>IF(MF24&gt;0,ROUND(MF24*ReferralMix/(1-ReferralMix),0),0)</f>
        <v/>
      </c>
      <c r="MH24" s="12">
        <f>MF24+MG24</f>
        <v/>
      </c>
      <c r="MI24" s="12">
        <f>ROUND(MH24*(1-AnnualMix),0)</f>
        <v/>
      </c>
      <c r="MJ24" s="12">
        <f>MH24-MI24</f>
        <v/>
      </c>
      <c r="MK24" s="12">
        <f>ROUND(MI24*EssentialMix,0)</f>
        <v/>
      </c>
      <c r="ML24" s="12">
        <f>ROUND(MI24*PremiumMix,0)</f>
        <v/>
      </c>
      <c r="MM24" s="12">
        <f>MI24-MK24-ML24</f>
        <v/>
      </c>
      <c r="MN24" s="12">
        <f>ROUND(MJ24*EssentialMix,0)</f>
        <v/>
      </c>
      <c r="MO24" s="12">
        <f>ROUND(MJ24*PremiumMix,0)</f>
        <v/>
      </c>
      <c r="MP24" s="12">
        <f>MJ24-MN24-MO24</f>
        <v/>
      </c>
      <c r="MQ24" s="12">
        <f>MK24+MK23+MK22+MAX(0,MQ23-MK23-MK22)*(1-MD24)</f>
        <v/>
      </c>
      <c r="MR24" s="12">
        <f>ML24+ML23+ML22+MAX(0,MR23-ML23-ML22)*(1-MD24)</f>
        <v/>
      </c>
      <c r="MS24" s="12">
        <f>MM24+MM23+MM22+MAX(0,MS23-MM23-MM22)*(1-MD24)</f>
        <v/>
      </c>
      <c r="MT24" s="12">
        <f>MT23+MN24-MN12*(AnnualChurn*VLOOKUP(LZ24,ChurnSeasonTable,4,FALSE))*POWER(1-(AnnualChurn*VLOOKUP(LZ24,ChurnSeasonTable,4,FALSE)),0)</f>
        <v/>
      </c>
      <c r="MU24" s="12">
        <f>MU23+MO24-MO12*(AnnualChurn*VLOOKUP(LZ24,ChurnSeasonTable,4,FALSE))*POWER(1-(AnnualChurn*VLOOKUP(LZ24,ChurnSeasonTable,4,FALSE)),0)</f>
        <v/>
      </c>
      <c r="MV24" s="12">
        <f>MV23+MP24-MP12*(AnnualChurn*VLOOKUP(LZ24,ChurnSeasonTable,4,FALSE))*POWER(1-(AnnualChurn*VLOOKUP(LZ24,ChurnSeasonTable,4,FALSE)),0)</f>
        <v/>
      </c>
      <c r="MW24" s="12">
        <f>MQ24+MR24+MS24+MT24+MU24+MV24</f>
        <v/>
      </c>
      <c r="MX24" s="9">
        <f>MQ24*BlendedPriceEssMonthly*MC24+MR24*BlendedPricePremMonthly*MC24+MS24*BlendedPriceEliteMonthly*MC24+MT24*BlendedPriceEssAnnual*MC24/12+MU24*BlendedPricePremAnnual*MC24/12+MV24*BlendedPriceEliteAnnual*MC24/12</f>
        <v/>
      </c>
      <c r="MY24" s="9">
        <f>MX24*12</f>
        <v/>
      </c>
      <c r="MZ24" s="12">
        <f>MQ24*BlendedPriceEssMonthly*MC24+MR24*BlendedPricePremMonthly*MC24+MS24*BlendedPriceEliteMonthly*MC24</f>
        <v/>
      </c>
      <c r="NA24" s="12">
        <f>MN24*BlendedPriceEssAnnual*MC24+MO24*BlendedPricePremAnnual*MC24+MP24*BlendedPriceEliteAnnual*MC24</f>
        <v/>
      </c>
      <c r="NB24" s="12">
        <f>MN12*POWER(1-(AnnualChurn*VLOOKUP(LZ24,ChurnSeasonTable,4,FALSE)),1)*BlendedPriceEssAnnual*MC24+MO12*POWER(1-(AnnualChurn*VLOOKUP(LZ24,ChurnSeasonTable,4,FALSE)),1)*BlendedPricePremAnnual*MC24+MP12*POWER(1-(AnnualChurn*VLOOKUP(LZ24,ChurnSeasonTable,4,FALSE)),1)*BlendedPriceEliteAnnual*MC24</f>
        <v/>
      </c>
      <c r="NC24" s="9">
        <f>MZ24+NA24+NB24</f>
        <v/>
      </c>
      <c r="ND24" s="12">
        <f>SUM(NC13:NC24)</f>
        <v/>
      </c>
      <c r="NE24" s="12">
        <f>OR(NE23,IF(VATAgentMode,SUM($NC13:$NC24)-SUM($NJ13:$NJ24)&gt;=VATThreshold,SUM($NC13:$NC24)&gt;=VATThreshold))</f>
        <v/>
      </c>
      <c r="NF24" s="9">
        <f>IF(NE24,IF(VATAgentMode,NC24-((NC24-NJ24)-(NC24-NJ24)/(1+VATRate)),NC24/(1+VATRate)),NC24)</f>
        <v/>
      </c>
      <c r="NG24" s="12">
        <f>NC24-NF24</f>
        <v/>
      </c>
      <c r="NH24" s="12">
        <f>IF(NE24=0,0,IF(LZ24=1,SUMPRODUCT(--(($MA$5:$MA24=$MA24-1)*($LZ$5:$LZ24&gt;=10)*($LZ$5:$LZ24&lt;=12)),$NG$5:$NG24),IF(LZ24=4,SUMPRODUCT(--(($MA$5:$MA24=$MA24)*($LZ$5:$LZ24&gt;=1)*($LZ$5:$LZ24&lt;=3)),$NG$5:$NG24),IF(LZ24=7,SUMPRODUCT(--(($MA$5:$MA24=$MA24)*($LZ$5:$LZ24&gt;=4)*($LZ$5:$LZ24&lt;=6)),$NG$5:$NG24),IF(LZ24=10,SUMPRODUCT(--(($MA$5:$MA24=$MA24)*($LZ$5:$LZ24&gt;=7)*($LZ$5:$LZ24&lt;=9)),$NG$5:$NG24),0)))))</f>
        <v/>
      </c>
      <c r="NI24" s="12">
        <f>NI23+NG24-NH24</f>
        <v/>
      </c>
      <c r="NJ24" s="12">
        <f>IF(ProviderDelay&gt;=1,MQ23*BlendedProvPayEss+MR23*BlendedProvPayPrem+MS23*BlendedProvPayElite+MT23*BlendedProvPayEss+MU23*BlendedProvPayPrem+MV23*BlendedProvPayElite,MQ24*BlendedProvPayEss+MR24*BlendedProvPayPrem+MS24*BlendedProvPayElite+MT24*BlendedProvPayEss+MU24*BlendedProvPayPrem+MV24*BlendedProvPayElite)</f>
        <v/>
      </c>
      <c r="NK24" s="12">
        <f>NC24*PaymentFee</f>
        <v/>
      </c>
      <c r="NL24" s="12">
        <f>MW24*OpsAI</f>
        <v/>
      </c>
      <c r="NM24" s="12">
        <f>MonthlyFixed</f>
        <v/>
      </c>
      <c r="NN24" s="12">
        <f>MG24*ReferralReward</f>
        <v/>
      </c>
      <c r="NO24" s="12">
        <f>ME24</f>
        <v/>
      </c>
      <c r="NP24" s="9">
        <f>NF24-NJ24-NK24-NL24-NM24-NN24-NO24</f>
        <v/>
      </c>
      <c r="NQ24" s="9">
        <f>NQ23+NC24-(NJ24+NK24+NL24+NM24+NN24+NO24+NH24)</f>
        <v/>
      </c>
      <c r="NR24" s="12">
        <f>IF(MW24&gt;0,MX24/MW24,0)</f>
        <v/>
      </c>
      <c r="NS24" s="11">
        <f>IF(MW23&gt;0,MAX(0,(MW23+MH24-MW24)/MW23),0)</f>
        <v/>
      </c>
      <c r="NU24" s="12" t="n">
        <v>20</v>
      </c>
      <c r="NV24" s="12">
        <f>MOD(NU24-1+LaunchMonth-1,12)+1</f>
        <v/>
      </c>
      <c r="NW24" s="12">
        <f>INT((NU24-1+LaunchMonth-1)/12)+1</f>
        <v/>
      </c>
      <c r="NX24" s="12">
        <f>VLOOKUP(NV24,SeasonTable,2,FALSE)</f>
        <v/>
      </c>
      <c r="NY24" s="12">
        <f>(1+InflationRate)^INT((NU24-1)/12)</f>
        <v/>
      </c>
      <c r="NZ24" s="11">
        <f>'Sens - Churn'!$A$18*VLOOKUP(NV24,ChurnSeasonTable,4,FALSE)</f>
        <v/>
      </c>
      <c r="OA24" s="12">
        <f>MIN(MAX(MktMin19plus,OY23*MktPct19plus),MAX(0,PM23-CashBuffer))</f>
        <v/>
      </c>
      <c r="OB24" s="12">
        <f>IF(OA24&gt;0,MAX(1,ROUND(OA24/CAC*NX24,0)),0)</f>
        <v/>
      </c>
      <c r="OC24" s="12">
        <f>IF(OB24&gt;0,ROUND(OB24*ReferralMix/(1-ReferralMix),0),0)</f>
        <v/>
      </c>
      <c r="OD24" s="12">
        <f>OB24+OC24</f>
        <v/>
      </c>
      <c r="OE24" s="12">
        <f>ROUND(OD24*(1-AnnualMix),0)</f>
        <v/>
      </c>
      <c r="OF24" s="12">
        <f>OD24-OE24</f>
        <v/>
      </c>
      <c r="OG24" s="12">
        <f>ROUND(OE24*EssentialMix,0)</f>
        <v/>
      </c>
      <c r="OH24" s="12">
        <f>ROUND(OE24*PremiumMix,0)</f>
        <v/>
      </c>
      <c r="OI24" s="12">
        <f>OE24-OG24-OH24</f>
        <v/>
      </c>
      <c r="OJ24" s="12">
        <f>ROUND(OF24*EssentialMix,0)</f>
        <v/>
      </c>
      <c r="OK24" s="12">
        <f>ROUND(OF24*PremiumMix,0)</f>
        <v/>
      </c>
      <c r="OL24" s="12">
        <f>OF24-OJ24-OK24</f>
        <v/>
      </c>
      <c r="OM24" s="12">
        <f>OG24+OG23+OG22+MAX(0,OM23-OG23-OG22)*(1-NZ24)</f>
        <v/>
      </c>
      <c r="ON24" s="12">
        <f>OH24+OH23+OH22+MAX(0,ON23-OH23-OH22)*(1-NZ24)</f>
        <v/>
      </c>
      <c r="OO24" s="12">
        <f>OI24+OI23+OI22+MAX(0,OO23-OI23-OI22)*(1-NZ24)</f>
        <v/>
      </c>
      <c r="OP24" s="12">
        <f>OP23+OJ24-OJ12*(AnnualChurn*VLOOKUP(NV24,ChurnSeasonTable,4,FALSE))*POWER(1-(AnnualChurn*VLOOKUP(NV24,ChurnSeasonTable,4,FALSE)),0)</f>
        <v/>
      </c>
      <c r="OQ24" s="12">
        <f>OQ23+OK24-OK12*(AnnualChurn*VLOOKUP(NV24,ChurnSeasonTable,4,FALSE))*POWER(1-(AnnualChurn*VLOOKUP(NV24,ChurnSeasonTable,4,FALSE)),0)</f>
        <v/>
      </c>
      <c r="OR24" s="12">
        <f>OR23+OL24-OL12*(AnnualChurn*VLOOKUP(NV24,ChurnSeasonTable,4,FALSE))*POWER(1-(AnnualChurn*VLOOKUP(NV24,ChurnSeasonTable,4,FALSE)),0)</f>
        <v/>
      </c>
      <c r="OS24" s="12">
        <f>OM24+ON24+OO24+OP24+OQ24+OR24</f>
        <v/>
      </c>
      <c r="OT24" s="9">
        <f>OM24*BlendedPriceEssMonthly*NY24+ON24*BlendedPricePremMonthly*NY24+OO24*BlendedPriceEliteMonthly*NY24+OP24*BlendedPriceEssAnnual*NY24/12+OQ24*BlendedPricePremAnnual*NY24/12+OR24*BlendedPriceEliteAnnual*NY24/12</f>
        <v/>
      </c>
      <c r="OU24" s="9">
        <f>OT24*12</f>
        <v/>
      </c>
      <c r="OV24" s="12">
        <f>OM24*BlendedPriceEssMonthly*NY24+ON24*BlendedPricePremMonthly*NY24+OO24*BlendedPriceEliteMonthly*NY24</f>
        <v/>
      </c>
      <c r="OW24" s="12">
        <f>OJ24*BlendedPriceEssAnnual*NY24+OK24*BlendedPricePremAnnual*NY24+OL24*BlendedPriceEliteAnnual*NY24</f>
        <v/>
      </c>
      <c r="OX24" s="12">
        <f>OJ12*POWER(1-(AnnualChurn*VLOOKUP(NV24,ChurnSeasonTable,4,FALSE)),1)*BlendedPriceEssAnnual*NY24+OK12*POWER(1-(AnnualChurn*VLOOKUP(NV24,ChurnSeasonTable,4,FALSE)),1)*BlendedPricePremAnnual*NY24+OL12*POWER(1-(AnnualChurn*VLOOKUP(NV24,ChurnSeasonTable,4,FALSE)),1)*BlendedPriceEliteAnnual*NY24</f>
        <v/>
      </c>
      <c r="OY24" s="9">
        <f>OV24+OW24+OX24</f>
        <v/>
      </c>
      <c r="OZ24" s="12">
        <f>SUM(OY13:OY24)</f>
        <v/>
      </c>
      <c r="PA24" s="12">
        <f>OR(PA23,IF(VATAgentMode,SUM($OY13:$OY24)-SUM($PF13:$PF24)&gt;=VATThreshold,SUM($OY13:$OY24)&gt;=VATThreshold))</f>
        <v/>
      </c>
      <c r="PB24" s="9">
        <f>IF(PA24,IF(VATAgentMode,OY24-((OY24-PF24)-(OY24-PF24)/(1+VATRate)),OY24/(1+VATRate)),OY24)</f>
        <v/>
      </c>
      <c r="PC24" s="12">
        <f>OY24-PB24</f>
        <v/>
      </c>
      <c r="PD24" s="12">
        <f>IF(PA24=0,0,IF(NV24=1,SUMPRODUCT(--(($NW$5:$NW24=$NW24-1)*($NV$5:$NV24&gt;=10)*($NV$5:$NV24&lt;=12)),$PC$5:$PC24),IF(NV24=4,SUMPRODUCT(--(($NW$5:$NW24=$NW24)*($NV$5:$NV24&gt;=1)*($NV$5:$NV24&lt;=3)),$PC$5:$PC24),IF(NV24=7,SUMPRODUCT(--(($NW$5:$NW24=$NW24)*($NV$5:$NV24&gt;=4)*($NV$5:$NV24&lt;=6)),$PC$5:$PC24),IF(NV24=10,SUMPRODUCT(--(($NW$5:$NW24=$NW24)*($NV$5:$NV24&gt;=7)*($NV$5:$NV24&lt;=9)),$PC$5:$PC24),0)))))</f>
        <v/>
      </c>
      <c r="PE24" s="12">
        <f>PE23+PC24-PD24</f>
        <v/>
      </c>
      <c r="PF24" s="12">
        <f>IF(ProviderDelay&gt;=1,OM23*BlendedProvPayEss+ON23*BlendedProvPayPrem+OO23*BlendedProvPayElite+OP23*BlendedProvPayEss+OQ23*BlendedProvPayPrem+OR23*BlendedProvPayElite,OM24*BlendedProvPayEss+ON24*BlendedProvPayPrem+OO24*BlendedProvPayElite+OP24*BlendedProvPayEss+OQ24*BlendedProvPayPrem+OR24*BlendedProvPayElite)</f>
        <v/>
      </c>
      <c r="PG24" s="12">
        <f>OY24*PaymentFee</f>
        <v/>
      </c>
      <c r="PH24" s="12">
        <f>OS24*OpsAI</f>
        <v/>
      </c>
      <c r="PI24" s="12">
        <f>MonthlyFixed</f>
        <v/>
      </c>
      <c r="PJ24" s="12">
        <f>OC24*ReferralReward</f>
        <v/>
      </c>
      <c r="PK24" s="12">
        <f>OA24</f>
        <v/>
      </c>
      <c r="PL24" s="9">
        <f>PB24-PF24-PG24-PH24-PI24-PJ24-PK24</f>
        <v/>
      </c>
      <c r="PM24" s="9">
        <f>PM23+OY24-(PF24+PG24+PH24+PI24+PJ24+PK24+PD24)</f>
        <v/>
      </c>
      <c r="PN24" s="12">
        <f>IF(OS24&gt;0,OT24/OS24,0)</f>
        <v/>
      </c>
      <c r="PO24" s="11">
        <f>IF(OS23&gt;0,MAX(0,(OS23+OD24-OS24)/OS23),0)</f>
        <v/>
      </c>
      <c r="PQ24" s="12" t="n">
        <v>20</v>
      </c>
      <c r="PR24" s="12">
        <f>MOD(PQ24-1+LaunchMonth-1,12)+1</f>
        <v/>
      </c>
      <c r="PS24" s="12">
        <f>INT((PQ24-1+LaunchMonth-1)/12)+1</f>
        <v/>
      </c>
      <c r="PT24" s="12">
        <f>VLOOKUP(PR24,SeasonTable,2,FALSE)</f>
        <v/>
      </c>
      <c r="PU24" s="12">
        <f>(1+InflationRate)^INT((PQ24-1)/12)</f>
        <v/>
      </c>
      <c r="PV24" s="11">
        <f>'Sens - Churn'!$A$19*VLOOKUP(PR24,ChurnSeasonTable,4,FALSE)</f>
        <v/>
      </c>
      <c r="PW24" s="12">
        <f>MIN(MAX(MktMin19plus,QU23*MktPct19plus),MAX(0,RI23-CashBuffer))</f>
        <v/>
      </c>
      <c r="PX24" s="12">
        <f>IF(PW24&gt;0,MAX(1,ROUND(PW24/CAC*PT24,0)),0)</f>
        <v/>
      </c>
      <c r="PY24" s="12">
        <f>IF(PX24&gt;0,ROUND(PX24*ReferralMix/(1-ReferralMix),0),0)</f>
        <v/>
      </c>
      <c r="PZ24" s="12">
        <f>PX24+PY24</f>
        <v/>
      </c>
      <c r="QA24" s="12">
        <f>ROUND(PZ24*(1-AnnualMix),0)</f>
        <v/>
      </c>
      <c r="QB24" s="12">
        <f>PZ24-QA24</f>
        <v/>
      </c>
      <c r="QC24" s="12">
        <f>ROUND(QA24*EssentialMix,0)</f>
        <v/>
      </c>
      <c r="QD24" s="12">
        <f>ROUND(QA24*PremiumMix,0)</f>
        <v/>
      </c>
      <c r="QE24" s="12">
        <f>QA24-QC24-QD24</f>
        <v/>
      </c>
      <c r="QF24" s="12">
        <f>ROUND(QB24*EssentialMix,0)</f>
        <v/>
      </c>
      <c r="QG24" s="12">
        <f>ROUND(QB24*PremiumMix,0)</f>
        <v/>
      </c>
      <c r="QH24" s="12">
        <f>QB24-QF24-QG24</f>
        <v/>
      </c>
      <c r="QI24" s="12">
        <f>QC24+QC23+QC22+MAX(0,QI23-QC23-QC22)*(1-PV24)</f>
        <v/>
      </c>
      <c r="QJ24" s="12">
        <f>QD24+QD23+QD22+MAX(0,QJ23-QD23-QD22)*(1-PV24)</f>
        <v/>
      </c>
      <c r="QK24" s="12">
        <f>QE24+QE23+QE22+MAX(0,QK23-QE23-QE22)*(1-PV24)</f>
        <v/>
      </c>
      <c r="QL24" s="12">
        <f>QL23+QF24-QF12*(AnnualChurn*VLOOKUP(PR24,ChurnSeasonTable,4,FALSE))*POWER(1-(AnnualChurn*VLOOKUP(PR24,ChurnSeasonTable,4,FALSE)),0)</f>
        <v/>
      </c>
      <c r="QM24" s="12">
        <f>QM23+QG24-QG12*(AnnualChurn*VLOOKUP(PR24,ChurnSeasonTable,4,FALSE))*POWER(1-(AnnualChurn*VLOOKUP(PR24,ChurnSeasonTable,4,FALSE)),0)</f>
        <v/>
      </c>
      <c r="QN24" s="12">
        <f>QN23+QH24-QH12*(AnnualChurn*VLOOKUP(PR24,ChurnSeasonTable,4,FALSE))*POWER(1-(AnnualChurn*VLOOKUP(PR24,ChurnSeasonTable,4,FALSE)),0)</f>
        <v/>
      </c>
      <c r="QO24" s="12">
        <f>QI24+QJ24+QK24+QL24+QM24+QN24</f>
        <v/>
      </c>
      <c r="QP24" s="9">
        <f>QI24*BlendedPriceEssMonthly*PU24+QJ24*BlendedPricePremMonthly*PU24+QK24*BlendedPriceEliteMonthly*PU24+QL24*BlendedPriceEssAnnual*PU24/12+QM24*BlendedPricePremAnnual*PU24/12+QN24*BlendedPriceEliteAnnual*PU24/12</f>
        <v/>
      </c>
      <c r="QQ24" s="9">
        <f>QP24*12</f>
        <v/>
      </c>
      <c r="QR24" s="12">
        <f>QI24*BlendedPriceEssMonthly*PU24+QJ24*BlendedPricePremMonthly*PU24+QK24*BlendedPriceEliteMonthly*PU24</f>
        <v/>
      </c>
      <c r="QS24" s="12">
        <f>QF24*BlendedPriceEssAnnual*PU24+QG24*BlendedPricePremAnnual*PU24+QH24*BlendedPriceEliteAnnual*PU24</f>
        <v/>
      </c>
      <c r="QT24" s="12">
        <f>QF12*POWER(1-(AnnualChurn*VLOOKUP(PR24,ChurnSeasonTable,4,FALSE)),1)*BlendedPriceEssAnnual*PU24+QG12*POWER(1-(AnnualChurn*VLOOKUP(PR24,ChurnSeasonTable,4,FALSE)),1)*BlendedPricePremAnnual*PU24+QH12*POWER(1-(AnnualChurn*VLOOKUP(PR24,ChurnSeasonTable,4,FALSE)),1)*BlendedPriceEliteAnnual*PU24</f>
        <v/>
      </c>
      <c r="QU24" s="9">
        <f>QR24+QS24+QT24</f>
        <v/>
      </c>
      <c r="QV24" s="12">
        <f>SUM(QU13:QU24)</f>
        <v/>
      </c>
      <c r="QW24" s="12">
        <f>OR(QW23,IF(VATAgentMode,SUM($QU13:$QU24)-SUM($RB13:$RB24)&gt;=VATThreshold,SUM($QU13:$QU24)&gt;=VATThreshold))</f>
        <v/>
      </c>
      <c r="QX24" s="9">
        <f>IF(QW24,IF(VATAgentMode,QU24-((QU24-RB24)-(QU24-RB24)/(1+VATRate)),QU24/(1+VATRate)),QU24)</f>
        <v/>
      </c>
      <c r="QY24" s="12">
        <f>QU24-QX24</f>
        <v/>
      </c>
      <c r="QZ24" s="12">
        <f>IF(QW24=0,0,IF(PR24=1,SUMPRODUCT(--(($PS$5:$PS24=$PS24-1)*($PR$5:$PR24&gt;=10)*($PR$5:$PR24&lt;=12)),$QY$5:$QY24),IF(PR24=4,SUMPRODUCT(--(($PS$5:$PS24=$PS24)*($PR$5:$PR24&gt;=1)*($PR$5:$PR24&lt;=3)),$QY$5:$QY24),IF(PR24=7,SUMPRODUCT(--(($PS$5:$PS24=$PS24)*($PR$5:$PR24&gt;=4)*($PR$5:$PR24&lt;=6)),$QY$5:$QY24),IF(PR24=10,SUMPRODUCT(--(($PS$5:$PS24=$PS24)*($PR$5:$PR24&gt;=7)*($PR$5:$PR24&lt;=9)),$QY$5:$QY24),0)))))</f>
        <v/>
      </c>
      <c r="RA24" s="12">
        <f>RA23+QY24-QZ24</f>
        <v/>
      </c>
      <c r="RB24" s="12">
        <f>IF(ProviderDelay&gt;=1,QI23*BlendedProvPayEss+QJ23*BlendedProvPayPrem+QK23*BlendedProvPayElite+QL23*BlendedProvPayEss+QM23*BlendedProvPayPrem+QN23*BlendedProvPayElite,QI24*BlendedProvPayEss+QJ24*BlendedProvPayPrem+QK24*BlendedProvPayElite+QL24*BlendedProvPayEss+QM24*BlendedProvPayPrem+QN24*BlendedProvPayElite)</f>
        <v/>
      </c>
      <c r="RC24" s="12">
        <f>QU24*PaymentFee</f>
        <v/>
      </c>
      <c r="RD24" s="12">
        <f>QO24*OpsAI</f>
        <v/>
      </c>
      <c r="RE24" s="12">
        <f>MonthlyFixed</f>
        <v/>
      </c>
      <c r="RF24" s="12">
        <f>PY24*ReferralReward</f>
        <v/>
      </c>
      <c r="RG24" s="12">
        <f>PW24</f>
        <v/>
      </c>
      <c r="RH24" s="9">
        <f>QX24-RB24-RC24-RD24-RE24-RF24-RG24</f>
        <v/>
      </c>
      <c r="RI24" s="9">
        <f>RI23+QU24-(RB24+RC24+RD24+RE24+RF24+RG24+QZ24)</f>
        <v/>
      </c>
      <c r="RJ24" s="12">
        <f>IF(QO24&gt;0,QP24/QO24,0)</f>
        <v/>
      </c>
      <c r="RK24" s="11">
        <f>IF(QO23&gt;0,MAX(0,(QO23+PZ24-QO24)/QO23),0)</f>
        <v/>
      </c>
      <c r="RM24" s="12" t="n">
        <v>20</v>
      </c>
      <c r="RN24" s="12">
        <f>MOD(RM24-1+LaunchMonth-1,12)+1</f>
        <v/>
      </c>
      <c r="RO24" s="12">
        <f>INT((RM24-1+LaunchMonth-1)/12)+1</f>
        <v/>
      </c>
      <c r="RP24" s="12">
        <f>VLOOKUP(RN24,SeasonTable,2,FALSE)</f>
        <v/>
      </c>
      <c r="RQ24" s="12">
        <f>(1+InflationRate)^INT((RM24-1)/12)</f>
        <v/>
      </c>
      <c r="RR24" s="11">
        <f>'Sens - Churn'!$A$20*VLOOKUP(RN24,ChurnSeasonTable,4,FALSE)</f>
        <v/>
      </c>
      <c r="RS24" s="12">
        <f>MIN(MAX(MktMin19plus,SQ23*MktPct19plus),MAX(0,TE23-CashBuffer))</f>
        <v/>
      </c>
      <c r="RT24" s="12">
        <f>IF(RS24&gt;0,MAX(1,ROUND(RS24/CAC*RP24,0)),0)</f>
        <v/>
      </c>
      <c r="RU24" s="12">
        <f>IF(RT24&gt;0,ROUND(RT24*ReferralMix/(1-ReferralMix),0),0)</f>
        <v/>
      </c>
      <c r="RV24" s="12">
        <f>RT24+RU24</f>
        <v/>
      </c>
      <c r="RW24" s="12">
        <f>ROUND(RV24*(1-AnnualMix),0)</f>
        <v/>
      </c>
      <c r="RX24" s="12">
        <f>RV24-RW24</f>
        <v/>
      </c>
      <c r="RY24" s="12">
        <f>ROUND(RW24*EssentialMix,0)</f>
        <v/>
      </c>
      <c r="RZ24" s="12">
        <f>ROUND(RW24*PremiumMix,0)</f>
        <v/>
      </c>
      <c r="SA24" s="12">
        <f>RW24-RY24-RZ24</f>
        <v/>
      </c>
      <c r="SB24" s="12">
        <f>ROUND(RX24*EssentialMix,0)</f>
        <v/>
      </c>
      <c r="SC24" s="12">
        <f>ROUND(RX24*PremiumMix,0)</f>
        <v/>
      </c>
      <c r="SD24" s="12">
        <f>RX24-SB24-SC24</f>
        <v/>
      </c>
      <c r="SE24" s="12">
        <f>RY24+RY23+RY22+MAX(0,SE23-RY23-RY22)*(1-RR24)</f>
        <v/>
      </c>
      <c r="SF24" s="12">
        <f>RZ24+RZ23+RZ22+MAX(0,SF23-RZ23-RZ22)*(1-RR24)</f>
        <v/>
      </c>
      <c r="SG24" s="12">
        <f>SA24+SA23+SA22+MAX(0,SG23-SA23-SA22)*(1-RR24)</f>
        <v/>
      </c>
      <c r="SH24" s="12">
        <f>SH23+SB24-SB12*(AnnualChurn*VLOOKUP(RN24,ChurnSeasonTable,4,FALSE))*POWER(1-(AnnualChurn*VLOOKUP(RN24,ChurnSeasonTable,4,FALSE)),0)</f>
        <v/>
      </c>
      <c r="SI24" s="12">
        <f>SI23+SC24-SC12*(AnnualChurn*VLOOKUP(RN24,ChurnSeasonTable,4,FALSE))*POWER(1-(AnnualChurn*VLOOKUP(RN24,ChurnSeasonTable,4,FALSE)),0)</f>
        <v/>
      </c>
      <c r="SJ24" s="12">
        <f>SJ23+SD24-SD12*(AnnualChurn*VLOOKUP(RN24,ChurnSeasonTable,4,FALSE))*POWER(1-(AnnualChurn*VLOOKUP(RN24,ChurnSeasonTable,4,FALSE)),0)</f>
        <v/>
      </c>
      <c r="SK24" s="12">
        <f>SE24+SF24+SG24+SH24+SI24+SJ24</f>
        <v/>
      </c>
      <c r="SL24" s="9">
        <f>SE24*BlendedPriceEssMonthly*RQ24+SF24*BlendedPricePremMonthly*RQ24+SG24*BlendedPriceEliteMonthly*RQ24+SH24*BlendedPriceEssAnnual*RQ24/12+SI24*BlendedPricePremAnnual*RQ24/12+SJ24*BlendedPriceEliteAnnual*RQ24/12</f>
        <v/>
      </c>
      <c r="SM24" s="9">
        <f>SL24*12</f>
        <v/>
      </c>
      <c r="SN24" s="12">
        <f>SE24*BlendedPriceEssMonthly*RQ24+SF24*BlendedPricePremMonthly*RQ24+SG24*BlendedPriceEliteMonthly*RQ24</f>
        <v/>
      </c>
      <c r="SO24" s="12">
        <f>SB24*BlendedPriceEssAnnual*RQ24+SC24*BlendedPricePremAnnual*RQ24+SD24*BlendedPriceEliteAnnual*RQ24</f>
        <v/>
      </c>
      <c r="SP24" s="12">
        <f>SB12*POWER(1-(AnnualChurn*VLOOKUP(RN24,ChurnSeasonTable,4,FALSE)),1)*BlendedPriceEssAnnual*RQ24+SC12*POWER(1-(AnnualChurn*VLOOKUP(RN24,ChurnSeasonTable,4,FALSE)),1)*BlendedPricePremAnnual*RQ24+SD12*POWER(1-(AnnualChurn*VLOOKUP(RN24,ChurnSeasonTable,4,FALSE)),1)*BlendedPriceEliteAnnual*RQ24</f>
        <v/>
      </c>
      <c r="SQ24" s="9">
        <f>SN24+SO24+SP24</f>
        <v/>
      </c>
      <c r="SR24" s="12">
        <f>SUM(SQ13:SQ24)</f>
        <v/>
      </c>
      <c r="SS24" s="12">
        <f>OR(SS23,IF(VATAgentMode,SUM($SQ13:$SQ24)-SUM($SX13:$SX24)&gt;=VATThreshold,SUM($SQ13:$SQ24)&gt;=VATThreshold))</f>
        <v/>
      </c>
      <c r="ST24" s="9">
        <f>IF(SS24,IF(VATAgentMode,SQ24-((SQ24-SX24)-(SQ24-SX24)/(1+VATRate)),SQ24/(1+VATRate)),SQ24)</f>
        <v/>
      </c>
      <c r="SU24" s="12">
        <f>SQ24-ST24</f>
        <v/>
      </c>
      <c r="SV24" s="12">
        <f>IF(SS24=0,0,IF(RN24=1,SUMPRODUCT(--(($RO$5:$RO24=$RO24-1)*($RN$5:$RN24&gt;=10)*($RN$5:$RN24&lt;=12)),$SU$5:$SU24),IF(RN24=4,SUMPRODUCT(--(($RO$5:$RO24=$RO24)*($RN$5:$RN24&gt;=1)*($RN$5:$RN24&lt;=3)),$SU$5:$SU24),IF(RN24=7,SUMPRODUCT(--(($RO$5:$RO24=$RO24)*($RN$5:$RN24&gt;=4)*($RN$5:$RN24&lt;=6)),$SU$5:$SU24),IF(RN24=10,SUMPRODUCT(--(($RO$5:$RO24=$RO24)*($RN$5:$RN24&gt;=7)*($RN$5:$RN24&lt;=9)),$SU$5:$SU24),0)))))</f>
        <v/>
      </c>
      <c r="SW24" s="12">
        <f>SW23+SU24-SV24</f>
        <v/>
      </c>
      <c r="SX24" s="12">
        <f>IF(ProviderDelay&gt;=1,SE23*BlendedProvPayEss+SF23*BlendedProvPayPrem+SG23*BlendedProvPayElite+SH23*BlendedProvPayEss+SI23*BlendedProvPayPrem+SJ23*BlendedProvPayElite,SE24*BlendedProvPayEss+SF24*BlendedProvPayPrem+SG24*BlendedProvPayElite+SH24*BlendedProvPayEss+SI24*BlendedProvPayPrem+SJ24*BlendedProvPayElite)</f>
        <v/>
      </c>
      <c r="SY24" s="12">
        <f>SQ24*PaymentFee</f>
        <v/>
      </c>
      <c r="SZ24" s="12">
        <f>SK24*OpsAI</f>
        <v/>
      </c>
      <c r="TA24" s="12">
        <f>MonthlyFixed</f>
        <v/>
      </c>
      <c r="TB24" s="12">
        <f>RU24*ReferralReward</f>
        <v/>
      </c>
      <c r="TC24" s="12">
        <f>RS24</f>
        <v/>
      </c>
      <c r="TD24" s="9">
        <f>ST24-SX24-SY24-SZ24-TA24-TB24-TC24</f>
        <v/>
      </c>
      <c r="TE24" s="9">
        <f>TE23+SQ24-(SX24+SY24+SZ24+TA24+TB24+TC24+SV24)</f>
        <v/>
      </c>
      <c r="TF24" s="12">
        <f>IF(SK24&gt;0,SL24/SK24,0)</f>
        <v/>
      </c>
      <c r="TG24" s="11">
        <f>IF(SK23&gt;0,MAX(0,(SK23+RV24-SK24)/SK23),0)</f>
        <v/>
      </c>
      <c r="TI24" s="12" t="n">
        <v>20</v>
      </c>
      <c r="TJ24" s="12">
        <f>MOD(TI24-1+LaunchMonth-1,12)+1</f>
        <v/>
      </c>
      <c r="TK24" s="12">
        <f>INT((TI24-1+LaunchMonth-1)/12)+1</f>
        <v/>
      </c>
      <c r="TL24" s="12">
        <f>VLOOKUP(TJ24,SeasonTable,2,FALSE)</f>
        <v/>
      </c>
      <c r="TM24" s="12">
        <f>(1+InflationRate)^INT((TI24-1)/12)</f>
        <v/>
      </c>
      <c r="TN24" s="11">
        <f>'Sens - Churn'!$A$21*VLOOKUP(TJ24,ChurnSeasonTable,4,FALSE)</f>
        <v/>
      </c>
      <c r="TO24" s="12">
        <f>MIN(MAX(MktMin19plus,UM23*MktPct19plus),MAX(0,VA23-CashBuffer))</f>
        <v/>
      </c>
      <c r="TP24" s="12">
        <f>IF(TO24&gt;0,MAX(1,ROUND(TO24/CAC*TL24,0)),0)</f>
        <v/>
      </c>
      <c r="TQ24" s="12">
        <f>IF(TP24&gt;0,ROUND(TP24*ReferralMix/(1-ReferralMix),0),0)</f>
        <v/>
      </c>
      <c r="TR24" s="12">
        <f>TP24+TQ24</f>
        <v/>
      </c>
      <c r="TS24" s="12">
        <f>ROUND(TR24*(1-AnnualMix),0)</f>
        <v/>
      </c>
      <c r="TT24" s="12">
        <f>TR24-TS24</f>
        <v/>
      </c>
      <c r="TU24" s="12">
        <f>ROUND(TS24*EssentialMix,0)</f>
        <v/>
      </c>
      <c r="TV24" s="12">
        <f>ROUND(TS24*PremiumMix,0)</f>
        <v/>
      </c>
      <c r="TW24" s="12">
        <f>TS24-TU24-TV24</f>
        <v/>
      </c>
      <c r="TX24" s="12">
        <f>ROUND(TT24*EssentialMix,0)</f>
        <v/>
      </c>
      <c r="TY24" s="12">
        <f>ROUND(TT24*PremiumMix,0)</f>
        <v/>
      </c>
      <c r="TZ24" s="12">
        <f>TT24-TX24-TY24</f>
        <v/>
      </c>
      <c r="UA24" s="12">
        <f>TU24+TU23+TU22+MAX(0,UA23-TU23-TU22)*(1-TN24)</f>
        <v/>
      </c>
      <c r="UB24" s="12">
        <f>TV24+TV23+TV22+MAX(0,UB23-TV23-TV22)*(1-TN24)</f>
        <v/>
      </c>
      <c r="UC24" s="12">
        <f>TW24+TW23+TW22+MAX(0,UC23-TW23-TW22)*(1-TN24)</f>
        <v/>
      </c>
      <c r="UD24" s="12">
        <f>UD23+TX24-TX12*(AnnualChurn*VLOOKUP(TJ24,ChurnSeasonTable,4,FALSE))*POWER(1-(AnnualChurn*VLOOKUP(TJ24,ChurnSeasonTable,4,FALSE)),0)</f>
        <v/>
      </c>
      <c r="UE24" s="12">
        <f>UE23+TY24-TY12*(AnnualChurn*VLOOKUP(TJ24,ChurnSeasonTable,4,FALSE))*POWER(1-(AnnualChurn*VLOOKUP(TJ24,ChurnSeasonTable,4,FALSE)),0)</f>
        <v/>
      </c>
      <c r="UF24" s="12">
        <f>UF23+TZ24-TZ12*(AnnualChurn*VLOOKUP(TJ24,ChurnSeasonTable,4,FALSE))*POWER(1-(AnnualChurn*VLOOKUP(TJ24,ChurnSeasonTable,4,FALSE)),0)</f>
        <v/>
      </c>
      <c r="UG24" s="12">
        <f>UA24+UB24+UC24+UD24+UE24+UF24</f>
        <v/>
      </c>
      <c r="UH24" s="9">
        <f>UA24*BlendedPriceEssMonthly*TM24+UB24*BlendedPricePremMonthly*TM24+UC24*BlendedPriceEliteMonthly*TM24+UD24*BlendedPriceEssAnnual*TM24/12+UE24*BlendedPricePremAnnual*TM24/12+UF24*BlendedPriceEliteAnnual*TM24/12</f>
        <v/>
      </c>
      <c r="UI24" s="9">
        <f>UH24*12</f>
        <v/>
      </c>
      <c r="UJ24" s="12">
        <f>UA24*BlendedPriceEssMonthly*TM24+UB24*BlendedPricePremMonthly*TM24+UC24*BlendedPriceEliteMonthly*TM24</f>
        <v/>
      </c>
      <c r="UK24" s="12">
        <f>TX24*BlendedPriceEssAnnual*TM24+TY24*BlendedPricePremAnnual*TM24+TZ24*BlendedPriceEliteAnnual*TM24</f>
        <v/>
      </c>
      <c r="UL24" s="12">
        <f>TX12*POWER(1-(AnnualChurn*VLOOKUP(TJ24,ChurnSeasonTable,4,FALSE)),1)*BlendedPriceEssAnnual*TM24+TY12*POWER(1-(AnnualChurn*VLOOKUP(TJ24,ChurnSeasonTable,4,FALSE)),1)*BlendedPricePremAnnual*TM24+TZ12*POWER(1-(AnnualChurn*VLOOKUP(TJ24,ChurnSeasonTable,4,FALSE)),1)*BlendedPriceEliteAnnual*TM24</f>
        <v/>
      </c>
      <c r="UM24" s="9">
        <f>UJ24+UK24+UL24</f>
        <v/>
      </c>
      <c r="UN24" s="12">
        <f>SUM(UM13:UM24)</f>
        <v/>
      </c>
      <c r="UO24" s="12">
        <f>OR(UO23,IF(VATAgentMode,SUM($UM13:$UM24)-SUM($UT13:$UT24)&gt;=VATThreshold,SUM($UM13:$UM24)&gt;=VATThreshold))</f>
        <v/>
      </c>
      <c r="UP24" s="9">
        <f>IF(UO24,IF(VATAgentMode,UM24-((UM24-UT24)-(UM24-UT24)/(1+VATRate)),UM24/(1+VATRate)),UM24)</f>
        <v/>
      </c>
      <c r="UQ24" s="12">
        <f>UM24-UP24</f>
        <v/>
      </c>
      <c r="UR24" s="12">
        <f>IF(UO24=0,0,IF(TJ24=1,SUMPRODUCT(--(($TK$5:$TK24=$TK24-1)*($TJ$5:$TJ24&gt;=10)*($TJ$5:$TJ24&lt;=12)),$UQ$5:$UQ24),IF(TJ24=4,SUMPRODUCT(--(($TK$5:$TK24=$TK24)*($TJ$5:$TJ24&gt;=1)*($TJ$5:$TJ24&lt;=3)),$UQ$5:$UQ24),IF(TJ24=7,SUMPRODUCT(--(($TK$5:$TK24=$TK24)*($TJ$5:$TJ24&gt;=4)*($TJ$5:$TJ24&lt;=6)),$UQ$5:$UQ24),IF(TJ24=10,SUMPRODUCT(--(($TK$5:$TK24=$TK24)*($TJ$5:$TJ24&gt;=7)*($TJ$5:$TJ24&lt;=9)),$UQ$5:$UQ24),0)))))</f>
        <v/>
      </c>
      <c r="US24" s="12">
        <f>US23+UQ24-UR24</f>
        <v/>
      </c>
      <c r="UT24" s="12">
        <f>IF(ProviderDelay&gt;=1,UA23*BlendedProvPayEss+UB23*BlendedProvPayPrem+UC23*BlendedProvPayElite+UD23*BlendedProvPayEss+UE23*BlendedProvPayPrem+UF23*BlendedProvPayElite,UA24*BlendedProvPayEss+UB24*BlendedProvPayPrem+UC24*BlendedProvPayElite+UD24*BlendedProvPayEss+UE24*BlendedProvPayPrem+UF24*BlendedProvPayElite)</f>
        <v/>
      </c>
      <c r="UU24" s="12">
        <f>UM24*PaymentFee</f>
        <v/>
      </c>
      <c r="UV24" s="12">
        <f>UG24*OpsAI</f>
        <v/>
      </c>
      <c r="UW24" s="12">
        <f>MonthlyFixed</f>
        <v/>
      </c>
      <c r="UX24" s="12">
        <f>TQ24*ReferralReward</f>
        <v/>
      </c>
      <c r="UY24" s="12">
        <f>TO24</f>
        <v/>
      </c>
      <c r="UZ24" s="9">
        <f>UP24-UT24-UU24-UV24-UW24-UX24-UY24</f>
        <v/>
      </c>
      <c r="VA24" s="9">
        <f>VA23+UM24-(UT24+UU24+UV24+UW24+UX24+UY24+UR24)</f>
        <v/>
      </c>
      <c r="VB24" s="12">
        <f>IF(UG24&gt;0,UH24/UG24,0)</f>
        <v/>
      </c>
      <c r="VC24" s="11">
        <f>IF(UG23&gt;0,MAX(0,(UG23+TR24-UG24)/UG23),0)</f>
        <v/>
      </c>
      <c r="VE24" s="12" t="n">
        <v>20</v>
      </c>
      <c r="VF24" s="12">
        <f>MOD(VE24-1+LaunchMonth-1,12)+1</f>
        <v/>
      </c>
      <c r="VG24" s="12">
        <f>INT((VE24-1+LaunchMonth-1)/12)+1</f>
        <v/>
      </c>
      <c r="VH24" s="12">
        <f>VLOOKUP(VF24,SeasonTable,2,FALSE)</f>
        <v/>
      </c>
      <c r="VI24" s="12">
        <f>(1+InflationRate)^INT((VE24-1)/12)</f>
        <v/>
      </c>
      <c r="VJ24" s="11">
        <f>MonthlyChurn*VLOOKUP(VF24,ChurnSeasonTable,4,FALSE)</f>
        <v/>
      </c>
      <c r="VK24" s="12">
        <f>MIN(MAX(MktMin19plus,WI23*MktPct19plus),MAX(0,WW23-CashBuffer))</f>
        <v/>
      </c>
      <c r="VL24" s="12">
        <f>IF(VK24&gt;0,MAX(1,ROUND(VK24/CAC*VH24,0)),0)</f>
        <v/>
      </c>
      <c r="VM24" s="12">
        <f>IF(VL24&gt;0,ROUND(VL24*ReferralMix/(1-ReferralMix),0),0)</f>
        <v/>
      </c>
      <c r="VN24" s="12">
        <f>VL24+VM24</f>
        <v/>
      </c>
      <c r="VO24" s="12">
        <f>ROUND(VN24*(1-'Sens - Annual Mix'!$A$9),0)</f>
        <v/>
      </c>
      <c r="VP24" s="12">
        <f>VN24-VO24</f>
        <v/>
      </c>
      <c r="VQ24" s="12">
        <f>ROUND(VO24*EssentialMix,0)</f>
        <v/>
      </c>
      <c r="VR24" s="12">
        <f>ROUND(VO24*PremiumMix,0)</f>
        <v/>
      </c>
      <c r="VS24" s="12">
        <f>VO24-VQ24-VR24</f>
        <v/>
      </c>
      <c r="VT24" s="12">
        <f>ROUND(VP24*EssentialMix,0)</f>
        <v/>
      </c>
      <c r="VU24" s="12">
        <f>ROUND(VP24*PremiumMix,0)</f>
        <v/>
      </c>
      <c r="VV24" s="12">
        <f>VP24-VT24-VU24</f>
        <v/>
      </c>
      <c r="VW24" s="12">
        <f>VQ24+VQ23+VQ22+MAX(0,VW23-VQ23-VQ22)*(1-VJ24)</f>
        <v/>
      </c>
      <c r="VX24" s="12">
        <f>VR24+VR23+VR22+MAX(0,VX23-VR23-VR22)*(1-VJ24)</f>
        <v/>
      </c>
      <c r="VY24" s="12">
        <f>VS24+VS23+VS22+MAX(0,VY23-VS23-VS22)*(1-VJ24)</f>
        <v/>
      </c>
      <c r="VZ24" s="12">
        <f>VZ23+VT24-VT12*(AnnualChurn*VLOOKUP(VF24,ChurnSeasonTable,4,FALSE))*POWER(1-(AnnualChurn*VLOOKUP(VF24,ChurnSeasonTable,4,FALSE)),0)</f>
        <v/>
      </c>
      <c r="WA24" s="12">
        <f>WA23+VU24-VU12*(AnnualChurn*VLOOKUP(VF24,ChurnSeasonTable,4,FALSE))*POWER(1-(AnnualChurn*VLOOKUP(VF24,ChurnSeasonTable,4,FALSE)),0)</f>
        <v/>
      </c>
      <c r="WB24" s="12">
        <f>WB23+VV24-VV12*(AnnualChurn*VLOOKUP(VF24,ChurnSeasonTable,4,FALSE))*POWER(1-(AnnualChurn*VLOOKUP(VF24,ChurnSeasonTable,4,FALSE)),0)</f>
        <v/>
      </c>
      <c r="WC24" s="12">
        <f>VW24+VX24+VY24+VZ24+WA24+WB24</f>
        <v/>
      </c>
      <c r="WD24" s="9">
        <f>VW24*BlendedPriceEssMonthly*VI24+VX24*BlendedPricePremMonthly*VI24+VY24*BlendedPriceEliteMonthly*VI24+VZ24*BlendedPriceEssAnnual*VI24/12+WA24*BlendedPricePremAnnual*VI24/12+WB24*BlendedPriceEliteAnnual*VI24/12</f>
        <v/>
      </c>
      <c r="WE24" s="9">
        <f>WD24*12</f>
        <v/>
      </c>
      <c r="WF24" s="12">
        <f>VW24*BlendedPriceEssMonthly*VI24+VX24*BlendedPricePremMonthly*VI24+VY24*BlendedPriceEliteMonthly*VI24</f>
        <v/>
      </c>
      <c r="WG24" s="12">
        <f>VT24*BlendedPriceEssAnnual*VI24+VU24*BlendedPricePremAnnual*VI24+VV24*BlendedPriceEliteAnnual*VI24</f>
        <v/>
      </c>
      <c r="WH24" s="12">
        <f>VT12*POWER(1-(AnnualChurn*VLOOKUP(VF24,ChurnSeasonTable,4,FALSE)),1)*BlendedPriceEssAnnual*VI24+VU12*POWER(1-(AnnualChurn*VLOOKUP(VF24,ChurnSeasonTable,4,FALSE)),1)*BlendedPricePremAnnual*VI24+VV12*POWER(1-(AnnualChurn*VLOOKUP(VF24,ChurnSeasonTable,4,FALSE)),1)*BlendedPriceEliteAnnual*VI24</f>
        <v/>
      </c>
      <c r="WI24" s="9">
        <f>WF24+WG24+WH24</f>
        <v/>
      </c>
      <c r="WJ24" s="12">
        <f>SUM(WI13:WI24)</f>
        <v/>
      </c>
      <c r="WK24" s="12">
        <f>OR(WK23,IF(VATAgentMode,SUM($WI13:$WI24)-SUM($WP13:$WP24)&gt;=VATThreshold,SUM($WI13:$WI24)&gt;=VATThreshold))</f>
        <v/>
      </c>
      <c r="WL24" s="9">
        <f>IF(WK24,IF(VATAgentMode,WI24-((WI24-WP24)-(WI24-WP24)/(1+VATRate)),WI24/(1+VATRate)),WI24)</f>
        <v/>
      </c>
      <c r="WM24" s="12">
        <f>WI24-WL24</f>
        <v/>
      </c>
      <c r="WN24" s="12">
        <f>IF(WK24=0,0,IF(VF24=1,SUMPRODUCT(--(($VG$5:$VG24=$VG24-1)*($VF$5:$VF24&gt;=10)*($VF$5:$VF24&lt;=12)),$WM$5:$WM24),IF(VF24=4,SUMPRODUCT(--(($VG$5:$VG24=$VG24)*($VF$5:$VF24&gt;=1)*($VF$5:$VF24&lt;=3)),$WM$5:$WM24),IF(VF24=7,SUMPRODUCT(--(($VG$5:$VG24=$VG24)*($VF$5:$VF24&gt;=4)*($VF$5:$VF24&lt;=6)),$WM$5:$WM24),IF(VF24=10,SUMPRODUCT(--(($VG$5:$VG24=$VG24)*($VF$5:$VF24&gt;=7)*($VF$5:$VF24&lt;=9)),$WM$5:$WM24),0)))))</f>
        <v/>
      </c>
      <c r="WO24" s="12">
        <f>WO23+WM24-WN24</f>
        <v/>
      </c>
      <c r="WP24" s="12">
        <f>IF(ProviderDelay&gt;=1,VW23*BlendedProvPayEss+VX23*BlendedProvPayPrem+VY23*BlendedProvPayElite+VZ23*BlendedProvPayEss+WA23*BlendedProvPayPrem+WB23*BlendedProvPayElite,VW24*BlendedProvPayEss+VX24*BlendedProvPayPrem+VY24*BlendedProvPayElite+VZ24*BlendedProvPayEss+WA24*BlendedProvPayPrem+WB24*BlendedProvPayElite)</f>
        <v/>
      </c>
      <c r="WQ24" s="12">
        <f>WI24*PaymentFee</f>
        <v/>
      </c>
      <c r="WR24" s="12">
        <f>WC24*OpsAI</f>
        <v/>
      </c>
      <c r="WS24" s="12">
        <f>MonthlyFixed</f>
        <v/>
      </c>
      <c r="WT24" s="12">
        <f>VM24*ReferralReward</f>
        <v/>
      </c>
      <c r="WU24" s="12">
        <f>VK24</f>
        <v/>
      </c>
      <c r="WV24" s="9">
        <f>WL24-WP24-WQ24-WR24-WS24-WT24-WU24</f>
        <v/>
      </c>
      <c r="WW24" s="9">
        <f>WW23+WI24-(WP24+WQ24+WR24+WS24+WT24+WU24+WN24)</f>
        <v/>
      </c>
      <c r="WX24" s="12">
        <f>IF(WC24&gt;0,WD24/WC24,0)</f>
        <v/>
      </c>
      <c r="WY24" s="11">
        <f>IF(WC23&gt;0,MAX(0,(WC23+VN24-WC24)/WC23),0)</f>
        <v/>
      </c>
      <c r="XA24" s="12" t="n">
        <v>20</v>
      </c>
      <c r="XB24" s="12">
        <f>MOD(XA24-1+LaunchMonth-1,12)+1</f>
        <v/>
      </c>
      <c r="XC24" s="12">
        <f>INT((XA24-1+LaunchMonth-1)/12)+1</f>
        <v/>
      </c>
      <c r="XD24" s="12">
        <f>VLOOKUP(XB24,SeasonTable,2,FALSE)</f>
        <v/>
      </c>
      <c r="XE24" s="12">
        <f>(1+InflationRate)^INT((XA24-1)/12)</f>
        <v/>
      </c>
      <c r="XF24" s="11">
        <f>MonthlyChurn*VLOOKUP(XB24,ChurnSeasonTable,4,FALSE)</f>
        <v/>
      </c>
      <c r="XG24" s="12">
        <f>MIN(MAX(MktMin19plus,YE23*MktPct19plus),MAX(0,YS23-CashBuffer))</f>
        <v/>
      </c>
      <c r="XH24" s="12">
        <f>IF(XG24&gt;0,MAX(1,ROUND(XG24/CAC*XD24,0)),0)</f>
        <v/>
      </c>
      <c r="XI24" s="12">
        <f>IF(XH24&gt;0,ROUND(XH24*ReferralMix/(1-ReferralMix),0),0)</f>
        <v/>
      </c>
      <c r="XJ24" s="12">
        <f>XH24+XI24</f>
        <v/>
      </c>
      <c r="XK24" s="12">
        <f>ROUND(XJ24*(1-'Sens - Annual Mix'!$A$10),0)</f>
        <v/>
      </c>
      <c r="XL24" s="12">
        <f>XJ24-XK24</f>
        <v/>
      </c>
      <c r="XM24" s="12">
        <f>ROUND(XK24*EssentialMix,0)</f>
        <v/>
      </c>
      <c r="XN24" s="12">
        <f>ROUND(XK24*PremiumMix,0)</f>
        <v/>
      </c>
      <c r="XO24" s="12">
        <f>XK24-XM24-XN24</f>
        <v/>
      </c>
      <c r="XP24" s="12">
        <f>ROUND(XL24*EssentialMix,0)</f>
        <v/>
      </c>
      <c r="XQ24" s="12">
        <f>ROUND(XL24*PremiumMix,0)</f>
        <v/>
      </c>
      <c r="XR24" s="12">
        <f>XL24-XP24-XQ24</f>
        <v/>
      </c>
      <c r="XS24" s="12">
        <f>XM24+XM23+XM22+MAX(0,XS23-XM23-XM22)*(1-XF24)</f>
        <v/>
      </c>
      <c r="XT24" s="12">
        <f>XN24+XN23+XN22+MAX(0,XT23-XN23-XN22)*(1-XF24)</f>
        <v/>
      </c>
      <c r="XU24" s="12">
        <f>XO24+XO23+XO22+MAX(0,XU23-XO23-XO22)*(1-XF24)</f>
        <v/>
      </c>
      <c r="XV24" s="12">
        <f>XV23+XP24-XP12*(AnnualChurn*VLOOKUP(XB24,ChurnSeasonTable,4,FALSE))*POWER(1-(AnnualChurn*VLOOKUP(XB24,ChurnSeasonTable,4,FALSE)),0)</f>
        <v/>
      </c>
      <c r="XW24" s="12">
        <f>XW23+XQ24-XQ12*(AnnualChurn*VLOOKUP(XB24,ChurnSeasonTable,4,FALSE))*POWER(1-(AnnualChurn*VLOOKUP(XB24,ChurnSeasonTable,4,FALSE)),0)</f>
        <v/>
      </c>
      <c r="XX24" s="12">
        <f>XX23+XR24-XR12*(AnnualChurn*VLOOKUP(XB24,ChurnSeasonTable,4,FALSE))*POWER(1-(AnnualChurn*VLOOKUP(XB24,ChurnSeasonTable,4,FALSE)),0)</f>
        <v/>
      </c>
      <c r="XY24" s="12">
        <f>XS24+XT24+XU24+XV24+XW24+XX24</f>
        <v/>
      </c>
      <c r="XZ24" s="9">
        <f>XS24*BlendedPriceEssMonthly*XE24+XT24*BlendedPricePremMonthly*XE24+XU24*BlendedPriceEliteMonthly*XE24+XV24*BlendedPriceEssAnnual*XE24/12+XW24*BlendedPricePremAnnual*XE24/12+XX24*BlendedPriceEliteAnnual*XE24/12</f>
        <v/>
      </c>
      <c r="YA24" s="9">
        <f>XZ24*12</f>
        <v/>
      </c>
      <c r="YB24" s="12">
        <f>XS24*BlendedPriceEssMonthly*XE24+XT24*BlendedPricePremMonthly*XE24+XU24*BlendedPriceEliteMonthly*XE24</f>
        <v/>
      </c>
      <c r="YC24" s="12">
        <f>XP24*BlendedPriceEssAnnual*XE24+XQ24*BlendedPricePremAnnual*XE24+XR24*BlendedPriceEliteAnnual*XE24</f>
        <v/>
      </c>
      <c r="YD24" s="12">
        <f>XP12*POWER(1-(AnnualChurn*VLOOKUP(XB24,ChurnSeasonTable,4,FALSE)),1)*BlendedPriceEssAnnual*XE24+XQ12*POWER(1-(AnnualChurn*VLOOKUP(XB24,ChurnSeasonTable,4,FALSE)),1)*BlendedPricePremAnnual*XE24+XR12*POWER(1-(AnnualChurn*VLOOKUP(XB24,ChurnSeasonTable,4,FALSE)),1)*BlendedPriceEliteAnnual*XE24</f>
        <v/>
      </c>
      <c r="YE24" s="9">
        <f>YB24+YC24+YD24</f>
        <v/>
      </c>
      <c r="YF24" s="12">
        <f>SUM(YE13:YE24)</f>
        <v/>
      </c>
      <c r="YG24" s="12">
        <f>OR(YG23,IF(VATAgentMode,SUM($YE13:$YE24)-SUM($YL13:$YL24)&gt;=VATThreshold,SUM($YE13:$YE24)&gt;=VATThreshold))</f>
        <v/>
      </c>
      <c r="YH24" s="9">
        <f>IF(YG24,IF(VATAgentMode,YE24-((YE24-YL24)-(YE24-YL24)/(1+VATRate)),YE24/(1+VATRate)),YE24)</f>
        <v/>
      </c>
      <c r="YI24" s="12">
        <f>YE24-YH24</f>
        <v/>
      </c>
      <c r="YJ24" s="12">
        <f>IF(YG24=0,0,IF(XB24=1,SUMPRODUCT(--(($XC$5:$XC24=$XC24-1)*($XB$5:$XB24&gt;=10)*($XB$5:$XB24&lt;=12)),$YI$5:$YI24),IF(XB24=4,SUMPRODUCT(--(($XC$5:$XC24=$XC24)*($XB$5:$XB24&gt;=1)*($XB$5:$XB24&lt;=3)),$YI$5:$YI24),IF(XB24=7,SUMPRODUCT(--(($XC$5:$XC24=$XC24)*($XB$5:$XB24&gt;=4)*($XB$5:$XB24&lt;=6)),$YI$5:$YI24),IF(XB24=10,SUMPRODUCT(--(($XC$5:$XC24=$XC24)*($XB$5:$XB24&gt;=7)*($XB$5:$XB24&lt;=9)),$YI$5:$YI24),0)))))</f>
        <v/>
      </c>
      <c r="YK24" s="12">
        <f>YK23+YI24-YJ24</f>
        <v/>
      </c>
      <c r="YL24" s="12">
        <f>IF(ProviderDelay&gt;=1,XS23*BlendedProvPayEss+XT23*BlendedProvPayPrem+XU23*BlendedProvPayElite+XV23*BlendedProvPayEss+XW23*BlendedProvPayPrem+XX23*BlendedProvPayElite,XS24*BlendedProvPayEss+XT24*BlendedProvPayPrem+XU24*BlendedProvPayElite+XV24*BlendedProvPayEss+XW24*BlendedProvPayPrem+XX24*BlendedProvPayElite)</f>
        <v/>
      </c>
      <c r="YM24" s="12">
        <f>YE24*PaymentFee</f>
        <v/>
      </c>
      <c r="YN24" s="12">
        <f>XY24*OpsAI</f>
        <v/>
      </c>
      <c r="YO24" s="12">
        <f>MonthlyFixed</f>
        <v/>
      </c>
      <c r="YP24" s="12">
        <f>XI24*ReferralReward</f>
        <v/>
      </c>
      <c r="YQ24" s="12">
        <f>XG24</f>
        <v/>
      </c>
      <c r="YR24" s="9">
        <f>YH24-YL24-YM24-YN24-YO24-YP24-YQ24</f>
        <v/>
      </c>
      <c r="YS24" s="9">
        <f>YS23+YE24-(YL24+YM24+YN24+YO24+YP24+YQ24+YJ24)</f>
        <v/>
      </c>
      <c r="YT24" s="12">
        <f>IF(XY24&gt;0,XZ24/XY24,0)</f>
        <v/>
      </c>
      <c r="YU24" s="11">
        <f>IF(XY23&gt;0,MAX(0,(XY23+XJ24-XY24)/XY23),0)</f>
        <v/>
      </c>
      <c r="YW24" s="12" t="n">
        <v>20</v>
      </c>
      <c r="YX24" s="12">
        <f>MOD(YW24-1+LaunchMonth-1,12)+1</f>
        <v/>
      </c>
      <c r="YY24" s="12">
        <f>INT((YW24-1+LaunchMonth-1)/12)+1</f>
        <v/>
      </c>
      <c r="YZ24" s="12">
        <f>VLOOKUP(YX24,SeasonTable,2,FALSE)</f>
        <v/>
      </c>
      <c r="ZA24" s="12">
        <f>(1+InflationRate)^INT((YW24-1)/12)</f>
        <v/>
      </c>
      <c r="ZB24" s="11">
        <f>MonthlyChurn*VLOOKUP(YX24,ChurnSeasonTable,4,FALSE)</f>
        <v/>
      </c>
      <c r="ZC24" s="12">
        <f>MIN(MAX(MktMin19plus,AAA23*MktPct19plus),MAX(0,AAO23-CashBuffer))</f>
        <v/>
      </c>
      <c r="ZD24" s="12">
        <f>IF(ZC24&gt;0,MAX(1,ROUND(ZC24/CAC*YZ24,0)),0)</f>
        <v/>
      </c>
      <c r="ZE24" s="12">
        <f>IF(ZD24&gt;0,ROUND(ZD24*ReferralMix/(1-ReferralMix),0),0)</f>
        <v/>
      </c>
      <c r="ZF24" s="12">
        <f>ZD24+ZE24</f>
        <v/>
      </c>
      <c r="ZG24" s="12">
        <f>ROUND(ZF24*(1-'Sens - Annual Mix'!$A$11),0)</f>
        <v/>
      </c>
      <c r="ZH24" s="12">
        <f>ZF24-ZG24</f>
        <v/>
      </c>
      <c r="ZI24" s="12">
        <f>ROUND(ZG24*EssentialMix,0)</f>
        <v/>
      </c>
      <c r="ZJ24" s="12">
        <f>ROUND(ZG24*PremiumMix,0)</f>
        <v/>
      </c>
      <c r="ZK24" s="12">
        <f>ZG24-ZI24-ZJ24</f>
        <v/>
      </c>
      <c r="ZL24" s="12">
        <f>ROUND(ZH24*EssentialMix,0)</f>
        <v/>
      </c>
      <c r="ZM24" s="12">
        <f>ROUND(ZH24*PremiumMix,0)</f>
        <v/>
      </c>
      <c r="ZN24" s="12">
        <f>ZH24-ZL24-ZM24</f>
        <v/>
      </c>
      <c r="ZO24" s="12">
        <f>ZI24+ZI23+ZI22+MAX(0,ZO23-ZI23-ZI22)*(1-ZB24)</f>
        <v/>
      </c>
      <c r="ZP24" s="12">
        <f>ZJ24+ZJ23+ZJ22+MAX(0,ZP23-ZJ23-ZJ22)*(1-ZB24)</f>
        <v/>
      </c>
      <c r="ZQ24" s="12">
        <f>ZK24+ZK23+ZK22+MAX(0,ZQ23-ZK23-ZK22)*(1-ZB24)</f>
        <v/>
      </c>
      <c r="ZR24" s="12">
        <f>ZR23+ZL24-ZL12*(AnnualChurn*VLOOKUP(YX24,ChurnSeasonTable,4,FALSE))*POWER(1-(AnnualChurn*VLOOKUP(YX24,ChurnSeasonTable,4,FALSE)),0)</f>
        <v/>
      </c>
      <c r="ZS24" s="12">
        <f>ZS23+ZM24-ZM12*(AnnualChurn*VLOOKUP(YX24,ChurnSeasonTable,4,FALSE))*POWER(1-(AnnualChurn*VLOOKUP(YX24,ChurnSeasonTable,4,FALSE)),0)</f>
        <v/>
      </c>
      <c r="ZT24" s="12">
        <f>ZT23+ZN24-ZN12*(AnnualChurn*VLOOKUP(YX24,ChurnSeasonTable,4,FALSE))*POWER(1-(AnnualChurn*VLOOKUP(YX24,ChurnSeasonTable,4,FALSE)),0)</f>
        <v/>
      </c>
      <c r="ZU24" s="12">
        <f>ZO24+ZP24+ZQ24+ZR24+ZS24+ZT24</f>
        <v/>
      </c>
      <c r="ZV24" s="9">
        <f>ZO24*BlendedPriceEssMonthly*ZA24+ZP24*BlendedPricePremMonthly*ZA24+ZQ24*BlendedPriceEliteMonthly*ZA24+ZR24*BlendedPriceEssAnnual*ZA24/12+ZS24*BlendedPricePremAnnual*ZA24/12+ZT24*BlendedPriceEliteAnnual*ZA24/12</f>
        <v/>
      </c>
      <c r="ZW24" s="9">
        <f>ZV24*12</f>
        <v/>
      </c>
      <c r="ZX24" s="12">
        <f>ZO24*BlendedPriceEssMonthly*ZA24+ZP24*BlendedPricePremMonthly*ZA24+ZQ24*BlendedPriceEliteMonthly*ZA24</f>
        <v/>
      </c>
      <c r="ZY24" s="12">
        <f>ZL24*BlendedPriceEssAnnual*ZA24+ZM24*BlendedPricePremAnnual*ZA24+ZN24*BlendedPriceEliteAnnual*ZA24</f>
        <v/>
      </c>
      <c r="ZZ24" s="12">
        <f>ZL12*POWER(1-(AnnualChurn*VLOOKUP(YX24,ChurnSeasonTable,4,FALSE)),1)*BlendedPriceEssAnnual*ZA24+ZM12*POWER(1-(AnnualChurn*VLOOKUP(YX24,ChurnSeasonTable,4,FALSE)),1)*BlendedPricePremAnnual*ZA24+ZN12*POWER(1-(AnnualChurn*VLOOKUP(YX24,ChurnSeasonTable,4,FALSE)),1)*BlendedPriceEliteAnnual*ZA24</f>
        <v/>
      </c>
      <c r="AAA24" s="9">
        <f>ZX24+ZY24+ZZ24</f>
        <v/>
      </c>
      <c r="AAB24" s="12">
        <f>SUM(AAA13:AAA24)</f>
        <v/>
      </c>
      <c r="AAC24" s="12">
        <f>OR(AAC23,IF(VATAgentMode,SUM($AAA13:$AAA24)-SUM($AAH13:$AAH24)&gt;=VATThreshold,SUM($AAA13:$AAA24)&gt;=VATThreshold))</f>
        <v/>
      </c>
      <c r="AAD24" s="9">
        <f>IF(AAC24,IF(VATAgentMode,AAA24-((AAA24-AAH24)-(AAA24-AAH24)/(1+VATRate)),AAA24/(1+VATRate)),AAA24)</f>
        <v/>
      </c>
      <c r="AAE24" s="12">
        <f>AAA24-AAD24</f>
        <v/>
      </c>
      <c r="AAF24" s="12">
        <f>IF(AAC24=0,0,IF(YX24=1,SUMPRODUCT(--(($YY$5:$YY24=$YY24-1)*($YX$5:$YX24&gt;=10)*($YX$5:$YX24&lt;=12)),$AAE$5:$AAE24),IF(YX24=4,SUMPRODUCT(--(($YY$5:$YY24=$YY24)*($YX$5:$YX24&gt;=1)*($YX$5:$YX24&lt;=3)),$AAE$5:$AAE24),IF(YX24=7,SUMPRODUCT(--(($YY$5:$YY24=$YY24)*($YX$5:$YX24&gt;=4)*($YX$5:$YX24&lt;=6)),$AAE$5:$AAE24),IF(YX24=10,SUMPRODUCT(--(($YY$5:$YY24=$YY24)*($YX$5:$YX24&gt;=7)*($YX$5:$YX24&lt;=9)),$AAE$5:$AAE24),0)))))</f>
        <v/>
      </c>
      <c r="AAG24" s="12">
        <f>AAG23+AAE24-AAF24</f>
        <v/>
      </c>
      <c r="AAH24" s="12">
        <f>IF(ProviderDelay&gt;=1,ZO23*BlendedProvPayEss+ZP23*BlendedProvPayPrem+ZQ23*BlendedProvPayElite+ZR23*BlendedProvPayEss+ZS23*BlendedProvPayPrem+ZT23*BlendedProvPayElite,ZO24*BlendedProvPayEss+ZP24*BlendedProvPayPrem+ZQ24*BlendedProvPayElite+ZR24*BlendedProvPayEss+ZS24*BlendedProvPayPrem+ZT24*BlendedProvPayElite)</f>
        <v/>
      </c>
      <c r="AAI24" s="12">
        <f>AAA24*PaymentFee</f>
        <v/>
      </c>
      <c r="AAJ24" s="12">
        <f>ZU24*OpsAI</f>
        <v/>
      </c>
      <c r="AAK24" s="12">
        <f>MonthlyFixed</f>
        <v/>
      </c>
      <c r="AAL24" s="12">
        <f>ZE24*ReferralReward</f>
        <v/>
      </c>
      <c r="AAM24" s="12">
        <f>ZC24</f>
        <v/>
      </c>
      <c r="AAN24" s="9">
        <f>AAD24-AAH24-AAI24-AAJ24-AAK24-AAL24-AAM24</f>
        <v/>
      </c>
      <c r="AAO24" s="9">
        <f>AAO23+AAA24-(AAH24+AAI24+AAJ24+AAK24+AAL24+AAM24+AAF24)</f>
        <v/>
      </c>
      <c r="AAP24" s="12">
        <f>IF(ZU24&gt;0,ZV24/ZU24,0)</f>
        <v/>
      </c>
      <c r="AAQ24" s="11">
        <f>IF(ZU23&gt;0,MAX(0,(ZU23+ZF24-ZU24)/ZU23),0)</f>
        <v/>
      </c>
      <c r="AAS24" s="12" t="n">
        <v>20</v>
      </c>
      <c r="AAT24" s="12">
        <f>MOD(AAS24-1+LaunchMonth-1,12)+1</f>
        <v/>
      </c>
      <c r="AAU24" s="12">
        <f>INT((AAS24-1+LaunchMonth-1)/12)+1</f>
        <v/>
      </c>
      <c r="AAV24" s="12">
        <f>VLOOKUP(AAT24,SeasonTable,2,FALSE)</f>
        <v/>
      </c>
      <c r="AAW24" s="12">
        <f>(1+InflationRate)^INT((AAS24-1)/12)</f>
        <v/>
      </c>
      <c r="AAX24" s="11">
        <f>MonthlyChurn*VLOOKUP(AAT24,ChurnSeasonTable,4,FALSE)</f>
        <v/>
      </c>
      <c r="AAY24" s="12">
        <f>MIN(MAX(MktMin19plus,ABW23*MktPct19plus),MAX(0,ACK23-CashBuffer))</f>
        <v/>
      </c>
      <c r="AAZ24" s="12">
        <f>IF(AAY24&gt;0,MAX(1,ROUND(AAY24/CAC*AAV24,0)),0)</f>
        <v/>
      </c>
      <c r="ABA24" s="12">
        <f>IF(AAZ24&gt;0,ROUND(AAZ24*ReferralMix/(1-ReferralMix),0),0)</f>
        <v/>
      </c>
      <c r="ABB24" s="12">
        <f>AAZ24+ABA24</f>
        <v/>
      </c>
      <c r="ABC24" s="12">
        <f>ROUND(ABB24*(1-'Sens - Annual Mix'!$A$12),0)</f>
        <v/>
      </c>
      <c r="ABD24" s="12">
        <f>ABB24-ABC24</f>
        <v/>
      </c>
      <c r="ABE24" s="12">
        <f>ROUND(ABC24*EssentialMix,0)</f>
        <v/>
      </c>
      <c r="ABF24" s="12">
        <f>ROUND(ABC24*PremiumMix,0)</f>
        <v/>
      </c>
      <c r="ABG24" s="12">
        <f>ABC24-ABE24-ABF24</f>
        <v/>
      </c>
      <c r="ABH24" s="12">
        <f>ROUND(ABD24*EssentialMix,0)</f>
        <v/>
      </c>
      <c r="ABI24" s="12">
        <f>ROUND(ABD24*PremiumMix,0)</f>
        <v/>
      </c>
      <c r="ABJ24" s="12">
        <f>ABD24-ABH24-ABI24</f>
        <v/>
      </c>
      <c r="ABK24" s="12">
        <f>ABE24+ABE23+ABE22+MAX(0,ABK23-ABE23-ABE22)*(1-AAX24)</f>
        <v/>
      </c>
      <c r="ABL24" s="12">
        <f>ABF24+ABF23+ABF22+MAX(0,ABL23-ABF23-ABF22)*(1-AAX24)</f>
        <v/>
      </c>
      <c r="ABM24" s="12">
        <f>ABG24+ABG23+ABG22+MAX(0,ABM23-ABG23-ABG22)*(1-AAX24)</f>
        <v/>
      </c>
      <c r="ABN24" s="12">
        <f>ABN23+ABH24-ABH12*(AnnualChurn*VLOOKUP(AAT24,ChurnSeasonTable,4,FALSE))*POWER(1-(AnnualChurn*VLOOKUP(AAT24,ChurnSeasonTable,4,FALSE)),0)</f>
        <v/>
      </c>
      <c r="ABO24" s="12">
        <f>ABO23+ABI24-ABI12*(AnnualChurn*VLOOKUP(AAT24,ChurnSeasonTable,4,FALSE))*POWER(1-(AnnualChurn*VLOOKUP(AAT24,ChurnSeasonTable,4,FALSE)),0)</f>
        <v/>
      </c>
      <c r="ABP24" s="12">
        <f>ABP23+ABJ24-ABJ12*(AnnualChurn*VLOOKUP(AAT24,ChurnSeasonTable,4,FALSE))*POWER(1-(AnnualChurn*VLOOKUP(AAT24,ChurnSeasonTable,4,FALSE)),0)</f>
        <v/>
      </c>
      <c r="ABQ24" s="12">
        <f>ABK24+ABL24+ABM24+ABN24+ABO24+ABP24</f>
        <v/>
      </c>
      <c r="ABR24" s="9">
        <f>ABK24*BlendedPriceEssMonthly*AAW24+ABL24*BlendedPricePremMonthly*AAW24+ABM24*BlendedPriceEliteMonthly*AAW24+ABN24*BlendedPriceEssAnnual*AAW24/12+ABO24*BlendedPricePremAnnual*AAW24/12+ABP24*BlendedPriceEliteAnnual*AAW24/12</f>
        <v/>
      </c>
      <c r="ABS24" s="9">
        <f>ABR24*12</f>
        <v/>
      </c>
      <c r="ABT24" s="12">
        <f>ABK24*BlendedPriceEssMonthly*AAW24+ABL24*BlendedPricePremMonthly*AAW24+ABM24*BlendedPriceEliteMonthly*AAW24</f>
        <v/>
      </c>
      <c r="ABU24" s="12">
        <f>ABH24*BlendedPriceEssAnnual*AAW24+ABI24*BlendedPricePremAnnual*AAW24+ABJ24*BlendedPriceEliteAnnual*AAW24</f>
        <v/>
      </c>
      <c r="ABV24" s="12">
        <f>ABH12*POWER(1-(AnnualChurn*VLOOKUP(AAT24,ChurnSeasonTable,4,FALSE)),1)*BlendedPriceEssAnnual*AAW24+ABI12*POWER(1-(AnnualChurn*VLOOKUP(AAT24,ChurnSeasonTable,4,FALSE)),1)*BlendedPricePremAnnual*AAW24+ABJ12*POWER(1-(AnnualChurn*VLOOKUP(AAT24,ChurnSeasonTable,4,FALSE)),1)*BlendedPriceEliteAnnual*AAW24</f>
        <v/>
      </c>
      <c r="ABW24" s="9">
        <f>ABT24+ABU24+ABV24</f>
        <v/>
      </c>
      <c r="ABX24" s="12">
        <f>SUM(ABW13:ABW24)</f>
        <v/>
      </c>
      <c r="ABY24" s="12">
        <f>OR(ABY23,IF(VATAgentMode,SUM($ABW13:$ABW24)-SUM($ACD13:$ACD24)&gt;=VATThreshold,SUM($ABW13:$ABW24)&gt;=VATThreshold))</f>
        <v/>
      </c>
      <c r="ABZ24" s="9">
        <f>IF(ABY24,IF(VATAgentMode,ABW24-((ABW24-ACD24)-(ABW24-ACD24)/(1+VATRate)),ABW24/(1+VATRate)),ABW24)</f>
        <v/>
      </c>
      <c r="ACA24" s="12">
        <f>ABW24-ABZ24</f>
        <v/>
      </c>
      <c r="ACB24" s="12">
        <f>IF(ABY24=0,0,IF(AAT24=1,SUMPRODUCT(--(($AAU$5:$AAU24=$AAU24-1)*($AAT$5:$AAT24&gt;=10)*($AAT$5:$AAT24&lt;=12)),$ACA$5:$ACA24),IF(AAT24=4,SUMPRODUCT(--(($AAU$5:$AAU24=$AAU24)*($AAT$5:$AAT24&gt;=1)*($AAT$5:$AAT24&lt;=3)),$ACA$5:$ACA24),IF(AAT24=7,SUMPRODUCT(--(($AAU$5:$AAU24=$AAU24)*($AAT$5:$AAT24&gt;=4)*($AAT$5:$AAT24&lt;=6)),$ACA$5:$ACA24),IF(AAT24=10,SUMPRODUCT(--(($AAU$5:$AAU24=$AAU24)*($AAT$5:$AAT24&gt;=7)*($AAT$5:$AAT24&lt;=9)),$ACA$5:$ACA24),0)))))</f>
        <v/>
      </c>
      <c r="ACC24" s="12">
        <f>ACC23+ACA24-ACB24</f>
        <v/>
      </c>
      <c r="ACD24" s="12">
        <f>IF(ProviderDelay&gt;=1,ABK23*BlendedProvPayEss+ABL23*BlendedProvPayPrem+ABM23*BlendedProvPayElite+ABN23*BlendedProvPayEss+ABO23*BlendedProvPayPrem+ABP23*BlendedProvPayElite,ABK24*BlendedProvPayEss+ABL24*BlendedProvPayPrem+ABM24*BlendedProvPayElite+ABN24*BlendedProvPayEss+ABO24*BlendedProvPayPrem+ABP24*BlendedProvPayElite)</f>
        <v/>
      </c>
      <c r="ACE24" s="12">
        <f>ABW24*PaymentFee</f>
        <v/>
      </c>
      <c r="ACF24" s="12">
        <f>ABQ24*OpsAI</f>
        <v/>
      </c>
      <c r="ACG24" s="12">
        <f>MonthlyFixed</f>
        <v/>
      </c>
      <c r="ACH24" s="12">
        <f>ABA24*ReferralReward</f>
        <v/>
      </c>
      <c r="ACI24" s="12">
        <f>AAY24</f>
        <v/>
      </c>
      <c r="ACJ24" s="9">
        <f>ABZ24-ACD24-ACE24-ACF24-ACG24-ACH24-ACI24</f>
        <v/>
      </c>
      <c r="ACK24" s="9">
        <f>ACK23+ABW24-(ACD24+ACE24+ACF24+ACG24+ACH24+ACI24+ACB24)</f>
        <v/>
      </c>
      <c r="ACL24" s="12">
        <f>IF(ABQ24&gt;0,ABR24/ABQ24,0)</f>
        <v/>
      </c>
      <c r="ACM24" s="11">
        <f>IF(ABQ23&gt;0,MAX(0,(ABQ23+ABB24-ABQ24)/ABQ23),0)</f>
        <v/>
      </c>
      <c r="ACO24" s="12" t="n">
        <v>20</v>
      </c>
      <c r="ACP24" s="12">
        <f>MOD(ACO24-1+LaunchMonth-1,12)+1</f>
        <v/>
      </c>
      <c r="ACQ24" s="12">
        <f>INT((ACO24-1+LaunchMonth-1)/12)+1</f>
        <v/>
      </c>
      <c r="ACR24" s="12">
        <f>VLOOKUP(ACP24,SeasonTable,2,FALSE)</f>
        <v/>
      </c>
      <c r="ACS24" s="12">
        <f>(1+InflationRate)^INT((ACO24-1)/12)</f>
        <v/>
      </c>
      <c r="ACT24" s="11">
        <f>MonthlyChurn*VLOOKUP(ACP24,ChurnSeasonTable,4,FALSE)</f>
        <v/>
      </c>
      <c r="ACU24" s="12">
        <f>MIN(MAX(MktMin19plus,ADS23*MktPct19plus),MAX(0,AEG23-CashBuffer))</f>
        <v/>
      </c>
      <c r="ACV24" s="12">
        <f>IF(ACU24&gt;0,MAX(1,ROUND(ACU24/CAC*ACR24,0)),0)</f>
        <v/>
      </c>
      <c r="ACW24" s="12">
        <f>IF(ACV24&gt;0,ROUND(ACV24*ReferralMix/(1-ReferralMix),0),0)</f>
        <v/>
      </c>
      <c r="ACX24" s="12">
        <f>ACV24+ACW24</f>
        <v/>
      </c>
      <c r="ACY24" s="12">
        <f>ROUND(ACX24*(1-'Sens - Annual Mix'!$A$13),0)</f>
        <v/>
      </c>
      <c r="ACZ24" s="12">
        <f>ACX24-ACY24</f>
        <v/>
      </c>
      <c r="ADA24" s="12">
        <f>ROUND(ACY24*EssentialMix,0)</f>
        <v/>
      </c>
      <c r="ADB24" s="12">
        <f>ROUND(ACY24*PremiumMix,0)</f>
        <v/>
      </c>
      <c r="ADC24" s="12">
        <f>ACY24-ADA24-ADB24</f>
        <v/>
      </c>
      <c r="ADD24" s="12">
        <f>ROUND(ACZ24*EssentialMix,0)</f>
        <v/>
      </c>
      <c r="ADE24" s="12">
        <f>ROUND(ACZ24*PremiumMix,0)</f>
        <v/>
      </c>
      <c r="ADF24" s="12">
        <f>ACZ24-ADD24-ADE24</f>
        <v/>
      </c>
      <c r="ADG24" s="12">
        <f>ADA24+ADA23+ADA22+MAX(0,ADG23-ADA23-ADA22)*(1-ACT24)</f>
        <v/>
      </c>
      <c r="ADH24" s="12">
        <f>ADB24+ADB23+ADB22+MAX(0,ADH23-ADB23-ADB22)*(1-ACT24)</f>
        <v/>
      </c>
      <c r="ADI24" s="12">
        <f>ADC24+ADC23+ADC22+MAX(0,ADI23-ADC23-ADC22)*(1-ACT24)</f>
        <v/>
      </c>
      <c r="ADJ24" s="12">
        <f>ADJ23+ADD24-ADD12*(AnnualChurn*VLOOKUP(ACP24,ChurnSeasonTable,4,FALSE))*POWER(1-(AnnualChurn*VLOOKUP(ACP24,ChurnSeasonTable,4,FALSE)),0)</f>
        <v/>
      </c>
      <c r="ADK24" s="12">
        <f>ADK23+ADE24-ADE12*(AnnualChurn*VLOOKUP(ACP24,ChurnSeasonTable,4,FALSE))*POWER(1-(AnnualChurn*VLOOKUP(ACP24,ChurnSeasonTable,4,FALSE)),0)</f>
        <v/>
      </c>
      <c r="ADL24" s="12">
        <f>ADL23+ADF24-ADF12*(AnnualChurn*VLOOKUP(ACP24,ChurnSeasonTable,4,FALSE))*POWER(1-(AnnualChurn*VLOOKUP(ACP24,ChurnSeasonTable,4,FALSE)),0)</f>
        <v/>
      </c>
      <c r="ADM24" s="12">
        <f>ADG24+ADH24+ADI24+ADJ24+ADK24+ADL24</f>
        <v/>
      </c>
      <c r="ADN24" s="9">
        <f>ADG24*BlendedPriceEssMonthly*ACS24+ADH24*BlendedPricePremMonthly*ACS24+ADI24*BlendedPriceEliteMonthly*ACS24+ADJ24*BlendedPriceEssAnnual*ACS24/12+ADK24*BlendedPricePremAnnual*ACS24/12+ADL24*BlendedPriceEliteAnnual*ACS24/12</f>
        <v/>
      </c>
      <c r="ADO24" s="9">
        <f>ADN24*12</f>
        <v/>
      </c>
      <c r="ADP24" s="12">
        <f>ADG24*BlendedPriceEssMonthly*ACS24+ADH24*BlendedPricePremMonthly*ACS24+ADI24*BlendedPriceEliteMonthly*ACS24</f>
        <v/>
      </c>
      <c r="ADQ24" s="12">
        <f>ADD24*BlendedPriceEssAnnual*ACS24+ADE24*BlendedPricePremAnnual*ACS24+ADF24*BlendedPriceEliteAnnual*ACS24</f>
        <v/>
      </c>
      <c r="ADR24" s="12">
        <f>ADD12*POWER(1-(AnnualChurn*VLOOKUP(ACP24,ChurnSeasonTable,4,FALSE)),1)*BlendedPriceEssAnnual*ACS24+ADE12*POWER(1-(AnnualChurn*VLOOKUP(ACP24,ChurnSeasonTable,4,FALSE)),1)*BlendedPricePremAnnual*ACS24+ADF12*POWER(1-(AnnualChurn*VLOOKUP(ACP24,ChurnSeasonTable,4,FALSE)),1)*BlendedPriceEliteAnnual*ACS24</f>
        <v/>
      </c>
      <c r="ADS24" s="9">
        <f>ADP24+ADQ24+ADR24</f>
        <v/>
      </c>
      <c r="ADT24" s="12">
        <f>SUM(ADS13:ADS24)</f>
        <v/>
      </c>
      <c r="ADU24" s="12">
        <f>OR(ADU23,IF(VATAgentMode,SUM($ADS13:$ADS24)-SUM($ADZ13:$ADZ24)&gt;=VATThreshold,SUM($ADS13:$ADS24)&gt;=VATThreshold))</f>
        <v/>
      </c>
      <c r="ADV24" s="9">
        <f>IF(ADU24,IF(VATAgentMode,ADS24-((ADS24-ADZ24)-(ADS24-ADZ24)/(1+VATRate)),ADS24/(1+VATRate)),ADS24)</f>
        <v/>
      </c>
      <c r="ADW24" s="12">
        <f>ADS24-ADV24</f>
        <v/>
      </c>
      <c r="ADX24" s="12">
        <f>IF(ADU24=0,0,IF(ACP24=1,SUMPRODUCT(--(($ACQ$5:$ACQ24=$ACQ24-1)*($ACP$5:$ACP24&gt;=10)*($ACP$5:$ACP24&lt;=12)),$ADW$5:$ADW24),IF(ACP24=4,SUMPRODUCT(--(($ACQ$5:$ACQ24=$ACQ24)*($ACP$5:$ACP24&gt;=1)*($ACP$5:$ACP24&lt;=3)),$ADW$5:$ADW24),IF(ACP24=7,SUMPRODUCT(--(($ACQ$5:$ACQ24=$ACQ24)*($ACP$5:$ACP24&gt;=4)*($ACP$5:$ACP24&lt;=6)),$ADW$5:$ADW24),IF(ACP24=10,SUMPRODUCT(--(($ACQ$5:$ACQ24=$ACQ24)*($ACP$5:$ACP24&gt;=7)*($ACP$5:$ACP24&lt;=9)),$ADW$5:$ADW24),0)))))</f>
        <v/>
      </c>
      <c r="ADY24" s="12">
        <f>ADY23+ADW24-ADX24</f>
        <v/>
      </c>
      <c r="ADZ24" s="12">
        <f>IF(ProviderDelay&gt;=1,ADG23*BlendedProvPayEss+ADH23*BlendedProvPayPrem+ADI23*BlendedProvPayElite+ADJ23*BlendedProvPayEss+ADK23*BlendedProvPayPrem+ADL23*BlendedProvPayElite,ADG24*BlendedProvPayEss+ADH24*BlendedProvPayPrem+ADI24*BlendedProvPayElite+ADJ24*BlendedProvPayEss+ADK24*BlendedProvPayPrem+ADL24*BlendedProvPayElite)</f>
        <v/>
      </c>
      <c r="AEA24" s="12">
        <f>ADS24*PaymentFee</f>
        <v/>
      </c>
      <c r="AEB24" s="12">
        <f>ADM24*OpsAI</f>
        <v/>
      </c>
      <c r="AEC24" s="12">
        <f>MonthlyFixed</f>
        <v/>
      </c>
      <c r="AED24" s="12">
        <f>ACW24*ReferralReward</f>
        <v/>
      </c>
      <c r="AEE24" s="12">
        <f>ACU24</f>
        <v/>
      </c>
      <c r="AEF24" s="9">
        <f>ADV24-ADZ24-AEA24-AEB24-AEC24-AED24-AEE24</f>
        <v/>
      </c>
      <c r="AEG24" s="9">
        <f>AEG23+ADS24-(ADZ24+AEA24+AEB24+AEC24+AED24+AEE24+ADX24)</f>
        <v/>
      </c>
      <c r="AEH24" s="12">
        <f>IF(ADM24&gt;0,ADN24/ADM24,0)</f>
        <v/>
      </c>
      <c r="AEI24" s="11">
        <f>IF(ADM23&gt;0,MAX(0,(ADM23+ACX24-ADM24)/ADM23),0)</f>
        <v/>
      </c>
      <c r="AEK24" s="12" t="n">
        <v>20</v>
      </c>
      <c r="AEL24" s="12">
        <f>MOD(AEK24-1+LaunchMonth-1,12)+1</f>
        <v/>
      </c>
      <c r="AEM24" s="12">
        <f>INT((AEK24-1+LaunchMonth-1)/12)+1</f>
        <v/>
      </c>
      <c r="AEN24" s="12">
        <f>VLOOKUP(AEL24,SeasonTable,2,FALSE)</f>
        <v/>
      </c>
      <c r="AEO24" s="12">
        <f>(1+InflationRate)^INT((AEK24-1)/12)</f>
        <v/>
      </c>
      <c r="AEP24" s="11">
        <f>MonthlyChurn*VLOOKUP(AEL24,ChurnSeasonTable,4,FALSE)</f>
        <v/>
      </c>
      <c r="AEQ24" s="12">
        <f>MIN(MAX(MktMin19plus,AFO23*MktPct19plus),MAX(0,AGC23-CashBuffer))</f>
        <v/>
      </c>
      <c r="AER24" s="12">
        <f>IF(AEQ24&gt;0,MAX(1,ROUND(AEQ24/CAC*AEN24,0)),0)</f>
        <v/>
      </c>
      <c r="AES24" s="12">
        <f>IF(AER24&gt;0,ROUND(AER24*ReferralMix/(1-ReferralMix),0),0)</f>
        <v/>
      </c>
      <c r="AET24" s="12">
        <f>AER24+AES24</f>
        <v/>
      </c>
      <c r="AEU24" s="12">
        <f>ROUND(AET24*(1-'Sens - Annual Mix'!$A$14),0)</f>
        <v/>
      </c>
      <c r="AEV24" s="12">
        <f>AET24-AEU24</f>
        <v/>
      </c>
      <c r="AEW24" s="12">
        <f>ROUND(AEU24*EssentialMix,0)</f>
        <v/>
      </c>
      <c r="AEX24" s="12">
        <f>ROUND(AEU24*PremiumMix,0)</f>
        <v/>
      </c>
      <c r="AEY24" s="12">
        <f>AEU24-AEW24-AEX24</f>
        <v/>
      </c>
      <c r="AEZ24" s="12">
        <f>ROUND(AEV24*EssentialMix,0)</f>
        <v/>
      </c>
      <c r="AFA24" s="12">
        <f>ROUND(AEV24*PremiumMix,0)</f>
        <v/>
      </c>
      <c r="AFB24" s="12">
        <f>AEV24-AEZ24-AFA24</f>
        <v/>
      </c>
      <c r="AFC24" s="12">
        <f>AEW24+AEW23+AEW22+MAX(0,AFC23-AEW23-AEW22)*(1-AEP24)</f>
        <v/>
      </c>
      <c r="AFD24" s="12">
        <f>AEX24+AEX23+AEX22+MAX(0,AFD23-AEX23-AEX22)*(1-AEP24)</f>
        <v/>
      </c>
      <c r="AFE24" s="12">
        <f>AEY24+AEY23+AEY22+MAX(0,AFE23-AEY23-AEY22)*(1-AEP24)</f>
        <v/>
      </c>
      <c r="AFF24" s="12">
        <f>AFF23+AEZ24-AEZ12*(AnnualChurn*VLOOKUP(AEL24,ChurnSeasonTable,4,FALSE))*POWER(1-(AnnualChurn*VLOOKUP(AEL24,ChurnSeasonTable,4,FALSE)),0)</f>
        <v/>
      </c>
      <c r="AFG24" s="12">
        <f>AFG23+AFA24-AFA12*(AnnualChurn*VLOOKUP(AEL24,ChurnSeasonTable,4,FALSE))*POWER(1-(AnnualChurn*VLOOKUP(AEL24,ChurnSeasonTable,4,FALSE)),0)</f>
        <v/>
      </c>
      <c r="AFH24" s="12">
        <f>AFH23+AFB24-AFB12*(AnnualChurn*VLOOKUP(AEL24,ChurnSeasonTable,4,FALSE))*POWER(1-(AnnualChurn*VLOOKUP(AEL24,ChurnSeasonTable,4,FALSE)),0)</f>
        <v/>
      </c>
      <c r="AFI24" s="12">
        <f>AFC24+AFD24+AFE24+AFF24+AFG24+AFH24</f>
        <v/>
      </c>
      <c r="AFJ24" s="9">
        <f>AFC24*BlendedPriceEssMonthly*AEO24+AFD24*BlendedPricePremMonthly*AEO24+AFE24*BlendedPriceEliteMonthly*AEO24+AFF24*BlendedPriceEssAnnual*AEO24/12+AFG24*BlendedPricePremAnnual*AEO24/12+AFH24*BlendedPriceEliteAnnual*AEO24/12</f>
        <v/>
      </c>
      <c r="AFK24" s="9">
        <f>AFJ24*12</f>
        <v/>
      </c>
      <c r="AFL24" s="12">
        <f>AFC24*BlendedPriceEssMonthly*AEO24+AFD24*BlendedPricePremMonthly*AEO24+AFE24*BlendedPriceEliteMonthly*AEO24</f>
        <v/>
      </c>
      <c r="AFM24" s="12">
        <f>AEZ24*BlendedPriceEssAnnual*AEO24+AFA24*BlendedPricePremAnnual*AEO24+AFB24*BlendedPriceEliteAnnual*AEO24</f>
        <v/>
      </c>
      <c r="AFN24" s="12">
        <f>AEZ12*POWER(1-(AnnualChurn*VLOOKUP(AEL24,ChurnSeasonTable,4,FALSE)),1)*BlendedPriceEssAnnual*AEO24+AFA12*POWER(1-(AnnualChurn*VLOOKUP(AEL24,ChurnSeasonTable,4,FALSE)),1)*BlendedPricePremAnnual*AEO24+AFB12*POWER(1-(AnnualChurn*VLOOKUP(AEL24,ChurnSeasonTable,4,FALSE)),1)*BlendedPriceEliteAnnual*AEO24</f>
        <v/>
      </c>
      <c r="AFO24" s="9">
        <f>AFL24+AFM24+AFN24</f>
        <v/>
      </c>
      <c r="AFP24" s="12">
        <f>SUM(AFO13:AFO24)</f>
        <v/>
      </c>
      <c r="AFQ24" s="12">
        <f>OR(AFQ23,IF(VATAgentMode,SUM($AFO13:$AFO24)-SUM($AFV13:$AFV24)&gt;=VATThreshold,SUM($AFO13:$AFO24)&gt;=VATThreshold))</f>
        <v/>
      </c>
      <c r="AFR24" s="9">
        <f>IF(AFQ24,IF(VATAgentMode,AFO24-((AFO24-AFV24)-(AFO24-AFV24)/(1+VATRate)),AFO24/(1+VATRate)),AFO24)</f>
        <v/>
      </c>
      <c r="AFS24" s="12">
        <f>AFO24-AFR24</f>
        <v/>
      </c>
      <c r="AFT24" s="12">
        <f>IF(AFQ24=0,0,IF(AEL24=1,SUMPRODUCT(--(($AEM$5:$AEM24=$AEM24-1)*($AEL$5:$AEL24&gt;=10)*($AEL$5:$AEL24&lt;=12)),$AFS$5:$AFS24),IF(AEL24=4,SUMPRODUCT(--(($AEM$5:$AEM24=$AEM24)*($AEL$5:$AEL24&gt;=1)*($AEL$5:$AEL24&lt;=3)),$AFS$5:$AFS24),IF(AEL24=7,SUMPRODUCT(--(($AEM$5:$AEM24=$AEM24)*($AEL$5:$AEL24&gt;=4)*($AEL$5:$AEL24&lt;=6)),$AFS$5:$AFS24),IF(AEL24=10,SUMPRODUCT(--(($AEM$5:$AEM24=$AEM24)*($AEL$5:$AEL24&gt;=7)*($AEL$5:$AEL24&lt;=9)),$AFS$5:$AFS24),0)))))</f>
        <v/>
      </c>
      <c r="AFU24" s="12">
        <f>AFU23+AFS24-AFT24</f>
        <v/>
      </c>
      <c r="AFV24" s="12">
        <f>IF(ProviderDelay&gt;=1,AFC23*BlendedProvPayEss+AFD23*BlendedProvPayPrem+AFE23*BlendedProvPayElite+AFF23*BlendedProvPayEss+AFG23*BlendedProvPayPrem+AFH23*BlendedProvPayElite,AFC24*BlendedProvPayEss+AFD24*BlendedProvPayPrem+AFE24*BlendedProvPayElite+AFF24*BlendedProvPayEss+AFG24*BlendedProvPayPrem+AFH24*BlendedProvPayElite)</f>
        <v/>
      </c>
      <c r="AFW24" s="12">
        <f>AFO24*PaymentFee</f>
        <v/>
      </c>
      <c r="AFX24" s="12">
        <f>AFI24*OpsAI</f>
        <v/>
      </c>
      <c r="AFY24" s="12">
        <f>MonthlyFixed</f>
        <v/>
      </c>
      <c r="AFZ24" s="12">
        <f>AES24*ReferralReward</f>
        <v/>
      </c>
      <c r="AGA24" s="12">
        <f>AEQ24</f>
        <v/>
      </c>
      <c r="AGB24" s="9">
        <f>AFR24-AFV24-AFW24-AFX24-AFY24-AFZ24-AGA24</f>
        <v/>
      </c>
      <c r="AGC24" s="9">
        <f>AGC23+AFO24-(AFV24+AFW24+AFX24+AFY24+AFZ24+AGA24+AFT24)</f>
        <v/>
      </c>
      <c r="AGD24" s="12">
        <f>IF(AFI24&gt;0,AFJ24/AFI24,0)</f>
        <v/>
      </c>
      <c r="AGE24" s="11">
        <f>IF(AFI23&gt;0,MAX(0,(AFI23+AET24-AFI24)/AFI23),0)</f>
        <v/>
      </c>
      <c r="AGG24" s="12" t="n">
        <v>20</v>
      </c>
      <c r="AGH24" s="12">
        <f>MOD(AGG24-1+LaunchMonth-1,12)+1</f>
        <v/>
      </c>
      <c r="AGI24" s="12">
        <f>INT((AGG24-1+LaunchMonth-1)/12)+1</f>
        <v/>
      </c>
      <c r="AGJ24" s="12">
        <f>VLOOKUP(AGH24,SeasonTable,2,FALSE)</f>
        <v/>
      </c>
      <c r="AGK24" s="12">
        <f>(1+InflationRate)^INT((AGG24-1)/12)</f>
        <v/>
      </c>
      <c r="AGL24" s="11">
        <f>MonthlyChurn*VLOOKUP(AGH24,ChurnSeasonTable,4,FALSE)</f>
        <v/>
      </c>
      <c r="AGM24" s="12">
        <f>MIN(MAX(MktMin19plus,AHK23*MktPct19plus),MAX(0,AHY23-CashBuffer))</f>
        <v/>
      </c>
      <c r="AGN24" s="12">
        <f>IF(AGM24&gt;0,MAX(1,ROUND(AGM24/CAC*AGJ24,0)),0)</f>
        <v/>
      </c>
      <c r="AGO24" s="12">
        <f>IF(AGN24&gt;0,ROUND(AGN24*ReferralMix/(1-ReferralMix),0),0)</f>
        <v/>
      </c>
      <c r="AGP24" s="12">
        <f>AGN24+AGO24</f>
        <v/>
      </c>
      <c r="AGQ24" s="12">
        <f>ROUND(AGP24*(1-'Sens - Annual Mix'!$A$15),0)</f>
        <v/>
      </c>
      <c r="AGR24" s="12">
        <f>AGP24-AGQ24</f>
        <v/>
      </c>
      <c r="AGS24" s="12">
        <f>ROUND(AGQ24*EssentialMix,0)</f>
        <v/>
      </c>
      <c r="AGT24" s="12">
        <f>ROUND(AGQ24*PremiumMix,0)</f>
        <v/>
      </c>
      <c r="AGU24" s="12">
        <f>AGQ24-AGS24-AGT24</f>
        <v/>
      </c>
      <c r="AGV24" s="12">
        <f>ROUND(AGR24*EssentialMix,0)</f>
        <v/>
      </c>
      <c r="AGW24" s="12">
        <f>ROUND(AGR24*PremiumMix,0)</f>
        <v/>
      </c>
      <c r="AGX24" s="12">
        <f>AGR24-AGV24-AGW24</f>
        <v/>
      </c>
      <c r="AGY24" s="12">
        <f>AGS24+AGS23+AGS22+MAX(0,AGY23-AGS23-AGS22)*(1-AGL24)</f>
        <v/>
      </c>
      <c r="AGZ24" s="12">
        <f>AGT24+AGT23+AGT22+MAX(0,AGZ23-AGT23-AGT22)*(1-AGL24)</f>
        <v/>
      </c>
      <c r="AHA24" s="12">
        <f>AGU24+AGU23+AGU22+MAX(0,AHA23-AGU23-AGU22)*(1-AGL24)</f>
        <v/>
      </c>
      <c r="AHB24" s="12">
        <f>AHB23+AGV24-AGV12*(AnnualChurn*VLOOKUP(AGH24,ChurnSeasonTable,4,FALSE))*POWER(1-(AnnualChurn*VLOOKUP(AGH24,ChurnSeasonTable,4,FALSE)),0)</f>
        <v/>
      </c>
      <c r="AHC24" s="12">
        <f>AHC23+AGW24-AGW12*(AnnualChurn*VLOOKUP(AGH24,ChurnSeasonTable,4,FALSE))*POWER(1-(AnnualChurn*VLOOKUP(AGH24,ChurnSeasonTable,4,FALSE)),0)</f>
        <v/>
      </c>
      <c r="AHD24" s="12">
        <f>AHD23+AGX24-AGX12*(AnnualChurn*VLOOKUP(AGH24,ChurnSeasonTable,4,FALSE))*POWER(1-(AnnualChurn*VLOOKUP(AGH24,ChurnSeasonTable,4,FALSE)),0)</f>
        <v/>
      </c>
      <c r="AHE24" s="12">
        <f>AGY24+AGZ24+AHA24+AHB24+AHC24+AHD24</f>
        <v/>
      </c>
      <c r="AHF24" s="9">
        <f>AGY24*BlendedPriceEssMonthly*AGK24+AGZ24*BlendedPricePremMonthly*AGK24+AHA24*BlendedPriceEliteMonthly*AGK24+AHB24*BlendedPriceEssAnnual*AGK24/12+AHC24*BlendedPricePremAnnual*AGK24/12+AHD24*BlendedPriceEliteAnnual*AGK24/12</f>
        <v/>
      </c>
      <c r="AHG24" s="9">
        <f>AHF24*12</f>
        <v/>
      </c>
      <c r="AHH24" s="12">
        <f>AGY24*BlendedPriceEssMonthly*AGK24+AGZ24*BlendedPricePremMonthly*AGK24+AHA24*BlendedPriceEliteMonthly*AGK24</f>
        <v/>
      </c>
      <c r="AHI24" s="12">
        <f>AGV24*BlendedPriceEssAnnual*AGK24+AGW24*BlendedPricePremAnnual*AGK24+AGX24*BlendedPriceEliteAnnual*AGK24</f>
        <v/>
      </c>
      <c r="AHJ24" s="12">
        <f>AGV12*POWER(1-(AnnualChurn*VLOOKUP(AGH24,ChurnSeasonTable,4,FALSE)),1)*BlendedPriceEssAnnual*AGK24+AGW12*POWER(1-(AnnualChurn*VLOOKUP(AGH24,ChurnSeasonTable,4,FALSE)),1)*BlendedPricePremAnnual*AGK24+AGX12*POWER(1-(AnnualChurn*VLOOKUP(AGH24,ChurnSeasonTable,4,FALSE)),1)*BlendedPriceEliteAnnual*AGK24</f>
        <v/>
      </c>
      <c r="AHK24" s="9">
        <f>AHH24+AHI24+AHJ24</f>
        <v/>
      </c>
      <c r="AHL24" s="12">
        <f>SUM(AHK13:AHK24)</f>
        <v/>
      </c>
      <c r="AHM24" s="12">
        <f>OR(AHM23,IF(VATAgentMode,SUM($AHK13:$AHK24)-SUM($AHR13:$AHR24)&gt;=VATThreshold,SUM($AHK13:$AHK24)&gt;=VATThreshold))</f>
        <v/>
      </c>
      <c r="AHN24" s="9">
        <f>IF(AHM24,IF(VATAgentMode,AHK24-((AHK24-AHR24)-(AHK24-AHR24)/(1+VATRate)),AHK24/(1+VATRate)),AHK24)</f>
        <v/>
      </c>
      <c r="AHO24" s="12">
        <f>AHK24-AHN24</f>
        <v/>
      </c>
      <c r="AHP24" s="12">
        <f>IF(AHM24=0,0,IF(AGH24=1,SUMPRODUCT(--(($AGI$5:$AGI24=$AGI24-1)*($AGH$5:$AGH24&gt;=10)*($AGH$5:$AGH24&lt;=12)),$AHO$5:$AHO24),IF(AGH24=4,SUMPRODUCT(--(($AGI$5:$AGI24=$AGI24)*($AGH$5:$AGH24&gt;=1)*($AGH$5:$AGH24&lt;=3)),$AHO$5:$AHO24),IF(AGH24=7,SUMPRODUCT(--(($AGI$5:$AGI24=$AGI24)*($AGH$5:$AGH24&gt;=4)*($AGH$5:$AGH24&lt;=6)),$AHO$5:$AHO24),IF(AGH24=10,SUMPRODUCT(--(($AGI$5:$AGI24=$AGI24)*($AGH$5:$AGH24&gt;=7)*($AGH$5:$AGH24&lt;=9)),$AHO$5:$AHO24),0)))))</f>
        <v/>
      </c>
      <c r="AHQ24" s="12">
        <f>AHQ23+AHO24-AHP24</f>
        <v/>
      </c>
      <c r="AHR24" s="12">
        <f>IF(ProviderDelay&gt;=1,AGY23*BlendedProvPayEss+AGZ23*BlendedProvPayPrem+AHA23*BlendedProvPayElite+AHB23*BlendedProvPayEss+AHC23*BlendedProvPayPrem+AHD23*BlendedProvPayElite,AGY24*BlendedProvPayEss+AGZ24*BlendedProvPayPrem+AHA24*BlendedProvPayElite+AHB24*BlendedProvPayEss+AHC24*BlendedProvPayPrem+AHD24*BlendedProvPayElite)</f>
        <v/>
      </c>
      <c r="AHS24" s="12">
        <f>AHK24*PaymentFee</f>
        <v/>
      </c>
      <c r="AHT24" s="12">
        <f>AHE24*OpsAI</f>
        <v/>
      </c>
      <c r="AHU24" s="12">
        <f>MonthlyFixed</f>
        <v/>
      </c>
      <c r="AHV24" s="12">
        <f>AGO24*ReferralReward</f>
        <v/>
      </c>
      <c r="AHW24" s="12">
        <f>AGM24</f>
        <v/>
      </c>
      <c r="AHX24" s="9">
        <f>AHN24-AHR24-AHS24-AHT24-AHU24-AHV24-AHW24</f>
        <v/>
      </c>
      <c r="AHY24" s="9">
        <f>AHY23+AHK24-(AHR24+AHS24+AHT24+AHU24+AHV24+AHW24+AHP24)</f>
        <v/>
      </c>
      <c r="AHZ24" s="12">
        <f>IF(AHE24&gt;0,AHF24/AHE24,0)</f>
        <v/>
      </c>
      <c r="AIA24" s="11">
        <f>IF(AHE23&gt;0,MAX(0,(AHE23+AGP24-AHE24)/AHE23),0)</f>
        <v/>
      </c>
      <c r="AIC24" s="12" t="n">
        <v>20</v>
      </c>
      <c r="AID24" s="12">
        <f>MOD(AIC24-1+LaunchMonth-1,12)+1</f>
        <v/>
      </c>
      <c r="AIE24" s="12">
        <f>INT((AIC24-1+LaunchMonth-1)/12)+1</f>
        <v/>
      </c>
      <c r="AIF24" s="12">
        <f>VLOOKUP(AID24,SeasonTable,2,FALSE)</f>
        <v/>
      </c>
      <c r="AIG24" s="12">
        <f>(1+InflationRate)^INT((AIC24-1)/12)</f>
        <v/>
      </c>
      <c r="AIH24" s="11">
        <f>MonthlyChurn*VLOOKUP(AID24,ChurnSeasonTable,4,FALSE)</f>
        <v/>
      </c>
      <c r="AII24" s="12">
        <f>MIN(MAX(MktMin19plus,AJG23*MktPct19plus),MAX(0,AJU23-CashBuffer))</f>
        <v/>
      </c>
      <c r="AIJ24" s="12">
        <f>IF(AII24&gt;0,MAX(1,ROUND(AII24/'Sens - CAC &amp; Marketing'!$A$9*AIF24,0)),0)</f>
        <v/>
      </c>
      <c r="AIK24" s="12">
        <f>IF(AIJ24&gt;0,ROUND(AIJ24*ReferralMix/(1-ReferralMix),0),0)</f>
        <v/>
      </c>
      <c r="AIL24" s="12">
        <f>AIJ24+AIK24</f>
        <v/>
      </c>
      <c r="AIM24" s="12">
        <f>ROUND(AIL24*(1-AnnualMix),0)</f>
        <v/>
      </c>
      <c r="AIN24" s="12">
        <f>AIL24-AIM24</f>
        <v/>
      </c>
      <c r="AIO24" s="12">
        <f>ROUND(AIM24*EssentialMix,0)</f>
        <v/>
      </c>
      <c r="AIP24" s="12">
        <f>ROUND(AIM24*PremiumMix,0)</f>
        <v/>
      </c>
      <c r="AIQ24" s="12">
        <f>AIM24-AIO24-AIP24</f>
        <v/>
      </c>
      <c r="AIR24" s="12">
        <f>ROUND(AIN24*EssentialMix,0)</f>
        <v/>
      </c>
      <c r="AIS24" s="12">
        <f>ROUND(AIN24*PremiumMix,0)</f>
        <v/>
      </c>
      <c r="AIT24" s="12">
        <f>AIN24-AIR24-AIS24</f>
        <v/>
      </c>
      <c r="AIU24" s="12">
        <f>AIO24+AIO23+AIO22+MAX(0,AIU23-AIO23-AIO22)*(1-AIH24)</f>
        <v/>
      </c>
      <c r="AIV24" s="12">
        <f>AIP24+AIP23+AIP22+MAX(0,AIV23-AIP23-AIP22)*(1-AIH24)</f>
        <v/>
      </c>
      <c r="AIW24" s="12">
        <f>AIQ24+AIQ23+AIQ22+MAX(0,AIW23-AIQ23-AIQ22)*(1-AIH24)</f>
        <v/>
      </c>
      <c r="AIX24" s="12">
        <f>AIX23+AIR24-AIR12*(AnnualChurn*VLOOKUP(AID24,ChurnSeasonTable,4,FALSE))*POWER(1-(AnnualChurn*VLOOKUP(AID24,ChurnSeasonTable,4,FALSE)),0)</f>
        <v/>
      </c>
      <c r="AIY24" s="12">
        <f>AIY23+AIS24-AIS12*(AnnualChurn*VLOOKUP(AID24,ChurnSeasonTable,4,FALSE))*POWER(1-(AnnualChurn*VLOOKUP(AID24,ChurnSeasonTable,4,FALSE)),0)</f>
        <v/>
      </c>
      <c r="AIZ24" s="12">
        <f>AIZ23+AIT24-AIT12*(AnnualChurn*VLOOKUP(AID24,ChurnSeasonTable,4,FALSE))*POWER(1-(AnnualChurn*VLOOKUP(AID24,ChurnSeasonTable,4,FALSE)),0)</f>
        <v/>
      </c>
      <c r="AJA24" s="12">
        <f>AIU24+AIV24+AIW24+AIX24+AIY24+AIZ24</f>
        <v/>
      </c>
      <c r="AJB24" s="9">
        <f>AIU24*BlendedPriceEssMonthly*AIG24+AIV24*BlendedPricePremMonthly*AIG24+AIW24*BlendedPriceEliteMonthly*AIG24+AIX24*BlendedPriceEssAnnual*AIG24/12+AIY24*BlendedPricePremAnnual*AIG24/12+AIZ24*BlendedPriceEliteAnnual*AIG24/12</f>
        <v/>
      </c>
      <c r="AJC24" s="9">
        <f>AJB24*12</f>
        <v/>
      </c>
      <c r="AJD24" s="12">
        <f>AIU24*BlendedPriceEssMonthly*AIG24+AIV24*BlendedPricePremMonthly*AIG24+AIW24*BlendedPriceEliteMonthly*AIG24</f>
        <v/>
      </c>
      <c r="AJE24" s="12">
        <f>AIR24*BlendedPriceEssAnnual*AIG24+AIS24*BlendedPricePremAnnual*AIG24+AIT24*BlendedPriceEliteAnnual*AIG24</f>
        <v/>
      </c>
      <c r="AJF24" s="12">
        <f>AIR12*POWER(1-(AnnualChurn*VLOOKUP(AID24,ChurnSeasonTable,4,FALSE)),1)*BlendedPriceEssAnnual*AIG24+AIS12*POWER(1-(AnnualChurn*VLOOKUP(AID24,ChurnSeasonTable,4,FALSE)),1)*BlendedPricePremAnnual*AIG24+AIT12*POWER(1-(AnnualChurn*VLOOKUP(AID24,ChurnSeasonTable,4,FALSE)),1)*BlendedPriceEliteAnnual*AIG24</f>
        <v/>
      </c>
      <c r="AJG24" s="9">
        <f>AJD24+AJE24+AJF24</f>
        <v/>
      </c>
      <c r="AJH24" s="12">
        <f>SUM(AJG13:AJG24)</f>
        <v/>
      </c>
      <c r="AJI24" s="12">
        <f>OR(AJI23,IF(VATAgentMode,SUM($AJG13:$AJG24)-SUM($AJN13:$AJN24)&gt;=VATThreshold,SUM($AJG13:$AJG24)&gt;=VATThreshold))</f>
        <v/>
      </c>
      <c r="AJJ24" s="9">
        <f>IF(AJI24,IF(VATAgentMode,AJG24-((AJG24-AJN24)-(AJG24-AJN24)/(1+VATRate)),AJG24/(1+VATRate)),AJG24)</f>
        <v/>
      </c>
      <c r="AJK24" s="12">
        <f>AJG24-AJJ24</f>
        <v/>
      </c>
      <c r="AJL24" s="12">
        <f>IF(AJI24=0,0,IF(AID24=1,SUMPRODUCT(--(($AIE$5:$AIE24=$AIE24-1)*($AID$5:$AID24&gt;=10)*($AID$5:$AID24&lt;=12)),$AJK$5:$AJK24),IF(AID24=4,SUMPRODUCT(--(($AIE$5:$AIE24=$AIE24)*($AID$5:$AID24&gt;=1)*($AID$5:$AID24&lt;=3)),$AJK$5:$AJK24),IF(AID24=7,SUMPRODUCT(--(($AIE$5:$AIE24=$AIE24)*($AID$5:$AID24&gt;=4)*($AID$5:$AID24&lt;=6)),$AJK$5:$AJK24),IF(AID24=10,SUMPRODUCT(--(($AIE$5:$AIE24=$AIE24)*($AID$5:$AID24&gt;=7)*($AID$5:$AID24&lt;=9)),$AJK$5:$AJK24),0)))))</f>
        <v/>
      </c>
      <c r="AJM24" s="12">
        <f>AJM23+AJK24-AJL24</f>
        <v/>
      </c>
      <c r="AJN24" s="12">
        <f>IF(ProviderDelay&gt;=1,AIU23*BlendedProvPayEss+AIV23*BlendedProvPayPrem+AIW23*BlendedProvPayElite+AIX23*BlendedProvPayEss+AIY23*BlendedProvPayPrem+AIZ23*BlendedProvPayElite,AIU24*BlendedProvPayEss+AIV24*BlendedProvPayPrem+AIW24*BlendedProvPayElite+AIX24*BlendedProvPayEss+AIY24*BlendedProvPayPrem+AIZ24*BlendedProvPayElite)</f>
        <v/>
      </c>
      <c r="AJO24" s="12">
        <f>AJG24*PaymentFee</f>
        <v/>
      </c>
      <c r="AJP24" s="12">
        <f>AJA24*OpsAI</f>
        <v/>
      </c>
      <c r="AJQ24" s="12">
        <f>MonthlyFixed</f>
        <v/>
      </c>
      <c r="AJR24" s="12">
        <f>AIK24*ReferralReward</f>
        <v/>
      </c>
      <c r="AJS24" s="12">
        <f>AII24</f>
        <v/>
      </c>
      <c r="AJT24" s="9">
        <f>AJJ24-AJN24-AJO24-AJP24-AJQ24-AJR24-AJS24</f>
        <v/>
      </c>
      <c r="AJU24" s="9">
        <f>AJU23+AJG24-(AJN24+AJO24+AJP24+AJQ24+AJR24+AJS24+AJL24)</f>
        <v/>
      </c>
      <c r="AJV24" s="12">
        <f>IF(AJA24&gt;0,AJB24/AJA24,0)</f>
        <v/>
      </c>
      <c r="AJW24" s="11">
        <f>IF(AJA23&gt;0,MAX(0,(AJA23+AIL24-AJA24)/AJA23),0)</f>
        <v/>
      </c>
      <c r="AJY24" s="12" t="n">
        <v>20</v>
      </c>
      <c r="AJZ24" s="12">
        <f>MOD(AJY24-1+LaunchMonth-1,12)+1</f>
        <v/>
      </c>
      <c r="AKA24" s="12">
        <f>INT((AJY24-1+LaunchMonth-1)/12)+1</f>
        <v/>
      </c>
      <c r="AKB24" s="12">
        <f>VLOOKUP(AJZ24,SeasonTable,2,FALSE)</f>
        <v/>
      </c>
      <c r="AKC24" s="12">
        <f>(1+InflationRate)^INT((AJY24-1)/12)</f>
        <v/>
      </c>
      <c r="AKD24" s="11">
        <f>MonthlyChurn*VLOOKUP(AJZ24,ChurnSeasonTable,4,FALSE)</f>
        <v/>
      </c>
      <c r="AKE24" s="12">
        <f>MIN(MAX(MktMin19plus,ALC23*MktPct19plus),MAX(0,ALQ23-CashBuffer))</f>
        <v/>
      </c>
      <c r="AKF24" s="12">
        <f>IF(AKE24&gt;0,MAX(1,ROUND(AKE24/'Sens - CAC &amp; Marketing'!$A$10*AKB24,0)),0)</f>
        <v/>
      </c>
      <c r="AKG24" s="12">
        <f>IF(AKF24&gt;0,ROUND(AKF24*ReferralMix/(1-ReferralMix),0),0)</f>
        <v/>
      </c>
      <c r="AKH24" s="12">
        <f>AKF24+AKG24</f>
        <v/>
      </c>
      <c r="AKI24" s="12">
        <f>ROUND(AKH24*(1-AnnualMix),0)</f>
        <v/>
      </c>
      <c r="AKJ24" s="12">
        <f>AKH24-AKI24</f>
        <v/>
      </c>
      <c r="AKK24" s="12">
        <f>ROUND(AKI24*EssentialMix,0)</f>
        <v/>
      </c>
      <c r="AKL24" s="12">
        <f>ROUND(AKI24*PremiumMix,0)</f>
        <v/>
      </c>
      <c r="AKM24" s="12">
        <f>AKI24-AKK24-AKL24</f>
        <v/>
      </c>
      <c r="AKN24" s="12">
        <f>ROUND(AKJ24*EssentialMix,0)</f>
        <v/>
      </c>
      <c r="AKO24" s="12">
        <f>ROUND(AKJ24*PremiumMix,0)</f>
        <v/>
      </c>
      <c r="AKP24" s="12">
        <f>AKJ24-AKN24-AKO24</f>
        <v/>
      </c>
      <c r="AKQ24" s="12">
        <f>AKK24+AKK23+AKK22+MAX(0,AKQ23-AKK23-AKK22)*(1-AKD24)</f>
        <v/>
      </c>
      <c r="AKR24" s="12">
        <f>AKL24+AKL23+AKL22+MAX(0,AKR23-AKL23-AKL22)*(1-AKD24)</f>
        <v/>
      </c>
      <c r="AKS24" s="12">
        <f>AKM24+AKM23+AKM22+MAX(0,AKS23-AKM23-AKM22)*(1-AKD24)</f>
        <v/>
      </c>
      <c r="AKT24" s="12">
        <f>AKT23+AKN24-AKN12*(AnnualChurn*VLOOKUP(AJZ24,ChurnSeasonTable,4,FALSE))*POWER(1-(AnnualChurn*VLOOKUP(AJZ24,ChurnSeasonTable,4,FALSE)),0)</f>
        <v/>
      </c>
      <c r="AKU24" s="12">
        <f>AKU23+AKO24-AKO12*(AnnualChurn*VLOOKUP(AJZ24,ChurnSeasonTable,4,FALSE))*POWER(1-(AnnualChurn*VLOOKUP(AJZ24,ChurnSeasonTable,4,FALSE)),0)</f>
        <v/>
      </c>
      <c r="AKV24" s="12">
        <f>AKV23+AKP24-AKP12*(AnnualChurn*VLOOKUP(AJZ24,ChurnSeasonTable,4,FALSE))*POWER(1-(AnnualChurn*VLOOKUP(AJZ24,ChurnSeasonTable,4,FALSE)),0)</f>
        <v/>
      </c>
      <c r="AKW24" s="12">
        <f>AKQ24+AKR24+AKS24+AKT24+AKU24+AKV24</f>
        <v/>
      </c>
      <c r="AKX24" s="9">
        <f>AKQ24*BlendedPriceEssMonthly*AKC24+AKR24*BlendedPricePremMonthly*AKC24+AKS24*BlendedPriceEliteMonthly*AKC24+AKT24*BlendedPriceEssAnnual*AKC24/12+AKU24*BlendedPricePremAnnual*AKC24/12+AKV24*BlendedPriceEliteAnnual*AKC24/12</f>
        <v/>
      </c>
      <c r="AKY24" s="9">
        <f>AKX24*12</f>
        <v/>
      </c>
      <c r="AKZ24" s="12">
        <f>AKQ24*BlendedPriceEssMonthly*AKC24+AKR24*BlendedPricePremMonthly*AKC24+AKS24*BlendedPriceEliteMonthly*AKC24</f>
        <v/>
      </c>
      <c r="ALA24" s="12">
        <f>AKN24*BlendedPriceEssAnnual*AKC24+AKO24*BlendedPricePremAnnual*AKC24+AKP24*BlendedPriceEliteAnnual*AKC24</f>
        <v/>
      </c>
      <c r="ALB24" s="12">
        <f>AKN12*POWER(1-(AnnualChurn*VLOOKUP(AJZ24,ChurnSeasonTable,4,FALSE)),1)*BlendedPriceEssAnnual*AKC24+AKO12*POWER(1-(AnnualChurn*VLOOKUP(AJZ24,ChurnSeasonTable,4,FALSE)),1)*BlendedPricePremAnnual*AKC24+AKP12*POWER(1-(AnnualChurn*VLOOKUP(AJZ24,ChurnSeasonTable,4,FALSE)),1)*BlendedPriceEliteAnnual*AKC24</f>
        <v/>
      </c>
      <c r="ALC24" s="9">
        <f>AKZ24+ALA24+ALB24</f>
        <v/>
      </c>
      <c r="ALD24" s="12">
        <f>SUM(ALC13:ALC24)</f>
        <v/>
      </c>
      <c r="ALE24" s="12">
        <f>OR(ALE23,IF(VATAgentMode,SUM($ALC13:$ALC24)-SUM($ALJ13:$ALJ24)&gt;=VATThreshold,SUM($ALC13:$ALC24)&gt;=VATThreshold))</f>
        <v/>
      </c>
      <c r="ALF24" s="9">
        <f>IF(ALE24,IF(VATAgentMode,ALC24-((ALC24-ALJ24)-(ALC24-ALJ24)/(1+VATRate)),ALC24/(1+VATRate)),ALC24)</f>
        <v/>
      </c>
      <c r="ALG24" s="12">
        <f>ALC24-ALF24</f>
        <v/>
      </c>
      <c r="ALH24" s="12">
        <f>IF(ALE24=0,0,IF(AJZ24=1,SUMPRODUCT(--(($AKA$5:$AKA24=$AKA24-1)*($AJZ$5:$AJZ24&gt;=10)*($AJZ$5:$AJZ24&lt;=12)),$ALG$5:$ALG24),IF(AJZ24=4,SUMPRODUCT(--(($AKA$5:$AKA24=$AKA24)*($AJZ$5:$AJZ24&gt;=1)*($AJZ$5:$AJZ24&lt;=3)),$ALG$5:$ALG24),IF(AJZ24=7,SUMPRODUCT(--(($AKA$5:$AKA24=$AKA24)*($AJZ$5:$AJZ24&gt;=4)*($AJZ$5:$AJZ24&lt;=6)),$ALG$5:$ALG24),IF(AJZ24=10,SUMPRODUCT(--(($AKA$5:$AKA24=$AKA24)*($AJZ$5:$AJZ24&gt;=7)*($AJZ$5:$AJZ24&lt;=9)),$ALG$5:$ALG24),0)))))</f>
        <v/>
      </c>
      <c r="ALI24" s="12">
        <f>ALI23+ALG24-ALH24</f>
        <v/>
      </c>
      <c r="ALJ24" s="12">
        <f>IF(ProviderDelay&gt;=1,AKQ23*BlendedProvPayEss+AKR23*BlendedProvPayPrem+AKS23*BlendedProvPayElite+AKT23*BlendedProvPayEss+AKU23*BlendedProvPayPrem+AKV23*BlendedProvPayElite,AKQ24*BlendedProvPayEss+AKR24*BlendedProvPayPrem+AKS24*BlendedProvPayElite+AKT24*BlendedProvPayEss+AKU24*BlendedProvPayPrem+AKV24*BlendedProvPayElite)</f>
        <v/>
      </c>
      <c r="ALK24" s="12">
        <f>ALC24*PaymentFee</f>
        <v/>
      </c>
      <c r="ALL24" s="12">
        <f>AKW24*OpsAI</f>
        <v/>
      </c>
      <c r="ALM24" s="12">
        <f>MonthlyFixed</f>
        <v/>
      </c>
      <c r="ALN24" s="12">
        <f>AKG24*ReferralReward</f>
        <v/>
      </c>
      <c r="ALO24" s="12">
        <f>AKE24</f>
        <v/>
      </c>
      <c r="ALP24" s="9">
        <f>ALF24-ALJ24-ALK24-ALL24-ALM24-ALN24-ALO24</f>
        <v/>
      </c>
      <c r="ALQ24" s="9">
        <f>ALQ23+ALC24-(ALJ24+ALK24+ALL24+ALM24+ALN24+ALO24+ALH24)</f>
        <v/>
      </c>
      <c r="ALR24" s="12">
        <f>IF(AKW24&gt;0,AKX24/AKW24,0)</f>
        <v/>
      </c>
      <c r="ALS24" s="11">
        <f>IF(AKW23&gt;0,MAX(0,(AKW23+AKH24-AKW24)/AKW23),0)</f>
        <v/>
      </c>
      <c r="ALU24" s="12" t="n">
        <v>20</v>
      </c>
      <c r="ALV24" s="12">
        <f>MOD(ALU24-1+LaunchMonth-1,12)+1</f>
        <v/>
      </c>
      <c r="ALW24" s="12">
        <f>INT((ALU24-1+LaunchMonth-1)/12)+1</f>
        <v/>
      </c>
      <c r="ALX24" s="12">
        <f>VLOOKUP(ALV24,SeasonTable,2,FALSE)</f>
        <v/>
      </c>
      <c r="ALY24" s="12">
        <f>(1+InflationRate)^INT((ALU24-1)/12)</f>
        <v/>
      </c>
      <c r="ALZ24" s="11">
        <f>MonthlyChurn*VLOOKUP(ALV24,ChurnSeasonTable,4,FALSE)</f>
        <v/>
      </c>
      <c r="AMA24" s="12">
        <f>MIN(MAX(MktMin19plus,AMY23*MktPct19plus),MAX(0,ANM23-CashBuffer))</f>
        <v/>
      </c>
      <c r="AMB24" s="12">
        <f>IF(AMA24&gt;0,MAX(1,ROUND(AMA24/'Sens - CAC &amp; Marketing'!$A$11*ALX24,0)),0)</f>
        <v/>
      </c>
      <c r="AMC24" s="12">
        <f>IF(AMB24&gt;0,ROUND(AMB24*ReferralMix/(1-ReferralMix),0),0)</f>
        <v/>
      </c>
      <c r="AMD24" s="12">
        <f>AMB24+AMC24</f>
        <v/>
      </c>
      <c r="AME24" s="12">
        <f>ROUND(AMD24*(1-AnnualMix),0)</f>
        <v/>
      </c>
      <c r="AMF24" s="12">
        <f>AMD24-AME24</f>
        <v/>
      </c>
      <c r="AMG24" s="12">
        <f>ROUND(AME24*EssentialMix,0)</f>
        <v/>
      </c>
      <c r="AMH24" s="12">
        <f>ROUND(AME24*PremiumMix,0)</f>
        <v/>
      </c>
      <c r="AMI24" s="12">
        <f>AME24-AMG24-AMH24</f>
        <v/>
      </c>
      <c r="AMJ24" s="12">
        <f>ROUND(AMF24*EssentialMix,0)</f>
        <v/>
      </c>
      <c r="AMK24" s="12">
        <f>ROUND(AMF24*PremiumMix,0)</f>
        <v/>
      </c>
      <c r="AML24" s="12">
        <f>AMF24-AMJ24-AMK24</f>
        <v/>
      </c>
      <c r="AMM24" s="12">
        <f>AMG24+AMG23+AMG22+MAX(0,AMM23-AMG23-AMG22)*(1-ALZ24)</f>
        <v/>
      </c>
      <c r="AMN24" s="12">
        <f>AMH24+AMH23+AMH22+MAX(0,AMN23-AMH23-AMH22)*(1-ALZ24)</f>
        <v/>
      </c>
      <c r="AMO24" s="12">
        <f>AMI24+AMI23+AMI22+MAX(0,AMO23-AMI23-AMI22)*(1-ALZ24)</f>
        <v/>
      </c>
      <c r="AMP24" s="12">
        <f>AMP23+AMJ24-AMJ12*(AnnualChurn*VLOOKUP(ALV24,ChurnSeasonTable,4,FALSE))*POWER(1-(AnnualChurn*VLOOKUP(ALV24,ChurnSeasonTable,4,FALSE)),0)</f>
        <v/>
      </c>
      <c r="AMQ24" s="12">
        <f>AMQ23+AMK24-AMK12*(AnnualChurn*VLOOKUP(ALV24,ChurnSeasonTable,4,FALSE))*POWER(1-(AnnualChurn*VLOOKUP(ALV24,ChurnSeasonTable,4,FALSE)),0)</f>
        <v/>
      </c>
      <c r="AMR24" s="12">
        <f>AMR23+AML24-AML12*(AnnualChurn*VLOOKUP(ALV24,ChurnSeasonTable,4,FALSE))*POWER(1-(AnnualChurn*VLOOKUP(ALV24,ChurnSeasonTable,4,FALSE)),0)</f>
        <v/>
      </c>
      <c r="AMS24" s="12">
        <f>AMM24+AMN24+AMO24+AMP24+AMQ24+AMR24</f>
        <v/>
      </c>
      <c r="AMT24" s="9">
        <f>AMM24*BlendedPriceEssMonthly*ALY24+AMN24*BlendedPricePremMonthly*ALY24+AMO24*BlendedPriceEliteMonthly*ALY24+AMP24*BlendedPriceEssAnnual*ALY24/12+AMQ24*BlendedPricePremAnnual*ALY24/12+AMR24*BlendedPriceEliteAnnual*ALY24/12</f>
        <v/>
      </c>
      <c r="AMU24" s="9">
        <f>AMT24*12</f>
        <v/>
      </c>
      <c r="AMV24" s="12">
        <f>AMM24*BlendedPriceEssMonthly*ALY24+AMN24*BlendedPricePremMonthly*ALY24+AMO24*BlendedPriceEliteMonthly*ALY24</f>
        <v/>
      </c>
      <c r="AMW24" s="12">
        <f>AMJ24*BlendedPriceEssAnnual*ALY24+AMK24*BlendedPricePremAnnual*ALY24+AML24*BlendedPriceEliteAnnual*ALY24</f>
        <v/>
      </c>
      <c r="AMX24" s="12">
        <f>AMJ12*POWER(1-(AnnualChurn*VLOOKUP(ALV24,ChurnSeasonTable,4,FALSE)),1)*BlendedPriceEssAnnual*ALY24+AMK12*POWER(1-(AnnualChurn*VLOOKUP(ALV24,ChurnSeasonTable,4,FALSE)),1)*BlendedPricePremAnnual*ALY24+AML12*POWER(1-(AnnualChurn*VLOOKUP(ALV24,ChurnSeasonTable,4,FALSE)),1)*BlendedPriceEliteAnnual*ALY24</f>
        <v/>
      </c>
      <c r="AMY24" s="9">
        <f>AMV24+AMW24+AMX24</f>
        <v/>
      </c>
      <c r="AMZ24" s="12">
        <f>SUM(AMY13:AMY24)</f>
        <v/>
      </c>
      <c r="ANA24" s="12">
        <f>OR(ANA23,IF(VATAgentMode,SUM($AMY13:$AMY24)-SUM($ANF13:$ANF24)&gt;=VATThreshold,SUM($AMY13:$AMY24)&gt;=VATThreshold))</f>
        <v/>
      </c>
      <c r="ANB24" s="9">
        <f>IF(ANA24,IF(VATAgentMode,AMY24-((AMY24-ANF24)-(AMY24-ANF24)/(1+VATRate)),AMY24/(1+VATRate)),AMY24)</f>
        <v/>
      </c>
      <c r="ANC24" s="12">
        <f>AMY24-ANB24</f>
        <v/>
      </c>
      <c r="AND24" s="12">
        <f>IF(ANA24=0,0,IF(ALV24=1,SUMPRODUCT(--(($ALW$5:$ALW24=$ALW24-1)*($ALV$5:$ALV24&gt;=10)*($ALV$5:$ALV24&lt;=12)),$ANC$5:$ANC24),IF(ALV24=4,SUMPRODUCT(--(($ALW$5:$ALW24=$ALW24)*($ALV$5:$ALV24&gt;=1)*($ALV$5:$ALV24&lt;=3)),$ANC$5:$ANC24),IF(ALV24=7,SUMPRODUCT(--(($ALW$5:$ALW24=$ALW24)*($ALV$5:$ALV24&gt;=4)*($ALV$5:$ALV24&lt;=6)),$ANC$5:$ANC24),IF(ALV24=10,SUMPRODUCT(--(($ALW$5:$ALW24=$ALW24)*($ALV$5:$ALV24&gt;=7)*($ALV$5:$ALV24&lt;=9)),$ANC$5:$ANC24),0)))))</f>
        <v/>
      </c>
      <c r="ANE24" s="12">
        <f>ANE23+ANC24-AND24</f>
        <v/>
      </c>
      <c r="ANF24" s="12">
        <f>IF(ProviderDelay&gt;=1,AMM23*BlendedProvPayEss+AMN23*BlendedProvPayPrem+AMO23*BlendedProvPayElite+AMP23*BlendedProvPayEss+AMQ23*BlendedProvPayPrem+AMR23*BlendedProvPayElite,AMM24*BlendedProvPayEss+AMN24*BlendedProvPayPrem+AMO24*BlendedProvPayElite+AMP24*BlendedProvPayEss+AMQ24*BlendedProvPayPrem+AMR24*BlendedProvPayElite)</f>
        <v/>
      </c>
      <c r="ANG24" s="12">
        <f>AMY24*PaymentFee</f>
        <v/>
      </c>
      <c r="ANH24" s="12">
        <f>AMS24*OpsAI</f>
        <v/>
      </c>
      <c r="ANI24" s="12">
        <f>MonthlyFixed</f>
        <v/>
      </c>
      <c r="ANJ24" s="12">
        <f>AMC24*ReferralReward</f>
        <v/>
      </c>
      <c r="ANK24" s="12">
        <f>AMA24</f>
        <v/>
      </c>
      <c r="ANL24" s="9">
        <f>ANB24-ANF24-ANG24-ANH24-ANI24-ANJ24-ANK24</f>
        <v/>
      </c>
      <c r="ANM24" s="9">
        <f>ANM23+AMY24-(ANF24+ANG24+ANH24+ANI24+ANJ24+ANK24+AND24)</f>
        <v/>
      </c>
      <c r="ANN24" s="12">
        <f>IF(AMS24&gt;0,AMT24/AMS24,0)</f>
        <v/>
      </c>
      <c r="ANO24" s="11">
        <f>IF(AMS23&gt;0,MAX(0,(AMS23+AMD24-AMS24)/AMS23),0)</f>
        <v/>
      </c>
      <c r="ANQ24" s="12" t="n">
        <v>20</v>
      </c>
      <c r="ANR24" s="12">
        <f>MOD(ANQ24-1+LaunchMonth-1,12)+1</f>
        <v/>
      </c>
      <c r="ANS24" s="12">
        <f>INT((ANQ24-1+LaunchMonth-1)/12)+1</f>
        <v/>
      </c>
      <c r="ANT24" s="12">
        <f>VLOOKUP(ANR24,SeasonTable,2,FALSE)</f>
        <v/>
      </c>
      <c r="ANU24" s="12">
        <f>(1+InflationRate)^INT((ANQ24-1)/12)</f>
        <v/>
      </c>
      <c r="ANV24" s="11">
        <f>MonthlyChurn*VLOOKUP(ANR24,ChurnSeasonTable,4,FALSE)</f>
        <v/>
      </c>
      <c r="ANW24" s="12">
        <f>MIN(MAX(MktMin19plus,AOU23*MktPct19plus),MAX(0,API23-CashBuffer))</f>
        <v/>
      </c>
      <c r="ANX24" s="12">
        <f>IF(ANW24&gt;0,MAX(1,ROUND(ANW24/'Sens - CAC &amp; Marketing'!$A$12*ANT24,0)),0)</f>
        <v/>
      </c>
      <c r="ANY24" s="12">
        <f>IF(ANX24&gt;0,ROUND(ANX24*ReferralMix/(1-ReferralMix),0),0)</f>
        <v/>
      </c>
      <c r="ANZ24" s="12">
        <f>ANX24+ANY24</f>
        <v/>
      </c>
      <c r="AOA24" s="12">
        <f>ROUND(ANZ24*(1-AnnualMix),0)</f>
        <v/>
      </c>
      <c r="AOB24" s="12">
        <f>ANZ24-AOA24</f>
        <v/>
      </c>
      <c r="AOC24" s="12">
        <f>ROUND(AOA24*EssentialMix,0)</f>
        <v/>
      </c>
      <c r="AOD24" s="12">
        <f>ROUND(AOA24*PremiumMix,0)</f>
        <v/>
      </c>
      <c r="AOE24" s="12">
        <f>AOA24-AOC24-AOD24</f>
        <v/>
      </c>
      <c r="AOF24" s="12">
        <f>ROUND(AOB24*EssentialMix,0)</f>
        <v/>
      </c>
      <c r="AOG24" s="12">
        <f>ROUND(AOB24*PremiumMix,0)</f>
        <v/>
      </c>
      <c r="AOH24" s="12">
        <f>AOB24-AOF24-AOG24</f>
        <v/>
      </c>
      <c r="AOI24" s="12">
        <f>AOC24+AOC23+AOC22+MAX(0,AOI23-AOC23-AOC22)*(1-ANV24)</f>
        <v/>
      </c>
      <c r="AOJ24" s="12">
        <f>AOD24+AOD23+AOD22+MAX(0,AOJ23-AOD23-AOD22)*(1-ANV24)</f>
        <v/>
      </c>
      <c r="AOK24" s="12">
        <f>AOE24+AOE23+AOE22+MAX(0,AOK23-AOE23-AOE22)*(1-ANV24)</f>
        <v/>
      </c>
      <c r="AOL24" s="12">
        <f>AOL23+AOF24-AOF12*(AnnualChurn*VLOOKUP(ANR24,ChurnSeasonTable,4,FALSE))*POWER(1-(AnnualChurn*VLOOKUP(ANR24,ChurnSeasonTable,4,FALSE)),0)</f>
        <v/>
      </c>
      <c r="AOM24" s="12">
        <f>AOM23+AOG24-AOG12*(AnnualChurn*VLOOKUP(ANR24,ChurnSeasonTable,4,FALSE))*POWER(1-(AnnualChurn*VLOOKUP(ANR24,ChurnSeasonTable,4,FALSE)),0)</f>
        <v/>
      </c>
      <c r="AON24" s="12">
        <f>AON23+AOH24-AOH12*(AnnualChurn*VLOOKUP(ANR24,ChurnSeasonTable,4,FALSE))*POWER(1-(AnnualChurn*VLOOKUP(ANR24,ChurnSeasonTable,4,FALSE)),0)</f>
        <v/>
      </c>
      <c r="AOO24" s="12">
        <f>AOI24+AOJ24+AOK24+AOL24+AOM24+AON24</f>
        <v/>
      </c>
      <c r="AOP24" s="9">
        <f>AOI24*BlendedPriceEssMonthly*ANU24+AOJ24*BlendedPricePremMonthly*ANU24+AOK24*BlendedPriceEliteMonthly*ANU24+AOL24*BlendedPriceEssAnnual*ANU24/12+AOM24*BlendedPricePremAnnual*ANU24/12+AON24*BlendedPriceEliteAnnual*ANU24/12</f>
        <v/>
      </c>
      <c r="AOQ24" s="9">
        <f>AOP24*12</f>
        <v/>
      </c>
      <c r="AOR24" s="12">
        <f>AOI24*BlendedPriceEssMonthly*ANU24+AOJ24*BlendedPricePremMonthly*ANU24+AOK24*BlendedPriceEliteMonthly*ANU24</f>
        <v/>
      </c>
      <c r="AOS24" s="12">
        <f>AOF24*BlendedPriceEssAnnual*ANU24+AOG24*BlendedPricePremAnnual*ANU24+AOH24*BlendedPriceEliteAnnual*ANU24</f>
        <v/>
      </c>
      <c r="AOT24" s="12">
        <f>AOF12*POWER(1-(AnnualChurn*VLOOKUP(ANR24,ChurnSeasonTable,4,FALSE)),1)*BlendedPriceEssAnnual*ANU24+AOG12*POWER(1-(AnnualChurn*VLOOKUP(ANR24,ChurnSeasonTable,4,FALSE)),1)*BlendedPricePremAnnual*ANU24+AOH12*POWER(1-(AnnualChurn*VLOOKUP(ANR24,ChurnSeasonTable,4,FALSE)),1)*BlendedPriceEliteAnnual*ANU24</f>
        <v/>
      </c>
      <c r="AOU24" s="9">
        <f>AOR24+AOS24+AOT24</f>
        <v/>
      </c>
      <c r="AOV24" s="12">
        <f>SUM(AOU13:AOU24)</f>
        <v/>
      </c>
      <c r="AOW24" s="12">
        <f>OR(AOW23,IF(VATAgentMode,SUM($AOU13:$AOU24)-SUM($APB13:$APB24)&gt;=VATThreshold,SUM($AOU13:$AOU24)&gt;=VATThreshold))</f>
        <v/>
      </c>
      <c r="AOX24" s="9">
        <f>IF(AOW24,IF(VATAgentMode,AOU24-((AOU24-APB24)-(AOU24-APB24)/(1+VATRate)),AOU24/(1+VATRate)),AOU24)</f>
        <v/>
      </c>
      <c r="AOY24" s="12">
        <f>AOU24-AOX24</f>
        <v/>
      </c>
      <c r="AOZ24" s="12">
        <f>IF(AOW24=0,0,IF(ANR24=1,SUMPRODUCT(--(($ANS$5:$ANS24=$ANS24-1)*($ANR$5:$ANR24&gt;=10)*($ANR$5:$ANR24&lt;=12)),$AOY$5:$AOY24),IF(ANR24=4,SUMPRODUCT(--(($ANS$5:$ANS24=$ANS24)*($ANR$5:$ANR24&gt;=1)*($ANR$5:$ANR24&lt;=3)),$AOY$5:$AOY24),IF(ANR24=7,SUMPRODUCT(--(($ANS$5:$ANS24=$ANS24)*($ANR$5:$ANR24&gt;=4)*($ANR$5:$ANR24&lt;=6)),$AOY$5:$AOY24),IF(ANR24=10,SUMPRODUCT(--(($ANS$5:$ANS24=$ANS24)*($ANR$5:$ANR24&gt;=7)*($ANR$5:$ANR24&lt;=9)),$AOY$5:$AOY24),0)))))</f>
        <v/>
      </c>
      <c r="APA24" s="12">
        <f>APA23+AOY24-AOZ24</f>
        <v/>
      </c>
      <c r="APB24" s="12">
        <f>IF(ProviderDelay&gt;=1,AOI23*BlendedProvPayEss+AOJ23*BlendedProvPayPrem+AOK23*BlendedProvPayElite+AOL23*BlendedProvPayEss+AOM23*BlendedProvPayPrem+AON23*BlendedProvPayElite,AOI24*BlendedProvPayEss+AOJ24*BlendedProvPayPrem+AOK24*BlendedProvPayElite+AOL24*BlendedProvPayEss+AOM24*BlendedProvPayPrem+AON24*BlendedProvPayElite)</f>
        <v/>
      </c>
      <c r="APC24" s="12">
        <f>AOU24*PaymentFee</f>
        <v/>
      </c>
      <c r="APD24" s="12">
        <f>AOO24*OpsAI</f>
        <v/>
      </c>
      <c r="APE24" s="12">
        <f>MonthlyFixed</f>
        <v/>
      </c>
      <c r="APF24" s="12">
        <f>ANY24*ReferralReward</f>
        <v/>
      </c>
      <c r="APG24" s="12">
        <f>ANW24</f>
        <v/>
      </c>
      <c r="APH24" s="9">
        <f>AOX24-APB24-APC24-APD24-APE24-APF24-APG24</f>
        <v/>
      </c>
      <c r="API24" s="9">
        <f>API23+AOU24-(APB24+APC24+APD24+APE24+APF24+APG24+AOZ24)</f>
        <v/>
      </c>
      <c r="APJ24" s="12">
        <f>IF(AOO24&gt;0,AOP24/AOO24,0)</f>
        <v/>
      </c>
      <c r="APK24" s="11">
        <f>IF(AOO23&gt;0,MAX(0,(AOO23+ANZ24-AOO24)/AOO23),0)</f>
        <v/>
      </c>
      <c r="APM24" s="12" t="n">
        <v>20</v>
      </c>
      <c r="APN24" s="12">
        <f>MOD(APM24-1+LaunchMonth-1,12)+1</f>
        <v/>
      </c>
      <c r="APO24" s="12">
        <f>INT((APM24-1+LaunchMonth-1)/12)+1</f>
        <v/>
      </c>
      <c r="APP24" s="12">
        <f>VLOOKUP(APN24,SeasonTable,2,FALSE)</f>
        <v/>
      </c>
      <c r="APQ24" s="12">
        <f>(1+InflationRate)^INT((APM24-1)/12)</f>
        <v/>
      </c>
      <c r="APR24" s="11">
        <f>MonthlyChurn*VLOOKUP(APN24,ChurnSeasonTable,4,FALSE)</f>
        <v/>
      </c>
      <c r="APS24" s="12">
        <f>MIN(MAX(MktMin19plus,AQQ23*MktPct19plus),MAX(0,ARE23-CashBuffer))</f>
        <v/>
      </c>
      <c r="APT24" s="12">
        <f>IF(APS24&gt;0,MAX(1,ROUND(APS24/'Sens - CAC &amp; Marketing'!$A$13*APP24,0)),0)</f>
        <v/>
      </c>
      <c r="APU24" s="12">
        <f>IF(APT24&gt;0,ROUND(APT24*ReferralMix/(1-ReferralMix),0),0)</f>
        <v/>
      </c>
      <c r="APV24" s="12">
        <f>APT24+APU24</f>
        <v/>
      </c>
      <c r="APW24" s="12">
        <f>ROUND(APV24*(1-AnnualMix),0)</f>
        <v/>
      </c>
      <c r="APX24" s="12">
        <f>APV24-APW24</f>
        <v/>
      </c>
      <c r="APY24" s="12">
        <f>ROUND(APW24*EssentialMix,0)</f>
        <v/>
      </c>
      <c r="APZ24" s="12">
        <f>ROUND(APW24*PremiumMix,0)</f>
        <v/>
      </c>
      <c r="AQA24" s="12">
        <f>APW24-APY24-APZ24</f>
        <v/>
      </c>
      <c r="AQB24" s="12">
        <f>ROUND(APX24*EssentialMix,0)</f>
        <v/>
      </c>
      <c r="AQC24" s="12">
        <f>ROUND(APX24*PremiumMix,0)</f>
        <v/>
      </c>
      <c r="AQD24" s="12">
        <f>APX24-AQB24-AQC24</f>
        <v/>
      </c>
      <c r="AQE24" s="12">
        <f>APY24+APY23+APY22+MAX(0,AQE23-APY23-APY22)*(1-APR24)</f>
        <v/>
      </c>
      <c r="AQF24" s="12">
        <f>APZ24+APZ23+APZ22+MAX(0,AQF23-APZ23-APZ22)*(1-APR24)</f>
        <v/>
      </c>
      <c r="AQG24" s="12">
        <f>AQA24+AQA23+AQA22+MAX(0,AQG23-AQA23-AQA22)*(1-APR24)</f>
        <v/>
      </c>
      <c r="AQH24" s="12">
        <f>AQH23+AQB24-AQB12*(AnnualChurn*VLOOKUP(APN24,ChurnSeasonTable,4,FALSE))*POWER(1-(AnnualChurn*VLOOKUP(APN24,ChurnSeasonTable,4,FALSE)),0)</f>
        <v/>
      </c>
      <c r="AQI24" s="12">
        <f>AQI23+AQC24-AQC12*(AnnualChurn*VLOOKUP(APN24,ChurnSeasonTable,4,FALSE))*POWER(1-(AnnualChurn*VLOOKUP(APN24,ChurnSeasonTable,4,FALSE)),0)</f>
        <v/>
      </c>
      <c r="AQJ24" s="12">
        <f>AQJ23+AQD24-AQD12*(AnnualChurn*VLOOKUP(APN24,ChurnSeasonTable,4,FALSE))*POWER(1-(AnnualChurn*VLOOKUP(APN24,ChurnSeasonTable,4,FALSE)),0)</f>
        <v/>
      </c>
      <c r="AQK24" s="12">
        <f>AQE24+AQF24+AQG24+AQH24+AQI24+AQJ24</f>
        <v/>
      </c>
      <c r="AQL24" s="9">
        <f>AQE24*BlendedPriceEssMonthly*APQ24+AQF24*BlendedPricePremMonthly*APQ24+AQG24*BlendedPriceEliteMonthly*APQ24+AQH24*BlendedPriceEssAnnual*APQ24/12+AQI24*BlendedPricePremAnnual*APQ24/12+AQJ24*BlendedPriceEliteAnnual*APQ24/12</f>
        <v/>
      </c>
      <c r="AQM24" s="9">
        <f>AQL24*12</f>
        <v/>
      </c>
      <c r="AQN24" s="12">
        <f>AQE24*BlendedPriceEssMonthly*APQ24+AQF24*BlendedPricePremMonthly*APQ24+AQG24*BlendedPriceEliteMonthly*APQ24</f>
        <v/>
      </c>
      <c r="AQO24" s="12">
        <f>AQB24*BlendedPriceEssAnnual*APQ24+AQC24*BlendedPricePremAnnual*APQ24+AQD24*BlendedPriceEliteAnnual*APQ24</f>
        <v/>
      </c>
      <c r="AQP24" s="12">
        <f>AQB12*POWER(1-(AnnualChurn*VLOOKUP(APN24,ChurnSeasonTable,4,FALSE)),1)*BlendedPriceEssAnnual*APQ24+AQC12*POWER(1-(AnnualChurn*VLOOKUP(APN24,ChurnSeasonTable,4,FALSE)),1)*BlendedPricePremAnnual*APQ24+AQD12*POWER(1-(AnnualChurn*VLOOKUP(APN24,ChurnSeasonTable,4,FALSE)),1)*BlendedPriceEliteAnnual*APQ24</f>
        <v/>
      </c>
      <c r="AQQ24" s="9">
        <f>AQN24+AQO24+AQP24</f>
        <v/>
      </c>
      <c r="AQR24" s="12">
        <f>SUM(AQQ13:AQQ24)</f>
        <v/>
      </c>
      <c r="AQS24" s="12">
        <f>OR(AQS23,IF(VATAgentMode,SUM($AQQ13:$AQQ24)-SUM($AQX13:$AQX24)&gt;=VATThreshold,SUM($AQQ13:$AQQ24)&gt;=VATThreshold))</f>
        <v/>
      </c>
      <c r="AQT24" s="9">
        <f>IF(AQS24,IF(VATAgentMode,AQQ24-((AQQ24-AQX24)-(AQQ24-AQX24)/(1+VATRate)),AQQ24/(1+VATRate)),AQQ24)</f>
        <v/>
      </c>
      <c r="AQU24" s="12">
        <f>AQQ24-AQT24</f>
        <v/>
      </c>
      <c r="AQV24" s="12">
        <f>IF(AQS24=0,0,IF(APN24=1,SUMPRODUCT(--(($APO$5:$APO24=$APO24-1)*($APN$5:$APN24&gt;=10)*($APN$5:$APN24&lt;=12)),$AQU$5:$AQU24),IF(APN24=4,SUMPRODUCT(--(($APO$5:$APO24=$APO24)*($APN$5:$APN24&gt;=1)*($APN$5:$APN24&lt;=3)),$AQU$5:$AQU24),IF(APN24=7,SUMPRODUCT(--(($APO$5:$APO24=$APO24)*($APN$5:$APN24&gt;=4)*($APN$5:$APN24&lt;=6)),$AQU$5:$AQU24),IF(APN24=10,SUMPRODUCT(--(($APO$5:$APO24=$APO24)*($APN$5:$APN24&gt;=7)*($APN$5:$APN24&lt;=9)),$AQU$5:$AQU24),0)))))</f>
        <v/>
      </c>
      <c r="AQW24" s="12">
        <f>AQW23+AQU24-AQV24</f>
        <v/>
      </c>
      <c r="AQX24" s="12">
        <f>IF(ProviderDelay&gt;=1,AQE23*BlendedProvPayEss+AQF23*BlendedProvPayPrem+AQG23*BlendedProvPayElite+AQH23*BlendedProvPayEss+AQI23*BlendedProvPayPrem+AQJ23*BlendedProvPayElite,AQE24*BlendedProvPayEss+AQF24*BlendedProvPayPrem+AQG24*BlendedProvPayElite+AQH24*BlendedProvPayEss+AQI24*BlendedProvPayPrem+AQJ24*BlendedProvPayElite)</f>
        <v/>
      </c>
      <c r="AQY24" s="12">
        <f>AQQ24*PaymentFee</f>
        <v/>
      </c>
      <c r="AQZ24" s="12">
        <f>AQK24*OpsAI</f>
        <v/>
      </c>
      <c r="ARA24" s="12">
        <f>MonthlyFixed</f>
        <v/>
      </c>
      <c r="ARB24" s="12">
        <f>APU24*ReferralReward</f>
        <v/>
      </c>
      <c r="ARC24" s="12">
        <f>APS24</f>
        <v/>
      </c>
      <c r="ARD24" s="9">
        <f>AQT24-AQX24-AQY24-AQZ24-ARA24-ARB24-ARC24</f>
        <v/>
      </c>
      <c r="ARE24" s="9">
        <f>ARE23+AQQ24-(AQX24+AQY24+AQZ24+ARA24+ARB24+ARC24+AQV24)</f>
        <v/>
      </c>
      <c r="ARF24" s="12">
        <f>IF(AQK24&gt;0,AQL24/AQK24,0)</f>
        <v/>
      </c>
      <c r="ARG24" s="11">
        <f>IF(AQK23&gt;0,MAX(0,(AQK23+APV24-AQK24)/AQK23),0)</f>
        <v/>
      </c>
      <c r="ARI24" s="12" t="n">
        <v>20</v>
      </c>
      <c r="ARJ24" s="12">
        <f>MOD(ARI24-1+LaunchMonth-1,12)+1</f>
        <v/>
      </c>
      <c r="ARK24" s="12">
        <f>INT((ARI24-1+LaunchMonth-1)/12)+1</f>
        <v/>
      </c>
      <c r="ARL24" s="12">
        <f>VLOOKUP(ARJ24,SeasonTable,2,FALSE)</f>
        <v/>
      </c>
      <c r="ARM24" s="12">
        <f>(1+InflationRate)^INT((ARI24-1)/12)</f>
        <v/>
      </c>
      <c r="ARN24" s="11">
        <f>MonthlyChurn*VLOOKUP(ARJ24,ChurnSeasonTable,4,FALSE)</f>
        <v/>
      </c>
      <c r="ARO24" s="12">
        <f>MIN(MAX(MktMin19plus,ASM23*MktPct19plus),MAX(0,ATA23-CashBuffer))</f>
        <v/>
      </c>
      <c r="ARP24" s="12">
        <f>IF(ARO24&gt;0,MAX(1,ROUND(ARO24/'Sens - CAC &amp; Marketing'!$A$14*ARL24,0)),0)</f>
        <v/>
      </c>
      <c r="ARQ24" s="12">
        <f>IF(ARP24&gt;0,ROUND(ARP24*ReferralMix/(1-ReferralMix),0),0)</f>
        <v/>
      </c>
      <c r="ARR24" s="12">
        <f>ARP24+ARQ24</f>
        <v/>
      </c>
      <c r="ARS24" s="12">
        <f>ROUND(ARR24*(1-AnnualMix),0)</f>
        <v/>
      </c>
      <c r="ART24" s="12">
        <f>ARR24-ARS24</f>
        <v/>
      </c>
      <c r="ARU24" s="12">
        <f>ROUND(ARS24*EssentialMix,0)</f>
        <v/>
      </c>
      <c r="ARV24" s="12">
        <f>ROUND(ARS24*PremiumMix,0)</f>
        <v/>
      </c>
      <c r="ARW24" s="12">
        <f>ARS24-ARU24-ARV24</f>
        <v/>
      </c>
      <c r="ARX24" s="12">
        <f>ROUND(ART24*EssentialMix,0)</f>
        <v/>
      </c>
      <c r="ARY24" s="12">
        <f>ROUND(ART24*PremiumMix,0)</f>
        <v/>
      </c>
      <c r="ARZ24" s="12">
        <f>ART24-ARX24-ARY24</f>
        <v/>
      </c>
      <c r="ASA24" s="12">
        <f>ARU24+ARU23+ARU22+MAX(0,ASA23-ARU23-ARU22)*(1-ARN24)</f>
        <v/>
      </c>
      <c r="ASB24" s="12">
        <f>ARV24+ARV23+ARV22+MAX(0,ASB23-ARV23-ARV22)*(1-ARN24)</f>
        <v/>
      </c>
      <c r="ASC24" s="12">
        <f>ARW24+ARW23+ARW22+MAX(0,ASC23-ARW23-ARW22)*(1-ARN24)</f>
        <v/>
      </c>
      <c r="ASD24" s="12">
        <f>ASD23+ARX24-ARX12*(AnnualChurn*VLOOKUP(ARJ24,ChurnSeasonTable,4,FALSE))*POWER(1-(AnnualChurn*VLOOKUP(ARJ24,ChurnSeasonTable,4,FALSE)),0)</f>
        <v/>
      </c>
      <c r="ASE24" s="12">
        <f>ASE23+ARY24-ARY12*(AnnualChurn*VLOOKUP(ARJ24,ChurnSeasonTable,4,FALSE))*POWER(1-(AnnualChurn*VLOOKUP(ARJ24,ChurnSeasonTable,4,FALSE)),0)</f>
        <v/>
      </c>
      <c r="ASF24" s="12">
        <f>ASF23+ARZ24-ARZ12*(AnnualChurn*VLOOKUP(ARJ24,ChurnSeasonTable,4,FALSE))*POWER(1-(AnnualChurn*VLOOKUP(ARJ24,ChurnSeasonTable,4,FALSE)),0)</f>
        <v/>
      </c>
      <c r="ASG24" s="12">
        <f>ASA24+ASB24+ASC24+ASD24+ASE24+ASF24</f>
        <v/>
      </c>
      <c r="ASH24" s="9">
        <f>ASA24*BlendedPriceEssMonthly*ARM24+ASB24*BlendedPricePremMonthly*ARM24+ASC24*BlendedPriceEliteMonthly*ARM24+ASD24*BlendedPriceEssAnnual*ARM24/12+ASE24*BlendedPricePremAnnual*ARM24/12+ASF24*BlendedPriceEliteAnnual*ARM24/12</f>
        <v/>
      </c>
      <c r="ASI24" s="9">
        <f>ASH24*12</f>
        <v/>
      </c>
      <c r="ASJ24" s="12">
        <f>ASA24*BlendedPriceEssMonthly*ARM24+ASB24*BlendedPricePremMonthly*ARM24+ASC24*BlendedPriceEliteMonthly*ARM24</f>
        <v/>
      </c>
      <c r="ASK24" s="12">
        <f>ARX24*BlendedPriceEssAnnual*ARM24+ARY24*BlendedPricePremAnnual*ARM24+ARZ24*BlendedPriceEliteAnnual*ARM24</f>
        <v/>
      </c>
      <c r="ASL24" s="12">
        <f>ARX12*POWER(1-(AnnualChurn*VLOOKUP(ARJ24,ChurnSeasonTable,4,FALSE)),1)*BlendedPriceEssAnnual*ARM24+ARY12*POWER(1-(AnnualChurn*VLOOKUP(ARJ24,ChurnSeasonTable,4,FALSE)),1)*BlendedPricePremAnnual*ARM24+ARZ12*POWER(1-(AnnualChurn*VLOOKUP(ARJ24,ChurnSeasonTable,4,FALSE)),1)*BlendedPriceEliteAnnual*ARM24</f>
        <v/>
      </c>
      <c r="ASM24" s="9">
        <f>ASJ24+ASK24+ASL24</f>
        <v/>
      </c>
      <c r="ASN24" s="12">
        <f>SUM(ASM13:ASM24)</f>
        <v/>
      </c>
      <c r="ASO24" s="12">
        <f>OR(ASO23,IF(VATAgentMode,SUM($ASM13:$ASM24)-SUM($AST13:$AST24)&gt;=VATThreshold,SUM($ASM13:$ASM24)&gt;=VATThreshold))</f>
        <v/>
      </c>
      <c r="ASP24" s="9">
        <f>IF(ASO24,IF(VATAgentMode,ASM24-((ASM24-AST24)-(ASM24-AST24)/(1+VATRate)),ASM24/(1+VATRate)),ASM24)</f>
        <v/>
      </c>
      <c r="ASQ24" s="12">
        <f>ASM24-ASP24</f>
        <v/>
      </c>
      <c r="ASR24" s="12">
        <f>IF(ASO24=0,0,IF(ARJ24=1,SUMPRODUCT(--(($ARK$5:$ARK24=$ARK24-1)*($ARJ$5:$ARJ24&gt;=10)*($ARJ$5:$ARJ24&lt;=12)),$ASQ$5:$ASQ24),IF(ARJ24=4,SUMPRODUCT(--(($ARK$5:$ARK24=$ARK24)*($ARJ$5:$ARJ24&gt;=1)*($ARJ$5:$ARJ24&lt;=3)),$ASQ$5:$ASQ24),IF(ARJ24=7,SUMPRODUCT(--(($ARK$5:$ARK24=$ARK24)*($ARJ$5:$ARJ24&gt;=4)*($ARJ$5:$ARJ24&lt;=6)),$ASQ$5:$ASQ24),IF(ARJ24=10,SUMPRODUCT(--(($ARK$5:$ARK24=$ARK24)*($ARJ$5:$ARJ24&gt;=7)*($ARJ$5:$ARJ24&lt;=9)),$ASQ$5:$ASQ24),0)))))</f>
        <v/>
      </c>
      <c r="ASS24" s="12">
        <f>ASS23+ASQ24-ASR24</f>
        <v/>
      </c>
      <c r="AST24" s="12">
        <f>IF(ProviderDelay&gt;=1,ASA23*BlendedProvPayEss+ASB23*BlendedProvPayPrem+ASC23*BlendedProvPayElite+ASD23*BlendedProvPayEss+ASE23*BlendedProvPayPrem+ASF23*BlendedProvPayElite,ASA24*BlendedProvPayEss+ASB24*BlendedProvPayPrem+ASC24*BlendedProvPayElite+ASD24*BlendedProvPayEss+ASE24*BlendedProvPayPrem+ASF24*BlendedProvPayElite)</f>
        <v/>
      </c>
      <c r="ASU24" s="12">
        <f>ASM24*PaymentFee</f>
        <v/>
      </c>
      <c r="ASV24" s="12">
        <f>ASG24*OpsAI</f>
        <v/>
      </c>
      <c r="ASW24" s="12">
        <f>MonthlyFixed</f>
        <v/>
      </c>
      <c r="ASX24" s="12">
        <f>ARQ24*ReferralReward</f>
        <v/>
      </c>
      <c r="ASY24" s="12">
        <f>ARO24</f>
        <v/>
      </c>
      <c r="ASZ24" s="9">
        <f>ASP24-AST24-ASU24-ASV24-ASW24-ASX24-ASY24</f>
        <v/>
      </c>
      <c r="ATA24" s="9">
        <f>ATA23+ASM24-(AST24+ASU24+ASV24+ASW24+ASX24+ASY24+ASR24)</f>
        <v/>
      </c>
      <c r="ATB24" s="12">
        <f>IF(ASG24&gt;0,ASH24/ASG24,0)</f>
        <v/>
      </c>
      <c r="ATC24" s="11">
        <f>IF(ASG23&gt;0,MAX(0,(ASG23+ARR24-ASG24)/ASG23),0)</f>
        <v/>
      </c>
      <c r="ATE24" s="12" t="n">
        <v>20</v>
      </c>
      <c r="ATF24" s="12">
        <f>MOD(ATE24-1+LaunchMonth-1,12)+1</f>
        <v/>
      </c>
      <c r="ATG24" s="12">
        <f>INT((ATE24-1+LaunchMonth-1)/12)+1</f>
        <v/>
      </c>
      <c r="ATH24" s="12">
        <f>VLOOKUP(ATF24,SeasonTable,2,FALSE)</f>
        <v/>
      </c>
      <c r="ATI24" s="12">
        <f>(1+InflationRate)^INT((ATE24-1)/12)</f>
        <v/>
      </c>
      <c r="ATJ24" s="11">
        <f>MonthlyChurn*VLOOKUP(ATF24,ChurnSeasonTable,4,FALSE)</f>
        <v/>
      </c>
      <c r="ATK24" s="12">
        <f>MIN(MAX(MktMin19plus,AUI23*MktPct19plus),MAX(0,AUW23-CashBuffer))</f>
        <v/>
      </c>
      <c r="ATL24" s="12">
        <f>IF(ATK24&gt;0,MAX(1,ROUND(ATK24/'Sens - CAC &amp; Marketing'!$A$15*ATH24,0)),0)</f>
        <v/>
      </c>
      <c r="ATM24" s="12">
        <f>IF(ATL24&gt;0,ROUND(ATL24*ReferralMix/(1-ReferralMix),0),0)</f>
        <v/>
      </c>
      <c r="ATN24" s="12">
        <f>ATL24+ATM24</f>
        <v/>
      </c>
      <c r="ATO24" s="12">
        <f>ROUND(ATN24*(1-AnnualMix),0)</f>
        <v/>
      </c>
      <c r="ATP24" s="12">
        <f>ATN24-ATO24</f>
        <v/>
      </c>
      <c r="ATQ24" s="12">
        <f>ROUND(ATO24*EssentialMix,0)</f>
        <v/>
      </c>
      <c r="ATR24" s="12">
        <f>ROUND(ATO24*PremiumMix,0)</f>
        <v/>
      </c>
      <c r="ATS24" s="12">
        <f>ATO24-ATQ24-ATR24</f>
        <v/>
      </c>
      <c r="ATT24" s="12">
        <f>ROUND(ATP24*EssentialMix,0)</f>
        <v/>
      </c>
      <c r="ATU24" s="12">
        <f>ROUND(ATP24*PremiumMix,0)</f>
        <v/>
      </c>
      <c r="ATV24" s="12">
        <f>ATP24-ATT24-ATU24</f>
        <v/>
      </c>
      <c r="ATW24" s="12">
        <f>ATQ24+ATQ23+ATQ22+MAX(0,ATW23-ATQ23-ATQ22)*(1-ATJ24)</f>
        <v/>
      </c>
      <c r="ATX24" s="12">
        <f>ATR24+ATR23+ATR22+MAX(0,ATX23-ATR23-ATR22)*(1-ATJ24)</f>
        <v/>
      </c>
      <c r="ATY24" s="12">
        <f>ATS24+ATS23+ATS22+MAX(0,ATY23-ATS23-ATS22)*(1-ATJ24)</f>
        <v/>
      </c>
      <c r="ATZ24" s="12">
        <f>ATZ23+ATT24-ATT12*(AnnualChurn*VLOOKUP(ATF24,ChurnSeasonTable,4,FALSE))*POWER(1-(AnnualChurn*VLOOKUP(ATF24,ChurnSeasonTable,4,FALSE)),0)</f>
        <v/>
      </c>
      <c r="AUA24" s="12">
        <f>AUA23+ATU24-ATU12*(AnnualChurn*VLOOKUP(ATF24,ChurnSeasonTable,4,FALSE))*POWER(1-(AnnualChurn*VLOOKUP(ATF24,ChurnSeasonTable,4,FALSE)),0)</f>
        <v/>
      </c>
      <c r="AUB24" s="12">
        <f>AUB23+ATV24-ATV12*(AnnualChurn*VLOOKUP(ATF24,ChurnSeasonTable,4,FALSE))*POWER(1-(AnnualChurn*VLOOKUP(ATF24,ChurnSeasonTable,4,FALSE)),0)</f>
        <v/>
      </c>
      <c r="AUC24" s="12">
        <f>ATW24+ATX24+ATY24+ATZ24+AUA24+AUB24</f>
        <v/>
      </c>
      <c r="AUD24" s="9">
        <f>ATW24*BlendedPriceEssMonthly*ATI24+ATX24*BlendedPricePremMonthly*ATI24+ATY24*BlendedPriceEliteMonthly*ATI24+ATZ24*BlendedPriceEssAnnual*ATI24/12+AUA24*BlendedPricePremAnnual*ATI24/12+AUB24*BlendedPriceEliteAnnual*ATI24/12</f>
        <v/>
      </c>
      <c r="AUE24" s="9">
        <f>AUD24*12</f>
        <v/>
      </c>
      <c r="AUF24" s="12">
        <f>ATW24*BlendedPriceEssMonthly*ATI24+ATX24*BlendedPricePremMonthly*ATI24+ATY24*BlendedPriceEliteMonthly*ATI24</f>
        <v/>
      </c>
      <c r="AUG24" s="12">
        <f>ATT24*BlendedPriceEssAnnual*ATI24+ATU24*BlendedPricePremAnnual*ATI24+ATV24*BlendedPriceEliteAnnual*ATI24</f>
        <v/>
      </c>
      <c r="AUH24" s="12">
        <f>ATT12*POWER(1-(AnnualChurn*VLOOKUP(ATF24,ChurnSeasonTable,4,FALSE)),1)*BlendedPriceEssAnnual*ATI24+ATU12*POWER(1-(AnnualChurn*VLOOKUP(ATF24,ChurnSeasonTable,4,FALSE)),1)*BlendedPricePremAnnual*ATI24+ATV12*POWER(1-(AnnualChurn*VLOOKUP(ATF24,ChurnSeasonTable,4,FALSE)),1)*BlendedPriceEliteAnnual*ATI24</f>
        <v/>
      </c>
      <c r="AUI24" s="9">
        <f>AUF24+AUG24+AUH24</f>
        <v/>
      </c>
      <c r="AUJ24" s="12">
        <f>SUM(AUI13:AUI24)</f>
        <v/>
      </c>
      <c r="AUK24" s="12">
        <f>OR(AUK23,IF(VATAgentMode,SUM($AUI13:$AUI24)-SUM($AUP13:$AUP24)&gt;=VATThreshold,SUM($AUI13:$AUI24)&gt;=VATThreshold))</f>
        <v/>
      </c>
      <c r="AUL24" s="9">
        <f>IF(AUK24,IF(VATAgentMode,AUI24-((AUI24-AUP24)-(AUI24-AUP24)/(1+VATRate)),AUI24/(1+VATRate)),AUI24)</f>
        <v/>
      </c>
      <c r="AUM24" s="12">
        <f>AUI24-AUL24</f>
        <v/>
      </c>
      <c r="AUN24" s="12">
        <f>IF(AUK24=0,0,IF(ATF24=1,SUMPRODUCT(--(($ATG$5:$ATG24=$ATG24-1)*($ATF$5:$ATF24&gt;=10)*($ATF$5:$ATF24&lt;=12)),$AUM$5:$AUM24),IF(ATF24=4,SUMPRODUCT(--(($ATG$5:$ATG24=$ATG24)*($ATF$5:$ATF24&gt;=1)*($ATF$5:$ATF24&lt;=3)),$AUM$5:$AUM24),IF(ATF24=7,SUMPRODUCT(--(($ATG$5:$ATG24=$ATG24)*($ATF$5:$ATF24&gt;=4)*($ATF$5:$ATF24&lt;=6)),$AUM$5:$AUM24),IF(ATF24=10,SUMPRODUCT(--(($ATG$5:$ATG24=$ATG24)*($ATF$5:$ATF24&gt;=7)*($ATF$5:$ATF24&lt;=9)),$AUM$5:$AUM24),0)))))</f>
        <v/>
      </c>
      <c r="AUO24" s="12">
        <f>AUO23+AUM24-AUN24</f>
        <v/>
      </c>
      <c r="AUP24" s="12">
        <f>IF(ProviderDelay&gt;=1,ATW23*BlendedProvPayEss+ATX23*BlendedProvPayPrem+ATY23*BlendedProvPayElite+ATZ23*BlendedProvPayEss+AUA23*BlendedProvPayPrem+AUB23*BlendedProvPayElite,ATW24*BlendedProvPayEss+ATX24*BlendedProvPayPrem+ATY24*BlendedProvPayElite+ATZ24*BlendedProvPayEss+AUA24*BlendedProvPayPrem+AUB24*BlendedProvPayElite)</f>
        <v/>
      </c>
      <c r="AUQ24" s="12">
        <f>AUI24*PaymentFee</f>
        <v/>
      </c>
      <c r="AUR24" s="12">
        <f>AUC24*OpsAI</f>
        <v/>
      </c>
      <c r="AUS24" s="12">
        <f>MonthlyFixed</f>
        <v/>
      </c>
      <c r="AUT24" s="12">
        <f>ATM24*ReferralReward</f>
        <v/>
      </c>
      <c r="AUU24" s="12">
        <f>ATK24</f>
        <v/>
      </c>
      <c r="AUV24" s="9">
        <f>AUL24-AUP24-AUQ24-AUR24-AUS24-AUT24-AUU24</f>
        <v/>
      </c>
      <c r="AUW24" s="9">
        <f>AUW23+AUI24-(AUP24+AUQ24+AUR24+AUS24+AUT24+AUU24+AUN24)</f>
        <v/>
      </c>
      <c r="AUX24" s="12">
        <f>IF(AUC24&gt;0,AUD24/AUC24,0)</f>
        <v/>
      </c>
      <c r="AUY24" s="11">
        <f>IF(AUC23&gt;0,MAX(0,(AUC23+ATN24-AUC24)/AUC23),0)</f>
        <v/>
      </c>
      <c r="AVA24" s="12" t="n">
        <v>20</v>
      </c>
      <c r="AVB24" s="12">
        <f>MOD(AVA24-1+LaunchMonth-1,12)+1</f>
        <v/>
      </c>
      <c r="AVC24" s="12">
        <f>INT((AVA24-1+LaunchMonth-1)/12)+1</f>
        <v/>
      </c>
      <c r="AVD24" s="12">
        <f>VLOOKUP(AVB24,WinterPivotSeasonTable,5,FALSE)</f>
        <v/>
      </c>
      <c r="AVE24" s="12">
        <f>(1+InflationRate)^INT((AVA24-1)/12)</f>
        <v/>
      </c>
      <c r="AVF24" s="11">
        <f>MonthlyChurn*VLOOKUP(AVB24,WinterPivotChurnTable,6,FALSE)</f>
        <v/>
      </c>
      <c r="AVG24" s="12">
        <f>MIN(MAX(MktMin19plus,AWE23*MktPct19plus),MAX(0,AWS23-CashBuffer))</f>
        <v/>
      </c>
      <c r="AVH24" s="12">
        <f>IF(AVG24&gt;0,MAX(1,ROUND(AVG24/CAC*AVD24,0)),0)</f>
        <v/>
      </c>
      <c r="AVI24" s="12">
        <f>IF(AVH24&gt;0,ROUND(AVH24*ReferralMix/(1-ReferralMix),0),0)</f>
        <v/>
      </c>
      <c r="AVJ24" s="12">
        <f>AVH24+AVI24</f>
        <v/>
      </c>
      <c r="AVK24" s="12">
        <f>ROUND(AVJ24*(1-AnnualMix),0)</f>
        <v/>
      </c>
      <c r="AVL24" s="12">
        <f>AVJ24-AVK24</f>
        <v/>
      </c>
      <c r="AVM24" s="12">
        <f>ROUND(AVK24*'Sens - Winter Pivot'!$B$6,0)</f>
        <v/>
      </c>
      <c r="AVN24" s="12">
        <f>ROUND(AVK24*PremiumMix,0)</f>
        <v/>
      </c>
      <c r="AVO24" s="12">
        <f>AVK24-AVM24-AVN24</f>
        <v/>
      </c>
      <c r="AVP24" s="12">
        <f>ROUND(AVL24*'Sens - Winter Pivot'!$B$6,0)</f>
        <v/>
      </c>
      <c r="AVQ24" s="12">
        <f>ROUND(AVL24*PremiumMix,0)</f>
        <v/>
      </c>
      <c r="AVR24" s="12">
        <f>AVL24-AVP24-AVQ24</f>
        <v/>
      </c>
      <c r="AVS24" s="12">
        <f>AVM24+AVM23+AVM22+MAX(0,AVS23-AVM23-AVM22)*(1-AVF24)</f>
        <v/>
      </c>
      <c r="AVT24" s="12">
        <f>AVN24+AVN23+AVN22+MAX(0,AVT23-AVN23-AVN22)*(1-AVF24)</f>
        <v/>
      </c>
      <c r="AVU24" s="12">
        <f>AVO24+AVO23+AVO22+MAX(0,AVU23-AVO23-AVO22)*(1-AVF24)</f>
        <v/>
      </c>
      <c r="AVV24" s="12">
        <f>AVV23+AVP24-AVP12*(AnnualChurn*VLOOKUP(AVB24,ChurnSeasonTable,4,FALSE))*POWER(1-(AnnualChurn*VLOOKUP(AVB24,ChurnSeasonTable,4,FALSE)),0)</f>
        <v/>
      </c>
      <c r="AVW24" s="12">
        <f>AVW23+AVQ24-AVQ12*(AnnualChurn*VLOOKUP(AVB24,ChurnSeasonTable,4,FALSE))*POWER(1-(AnnualChurn*VLOOKUP(AVB24,ChurnSeasonTable,4,FALSE)),0)</f>
        <v/>
      </c>
      <c r="AVX24" s="12">
        <f>AVX23+AVR24-AVR12*(AnnualChurn*VLOOKUP(AVB24,ChurnSeasonTable,4,FALSE))*POWER(1-(AnnualChurn*VLOOKUP(AVB24,ChurnSeasonTable,4,FALSE)),0)</f>
        <v/>
      </c>
      <c r="AVY24" s="12">
        <f>AVS24+AVT24+AVU24+AVV24+AVW24+AVX24</f>
        <v/>
      </c>
      <c r="AVZ24" s="9">
        <f>AVS24*BlendedPriceEssMonthly*AVE24+AVT24*(BlendedPricePremMonthly+'Sens - Winter Pivot'!$B$7)*AVE24+AVU24*BlendedPriceEliteMonthly*AVE24+AVV24*BlendedPriceEssAnnual*AVE24/12+AVW24*(BlendedPricePremAnnual+'Sens - Winter Pivot'!$B$7*12)*AVE24/12+AVX24*BlendedPriceEliteAnnual*AVE24/12</f>
        <v/>
      </c>
      <c r="AWA24" s="9">
        <f>AVZ24*12</f>
        <v/>
      </c>
      <c r="AWB24" s="12">
        <f>AVS24*BlendedPriceEssMonthly*AVE24+AVT24*(BlendedPricePremMonthly+'Sens - Winter Pivot'!$B$7)*AVE24+AVU24*BlendedPriceEliteMonthly*AVE24</f>
        <v/>
      </c>
      <c r="AWC24" s="12">
        <f>AVP24*BlendedPriceEssAnnual*AVE24+AVQ24*(BlendedPricePremAnnual+'Sens - Winter Pivot'!$B$7*12)*AVE24+AVR24*BlendedPriceEliteAnnual*AVE24</f>
        <v/>
      </c>
      <c r="AWD24" s="12">
        <f>AVP12*POWER(1-(AnnualChurn*VLOOKUP(AVB24,ChurnSeasonTable,4,FALSE)),1)*BlendedPriceEssAnnual*AVE24+AVQ12*POWER(1-(AnnualChurn*VLOOKUP(AVB24,ChurnSeasonTable,4,FALSE)),1)*BlendedPricePremAnnual*AVE24+AVR12*POWER(1-(AnnualChurn*VLOOKUP(AVB24,ChurnSeasonTable,4,FALSE)),1)*BlendedPriceEliteAnnual*AVE24</f>
        <v/>
      </c>
      <c r="AWE24" s="9">
        <f>AWB24+AWC24+AWD24</f>
        <v/>
      </c>
      <c r="AWF24" s="12">
        <f>SUM(AWE13:AWE24)</f>
        <v/>
      </c>
      <c r="AWG24" s="12">
        <f>OR(AWG23,IF(VATAgentMode,SUM($AWE13:$AWE24)-SUM($AWL13:$AWL24)&gt;=VATThreshold,SUM($AWE13:$AWE24)&gt;=VATThreshold))</f>
        <v/>
      </c>
      <c r="AWH24" s="9">
        <f>IF(AWG24,IF(VATAgentMode,AWE24-((AWE24-AWL24)-(AWE24-AWL24)/(1+VATRate)),AWE24/(1+VATRate)),AWE24)</f>
        <v/>
      </c>
      <c r="AWI24" s="12">
        <f>AWE24-AWH24</f>
        <v/>
      </c>
      <c r="AWJ24" s="12">
        <f>IF(AWG24=0,0,IF(AVB24=1,SUMPRODUCT(--(($AVC$5:$AVC24=$AVC24-1)*($AVB$5:$AVB24&gt;=10)*($AVB$5:$AVB24&lt;=12)),$AWI$5:$AWI24),IF(AVB24=4,SUMPRODUCT(--(($AVC$5:$AVC24=$AVC24)*($AVB$5:$AVB24&gt;=1)*($AVB$5:$AVB24&lt;=3)),$AWI$5:$AWI24),IF(AVB24=7,SUMPRODUCT(--(($AVC$5:$AVC24=$AVC24)*($AVB$5:$AVB24&gt;=4)*($AVB$5:$AVB24&lt;=6)),$AWI$5:$AWI24),IF(AVB24=10,SUMPRODUCT(--(($AVC$5:$AVC24=$AVC24)*($AVB$5:$AVB24&gt;=7)*($AVB$5:$AVB24&lt;=9)),$AWI$5:$AWI24),0)))))</f>
        <v/>
      </c>
      <c r="AWK24" s="12">
        <f>AWK23+AWI24-AWJ24</f>
        <v/>
      </c>
      <c r="AWL24" s="12">
        <f>IF(ProviderDelay&gt;=1,AVS23*BlendedProvPayEss+AVT23*BlendedProvPayPrem+AVU23*BlendedProvPayElite+AVV23*BlendedProvPayEss+AVW23*BlendedProvPayPrem+AVX23*BlendedProvPayElite,AVS24*BlendedProvPayEss+AVT24*BlendedProvPayPrem+AVU24*BlendedProvPayElite+AVV24*BlendedProvPayEss+AVW24*BlendedProvPayPrem+AVX24*BlendedProvPayElite)</f>
        <v/>
      </c>
      <c r="AWM24" s="12">
        <f>AWE24*PaymentFee</f>
        <v/>
      </c>
      <c r="AWN24" s="12">
        <f>AVY24*OpsAI</f>
        <v/>
      </c>
      <c r="AWO24" s="12">
        <f>MonthlyFixed</f>
        <v/>
      </c>
      <c r="AWP24" s="12">
        <f>AVI24*ReferralReward</f>
        <v/>
      </c>
      <c r="AWQ24" s="12">
        <f>AVG24</f>
        <v/>
      </c>
      <c r="AWR24" s="9">
        <f>AWH24-AWL24-AWM24-AWN24-AWO24-AWP24-AWQ24</f>
        <v/>
      </c>
      <c r="AWS24" s="9">
        <f>AWS23+AWE24-(AWL24+AWM24+AWN24+AWO24+AWP24+AWQ24+AWJ24)</f>
        <v/>
      </c>
      <c r="AWT24" s="12">
        <f>IF(AVY24&gt;0,AVZ24/AVY24,0)</f>
        <v/>
      </c>
      <c r="AWU24" s="11">
        <f>IF(AVY23&gt;0,MAX(0,(AVY23+AVJ24-AVY24)/AVY23),0)</f>
        <v/>
      </c>
    </row>
    <row r="25">
      <c r="A25" s="12" t="n">
        <v>21</v>
      </c>
      <c r="B25" s="12">
        <f>MOD(A25-1+LaunchMonth-1,12)+1</f>
        <v/>
      </c>
      <c r="C25" s="12">
        <f>INT((A25-1+LaunchMonth-1)/12)+1</f>
        <v/>
      </c>
      <c r="D25" s="12">
        <f>VLOOKUP(B25,SeasonTable,2,FALSE)</f>
        <v/>
      </c>
      <c r="E25" s="12">
        <f>(1+InflationRate)^INT((A25-1)/12)</f>
        <v/>
      </c>
      <c r="F25" s="11">
        <f>'Sens - Scenarios'!$B$5*VLOOKUP(B25,ChurnSeasonTable,4,FALSE)</f>
        <v/>
      </c>
      <c r="G25" s="12">
        <f>MIN(MAX(MktMin19plus,AE24*MktPct19plus),MAX(0,AS24-CashBuffer))</f>
        <v/>
      </c>
      <c r="H25" s="12">
        <f>IF(G25&gt;0,MAX(1,ROUND(G25/'Sens - Scenarios'!$B$8*D25,0)),0)</f>
        <v/>
      </c>
      <c r="I25" s="12">
        <f>IF(H25&gt;0,ROUND(H25*ReferralMix/(1-ReferralMix),0),0)</f>
        <v/>
      </c>
      <c r="J25" s="12">
        <f>H25+I25</f>
        <v/>
      </c>
      <c r="K25" s="12">
        <f>ROUND(J25*(1-'Sens - Scenarios'!$B$7),0)</f>
        <v/>
      </c>
      <c r="L25" s="12">
        <f>J25-K25</f>
        <v/>
      </c>
      <c r="M25" s="12">
        <f>ROUND(K25*EssentialMix,0)</f>
        <v/>
      </c>
      <c r="N25" s="12">
        <f>ROUND(K25*PremiumMix,0)</f>
        <v/>
      </c>
      <c r="O25" s="12">
        <f>K25-M25-N25</f>
        <v/>
      </c>
      <c r="P25" s="12">
        <f>ROUND(L25*EssentialMix,0)</f>
        <v/>
      </c>
      <c r="Q25" s="12">
        <f>ROUND(L25*PremiumMix,0)</f>
        <v/>
      </c>
      <c r="R25" s="12">
        <f>L25-P25-Q25</f>
        <v/>
      </c>
      <c r="S25" s="12">
        <f>M25+M24+M23+MAX(0,S24-M24-M23)*(1-F25)</f>
        <v/>
      </c>
      <c r="T25" s="12">
        <f>N25+N24+N23+MAX(0,T24-N24-N23)*(1-F25)</f>
        <v/>
      </c>
      <c r="U25" s="12">
        <f>O25+O24+O23+MAX(0,U24-O24-O23)*(1-F25)</f>
        <v/>
      </c>
      <c r="V25" s="12">
        <f>V24+P25-P13*('Sens - Scenarios'!$B$6*VLOOKUP(B25,ChurnSeasonTable,4,FALSE))*POWER(1-('Sens - Scenarios'!$B$6*VLOOKUP(B25,ChurnSeasonTable,4,FALSE)),0)</f>
        <v/>
      </c>
      <c r="W25" s="12">
        <f>W24+Q25-Q13*('Sens - Scenarios'!$B$6*VLOOKUP(B25,ChurnSeasonTable,4,FALSE))*POWER(1-('Sens - Scenarios'!$B$6*VLOOKUP(B25,ChurnSeasonTable,4,FALSE)),0)</f>
        <v/>
      </c>
      <c r="X25" s="12">
        <f>X24+R25-R13*('Sens - Scenarios'!$B$6*VLOOKUP(B25,ChurnSeasonTable,4,FALSE))*POWER(1-('Sens - Scenarios'!$B$6*VLOOKUP(B25,ChurnSeasonTable,4,FALSE)),0)</f>
        <v/>
      </c>
      <c r="Y25" s="12">
        <f>S25+T25+U25+V25+W25+X25</f>
        <v/>
      </c>
      <c r="Z25" s="9">
        <f>S25*BlendedPriceEssMonthly*E25+T25*BlendedPricePremMonthly*E25+U25*BlendedPriceEliteMonthly*E25+V25*BlendedPriceEssAnnual*E25/12+W25*BlendedPricePremAnnual*E25/12+X25*BlendedPriceEliteAnnual*E25/12</f>
        <v/>
      </c>
      <c r="AA25" s="9">
        <f>Z25*12</f>
        <v/>
      </c>
      <c r="AB25" s="12">
        <f>S25*BlendedPriceEssMonthly*E25+T25*BlendedPricePremMonthly*E25+U25*BlendedPriceEliteMonthly*E25</f>
        <v/>
      </c>
      <c r="AC25" s="12">
        <f>P25*BlendedPriceEssAnnual*E25+Q25*BlendedPricePremAnnual*E25+R25*BlendedPriceEliteAnnual*E25</f>
        <v/>
      </c>
      <c r="AD25" s="12">
        <f>P13*POWER(1-('Sens - Scenarios'!$B$6*VLOOKUP(B25,ChurnSeasonTable,4,FALSE)),1)*BlendedPriceEssAnnual*E25+Q13*POWER(1-('Sens - Scenarios'!$B$6*VLOOKUP(B25,ChurnSeasonTable,4,FALSE)),1)*BlendedPricePremAnnual*E25+R13*POWER(1-('Sens - Scenarios'!$B$6*VLOOKUP(B25,ChurnSeasonTable,4,FALSE)),1)*BlendedPriceEliteAnnual*E25</f>
        <v/>
      </c>
      <c r="AE25" s="9">
        <f>AB25+AC25+AD25</f>
        <v/>
      </c>
      <c r="AF25" s="12">
        <f>SUM(AE14:AE25)</f>
        <v/>
      </c>
      <c r="AG25" s="12">
        <f>OR(AG24,IF(VATAgentMode,SUM($AE14:$AE25)-SUM($AL14:$AL25)&gt;=VATThreshold,SUM($AE14:$AE25)&gt;=VATThreshold))</f>
        <v/>
      </c>
      <c r="AH25" s="9">
        <f>IF(AG25,IF(VATAgentMode,AE25-((AE25-AL25)-(AE25-AL25)/(1+VATRate)),AE25/(1+VATRate)),AE25)</f>
        <v/>
      </c>
      <c r="AI25" s="12">
        <f>AE25-AH25</f>
        <v/>
      </c>
      <c r="AJ25" s="12">
        <f>IF(AG25=0,0,IF(B25=1,SUMPRODUCT(--(($C$5:$C25=$C25-1)*($B$5:$B25&gt;=10)*($B$5:$B25&lt;=12)),$AI$5:$AI25),IF(B25=4,SUMPRODUCT(--(($C$5:$C25=$C25)*($B$5:$B25&gt;=1)*($B$5:$B25&lt;=3)),$AI$5:$AI25),IF(B25=7,SUMPRODUCT(--(($C$5:$C25=$C25)*($B$5:$B25&gt;=4)*($B$5:$B25&lt;=6)),$AI$5:$AI25),IF(B25=10,SUMPRODUCT(--(($C$5:$C25=$C25)*($B$5:$B25&gt;=7)*($B$5:$B25&lt;=9)),$AI$5:$AI25),0)))))</f>
        <v/>
      </c>
      <c r="AK25" s="12">
        <f>AK24+AI25-AJ25</f>
        <v/>
      </c>
      <c r="AL25" s="12">
        <f>IF(ProviderDelay&gt;=1,S24*BlendedProvPayEss+T24*BlendedProvPayPrem+U24*BlendedProvPayElite+V24*BlendedProvPayEss+W24*BlendedProvPayPrem+X24*BlendedProvPayElite,S25*BlendedProvPayEss+T25*BlendedProvPayPrem+U25*BlendedProvPayElite+V25*BlendedProvPayEss+W25*BlendedProvPayPrem+X25*BlendedProvPayElite)</f>
        <v/>
      </c>
      <c r="AM25" s="12">
        <f>AE25*PaymentFee</f>
        <v/>
      </c>
      <c r="AN25" s="12">
        <f>Y25*OpsAI</f>
        <v/>
      </c>
      <c r="AO25" s="12">
        <f>MonthlyFixed</f>
        <v/>
      </c>
      <c r="AP25" s="12">
        <f>I25*ReferralReward</f>
        <v/>
      </c>
      <c r="AQ25" s="12">
        <f>G25</f>
        <v/>
      </c>
      <c r="AR25" s="9">
        <f>AH25-AL25-AM25-AN25-AO25-AP25-AQ25</f>
        <v/>
      </c>
      <c r="AS25" s="9">
        <f>AS24+AE25-(AL25+AM25+AN25+AO25+AP25+AQ25+AJ25)</f>
        <v/>
      </c>
      <c r="AT25" s="12">
        <f>IF(Y25&gt;0,Z25/Y25,0)</f>
        <v/>
      </c>
      <c r="AU25" s="11">
        <f>IF(Y24&gt;0,MAX(0,(Y24+J25-Y25)/Y24),0)</f>
        <v/>
      </c>
      <c r="AW25" s="12" t="n">
        <v>21</v>
      </c>
      <c r="AX25" s="12">
        <f>MOD(AW25-1+LaunchMonth-1,12)+1</f>
        <v/>
      </c>
      <c r="AY25" s="12">
        <f>INT((AW25-1+LaunchMonth-1)/12)+1</f>
        <v/>
      </c>
      <c r="AZ25" s="12">
        <f>VLOOKUP(AX25,SeasonTable,2,FALSE)</f>
        <v/>
      </c>
      <c r="BA25" s="12">
        <f>(1+InflationRate)^INT((AW25-1)/12)</f>
        <v/>
      </c>
      <c r="BB25" s="11">
        <f>MonthlyChurn*VLOOKUP(AX25,ChurnSeasonTable,4,FALSE)</f>
        <v/>
      </c>
      <c r="BC25" s="12">
        <f>MIN(MAX(MktMin19plus,CA24*MktPct19plus),MAX(0,CO24-CashBuffer))</f>
        <v/>
      </c>
      <c r="BD25" s="12">
        <f>IF(BC25&gt;0,MAX(1,ROUND(BC25/CAC*AZ25,0)),0)</f>
        <v/>
      </c>
      <c r="BE25" s="12">
        <f>IF(BD25&gt;0,ROUND(BD25*ReferralMix/(1-ReferralMix),0),0)</f>
        <v/>
      </c>
      <c r="BF25" s="12">
        <f>BD25+BE25</f>
        <v/>
      </c>
      <c r="BG25" s="12">
        <f>ROUND(BF25*(1-AnnualMix),0)</f>
        <v/>
      </c>
      <c r="BH25" s="12">
        <f>BF25-BG25</f>
        <v/>
      </c>
      <c r="BI25" s="12">
        <f>ROUND(BG25*EssentialMix,0)</f>
        <v/>
      </c>
      <c r="BJ25" s="12">
        <f>ROUND(BG25*PremiumMix,0)</f>
        <v/>
      </c>
      <c r="BK25" s="12">
        <f>BG25-BI25-BJ25</f>
        <v/>
      </c>
      <c r="BL25" s="12">
        <f>ROUND(BH25*EssentialMix,0)</f>
        <v/>
      </c>
      <c r="BM25" s="12">
        <f>ROUND(BH25*PremiumMix,0)</f>
        <v/>
      </c>
      <c r="BN25" s="12">
        <f>BH25-BL25-BM25</f>
        <v/>
      </c>
      <c r="BO25" s="12">
        <f>BI25+BI24+BI23+MAX(0,BO24-BI24-BI23)*(1-BB25)</f>
        <v/>
      </c>
      <c r="BP25" s="12">
        <f>BJ25+BJ24+BJ23+MAX(0,BP24-BJ24-BJ23)*(1-BB25)</f>
        <v/>
      </c>
      <c r="BQ25" s="12">
        <f>BK25+BK24+BK23+MAX(0,BQ24-BK24-BK23)*(1-BB25)</f>
        <v/>
      </c>
      <c r="BR25" s="12">
        <f>BR24+BL25-BL13*(AnnualChurn*VLOOKUP(AX25,ChurnSeasonTable,4,FALSE))*POWER(1-(AnnualChurn*VLOOKUP(AX25,ChurnSeasonTable,4,FALSE)),0)</f>
        <v/>
      </c>
      <c r="BS25" s="12">
        <f>BS24+BM25-BM13*(AnnualChurn*VLOOKUP(AX25,ChurnSeasonTable,4,FALSE))*POWER(1-(AnnualChurn*VLOOKUP(AX25,ChurnSeasonTable,4,FALSE)),0)</f>
        <v/>
      </c>
      <c r="BT25" s="12">
        <f>BT24+BN25-BN13*(AnnualChurn*VLOOKUP(AX25,ChurnSeasonTable,4,FALSE))*POWER(1-(AnnualChurn*VLOOKUP(AX25,ChurnSeasonTable,4,FALSE)),0)</f>
        <v/>
      </c>
      <c r="BU25" s="12">
        <f>BO25+BP25+BQ25+BR25+BS25+BT25</f>
        <v/>
      </c>
      <c r="BV25" s="9">
        <f>BO25*BlendedPriceEssMonthly*BA25+BP25*BlendedPricePremMonthly*BA25+BQ25*BlendedPriceEliteMonthly*BA25+BR25*BlendedPriceEssAnnual*BA25/12+BS25*BlendedPricePremAnnual*BA25/12+BT25*BlendedPriceEliteAnnual*BA25/12</f>
        <v/>
      </c>
      <c r="BW25" s="9">
        <f>BV25*12</f>
        <v/>
      </c>
      <c r="BX25" s="12">
        <f>BO25*BlendedPriceEssMonthly*BA25+BP25*BlendedPricePremMonthly*BA25+BQ25*BlendedPriceEliteMonthly*BA25</f>
        <v/>
      </c>
      <c r="BY25" s="12">
        <f>BL25*BlendedPriceEssAnnual*BA25+BM25*BlendedPricePremAnnual*BA25+BN25*BlendedPriceEliteAnnual*BA25</f>
        <v/>
      </c>
      <c r="BZ25" s="12">
        <f>BL13*POWER(1-(AnnualChurn*VLOOKUP(AX25,ChurnSeasonTable,4,FALSE)),1)*BlendedPriceEssAnnual*BA25+BM13*POWER(1-(AnnualChurn*VLOOKUP(AX25,ChurnSeasonTable,4,FALSE)),1)*BlendedPricePremAnnual*BA25+BN13*POWER(1-(AnnualChurn*VLOOKUP(AX25,ChurnSeasonTable,4,FALSE)),1)*BlendedPriceEliteAnnual*BA25</f>
        <v/>
      </c>
      <c r="CA25" s="9">
        <f>BX25+BY25+BZ25</f>
        <v/>
      </c>
      <c r="CB25" s="12">
        <f>SUM(CA14:CA25)</f>
        <v/>
      </c>
      <c r="CC25" s="12">
        <f>OR(CC24,IF(VATAgentMode,SUM($CA14:$CA25)-SUM($CH14:$CH25)&gt;=VATThreshold,SUM($CA14:$CA25)&gt;=VATThreshold))</f>
        <v/>
      </c>
      <c r="CD25" s="9">
        <f>IF(CC25,IF(VATAgentMode,CA25-((CA25-CH25)-(CA25-CH25)/(1+VATRate)),CA25/(1+VATRate)),CA25)</f>
        <v/>
      </c>
      <c r="CE25" s="12">
        <f>CA25-CD25</f>
        <v/>
      </c>
      <c r="CF25" s="12">
        <f>IF(CC25=0,0,IF(AX25=1,SUMPRODUCT(--(($AY$5:$AY25=$AY25-1)*($AX$5:$AX25&gt;=10)*($AX$5:$AX25&lt;=12)),$CE$5:$CE25),IF(AX25=4,SUMPRODUCT(--(($AY$5:$AY25=$AY25)*($AX$5:$AX25&gt;=1)*($AX$5:$AX25&lt;=3)),$CE$5:$CE25),IF(AX25=7,SUMPRODUCT(--(($AY$5:$AY25=$AY25)*($AX$5:$AX25&gt;=4)*($AX$5:$AX25&lt;=6)),$CE$5:$CE25),IF(AX25=10,SUMPRODUCT(--(($AY$5:$AY25=$AY25)*($AX$5:$AX25&gt;=7)*($AX$5:$AX25&lt;=9)),$CE$5:$CE25),0)))))</f>
        <v/>
      </c>
      <c r="CG25" s="12">
        <f>CG24+CE25-CF25</f>
        <v/>
      </c>
      <c r="CH25" s="12">
        <f>IF(ProviderDelay&gt;=1,BO24*BlendedProvPayEss+BP24*BlendedProvPayPrem+BQ24*BlendedProvPayElite+BR24*BlendedProvPayEss+BS24*BlendedProvPayPrem+BT24*BlendedProvPayElite,BO25*BlendedProvPayEss+BP25*BlendedProvPayPrem+BQ25*BlendedProvPayElite+BR25*BlendedProvPayEss+BS25*BlendedProvPayPrem+BT25*BlendedProvPayElite)</f>
        <v/>
      </c>
      <c r="CI25" s="12">
        <f>CA25*PaymentFee</f>
        <v/>
      </c>
      <c r="CJ25" s="12">
        <f>BU25*OpsAI</f>
        <v/>
      </c>
      <c r="CK25" s="12">
        <f>MonthlyFixed</f>
        <v/>
      </c>
      <c r="CL25" s="12">
        <f>BE25*ReferralReward</f>
        <v/>
      </c>
      <c r="CM25" s="12">
        <f>BC25</f>
        <v/>
      </c>
      <c r="CN25" s="9">
        <f>CD25-CH25-CI25-CJ25-CK25-CL25-CM25</f>
        <v/>
      </c>
      <c r="CO25" s="9">
        <f>CO24+CA25-(CH25+CI25+CJ25+CK25+CL25+CM25+CF25)</f>
        <v/>
      </c>
      <c r="CP25" s="12">
        <f>IF(BU25&gt;0,BV25/BU25,0)</f>
        <v/>
      </c>
      <c r="CQ25" s="11">
        <f>IF(BU24&gt;0,MAX(0,(BU24+BF25-BU25)/BU24),0)</f>
        <v/>
      </c>
      <c r="CS25" s="12" t="n">
        <v>21</v>
      </c>
      <c r="CT25" s="12">
        <f>MOD(CS25-1+LaunchMonth-1,12)+1</f>
        <v/>
      </c>
      <c r="CU25" s="12">
        <f>INT((CS25-1+LaunchMonth-1)/12)+1</f>
        <v/>
      </c>
      <c r="CV25" s="12">
        <f>VLOOKUP(CT25,SeasonTable,2,FALSE)</f>
        <v/>
      </c>
      <c r="CW25" s="12">
        <f>(1+InflationRate)^INT((CS25-1)/12)</f>
        <v/>
      </c>
      <c r="CX25" s="11">
        <f>'Sens - Scenarios'!$D$5*VLOOKUP(CT25,ChurnSeasonTable,4,FALSE)</f>
        <v/>
      </c>
      <c r="CY25" s="12">
        <f>MIN(MAX(MktMin19plus,DW24*MktPct19plus),MAX(0,EK24-CashBuffer))</f>
        <v/>
      </c>
      <c r="CZ25" s="12">
        <f>IF(CY25&gt;0,MAX(1,ROUND(CY25/'Sens - Scenarios'!$D$8*CV25,0)),0)</f>
        <v/>
      </c>
      <c r="DA25" s="12">
        <f>IF(CZ25&gt;0,ROUND(CZ25*ReferralMix/(1-ReferralMix),0),0)</f>
        <v/>
      </c>
      <c r="DB25" s="12">
        <f>CZ25+DA25</f>
        <v/>
      </c>
      <c r="DC25" s="12">
        <f>ROUND(DB25*(1-'Sens - Scenarios'!$D$7),0)</f>
        <v/>
      </c>
      <c r="DD25" s="12">
        <f>DB25-DC25</f>
        <v/>
      </c>
      <c r="DE25" s="12">
        <f>ROUND(DC25*EssentialMix,0)</f>
        <v/>
      </c>
      <c r="DF25" s="12">
        <f>ROUND(DC25*PremiumMix,0)</f>
        <v/>
      </c>
      <c r="DG25" s="12">
        <f>DC25-DE25-DF25</f>
        <v/>
      </c>
      <c r="DH25" s="12">
        <f>ROUND(DD25*EssentialMix,0)</f>
        <v/>
      </c>
      <c r="DI25" s="12">
        <f>ROUND(DD25*PremiumMix,0)</f>
        <v/>
      </c>
      <c r="DJ25" s="12">
        <f>DD25-DH25-DI25</f>
        <v/>
      </c>
      <c r="DK25" s="12">
        <f>DE25+DE24+DE23+MAX(0,DK24-DE24-DE23)*(1-CX25)</f>
        <v/>
      </c>
      <c r="DL25" s="12">
        <f>DF25+DF24+DF23+MAX(0,DL24-DF24-DF23)*(1-CX25)</f>
        <v/>
      </c>
      <c r="DM25" s="12">
        <f>DG25+DG24+DG23+MAX(0,DM24-DG24-DG23)*(1-CX25)</f>
        <v/>
      </c>
      <c r="DN25" s="12">
        <f>DN24+DH25-DH13*('Sens - Scenarios'!$D$6*VLOOKUP(CT25,ChurnSeasonTable,4,FALSE))*POWER(1-('Sens - Scenarios'!$D$6*VLOOKUP(CT25,ChurnSeasonTable,4,FALSE)),0)</f>
        <v/>
      </c>
      <c r="DO25" s="12">
        <f>DO24+DI25-DI13*('Sens - Scenarios'!$D$6*VLOOKUP(CT25,ChurnSeasonTable,4,FALSE))*POWER(1-('Sens - Scenarios'!$D$6*VLOOKUP(CT25,ChurnSeasonTable,4,FALSE)),0)</f>
        <v/>
      </c>
      <c r="DP25" s="12">
        <f>DP24+DJ25-DJ13*('Sens - Scenarios'!$D$6*VLOOKUP(CT25,ChurnSeasonTable,4,FALSE))*POWER(1-('Sens - Scenarios'!$D$6*VLOOKUP(CT25,ChurnSeasonTable,4,FALSE)),0)</f>
        <v/>
      </c>
      <c r="DQ25" s="12">
        <f>DK25+DL25+DM25+DN25+DO25+DP25</f>
        <v/>
      </c>
      <c r="DR25" s="9">
        <f>DK25*BlendedPriceEssMonthly*CW25+DL25*BlendedPricePremMonthly*CW25+DM25*BlendedPriceEliteMonthly*CW25+DN25*BlendedPriceEssAnnual*CW25/12+DO25*BlendedPricePremAnnual*CW25/12+DP25*BlendedPriceEliteAnnual*CW25/12</f>
        <v/>
      </c>
      <c r="DS25" s="9">
        <f>DR25*12</f>
        <v/>
      </c>
      <c r="DT25" s="12">
        <f>DK25*BlendedPriceEssMonthly*CW25+DL25*BlendedPricePremMonthly*CW25+DM25*BlendedPriceEliteMonthly*CW25</f>
        <v/>
      </c>
      <c r="DU25" s="12">
        <f>DH25*BlendedPriceEssAnnual*CW25+DI25*BlendedPricePremAnnual*CW25+DJ25*BlendedPriceEliteAnnual*CW25</f>
        <v/>
      </c>
      <c r="DV25" s="12">
        <f>DH13*POWER(1-('Sens - Scenarios'!$D$6*VLOOKUP(CT25,ChurnSeasonTable,4,FALSE)),1)*BlendedPriceEssAnnual*CW25+DI13*POWER(1-('Sens - Scenarios'!$D$6*VLOOKUP(CT25,ChurnSeasonTable,4,FALSE)),1)*BlendedPricePremAnnual*CW25+DJ13*POWER(1-('Sens - Scenarios'!$D$6*VLOOKUP(CT25,ChurnSeasonTable,4,FALSE)),1)*BlendedPriceEliteAnnual*CW25</f>
        <v/>
      </c>
      <c r="DW25" s="9">
        <f>DT25+DU25+DV25</f>
        <v/>
      </c>
      <c r="DX25" s="12">
        <f>SUM(DW14:DW25)</f>
        <v/>
      </c>
      <c r="DY25" s="12">
        <f>OR(DY24,IF(VATAgentMode,SUM($DW14:$DW25)-SUM($ED14:$ED25)&gt;=VATThreshold,SUM($DW14:$DW25)&gt;=VATThreshold))</f>
        <v/>
      </c>
      <c r="DZ25" s="9">
        <f>IF(DY25,IF(VATAgentMode,DW25-((DW25-ED25)-(DW25-ED25)/(1+VATRate)),DW25/(1+VATRate)),DW25)</f>
        <v/>
      </c>
      <c r="EA25" s="12">
        <f>DW25-DZ25</f>
        <v/>
      </c>
      <c r="EB25" s="12">
        <f>IF(DY25=0,0,IF(CT25=1,SUMPRODUCT(--(($CU$5:$CU25=$CU25-1)*($CT$5:$CT25&gt;=10)*($CT$5:$CT25&lt;=12)),$EA$5:$EA25),IF(CT25=4,SUMPRODUCT(--(($CU$5:$CU25=$CU25)*($CT$5:$CT25&gt;=1)*($CT$5:$CT25&lt;=3)),$EA$5:$EA25),IF(CT25=7,SUMPRODUCT(--(($CU$5:$CU25=$CU25)*($CT$5:$CT25&gt;=4)*($CT$5:$CT25&lt;=6)),$EA$5:$EA25),IF(CT25=10,SUMPRODUCT(--(($CU$5:$CU25=$CU25)*($CT$5:$CT25&gt;=7)*($CT$5:$CT25&lt;=9)),$EA$5:$EA25),0)))))</f>
        <v/>
      </c>
      <c r="EC25" s="12">
        <f>EC24+EA25-EB25</f>
        <v/>
      </c>
      <c r="ED25" s="12">
        <f>IF(ProviderDelay&gt;=1,DK24*BlendedProvPayEss+DL24*BlendedProvPayPrem+DM24*BlendedProvPayElite+DN24*BlendedProvPayEss+DO24*BlendedProvPayPrem+DP24*BlendedProvPayElite,DK25*BlendedProvPayEss+DL25*BlendedProvPayPrem+DM25*BlendedProvPayElite+DN25*BlendedProvPayEss+DO25*BlendedProvPayPrem+DP25*BlendedProvPayElite)</f>
        <v/>
      </c>
      <c r="EE25" s="12">
        <f>DW25*PaymentFee</f>
        <v/>
      </c>
      <c r="EF25" s="12">
        <f>DQ25*OpsAI</f>
        <v/>
      </c>
      <c r="EG25" s="12">
        <f>MonthlyFixed</f>
        <v/>
      </c>
      <c r="EH25" s="12">
        <f>DA25*ReferralReward</f>
        <v/>
      </c>
      <c r="EI25" s="12">
        <f>CY25</f>
        <v/>
      </c>
      <c r="EJ25" s="9">
        <f>DZ25-ED25-EE25-EF25-EG25-EH25-EI25</f>
        <v/>
      </c>
      <c r="EK25" s="9">
        <f>EK24+DW25-(ED25+EE25+EF25+EG25+EH25+EI25+EB25)</f>
        <v/>
      </c>
      <c r="EL25" s="12">
        <f>IF(DQ25&gt;0,DR25/DQ25,0)</f>
        <v/>
      </c>
      <c r="EM25" s="11">
        <f>IF(DQ24&gt;0,MAX(0,(DQ24+DB25-DQ25)/DQ24),0)</f>
        <v/>
      </c>
      <c r="EO25" s="12" t="n">
        <v>21</v>
      </c>
      <c r="EP25" s="12">
        <f>MOD(EO25-1+LaunchMonth-1,12)+1</f>
        <v/>
      </c>
      <c r="EQ25" s="12">
        <f>INT((EO25-1+LaunchMonth-1)/12)+1</f>
        <v/>
      </c>
      <c r="ER25" s="12">
        <f>VLOOKUP(EP25,SeasonTable,2,FALSE)</f>
        <v/>
      </c>
      <c r="ES25" s="12">
        <f>(1+InflationRate)^INT((EO25-1)/12)</f>
        <v/>
      </c>
      <c r="ET25" s="11">
        <f>'Sens - Churn'!$A$13*VLOOKUP(EP25,ChurnSeasonTable,4,FALSE)</f>
        <v/>
      </c>
      <c r="EU25" s="12">
        <f>MIN(MAX(MktMin19plus,FS24*MktPct19plus),MAX(0,GG24-CashBuffer))</f>
        <v/>
      </c>
      <c r="EV25" s="12">
        <f>IF(EU25&gt;0,MAX(1,ROUND(EU25/CAC*ER25,0)),0)</f>
        <v/>
      </c>
      <c r="EW25" s="12">
        <f>IF(EV25&gt;0,ROUND(EV25*ReferralMix/(1-ReferralMix),0),0)</f>
        <v/>
      </c>
      <c r="EX25" s="12">
        <f>EV25+EW25</f>
        <v/>
      </c>
      <c r="EY25" s="12">
        <f>ROUND(EX25*(1-AnnualMix),0)</f>
        <v/>
      </c>
      <c r="EZ25" s="12">
        <f>EX25-EY25</f>
        <v/>
      </c>
      <c r="FA25" s="12">
        <f>ROUND(EY25*EssentialMix,0)</f>
        <v/>
      </c>
      <c r="FB25" s="12">
        <f>ROUND(EY25*PremiumMix,0)</f>
        <v/>
      </c>
      <c r="FC25" s="12">
        <f>EY25-FA25-FB25</f>
        <v/>
      </c>
      <c r="FD25" s="12">
        <f>ROUND(EZ25*EssentialMix,0)</f>
        <v/>
      </c>
      <c r="FE25" s="12">
        <f>ROUND(EZ25*PremiumMix,0)</f>
        <v/>
      </c>
      <c r="FF25" s="12">
        <f>EZ25-FD25-FE25</f>
        <v/>
      </c>
      <c r="FG25" s="12">
        <f>FA25+FA24+FA23+MAX(0,FG24-FA24-FA23)*(1-ET25)</f>
        <v/>
      </c>
      <c r="FH25" s="12">
        <f>FB25+FB24+FB23+MAX(0,FH24-FB24-FB23)*(1-ET25)</f>
        <v/>
      </c>
      <c r="FI25" s="12">
        <f>FC25+FC24+FC23+MAX(0,FI24-FC24-FC23)*(1-ET25)</f>
        <v/>
      </c>
      <c r="FJ25" s="12">
        <f>FJ24+FD25-FD13*(AnnualChurn*VLOOKUP(EP25,ChurnSeasonTable,4,FALSE))*POWER(1-(AnnualChurn*VLOOKUP(EP25,ChurnSeasonTable,4,FALSE)),0)</f>
        <v/>
      </c>
      <c r="FK25" s="12">
        <f>FK24+FE25-FE13*(AnnualChurn*VLOOKUP(EP25,ChurnSeasonTable,4,FALSE))*POWER(1-(AnnualChurn*VLOOKUP(EP25,ChurnSeasonTable,4,FALSE)),0)</f>
        <v/>
      </c>
      <c r="FL25" s="12">
        <f>FL24+FF25-FF13*(AnnualChurn*VLOOKUP(EP25,ChurnSeasonTable,4,FALSE))*POWER(1-(AnnualChurn*VLOOKUP(EP25,ChurnSeasonTable,4,FALSE)),0)</f>
        <v/>
      </c>
      <c r="FM25" s="12">
        <f>FG25+FH25+FI25+FJ25+FK25+FL25</f>
        <v/>
      </c>
      <c r="FN25" s="9">
        <f>FG25*BlendedPriceEssMonthly*ES25+FH25*BlendedPricePremMonthly*ES25+FI25*BlendedPriceEliteMonthly*ES25+FJ25*BlendedPriceEssAnnual*ES25/12+FK25*BlendedPricePremAnnual*ES25/12+FL25*BlendedPriceEliteAnnual*ES25/12</f>
        <v/>
      </c>
      <c r="FO25" s="9">
        <f>FN25*12</f>
        <v/>
      </c>
      <c r="FP25" s="12">
        <f>FG25*BlendedPriceEssMonthly*ES25+FH25*BlendedPricePremMonthly*ES25+FI25*BlendedPriceEliteMonthly*ES25</f>
        <v/>
      </c>
      <c r="FQ25" s="12">
        <f>FD25*BlendedPriceEssAnnual*ES25+FE25*BlendedPricePremAnnual*ES25+FF25*BlendedPriceEliteAnnual*ES25</f>
        <v/>
      </c>
      <c r="FR25" s="12">
        <f>FD13*POWER(1-(AnnualChurn*VLOOKUP(EP25,ChurnSeasonTable,4,FALSE)),1)*BlendedPriceEssAnnual*ES25+FE13*POWER(1-(AnnualChurn*VLOOKUP(EP25,ChurnSeasonTable,4,FALSE)),1)*BlendedPricePremAnnual*ES25+FF13*POWER(1-(AnnualChurn*VLOOKUP(EP25,ChurnSeasonTable,4,FALSE)),1)*BlendedPriceEliteAnnual*ES25</f>
        <v/>
      </c>
      <c r="FS25" s="9">
        <f>FP25+FQ25+FR25</f>
        <v/>
      </c>
      <c r="FT25" s="12">
        <f>SUM(FS14:FS25)</f>
        <v/>
      </c>
      <c r="FU25" s="12">
        <f>OR(FU24,IF(VATAgentMode,SUM($FS14:$FS25)-SUM($FZ14:$FZ25)&gt;=VATThreshold,SUM($FS14:$FS25)&gt;=VATThreshold))</f>
        <v/>
      </c>
      <c r="FV25" s="9">
        <f>IF(FU25,IF(VATAgentMode,FS25-((FS25-FZ25)-(FS25-FZ25)/(1+VATRate)),FS25/(1+VATRate)),FS25)</f>
        <v/>
      </c>
      <c r="FW25" s="12">
        <f>FS25-FV25</f>
        <v/>
      </c>
      <c r="FX25" s="12">
        <f>IF(FU25=0,0,IF(EP25=1,SUMPRODUCT(--(($EQ$5:$EQ25=$EQ25-1)*($EP$5:$EP25&gt;=10)*($EP$5:$EP25&lt;=12)),$FW$5:$FW25),IF(EP25=4,SUMPRODUCT(--(($EQ$5:$EQ25=$EQ25)*($EP$5:$EP25&gt;=1)*($EP$5:$EP25&lt;=3)),$FW$5:$FW25),IF(EP25=7,SUMPRODUCT(--(($EQ$5:$EQ25=$EQ25)*($EP$5:$EP25&gt;=4)*($EP$5:$EP25&lt;=6)),$FW$5:$FW25),IF(EP25=10,SUMPRODUCT(--(($EQ$5:$EQ25=$EQ25)*($EP$5:$EP25&gt;=7)*($EP$5:$EP25&lt;=9)),$FW$5:$FW25),0)))))</f>
        <v/>
      </c>
      <c r="FY25" s="12">
        <f>FY24+FW25-FX25</f>
        <v/>
      </c>
      <c r="FZ25" s="12">
        <f>IF(ProviderDelay&gt;=1,FG24*BlendedProvPayEss+FH24*BlendedProvPayPrem+FI24*BlendedProvPayElite+FJ24*BlendedProvPayEss+FK24*BlendedProvPayPrem+FL24*BlendedProvPayElite,FG25*BlendedProvPayEss+FH25*BlendedProvPayPrem+FI25*BlendedProvPayElite+FJ25*BlendedProvPayEss+FK25*BlendedProvPayPrem+FL25*BlendedProvPayElite)</f>
        <v/>
      </c>
      <c r="GA25" s="12">
        <f>FS25*PaymentFee</f>
        <v/>
      </c>
      <c r="GB25" s="12">
        <f>FM25*OpsAI</f>
        <v/>
      </c>
      <c r="GC25" s="12">
        <f>MonthlyFixed</f>
        <v/>
      </c>
      <c r="GD25" s="12">
        <f>EW25*ReferralReward</f>
        <v/>
      </c>
      <c r="GE25" s="12">
        <f>EU25</f>
        <v/>
      </c>
      <c r="GF25" s="9">
        <f>FV25-FZ25-GA25-GB25-GC25-GD25-GE25</f>
        <v/>
      </c>
      <c r="GG25" s="9">
        <f>GG24+FS25-(FZ25+GA25+GB25+GC25+GD25+GE25+FX25)</f>
        <v/>
      </c>
      <c r="GH25" s="12">
        <f>IF(FM25&gt;0,FN25/FM25,0)</f>
        <v/>
      </c>
      <c r="GI25" s="11">
        <f>IF(FM24&gt;0,MAX(0,(FM24+EX25-FM25)/FM24),0)</f>
        <v/>
      </c>
      <c r="GK25" s="12" t="n">
        <v>21</v>
      </c>
      <c r="GL25" s="12">
        <f>MOD(GK25-1+LaunchMonth-1,12)+1</f>
        <v/>
      </c>
      <c r="GM25" s="12">
        <f>INT((GK25-1+LaunchMonth-1)/12)+1</f>
        <v/>
      </c>
      <c r="GN25" s="12">
        <f>VLOOKUP(GL25,SeasonTable,2,FALSE)</f>
        <v/>
      </c>
      <c r="GO25" s="12">
        <f>(1+InflationRate)^INT((GK25-1)/12)</f>
        <v/>
      </c>
      <c r="GP25" s="11">
        <f>'Sens - Churn'!$A$14*VLOOKUP(GL25,ChurnSeasonTable,4,FALSE)</f>
        <v/>
      </c>
      <c r="GQ25" s="12">
        <f>MIN(MAX(MktMin19plus,HO24*MktPct19plus),MAX(0,IC24-CashBuffer))</f>
        <v/>
      </c>
      <c r="GR25" s="12">
        <f>IF(GQ25&gt;0,MAX(1,ROUND(GQ25/CAC*GN25,0)),0)</f>
        <v/>
      </c>
      <c r="GS25" s="12">
        <f>IF(GR25&gt;0,ROUND(GR25*ReferralMix/(1-ReferralMix),0),0)</f>
        <v/>
      </c>
      <c r="GT25" s="12">
        <f>GR25+GS25</f>
        <v/>
      </c>
      <c r="GU25" s="12">
        <f>ROUND(GT25*(1-AnnualMix),0)</f>
        <v/>
      </c>
      <c r="GV25" s="12">
        <f>GT25-GU25</f>
        <v/>
      </c>
      <c r="GW25" s="12">
        <f>ROUND(GU25*EssentialMix,0)</f>
        <v/>
      </c>
      <c r="GX25" s="12">
        <f>ROUND(GU25*PremiumMix,0)</f>
        <v/>
      </c>
      <c r="GY25" s="12">
        <f>GU25-GW25-GX25</f>
        <v/>
      </c>
      <c r="GZ25" s="12">
        <f>ROUND(GV25*EssentialMix,0)</f>
        <v/>
      </c>
      <c r="HA25" s="12">
        <f>ROUND(GV25*PremiumMix,0)</f>
        <v/>
      </c>
      <c r="HB25" s="12">
        <f>GV25-GZ25-HA25</f>
        <v/>
      </c>
      <c r="HC25" s="12">
        <f>GW25+GW24+GW23+MAX(0,HC24-GW24-GW23)*(1-GP25)</f>
        <v/>
      </c>
      <c r="HD25" s="12">
        <f>GX25+GX24+GX23+MAX(0,HD24-GX24-GX23)*(1-GP25)</f>
        <v/>
      </c>
      <c r="HE25" s="12">
        <f>GY25+GY24+GY23+MAX(0,HE24-GY24-GY23)*(1-GP25)</f>
        <v/>
      </c>
      <c r="HF25" s="12">
        <f>HF24+GZ25-GZ13*(AnnualChurn*VLOOKUP(GL25,ChurnSeasonTable,4,FALSE))*POWER(1-(AnnualChurn*VLOOKUP(GL25,ChurnSeasonTable,4,FALSE)),0)</f>
        <v/>
      </c>
      <c r="HG25" s="12">
        <f>HG24+HA25-HA13*(AnnualChurn*VLOOKUP(GL25,ChurnSeasonTable,4,FALSE))*POWER(1-(AnnualChurn*VLOOKUP(GL25,ChurnSeasonTable,4,FALSE)),0)</f>
        <v/>
      </c>
      <c r="HH25" s="12">
        <f>HH24+HB25-HB13*(AnnualChurn*VLOOKUP(GL25,ChurnSeasonTable,4,FALSE))*POWER(1-(AnnualChurn*VLOOKUP(GL25,ChurnSeasonTable,4,FALSE)),0)</f>
        <v/>
      </c>
      <c r="HI25" s="12">
        <f>HC25+HD25+HE25+HF25+HG25+HH25</f>
        <v/>
      </c>
      <c r="HJ25" s="9">
        <f>HC25*BlendedPriceEssMonthly*GO25+HD25*BlendedPricePremMonthly*GO25+HE25*BlendedPriceEliteMonthly*GO25+HF25*BlendedPriceEssAnnual*GO25/12+HG25*BlendedPricePremAnnual*GO25/12+HH25*BlendedPriceEliteAnnual*GO25/12</f>
        <v/>
      </c>
      <c r="HK25" s="9">
        <f>HJ25*12</f>
        <v/>
      </c>
      <c r="HL25" s="12">
        <f>HC25*BlendedPriceEssMonthly*GO25+HD25*BlendedPricePremMonthly*GO25+HE25*BlendedPriceEliteMonthly*GO25</f>
        <v/>
      </c>
      <c r="HM25" s="12">
        <f>GZ25*BlendedPriceEssAnnual*GO25+HA25*BlendedPricePremAnnual*GO25+HB25*BlendedPriceEliteAnnual*GO25</f>
        <v/>
      </c>
      <c r="HN25" s="12">
        <f>GZ13*POWER(1-(AnnualChurn*VLOOKUP(GL25,ChurnSeasonTable,4,FALSE)),1)*BlendedPriceEssAnnual*GO25+HA13*POWER(1-(AnnualChurn*VLOOKUP(GL25,ChurnSeasonTable,4,FALSE)),1)*BlendedPricePremAnnual*GO25+HB13*POWER(1-(AnnualChurn*VLOOKUP(GL25,ChurnSeasonTable,4,FALSE)),1)*BlendedPriceEliteAnnual*GO25</f>
        <v/>
      </c>
      <c r="HO25" s="9">
        <f>HL25+HM25+HN25</f>
        <v/>
      </c>
      <c r="HP25" s="12">
        <f>SUM(HO14:HO25)</f>
        <v/>
      </c>
      <c r="HQ25" s="12">
        <f>OR(HQ24,IF(VATAgentMode,SUM($HO14:$HO25)-SUM($HV14:$HV25)&gt;=VATThreshold,SUM($HO14:$HO25)&gt;=VATThreshold))</f>
        <v/>
      </c>
      <c r="HR25" s="9">
        <f>IF(HQ25,IF(VATAgentMode,HO25-((HO25-HV25)-(HO25-HV25)/(1+VATRate)),HO25/(1+VATRate)),HO25)</f>
        <v/>
      </c>
      <c r="HS25" s="12">
        <f>HO25-HR25</f>
        <v/>
      </c>
      <c r="HT25" s="12">
        <f>IF(HQ25=0,0,IF(GL25=1,SUMPRODUCT(--(($GM$5:$GM25=$GM25-1)*($GL$5:$GL25&gt;=10)*($GL$5:$GL25&lt;=12)),$HS$5:$HS25),IF(GL25=4,SUMPRODUCT(--(($GM$5:$GM25=$GM25)*($GL$5:$GL25&gt;=1)*($GL$5:$GL25&lt;=3)),$HS$5:$HS25),IF(GL25=7,SUMPRODUCT(--(($GM$5:$GM25=$GM25)*($GL$5:$GL25&gt;=4)*($GL$5:$GL25&lt;=6)),$HS$5:$HS25),IF(GL25=10,SUMPRODUCT(--(($GM$5:$GM25=$GM25)*($GL$5:$GL25&gt;=7)*($GL$5:$GL25&lt;=9)),$HS$5:$HS25),0)))))</f>
        <v/>
      </c>
      <c r="HU25" s="12">
        <f>HU24+HS25-HT25</f>
        <v/>
      </c>
      <c r="HV25" s="12">
        <f>IF(ProviderDelay&gt;=1,HC24*BlendedProvPayEss+HD24*BlendedProvPayPrem+HE24*BlendedProvPayElite+HF24*BlendedProvPayEss+HG24*BlendedProvPayPrem+HH24*BlendedProvPayElite,HC25*BlendedProvPayEss+HD25*BlendedProvPayPrem+HE25*BlendedProvPayElite+HF25*BlendedProvPayEss+HG25*BlendedProvPayPrem+HH25*BlendedProvPayElite)</f>
        <v/>
      </c>
      <c r="HW25" s="12">
        <f>HO25*PaymentFee</f>
        <v/>
      </c>
      <c r="HX25" s="12">
        <f>HI25*OpsAI</f>
        <v/>
      </c>
      <c r="HY25" s="12">
        <f>MonthlyFixed</f>
        <v/>
      </c>
      <c r="HZ25" s="12">
        <f>GS25*ReferralReward</f>
        <v/>
      </c>
      <c r="IA25" s="12">
        <f>GQ25</f>
        <v/>
      </c>
      <c r="IB25" s="9">
        <f>HR25-HV25-HW25-HX25-HY25-HZ25-IA25</f>
        <v/>
      </c>
      <c r="IC25" s="9">
        <f>IC24+HO25-(HV25+HW25+HX25+HY25+HZ25+IA25+HT25)</f>
        <v/>
      </c>
      <c r="ID25" s="12">
        <f>IF(HI25&gt;0,HJ25/HI25,0)</f>
        <v/>
      </c>
      <c r="IE25" s="11">
        <f>IF(HI24&gt;0,MAX(0,(HI24+GT25-HI25)/HI24),0)</f>
        <v/>
      </c>
      <c r="IG25" s="12" t="n">
        <v>21</v>
      </c>
      <c r="IH25" s="12">
        <f>MOD(IG25-1+LaunchMonth-1,12)+1</f>
        <v/>
      </c>
      <c r="II25" s="12">
        <f>INT((IG25-1+LaunchMonth-1)/12)+1</f>
        <v/>
      </c>
      <c r="IJ25" s="12">
        <f>VLOOKUP(IH25,SeasonTable,2,FALSE)</f>
        <v/>
      </c>
      <c r="IK25" s="12">
        <f>(1+InflationRate)^INT((IG25-1)/12)</f>
        <v/>
      </c>
      <c r="IL25" s="11">
        <f>'Sens - Churn'!$A$15*VLOOKUP(IH25,ChurnSeasonTable,4,FALSE)</f>
        <v/>
      </c>
      <c r="IM25" s="12">
        <f>MIN(MAX(MktMin19plus,JK24*MktPct19plus),MAX(0,JY24-CashBuffer))</f>
        <v/>
      </c>
      <c r="IN25" s="12">
        <f>IF(IM25&gt;0,MAX(1,ROUND(IM25/CAC*IJ25,0)),0)</f>
        <v/>
      </c>
      <c r="IO25" s="12">
        <f>IF(IN25&gt;0,ROUND(IN25*ReferralMix/(1-ReferralMix),0),0)</f>
        <v/>
      </c>
      <c r="IP25" s="12">
        <f>IN25+IO25</f>
        <v/>
      </c>
      <c r="IQ25" s="12">
        <f>ROUND(IP25*(1-AnnualMix),0)</f>
        <v/>
      </c>
      <c r="IR25" s="12">
        <f>IP25-IQ25</f>
        <v/>
      </c>
      <c r="IS25" s="12">
        <f>ROUND(IQ25*EssentialMix,0)</f>
        <v/>
      </c>
      <c r="IT25" s="12">
        <f>ROUND(IQ25*PremiumMix,0)</f>
        <v/>
      </c>
      <c r="IU25" s="12">
        <f>IQ25-IS25-IT25</f>
        <v/>
      </c>
      <c r="IV25" s="12">
        <f>ROUND(IR25*EssentialMix,0)</f>
        <v/>
      </c>
      <c r="IW25" s="12">
        <f>ROUND(IR25*PremiumMix,0)</f>
        <v/>
      </c>
      <c r="IX25" s="12">
        <f>IR25-IV25-IW25</f>
        <v/>
      </c>
      <c r="IY25" s="12">
        <f>IS25+IS24+IS23+MAX(0,IY24-IS24-IS23)*(1-IL25)</f>
        <v/>
      </c>
      <c r="IZ25" s="12">
        <f>IT25+IT24+IT23+MAX(0,IZ24-IT24-IT23)*(1-IL25)</f>
        <v/>
      </c>
      <c r="JA25" s="12">
        <f>IU25+IU24+IU23+MAX(0,JA24-IU24-IU23)*(1-IL25)</f>
        <v/>
      </c>
      <c r="JB25" s="12">
        <f>JB24+IV25-IV13*(AnnualChurn*VLOOKUP(IH25,ChurnSeasonTable,4,FALSE))*POWER(1-(AnnualChurn*VLOOKUP(IH25,ChurnSeasonTable,4,FALSE)),0)</f>
        <v/>
      </c>
      <c r="JC25" s="12">
        <f>JC24+IW25-IW13*(AnnualChurn*VLOOKUP(IH25,ChurnSeasonTable,4,FALSE))*POWER(1-(AnnualChurn*VLOOKUP(IH25,ChurnSeasonTable,4,FALSE)),0)</f>
        <v/>
      </c>
      <c r="JD25" s="12">
        <f>JD24+IX25-IX13*(AnnualChurn*VLOOKUP(IH25,ChurnSeasonTable,4,FALSE))*POWER(1-(AnnualChurn*VLOOKUP(IH25,ChurnSeasonTable,4,FALSE)),0)</f>
        <v/>
      </c>
      <c r="JE25" s="12">
        <f>IY25+IZ25+JA25+JB25+JC25+JD25</f>
        <v/>
      </c>
      <c r="JF25" s="9">
        <f>IY25*BlendedPriceEssMonthly*IK25+IZ25*BlendedPricePremMonthly*IK25+JA25*BlendedPriceEliteMonthly*IK25+JB25*BlendedPriceEssAnnual*IK25/12+JC25*BlendedPricePremAnnual*IK25/12+JD25*BlendedPriceEliteAnnual*IK25/12</f>
        <v/>
      </c>
      <c r="JG25" s="9">
        <f>JF25*12</f>
        <v/>
      </c>
      <c r="JH25" s="12">
        <f>IY25*BlendedPriceEssMonthly*IK25+IZ25*BlendedPricePremMonthly*IK25+JA25*BlendedPriceEliteMonthly*IK25</f>
        <v/>
      </c>
      <c r="JI25" s="12">
        <f>IV25*BlendedPriceEssAnnual*IK25+IW25*BlendedPricePremAnnual*IK25+IX25*BlendedPriceEliteAnnual*IK25</f>
        <v/>
      </c>
      <c r="JJ25" s="12">
        <f>IV13*POWER(1-(AnnualChurn*VLOOKUP(IH25,ChurnSeasonTable,4,FALSE)),1)*BlendedPriceEssAnnual*IK25+IW13*POWER(1-(AnnualChurn*VLOOKUP(IH25,ChurnSeasonTable,4,FALSE)),1)*BlendedPricePremAnnual*IK25+IX13*POWER(1-(AnnualChurn*VLOOKUP(IH25,ChurnSeasonTable,4,FALSE)),1)*BlendedPriceEliteAnnual*IK25</f>
        <v/>
      </c>
      <c r="JK25" s="9">
        <f>JH25+JI25+JJ25</f>
        <v/>
      </c>
      <c r="JL25" s="12">
        <f>SUM(JK14:JK25)</f>
        <v/>
      </c>
      <c r="JM25" s="12">
        <f>OR(JM24,IF(VATAgentMode,SUM($JK14:$JK25)-SUM($JR14:$JR25)&gt;=VATThreshold,SUM($JK14:$JK25)&gt;=VATThreshold))</f>
        <v/>
      </c>
      <c r="JN25" s="9">
        <f>IF(JM25,IF(VATAgentMode,JK25-((JK25-JR25)-(JK25-JR25)/(1+VATRate)),JK25/(1+VATRate)),JK25)</f>
        <v/>
      </c>
      <c r="JO25" s="12">
        <f>JK25-JN25</f>
        <v/>
      </c>
      <c r="JP25" s="12">
        <f>IF(JM25=0,0,IF(IH25=1,SUMPRODUCT(--(($II$5:$II25=$II25-1)*($IH$5:$IH25&gt;=10)*($IH$5:$IH25&lt;=12)),$JO$5:$JO25),IF(IH25=4,SUMPRODUCT(--(($II$5:$II25=$II25)*($IH$5:$IH25&gt;=1)*($IH$5:$IH25&lt;=3)),$JO$5:$JO25),IF(IH25=7,SUMPRODUCT(--(($II$5:$II25=$II25)*($IH$5:$IH25&gt;=4)*($IH$5:$IH25&lt;=6)),$JO$5:$JO25),IF(IH25=10,SUMPRODUCT(--(($II$5:$II25=$II25)*($IH$5:$IH25&gt;=7)*($IH$5:$IH25&lt;=9)),$JO$5:$JO25),0)))))</f>
        <v/>
      </c>
      <c r="JQ25" s="12">
        <f>JQ24+JO25-JP25</f>
        <v/>
      </c>
      <c r="JR25" s="12">
        <f>IF(ProviderDelay&gt;=1,IY24*BlendedProvPayEss+IZ24*BlendedProvPayPrem+JA24*BlendedProvPayElite+JB24*BlendedProvPayEss+JC24*BlendedProvPayPrem+JD24*BlendedProvPayElite,IY25*BlendedProvPayEss+IZ25*BlendedProvPayPrem+JA25*BlendedProvPayElite+JB25*BlendedProvPayEss+JC25*BlendedProvPayPrem+JD25*BlendedProvPayElite)</f>
        <v/>
      </c>
      <c r="JS25" s="12">
        <f>JK25*PaymentFee</f>
        <v/>
      </c>
      <c r="JT25" s="12">
        <f>JE25*OpsAI</f>
        <v/>
      </c>
      <c r="JU25" s="12">
        <f>MonthlyFixed</f>
        <v/>
      </c>
      <c r="JV25" s="12">
        <f>IO25*ReferralReward</f>
        <v/>
      </c>
      <c r="JW25" s="12">
        <f>IM25</f>
        <v/>
      </c>
      <c r="JX25" s="9">
        <f>JN25-JR25-JS25-JT25-JU25-JV25-JW25</f>
        <v/>
      </c>
      <c r="JY25" s="9">
        <f>JY24+JK25-(JR25+JS25+JT25+JU25+JV25+JW25+JP25)</f>
        <v/>
      </c>
      <c r="JZ25" s="12">
        <f>IF(JE25&gt;0,JF25/JE25,0)</f>
        <v/>
      </c>
      <c r="KA25" s="11">
        <f>IF(JE24&gt;0,MAX(0,(JE24+IP25-JE25)/JE24),0)</f>
        <v/>
      </c>
      <c r="KC25" s="12" t="n">
        <v>21</v>
      </c>
      <c r="KD25" s="12">
        <f>MOD(KC25-1+LaunchMonth-1,12)+1</f>
        <v/>
      </c>
      <c r="KE25" s="12">
        <f>INT((KC25-1+LaunchMonth-1)/12)+1</f>
        <v/>
      </c>
      <c r="KF25" s="12">
        <f>VLOOKUP(KD25,SeasonTable,2,FALSE)</f>
        <v/>
      </c>
      <c r="KG25" s="12">
        <f>(1+InflationRate)^INT((KC25-1)/12)</f>
        <v/>
      </c>
      <c r="KH25" s="11">
        <f>'Sens - Churn'!$A$16*VLOOKUP(KD25,ChurnSeasonTable,4,FALSE)</f>
        <v/>
      </c>
      <c r="KI25" s="12">
        <f>MIN(MAX(MktMin19plus,LG24*MktPct19plus),MAX(0,LU24-CashBuffer))</f>
        <v/>
      </c>
      <c r="KJ25" s="12">
        <f>IF(KI25&gt;0,MAX(1,ROUND(KI25/CAC*KF25,0)),0)</f>
        <v/>
      </c>
      <c r="KK25" s="12">
        <f>IF(KJ25&gt;0,ROUND(KJ25*ReferralMix/(1-ReferralMix),0),0)</f>
        <v/>
      </c>
      <c r="KL25" s="12">
        <f>KJ25+KK25</f>
        <v/>
      </c>
      <c r="KM25" s="12">
        <f>ROUND(KL25*(1-AnnualMix),0)</f>
        <v/>
      </c>
      <c r="KN25" s="12">
        <f>KL25-KM25</f>
        <v/>
      </c>
      <c r="KO25" s="12">
        <f>ROUND(KM25*EssentialMix,0)</f>
        <v/>
      </c>
      <c r="KP25" s="12">
        <f>ROUND(KM25*PremiumMix,0)</f>
        <v/>
      </c>
      <c r="KQ25" s="12">
        <f>KM25-KO25-KP25</f>
        <v/>
      </c>
      <c r="KR25" s="12">
        <f>ROUND(KN25*EssentialMix,0)</f>
        <v/>
      </c>
      <c r="KS25" s="12">
        <f>ROUND(KN25*PremiumMix,0)</f>
        <v/>
      </c>
      <c r="KT25" s="12">
        <f>KN25-KR25-KS25</f>
        <v/>
      </c>
      <c r="KU25" s="12">
        <f>KO25+KO24+KO23+MAX(0,KU24-KO24-KO23)*(1-KH25)</f>
        <v/>
      </c>
      <c r="KV25" s="12">
        <f>KP25+KP24+KP23+MAX(0,KV24-KP24-KP23)*(1-KH25)</f>
        <v/>
      </c>
      <c r="KW25" s="12">
        <f>KQ25+KQ24+KQ23+MAX(0,KW24-KQ24-KQ23)*(1-KH25)</f>
        <v/>
      </c>
      <c r="KX25" s="12">
        <f>KX24+KR25-KR13*(AnnualChurn*VLOOKUP(KD25,ChurnSeasonTable,4,FALSE))*POWER(1-(AnnualChurn*VLOOKUP(KD25,ChurnSeasonTable,4,FALSE)),0)</f>
        <v/>
      </c>
      <c r="KY25" s="12">
        <f>KY24+KS25-KS13*(AnnualChurn*VLOOKUP(KD25,ChurnSeasonTable,4,FALSE))*POWER(1-(AnnualChurn*VLOOKUP(KD25,ChurnSeasonTable,4,FALSE)),0)</f>
        <v/>
      </c>
      <c r="KZ25" s="12">
        <f>KZ24+KT25-KT13*(AnnualChurn*VLOOKUP(KD25,ChurnSeasonTable,4,FALSE))*POWER(1-(AnnualChurn*VLOOKUP(KD25,ChurnSeasonTable,4,FALSE)),0)</f>
        <v/>
      </c>
      <c r="LA25" s="12">
        <f>KU25+KV25+KW25+KX25+KY25+KZ25</f>
        <v/>
      </c>
      <c r="LB25" s="9">
        <f>KU25*BlendedPriceEssMonthly*KG25+KV25*BlendedPricePremMonthly*KG25+KW25*BlendedPriceEliteMonthly*KG25+KX25*BlendedPriceEssAnnual*KG25/12+KY25*BlendedPricePremAnnual*KG25/12+KZ25*BlendedPriceEliteAnnual*KG25/12</f>
        <v/>
      </c>
      <c r="LC25" s="9">
        <f>LB25*12</f>
        <v/>
      </c>
      <c r="LD25" s="12">
        <f>KU25*BlendedPriceEssMonthly*KG25+KV25*BlendedPricePremMonthly*KG25+KW25*BlendedPriceEliteMonthly*KG25</f>
        <v/>
      </c>
      <c r="LE25" s="12">
        <f>KR25*BlendedPriceEssAnnual*KG25+KS25*BlendedPricePremAnnual*KG25+KT25*BlendedPriceEliteAnnual*KG25</f>
        <v/>
      </c>
      <c r="LF25" s="12">
        <f>KR13*POWER(1-(AnnualChurn*VLOOKUP(KD25,ChurnSeasonTable,4,FALSE)),1)*BlendedPriceEssAnnual*KG25+KS13*POWER(1-(AnnualChurn*VLOOKUP(KD25,ChurnSeasonTable,4,FALSE)),1)*BlendedPricePremAnnual*KG25+KT13*POWER(1-(AnnualChurn*VLOOKUP(KD25,ChurnSeasonTable,4,FALSE)),1)*BlendedPriceEliteAnnual*KG25</f>
        <v/>
      </c>
      <c r="LG25" s="9">
        <f>LD25+LE25+LF25</f>
        <v/>
      </c>
      <c r="LH25" s="12">
        <f>SUM(LG14:LG25)</f>
        <v/>
      </c>
      <c r="LI25" s="12">
        <f>OR(LI24,IF(VATAgentMode,SUM($LG14:$LG25)-SUM($LN14:$LN25)&gt;=VATThreshold,SUM($LG14:$LG25)&gt;=VATThreshold))</f>
        <v/>
      </c>
      <c r="LJ25" s="9">
        <f>IF(LI25,IF(VATAgentMode,LG25-((LG25-LN25)-(LG25-LN25)/(1+VATRate)),LG25/(1+VATRate)),LG25)</f>
        <v/>
      </c>
      <c r="LK25" s="12">
        <f>LG25-LJ25</f>
        <v/>
      </c>
      <c r="LL25" s="12">
        <f>IF(LI25=0,0,IF(KD25=1,SUMPRODUCT(--(($KE$5:$KE25=$KE25-1)*($KD$5:$KD25&gt;=10)*($KD$5:$KD25&lt;=12)),$LK$5:$LK25),IF(KD25=4,SUMPRODUCT(--(($KE$5:$KE25=$KE25)*($KD$5:$KD25&gt;=1)*($KD$5:$KD25&lt;=3)),$LK$5:$LK25),IF(KD25=7,SUMPRODUCT(--(($KE$5:$KE25=$KE25)*($KD$5:$KD25&gt;=4)*($KD$5:$KD25&lt;=6)),$LK$5:$LK25),IF(KD25=10,SUMPRODUCT(--(($KE$5:$KE25=$KE25)*($KD$5:$KD25&gt;=7)*($KD$5:$KD25&lt;=9)),$LK$5:$LK25),0)))))</f>
        <v/>
      </c>
      <c r="LM25" s="12">
        <f>LM24+LK25-LL25</f>
        <v/>
      </c>
      <c r="LN25" s="12">
        <f>IF(ProviderDelay&gt;=1,KU24*BlendedProvPayEss+KV24*BlendedProvPayPrem+KW24*BlendedProvPayElite+KX24*BlendedProvPayEss+KY24*BlendedProvPayPrem+KZ24*BlendedProvPayElite,KU25*BlendedProvPayEss+KV25*BlendedProvPayPrem+KW25*BlendedProvPayElite+KX25*BlendedProvPayEss+KY25*BlendedProvPayPrem+KZ25*BlendedProvPayElite)</f>
        <v/>
      </c>
      <c r="LO25" s="12">
        <f>LG25*PaymentFee</f>
        <v/>
      </c>
      <c r="LP25" s="12">
        <f>LA25*OpsAI</f>
        <v/>
      </c>
      <c r="LQ25" s="12">
        <f>MonthlyFixed</f>
        <v/>
      </c>
      <c r="LR25" s="12">
        <f>KK25*ReferralReward</f>
        <v/>
      </c>
      <c r="LS25" s="12">
        <f>KI25</f>
        <v/>
      </c>
      <c r="LT25" s="9">
        <f>LJ25-LN25-LO25-LP25-LQ25-LR25-LS25</f>
        <v/>
      </c>
      <c r="LU25" s="9">
        <f>LU24+LG25-(LN25+LO25+LP25+LQ25+LR25+LS25+LL25)</f>
        <v/>
      </c>
      <c r="LV25" s="12">
        <f>IF(LA25&gt;0,LB25/LA25,0)</f>
        <v/>
      </c>
      <c r="LW25" s="11">
        <f>IF(LA24&gt;0,MAX(0,(LA24+KL25-LA25)/LA24),0)</f>
        <v/>
      </c>
      <c r="LY25" s="12" t="n">
        <v>21</v>
      </c>
      <c r="LZ25" s="12">
        <f>MOD(LY25-1+LaunchMonth-1,12)+1</f>
        <v/>
      </c>
      <c r="MA25" s="12">
        <f>INT((LY25-1+LaunchMonth-1)/12)+1</f>
        <v/>
      </c>
      <c r="MB25" s="12">
        <f>VLOOKUP(LZ25,SeasonTable,2,FALSE)</f>
        <v/>
      </c>
      <c r="MC25" s="12">
        <f>(1+InflationRate)^INT((LY25-1)/12)</f>
        <v/>
      </c>
      <c r="MD25" s="11">
        <f>'Sens - Churn'!$A$17*VLOOKUP(LZ25,ChurnSeasonTable,4,FALSE)</f>
        <v/>
      </c>
      <c r="ME25" s="12">
        <f>MIN(MAX(MktMin19plus,NC24*MktPct19plus),MAX(0,NQ24-CashBuffer))</f>
        <v/>
      </c>
      <c r="MF25" s="12">
        <f>IF(ME25&gt;0,MAX(1,ROUND(ME25/CAC*MB25,0)),0)</f>
        <v/>
      </c>
      <c r="MG25" s="12">
        <f>IF(MF25&gt;0,ROUND(MF25*ReferralMix/(1-ReferralMix),0),0)</f>
        <v/>
      </c>
      <c r="MH25" s="12">
        <f>MF25+MG25</f>
        <v/>
      </c>
      <c r="MI25" s="12">
        <f>ROUND(MH25*(1-AnnualMix),0)</f>
        <v/>
      </c>
      <c r="MJ25" s="12">
        <f>MH25-MI25</f>
        <v/>
      </c>
      <c r="MK25" s="12">
        <f>ROUND(MI25*EssentialMix,0)</f>
        <v/>
      </c>
      <c r="ML25" s="12">
        <f>ROUND(MI25*PremiumMix,0)</f>
        <v/>
      </c>
      <c r="MM25" s="12">
        <f>MI25-MK25-ML25</f>
        <v/>
      </c>
      <c r="MN25" s="12">
        <f>ROUND(MJ25*EssentialMix,0)</f>
        <v/>
      </c>
      <c r="MO25" s="12">
        <f>ROUND(MJ25*PremiumMix,0)</f>
        <v/>
      </c>
      <c r="MP25" s="12">
        <f>MJ25-MN25-MO25</f>
        <v/>
      </c>
      <c r="MQ25" s="12">
        <f>MK25+MK24+MK23+MAX(0,MQ24-MK24-MK23)*(1-MD25)</f>
        <v/>
      </c>
      <c r="MR25" s="12">
        <f>ML25+ML24+ML23+MAX(0,MR24-ML24-ML23)*(1-MD25)</f>
        <v/>
      </c>
      <c r="MS25" s="12">
        <f>MM25+MM24+MM23+MAX(0,MS24-MM24-MM23)*(1-MD25)</f>
        <v/>
      </c>
      <c r="MT25" s="12">
        <f>MT24+MN25-MN13*(AnnualChurn*VLOOKUP(LZ25,ChurnSeasonTable,4,FALSE))*POWER(1-(AnnualChurn*VLOOKUP(LZ25,ChurnSeasonTable,4,FALSE)),0)</f>
        <v/>
      </c>
      <c r="MU25" s="12">
        <f>MU24+MO25-MO13*(AnnualChurn*VLOOKUP(LZ25,ChurnSeasonTable,4,FALSE))*POWER(1-(AnnualChurn*VLOOKUP(LZ25,ChurnSeasonTable,4,FALSE)),0)</f>
        <v/>
      </c>
      <c r="MV25" s="12">
        <f>MV24+MP25-MP13*(AnnualChurn*VLOOKUP(LZ25,ChurnSeasonTable,4,FALSE))*POWER(1-(AnnualChurn*VLOOKUP(LZ25,ChurnSeasonTable,4,FALSE)),0)</f>
        <v/>
      </c>
      <c r="MW25" s="12">
        <f>MQ25+MR25+MS25+MT25+MU25+MV25</f>
        <v/>
      </c>
      <c r="MX25" s="9">
        <f>MQ25*BlendedPriceEssMonthly*MC25+MR25*BlendedPricePremMonthly*MC25+MS25*BlendedPriceEliteMonthly*MC25+MT25*BlendedPriceEssAnnual*MC25/12+MU25*BlendedPricePremAnnual*MC25/12+MV25*BlendedPriceEliteAnnual*MC25/12</f>
        <v/>
      </c>
      <c r="MY25" s="9">
        <f>MX25*12</f>
        <v/>
      </c>
      <c r="MZ25" s="12">
        <f>MQ25*BlendedPriceEssMonthly*MC25+MR25*BlendedPricePremMonthly*MC25+MS25*BlendedPriceEliteMonthly*MC25</f>
        <v/>
      </c>
      <c r="NA25" s="12">
        <f>MN25*BlendedPriceEssAnnual*MC25+MO25*BlendedPricePremAnnual*MC25+MP25*BlendedPriceEliteAnnual*MC25</f>
        <v/>
      </c>
      <c r="NB25" s="12">
        <f>MN13*POWER(1-(AnnualChurn*VLOOKUP(LZ25,ChurnSeasonTable,4,FALSE)),1)*BlendedPriceEssAnnual*MC25+MO13*POWER(1-(AnnualChurn*VLOOKUP(LZ25,ChurnSeasonTable,4,FALSE)),1)*BlendedPricePremAnnual*MC25+MP13*POWER(1-(AnnualChurn*VLOOKUP(LZ25,ChurnSeasonTable,4,FALSE)),1)*BlendedPriceEliteAnnual*MC25</f>
        <v/>
      </c>
      <c r="NC25" s="9">
        <f>MZ25+NA25+NB25</f>
        <v/>
      </c>
      <c r="ND25" s="12">
        <f>SUM(NC14:NC25)</f>
        <v/>
      </c>
      <c r="NE25" s="12">
        <f>OR(NE24,IF(VATAgentMode,SUM($NC14:$NC25)-SUM($NJ14:$NJ25)&gt;=VATThreshold,SUM($NC14:$NC25)&gt;=VATThreshold))</f>
        <v/>
      </c>
      <c r="NF25" s="9">
        <f>IF(NE25,IF(VATAgentMode,NC25-((NC25-NJ25)-(NC25-NJ25)/(1+VATRate)),NC25/(1+VATRate)),NC25)</f>
        <v/>
      </c>
      <c r="NG25" s="12">
        <f>NC25-NF25</f>
        <v/>
      </c>
      <c r="NH25" s="12">
        <f>IF(NE25=0,0,IF(LZ25=1,SUMPRODUCT(--(($MA$5:$MA25=$MA25-1)*($LZ$5:$LZ25&gt;=10)*($LZ$5:$LZ25&lt;=12)),$NG$5:$NG25),IF(LZ25=4,SUMPRODUCT(--(($MA$5:$MA25=$MA25)*($LZ$5:$LZ25&gt;=1)*($LZ$5:$LZ25&lt;=3)),$NG$5:$NG25),IF(LZ25=7,SUMPRODUCT(--(($MA$5:$MA25=$MA25)*($LZ$5:$LZ25&gt;=4)*($LZ$5:$LZ25&lt;=6)),$NG$5:$NG25),IF(LZ25=10,SUMPRODUCT(--(($MA$5:$MA25=$MA25)*($LZ$5:$LZ25&gt;=7)*($LZ$5:$LZ25&lt;=9)),$NG$5:$NG25),0)))))</f>
        <v/>
      </c>
      <c r="NI25" s="12">
        <f>NI24+NG25-NH25</f>
        <v/>
      </c>
      <c r="NJ25" s="12">
        <f>IF(ProviderDelay&gt;=1,MQ24*BlendedProvPayEss+MR24*BlendedProvPayPrem+MS24*BlendedProvPayElite+MT24*BlendedProvPayEss+MU24*BlendedProvPayPrem+MV24*BlendedProvPayElite,MQ25*BlendedProvPayEss+MR25*BlendedProvPayPrem+MS25*BlendedProvPayElite+MT25*BlendedProvPayEss+MU25*BlendedProvPayPrem+MV25*BlendedProvPayElite)</f>
        <v/>
      </c>
      <c r="NK25" s="12">
        <f>NC25*PaymentFee</f>
        <v/>
      </c>
      <c r="NL25" s="12">
        <f>MW25*OpsAI</f>
        <v/>
      </c>
      <c r="NM25" s="12">
        <f>MonthlyFixed</f>
        <v/>
      </c>
      <c r="NN25" s="12">
        <f>MG25*ReferralReward</f>
        <v/>
      </c>
      <c r="NO25" s="12">
        <f>ME25</f>
        <v/>
      </c>
      <c r="NP25" s="9">
        <f>NF25-NJ25-NK25-NL25-NM25-NN25-NO25</f>
        <v/>
      </c>
      <c r="NQ25" s="9">
        <f>NQ24+NC25-(NJ25+NK25+NL25+NM25+NN25+NO25+NH25)</f>
        <v/>
      </c>
      <c r="NR25" s="12">
        <f>IF(MW25&gt;0,MX25/MW25,0)</f>
        <v/>
      </c>
      <c r="NS25" s="11">
        <f>IF(MW24&gt;0,MAX(0,(MW24+MH25-MW25)/MW24),0)</f>
        <v/>
      </c>
      <c r="NU25" s="12" t="n">
        <v>21</v>
      </c>
      <c r="NV25" s="12">
        <f>MOD(NU25-1+LaunchMonth-1,12)+1</f>
        <v/>
      </c>
      <c r="NW25" s="12">
        <f>INT((NU25-1+LaunchMonth-1)/12)+1</f>
        <v/>
      </c>
      <c r="NX25" s="12">
        <f>VLOOKUP(NV25,SeasonTable,2,FALSE)</f>
        <v/>
      </c>
      <c r="NY25" s="12">
        <f>(1+InflationRate)^INT((NU25-1)/12)</f>
        <v/>
      </c>
      <c r="NZ25" s="11">
        <f>'Sens - Churn'!$A$18*VLOOKUP(NV25,ChurnSeasonTable,4,FALSE)</f>
        <v/>
      </c>
      <c r="OA25" s="12">
        <f>MIN(MAX(MktMin19plus,OY24*MktPct19plus),MAX(0,PM24-CashBuffer))</f>
        <v/>
      </c>
      <c r="OB25" s="12">
        <f>IF(OA25&gt;0,MAX(1,ROUND(OA25/CAC*NX25,0)),0)</f>
        <v/>
      </c>
      <c r="OC25" s="12">
        <f>IF(OB25&gt;0,ROUND(OB25*ReferralMix/(1-ReferralMix),0),0)</f>
        <v/>
      </c>
      <c r="OD25" s="12">
        <f>OB25+OC25</f>
        <v/>
      </c>
      <c r="OE25" s="12">
        <f>ROUND(OD25*(1-AnnualMix),0)</f>
        <v/>
      </c>
      <c r="OF25" s="12">
        <f>OD25-OE25</f>
        <v/>
      </c>
      <c r="OG25" s="12">
        <f>ROUND(OE25*EssentialMix,0)</f>
        <v/>
      </c>
      <c r="OH25" s="12">
        <f>ROUND(OE25*PremiumMix,0)</f>
        <v/>
      </c>
      <c r="OI25" s="12">
        <f>OE25-OG25-OH25</f>
        <v/>
      </c>
      <c r="OJ25" s="12">
        <f>ROUND(OF25*EssentialMix,0)</f>
        <v/>
      </c>
      <c r="OK25" s="12">
        <f>ROUND(OF25*PremiumMix,0)</f>
        <v/>
      </c>
      <c r="OL25" s="12">
        <f>OF25-OJ25-OK25</f>
        <v/>
      </c>
      <c r="OM25" s="12">
        <f>OG25+OG24+OG23+MAX(0,OM24-OG24-OG23)*(1-NZ25)</f>
        <v/>
      </c>
      <c r="ON25" s="12">
        <f>OH25+OH24+OH23+MAX(0,ON24-OH24-OH23)*(1-NZ25)</f>
        <v/>
      </c>
      <c r="OO25" s="12">
        <f>OI25+OI24+OI23+MAX(0,OO24-OI24-OI23)*(1-NZ25)</f>
        <v/>
      </c>
      <c r="OP25" s="12">
        <f>OP24+OJ25-OJ13*(AnnualChurn*VLOOKUP(NV25,ChurnSeasonTable,4,FALSE))*POWER(1-(AnnualChurn*VLOOKUP(NV25,ChurnSeasonTable,4,FALSE)),0)</f>
        <v/>
      </c>
      <c r="OQ25" s="12">
        <f>OQ24+OK25-OK13*(AnnualChurn*VLOOKUP(NV25,ChurnSeasonTable,4,FALSE))*POWER(1-(AnnualChurn*VLOOKUP(NV25,ChurnSeasonTable,4,FALSE)),0)</f>
        <v/>
      </c>
      <c r="OR25" s="12">
        <f>OR24+OL25-OL13*(AnnualChurn*VLOOKUP(NV25,ChurnSeasonTable,4,FALSE))*POWER(1-(AnnualChurn*VLOOKUP(NV25,ChurnSeasonTable,4,FALSE)),0)</f>
        <v/>
      </c>
      <c r="OS25" s="12">
        <f>OM25+ON25+OO25+OP25+OQ25+OR25</f>
        <v/>
      </c>
      <c r="OT25" s="9">
        <f>OM25*BlendedPriceEssMonthly*NY25+ON25*BlendedPricePremMonthly*NY25+OO25*BlendedPriceEliteMonthly*NY25+OP25*BlendedPriceEssAnnual*NY25/12+OQ25*BlendedPricePremAnnual*NY25/12+OR25*BlendedPriceEliteAnnual*NY25/12</f>
        <v/>
      </c>
      <c r="OU25" s="9">
        <f>OT25*12</f>
        <v/>
      </c>
      <c r="OV25" s="12">
        <f>OM25*BlendedPriceEssMonthly*NY25+ON25*BlendedPricePremMonthly*NY25+OO25*BlendedPriceEliteMonthly*NY25</f>
        <v/>
      </c>
      <c r="OW25" s="12">
        <f>OJ25*BlendedPriceEssAnnual*NY25+OK25*BlendedPricePremAnnual*NY25+OL25*BlendedPriceEliteAnnual*NY25</f>
        <v/>
      </c>
      <c r="OX25" s="12">
        <f>OJ13*POWER(1-(AnnualChurn*VLOOKUP(NV25,ChurnSeasonTable,4,FALSE)),1)*BlendedPriceEssAnnual*NY25+OK13*POWER(1-(AnnualChurn*VLOOKUP(NV25,ChurnSeasonTable,4,FALSE)),1)*BlendedPricePremAnnual*NY25+OL13*POWER(1-(AnnualChurn*VLOOKUP(NV25,ChurnSeasonTable,4,FALSE)),1)*BlendedPriceEliteAnnual*NY25</f>
        <v/>
      </c>
      <c r="OY25" s="9">
        <f>OV25+OW25+OX25</f>
        <v/>
      </c>
      <c r="OZ25" s="12">
        <f>SUM(OY14:OY25)</f>
        <v/>
      </c>
      <c r="PA25" s="12">
        <f>OR(PA24,IF(VATAgentMode,SUM($OY14:$OY25)-SUM($PF14:$PF25)&gt;=VATThreshold,SUM($OY14:$OY25)&gt;=VATThreshold))</f>
        <v/>
      </c>
      <c r="PB25" s="9">
        <f>IF(PA25,IF(VATAgentMode,OY25-((OY25-PF25)-(OY25-PF25)/(1+VATRate)),OY25/(1+VATRate)),OY25)</f>
        <v/>
      </c>
      <c r="PC25" s="12">
        <f>OY25-PB25</f>
        <v/>
      </c>
      <c r="PD25" s="12">
        <f>IF(PA25=0,0,IF(NV25=1,SUMPRODUCT(--(($NW$5:$NW25=$NW25-1)*($NV$5:$NV25&gt;=10)*($NV$5:$NV25&lt;=12)),$PC$5:$PC25),IF(NV25=4,SUMPRODUCT(--(($NW$5:$NW25=$NW25)*($NV$5:$NV25&gt;=1)*($NV$5:$NV25&lt;=3)),$PC$5:$PC25),IF(NV25=7,SUMPRODUCT(--(($NW$5:$NW25=$NW25)*($NV$5:$NV25&gt;=4)*($NV$5:$NV25&lt;=6)),$PC$5:$PC25),IF(NV25=10,SUMPRODUCT(--(($NW$5:$NW25=$NW25)*($NV$5:$NV25&gt;=7)*($NV$5:$NV25&lt;=9)),$PC$5:$PC25),0)))))</f>
        <v/>
      </c>
      <c r="PE25" s="12">
        <f>PE24+PC25-PD25</f>
        <v/>
      </c>
      <c r="PF25" s="12">
        <f>IF(ProviderDelay&gt;=1,OM24*BlendedProvPayEss+ON24*BlendedProvPayPrem+OO24*BlendedProvPayElite+OP24*BlendedProvPayEss+OQ24*BlendedProvPayPrem+OR24*BlendedProvPayElite,OM25*BlendedProvPayEss+ON25*BlendedProvPayPrem+OO25*BlendedProvPayElite+OP25*BlendedProvPayEss+OQ25*BlendedProvPayPrem+OR25*BlendedProvPayElite)</f>
        <v/>
      </c>
      <c r="PG25" s="12">
        <f>OY25*PaymentFee</f>
        <v/>
      </c>
      <c r="PH25" s="12">
        <f>OS25*OpsAI</f>
        <v/>
      </c>
      <c r="PI25" s="12">
        <f>MonthlyFixed</f>
        <v/>
      </c>
      <c r="PJ25" s="12">
        <f>OC25*ReferralReward</f>
        <v/>
      </c>
      <c r="PK25" s="12">
        <f>OA25</f>
        <v/>
      </c>
      <c r="PL25" s="9">
        <f>PB25-PF25-PG25-PH25-PI25-PJ25-PK25</f>
        <v/>
      </c>
      <c r="PM25" s="9">
        <f>PM24+OY25-(PF25+PG25+PH25+PI25+PJ25+PK25+PD25)</f>
        <v/>
      </c>
      <c r="PN25" s="12">
        <f>IF(OS25&gt;0,OT25/OS25,0)</f>
        <v/>
      </c>
      <c r="PO25" s="11">
        <f>IF(OS24&gt;0,MAX(0,(OS24+OD25-OS25)/OS24),0)</f>
        <v/>
      </c>
      <c r="PQ25" s="12" t="n">
        <v>21</v>
      </c>
      <c r="PR25" s="12">
        <f>MOD(PQ25-1+LaunchMonth-1,12)+1</f>
        <v/>
      </c>
      <c r="PS25" s="12">
        <f>INT((PQ25-1+LaunchMonth-1)/12)+1</f>
        <v/>
      </c>
      <c r="PT25" s="12">
        <f>VLOOKUP(PR25,SeasonTable,2,FALSE)</f>
        <v/>
      </c>
      <c r="PU25" s="12">
        <f>(1+InflationRate)^INT((PQ25-1)/12)</f>
        <v/>
      </c>
      <c r="PV25" s="11">
        <f>'Sens - Churn'!$A$19*VLOOKUP(PR25,ChurnSeasonTable,4,FALSE)</f>
        <v/>
      </c>
      <c r="PW25" s="12">
        <f>MIN(MAX(MktMin19plus,QU24*MktPct19plus),MAX(0,RI24-CashBuffer))</f>
        <v/>
      </c>
      <c r="PX25" s="12">
        <f>IF(PW25&gt;0,MAX(1,ROUND(PW25/CAC*PT25,0)),0)</f>
        <v/>
      </c>
      <c r="PY25" s="12">
        <f>IF(PX25&gt;0,ROUND(PX25*ReferralMix/(1-ReferralMix),0),0)</f>
        <v/>
      </c>
      <c r="PZ25" s="12">
        <f>PX25+PY25</f>
        <v/>
      </c>
      <c r="QA25" s="12">
        <f>ROUND(PZ25*(1-AnnualMix),0)</f>
        <v/>
      </c>
      <c r="QB25" s="12">
        <f>PZ25-QA25</f>
        <v/>
      </c>
      <c r="QC25" s="12">
        <f>ROUND(QA25*EssentialMix,0)</f>
        <v/>
      </c>
      <c r="QD25" s="12">
        <f>ROUND(QA25*PremiumMix,0)</f>
        <v/>
      </c>
      <c r="QE25" s="12">
        <f>QA25-QC25-QD25</f>
        <v/>
      </c>
      <c r="QF25" s="12">
        <f>ROUND(QB25*EssentialMix,0)</f>
        <v/>
      </c>
      <c r="QG25" s="12">
        <f>ROUND(QB25*PremiumMix,0)</f>
        <v/>
      </c>
      <c r="QH25" s="12">
        <f>QB25-QF25-QG25</f>
        <v/>
      </c>
      <c r="QI25" s="12">
        <f>QC25+QC24+QC23+MAX(0,QI24-QC24-QC23)*(1-PV25)</f>
        <v/>
      </c>
      <c r="QJ25" s="12">
        <f>QD25+QD24+QD23+MAX(0,QJ24-QD24-QD23)*(1-PV25)</f>
        <v/>
      </c>
      <c r="QK25" s="12">
        <f>QE25+QE24+QE23+MAX(0,QK24-QE24-QE23)*(1-PV25)</f>
        <v/>
      </c>
      <c r="QL25" s="12">
        <f>QL24+QF25-QF13*(AnnualChurn*VLOOKUP(PR25,ChurnSeasonTable,4,FALSE))*POWER(1-(AnnualChurn*VLOOKUP(PR25,ChurnSeasonTable,4,FALSE)),0)</f>
        <v/>
      </c>
      <c r="QM25" s="12">
        <f>QM24+QG25-QG13*(AnnualChurn*VLOOKUP(PR25,ChurnSeasonTable,4,FALSE))*POWER(1-(AnnualChurn*VLOOKUP(PR25,ChurnSeasonTable,4,FALSE)),0)</f>
        <v/>
      </c>
      <c r="QN25" s="12">
        <f>QN24+QH25-QH13*(AnnualChurn*VLOOKUP(PR25,ChurnSeasonTable,4,FALSE))*POWER(1-(AnnualChurn*VLOOKUP(PR25,ChurnSeasonTable,4,FALSE)),0)</f>
        <v/>
      </c>
      <c r="QO25" s="12">
        <f>QI25+QJ25+QK25+QL25+QM25+QN25</f>
        <v/>
      </c>
      <c r="QP25" s="9">
        <f>QI25*BlendedPriceEssMonthly*PU25+QJ25*BlendedPricePremMonthly*PU25+QK25*BlendedPriceEliteMonthly*PU25+QL25*BlendedPriceEssAnnual*PU25/12+QM25*BlendedPricePremAnnual*PU25/12+QN25*BlendedPriceEliteAnnual*PU25/12</f>
        <v/>
      </c>
      <c r="QQ25" s="9">
        <f>QP25*12</f>
        <v/>
      </c>
      <c r="QR25" s="12">
        <f>QI25*BlendedPriceEssMonthly*PU25+QJ25*BlendedPricePremMonthly*PU25+QK25*BlendedPriceEliteMonthly*PU25</f>
        <v/>
      </c>
      <c r="QS25" s="12">
        <f>QF25*BlendedPriceEssAnnual*PU25+QG25*BlendedPricePremAnnual*PU25+QH25*BlendedPriceEliteAnnual*PU25</f>
        <v/>
      </c>
      <c r="QT25" s="12">
        <f>QF13*POWER(1-(AnnualChurn*VLOOKUP(PR25,ChurnSeasonTable,4,FALSE)),1)*BlendedPriceEssAnnual*PU25+QG13*POWER(1-(AnnualChurn*VLOOKUP(PR25,ChurnSeasonTable,4,FALSE)),1)*BlendedPricePremAnnual*PU25+QH13*POWER(1-(AnnualChurn*VLOOKUP(PR25,ChurnSeasonTable,4,FALSE)),1)*BlendedPriceEliteAnnual*PU25</f>
        <v/>
      </c>
      <c r="QU25" s="9">
        <f>QR25+QS25+QT25</f>
        <v/>
      </c>
      <c r="QV25" s="12">
        <f>SUM(QU14:QU25)</f>
        <v/>
      </c>
      <c r="QW25" s="12">
        <f>OR(QW24,IF(VATAgentMode,SUM($QU14:$QU25)-SUM($RB14:$RB25)&gt;=VATThreshold,SUM($QU14:$QU25)&gt;=VATThreshold))</f>
        <v/>
      </c>
      <c r="QX25" s="9">
        <f>IF(QW25,IF(VATAgentMode,QU25-((QU25-RB25)-(QU25-RB25)/(1+VATRate)),QU25/(1+VATRate)),QU25)</f>
        <v/>
      </c>
      <c r="QY25" s="12">
        <f>QU25-QX25</f>
        <v/>
      </c>
      <c r="QZ25" s="12">
        <f>IF(QW25=0,0,IF(PR25=1,SUMPRODUCT(--(($PS$5:$PS25=$PS25-1)*($PR$5:$PR25&gt;=10)*($PR$5:$PR25&lt;=12)),$QY$5:$QY25),IF(PR25=4,SUMPRODUCT(--(($PS$5:$PS25=$PS25)*($PR$5:$PR25&gt;=1)*($PR$5:$PR25&lt;=3)),$QY$5:$QY25),IF(PR25=7,SUMPRODUCT(--(($PS$5:$PS25=$PS25)*($PR$5:$PR25&gt;=4)*($PR$5:$PR25&lt;=6)),$QY$5:$QY25),IF(PR25=10,SUMPRODUCT(--(($PS$5:$PS25=$PS25)*($PR$5:$PR25&gt;=7)*($PR$5:$PR25&lt;=9)),$QY$5:$QY25),0)))))</f>
        <v/>
      </c>
      <c r="RA25" s="12">
        <f>RA24+QY25-QZ25</f>
        <v/>
      </c>
      <c r="RB25" s="12">
        <f>IF(ProviderDelay&gt;=1,QI24*BlendedProvPayEss+QJ24*BlendedProvPayPrem+QK24*BlendedProvPayElite+QL24*BlendedProvPayEss+QM24*BlendedProvPayPrem+QN24*BlendedProvPayElite,QI25*BlendedProvPayEss+QJ25*BlendedProvPayPrem+QK25*BlendedProvPayElite+QL25*BlendedProvPayEss+QM25*BlendedProvPayPrem+QN25*BlendedProvPayElite)</f>
        <v/>
      </c>
      <c r="RC25" s="12">
        <f>QU25*PaymentFee</f>
        <v/>
      </c>
      <c r="RD25" s="12">
        <f>QO25*OpsAI</f>
        <v/>
      </c>
      <c r="RE25" s="12">
        <f>MonthlyFixed</f>
        <v/>
      </c>
      <c r="RF25" s="12">
        <f>PY25*ReferralReward</f>
        <v/>
      </c>
      <c r="RG25" s="12">
        <f>PW25</f>
        <v/>
      </c>
      <c r="RH25" s="9">
        <f>QX25-RB25-RC25-RD25-RE25-RF25-RG25</f>
        <v/>
      </c>
      <c r="RI25" s="9">
        <f>RI24+QU25-(RB25+RC25+RD25+RE25+RF25+RG25+QZ25)</f>
        <v/>
      </c>
      <c r="RJ25" s="12">
        <f>IF(QO25&gt;0,QP25/QO25,0)</f>
        <v/>
      </c>
      <c r="RK25" s="11">
        <f>IF(QO24&gt;0,MAX(0,(QO24+PZ25-QO25)/QO24),0)</f>
        <v/>
      </c>
      <c r="RM25" s="12" t="n">
        <v>21</v>
      </c>
      <c r="RN25" s="12">
        <f>MOD(RM25-1+LaunchMonth-1,12)+1</f>
        <v/>
      </c>
      <c r="RO25" s="12">
        <f>INT((RM25-1+LaunchMonth-1)/12)+1</f>
        <v/>
      </c>
      <c r="RP25" s="12">
        <f>VLOOKUP(RN25,SeasonTable,2,FALSE)</f>
        <v/>
      </c>
      <c r="RQ25" s="12">
        <f>(1+InflationRate)^INT((RM25-1)/12)</f>
        <v/>
      </c>
      <c r="RR25" s="11">
        <f>'Sens - Churn'!$A$20*VLOOKUP(RN25,ChurnSeasonTable,4,FALSE)</f>
        <v/>
      </c>
      <c r="RS25" s="12">
        <f>MIN(MAX(MktMin19plus,SQ24*MktPct19plus),MAX(0,TE24-CashBuffer))</f>
        <v/>
      </c>
      <c r="RT25" s="12">
        <f>IF(RS25&gt;0,MAX(1,ROUND(RS25/CAC*RP25,0)),0)</f>
        <v/>
      </c>
      <c r="RU25" s="12">
        <f>IF(RT25&gt;0,ROUND(RT25*ReferralMix/(1-ReferralMix),0),0)</f>
        <v/>
      </c>
      <c r="RV25" s="12">
        <f>RT25+RU25</f>
        <v/>
      </c>
      <c r="RW25" s="12">
        <f>ROUND(RV25*(1-AnnualMix),0)</f>
        <v/>
      </c>
      <c r="RX25" s="12">
        <f>RV25-RW25</f>
        <v/>
      </c>
      <c r="RY25" s="12">
        <f>ROUND(RW25*EssentialMix,0)</f>
        <v/>
      </c>
      <c r="RZ25" s="12">
        <f>ROUND(RW25*PremiumMix,0)</f>
        <v/>
      </c>
      <c r="SA25" s="12">
        <f>RW25-RY25-RZ25</f>
        <v/>
      </c>
      <c r="SB25" s="12">
        <f>ROUND(RX25*EssentialMix,0)</f>
        <v/>
      </c>
      <c r="SC25" s="12">
        <f>ROUND(RX25*PremiumMix,0)</f>
        <v/>
      </c>
      <c r="SD25" s="12">
        <f>RX25-SB25-SC25</f>
        <v/>
      </c>
      <c r="SE25" s="12">
        <f>RY25+RY24+RY23+MAX(0,SE24-RY24-RY23)*(1-RR25)</f>
        <v/>
      </c>
      <c r="SF25" s="12">
        <f>RZ25+RZ24+RZ23+MAX(0,SF24-RZ24-RZ23)*(1-RR25)</f>
        <v/>
      </c>
      <c r="SG25" s="12">
        <f>SA25+SA24+SA23+MAX(0,SG24-SA24-SA23)*(1-RR25)</f>
        <v/>
      </c>
      <c r="SH25" s="12">
        <f>SH24+SB25-SB13*(AnnualChurn*VLOOKUP(RN25,ChurnSeasonTable,4,FALSE))*POWER(1-(AnnualChurn*VLOOKUP(RN25,ChurnSeasonTable,4,FALSE)),0)</f>
        <v/>
      </c>
      <c r="SI25" s="12">
        <f>SI24+SC25-SC13*(AnnualChurn*VLOOKUP(RN25,ChurnSeasonTable,4,FALSE))*POWER(1-(AnnualChurn*VLOOKUP(RN25,ChurnSeasonTable,4,FALSE)),0)</f>
        <v/>
      </c>
      <c r="SJ25" s="12">
        <f>SJ24+SD25-SD13*(AnnualChurn*VLOOKUP(RN25,ChurnSeasonTable,4,FALSE))*POWER(1-(AnnualChurn*VLOOKUP(RN25,ChurnSeasonTable,4,FALSE)),0)</f>
        <v/>
      </c>
      <c r="SK25" s="12">
        <f>SE25+SF25+SG25+SH25+SI25+SJ25</f>
        <v/>
      </c>
      <c r="SL25" s="9">
        <f>SE25*BlendedPriceEssMonthly*RQ25+SF25*BlendedPricePremMonthly*RQ25+SG25*BlendedPriceEliteMonthly*RQ25+SH25*BlendedPriceEssAnnual*RQ25/12+SI25*BlendedPricePremAnnual*RQ25/12+SJ25*BlendedPriceEliteAnnual*RQ25/12</f>
        <v/>
      </c>
      <c r="SM25" s="9">
        <f>SL25*12</f>
        <v/>
      </c>
      <c r="SN25" s="12">
        <f>SE25*BlendedPriceEssMonthly*RQ25+SF25*BlendedPricePremMonthly*RQ25+SG25*BlendedPriceEliteMonthly*RQ25</f>
        <v/>
      </c>
      <c r="SO25" s="12">
        <f>SB25*BlendedPriceEssAnnual*RQ25+SC25*BlendedPricePremAnnual*RQ25+SD25*BlendedPriceEliteAnnual*RQ25</f>
        <v/>
      </c>
      <c r="SP25" s="12">
        <f>SB13*POWER(1-(AnnualChurn*VLOOKUP(RN25,ChurnSeasonTable,4,FALSE)),1)*BlendedPriceEssAnnual*RQ25+SC13*POWER(1-(AnnualChurn*VLOOKUP(RN25,ChurnSeasonTable,4,FALSE)),1)*BlendedPricePremAnnual*RQ25+SD13*POWER(1-(AnnualChurn*VLOOKUP(RN25,ChurnSeasonTable,4,FALSE)),1)*BlendedPriceEliteAnnual*RQ25</f>
        <v/>
      </c>
      <c r="SQ25" s="9">
        <f>SN25+SO25+SP25</f>
        <v/>
      </c>
      <c r="SR25" s="12">
        <f>SUM(SQ14:SQ25)</f>
        <v/>
      </c>
      <c r="SS25" s="12">
        <f>OR(SS24,IF(VATAgentMode,SUM($SQ14:$SQ25)-SUM($SX14:$SX25)&gt;=VATThreshold,SUM($SQ14:$SQ25)&gt;=VATThreshold))</f>
        <v/>
      </c>
      <c r="ST25" s="9">
        <f>IF(SS25,IF(VATAgentMode,SQ25-((SQ25-SX25)-(SQ25-SX25)/(1+VATRate)),SQ25/(1+VATRate)),SQ25)</f>
        <v/>
      </c>
      <c r="SU25" s="12">
        <f>SQ25-ST25</f>
        <v/>
      </c>
      <c r="SV25" s="12">
        <f>IF(SS25=0,0,IF(RN25=1,SUMPRODUCT(--(($RO$5:$RO25=$RO25-1)*($RN$5:$RN25&gt;=10)*($RN$5:$RN25&lt;=12)),$SU$5:$SU25),IF(RN25=4,SUMPRODUCT(--(($RO$5:$RO25=$RO25)*($RN$5:$RN25&gt;=1)*($RN$5:$RN25&lt;=3)),$SU$5:$SU25),IF(RN25=7,SUMPRODUCT(--(($RO$5:$RO25=$RO25)*($RN$5:$RN25&gt;=4)*($RN$5:$RN25&lt;=6)),$SU$5:$SU25),IF(RN25=10,SUMPRODUCT(--(($RO$5:$RO25=$RO25)*($RN$5:$RN25&gt;=7)*($RN$5:$RN25&lt;=9)),$SU$5:$SU25),0)))))</f>
        <v/>
      </c>
      <c r="SW25" s="12">
        <f>SW24+SU25-SV25</f>
        <v/>
      </c>
      <c r="SX25" s="12">
        <f>IF(ProviderDelay&gt;=1,SE24*BlendedProvPayEss+SF24*BlendedProvPayPrem+SG24*BlendedProvPayElite+SH24*BlendedProvPayEss+SI24*BlendedProvPayPrem+SJ24*BlendedProvPayElite,SE25*BlendedProvPayEss+SF25*BlendedProvPayPrem+SG25*BlendedProvPayElite+SH25*BlendedProvPayEss+SI25*BlendedProvPayPrem+SJ25*BlendedProvPayElite)</f>
        <v/>
      </c>
      <c r="SY25" s="12">
        <f>SQ25*PaymentFee</f>
        <v/>
      </c>
      <c r="SZ25" s="12">
        <f>SK25*OpsAI</f>
        <v/>
      </c>
      <c r="TA25" s="12">
        <f>MonthlyFixed</f>
        <v/>
      </c>
      <c r="TB25" s="12">
        <f>RU25*ReferralReward</f>
        <v/>
      </c>
      <c r="TC25" s="12">
        <f>RS25</f>
        <v/>
      </c>
      <c r="TD25" s="9">
        <f>ST25-SX25-SY25-SZ25-TA25-TB25-TC25</f>
        <v/>
      </c>
      <c r="TE25" s="9">
        <f>TE24+SQ25-(SX25+SY25+SZ25+TA25+TB25+TC25+SV25)</f>
        <v/>
      </c>
      <c r="TF25" s="12">
        <f>IF(SK25&gt;0,SL25/SK25,0)</f>
        <v/>
      </c>
      <c r="TG25" s="11">
        <f>IF(SK24&gt;0,MAX(0,(SK24+RV25-SK25)/SK24),0)</f>
        <v/>
      </c>
      <c r="TI25" s="12" t="n">
        <v>21</v>
      </c>
      <c r="TJ25" s="12">
        <f>MOD(TI25-1+LaunchMonth-1,12)+1</f>
        <v/>
      </c>
      <c r="TK25" s="12">
        <f>INT((TI25-1+LaunchMonth-1)/12)+1</f>
        <v/>
      </c>
      <c r="TL25" s="12">
        <f>VLOOKUP(TJ25,SeasonTable,2,FALSE)</f>
        <v/>
      </c>
      <c r="TM25" s="12">
        <f>(1+InflationRate)^INT((TI25-1)/12)</f>
        <v/>
      </c>
      <c r="TN25" s="11">
        <f>'Sens - Churn'!$A$21*VLOOKUP(TJ25,ChurnSeasonTable,4,FALSE)</f>
        <v/>
      </c>
      <c r="TO25" s="12">
        <f>MIN(MAX(MktMin19plus,UM24*MktPct19plus),MAX(0,VA24-CashBuffer))</f>
        <v/>
      </c>
      <c r="TP25" s="12">
        <f>IF(TO25&gt;0,MAX(1,ROUND(TO25/CAC*TL25,0)),0)</f>
        <v/>
      </c>
      <c r="TQ25" s="12">
        <f>IF(TP25&gt;0,ROUND(TP25*ReferralMix/(1-ReferralMix),0),0)</f>
        <v/>
      </c>
      <c r="TR25" s="12">
        <f>TP25+TQ25</f>
        <v/>
      </c>
      <c r="TS25" s="12">
        <f>ROUND(TR25*(1-AnnualMix),0)</f>
        <v/>
      </c>
      <c r="TT25" s="12">
        <f>TR25-TS25</f>
        <v/>
      </c>
      <c r="TU25" s="12">
        <f>ROUND(TS25*EssentialMix,0)</f>
        <v/>
      </c>
      <c r="TV25" s="12">
        <f>ROUND(TS25*PremiumMix,0)</f>
        <v/>
      </c>
      <c r="TW25" s="12">
        <f>TS25-TU25-TV25</f>
        <v/>
      </c>
      <c r="TX25" s="12">
        <f>ROUND(TT25*EssentialMix,0)</f>
        <v/>
      </c>
      <c r="TY25" s="12">
        <f>ROUND(TT25*PremiumMix,0)</f>
        <v/>
      </c>
      <c r="TZ25" s="12">
        <f>TT25-TX25-TY25</f>
        <v/>
      </c>
      <c r="UA25" s="12">
        <f>TU25+TU24+TU23+MAX(0,UA24-TU24-TU23)*(1-TN25)</f>
        <v/>
      </c>
      <c r="UB25" s="12">
        <f>TV25+TV24+TV23+MAX(0,UB24-TV24-TV23)*(1-TN25)</f>
        <v/>
      </c>
      <c r="UC25" s="12">
        <f>TW25+TW24+TW23+MAX(0,UC24-TW24-TW23)*(1-TN25)</f>
        <v/>
      </c>
      <c r="UD25" s="12">
        <f>UD24+TX25-TX13*(AnnualChurn*VLOOKUP(TJ25,ChurnSeasonTable,4,FALSE))*POWER(1-(AnnualChurn*VLOOKUP(TJ25,ChurnSeasonTable,4,FALSE)),0)</f>
        <v/>
      </c>
      <c r="UE25" s="12">
        <f>UE24+TY25-TY13*(AnnualChurn*VLOOKUP(TJ25,ChurnSeasonTable,4,FALSE))*POWER(1-(AnnualChurn*VLOOKUP(TJ25,ChurnSeasonTable,4,FALSE)),0)</f>
        <v/>
      </c>
      <c r="UF25" s="12">
        <f>UF24+TZ25-TZ13*(AnnualChurn*VLOOKUP(TJ25,ChurnSeasonTable,4,FALSE))*POWER(1-(AnnualChurn*VLOOKUP(TJ25,ChurnSeasonTable,4,FALSE)),0)</f>
        <v/>
      </c>
      <c r="UG25" s="12">
        <f>UA25+UB25+UC25+UD25+UE25+UF25</f>
        <v/>
      </c>
      <c r="UH25" s="9">
        <f>UA25*BlendedPriceEssMonthly*TM25+UB25*BlendedPricePremMonthly*TM25+UC25*BlendedPriceEliteMonthly*TM25+UD25*BlendedPriceEssAnnual*TM25/12+UE25*BlendedPricePremAnnual*TM25/12+UF25*BlendedPriceEliteAnnual*TM25/12</f>
        <v/>
      </c>
      <c r="UI25" s="9">
        <f>UH25*12</f>
        <v/>
      </c>
      <c r="UJ25" s="12">
        <f>UA25*BlendedPriceEssMonthly*TM25+UB25*BlendedPricePremMonthly*TM25+UC25*BlendedPriceEliteMonthly*TM25</f>
        <v/>
      </c>
      <c r="UK25" s="12">
        <f>TX25*BlendedPriceEssAnnual*TM25+TY25*BlendedPricePremAnnual*TM25+TZ25*BlendedPriceEliteAnnual*TM25</f>
        <v/>
      </c>
      <c r="UL25" s="12">
        <f>TX13*POWER(1-(AnnualChurn*VLOOKUP(TJ25,ChurnSeasonTable,4,FALSE)),1)*BlendedPriceEssAnnual*TM25+TY13*POWER(1-(AnnualChurn*VLOOKUP(TJ25,ChurnSeasonTable,4,FALSE)),1)*BlendedPricePremAnnual*TM25+TZ13*POWER(1-(AnnualChurn*VLOOKUP(TJ25,ChurnSeasonTable,4,FALSE)),1)*BlendedPriceEliteAnnual*TM25</f>
        <v/>
      </c>
      <c r="UM25" s="9">
        <f>UJ25+UK25+UL25</f>
        <v/>
      </c>
      <c r="UN25" s="12">
        <f>SUM(UM14:UM25)</f>
        <v/>
      </c>
      <c r="UO25" s="12">
        <f>OR(UO24,IF(VATAgentMode,SUM($UM14:$UM25)-SUM($UT14:$UT25)&gt;=VATThreshold,SUM($UM14:$UM25)&gt;=VATThreshold))</f>
        <v/>
      </c>
      <c r="UP25" s="9">
        <f>IF(UO25,IF(VATAgentMode,UM25-((UM25-UT25)-(UM25-UT25)/(1+VATRate)),UM25/(1+VATRate)),UM25)</f>
        <v/>
      </c>
      <c r="UQ25" s="12">
        <f>UM25-UP25</f>
        <v/>
      </c>
      <c r="UR25" s="12">
        <f>IF(UO25=0,0,IF(TJ25=1,SUMPRODUCT(--(($TK$5:$TK25=$TK25-1)*($TJ$5:$TJ25&gt;=10)*($TJ$5:$TJ25&lt;=12)),$UQ$5:$UQ25),IF(TJ25=4,SUMPRODUCT(--(($TK$5:$TK25=$TK25)*($TJ$5:$TJ25&gt;=1)*($TJ$5:$TJ25&lt;=3)),$UQ$5:$UQ25),IF(TJ25=7,SUMPRODUCT(--(($TK$5:$TK25=$TK25)*($TJ$5:$TJ25&gt;=4)*($TJ$5:$TJ25&lt;=6)),$UQ$5:$UQ25),IF(TJ25=10,SUMPRODUCT(--(($TK$5:$TK25=$TK25)*($TJ$5:$TJ25&gt;=7)*($TJ$5:$TJ25&lt;=9)),$UQ$5:$UQ25),0)))))</f>
        <v/>
      </c>
      <c r="US25" s="12">
        <f>US24+UQ25-UR25</f>
        <v/>
      </c>
      <c r="UT25" s="12">
        <f>IF(ProviderDelay&gt;=1,UA24*BlendedProvPayEss+UB24*BlendedProvPayPrem+UC24*BlendedProvPayElite+UD24*BlendedProvPayEss+UE24*BlendedProvPayPrem+UF24*BlendedProvPayElite,UA25*BlendedProvPayEss+UB25*BlendedProvPayPrem+UC25*BlendedProvPayElite+UD25*BlendedProvPayEss+UE25*BlendedProvPayPrem+UF25*BlendedProvPayElite)</f>
        <v/>
      </c>
      <c r="UU25" s="12">
        <f>UM25*PaymentFee</f>
        <v/>
      </c>
      <c r="UV25" s="12">
        <f>UG25*OpsAI</f>
        <v/>
      </c>
      <c r="UW25" s="12">
        <f>MonthlyFixed</f>
        <v/>
      </c>
      <c r="UX25" s="12">
        <f>TQ25*ReferralReward</f>
        <v/>
      </c>
      <c r="UY25" s="12">
        <f>TO25</f>
        <v/>
      </c>
      <c r="UZ25" s="9">
        <f>UP25-UT25-UU25-UV25-UW25-UX25-UY25</f>
        <v/>
      </c>
      <c r="VA25" s="9">
        <f>VA24+UM25-(UT25+UU25+UV25+UW25+UX25+UY25+UR25)</f>
        <v/>
      </c>
      <c r="VB25" s="12">
        <f>IF(UG25&gt;0,UH25/UG25,0)</f>
        <v/>
      </c>
      <c r="VC25" s="11">
        <f>IF(UG24&gt;0,MAX(0,(UG24+TR25-UG25)/UG24),0)</f>
        <v/>
      </c>
      <c r="VE25" s="12" t="n">
        <v>21</v>
      </c>
      <c r="VF25" s="12">
        <f>MOD(VE25-1+LaunchMonth-1,12)+1</f>
        <v/>
      </c>
      <c r="VG25" s="12">
        <f>INT((VE25-1+LaunchMonth-1)/12)+1</f>
        <v/>
      </c>
      <c r="VH25" s="12">
        <f>VLOOKUP(VF25,SeasonTable,2,FALSE)</f>
        <v/>
      </c>
      <c r="VI25" s="12">
        <f>(1+InflationRate)^INT((VE25-1)/12)</f>
        <v/>
      </c>
      <c r="VJ25" s="11">
        <f>MonthlyChurn*VLOOKUP(VF25,ChurnSeasonTable,4,FALSE)</f>
        <v/>
      </c>
      <c r="VK25" s="12">
        <f>MIN(MAX(MktMin19plus,WI24*MktPct19plus),MAX(0,WW24-CashBuffer))</f>
        <v/>
      </c>
      <c r="VL25" s="12">
        <f>IF(VK25&gt;0,MAX(1,ROUND(VK25/CAC*VH25,0)),0)</f>
        <v/>
      </c>
      <c r="VM25" s="12">
        <f>IF(VL25&gt;0,ROUND(VL25*ReferralMix/(1-ReferralMix),0),0)</f>
        <v/>
      </c>
      <c r="VN25" s="12">
        <f>VL25+VM25</f>
        <v/>
      </c>
      <c r="VO25" s="12">
        <f>ROUND(VN25*(1-'Sens - Annual Mix'!$A$9),0)</f>
        <v/>
      </c>
      <c r="VP25" s="12">
        <f>VN25-VO25</f>
        <v/>
      </c>
      <c r="VQ25" s="12">
        <f>ROUND(VO25*EssentialMix,0)</f>
        <v/>
      </c>
      <c r="VR25" s="12">
        <f>ROUND(VO25*PremiumMix,0)</f>
        <v/>
      </c>
      <c r="VS25" s="12">
        <f>VO25-VQ25-VR25</f>
        <v/>
      </c>
      <c r="VT25" s="12">
        <f>ROUND(VP25*EssentialMix,0)</f>
        <v/>
      </c>
      <c r="VU25" s="12">
        <f>ROUND(VP25*PremiumMix,0)</f>
        <v/>
      </c>
      <c r="VV25" s="12">
        <f>VP25-VT25-VU25</f>
        <v/>
      </c>
      <c r="VW25" s="12">
        <f>VQ25+VQ24+VQ23+MAX(0,VW24-VQ24-VQ23)*(1-VJ25)</f>
        <v/>
      </c>
      <c r="VX25" s="12">
        <f>VR25+VR24+VR23+MAX(0,VX24-VR24-VR23)*(1-VJ25)</f>
        <v/>
      </c>
      <c r="VY25" s="12">
        <f>VS25+VS24+VS23+MAX(0,VY24-VS24-VS23)*(1-VJ25)</f>
        <v/>
      </c>
      <c r="VZ25" s="12">
        <f>VZ24+VT25-VT13*(AnnualChurn*VLOOKUP(VF25,ChurnSeasonTable,4,FALSE))*POWER(1-(AnnualChurn*VLOOKUP(VF25,ChurnSeasonTable,4,FALSE)),0)</f>
        <v/>
      </c>
      <c r="WA25" s="12">
        <f>WA24+VU25-VU13*(AnnualChurn*VLOOKUP(VF25,ChurnSeasonTable,4,FALSE))*POWER(1-(AnnualChurn*VLOOKUP(VF25,ChurnSeasonTable,4,FALSE)),0)</f>
        <v/>
      </c>
      <c r="WB25" s="12">
        <f>WB24+VV25-VV13*(AnnualChurn*VLOOKUP(VF25,ChurnSeasonTable,4,FALSE))*POWER(1-(AnnualChurn*VLOOKUP(VF25,ChurnSeasonTable,4,FALSE)),0)</f>
        <v/>
      </c>
      <c r="WC25" s="12">
        <f>VW25+VX25+VY25+VZ25+WA25+WB25</f>
        <v/>
      </c>
      <c r="WD25" s="9">
        <f>VW25*BlendedPriceEssMonthly*VI25+VX25*BlendedPricePremMonthly*VI25+VY25*BlendedPriceEliteMonthly*VI25+VZ25*BlendedPriceEssAnnual*VI25/12+WA25*BlendedPricePremAnnual*VI25/12+WB25*BlendedPriceEliteAnnual*VI25/12</f>
        <v/>
      </c>
      <c r="WE25" s="9">
        <f>WD25*12</f>
        <v/>
      </c>
      <c r="WF25" s="12">
        <f>VW25*BlendedPriceEssMonthly*VI25+VX25*BlendedPricePremMonthly*VI25+VY25*BlendedPriceEliteMonthly*VI25</f>
        <v/>
      </c>
      <c r="WG25" s="12">
        <f>VT25*BlendedPriceEssAnnual*VI25+VU25*BlendedPricePremAnnual*VI25+VV25*BlendedPriceEliteAnnual*VI25</f>
        <v/>
      </c>
      <c r="WH25" s="12">
        <f>VT13*POWER(1-(AnnualChurn*VLOOKUP(VF25,ChurnSeasonTable,4,FALSE)),1)*BlendedPriceEssAnnual*VI25+VU13*POWER(1-(AnnualChurn*VLOOKUP(VF25,ChurnSeasonTable,4,FALSE)),1)*BlendedPricePremAnnual*VI25+VV13*POWER(1-(AnnualChurn*VLOOKUP(VF25,ChurnSeasonTable,4,FALSE)),1)*BlendedPriceEliteAnnual*VI25</f>
        <v/>
      </c>
      <c r="WI25" s="9">
        <f>WF25+WG25+WH25</f>
        <v/>
      </c>
      <c r="WJ25" s="12">
        <f>SUM(WI14:WI25)</f>
        <v/>
      </c>
      <c r="WK25" s="12">
        <f>OR(WK24,IF(VATAgentMode,SUM($WI14:$WI25)-SUM($WP14:$WP25)&gt;=VATThreshold,SUM($WI14:$WI25)&gt;=VATThreshold))</f>
        <v/>
      </c>
      <c r="WL25" s="9">
        <f>IF(WK25,IF(VATAgentMode,WI25-((WI25-WP25)-(WI25-WP25)/(1+VATRate)),WI25/(1+VATRate)),WI25)</f>
        <v/>
      </c>
      <c r="WM25" s="12">
        <f>WI25-WL25</f>
        <v/>
      </c>
      <c r="WN25" s="12">
        <f>IF(WK25=0,0,IF(VF25=1,SUMPRODUCT(--(($VG$5:$VG25=$VG25-1)*($VF$5:$VF25&gt;=10)*($VF$5:$VF25&lt;=12)),$WM$5:$WM25),IF(VF25=4,SUMPRODUCT(--(($VG$5:$VG25=$VG25)*($VF$5:$VF25&gt;=1)*($VF$5:$VF25&lt;=3)),$WM$5:$WM25),IF(VF25=7,SUMPRODUCT(--(($VG$5:$VG25=$VG25)*($VF$5:$VF25&gt;=4)*($VF$5:$VF25&lt;=6)),$WM$5:$WM25),IF(VF25=10,SUMPRODUCT(--(($VG$5:$VG25=$VG25)*($VF$5:$VF25&gt;=7)*($VF$5:$VF25&lt;=9)),$WM$5:$WM25),0)))))</f>
        <v/>
      </c>
      <c r="WO25" s="12">
        <f>WO24+WM25-WN25</f>
        <v/>
      </c>
      <c r="WP25" s="12">
        <f>IF(ProviderDelay&gt;=1,VW24*BlendedProvPayEss+VX24*BlendedProvPayPrem+VY24*BlendedProvPayElite+VZ24*BlendedProvPayEss+WA24*BlendedProvPayPrem+WB24*BlendedProvPayElite,VW25*BlendedProvPayEss+VX25*BlendedProvPayPrem+VY25*BlendedProvPayElite+VZ25*BlendedProvPayEss+WA25*BlendedProvPayPrem+WB25*BlendedProvPayElite)</f>
        <v/>
      </c>
      <c r="WQ25" s="12">
        <f>WI25*PaymentFee</f>
        <v/>
      </c>
      <c r="WR25" s="12">
        <f>WC25*OpsAI</f>
        <v/>
      </c>
      <c r="WS25" s="12">
        <f>MonthlyFixed</f>
        <v/>
      </c>
      <c r="WT25" s="12">
        <f>VM25*ReferralReward</f>
        <v/>
      </c>
      <c r="WU25" s="12">
        <f>VK25</f>
        <v/>
      </c>
      <c r="WV25" s="9">
        <f>WL25-WP25-WQ25-WR25-WS25-WT25-WU25</f>
        <v/>
      </c>
      <c r="WW25" s="9">
        <f>WW24+WI25-(WP25+WQ25+WR25+WS25+WT25+WU25+WN25)</f>
        <v/>
      </c>
      <c r="WX25" s="12">
        <f>IF(WC25&gt;0,WD25/WC25,0)</f>
        <v/>
      </c>
      <c r="WY25" s="11">
        <f>IF(WC24&gt;0,MAX(0,(WC24+VN25-WC25)/WC24),0)</f>
        <v/>
      </c>
      <c r="XA25" s="12" t="n">
        <v>21</v>
      </c>
      <c r="XB25" s="12">
        <f>MOD(XA25-1+LaunchMonth-1,12)+1</f>
        <v/>
      </c>
      <c r="XC25" s="12">
        <f>INT((XA25-1+LaunchMonth-1)/12)+1</f>
        <v/>
      </c>
      <c r="XD25" s="12">
        <f>VLOOKUP(XB25,SeasonTable,2,FALSE)</f>
        <v/>
      </c>
      <c r="XE25" s="12">
        <f>(1+InflationRate)^INT((XA25-1)/12)</f>
        <v/>
      </c>
      <c r="XF25" s="11">
        <f>MonthlyChurn*VLOOKUP(XB25,ChurnSeasonTable,4,FALSE)</f>
        <v/>
      </c>
      <c r="XG25" s="12">
        <f>MIN(MAX(MktMin19plus,YE24*MktPct19plus),MAX(0,YS24-CashBuffer))</f>
        <v/>
      </c>
      <c r="XH25" s="12">
        <f>IF(XG25&gt;0,MAX(1,ROUND(XG25/CAC*XD25,0)),0)</f>
        <v/>
      </c>
      <c r="XI25" s="12">
        <f>IF(XH25&gt;0,ROUND(XH25*ReferralMix/(1-ReferralMix),0),0)</f>
        <v/>
      </c>
      <c r="XJ25" s="12">
        <f>XH25+XI25</f>
        <v/>
      </c>
      <c r="XK25" s="12">
        <f>ROUND(XJ25*(1-'Sens - Annual Mix'!$A$10),0)</f>
        <v/>
      </c>
      <c r="XL25" s="12">
        <f>XJ25-XK25</f>
        <v/>
      </c>
      <c r="XM25" s="12">
        <f>ROUND(XK25*EssentialMix,0)</f>
        <v/>
      </c>
      <c r="XN25" s="12">
        <f>ROUND(XK25*PremiumMix,0)</f>
        <v/>
      </c>
      <c r="XO25" s="12">
        <f>XK25-XM25-XN25</f>
        <v/>
      </c>
      <c r="XP25" s="12">
        <f>ROUND(XL25*EssentialMix,0)</f>
        <v/>
      </c>
      <c r="XQ25" s="12">
        <f>ROUND(XL25*PremiumMix,0)</f>
        <v/>
      </c>
      <c r="XR25" s="12">
        <f>XL25-XP25-XQ25</f>
        <v/>
      </c>
      <c r="XS25" s="12">
        <f>XM25+XM24+XM23+MAX(0,XS24-XM24-XM23)*(1-XF25)</f>
        <v/>
      </c>
      <c r="XT25" s="12">
        <f>XN25+XN24+XN23+MAX(0,XT24-XN24-XN23)*(1-XF25)</f>
        <v/>
      </c>
      <c r="XU25" s="12">
        <f>XO25+XO24+XO23+MAX(0,XU24-XO24-XO23)*(1-XF25)</f>
        <v/>
      </c>
      <c r="XV25" s="12">
        <f>XV24+XP25-XP13*(AnnualChurn*VLOOKUP(XB25,ChurnSeasonTable,4,FALSE))*POWER(1-(AnnualChurn*VLOOKUP(XB25,ChurnSeasonTable,4,FALSE)),0)</f>
        <v/>
      </c>
      <c r="XW25" s="12">
        <f>XW24+XQ25-XQ13*(AnnualChurn*VLOOKUP(XB25,ChurnSeasonTable,4,FALSE))*POWER(1-(AnnualChurn*VLOOKUP(XB25,ChurnSeasonTable,4,FALSE)),0)</f>
        <v/>
      </c>
      <c r="XX25" s="12">
        <f>XX24+XR25-XR13*(AnnualChurn*VLOOKUP(XB25,ChurnSeasonTable,4,FALSE))*POWER(1-(AnnualChurn*VLOOKUP(XB25,ChurnSeasonTable,4,FALSE)),0)</f>
        <v/>
      </c>
      <c r="XY25" s="12">
        <f>XS25+XT25+XU25+XV25+XW25+XX25</f>
        <v/>
      </c>
      <c r="XZ25" s="9">
        <f>XS25*BlendedPriceEssMonthly*XE25+XT25*BlendedPricePremMonthly*XE25+XU25*BlendedPriceEliteMonthly*XE25+XV25*BlendedPriceEssAnnual*XE25/12+XW25*BlendedPricePremAnnual*XE25/12+XX25*BlendedPriceEliteAnnual*XE25/12</f>
        <v/>
      </c>
      <c r="YA25" s="9">
        <f>XZ25*12</f>
        <v/>
      </c>
      <c r="YB25" s="12">
        <f>XS25*BlendedPriceEssMonthly*XE25+XT25*BlendedPricePremMonthly*XE25+XU25*BlendedPriceEliteMonthly*XE25</f>
        <v/>
      </c>
      <c r="YC25" s="12">
        <f>XP25*BlendedPriceEssAnnual*XE25+XQ25*BlendedPricePremAnnual*XE25+XR25*BlendedPriceEliteAnnual*XE25</f>
        <v/>
      </c>
      <c r="YD25" s="12">
        <f>XP13*POWER(1-(AnnualChurn*VLOOKUP(XB25,ChurnSeasonTable,4,FALSE)),1)*BlendedPriceEssAnnual*XE25+XQ13*POWER(1-(AnnualChurn*VLOOKUP(XB25,ChurnSeasonTable,4,FALSE)),1)*BlendedPricePremAnnual*XE25+XR13*POWER(1-(AnnualChurn*VLOOKUP(XB25,ChurnSeasonTable,4,FALSE)),1)*BlendedPriceEliteAnnual*XE25</f>
        <v/>
      </c>
      <c r="YE25" s="9">
        <f>YB25+YC25+YD25</f>
        <v/>
      </c>
      <c r="YF25" s="12">
        <f>SUM(YE14:YE25)</f>
        <v/>
      </c>
      <c r="YG25" s="12">
        <f>OR(YG24,IF(VATAgentMode,SUM($YE14:$YE25)-SUM($YL14:$YL25)&gt;=VATThreshold,SUM($YE14:$YE25)&gt;=VATThreshold))</f>
        <v/>
      </c>
      <c r="YH25" s="9">
        <f>IF(YG25,IF(VATAgentMode,YE25-((YE25-YL25)-(YE25-YL25)/(1+VATRate)),YE25/(1+VATRate)),YE25)</f>
        <v/>
      </c>
      <c r="YI25" s="12">
        <f>YE25-YH25</f>
        <v/>
      </c>
      <c r="YJ25" s="12">
        <f>IF(YG25=0,0,IF(XB25=1,SUMPRODUCT(--(($XC$5:$XC25=$XC25-1)*($XB$5:$XB25&gt;=10)*($XB$5:$XB25&lt;=12)),$YI$5:$YI25),IF(XB25=4,SUMPRODUCT(--(($XC$5:$XC25=$XC25)*($XB$5:$XB25&gt;=1)*($XB$5:$XB25&lt;=3)),$YI$5:$YI25),IF(XB25=7,SUMPRODUCT(--(($XC$5:$XC25=$XC25)*($XB$5:$XB25&gt;=4)*($XB$5:$XB25&lt;=6)),$YI$5:$YI25),IF(XB25=10,SUMPRODUCT(--(($XC$5:$XC25=$XC25)*($XB$5:$XB25&gt;=7)*($XB$5:$XB25&lt;=9)),$YI$5:$YI25),0)))))</f>
        <v/>
      </c>
      <c r="YK25" s="12">
        <f>YK24+YI25-YJ25</f>
        <v/>
      </c>
      <c r="YL25" s="12">
        <f>IF(ProviderDelay&gt;=1,XS24*BlendedProvPayEss+XT24*BlendedProvPayPrem+XU24*BlendedProvPayElite+XV24*BlendedProvPayEss+XW24*BlendedProvPayPrem+XX24*BlendedProvPayElite,XS25*BlendedProvPayEss+XT25*BlendedProvPayPrem+XU25*BlendedProvPayElite+XV25*BlendedProvPayEss+XW25*BlendedProvPayPrem+XX25*BlendedProvPayElite)</f>
        <v/>
      </c>
      <c r="YM25" s="12">
        <f>YE25*PaymentFee</f>
        <v/>
      </c>
      <c r="YN25" s="12">
        <f>XY25*OpsAI</f>
        <v/>
      </c>
      <c r="YO25" s="12">
        <f>MonthlyFixed</f>
        <v/>
      </c>
      <c r="YP25" s="12">
        <f>XI25*ReferralReward</f>
        <v/>
      </c>
      <c r="YQ25" s="12">
        <f>XG25</f>
        <v/>
      </c>
      <c r="YR25" s="9">
        <f>YH25-YL25-YM25-YN25-YO25-YP25-YQ25</f>
        <v/>
      </c>
      <c r="YS25" s="9">
        <f>YS24+YE25-(YL25+YM25+YN25+YO25+YP25+YQ25+YJ25)</f>
        <v/>
      </c>
      <c r="YT25" s="12">
        <f>IF(XY25&gt;0,XZ25/XY25,0)</f>
        <v/>
      </c>
      <c r="YU25" s="11">
        <f>IF(XY24&gt;0,MAX(0,(XY24+XJ25-XY25)/XY24),0)</f>
        <v/>
      </c>
      <c r="YW25" s="12" t="n">
        <v>21</v>
      </c>
      <c r="YX25" s="12">
        <f>MOD(YW25-1+LaunchMonth-1,12)+1</f>
        <v/>
      </c>
      <c r="YY25" s="12">
        <f>INT((YW25-1+LaunchMonth-1)/12)+1</f>
        <v/>
      </c>
      <c r="YZ25" s="12">
        <f>VLOOKUP(YX25,SeasonTable,2,FALSE)</f>
        <v/>
      </c>
      <c r="ZA25" s="12">
        <f>(1+InflationRate)^INT((YW25-1)/12)</f>
        <v/>
      </c>
      <c r="ZB25" s="11">
        <f>MonthlyChurn*VLOOKUP(YX25,ChurnSeasonTable,4,FALSE)</f>
        <v/>
      </c>
      <c r="ZC25" s="12">
        <f>MIN(MAX(MktMin19plus,AAA24*MktPct19plus),MAX(0,AAO24-CashBuffer))</f>
        <v/>
      </c>
      <c r="ZD25" s="12">
        <f>IF(ZC25&gt;0,MAX(1,ROUND(ZC25/CAC*YZ25,0)),0)</f>
        <v/>
      </c>
      <c r="ZE25" s="12">
        <f>IF(ZD25&gt;0,ROUND(ZD25*ReferralMix/(1-ReferralMix),0),0)</f>
        <v/>
      </c>
      <c r="ZF25" s="12">
        <f>ZD25+ZE25</f>
        <v/>
      </c>
      <c r="ZG25" s="12">
        <f>ROUND(ZF25*(1-'Sens - Annual Mix'!$A$11),0)</f>
        <v/>
      </c>
      <c r="ZH25" s="12">
        <f>ZF25-ZG25</f>
        <v/>
      </c>
      <c r="ZI25" s="12">
        <f>ROUND(ZG25*EssentialMix,0)</f>
        <v/>
      </c>
      <c r="ZJ25" s="12">
        <f>ROUND(ZG25*PremiumMix,0)</f>
        <v/>
      </c>
      <c r="ZK25" s="12">
        <f>ZG25-ZI25-ZJ25</f>
        <v/>
      </c>
      <c r="ZL25" s="12">
        <f>ROUND(ZH25*EssentialMix,0)</f>
        <v/>
      </c>
      <c r="ZM25" s="12">
        <f>ROUND(ZH25*PremiumMix,0)</f>
        <v/>
      </c>
      <c r="ZN25" s="12">
        <f>ZH25-ZL25-ZM25</f>
        <v/>
      </c>
      <c r="ZO25" s="12">
        <f>ZI25+ZI24+ZI23+MAX(0,ZO24-ZI24-ZI23)*(1-ZB25)</f>
        <v/>
      </c>
      <c r="ZP25" s="12">
        <f>ZJ25+ZJ24+ZJ23+MAX(0,ZP24-ZJ24-ZJ23)*(1-ZB25)</f>
        <v/>
      </c>
      <c r="ZQ25" s="12">
        <f>ZK25+ZK24+ZK23+MAX(0,ZQ24-ZK24-ZK23)*(1-ZB25)</f>
        <v/>
      </c>
      <c r="ZR25" s="12">
        <f>ZR24+ZL25-ZL13*(AnnualChurn*VLOOKUP(YX25,ChurnSeasonTable,4,FALSE))*POWER(1-(AnnualChurn*VLOOKUP(YX25,ChurnSeasonTable,4,FALSE)),0)</f>
        <v/>
      </c>
      <c r="ZS25" s="12">
        <f>ZS24+ZM25-ZM13*(AnnualChurn*VLOOKUP(YX25,ChurnSeasonTable,4,FALSE))*POWER(1-(AnnualChurn*VLOOKUP(YX25,ChurnSeasonTable,4,FALSE)),0)</f>
        <v/>
      </c>
      <c r="ZT25" s="12">
        <f>ZT24+ZN25-ZN13*(AnnualChurn*VLOOKUP(YX25,ChurnSeasonTable,4,FALSE))*POWER(1-(AnnualChurn*VLOOKUP(YX25,ChurnSeasonTable,4,FALSE)),0)</f>
        <v/>
      </c>
      <c r="ZU25" s="12">
        <f>ZO25+ZP25+ZQ25+ZR25+ZS25+ZT25</f>
        <v/>
      </c>
      <c r="ZV25" s="9">
        <f>ZO25*BlendedPriceEssMonthly*ZA25+ZP25*BlendedPricePremMonthly*ZA25+ZQ25*BlendedPriceEliteMonthly*ZA25+ZR25*BlendedPriceEssAnnual*ZA25/12+ZS25*BlendedPricePremAnnual*ZA25/12+ZT25*BlendedPriceEliteAnnual*ZA25/12</f>
        <v/>
      </c>
      <c r="ZW25" s="9">
        <f>ZV25*12</f>
        <v/>
      </c>
      <c r="ZX25" s="12">
        <f>ZO25*BlendedPriceEssMonthly*ZA25+ZP25*BlendedPricePremMonthly*ZA25+ZQ25*BlendedPriceEliteMonthly*ZA25</f>
        <v/>
      </c>
      <c r="ZY25" s="12">
        <f>ZL25*BlendedPriceEssAnnual*ZA25+ZM25*BlendedPricePremAnnual*ZA25+ZN25*BlendedPriceEliteAnnual*ZA25</f>
        <v/>
      </c>
      <c r="ZZ25" s="12">
        <f>ZL13*POWER(1-(AnnualChurn*VLOOKUP(YX25,ChurnSeasonTable,4,FALSE)),1)*BlendedPriceEssAnnual*ZA25+ZM13*POWER(1-(AnnualChurn*VLOOKUP(YX25,ChurnSeasonTable,4,FALSE)),1)*BlendedPricePremAnnual*ZA25+ZN13*POWER(1-(AnnualChurn*VLOOKUP(YX25,ChurnSeasonTable,4,FALSE)),1)*BlendedPriceEliteAnnual*ZA25</f>
        <v/>
      </c>
      <c r="AAA25" s="9">
        <f>ZX25+ZY25+ZZ25</f>
        <v/>
      </c>
      <c r="AAB25" s="12">
        <f>SUM(AAA14:AAA25)</f>
        <v/>
      </c>
      <c r="AAC25" s="12">
        <f>OR(AAC24,IF(VATAgentMode,SUM($AAA14:$AAA25)-SUM($AAH14:$AAH25)&gt;=VATThreshold,SUM($AAA14:$AAA25)&gt;=VATThreshold))</f>
        <v/>
      </c>
      <c r="AAD25" s="9">
        <f>IF(AAC25,IF(VATAgentMode,AAA25-((AAA25-AAH25)-(AAA25-AAH25)/(1+VATRate)),AAA25/(1+VATRate)),AAA25)</f>
        <v/>
      </c>
      <c r="AAE25" s="12">
        <f>AAA25-AAD25</f>
        <v/>
      </c>
      <c r="AAF25" s="12">
        <f>IF(AAC25=0,0,IF(YX25=1,SUMPRODUCT(--(($YY$5:$YY25=$YY25-1)*($YX$5:$YX25&gt;=10)*($YX$5:$YX25&lt;=12)),$AAE$5:$AAE25),IF(YX25=4,SUMPRODUCT(--(($YY$5:$YY25=$YY25)*($YX$5:$YX25&gt;=1)*($YX$5:$YX25&lt;=3)),$AAE$5:$AAE25),IF(YX25=7,SUMPRODUCT(--(($YY$5:$YY25=$YY25)*($YX$5:$YX25&gt;=4)*($YX$5:$YX25&lt;=6)),$AAE$5:$AAE25),IF(YX25=10,SUMPRODUCT(--(($YY$5:$YY25=$YY25)*($YX$5:$YX25&gt;=7)*($YX$5:$YX25&lt;=9)),$AAE$5:$AAE25),0)))))</f>
        <v/>
      </c>
      <c r="AAG25" s="12">
        <f>AAG24+AAE25-AAF25</f>
        <v/>
      </c>
      <c r="AAH25" s="12">
        <f>IF(ProviderDelay&gt;=1,ZO24*BlendedProvPayEss+ZP24*BlendedProvPayPrem+ZQ24*BlendedProvPayElite+ZR24*BlendedProvPayEss+ZS24*BlendedProvPayPrem+ZT24*BlendedProvPayElite,ZO25*BlendedProvPayEss+ZP25*BlendedProvPayPrem+ZQ25*BlendedProvPayElite+ZR25*BlendedProvPayEss+ZS25*BlendedProvPayPrem+ZT25*BlendedProvPayElite)</f>
        <v/>
      </c>
      <c r="AAI25" s="12">
        <f>AAA25*PaymentFee</f>
        <v/>
      </c>
      <c r="AAJ25" s="12">
        <f>ZU25*OpsAI</f>
        <v/>
      </c>
      <c r="AAK25" s="12">
        <f>MonthlyFixed</f>
        <v/>
      </c>
      <c r="AAL25" s="12">
        <f>ZE25*ReferralReward</f>
        <v/>
      </c>
      <c r="AAM25" s="12">
        <f>ZC25</f>
        <v/>
      </c>
      <c r="AAN25" s="9">
        <f>AAD25-AAH25-AAI25-AAJ25-AAK25-AAL25-AAM25</f>
        <v/>
      </c>
      <c r="AAO25" s="9">
        <f>AAO24+AAA25-(AAH25+AAI25+AAJ25+AAK25+AAL25+AAM25+AAF25)</f>
        <v/>
      </c>
      <c r="AAP25" s="12">
        <f>IF(ZU25&gt;0,ZV25/ZU25,0)</f>
        <v/>
      </c>
      <c r="AAQ25" s="11">
        <f>IF(ZU24&gt;0,MAX(0,(ZU24+ZF25-ZU25)/ZU24),0)</f>
        <v/>
      </c>
      <c r="AAS25" s="12" t="n">
        <v>21</v>
      </c>
      <c r="AAT25" s="12">
        <f>MOD(AAS25-1+LaunchMonth-1,12)+1</f>
        <v/>
      </c>
      <c r="AAU25" s="12">
        <f>INT((AAS25-1+LaunchMonth-1)/12)+1</f>
        <v/>
      </c>
      <c r="AAV25" s="12">
        <f>VLOOKUP(AAT25,SeasonTable,2,FALSE)</f>
        <v/>
      </c>
      <c r="AAW25" s="12">
        <f>(1+InflationRate)^INT((AAS25-1)/12)</f>
        <v/>
      </c>
      <c r="AAX25" s="11">
        <f>MonthlyChurn*VLOOKUP(AAT25,ChurnSeasonTable,4,FALSE)</f>
        <v/>
      </c>
      <c r="AAY25" s="12">
        <f>MIN(MAX(MktMin19plus,ABW24*MktPct19plus),MAX(0,ACK24-CashBuffer))</f>
        <v/>
      </c>
      <c r="AAZ25" s="12">
        <f>IF(AAY25&gt;0,MAX(1,ROUND(AAY25/CAC*AAV25,0)),0)</f>
        <v/>
      </c>
      <c r="ABA25" s="12">
        <f>IF(AAZ25&gt;0,ROUND(AAZ25*ReferralMix/(1-ReferralMix),0),0)</f>
        <v/>
      </c>
      <c r="ABB25" s="12">
        <f>AAZ25+ABA25</f>
        <v/>
      </c>
      <c r="ABC25" s="12">
        <f>ROUND(ABB25*(1-'Sens - Annual Mix'!$A$12),0)</f>
        <v/>
      </c>
      <c r="ABD25" s="12">
        <f>ABB25-ABC25</f>
        <v/>
      </c>
      <c r="ABE25" s="12">
        <f>ROUND(ABC25*EssentialMix,0)</f>
        <v/>
      </c>
      <c r="ABF25" s="12">
        <f>ROUND(ABC25*PremiumMix,0)</f>
        <v/>
      </c>
      <c r="ABG25" s="12">
        <f>ABC25-ABE25-ABF25</f>
        <v/>
      </c>
      <c r="ABH25" s="12">
        <f>ROUND(ABD25*EssentialMix,0)</f>
        <v/>
      </c>
      <c r="ABI25" s="12">
        <f>ROUND(ABD25*PremiumMix,0)</f>
        <v/>
      </c>
      <c r="ABJ25" s="12">
        <f>ABD25-ABH25-ABI25</f>
        <v/>
      </c>
      <c r="ABK25" s="12">
        <f>ABE25+ABE24+ABE23+MAX(0,ABK24-ABE24-ABE23)*(1-AAX25)</f>
        <v/>
      </c>
      <c r="ABL25" s="12">
        <f>ABF25+ABF24+ABF23+MAX(0,ABL24-ABF24-ABF23)*(1-AAX25)</f>
        <v/>
      </c>
      <c r="ABM25" s="12">
        <f>ABG25+ABG24+ABG23+MAX(0,ABM24-ABG24-ABG23)*(1-AAX25)</f>
        <v/>
      </c>
      <c r="ABN25" s="12">
        <f>ABN24+ABH25-ABH13*(AnnualChurn*VLOOKUP(AAT25,ChurnSeasonTable,4,FALSE))*POWER(1-(AnnualChurn*VLOOKUP(AAT25,ChurnSeasonTable,4,FALSE)),0)</f>
        <v/>
      </c>
      <c r="ABO25" s="12">
        <f>ABO24+ABI25-ABI13*(AnnualChurn*VLOOKUP(AAT25,ChurnSeasonTable,4,FALSE))*POWER(1-(AnnualChurn*VLOOKUP(AAT25,ChurnSeasonTable,4,FALSE)),0)</f>
        <v/>
      </c>
      <c r="ABP25" s="12">
        <f>ABP24+ABJ25-ABJ13*(AnnualChurn*VLOOKUP(AAT25,ChurnSeasonTable,4,FALSE))*POWER(1-(AnnualChurn*VLOOKUP(AAT25,ChurnSeasonTable,4,FALSE)),0)</f>
        <v/>
      </c>
      <c r="ABQ25" s="12">
        <f>ABK25+ABL25+ABM25+ABN25+ABO25+ABP25</f>
        <v/>
      </c>
      <c r="ABR25" s="9">
        <f>ABK25*BlendedPriceEssMonthly*AAW25+ABL25*BlendedPricePremMonthly*AAW25+ABM25*BlendedPriceEliteMonthly*AAW25+ABN25*BlendedPriceEssAnnual*AAW25/12+ABO25*BlendedPricePremAnnual*AAW25/12+ABP25*BlendedPriceEliteAnnual*AAW25/12</f>
        <v/>
      </c>
      <c r="ABS25" s="9">
        <f>ABR25*12</f>
        <v/>
      </c>
      <c r="ABT25" s="12">
        <f>ABK25*BlendedPriceEssMonthly*AAW25+ABL25*BlendedPricePremMonthly*AAW25+ABM25*BlendedPriceEliteMonthly*AAW25</f>
        <v/>
      </c>
      <c r="ABU25" s="12">
        <f>ABH25*BlendedPriceEssAnnual*AAW25+ABI25*BlendedPricePremAnnual*AAW25+ABJ25*BlendedPriceEliteAnnual*AAW25</f>
        <v/>
      </c>
      <c r="ABV25" s="12">
        <f>ABH13*POWER(1-(AnnualChurn*VLOOKUP(AAT25,ChurnSeasonTable,4,FALSE)),1)*BlendedPriceEssAnnual*AAW25+ABI13*POWER(1-(AnnualChurn*VLOOKUP(AAT25,ChurnSeasonTable,4,FALSE)),1)*BlendedPricePremAnnual*AAW25+ABJ13*POWER(1-(AnnualChurn*VLOOKUP(AAT25,ChurnSeasonTable,4,FALSE)),1)*BlendedPriceEliteAnnual*AAW25</f>
        <v/>
      </c>
      <c r="ABW25" s="9">
        <f>ABT25+ABU25+ABV25</f>
        <v/>
      </c>
      <c r="ABX25" s="12">
        <f>SUM(ABW14:ABW25)</f>
        <v/>
      </c>
      <c r="ABY25" s="12">
        <f>OR(ABY24,IF(VATAgentMode,SUM($ABW14:$ABW25)-SUM($ACD14:$ACD25)&gt;=VATThreshold,SUM($ABW14:$ABW25)&gt;=VATThreshold))</f>
        <v/>
      </c>
      <c r="ABZ25" s="9">
        <f>IF(ABY25,IF(VATAgentMode,ABW25-((ABW25-ACD25)-(ABW25-ACD25)/(1+VATRate)),ABW25/(1+VATRate)),ABW25)</f>
        <v/>
      </c>
      <c r="ACA25" s="12">
        <f>ABW25-ABZ25</f>
        <v/>
      </c>
      <c r="ACB25" s="12">
        <f>IF(ABY25=0,0,IF(AAT25=1,SUMPRODUCT(--(($AAU$5:$AAU25=$AAU25-1)*($AAT$5:$AAT25&gt;=10)*($AAT$5:$AAT25&lt;=12)),$ACA$5:$ACA25),IF(AAT25=4,SUMPRODUCT(--(($AAU$5:$AAU25=$AAU25)*($AAT$5:$AAT25&gt;=1)*($AAT$5:$AAT25&lt;=3)),$ACA$5:$ACA25),IF(AAT25=7,SUMPRODUCT(--(($AAU$5:$AAU25=$AAU25)*($AAT$5:$AAT25&gt;=4)*($AAT$5:$AAT25&lt;=6)),$ACA$5:$ACA25),IF(AAT25=10,SUMPRODUCT(--(($AAU$5:$AAU25=$AAU25)*($AAT$5:$AAT25&gt;=7)*($AAT$5:$AAT25&lt;=9)),$ACA$5:$ACA25),0)))))</f>
        <v/>
      </c>
      <c r="ACC25" s="12">
        <f>ACC24+ACA25-ACB25</f>
        <v/>
      </c>
      <c r="ACD25" s="12">
        <f>IF(ProviderDelay&gt;=1,ABK24*BlendedProvPayEss+ABL24*BlendedProvPayPrem+ABM24*BlendedProvPayElite+ABN24*BlendedProvPayEss+ABO24*BlendedProvPayPrem+ABP24*BlendedProvPayElite,ABK25*BlendedProvPayEss+ABL25*BlendedProvPayPrem+ABM25*BlendedProvPayElite+ABN25*BlendedProvPayEss+ABO25*BlendedProvPayPrem+ABP25*BlendedProvPayElite)</f>
        <v/>
      </c>
      <c r="ACE25" s="12">
        <f>ABW25*PaymentFee</f>
        <v/>
      </c>
      <c r="ACF25" s="12">
        <f>ABQ25*OpsAI</f>
        <v/>
      </c>
      <c r="ACG25" s="12">
        <f>MonthlyFixed</f>
        <v/>
      </c>
      <c r="ACH25" s="12">
        <f>ABA25*ReferralReward</f>
        <v/>
      </c>
      <c r="ACI25" s="12">
        <f>AAY25</f>
        <v/>
      </c>
      <c r="ACJ25" s="9">
        <f>ABZ25-ACD25-ACE25-ACF25-ACG25-ACH25-ACI25</f>
        <v/>
      </c>
      <c r="ACK25" s="9">
        <f>ACK24+ABW25-(ACD25+ACE25+ACF25+ACG25+ACH25+ACI25+ACB25)</f>
        <v/>
      </c>
      <c r="ACL25" s="12">
        <f>IF(ABQ25&gt;0,ABR25/ABQ25,0)</f>
        <v/>
      </c>
      <c r="ACM25" s="11">
        <f>IF(ABQ24&gt;0,MAX(0,(ABQ24+ABB25-ABQ25)/ABQ24),0)</f>
        <v/>
      </c>
      <c r="ACO25" s="12" t="n">
        <v>21</v>
      </c>
      <c r="ACP25" s="12">
        <f>MOD(ACO25-1+LaunchMonth-1,12)+1</f>
        <v/>
      </c>
      <c r="ACQ25" s="12">
        <f>INT((ACO25-1+LaunchMonth-1)/12)+1</f>
        <v/>
      </c>
      <c r="ACR25" s="12">
        <f>VLOOKUP(ACP25,SeasonTable,2,FALSE)</f>
        <v/>
      </c>
      <c r="ACS25" s="12">
        <f>(1+InflationRate)^INT((ACO25-1)/12)</f>
        <v/>
      </c>
      <c r="ACT25" s="11">
        <f>MonthlyChurn*VLOOKUP(ACP25,ChurnSeasonTable,4,FALSE)</f>
        <v/>
      </c>
      <c r="ACU25" s="12">
        <f>MIN(MAX(MktMin19plus,ADS24*MktPct19plus),MAX(0,AEG24-CashBuffer))</f>
        <v/>
      </c>
      <c r="ACV25" s="12">
        <f>IF(ACU25&gt;0,MAX(1,ROUND(ACU25/CAC*ACR25,0)),0)</f>
        <v/>
      </c>
      <c r="ACW25" s="12">
        <f>IF(ACV25&gt;0,ROUND(ACV25*ReferralMix/(1-ReferralMix),0),0)</f>
        <v/>
      </c>
      <c r="ACX25" s="12">
        <f>ACV25+ACW25</f>
        <v/>
      </c>
      <c r="ACY25" s="12">
        <f>ROUND(ACX25*(1-'Sens - Annual Mix'!$A$13),0)</f>
        <v/>
      </c>
      <c r="ACZ25" s="12">
        <f>ACX25-ACY25</f>
        <v/>
      </c>
      <c r="ADA25" s="12">
        <f>ROUND(ACY25*EssentialMix,0)</f>
        <v/>
      </c>
      <c r="ADB25" s="12">
        <f>ROUND(ACY25*PremiumMix,0)</f>
        <v/>
      </c>
      <c r="ADC25" s="12">
        <f>ACY25-ADA25-ADB25</f>
        <v/>
      </c>
      <c r="ADD25" s="12">
        <f>ROUND(ACZ25*EssentialMix,0)</f>
        <v/>
      </c>
      <c r="ADE25" s="12">
        <f>ROUND(ACZ25*PremiumMix,0)</f>
        <v/>
      </c>
      <c r="ADF25" s="12">
        <f>ACZ25-ADD25-ADE25</f>
        <v/>
      </c>
      <c r="ADG25" s="12">
        <f>ADA25+ADA24+ADA23+MAX(0,ADG24-ADA24-ADA23)*(1-ACT25)</f>
        <v/>
      </c>
      <c r="ADH25" s="12">
        <f>ADB25+ADB24+ADB23+MAX(0,ADH24-ADB24-ADB23)*(1-ACT25)</f>
        <v/>
      </c>
      <c r="ADI25" s="12">
        <f>ADC25+ADC24+ADC23+MAX(0,ADI24-ADC24-ADC23)*(1-ACT25)</f>
        <v/>
      </c>
      <c r="ADJ25" s="12">
        <f>ADJ24+ADD25-ADD13*(AnnualChurn*VLOOKUP(ACP25,ChurnSeasonTable,4,FALSE))*POWER(1-(AnnualChurn*VLOOKUP(ACP25,ChurnSeasonTable,4,FALSE)),0)</f>
        <v/>
      </c>
      <c r="ADK25" s="12">
        <f>ADK24+ADE25-ADE13*(AnnualChurn*VLOOKUP(ACP25,ChurnSeasonTable,4,FALSE))*POWER(1-(AnnualChurn*VLOOKUP(ACP25,ChurnSeasonTable,4,FALSE)),0)</f>
        <v/>
      </c>
      <c r="ADL25" s="12">
        <f>ADL24+ADF25-ADF13*(AnnualChurn*VLOOKUP(ACP25,ChurnSeasonTable,4,FALSE))*POWER(1-(AnnualChurn*VLOOKUP(ACP25,ChurnSeasonTable,4,FALSE)),0)</f>
        <v/>
      </c>
      <c r="ADM25" s="12">
        <f>ADG25+ADH25+ADI25+ADJ25+ADK25+ADL25</f>
        <v/>
      </c>
      <c r="ADN25" s="9">
        <f>ADG25*BlendedPriceEssMonthly*ACS25+ADH25*BlendedPricePremMonthly*ACS25+ADI25*BlendedPriceEliteMonthly*ACS25+ADJ25*BlendedPriceEssAnnual*ACS25/12+ADK25*BlendedPricePremAnnual*ACS25/12+ADL25*BlendedPriceEliteAnnual*ACS25/12</f>
        <v/>
      </c>
      <c r="ADO25" s="9">
        <f>ADN25*12</f>
        <v/>
      </c>
      <c r="ADP25" s="12">
        <f>ADG25*BlendedPriceEssMonthly*ACS25+ADH25*BlendedPricePremMonthly*ACS25+ADI25*BlendedPriceEliteMonthly*ACS25</f>
        <v/>
      </c>
      <c r="ADQ25" s="12">
        <f>ADD25*BlendedPriceEssAnnual*ACS25+ADE25*BlendedPricePremAnnual*ACS25+ADF25*BlendedPriceEliteAnnual*ACS25</f>
        <v/>
      </c>
      <c r="ADR25" s="12">
        <f>ADD13*POWER(1-(AnnualChurn*VLOOKUP(ACP25,ChurnSeasonTable,4,FALSE)),1)*BlendedPriceEssAnnual*ACS25+ADE13*POWER(1-(AnnualChurn*VLOOKUP(ACP25,ChurnSeasonTable,4,FALSE)),1)*BlendedPricePremAnnual*ACS25+ADF13*POWER(1-(AnnualChurn*VLOOKUP(ACP25,ChurnSeasonTable,4,FALSE)),1)*BlendedPriceEliteAnnual*ACS25</f>
        <v/>
      </c>
      <c r="ADS25" s="9">
        <f>ADP25+ADQ25+ADR25</f>
        <v/>
      </c>
      <c r="ADT25" s="12">
        <f>SUM(ADS14:ADS25)</f>
        <v/>
      </c>
      <c r="ADU25" s="12">
        <f>OR(ADU24,IF(VATAgentMode,SUM($ADS14:$ADS25)-SUM($ADZ14:$ADZ25)&gt;=VATThreshold,SUM($ADS14:$ADS25)&gt;=VATThreshold))</f>
        <v/>
      </c>
      <c r="ADV25" s="9">
        <f>IF(ADU25,IF(VATAgentMode,ADS25-((ADS25-ADZ25)-(ADS25-ADZ25)/(1+VATRate)),ADS25/(1+VATRate)),ADS25)</f>
        <v/>
      </c>
      <c r="ADW25" s="12">
        <f>ADS25-ADV25</f>
        <v/>
      </c>
      <c r="ADX25" s="12">
        <f>IF(ADU25=0,0,IF(ACP25=1,SUMPRODUCT(--(($ACQ$5:$ACQ25=$ACQ25-1)*($ACP$5:$ACP25&gt;=10)*($ACP$5:$ACP25&lt;=12)),$ADW$5:$ADW25),IF(ACP25=4,SUMPRODUCT(--(($ACQ$5:$ACQ25=$ACQ25)*($ACP$5:$ACP25&gt;=1)*($ACP$5:$ACP25&lt;=3)),$ADW$5:$ADW25),IF(ACP25=7,SUMPRODUCT(--(($ACQ$5:$ACQ25=$ACQ25)*($ACP$5:$ACP25&gt;=4)*($ACP$5:$ACP25&lt;=6)),$ADW$5:$ADW25),IF(ACP25=10,SUMPRODUCT(--(($ACQ$5:$ACQ25=$ACQ25)*($ACP$5:$ACP25&gt;=7)*($ACP$5:$ACP25&lt;=9)),$ADW$5:$ADW25),0)))))</f>
        <v/>
      </c>
      <c r="ADY25" s="12">
        <f>ADY24+ADW25-ADX25</f>
        <v/>
      </c>
      <c r="ADZ25" s="12">
        <f>IF(ProviderDelay&gt;=1,ADG24*BlendedProvPayEss+ADH24*BlendedProvPayPrem+ADI24*BlendedProvPayElite+ADJ24*BlendedProvPayEss+ADK24*BlendedProvPayPrem+ADL24*BlendedProvPayElite,ADG25*BlendedProvPayEss+ADH25*BlendedProvPayPrem+ADI25*BlendedProvPayElite+ADJ25*BlendedProvPayEss+ADK25*BlendedProvPayPrem+ADL25*BlendedProvPayElite)</f>
        <v/>
      </c>
      <c r="AEA25" s="12">
        <f>ADS25*PaymentFee</f>
        <v/>
      </c>
      <c r="AEB25" s="12">
        <f>ADM25*OpsAI</f>
        <v/>
      </c>
      <c r="AEC25" s="12">
        <f>MonthlyFixed</f>
        <v/>
      </c>
      <c r="AED25" s="12">
        <f>ACW25*ReferralReward</f>
        <v/>
      </c>
      <c r="AEE25" s="12">
        <f>ACU25</f>
        <v/>
      </c>
      <c r="AEF25" s="9">
        <f>ADV25-ADZ25-AEA25-AEB25-AEC25-AED25-AEE25</f>
        <v/>
      </c>
      <c r="AEG25" s="9">
        <f>AEG24+ADS25-(ADZ25+AEA25+AEB25+AEC25+AED25+AEE25+ADX25)</f>
        <v/>
      </c>
      <c r="AEH25" s="12">
        <f>IF(ADM25&gt;0,ADN25/ADM25,0)</f>
        <v/>
      </c>
      <c r="AEI25" s="11">
        <f>IF(ADM24&gt;0,MAX(0,(ADM24+ACX25-ADM25)/ADM24),0)</f>
        <v/>
      </c>
      <c r="AEK25" s="12" t="n">
        <v>21</v>
      </c>
      <c r="AEL25" s="12">
        <f>MOD(AEK25-1+LaunchMonth-1,12)+1</f>
        <v/>
      </c>
      <c r="AEM25" s="12">
        <f>INT((AEK25-1+LaunchMonth-1)/12)+1</f>
        <v/>
      </c>
      <c r="AEN25" s="12">
        <f>VLOOKUP(AEL25,SeasonTable,2,FALSE)</f>
        <v/>
      </c>
      <c r="AEO25" s="12">
        <f>(1+InflationRate)^INT((AEK25-1)/12)</f>
        <v/>
      </c>
      <c r="AEP25" s="11">
        <f>MonthlyChurn*VLOOKUP(AEL25,ChurnSeasonTable,4,FALSE)</f>
        <v/>
      </c>
      <c r="AEQ25" s="12">
        <f>MIN(MAX(MktMin19plus,AFO24*MktPct19plus),MAX(0,AGC24-CashBuffer))</f>
        <v/>
      </c>
      <c r="AER25" s="12">
        <f>IF(AEQ25&gt;0,MAX(1,ROUND(AEQ25/CAC*AEN25,0)),0)</f>
        <v/>
      </c>
      <c r="AES25" s="12">
        <f>IF(AER25&gt;0,ROUND(AER25*ReferralMix/(1-ReferralMix),0),0)</f>
        <v/>
      </c>
      <c r="AET25" s="12">
        <f>AER25+AES25</f>
        <v/>
      </c>
      <c r="AEU25" s="12">
        <f>ROUND(AET25*(1-'Sens - Annual Mix'!$A$14),0)</f>
        <v/>
      </c>
      <c r="AEV25" s="12">
        <f>AET25-AEU25</f>
        <v/>
      </c>
      <c r="AEW25" s="12">
        <f>ROUND(AEU25*EssentialMix,0)</f>
        <v/>
      </c>
      <c r="AEX25" s="12">
        <f>ROUND(AEU25*PremiumMix,0)</f>
        <v/>
      </c>
      <c r="AEY25" s="12">
        <f>AEU25-AEW25-AEX25</f>
        <v/>
      </c>
      <c r="AEZ25" s="12">
        <f>ROUND(AEV25*EssentialMix,0)</f>
        <v/>
      </c>
      <c r="AFA25" s="12">
        <f>ROUND(AEV25*PremiumMix,0)</f>
        <v/>
      </c>
      <c r="AFB25" s="12">
        <f>AEV25-AEZ25-AFA25</f>
        <v/>
      </c>
      <c r="AFC25" s="12">
        <f>AEW25+AEW24+AEW23+MAX(0,AFC24-AEW24-AEW23)*(1-AEP25)</f>
        <v/>
      </c>
      <c r="AFD25" s="12">
        <f>AEX25+AEX24+AEX23+MAX(0,AFD24-AEX24-AEX23)*(1-AEP25)</f>
        <v/>
      </c>
      <c r="AFE25" s="12">
        <f>AEY25+AEY24+AEY23+MAX(0,AFE24-AEY24-AEY23)*(1-AEP25)</f>
        <v/>
      </c>
      <c r="AFF25" s="12">
        <f>AFF24+AEZ25-AEZ13*(AnnualChurn*VLOOKUP(AEL25,ChurnSeasonTable,4,FALSE))*POWER(1-(AnnualChurn*VLOOKUP(AEL25,ChurnSeasonTable,4,FALSE)),0)</f>
        <v/>
      </c>
      <c r="AFG25" s="12">
        <f>AFG24+AFA25-AFA13*(AnnualChurn*VLOOKUP(AEL25,ChurnSeasonTable,4,FALSE))*POWER(1-(AnnualChurn*VLOOKUP(AEL25,ChurnSeasonTable,4,FALSE)),0)</f>
        <v/>
      </c>
      <c r="AFH25" s="12">
        <f>AFH24+AFB25-AFB13*(AnnualChurn*VLOOKUP(AEL25,ChurnSeasonTable,4,FALSE))*POWER(1-(AnnualChurn*VLOOKUP(AEL25,ChurnSeasonTable,4,FALSE)),0)</f>
        <v/>
      </c>
      <c r="AFI25" s="12">
        <f>AFC25+AFD25+AFE25+AFF25+AFG25+AFH25</f>
        <v/>
      </c>
      <c r="AFJ25" s="9">
        <f>AFC25*BlendedPriceEssMonthly*AEO25+AFD25*BlendedPricePremMonthly*AEO25+AFE25*BlendedPriceEliteMonthly*AEO25+AFF25*BlendedPriceEssAnnual*AEO25/12+AFG25*BlendedPricePremAnnual*AEO25/12+AFH25*BlendedPriceEliteAnnual*AEO25/12</f>
        <v/>
      </c>
      <c r="AFK25" s="9">
        <f>AFJ25*12</f>
        <v/>
      </c>
      <c r="AFL25" s="12">
        <f>AFC25*BlendedPriceEssMonthly*AEO25+AFD25*BlendedPricePremMonthly*AEO25+AFE25*BlendedPriceEliteMonthly*AEO25</f>
        <v/>
      </c>
      <c r="AFM25" s="12">
        <f>AEZ25*BlendedPriceEssAnnual*AEO25+AFA25*BlendedPricePremAnnual*AEO25+AFB25*BlendedPriceEliteAnnual*AEO25</f>
        <v/>
      </c>
      <c r="AFN25" s="12">
        <f>AEZ13*POWER(1-(AnnualChurn*VLOOKUP(AEL25,ChurnSeasonTable,4,FALSE)),1)*BlendedPriceEssAnnual*AEO25+AFA13*POWER(1-(AnnualChurn*VLOOKUP(AEL25,ChurnSeasonTable,4,FALSE)),1)*BlendedPricePremAnnual*AEO25+AFB13*POWER(1-(AnnualChurn*VLOOKUP(AEL25,ChurnSeasonTable,4,FALSE)),1)*BlendedPriceEliteAnnual*AEO25</f>
        <v/>
      </c>
      <c r="AFO25" s="9">
        <f>AFL25+AFM25+AFN25</f>
        <v/>
      </c>
      <c r="AFP25" s="12">
        <f>SUM(AFO14:AFO25)</f>
        <v/>
      </c>
      <c r="AFQ25" s="12">
        <f>OR(AFQ24,IF(VATAgentMode,SUM($AFO14:$AFO25)-SUM($AFV14:$AFV25)&gt;=VATThreshold,SUM($AFO14:$AFO25)&gt;=VATThreshold))</f>
        <v/>
      </c>
      <c r="AFR25" s="9">
        <f>IF(AFQ25,IF(VATAgentMode,AFO25-((AFO25-AFV25)-(AFO25-AFV25)/(1+VATRate)),AFO25/(1+VATRate)),AFO25)</f>
        <v/>
      </c>
      <c r="AFS25" s="12">
        <f>AFO25-AFR25</f>
        <v/>
      </c>
      <c r="AFT25" s="12">
        <f>IF(AFQ25=0,0,IF(AEL25=1,SUMPRODUCT(--(($AEM$5:$AEM25=$AEM25-1)*($AEL$5:$AEL25&gt;=10)*($AEL$5:$AEL25&lt;=12)),$AFS$5:$AFS25),IF(AEL25=4,SUMPRODUCT(--(($AEM$5:$AEM25=$AEM25)*($AEL$5:$AEL25&gt;=1)*($AEL$5:$AEL25&lt;=3)),$AFS$5:$AFS25),IF(AEL25=7,SUMPRODUCT(--(($AEM$5:$AEM25=$AEM25)*($AEL$5:$AEL25&gt;=4)*($AEL$5:$AEL25&lt;=6)),$AFS$5:$AFS25),IF(AEL25=10,SUMPRODUCT(--(($AEM$5:$AEM25=$AEM25)*($AEL$5:$AEL25&gt;=7)*($AEL$5:$AEL25&lt;=9)),$AFS$5:$AFS25),0)))))</f>
        <v/>
      </c>
      <c r="AFU25" s="12">
        <f>AFU24+AFS25-AFT25</f>
        <v/>
      </c>
      <c r="AFV25" s="12">
        <f>IF(ProviderDelay&gt;=1,AFC24*BlendedProvPayEss+AFD24*BlendedProvPayPrem+AFE24*BlendedProvPayElite+AFF24*BlendedProvPayEss+AFG24*BlendedProvPayPrem+AFH24*BlendedProvPayElite,AFC25*BlendedProvPayEss+AFD25*BlendedProvPayPrem+AFE25*BlendedProvPayElite+AFF25*BlendedProvPayEss+AFG25*BlendedProvPayPrem+AFH25*BlendedProvPayElite)</f>
        <v/>
      </c>
      <c r="AFW25" s="12">
        <f>AFO25*PaymentFee</f>
        <v/>
      </c>
      <c r="AFX25" s="12">
        <f>AFI25*OpsAI</f>
        <v/>
      </c>
      <c r="AFY25" s="12">
        <f>MonthlyFixed</f>
        <v/>
      </c>
      <c r="AFZ25" s="12">
        <f>AES25*ReferralReward</f>
        <v/>
      </c>
      <c r="AGA25" s="12">
        <f>AEQ25</f>
        <v/>
      </c>
      <c r="AGB25" s="9">
        <f>AFR25-AFV25-AFW25-AFX25-AFY25-AFZ25-AGA25</f>
        <v/>
      </c>
      <c r="AGC25" s="9">
        <f>AGC24+AFO25-(AFV25+AFW25+AFX25+AFY25+AFZ25+AGA25+AFT25)</f>
        <v/>
      </c>
      <c r="AGD25" s="12">
        <f>IF(AFI25&gt;0,AFJ25/AFI25,0)</f>
        <v/>
      </c>
      <c r="AGE25" s="11">
        <f>IF(AFI24&gt;0,MAX(0,(AFI24+AET25-AFI25)/AFI24),0)</f>
        <v/>
      </c>
      <c r="AGG25" s="12" t="n">
        <v>21</v>
      </c>
      <c r="AGH25" s="12">
        <f>MOD(AGG25-1+LaunchMonth-1,12)+1</f>
        <v/>
      </c>
      <c r="AGI25" s="12">
        <f>INT((AGG25-1+LaunchMonth-1)/12)+1</f>
        <v/>
      </c>
      <c r="AGJ25" s="12">
        <f>VLOOKUP(AGH25,SeasonTable,2,FALSE)</f>
        <v/>
      </c>
      <c r="AGK25" s="12">
        <f>(1+InflationRate)^INT((AGG25-1)/12)</f>
        <v/>
      </c>
      <c r="AGL25" s="11">
        <f>MonthlyChurn*VLOOKUP(AGH25,ChurnSeasonTable,4,FALSE)</f>
        <v/>
      </c>
      <c r="AGM25" s="12">
        <f>MIN(MAX(MktMin19plus,AHK24*MktPct19plus),MAX(0,AHY24-CashBuffer))</f>
        <v/>
      </c>
      <c r="AGN25" s="12">
        <f>IF(AGM25&gt;0,MAX(1,ROUND(AGM25/CAC*AGJ25,0)),0)</f>
        <v/>
      </c>
      <c r="AGO25" s="12">
        <f>IF(AGN25&gt;0,ROUND(AGN25*ReferralMix/(1-ReferralMix),0),0)</f>
        <v/>
      </c>
      <c r="AGP25" s="12">
        <f>AGN25+AGO25</f>
        <v/>
      </c>
      <c r="AGQ25" s="12">
        <f>ROUND(AGP25*(1-'Sens - Annual Mix'!$A$15),0)</f>
        <v/>
      </c>
      <c r="AGR25" s="12">
        <f>AGP25-AGQ25</f>
        <v/>
      </c>
      <c r="AGS25" s="12">
        <f>ROUND(AGQ25*EssentialMix,0)</f>
        <v/>
      </c>
      <c r="AGT25" s="12">
        <f>ROUND(AGQ25*PremiumMix,0)</f>
        <v/>
      </c>
      <c r="AGU25" s="12">
        <f>AGQ25-AGS25-AGT25</f>
        <v/>
      </c>
      <c r="AGV25" s="12">
        <f>ROUND(AGR25*EssentialMix,0)</f>
        <v/>
      </c>
      <c r="AGW25" s="12">
        <f>ROUND(AGR25*PremiumMix,0)</f>
        <v/>
      </c>
      <c r="AGX25" s="12">
        <f>AGR25-AGV25-AGW25</f>
        <v/>
      </c>
      <c r="AGY25" s="12">
        <f>AGS25+AGS24+AGS23+MAX(0,AGY24-AGS24-AGS23)*(1-AGL25)</f>
        <v/>
      </c>
      <c r="AGZ25" s="12">
        <f>AGT25+AGT24+AGT23+MAX(0,AGZ24-AGT24-AGT23)*(1-AGL25)</f>
        <v/>
      </c>
      <c r="AHA25" s="12">
        <f>AGU25+AGU24+AGU23+MAX(0,AHA24-AGU24-AGU23)*(1-AGL25)</f>
        <v/>
      </c>
      <c r="AHB25" s="12">
        <f>AHB24+AGV25-AGV13*(AnnualChurn*VLOOKUP(AGH25,ChurnSeasonTable,4,FALSE))*POWER(1-(AnnualChurn*VLOOKUP(AGH25,ChurnSeasonTable,4,FALSE)),0)</f>
        <v/>
      </c>
      <c r="AHC25" s="12">
        <f>AHC24+AGW25-AGW13*(AnnualChurn*VLOOKUP(AGH25,ChurnSeasonTable,4,FALSE))*POWER(1-(AnnualChurn*VLOOKUP(AGH25,ChurnSeasonTable,4,FALSE)),0)</f>
        <v/>
      </c>
      <c r="AHD25" s="12">
        <f>AHD24+AGX25-AGX13*(AnnualChurn*VLOOKUP(AGH25,ChurnSeasonTable,4,FALSE))*POWER(1-(AnnualChurn*VLOOKUP(AGH25,ChurnSeasonTable,4,FALSE)),0)</f>
        <v/>
      </c>
      <c r="AHE25" s="12">
        <f>AGY25+AGZ25+AHA25+AHB25+AHC25+AHD25</f>
        <v/>
      </c>
      <c r="AHF25" s="9">
        <f>AGY25*BlendedPriceEssMonthly*AGK25+AGZ25*BlendedPricePremMonthly*AGK25+AHA25*BlendedPriceEliteMonthly*AGK25+AHB25*BlendedPriceEssAnnual*AGK25/12+AHC25*BlendedPricePremAnnual*AGK25/12+AHD25*BlendedPriceEliteAnnual*AGK25/12</f>
        <v/>
      </c>
      <c r="AHG25" s="9">
        <f>AHF25*12</f>
        <v/>
      </c>
      <c r="AHH25" s="12">
        <f>AGY25*BlendedPriceEssMonthly*AGK25+AGZ25*BlendedPricePremMonthly*AGK25+AHA25*BlendedPriceEliteMonthly*AGK25</f>
        <v/>
      </c>
      <c r="AHI25" s="12">
        <f>AGV25*BlendedPriceEssAnnual*AGK25+AGW25*BlendedPricePremAnnual*AGK25+AGX25*BlendedPriceEliteAnnual*AGK25</f>
        <v/>
      </c>
      <c r="AHJ25" s="12">
        <f>AGV13*POWER(1-(AnnualChurn*VLOOKUP(AGH25,ChurnSeasonTable,4,FALSE)),1)*BlendedPriceEssAnnual*AGK25+AGW13*POWER(1-(AnnualChurn*VLOOKUP(AGH25,ChurnSeasonTable,4,FALSE)),1)*BlendedPricePremAnnual*AGK25+AGX13*POWER(1-(AnnualChurn*VLOOKUP(AGH25,ChurnSeasonTable,4,FALSE)),1)*BlendedPriceEliteAnnual*AGK25</f>
        <v/>
      </c>
      <c r="AHK25" s="9">
        <f>AHH25+AHI25+AHJ25</f>
        <v/>
      </c>
      <c r="AHL25" s="12">
        <f>SUM(AHK14:AHK25)</f>
        <v/>
      </c>
      <c r="AHM25" s="12">
        <f>OR(AHM24,IF(VATAgentMode,SUM($AHK14:$AHK25)-SUM($AHR14:$AHR25)&gt;=VATThreshold,SUM($AHK14:$AHK25)&gt;=VATThreshold))</f>
        <v/>
      </c>
      <c r="AHN25" s="9">
        <f>IF(AHM25,IF(VATAgentMode,AHK25-((AHK25-AHR25)-(AHK25-AHR25)/(1+VATRate)),AHK25/(1+VATRate)),AHK25)</f>
        <v/>
      </c>
      <c r="AHO25" s="12">
        <f>AHK25-AHN25</f>
        <v/>
      </c>
      <c r="AHP25" s="12">
        <f>IF(AHM25=0,0,IF(AGH25=1,SUMPRODUCT(--(($AGI$5:$AGI25=$AGI25-1)*($AGH$5:$AGH25&gt;=10)*($AGH$5:$AGH25&lt;=12)),$AHO$5:$AHO25),IF(AGH25=4,SUMPRODUCT(--(($AGI$5:$AGI25=$AGI25)*($AGH$5:$AGH25&gt;=1)*($AGH$5:$AGH25&lt;=3)),$AHO$5:$AHO25),IF(AGH25=7,SUMPRODUCT(--(($AGI$5:$AGI25=$AGI25)*($AGH$5:$AGH25&gt;=4)*($AGH$5:$AGH25&lt;=6)),$AHO$5:$AHO25),IF(AGH25=10,SUMPRODUCT(--(($AGI$5:$AGI25=$AGI25)*($AGH$5:$AGH25&gt;=7)*($AGH$5:$AGH25&lt;=9)),$AHO$5:$AHO25),0)))))</f>
        <v/>
      </c>
      <c r="AHQ25" s="12">
        <f>AHQ24+AHO25-AHP25</f>
        <v/>
      </c>
      <c r="AHR25" s="12">
        <f>IF(ProviderDelay&gt;=1,AGY24*BlendedProvPayEss+AGZ24*BlendedProvPayPrem+AHA24*BlendedProvPayElite+AHB24*BlendedProvPayEss+AHC24*BlendedProvPayPrem+AHD24*BlendedProvPayElite,AGY25*BlendedProvPayEss+AGZ25*BlendedProvPayPrem+AHA25*BlendedProvPayElite+AHB25*BlendedProvPayEss+AHC25*BlendedProvPayPrem+AHD25*BlendedProvPayElite)</f>
        <v/>
      </c>
      <c r="AHS25" s="12">
        <f>AHK25*PaymentFee</f>
        <v/>
      </c>
      <c r="AHT25" s="12">
        <f>AHE25*OpsAI</f>
        <v/>
      </c>
      <c r="AHU25" s="12">
        <f>MonthlyFixed</f>
        <v/>
      </c>
      <c r="AHV25" s="12">
        <f>AGO25*ReferralReward</f>
        <v/>
      </c>
      <c r="AHW25" s="12">
        <f>AGM25</f>
        <v/>
      </c>
      <c r="AHX25" s="9">
        <f>AHN25-AHR25-AHS25-AHT25-AHU25-AHV25-AHW25</f>
        <v/>
      </c>
      <c r="AHY25" s="9">
        <f>AHY24+AHK25-(AHR25+AHS25+AHT25+AHU25+AHV25+AHW25+AHP25)</f>
        <v/>
      </c>
      <c r="AHZ25" s="12">
        <f>IF(AHE25&gt;0,AHF25/AHE25,0)</f>
        <v/>
      </c>
      <c r="AIA25" s="11">
        <f>IF(AHE24&gt;0,MAX(0,(AHE24+AGP25-AHE25)/AHE24),0)</f>
        <v/>
      </c>
      <c r="AIC25" s="12" t="n">
        <v>21</v>
      </c>
      <c r="AID25" s="12">
        <f>MOD(AIC25-1+LaunchMonth-1,12)+1</f>
        <v/>
      </c>
      <c r="AIE25" s="12">
        <f>INT((AIC25-1+LaunchMonth-1)/12)+1</f>
        <v/>
      </c>
      <c r="AIF25" s="12">
        <f>VLOOKUP(AID25,SeasonTable,2,FALSE)</f>
        <v/>
      </c>
      <c r="AIG25" s="12">
        <f>(1+InflationRate)^INT((AIC25-1)/12)</f>
        <v/>
      </c>
      <c r="AIH25" s="11">
        <f>MonthlyChurn*VLOOKUP(AID25,ChurnSeasonTable,4,FALSE)</f>
        <v/>
      </c>
      <c r="AII25" s="12">
        <f>MIN(MAX(MktMin19plus,AJG24*MktPct19plus),MAX(0,AJU24-CashBuffer))</f>
        <v/>
      </c>
      <c r="AIJ25" s="12">
        <f>IF(AII25&gt;0,MAX(1,ROUND(AII25/'Sens - CAC &amp; Marketing'!$A$9*AIF25,0)),0)</f>
        <v/>
      </c>
      <c r="AIK25" s="12">
        <f>IF(AIJ25&gt;0,ROUND(AIJ25*ReferralMix/(1-ReferralMix),0),0)</f>
        <v/>
      </c>
      <c r="AIL25" s="12">
        <f>AIJ25+AIK25</f>
        <v/>
      </c>
      <c r="AIM25" s="12">
        <f>ROUND(AIL25*(1-AnnualMix),0)</f>
        <v/>
      </c>
      <c r="AIN25" s="12">
        <f>AIL25-AIM25</f>
        <v/>
      </c>
      <c r="AIO25" s="12">
        <f>ROUND(AIM25*EssentialMix,0)</f>
        <v/>
      </c>
      <c r="AIP25" s="12">
        <f>ROUND(AIM25*PremiumMix,0)</f>
        <v/>
      </c>
      <c r="AIQ25" s="12">
        <f>AIM25-AIO25-AIP25</f>
        <v/>
      </c>
      <c r="AIR25" s="12">
        <f>ROUND(AIN25*EssentialMix,0)</f>
        <v/>
      </c>
      <c r="AIS25" s="12">
        <f>ROUND(AIN25*PremiumMix,0)</f>
        <v/>
      </c>
      <c r="AIT25" s="12">
        <f>AIN25-AIR25-AIS25</f>
        <v/>
      </c>
      <c r="AIU25" s="12">
        <f>AIO25+AIO24+AIO23+MAX(0,AIU24-AIO24-AIO23)*(1-AIH25)</f>
        <v/>
      </c>
      <c r="AIV25" s="12">
        <f>AIP25+AIP24+AIP23+MAX(0,AIV24-AIP24-AIP23)*(1-AIH25)</f>
        <v/>
      </c>
      <c r="AIW25" s="12">
        <f>AIQ25+AIQ24+AIQ23+MAX(0,AIW24-AIQ24-AIQ23)*(1-AIH25)</f>
        <v/>
      </c>
      <c r="AIX25" s="12">
        <f>AIX24+AIR25-AIR13*(AnnualChurn*VLOOKUP(AID25,ChurnSeasonTable,4,FALSE))*POWER(1-(AnnualChurn*VLOOKUP(AID25,ChurnSeasonTable,4,FALSE)),0)</f>
        <v/>
      </c>
      <c r="AIY25" s="12">
        <f>AIY24+AIS25-AIS13*(AnnualChurn*VLOOKUP(AID25,ChurnSeasonTable,4,FALSE))*POWER(1-(AnnualChurn*VLOOKUP(AID25,ChurnSeasonTable,4,FALSE)),0)</f>
        <v/>
      </c>
      <c r="AIZ25" s="12">
        <f>AIZ24+AIT25-AIT13*(AnnualChurn*VLOOKUP(AID25,ChurnSeasonTable,4,FALSE))*POWER(1-(AnnualChurn*VLOOKUP(AID25,ChurnSeasonTable,4,FALSE)),0)</f>
        <v/>
      </c>
      <c r="AJA25" s="12">
        <f>AIU25+AIV25+AIW25+AIX25+AIY25+AIZ25</f>
        <v/>
      </c>
      <c r="AJB25" s="9">
        <f>AIU25*BlendedPriceEssMonthly*AIG25+AIV25*BlendedPricePremMonthly*AIG25+AIW25*BlendedPriceEliteMonthly*AIG25+AIX25*BlendedPriceEssAnnual*AIG25/12+AIY25*BlendedPricePremAnnual*AIG25/12+AIZ25*BlendedPriceEliteAnnual*AIG25/12</f>
        <v/>
      </c>
      <c r="AJC25" s="9">
        <f>AJB25*12</f>
        <v/>
      </c>
      <c r="AJD25" s="12">
        <f>AIU25*BlendedPriceEssMonthly*AIG25+AIV25*BlendedPricePremMonthly*AIG25+AIW25*BlendedPriceEliteMonthly*AIG25</f>
        <v/>
      </c>
      <c r="AJE25" s="12">
        <f>AIR25*BlendedPriceEssAnnual*AIG25+AIS25*BlendedPricePremAnnual*AIG25+AIT25*BlendedPriceEliteAnnual*AIG25</f>
        <v/>
      </c>
      <c r="AJF25" s="12">
        <f>AIR13*POWER(1-(AnnualChurn*VLOOKUP(AID25,ChurnSeasonTable,4,FALSE)),1)*BlendedPriceEssAnnual*AIG25+AIS13*POWER(1-(AnnualChurn*VLOOKUP(AID25,ChurnSeasonTable,4,FALSE)),1)*BlendedPricePremAnnual*AIG25+AIT13*POWER(1-(AnnualChurn*VLOOKUP(AID25,ChurnSeasonTable,4,FALSE)),1)*BlendedPriceEliteAnnual*AIG25</f>
        <v/>
      </c>
      <c r="AJG25" s="9">
        <f>AJD25+AJE25+AJF25</f>
        <v/>
      </c>
      <c r="AJH25" s="12">
        <f>SUM(AJG14:AJG25)</f>
        <v/>
      </c>
      <c r="AJI25" s="12">
        <f>OR(AJI24,IF(VATAgentMode,SUM($AJG14:$AJG25)-SUM($AJN14:$AJN25)&gt;=VATThreshold,SUM($AJG14:$AJG25)&gt;=VATThreshold))</f>
        <v/>
      </c>
      <c r="AJJ25" s="9">
        <f>IF(AJI25,IF(VATAgentMode,AJG25-((AJG25-AJN25)-(AJG25-AJN25)/(1+VATRate)),AJG25/(1+VATRate)),AJG25)</f>
        <v/>
      </c>
      <c r="AJK25" s="12">
        <f>AJG25-AJJ25</f>
        <v/>
      </c>
      <c r="AJL25" s="12">
        <f>IF(AJI25=0,0,IF(AID25=1,SUMPRODUCT(--(($AIE$5:$AIE25=$AIE25-1)*($AID$5:$AID25&gt;=10)*($AID$5:$AID25&lt;=12)),$AJK$5:$AJK25),IF(AID25=4,SUMPRODUCT(--(($AIE$5:$AIE25=$AIE25)*($AID$5:$AID25&gt;=1)*($AID$5:$AID25&lt;=3)),$AJK$5:$AJK25),IF(AID25=7,SUMPRODUCT(--(($AIE$5:$AIE25=$AIE25)*($AID$5:$AID25&gt;=4)*($AID$5:$AID25&lt;=6)),$AJK$5:$AJK25),IF(AID25=10,SUMPRODUCT(--(($AIE$5:$AIE25=$AIE25)*($AID$5:$AID25&gt;=7)*($AID$5:$AID25&lt;=9)),$AJK$5:$AJK25),0)))))</f>
        <v/>
      </c>
      <c r="AJM25" s="12">
        <f>AJM24+AJK25-AJL25</f>
        <v/>
      </c>
      <c r="AJN25" s="12">
        <f>IF(ProviderDelay&gt;=1,AIU24*BlendedProvPayEss+AIV24*BlendedProvPayPrem+AIW24*BlendedProvPayElite+AIX24*BlendedProvPayEss+AIY24*BlendedProvPayPrem+AIZ24*BlendedProvPayElite,AIU25*BlendedProvPayEss+AIV25*BlendedProvPayPrem+AIW25*BlendedProvPayElite+AIX25*BlendedProvPayEss+AIY25*BlendedProvPayPrem+AIZ25*BlendedProvPayElite)</f>
        <v/>
      </c>
      <c r="AJO25" s="12">
        <f>AJG25*PaymentFee</f>
        <v/>
      </c>
      <c r="AJP25" s="12">
        <f>AJA25*OpsAI</f>
        <v/>
      </c>
      <c r="AJQ25" s="12">
        <f>MonthlyFixed</f>
        <v/>
      </c>
      <c r="AJR25" s="12">
        <f>AIK25*ReferralReward</f>
        <v/>
      </c>
      <c r="AJS25" s="12">
        <f>AII25</f>
        <v/>
      </c>
      <c r="AJT25" s="9">
        <f>AJJ25-AJN25-AJO25-AJP25-AJQ25-AJR25-AJS25</f>
        <v/>
      </c>
      <c r="AJU25" s="9">
        <f>AJU24+AJG25-(AJN25+AJO25+AJP25+AJQ25+AJR25+AJS25+AJL25)</f>
        <v/>
      </c>
      <c r="AJV25" s="12">
        <f>IF(AJA25&gt;0,AJB25/AJA25,0)</f>
        <v/>
      </c>
      <c r="AJW25" s="11">
        <f>IF(AJA24&gt;0,MAX(0,(AJA24+AIL25-AJA25)/AJA24),0)</f>
        <v/>
      </c>
      <c r="AJY25" s="12" t="n">
        <v>21</v>
      </c>
      <c r="AJZ25" s="12">
        <f>MOD(AJY25-1+LaunchMonth-1,12)+1</f>
        <v/>
      </c>
      <c r="AKA25" s="12">
        <f>INT((AJY25-1+LaunchMonth-1)/12)+1</f>
        <v/>
      </c>
      <c r="AKB25" s="12">
        <f>VLOOKUP(AJZ25,SeasonTable,2,FALSE)</f>
        <v/>
      </c>
      <c r="AKC25" s="12">
        <f>(1+InflationRate)^INT((AJY25-1)/12)</f>
        <v/>
      </c>
      <c r="AKD25" s="11">
        <f>MonthlyChurn*VLOOKUP(AJZ25,ChurnSeasonTable,4,FALSE)</f>
        <v/>
      </c>
      <c r="AKE25" s="12">
        <f>MIN(MAX(MktMin19plus,ALC24*MktPct19plus),MAX(0,ALQ24-CashBuffer))</f>
        <v/>
      </c>
      <c r="AKF25" s="12">
        <f>IF(AKE25&gt;0,MAX(1,ROUND(AKE25/'Sens - CAC &amp; Marketing'!$A$10*AKB25,0)),0)</f>
        <v/>
      </c>
      <c r="AKG25" s="12">
        <f>IF(AKF25&gt;0,ROUND(AKF25*ReferralMix/(1-ReferralMix),0),0)</f>
        <v/>
      </c>
      <c r="AKH25" s="12">
        <f>AKF25+AKG25</f>
        <v/>
      </c>
      <c r="AKI25" s="12">
        <f>ROUND(AKH25*(1-AnnualMix),0)</f>
        <v/>
      </c>
      <c r="AKJ25" s="12">
        <f>AKH25-AKI25</f>
        <v/>
      </c>
      <c r="AKK25" s="12">
        <f>ROUND(AKI25*EssentialMix,0)</f>
        <v/>
      </c>
      <c r="AKL25" s="12">
        <f>ROUND(AKI25*PremiumMix,0)</f>
        <v/>
      </c>
      <c r="AKM25" s="12">
        <f>AKI25-AKK25-AKL25</f>
        <v/>
      </c>
      <c r="AKN25" s="12">
        <f>ROUND(AKJ25*EssentialMix,0)</f>
        <v/>
      </c>
      <c r="AKO25" s="12">
        <f>ROUND(AKJ25*PremiumMix,0)</f>
        <v/>
      </c>
      <c r="AKP25" s="12">
        <f>AKJ25-AKN25-AKO25</f>
        <v/>
      </c>
      <c r="AKQ25" s="12">
        <f>AKK25+AKK24+AKK23+MAX(0,AKQ24-AKK24-AKK23)*(1-AKD25)</f>
        <v/>
      </c>
      <c r="AKR25" s="12">
        <f>AKL25+AKL24+AKL23+MAX(0,AKR24-AKL24-AKL23)*(1-AKD25)</f>
        <v/>
      </c>
      <c r="AKS25" s="12">
        <f>AKM25+AKM24+AKM23+MAX(0,AKS24-AKM24-AKM23)*(1-AKD25)</f>
        <v/>
      </c>
      <c r="AKT25" s="12">
        <f>AKT24+AKN25-AKN13*(AnnualChurn*VLOOKUP(AJZ25,ChurnSeasonTable,4,FALSE))*POWER(1-(AnnualChurn*VLOOKUP(AJZ25,ChurnSeasonTable,4,FALSE)),0)</f>
        <v/>
      </c>
      <c r="AKU25" s="12">
        <f>AKU24+AKO25-AKO13*(AnnualChurn*VLOOKUP(AJZ25,ChurnSeasonTable,4,FALSE))*POWER(1-(AnnualChurn*VLOOKUP(AJZ25,ChurnSeasonTable,4,FALSE)),0)</f>
        <v/>
      </c>
      <c r="AKV25" s="12">
        <f>AKV24+AKP25-AKP13*(AnnualChurn*VLOOKUP(AJZ25,ChurnSeasonTable,4,FALSE))*POWER(1-(AnnualChurn*VLOOKUP(AJZ25,ChurnSeasonTable,4,FALSE)),0)</f>
        <v/>
      </c>
      <c r="AKW25" s="12">
        <f>AKQ25+AKR25+AKS25+AKT25+AKU25+AKV25</f>
        <v/>
      </c>
      <c r="AKX25" s="9">
        <f>AKQ25*BlendedPriceEssMonthly*AKC25+AKR25*BlendedPricePremMonthly*AKC25+AKS25*BlendedPriceEliteMonthly*AKC25+AKT25*BlendedPriceEssAnnual*AKC25/12+AKU25*BlendedPricePremAnnual*AKC25/12+AKV25*BlendedPriceEliteAnnual*AKC25/12</f>
        <v/>
      </c>
      <c r="AKY25" s="9">
        <f>AKX25*12</f>
        <v/>
      </c>
      <c r="AKZ25" s="12">
        <f>AKQ25*BlendedPriceEssMonthly*AKC25+AKR25*BlendedPricePremMonthly*AKC25+AKS25*BlendedPriceEliteMonthly*AKC25</f>
        <v/>
      </c>
      <c r="ALA25" s="12">
        <f>AKN25*BlendedPriceEssAnnual*AKC25+AKO25*BlendedPricePremAnnual*AKC25+AKP25*BlendedPriceEliteAnnual*AKC25</f>
        <v/>
      </c>
      <c r="ALB25" s="12">
        <f>AKN13*POWER(1-(AnnualChurn*VLOOKUP(AJZ25,ChurnSeasonTable,4,FALSE)),1)*BlendedPriceEssAnnual*AKC25+AKO13*POWER(1-(AnnualChurn*VLOOKUP(AJZ25,ChurnSeasonTable,4,FALSE)),1)*BlendedPricePremAnnual*AKC25+AKP13*POWER(1-(AnnualChurn*VLOOKUP(AJZ25,ChurnSeasonTable,4,FALSE)),1)*BlendedPriceEliteAnnual*AKC25</f>
        <v/>
      </c>
      <c r="ALC25" s="9">
        <f>AKZ25+ALA25+ALB25</f>
        <v/>
      </c>
      <c r="ALD25" s="12">
        <f>SUM(ALC14:ALC25)</f>
        <v/>
      </c>
      <c r="ALE25" s="12">
        <f>OR(ALE24,IF(VATAgentMode,SUM($ALC14:$ALC25)-SUM($ALJ14:$ALJ25)&gt;=VATThreshold,SUM($ALC14:$ALC25)&gt;=VATThreshold))</f>
        <v/>
      </c>
      <c r="ALF25" s="9">
        <f>IF(ALE25,IF(VATAgentMode,ALC25-((ALC25-ALJ25)-(ALC25-ALJ25)/(1+VATRate)),ALC25/(1+VATRate)),ALC25)</f>
        <v/>
      </c>
      <c r="ALG25" s="12">
        <f>ALC25-ALF25</f>
        <v/>
      </c>
      <c r="ALH25" s="12">
        <f>IF(ALE25=0,0,IF(AJZ25=1,SUMPRODUCT(--(($AKA$5:$AKA25=$AKA25-1)*($AJZ$5:$AJZ25&gt;=10)*($AJZ$5:$AJZ25&lt;=12)),$ALG$5:$ALG25),IF(AJZ25=4,SUMPRODUCT(--(($AKA$5:$AKA25=$AKA25)*($AJZ$5:$AJZ25&gt;=1)*($AJZ$5:$AJZ25&lt;=3)),$ALG$5:$ALG25),IF(AJZ25=7,SUMPRODUCT(--(($AKA$5:$AKA25=$AKA25)*($AJZ$5:$AJZ25&gt;=4)*($AJZ$5:$AJZ25&lt;=6)),$ALG$5:$ALG25),IF(AJZ25=10,SUMPRODUCT(--(($AKA$5:$AKA25=$AKA25)*($AJZ$5:$AJZ25&gt;=7)*($AJZ$5:$AJZ25&lt;=9)),$ALG$5:$ALG25),0)))))</f>
        <v/>
      </c>
      <c r="ALI25" s="12">
        <f>ALI24+ALG25-ALH25</f>
        <v/>
      </c>
      <c r="ALJ25" s="12">
        <f>IF(ProviderDelay&gt;=1,AKQ24*BlendedProvPayEss+AKR24*BlendedProvPayPrem+AKS24*BlendedProvPayElite+AKT24*BlendedProvPayEss+AKU24*BlendedProvPayPrem+AKV24*BlendedProvPayElite,AKQ25*BlendedProvPayEss+AKR25*BlendedProvPayPrem+AKS25*BlendedProvPayElite+AKT25*BlendedProvPayEss+AKU25*BlendedProvPayPrem+AKV25*BlendedProvPayElite)</f>
        <v/>
      </c>
      <c r="ALK25" s="12">
        <f>ALC25*PaymentFee</f>
        <v/>
      </c>
      <c r="ALL25" s="12">
        <f>AKW25*OpsAI</f>
        <v/>
      </c>
      <c r="ALM25" s="12">
        <f>MonthlyFixed</f>
        <v/>
      </c>
      <c r="ALN25" s="12">
        <f>AKG25*ReferralReward</f>
        <v/>
      </c>
      <c r="ALO25" s="12">
        <f>AKE25</f>
        <v/>
      </c>
      <c r="ALP25" s="9">
        <f>ALF25-ALJ25-ALK25-ALL25-ALM25-ALN25-ALO25</f>
        <v/>
      </c>
      <c r="ALQ25" s="9">
        <f>ALQ24+ALC25-(ALJ25+ALK25+ALL25+ALM25+ALN25+ALO25+ALH25)</f>
        <v/>
      </c>
      <c r="ALR25" s="12">
        <f>IF(AKW25&gt;0,AKX25/AKW25,0)</f>
        <v/>
      </c>
      <c r="ALS25" s="11">
        <f>IF(AKW24&gt;0,MAX(0,(AKW24+AKH25-AKW25)/AKW24),0)</f>
        <v/>
      </c>
      <c r="ALU25" s="12" t="n">
        <v>21</v>
      </c>
      <c r="ALV25" s="12">
        <f>MOD(ALU25-1+LaunchMonth-1,12)+1</f>
        <v/>
      </c>
      <c r="ALW25" s="12">
        <f>INT((ALU25-1+LaunchMonth-1)/12)+1</f>
        <v/>
      </c>
      <c r="ALX25" s="12">
        <f>VLOOKUP(ALV25,SeasonTable,2,FALSE)</f>
        <v/>
      </c>
      <c r="ALY25" s="12">
        <f>(1+InflationRate)^INT((ALU25-1)/12)</f>
        <v/>
      </c>
      <c r="ALZ25" s="11">
        <f>MonthlyChurn*VLOOKUP(ALV25,ChurnSeasonTable,4,FALSE)</f>
        <v/>
      </c>
      <c r="AMA25" s="12">
        <f>MIN(MAX(MktMin19plus,AMY24*MktPct19plus),MAX(0,ANM24-CashBuffer))</f>
        <v/>
      </c>
      <c r="AMB25" s="12">
        <f>IF(AMA25&gt;0,MAX(1,ROUND(AMA25/'Sens - CAC &amp; Marketing'!$A$11*ALX25,0)),0)</f>
        <v/>
      </c>
      <c r="AMC25" s="12">
        <f>IF(AMB25&gt;0,ROUND(AMB25*ReferralMix/(1-ReferralMix),0),0)</f>
        <v/>
      </c>
      <c r="AMD25" s="12">
        <f>AMB25+AMC25</f>
        <v/>
      </c>
      <c r="AME25" s="12">
        <f>ROUND(AMD25*(1-AnnualMix),0)</f>
        <v/>
      </c>
      <c r="AMF25" s="12">
        <f>AMD25-AME25</f>
        <v/>
      </c>
      <c r="AMG25" s="12">
        <f>ROUND(AME25*EssentialMix,0)</f>
        <v/>
      </c>
      <c r="AMH25" s="12">
        <f>ROUND(AME25*PremiumMix,0)</f>
        <v/>
      </c>
      <c r="AMI25" s="12">
        <f>AME25-AMG25-AMH25</f>
        <v/>
      </c>
      <c r="AMJ25" s="12">
        <f>ROUND(AMF25*EssentialMix,0)</f>
        <v/>
      </c>
      <c r="AMK25" s="12">
        <f>ROUND(AMF25*PremiumMix,0)</f>
        <v/>
      </c>
      <c r="AML25" s="12">
        <f>AMF25-AMJ25-AMK25</f>
        <v/>
      </c>
      <c r="AMM25" s="12">
        <f>AMG25+AMG24+AMG23+MAX(0,AMM24-AMG24-AMG23)*(1-ALZ25)</f>
        <v/>
      </c>
      <c r="AMN25" s="12">
        <f>AMH25+AMH24+AMH23+MAX(0,AMN24-AMH24-AMH23)*(1-ALZ25)</f>
        <v/>
      </c>
      <c r="AMO25" s="12">
        <f>AMI25+AMI24+AMI23+MAX(0,AMO24-AMI24-AMI23)*(1-ALZ25)</f>
        <v/>
      </c>
      <c r="AMP25" s="12">
        <f>AMP24+AMJ25-AMJ13*(AnnualChurn*VLOOKUP(ALV25,ChurnSeasonTable,4,FALSE))*POWER(1-(AnnualChurn*VLOOKUP(ALV25,ChurnSeasonTable,4,FALSE)),0)</f>
        <v/>
      </c>
      <c r="AMQ25" s="12">
        <f>AMQ24+AMK25-AMK13*(AnnualChurn*VLOOKUP(ALV25,ChurnSeasonTable,4,FALSE))*POWER(1-(AnnualChurn*VLOOKUP(ALV25,ChurnSeasonTable,4,FALSE)),0)</f>
        <v/>
      </c>
      <c r="AMR25" s="12">
        <f>AMR24+AML25-AML13*(AnnualChurn*VLOOKUP(ALV25,ChurnSeasonTable,4,FALSE))*POWER(1-(AnnualChurn*VLOOKUP(ALV25,ChurnSeasonTable,4,FALSE)),0)</f>
        <v/>
      </c>
      <c r="AMS25" s="12">
        <f>AMM25+AMN25+AMO25+AMP25+AMQ25+AMR25</f>
        <v/>
      </c>
      <c r="AMT25" s="9">
        <f>AMM25*BlendedPriceEssMonthly*ALY25+AMN25*BlendedPricePremMonthly*ALY25+AMO25*BlendedPriceEliteMonthly*ALY25+AMP25*BlendedPriceEssAnnual*ALY25/12+AMQ25*BlendedPricePremAnnual*ALY25/12+AMR25*BlendedPriceEliteAnnual*ALY25/12</f>
        <v/>
      </c>
      <c r="AMU25" s="9">
        <f>AMT25*12</f>
        <v/>
      </c>
      <c r="AMV25" s="12">
        <f>AMM25*BlendedPriceEssMonthly*ALY25+AMN25*BlendedPricePremMonthly*ALY25+AMO25*BlendedPriceEliteMonthly*ALY25</f>
        <v/>
      </c>
      <c r="AMW25" s="12">
        <f>AMJ25*BlendedPriceEssAnnual*ALY25+AMK25*BlendedPricePremAnnual*ALY25+AML25*BlendedPriceEliteAnnual*ALY25</f>
        <v/>
      </c>
      <c r="AMX25" s="12">
        <f>AMJ13*POWER(1-(AnnualChurn*VLOOKUP(ALV25,ChurnSeasonTable,4,FALSE)),1)*BlendedPriceEssAnnual*ALY25+AMK13*POWER(1-(AnnualChurn*VLOOKUP(ALV25,ChurnSeasonTable,4,FALSE)),1)*BlendedPricePremAnnual*ALY25+AML13*POWER(1-(AnnualChurn*VLOOKUP(ALV25,ChurnSeasonTable,4,FALSE)),1)*BlendedPriceEliteAnnual*ALY25</f>
        <v/>
      </c>
      <c r="AMY25" s="9">
        <f>AMV25+AMW25+AMX25</f>
        <v/>
      </c>
      <c r="AMZ25" s="12">
        <f>SUM(AMY14:AMY25)</f>
        <v/>
      </c>
      <c r="ANA25" s="12">
        <f>OR(ANA24,IF(VATAgentMode,SUM($AMY14:$AMY25)-SUM($ANF14:$ANF25)&gt;=VATThreshold,SUM($AMY14:$AMY25)&gt;=VATThreshold))</f>
        <v/>
      </c>
      <c r="ANB25" s="9">
        <f>IF(ANA25,IF(VATAgentMode,AMY25-((AMY25-ANF25)-(AMY25-ANF25)/(1+VATRate)),AMY25/(1+VATRate)),AMY25)</f>
        <v/>
      </c>
      <c r="ANC25" s="12">
        <f>AMY25-ANB25</f>
        <v/>
      </c>
      <c r="AND25" s="12">
        <f>IF(ANA25=0,0,IF(ALV25=1,SUMPRODUCT(--(($ALW$5:$ALW25=$ALW25-1)*($ALV$5:$ALV25&gt;=10)*($ALV$5:$ALV25&lt;=12)),$ANC$5:$ANC25),IF(ALV25=4,SUMPRODUCT(--(($ALW$5:$ALW25=$ALW25)*($ALV$5:$ALV25&gt;=1)*($ALV$5:$ALV25&lt;=3)),$ANC$5:$ANC25),IF(ALV25=7,SUMPRODUCT(--(($ALW$5:$ALW25=$ALW25)*($ALV$5:$ALV25&gt;=4)*($ALV$5:$ALV25&lt;=6)),$ANC$5:$ANC25),IF(ALV25=10,SUMPRODUCT(--(($ALW$5:$ALW25=$ALW25)*($ALV$5:$ALV25&gt;=7)*($ALV$5:$ALV25&lt;=9)),$ANC$5:$ANC25),0)))))</f>
        <v/>
      </c>
      <c r="ANE25" s="12">
        <f>ANE24+ANC25-AND25</f>
        <v/>
      </c>
      <c r="ANF25" s="12">
        <f>IF(ProviderDelay&gt;=1,AMM24*BlendedProvPayEss+AMN24*BlendedProvPayPrem+AMO24*BlendedProvPayElite+AMP24*BlendedProvPayEss+AMQ24*BlendedProvPayPrem+AMR24*BlendedProvPayElite,AMM25*BlendedProvPayEss+AMN25*BlendedProvPayPrem+AMO25*BlendedProvPayElite+AMP25*BlendedProvPayEss+AMQ25*BlendedProvPayPrem+AMR25*BlendedProvPayElite)</f>
        <v/>
      </c>
      <c r="ANG25" s="12">
        <f>AMY25*PaymentFee</f>
        <v/>
      </c>
      <c r="ANH25" s="12">
        <f>AMS25*OpsAI</f>
        <v/>
      </c>
      <c r="ANI25" s="12">
        <f>MonthlyFixed</f>
        <v/>
      </c>
      <c r="ANJ25" s="12">
        <f>AMC25*ReferralReward</f>
        <v/>
      </c>
      <c r="ANK25" s="12">
        <f>AMA25</f>
        <v/>
      </c>
      <c r="ANL25" s="9">
        <f>ANB25-ANF25-ANG25-ANH25-ANI25-ANJ25-ANK25</f>
        <v/>
      </c>
      <c r="ANM25" s="9">
        <f>ANM24+AMY25-(ANF25+ANG25+ANH25+ANI25+ANJ25+ANK25+AND25)</f>
        <v/>
      </c>
      <c r="ANN25" s="12">
        <f>IF(AMS25&gt;0,AMT25/AMS25,0)</f>
        <v/>
      </c>
      <c r="ANO25" s="11">
        <f>IF(AMS24&gt;0,MAX(0,(AMS24+AMD25-AMS25)/AMS24),0)</f>
        <v/>
      </c>
      <c r="ANQ25" s="12" t="n">
        <v>21</v>
      </c>
      <c r="ANR25" s="12">
        <f>MOD(ANQ25-1+LaunchMonth-1,12)+1</f>
        <v/>
      </c>
      <c r="ANS25" s="12">
        <f>INT((ANQ25-1+LaunchMonth-1)/12)+1</f>
        <v/>
      </c>
      <c r="ANT25" s="12">
        <f>VLOOKUP(ANR25,SeasonTable,2,FALSE)</f>
        <v/>
      </c>
      <c r="ANU25" s="12">
        <f>(1+InflationRate)^INT((ANQ25-1)/12)</f>
        <v/>
      </c>
      <c r="ANV25" s="11">
        <f>MonthlyChurn*VLOOKUP(ANR25,ChurnSeasonTable,4,FALSE)</f>
        <v/>
      </c>
      <c r="ANW25" s="12">
        <f>MIN(MAX(MktMin19plus,AOU24*MktPct19plus),MAX(0,API24-CashBuffer))</f>
        <v/>
      </c>
      <c r="ANX25" s="12">
        <f>IF(ANW25&gt;0,MAX(1,ROUND(ANW25/'Sens - CAC &amp; Marketing'!$A$12*ANT25,0)),0)</f>
        <v/>
      </c>
      <c r="ANY25" s="12">
        <f>IF(ANX25&gt;0,ROUND(ANX25*ReferralMix/(1-ReferralMix),0),0)</f>
        <v/>
      </c>
      <c r="ANZ25" s="12">
        <f>ANX25+ANY25</f>
        <v/>
      </c>
      <c r="AOA25" s="12">
        <f>ROUND(ANZ25*(1-AnnualMix),0)</f>
        <v/>
      </c>
      <c r="AOB25" s="12">
        <f>ANZ25-AOA25</f>
        <v/>
      </c>
      <c r="AOC25" s="12">
        <f>ROUND(AOA25*EssentialMix,0)</f>
        <v/>
      </c>
      <c r="AOD25" s="12">
        <f>ROUND(AOA25*PremiumMix,0)</f>
        <v/>
      </c>
      <c r="AOE25" s="12">
        <f>AOA25-AOC25-AOD25</f>
        <v/>
      </c>
      <c r="AOF25" s="12">
        <f>ROUND(AOB25*EssentialMix,0)</f>
        <v/>
      </c>
      <c r="AOG25" s="12">
        <f>ROUND(AOB25*PremiumMix,0)</f>
        <v/>
      </c>
      <c r="AOH25" s="12">
        <f>AOB25-AOF25-AOG25</f>
        <v/>
      </c>
      <c r="AOI25" s="12">
        <f>AOC25+AOC24+AOC23+MAX(0,AOI24-AOC24-AOC23)*(1-ANV25)</f>
        <v/>
      </c>
      <c r="AOJ25" s="12">
        <f>AOD25+AOD24+AOD23+MAX(0,AOJ24-AOD24-AOD23)*(1-ANV25)</f>
        <v/>
      </c>
      <c r="AOK25" s="12">
        <f>AOE25+AOE24+AOE23+MAX(0,AOK24-AOE24-AOE23)*(1-ANV25)</f>
        <v/>
      </c>
      <c r="AOL25" s="12">
        <f>AOL24+AOF25-AOF13*(AnnualChurn*VLOOKUP(ANR25,ChurnSeasonTable,4,FALSE))*POWER(1-(AnnualChurn*VLOOKUP(ANR25,ChurnSeasonTable,4,FALSE)),0)</f>
        <v/>
      </c>
      <c r="AOM25" s="12">
        <f>AOM24+AOG25-AOG13*(AnnualChurn*VLOOKUP(ANR25,ChurnSeasonTable,4,FALSE))*POWER(1-(AnnualChurn*VLOOKUP(ANR25,ChurnSeasonTable,4,FALSE)),0)</f>
        <v/>
      </c>
      <c r="AON25" s="12">
        <f>AON24+AOH25-AOH13*(AnnualChurn*VLOOKUP(ANR25,ChurnSeasonTable,4,FALSE))*POWER(1-(AnnualChurn*VLOOKUP(ANR25,ChurnSeasonTable,4,FALSE)),0)</f>
        <v/>
      </c>
      <c r="AOO25" s="12">
        <f>AOI25+AOJ25+AOK25+AOL25+AOM25+AON25</f>
        <v/>
      </c>
      <c r="AOP25" s="9">
        <f>AOI25*BlendedPriceEssMonthly*ANU25+AOJ25*BlendedPricePremMonthly*ANU25+AOK25*BlendedPriceEliteMonthly*ANU25+AOL25*BlendedPriceEssAnnual*ANU25/12+AOM25*BlendedPricePremAnnual*ANU25/12+AON25*BlendedPriceEliteAnnual*ANU25/12</f>
        <v/>
      </c>
      <c r="AOQ25" s="9">
        <f>AOP25*12</f>
        <v/>
      </c>
      <c r="AOR25" s="12">
        <f>AOI25*BlendedPriceEssMonthly*ANU25+AOJ25*BlendedPricePremMonthly*ANU25+AOK25*BlendedPriceEliteMonthly*ANU25</f>
        <v/>
      </c>
      <c r="AOS25" s="12">
        <f>AOF25*BlendedPriceEssAnnual*ANU25+AOG25*BlendedPricePremAnnual*ANU25+AOH25*BlendedPriceEliteAnnual*ANU25</f>
        <v/>
      </c>
      <c r="AOT25" s="12">
        <f>AOF13*POWER(1-(AnnualChurn*VLOOKUP(ANR25,ChurnSeasonTable,4,FALSE)),1)*BlendedPriceEssAnnual*ANU25+AOG13*POWER(1-(AnnualChurn*VLOOKUP(ANR25,ChurnSeasonTable,4,FALSE)),1)*BlendedPricePremAnnual*ANU25+AOH13*POWER(1-(AnnualChurn*VLOOKUP(ANR25,ChurnSeasonTable,4,FALSE)),1)*BlendedPriceEliteAnnual*ANU25</f>
        <v/>
      </c>
      <c r="AOU25" s="9">
        <f>AOR25+AOS25+AOT25</f>
        <v/>
      </c>
      <c r="AOV25" s="12">
        <f>SUM(AOU14:AOU25)</f>
        <v/>
      </c>
      <c r="AOW25" s="12">
        <f>OR(AOW24,IF(VATAgentMode,SUM($AOU14:$AOU25)-SUM($APB14:$APB25)&gt;=VATThreshold,SUM($AOU14:$AOU25)&gt;=VATThreshold))</f>
        <v/>
      </c>
      <c r="AOX25" s="9">
        <f>IF(AOW25,IF(VATAgentMode,AOU25-((AOU25-APB25)-(AOU25-APB25)/(1+VATRate)),AOU25/(1+VATRate)),AOU25)</f>
        <v/>
      </c>
      <c r="AOY25" s="12">
        <f>AOU25-AOX25</f>
        <v/>
      </c>
      <c r="AOZ25" s="12">
        <f>IF(AOW25=0,0,IF(ANR25=1,SUMPRODUCT(--(($ANS$5:$ANS25=$ANS25-1)*($ANR$5:$ANR25&gt;=10)*($ANR$5:$ANR25&lt;=12)),$AOY$5:$AOY25),IF(ANR25=4,SUMPRODUCT(--(($ANS$5:$ANS25=$ANS25)*($ANR$5:$ANR25&gt;=1)*($ANR$5:$ANR25&lt;=3)),$AOY$5:$AOY25),IF(ANR25=7,SUMPRODUCT(--(($ANS$5:$ANS25=$ANS25)*($ANR$5:$ANR25&gt;=4)*($ANR$5:$ANR25&lt;=6)),$AOY$5:$AOY25),IF(ANR25=10,SUMPRODUCT(--(($ANS$5:$ANS25=$ANS25)*($ANR$5:$ANR25&gt;=7)*($ANR$5:$ANR25&lt;=9)),$AOY$5:$AOY25),0)))))</f>
        <v/>
      </c>
      <c r="APA25" s="12">
        <f>APA24+AOY25-AOZ25</f>
        <v/>
      </c>
      <c r="APB25" s="12">
        <f>IF(ProviderDelay&gt;=1,AOI24*BlendedProvPayEss+AOJ24*BlendedProvPayPrem+AOK24*BlendedProvPayElite+AOL24*BlendedProvPayEss+AOM24*BlendedProvPayPrem+AON24*BlendedProvPayElite,AOI25*BlendedProvPayEss+AOJ25*BlendedProvPayPrem+AOK25*BlendedProvPayElite+AOL25*BlendedProvPayEss+AOM25*BlendedProvPayPrem+AON25*BlendedProvPayElite)</f>
        <v/>
      </c>
      <c r="APC25" s="12">
        <f>AOU25*PaymentFee</f>
        <v/>
      </c>
      <c r="APD25" s="12">
        <f>AOO25*OpsAI</f>
        <v/>
      </c>
      <c r="APE25" s="12">
        <f>MonthlyFixed</f>
        <v/>
      </c>
      <c r="APF25" s="12">
        <f>ANY25*ReferralReward</f>
        <v/>
      </c>
      <c r="APG25" s="12">
        <f>ANW25</f>
        <v/>
      </c>
      <c r="APH25" s="9">
        <f>AOX25-APB25-APC25-APD25-APE25-APF25-APG25</f>
        <v/>
      </c>
      <c r="API25" s="9">
        <f>API24+AOU25-(APB25+APC25+APD25+APE25+APF25+APG25+AOZ25)</f>
        <v/>
      </c>
      <c r="APJ25" s="12">
        <f>IF(AOO25&gt;0,AOP25/AOO25,0)</f>
        <v/>
      </c>
      <c r="APK25" s="11">
        <f>IF(AOO24&gt;0,MAX(0,(AOO24+ANZ25-AOO25)/AOO24),0)</f>
        <v/>
      </c>
      <c r="APM25" s="12" t="n">
        <v>21</v>
      </c>
      <c r="APN25" s="12">
        <f>MOD(APM25-1+LaunchMonth-1,12)+1</f>
        <v/>
      </c>
      <c r="APO25" s="12">
        <f>INT((APM25-1+LaunchMonth-1)/12)+1</f>
        <v/>
      </c>
      <c r="APP25" s="12">
        <f>VLOOKUP(APN25,SeasonTable,2,FALSE)</f>
        <v/>
      </c>
      <c r="APQ25" s="12">
        <f>(1+InflationRate)^INT((APM25-1)/12)</f>
        <v/>
      </c>
      <c r="APR25" s="11">
        <f>MonthlyChurn*VLOOKUP(APN25,ChurnSeasonTable,4,FALSE)</f>
        <v/>
      </c>
      <c r="APS25" s="12">
        <f>MIN(MAX(MktMin19plus,AQQ24*MktPct19plus),MAX(0,ARE24-CashBuffer))</f>
        <v/>
      </c>
      <c r="APT25" s="12">
        <f>IF(APS25&gt;0,MAX(1,ROUND(APS25/'Sens - CAC &amp; Marketing'!$A$13*APP25,0)),0)</f>
        <v/>
      </c>
      <c r="APU25" s="12">
        <f>IF(APT25&gt;0,ROUND(APT25*ReferralMix/(1-ReferralMix),0),0)</f>
        <v/>
      </c>
      <c r="APV25" s="12">
        <f>APT25+APU25</f>
        <v/>
      </c>
      <c r="APW25" s="12">
        <f>ROUND(APV25*(1-AnnualMix),0)</f>
        <v/>
      </c>
      <c r="APX25" s="12">
        <f>APV25-APW25</f>
        <v/>
      </c>
      <c r="APY25" s="12">
        <f>ROUND(APW25*EssentialMix,0)</f>
        <v/>
      </c>
      <c r="APZ25" s="12">
        <f>ROUND(APW25*PremiumMix,0)</f>
        <v/>
      </c>
      <c r="AQA25" s="12">
        <f>APW25-APY25-APZ25</f>
        <v/>
      </c>
      <c r="AQB25" s="12">
        <f>ROUND(APX25*EssentialMix,0)</f>
        <v/>
      </c>
      <c r="AQC25" s="12">
        <f>ROUND(APX25*PremiumMix,0)</f>
        <v/>
      </c>
      <c r="AQD25" s="12">
        <f>APX25-AQB25-AQC25</f>
        <v/>
      </c>
      <c r="AQE25" s="12">
        <f>APY25+APY24+APY23+MAX(0,AQE24-APY24-APY23)*(1-APR25)</f>
        <v/>
      </c>
      <c r="AQF25" s="12">
        <f>APZ25+APZ24+APZ23+MAX(0,AQF24-APZ24-APZ23)*(1-APR25)</f>
        <v/>
      </c>
      <c r="AQG25" s="12">
        <f>AQA25+AQA24+AQA23+MAX(0,AQG24-AQA24-AQA23)*(1-APR25)</f>
        <v/>
      </c>
      <c r="AQH25" s="12">
        <f>AQH24+AQB25-AQB13*(AnnualChurn*VLOOKUP(APN25,ChurnSeasonTable,4,FALSE))*POWER(1-(AnnualChurn*VLOOKUP(APN25,ChurnSeasonTable,4,FALSE)),0)</f>
        <v/>
      </c>
      <c r="AQI25" s="12">
        <f>AQI24+AQC25-AQC13*(AnnualChurn*VLOOKUP(APN25,ChurnSeasonTable,4,FALSE))*POWER(1-(AnnualChurn*VLOOKUP(APN25,ChurnSeasonTable,4,FALSE)),0)</f>
        <v/>
      </c>
      <c r="AQJ25" s="12">
        <f>AQJ24+AQD25-AQD13*(AnnualChurn*VLOOKUP(APN25,ChurnSeasonTable,4,FALSE))*POWER(1-(AnnualChurn*VLOOKUP(APN25,ChurnSeasonTable,4,FALSE)),0)</f>
        <v/>
      </c>
      <c r="AQK25" s="12">
        <f>AQE25+AQF25+AQG25+AQH25+AQI25+AQJ25</f>
        <v/>
      </c>
      <c r="AQL25" s="9">
        <f>AQE25*BlendedPriceEssMonthly*APQ25+AQF25*BlendedPricePremMonthly*APQ25+AQG25*BlendedPriceEliteMonthly*APQ25+AQH25*BlendedPriceEssAnnual*APQ25/12+AQI25*BlendedPricePremAnnual*APQ25/12+AQJ25*BlendedPriceEliteAnnual*APQ25/12</f>
        <v/>
      </c>
      <c r="AQM25" s="9">
        <f>AQL25*12</f>
        <v/>
      </c>
      <c r="AQN25" s="12">
        <f>AQE25*BlendedPriceEssMonthly*APQ25+AQF25*BlendedPricePremMonthly*APQ25+AQG25*BlendedPriceEliteMonthly*APQ25</f>
        <v/>
      </c>
      <c r="AQO25" s="12">
        <f>AQB25*BlendedPriceEssAnnual*APQ25+AQC25*BlendedPricePremAnnual*APQ25+AQD25*BlendedPriceEliteAnnual*APQ25</f>
        <v/>
      </c>
      <c r="AQP25" s="12">
        <f>AQB13*POWER(1-(AnnualChurn*VLOOKUP(APN25,ChurnSeasonTable,4,FALSE)),1)*BlendedPriceEssAnnual*APQ25+AQC13*POWER(1-(AnnualChurn*VLOOKUP(APN25,ChurnSeasonTable,4,FALSE)),1)*BlendedPricePremAnnual*APQ25+AQD13*POWER(1-(AnnualChurn*VLOOKUP(APN25,ChurnSeasonTable,4,FALSE)),1)*BlendedPriceEliteAnnual*APQ25</f>
        <v/>
      </c>
      <c r="AQQ25" s="9">
        <f>AQN25+AQO25+AQP25</f>
        <v/>
      </c>
      <c r="AQR25" s="12">
        <f>SUM(AQQ14:AQQ25)</f>
        <v/>
      </c>
      <c r="AQS25" s="12">
        <f>OR(AQS24,IF(VATAgentMode,SUM($AQQ14:$AQQ25)-SUM($AQX14:$AQX25)&gt;=VATThreshold,SUM($AQQ14:$AQQ25)&gt;=VATThreshold))</f>
        <v/>
      </c>
      <c r="AQT25" s="9">
        <f>IF(AQS25,IF(VATAgentMode,AQQ25-((AQQ25-AQX25)-(AQQ25-AQX25)/(1+VATRate)),AQQ25/(1+VATRate)),AQQ25)</f>
        <v/>
      </c>
      <c r="AQU25" s="12">
        <f>AQQ25-AQT25</f>
        <v/>
      </c>
      <c r="AQV25" s="12">
        <f>IF(AQS25=0,0,IF(APN25=1,SUMPRODUCT(--(($APO$5:$APO25=$APO25-1)*($APN$5:$APN25&gt;=10)*($APN$5:$APN25&lt;=12)),$AQU$5:$AQU25),IF(APN25=4,SUMPRODUCT(--(($APO$5:$APO25=$APO25)*($APN$5:$APN25&gt;=1)*($APN$5:$APN25&lt;=3)),$AQU$5:$AQU25),IF(APN25=7,SUMPRODUCT(--(($APO$5:$APO25=$APO25)*($APN$5:$APN25&gt;=4)*($APN$5:$APN25&lt;=6)),$AQU$5:$AQU25),IF(APN25=10,SUMPRODUCT(--(($APO$5:$APO25=$APO25)*($APN$5:$APN25&gt;=7)*($APN$5:$APN25&lt;=9)),$AQU$5:$AQU25),0)))))</f>
        <v/>
      </c>
      <c r="AQW25" s="12">
        <f>AQW24+AQU25-AQV25</f>
        <v/>
      </c>
      <c r="AQX25" s="12">
        <f>IF(ProviderDelay&gt;=1,AQE24*BlendedProvPayEss+AQF24*BlendedProvPayPrem+AQG24*BlendedProvPayElite+AQH24*BlendedProvPayEss+AQI24*BlendedProvPayPrem+AQJ24*BlendedProvPayElite,AQE25*BlendedProvPayEss+AQF25*BlendedProvPayPrem+AQG25*BlendedProvPayElite+AQH25*BlendedProvPayEss+AQI25*BlendedProvPayPrem+AQJ25*BlendedProvPayElite)</f>
        <v/>
      </c>
      <c r="AQY25" s="12">
        <f>AQQ25*PaymentFee</f>
        <v/>
      </c>
      <c r="AQZ25" s="12">
        <f>AQK25*OpsAI</f>
        <v/>
      </c>
      <c r="ARA25" s="12">
        <f>MonthlyFixed</f>
        <v/>
      </c>
      <c r="ARB25" s="12">
        <f>APU25*ReferralReward</f>
        <v/>
      </c>
      <c r="ARC25" s="12">
        <f>APS25</f>
        <v/>
      </c>
      <c r="ARD25" s="9">
        <f>AQT25-AQX25-AQY25-AQZ25-ARA25-ARB25-ARC25</f>
        <v/>
      </c>
      <c r="ARE25" s="9">
        <f>ARE24+AQQ25-(AQX25+AQY25+AQZ25+ARA25+ARB25+ARC25+AQV25)</f>
        <v/>
      </c>
      <c r="ARF25" s="12">
        <f>IF(AQK25&gt;0,AQL25/AQK25,0)</f>
        <v/>
      </c>
      <c r="ARG25" s="11">
        <f>IF(AQK24&gt;0,MAX(0,(AQK24+APV25-AQK25)/AQK24),0)</f>
        <v/>
      </c>
      <c r="ARI25" s="12" t="n">
        <v>21</v>
      </c>
      <c r="ARJ25" s="12">
        <f>MOD(ARI25-1+LaunchMonth-1,12)+1</f>
        <v/>
      </c>
      <c r="ARK25" s="12">
        <f>INT((ARI25-1+LaunchMonth-1)/12)+1</f>
        <v/>
      </c>
      <c r="ARL25" s="12">
        <f>VLOOKUP(ARJ25,SeasonTable,2,FALSE)</f>
        <v/>
      </c>
      <c r="ARM25" s="12">
        <f>(1+InflationRate)^INT((ARI25-1)/12)</f>
        <v/>
      </c>
      <c r="ARN25" s="11">
        <f>MonthlyChurn*VLOOKUP(ARJ25,ChurnSeasonTable,4,FALSE)</f>
        <v/>
      </c>
      <c r="ARO25" s="12">
        <f>MIN(MAX(MktMin19plus,ASM24*MktPct19plus),MAX(0,ATA24-CashBuffer))</f>
        <v/>
      </c>
      <c r="ARP25" s="12">
        <f>IF(ARO25&gt;0,MAX(1,ROUND(ARO25/'Sens - CAC &amp; Marketing'!$A$14*ARL25,0)),0)</f>
        <v/>
      </c>
      <c r="ARQ25" s="12">
        <f>IF(ARP25&gt;0,ROUND(ARP25*ReferralMix/(1-ReferralMix),0),0)</f>
        <v/>
      </c>
      <c r="ARR25" s="12">
        <f>ARP25+ARQ25</f>
        <v/>
      </c>
      <c r="ARS25" s="12">
        <f>ROUND(ARR25*(1-AnnualMix),0)</f>
        <v/>
      </c>
      <c r="ART25" s="12">
        <f>ARR25-ARS25</f>
        <v/>
      </c>
      <c r="ARU25" s="12">
        <f>ROUND(ARS25*EssentialMix,0)</f>
        <v/>
      </c>
      <c r="ARV25" s="12">
        <f>ROUND(ARS25*PremiumMix,0)</f>
        <v/>
      </c>
      <c r="ARW25" s="12">
        <f>ARS25-ARU25-ARV25</f>
        <v/>
      </c>
      <c r="ARX25" s="12">
        <f>ROUND(ART25*EssentialMix,0)</f>
        <v/>
      </c>
      <c r="ARY25" s="12">
        <f>ROUND(ART25*PremiumMix,0)</f>
        <v/>
      </c>
      <c r="ARZ25" s="12">
        <f>ART25-ARX25-ARY25</f>
        <v/>
      </c>
      <c r="ASA25" s="12">
        <f>ARU25+ARU24+ARU23+MAX(0,ASA24-ARU24-ARU23)*(1-ARN25)</f>
        <v/>
      </c>
      <c r="ASB25" s="12">
        <f>ARV25+ARV24+ARV23+MAX(0,ASB24-ARV24-ARV23)*(1-ARN25)</f>
        <v/>
      </c>
      <c r="ASC25" s="12">
        <f>ARW25+ARW24+ARW23+MAX(0,ASC24-ARW24-ARW23)*(1-ARN25)</f>
        <v/>
      </c>
      <c r="ASD25" s="12">
        <f>ASD24+ARX25-ARX13*(AnnualChurn*VLOOKUP(ARJ25,ChurnSeasonTable,4,FALSE))*POWER(1-(AnnualChurn*VLOOKUP(ARJ25,ChurnSeasonTable,4,FALSE)),0)</f>
        <v/>
      </c>
      <c r="ASE25" s="12">
        <f>ASE24+ARY25-ARY13*(AnnualChurn*VLOOKUP(ARJ25,ChurnSeasonTable,4,FALSE))*POWER(1-(AnnualChurn*VLOOKUP(ARJ25,ChurnSeasonTable,4,FALSE)),0)</f>
        <v/>
      </c>
      <c r="ASF25" s="12">
        <f>ASF24+ARZ25-ARZ13*(AnnualChurn*VLOOKUP(ARJ25,ChurnSeasonTable,4,FALSE))*POWER(1-(AnnualChurn*VLOOKUP(ARJ25,ChurnSeasonTable,4,FALSE)),0)</f>
        <v/>
      </c>
      <c r="ASG25" s="12">
        <f>ASA25+ASB25+ASC25+ASD25+ASE25+ASF25</f>
        <v/>
      </c>
      <c r="ASH25" s="9">
        <f>ASA25*BlendedPriceEssMonthly*ARM25+ASB25*BlendedPricePremMonthly*ARM25+ASC25*BlendedPriceEliteMonthly*ARM25+ASD25*BlendedPriceEssAnnual*ARM25/12+ASE25*BlendedPricePremAnnual*ARM25/12+ASF25*BlendedPriceEliteAnnual*ARM25/12</f>
        <v/>
      </c>
      <c r="ASI25" s="9">
        <f>ASH25*12</f>
        <v/>
      </c>
      <c r="ASJ25" s="12">
        <f>ASA25*BlendedPriceEssMonthly*ARM25+ASB25*BlendedPricePremMonthly*ARM25+ASC25*BlendedPriceEliteMonthly*ARM25</f>
        <v/>
      </c>
      <c r="ASK25" s="12">
        <f>ARX25*BlendedPriceEssAnnual*ARM25+ARY25*BlendedPricePremAnnual*ARM25+ARZ25*BlendedPriceEliteAnnual*ARM25</f>
        <v/>
      </c>
      <c r="ASL25" s="12">
        <f>ARX13*POWER(1-(AnnualChurn*VLOOKUP(ARJ25,ChurnSeasonTable,4,FALSE)),1)*BlendedPriceEssAnnual*ARM25+ARY13*POWER(1-(AnnualChurn*VLOOKUP(ARJ25,ChurnSeasonTable,4,FALSE)),1)*BlendedPricePremAnnual*ARM25+ARZ13*POWER(1-(AnnualChurn*VLOOKUP(ARJ25,ChurnSeasonTable,4,FALSE)),1)*BlendedPriceEliteAnnual*ARM25</f>
        <v/>
      </c>
      <c r="ASM25" s="9">
        <f>ASJ25+ASK25+ASL25</f>
        <v/>
      </c>
      <c r="ASN25" s="12">
        <f>SUM(ASM14:ASM25)</f>
        <v/>
      </c>
      <c r="ASO25" s="12">
        <f>OR(ASO24,IF(VATAgentMode,SUM($ASM14:$ASM25)-SUM($AST14:$AST25)&gt;=VATThreshold,SUM($ASM14:$ASM25)&gt;=VATThreshold))</f>
        <v/>
      </c>
      <c r="ASP25" s="9">
        <f>IF(ASO25,IF(VATAgentMode,ASM25-((ASM25-AST25)-(ASM25-AST25)/(1+VATRate)),ASM25/(1+VATRate)),ASM25)</f>
        <v/>
      </c>
      <c r="ASQ25" s="12">
        <f>ASM25-ASP25</f>
        <v/>
      </c>
      <c r="ASR25" s="12">
        <f>IF(ASO25=0,0,IF(ARJ25=1,SUMPRODUCT(--(($ARK$5:$ARK25=$ARK25-1)*($ARJ$5:$ARJ25&gt;=10)*($ARJ$5:$ARJ25&lt;=12)),$ASQ$5:$ASQ25),IF(ARJ25=4,SUMPRODUCT(--(($ARK$5:$ARK25=$ARK25)*($ARJ$5:$ARJ25&gt;=1)*($ARJ$5:$ARJ25&lt;=3)),$ASQ$5:$ASQ25),IF(ARJ25=7,SUMPRODUCT(--(($ARK$5:$ARK25=$ARK25)*($ARJ$5:$ARJ25&gt;=4)*($ARJ$5:$ARJ25&lt;=6)),$ASQ$5:$ASQ25),IF(ARJ25=10,SUMPRODUCT(--(($ARK$5:$ARK25=$ARK25)*($ARJ$5:$ARJ25&gt;=7)*($ARJ$5:$ARJ25&lt;=9)),$ASQ$5:$ASQ25),0)))))</f>
        <v/>
      </c>
      <c r="ASS25" s="12">
        <f>ASS24+ASQ25-ASR25</f>
        <v/>
      </c>
      <c r="AST25" s="12">
        <f>IF(ProviderDelay&gt;=1,ASA24*BlendedProvPayEss+ASB24*BlendedProvPayPrem+ASC24*BlendedProvPayElite+ASD24*BlendedProvPayEss+ASE24*BlendedProvPayPrem+ASF24*BlendedProvPayElite,ASA25*BlendedProvPayEss+ASB25*BlendedProvPayPrem+ASC25*BlendedProvPayElite+ASD25*BlendedProvPayEss+ASE25*BlendedProvPayPrem+ASF25*BlendedProvPayElite)</f>
        <v/>
      </c>
      <c r="ASU25" s="12">
        <f>ASM25*PaymentFee</f>
        <v/>
      </c>
      <c r="ASV25" s="12">
        <f>ASG25*OpsAI</f>
        <v/>
      </c>
      <c r="ASW25" s="12">
        <f>MonthlyFixed</f>
        <v/>
      </c>
      <c r="ASX25" s="12">
        <f>ARQ25*ReferralReward</f>
        <v/>
      </c>
      <c r="ASY25" s="12">
        <f>ARO25</f>
        <v/>
      </c>
      <c r="ASZ25" s="9">
        <f>ASP25-AST25-ASU25-ASV25-ASW25-ASX25-ASY25</f>
        <v/>
      </c>
      <c r="ATA25" s="9">
        <f>ATA24+ASM25-(AST25+ASU25+ASV25+ASW25+ASX25+ASY25+ASR25)</f>
        <v/>
      </c>
      <c r="ATB25" s="12">
        <f>IF(ASG25&gt;0,ASH25/ASG25,0)</f>
        <v/>
      </c>
      <c r="ATC25" s="11">
        <f>IF(ASG24&gt;0,MAX(0,(ASG24+ARR25-ASG25)/ASG24),0)</f>
        <v/>
      </c>
      <c r="ATE25" s="12" t="n">
        <v>21</v>
      </c>
      <c r="ATF25" s="12">
        <f>MOD(ATE25-1+LaunchMonth-1,12)+1</f>
        <v/>
      </c>
      <c r="ATG25" s="12">
        <f>INT((ATE25-1+LaunchMonth-1)/12)+1</f>
        <v/>
      </c>
      <c r="ATH25" s="12">
        <f>VLOOKUP(ATF25,SeasonTable,2,FALSE)</f>
        <v/>
      </c>
      <c r="ATI25" s="12">
        <f>(1+InflationRate)^INT((ATE25-1)/12)</f>
        <v/>
      </c>
      <c r="ATJ25" s="11">
        <f>MonthlyChurn*VLOOKUP(ATF25,ChurnSeasonTable,4,FALSE)</f>
        <v/>
      </c>
      <c r="ATK25" s="12">
        <f>MIN(MAX(MktMin19plus,AUI24*MktPct19plus),MAX(0,AUW24-CashBuffer))</f>
        <v/>
      </c>
      <c r="ATL25" s="12">
        <f>IF(ATK25&gt;0,MAX(1,ROUND(ATK25/'Sens - CAC &amp; Marketing'!$A$15*ATH25,0)),0)</f>
        <v/>
      </c>
      <c r="ATM25" s="12">
        <f>IF(ATL25&gt;0,ROUND(ATL25*ReferralMix/(1-ReferralMix),0),0)</f>
        <v/>
      </c>
      <c r="ATN25" s="12">
        <f>ATL25+ATM25</f>
        <v/>
      </c>
      <c r="ATO25" s="12">
        <f>ROUND(ATN25*(1-AnnualMix),0)</f>
        <v/>
      </c>
      <c r="ATP25" s="12">
        <f>ATN25-ATO25</f>
        <v/>
      </c>
      <c r="ATQ25" s="12">
        <f>ROUND(ATO25*EssentialMix,0)</f>
        <v/>
      </c>
      <c r="ATR25" s="12">
        <f>ROUND(ATO25*PremiumMix,0)</f>
        <v/>
      </c>
      <c r="ATS25" s="12">
        <f>ATO25-ATQ25-ATR25</f>
        <v/>
      </c>
      <c r="ATT25" s="12">
        <f>ROUND(ATP25*EssentialMix,0)</f>
        <v/>
      </c>
      <c r="ATU25" s="12">
        <f>ROUND(ATP25*PremiumMix,0)</f>
        <v/>
      </c>
      <c r="ATV25" s="12">
        <f>ATP25-ATT25-ATU25</f>
        <v/>
      </c>
      <c r="ATW25" s="12">
        <f>ATQ25+ATQ24+ATQ23+MAX(0,ATW24-ATQ24-ATQ23)*(1-ATJ25)</f>
        <v/>
      </c>
      <c r="ATX25" s="12">
        <f>ATR25+ATR24+ATR23+MAX(0,ATX24-ATR24-ATR23)*(1-ATJ25)</f>
        <v/>
      </c>
      <c r="ATY25" s="12">
        <f>ATS25+ATS24+ATS23+MAX(0,ATY24-ATS24-ATS23)*(1-ATJ25)</f>
        <v/>
      </c>
      <c r="ATZ25" s="12">
        <f>ATZ24+ATT25-ATT13*(AnnualChurn*VLOOKUP(ATF25,ChurnSeasonTable,4,FALSE))*POWER(1-(AnnualChurn*VLOOKUP(ATF25,ChurnSeasonTable,4,FALSE)),0)</f>
        <v/>
      </c>
      <c r="AUA25" s="12">
        <f>AUA24+ATU25-ATU13*(AnnualChurn*VLOOKUP(ATF25,ChurnSeasonTable,4,FALSE))*POWER(1-(AnnualChurn*VLOOKUP(ATF25,ChurnSeasonTable,4,FALSE)),0)</f>
        <v/>
      </c>
      <c r="AUB25" s="12">
        <f>AUB24+ATV25-ATV13*(AnnualChurn*VLOOKUP(ATF25,ChurnSeasonTable,4,FALSE))*POWER(1-(AnnualChurn*VLOOKUP(ATF25,ChurnSeasonTable,4,FALSE)),0)</f>
        <v/>
      </c>
      <c r="AUC25" s="12">
        <f>ATW25+ATX25+ATY25+ATZ25+AUA25+AUB25</f>
        <v/>
      </c>
      <c r="AUD25" s="9">
        <f>ATW25*BlendedPriceEssMonthly*ATI25+ATX25*BlendedPricePremMonthly*ATI25+ATY25*BlendedPriceEliteMonthly*ATI25+ATZ25*BlendedPriceEssAnnual*ATI25/12+AUA25*BlendedPricePremAnnual*ATI25/12+AUB25*BlendedPriceEliteAnnual*ATI25/12</f>
        <v/>
      </c>
      <c r="AUE25" s="9">
        <f>AUD25*12</f>
        <v/>
      </c>
      <c r="AUF25" s="12">
        <f>ATW25*BlendedPriceEssMonthly*ATI25+ATX25*BlendedPricePremMonthly*ATI25+ATY25*BlendedPriceEliteMonthly*ATI25</f>
        <v/>
      </c>
      <c r="AUG25" s="12">
        <f>ATT25*BlendedPriceEssAnnual*ATI25+ATU25*BlendedPricePremAnnual*ATI25+ATV25*BlendedPriceEliteAnnual*ATI25</f>
        <v/>
      </c>
      <c r="AUH25" s="12">
        <f>ATT13*POWER(1-(AnnualChurn*VLOOKUP(ATF25,ChurnSeasonTable,4,FALSE)),1)*BlendedPriceEssAnnual*ATI25+ATU13*POWER(1-(AnnualChurn*VLOOKUP(ATF25,ChurnSeasonTable,4,FALSE)),1)*BlendedPricePremAnnual*ATI25+ATV13*POWER(1-(AnnualChurn*VLOOKUP(ATF25,ChurnSeasonTable,4,FALSE)),1)*BlendedPriceEliteAnnual*ATI25</f>
        <v/>
      </c>
      <c r="AUI25" s="9">
        <f>AUF25+AUG25+AUH25</f>
        <v/>
      </c>
      <c r="AUJ25" s="12">
        <f>SUM(AUI14:AUI25)</f>
        <v/>
      </c>
      <c r="AUK25" s="12">
        <f>OR(AUK24,IF(VATAgentMode,SUM($AUI14:$AUI25)-SUM($AUP14:$AUP25)&gt;=VATThreshold,SUM($AUI14:$AUI25)&gt;=VATThreshold))</f>
        <v/>
      </c>
      <c r="AUL25" s="9">
        <f>IF(AUK25,IF(VATAgentMode,AUI25-((AUI25-AUP25)-(AUI25-AUP25)/(1+VATRate)),AUI25/(1+VATRate)),AUI25)</f>
        <v/>
      </c>
      <c r="AUM25" s="12">
        <f>AUI25-AUL25</f>
        <v/>
      </c>
      <c r="AUN25" s="12">
        <f>IF(AUK25=0,0,IF(ATF25=1,SUMPRODUCT(--(($ATG$5:$ATG25=$ATG25-1)*($ATF$5:$ATF25&gt;=10)*($ATF$5:$ATF25&lt;=12)),$AUM$5:$AUM25),IF(ATF25=4,SUMPRODUCT(--(($ATG$5:$ATG25=$ATG25)*($ATF$5:$ATF25&gt;=1)*($ATF$5:$ATF25&lt;=3)),$AUM$5:$AUM25),IF(ATF25=7,SUMPRODUCT(--(($ATG$5:$ATG25=$ATG25)*($ATF$5:$ATF25&gt;=4)*($ATF$5:$ATF25&lt;=6)),$AUM$5:$AUM25),IF(ATF25=10,SUMPRODUCT(--(($ATG$5:$ATG25=$ATG25)*($ATF$5:$ATF25&gt;=7)*($ATF$5:$ATF25&lt;=9)),$AUM$5:$AUM25),0)))))</f>
        <v/>
      </c>
      <c r="AUO25" s="12">
        <f>AUO24+AUM25-AUN25</f>
        <v/>
      </c>
      <c r="AUP25" s="12">
        <f>IF(ProviderDelay&gt;=1,ATW24*BlendedProvPayEss+ATX24*BlendedProvPayPrem+ATY24*BlendedProvPayElite+ATZ24*BlendedProvPayEss+AUA24*BlendedProvPayPrem+AUB24*BlendedProvPayElite,ATW25*BlendedProvPayEss+ATX25*BlendedProvPayPrem+ATY25*BlendedProvPayElite+ATZ25*BlendedProvPayEss+AUA25*BlendedProvPayPrem+AUB25*BlendedProvPayElite)</f>
        <v/>
      </c>
      <c r="AUQ25" s="12">
        <f>AUI25*PaymentFee</f>
        <v/>
      </c>
      <c r="AUR25" s="12">
        <f>AUC25*OpsAI</f>
        <v/>
      </c>
      <c r="AUS25" s="12">
        <f>MonthlyFixed</f>
        <v/>
      </c>
      <c r="AUT25" s="12">
        <f>ATM25*ReferralReward</f>
        <v/>
      </c>
      <c r="AUU25" s="12">
        <f>ATK25</f>
        <v/>
      </c>
      <c r="AUV25" s="9">
        <f>AUL25-AUP25-AUQ25-AUR25-AUS25-AUT25-AUU25</f>
        <v/>
      </c>
      <c r="AUW25" s="9">
        <f>AUW24+AUI25-(AUP25+AUQ25+AUR25+AUS25+AUT25+AUU25+AUN25)</f>
        <v/>
      </c>
      <c r="AUX25" s="12">
        <f>IF(AUC25&gt;0,AUD25/AUC25,0)</f>
        <v/>
      </c>
      <c r="AUY25" s="11">
        <f>IF(AUC24&gt;0,MAX(0,(AUC24+ATN25-AUC25)/AUC24),0)</f>
        <v/>
      </c>
      <c r="AVA25" s="12" t="n">
        <v>21</v>
      </c>
      <c r="AVB25" s="12">
        <f>MOD(AVA25-1+LaunchMonth-1,12)+1</f>
        <v/>
      </c>
      <c r="AVC25" s="12">
        <f>INT((AVA25-1+LaunchMonth-1)/12)+1</f>
        <v/>
      </c>
      <c r="AVD25" s="12">
        <f>VLOOKUP(AVB25,WinterPivotSeasonTable,5,FALSE)</f>
        <v/>
      </c>
      <c r="AVE25" s="12">
        <f>(1+InflationRate)^INT((AVA25-1)/12)</f>
        <v/>
      </c>
      <c r="AVF25" s="11">
        <f>MonthlyChurn*VLOOKUP(AVB25,WinterPivotChurnTable,6,FALSE)</f>
        <v/>
      </c>
      <c r="AVG25" s="12">
        <f>MIN(MAX(MktMin19plus,AWE24*MktPct19plus),MAX(0,AWS24-CashBuffer))</f>
        <v/>
      </c>
      <c r="AVH25" s="12">
        <f>IF(AVG25&gt;0,MAX(1,ROUND(AVG25/CAC*AVD25,0)),0)</f>
        <v/>
      </c>
      <c r="AVI25" s="12">
        <f>IF(AVH25&gt;0,ROUND(AVH25*ReferralMix/(1-ReferralMix),0),0)</f>
        <v/>
      </c>
      <c r="AVJ25" s="12">
        <f>AVH25+AVI25</f>
        <v/>
      </c>
      <c r="AVK25" s="12">
        <f>ROUND(AVJ25*(1-AnnualMix),0)</f>
        <v/>
      </c>
      <c r="AVL25" s="12">
        <f>AVJ25-AVK25</f>
        <v/>
      </c>
      <c r="AVM25" s="12">
        <f>ROUND(AVK25*'Sens - Winter Pivot'!$B$6,0)</f>
        <v/>
      </c>
      <c r="AVN25" s="12">
        <f>ROUND(AVK25*PremiumMix,0)</f>
        <v/>
      </c>
      <c r="AVO25" s="12">
        <f>AVK25-AVM25-AVN25</f>
        <v/>
      </c>
      <c r="AVP25" s="12">
        <f>ROUND(AVL25*'Sens - Winter Pivot'!$B$6,0)</f>
        <v/>
      </c>
      <c r="AVQ25" s="12">
        <f>ROUND(AVL25*PremiumMix,0)</f>
        <v/>
      </c>
      <c r="AVR25" s="12">
        <f>AVL25-AVP25-AVQ25</f>
        <v/>
      </c>
      <c r="AVS25" s="12">
        <f>AVM25+AVM24+AVM23+MAX(0,AVS24-AVM24-AVM23)*(1-AVF25)</f>
        <v/>
      </c>
      <c r="AVT25" s="12">
        <f>AVN25+AVN24+AVN23+MAX(0,AVT24-AVN24-AVN23)*(1-AVF25)</f>
        <v/>
      </c>
      <c r="AVU25" s="12">
        <f>AVO25+AVO24+AVO23+MAX(0,AVU24-AVO24-AVO23)*(1-AVF25)</f>
        <v/>
      </c>
      <c r="AVV25" s="12">
        <f>AVV24+AVP25-AVP13*(AnnualChurn*VLOOKUP(AVB25,ChurnSeasonTable,4,FALSE))*POWER(1-(AnnualChurn*VLOOKUP(AVB25,ChurnSeasonTable,4,FALSE)),0)</f>
        <v/>
      </c>
      <c r="AVW25" s="12">
        <f>AVW24+AVQ25-AVQ13*(AnnualChurn*VLOOKUP(AVB25,ChurnSeasonTable,4,FALSE))*POWER(1-(AnnualChurn*VLOOKUP(AVB25,ChurnSeasonTable,4,FALSE)),0)</f>
        <v/>
      </c>
      <c r="AVX25" s="12">
        <f>AVX24+AVR25-AVR13*(AnnualChurn*VLOOKUP(AVB25,ChurnSeasonTable,4,FALSE))*POWER(1-(AnnualChurn*VLOOKUP(AVB25,ChurnSeasonTable,4,FALSE)),0)</f>
        <v/>
      </c>
      <c r="AVY25" s="12">
        <f>AVS25+AVT25+AVU25+AVV25+AVW25+AVX25</f>
        <v/>
      </c>
      <c r="AVZ25" s="9">
        <f>AVS25*BlendedPriceEssMonthly*AVE25+AVT25*(BlendedPricePremMonthly+'Sens - Winter Pivot'!$B$7)*AVE25+AVU25*BlendedPriceEliteMonthly*AVE25+AVV25*BlendedPriceEssAnnual*AVE25/12+AVW25*(BlendedPricePremAnnual+'Sens - Winter Pivot'!$B$7*12)*AVE25/12+AVX25*BlendedPriceEliteAnnual*AVE25/12</f>
        <v/>
      </c>
      <c r="AWA25" s="9">
        <f>AVZ25*12</f>
        <v/>
      </c>
      <c r="AWB25" s="12">
        <f>AVS25*BlendedPriceEssMonthly*AVE25+AVT25*(BlendedPricePremMonthly+'Sens - Winter Pivot'!$B$7)*AVE25+AVU25*BlendedPriceEliteMonthly*AVE25</f>
        <v/>
      </c>
      <c r="AWC25" s="12">
        <f>AVP25*BlendedPriceEssAnnual*AVE25+AVQ25*(BlendedPricePremAnnual+'Sens - Winter Pivot'!$B$7*12)*AVE25+AVR25*BlendedPriceEliteAnnual*AVE25</f>
        <v/>
      </c>
      <c r="AWD25" s="12">
        <f>AVP13*POWER(1-(AnnualChurn*VLOOKUP(AVB25,ChurnSeasonTable,4,FALSE)),1)*BlendedPriceEssAnnual*AVE25+AVQ13*POWER(1-(AnnualChurn*VLOOKUP(AVB25,ChurnSeasonTable,4,FALSE)),1)*BlendedPricePremAnnual*AVE25+AVR13*POWER(1-(AnnualChurn*VLOOKUP(AVB25,ChurnSeasonTable,4,FALSE)),1)*BlendedPriceEliteAnnual*AVE25</f>
        <v/>
      </c>
      <c r="AWE25" s="9">
        <f>AWB25+AWC25+AWD25</f>
        <v/>
      </c>
      <c r="AWF25" s="12">
        <f>SUM(AWE14:AWE25)</f>
        <v/>
      </c>
      <c r="AWG25" s="12">
        <f>OR(AWG24,IF(VATAgentMode,SUM($AWE14:$AWE25)-SUM($AWL14:$AWL25)&gt;=VATThreshold,SUM($AWE14:$AWE25)&gt;=VATThreshold))</f>
        <v/>
      </c>
      <c r="AWH25" s="9">
        <f>IF(AWG25,IF(VATAgentMode,AWE25-((AWE25-AWL25)-(AWE25-AWL25)/(1+VATRate)),AWE25/(1+VATRate)),AWE25)</f>
        <v/>
      </c>
      <c r="AWI25" s="12">
        <f>AWE25-AWH25</f>
        <v/>
      </c>
      <c r="AWJ25" s="12">
        <f>IF(AWG25=0,0,IF(AVB25=1,SUMPRODUCT(--(($AVC$5:$AVC25=$AVC25-1)*($AVB$5:$AVB25&gt;=10)*($AVB$5:$AVB25&lt;=12)),$AWI$5:$AWI25),IF(AVB25=4,SUMPRODUCT(--(($AVC$5:$AVC25=$AVC25)*($AVB$5:$AVB25&gt;=1)*($AVB$5:$AVB25&lt;=3)),$AWI$5:$AWI25),IF(AVB25=7,SUMPRODUCT(--(($AVC$5:$AVC25=$AVC25)*($AVB$5:$AVB25&gt;=4)*($AVB$5:$AVB25&lt;=6)),$AWI$5:$AWI25),IF(AVB25=10,SUMPRODUCT(--(($AVC$5:$AVC25=$AVC25)*($AVB$5:$AVB25&gt;=7)*($AVB$5:$AVB25&lt;=9)),$AWI$5:$AWI25),0)))))</f>
        <v/>
      </c>
      <c r="AWK25" s="12">
        <f>AWK24+AWI25-AWJ25</f>
        <v/>
      </c>
      <c r="AWL25" s="12">
        <f>IF(ProviderDelay&gt;=1,AVS24*BlendedProvPayEss+AVT24*BlendedProvPayPrem+AVU24*BlendedProvPayElite+AVV24*BlendedProvPayEss+AVW24*BlendedProvPayPrem+AVX24*BlendedProvPayElite,AVS25*BlendedProvPayEss+AVT25*BlendedProvPayPrem+AVU25*BlendedProvPayElite+AVV25*BlendedProvPayEss+AVW25*BlendedProvPayPrem+AVX25*BlendedProvPayElite)</f>
        <v/>
      </c>
      <c r="AWM25" s="12">
        <f>AWE25*PaymentFee</f>
        <v/>
      </c>
      <c r="AWN25" s="12">
        <f>AVY25*OpsAI</f>
        <v/>
      </c>
      <c r="AWO25" s="12">
        <f>MonthlyFixed</f>
        <v/>
      </c>
      <c r="AWP25" s="12">
        <f>AVI25*ReferralReward</f>
        <v/>
      </c>
      <c r="AWQ25" s="12">
        <f>AVG25</f>
        <v/>
      </c>
      <c r="AWR25" s="9">
        <f>AWH25-AWL25-AWM25-AWN25-AWO25-AWP25-AWQ25</f>
        <v/>
      </c>
      <c r="AWS25" s="9">
        <f>AWS24+AWE25-(AWL25+AWM25+AWN25+AWO25+AWP25+AWQ25+AWJ25)</f>
        <v/>
      </c>
      <c r="AWT25" s="12">
        <f>IF(AVY25&gt;0,AVZ25/AVY25,0)</f>
        <v/>
      </c>
      <c r="AWU25" s="11">
        <f>IF(AVY24&gt;0,MAX(0,(AVY24+AVJ25-AVY25)/AVY24),0)</f>
        <v/>
      </c>
    </row>
    <row r="26">
      <c r="A26" s="12" t="n">
        <v>22</v>
      </c>
      <c r="B26" s="12">
        <f>MOD(A26-1+LaunchMonth-1,12)+1</f>
        <v/>
      </c>
      <c r="C26" s="12">
        <f>INT((A26-1+LaunchMonth-1)/12)+1</f>
        <v/>
      </c>
      <c r="D26" s="12">
        <f>VLOOKUP(B26,SeasonTable,2,FALSE)</f>
        <v/>
      </c>
      <c r="E26" s="12">
        <f>(1+InflationRate)^INT((A26-1)/12)</f>
        <v/>
      </c>
      <c r="F26" s="11">
        <f>'Sens - Scenarios'!$B$5*VLOOKUP(B26,ChurnSeasonTable,4,FALSE)</f>
        <v/>
      </c>
      <c r="G26" s="12">
        <f>MIN(MAX(MktMin19plus,AE25*MktPct19plus),MAX(0,AS25-CashBuffer))</f>
        <v/>
      </c>
      <c r="H26" s="12">
        <f>IF(G26&gt;0,MAX(1,ROUND(G26/'Sens - Scenarios'!$B$8*D26,0)),0)</f>
        <v/>
      </c>
      <c r="I26" s="12">
        <f>IF(H26&gt;0,ROUND(H26*ReferralMix/(1-ReferralMix),0),0)</f>
        <v/>
      </c>
      <c r="J26" s="12">
        <f>H26+I26</f>
        <v/>
      </c>
      <c r="K26" s="12">
        <f>ROUND(J26*(1-'Sens - Scenarios'!$B$7),0)</f>
        <v/>
      </c>
      <c r="L26" s="12">
        <f>J26-K26</f>
        <v/>
      </c>
      <c r="M26" s="12">
        <f>ROUND(K26*EssentialMix,0)</f>
        <v/>
      </c>
      <c r="N26" s="12">
        <f>ROUND(K26*PremiumMix,0)</f>
        <v/>
      </c>
      <c r="O26" s="12">
        <f>K26-M26-N26</f>
        <v/>
      </c>
      <c r="P26" s="12">
        <f>ROUND(L26*EssentialMix,0)</f>
        <v/>
      </c>
      <c r="Q26" s="12">
        <f>ROUND(L26*PremiumMix,0)</f>
        <v/>
      </c>
      <c r="R26" s="12">
        <f>L26-P26-Q26</f>
        <v/>
      </c>
      <c r="S26" s="12">
        <f>M26+M25+M24+MAX(0,S25-M25-M24)*(1-F26)</f>
        <v/>
      </c>
      <c r="T26" s="12">
        <f>N26+N25+N24+MAX(0,T25-N25-N24)*(1-F26)</f>
        <v/>
      </c>
      <c r="U26" s="12">
        <f>O26+O25+O24+MAX(0,U25-O25-O24)*(1-F26)</f>
        <v/>
      </c>
      <c r="V26" s="12">
        <f>V25+P26-P14*('Sens - Scenarios'!$B$6*VLOOKUP(B26,ChurnSeasonTable,4,FALSE))*POWER(1-('Sens - Scenarios'!$B$6*VLOOKUP(B26,ChurnSeasonTable,4,FALSE)),0)</f>
        <v/>
      </c>
      <c r="W26" s="12">
        <f>W25+Q26-Q14*('Sens - Scenarios'!$B$6*VLOOKUP(B26,ChurnSeasonTable,4,FALSE))*POWER(1-('Sens - Scenarios'!$B$6*VLOOKUP(B26,ChurnSeasonTable,4,FALSE)),0)</f>
        <v/>
      </c>
      <c r="X26" s="12">
        <f>X25+R26-R14*('Sens - Scenarios'!$B$6*VLOOKUP(B26,ChurnSeasonTable,4,FALSE))*POWER(1-('Sens - Scenarios'!$B$6*VLOOKUP(B26,ChurnSeasonTable,4,FALSE)),0)</f>
        <v/>
      </c>
      <c r="Y26" s="12">
        <f>S26+T26+U26+V26+W26+X26</f>
        <v/>
      </c>
      <c r="Z26" s="9">
        <f>S26*BlendedPriceEssMonthly*E26+T26*BlendedPricePremMonthly*E26+U26*BlendedPriceEliteMonthly*E26+V26*BlendedPriceEssAnnual*E26/12+W26*BlendedPricePremAnnual*E26/12+X26*BlendedPriceEliteAnnual*E26/12</f>
        <v/>
      </c>
      <c r="AA26" s="9">
        <f>Z26*12</f>
        <v/>
      </c>
      <c r="AB26" s="12">
        <f>S26*BlendedPriceEssMonthly*E26+T26*BlendedPricePremMonthly*E26+U26*BlendedPriceEliteMonthly*E26</f>
        <v/>
      </c>
      <c r="AC26" s="12">
        <f>P26*BlendedPriceEssAnnual*E26+Q26*BlendedPricePremAnnual*E26+R26*BlendedPriceEliteAnnual*E26</f>
        <v/>
      </c>
      <c r="AD26" s="12">
        <f>P14*POWER(1-('Sens - Scenarios'!$B$6*VLOOKUP(B26,ChurnSeasonTable,4,FALSE)),1)*BlendedPriceEssAnnual*E26+Q14*POWER(1-('Sens - Scenarios'!$B$6*VLOOKUP(B26,ChurnSeasonTable,4,FALSE)),1)*BlendedPricePremAnnual*E26+R14*POWER(1-('Sens - Scenarios'!$B$6*VLOOKUP(B26,ChurnSeasonTable,4,FALSE)),1)*BlendedPriceEliteAnnual*E26</f>
        <v/>
      </c>
      <c r="AE26" s="9">
        <f>AB26+AC26+AD26</f>
        <v/>
      </c>
      <c r="AF26" s="12">
        <f>SUM(AE15:AE26)</f>
        <v/>
      </c>
      <c r="AG26" s="12">
        <f>OR(AG25,IF(VATAgentMode,SUM($AE15:$AE26)-SUM($AL15:$AL26)&gt;=VATThreshold,SUM($AE15:$AE26)&gt;=VATThreshold))</f>
        <v/>
      </c>
      <c r="AH26" s="9">
        <f>IF(AG26,IF(VATAgentMode,AE26-((AE26-AL26)-(AE26-AL26)/(1+VATRate)),AE26/(1+VATRate)),AE26)</f>
        <v/>
      </c>
      <c r="AI26" s="12">
        <f>AE26-AH26</f>
        <v/>
      </c>
      <c r="AJ26" s="12">
        <f>IF(AG26=0,0,IF(B26=1,SUMPRODUCT(--(($C$5:$C26=$C26-1)*($B$5:$B26&gt;=10)*($B$5:$B26&lt;=12)),$AI$5:$AI26),IF(B26=4,SUMPRODUCT(--(($C$5:$C26=$C26)*($B$5:$B26&gt;=1)*($B$5:$B26&lt;=3)),$AI$5:$AI26),IF(B26=7,SUMPRODUCT(--(($C$5:$C26=$C26)*($B$5:$B26&gt;=4)*($B$5:$B26&lt;=6)),$AI$5:$AI26),IF(B26=10,SUMPRODUCT(--(($C$5:$C26=$C26)*($B$5:$B26&gt;=7)*($B$5:$B26&lt;=9)),$AI$5:$AI26),0)))))</f>
        <v/>
      </c>
      <c r="AK26" s="12">
        <f>AK25+AI26-AJ26</f>
        <v/>
      </c>
      <c r="AL26" s="12">
        <f>IF(ProviderDelay&gt;=1,S25*BlendedProvPayEss+T25*BlendedProvPayPrem+U25*BlendedProvPayElite+V25*BlendedProvPayEss+W25*BlendedProvPayPrem+X25*BlendedProvPayElite,S26*BlendedProvPayEss+T26*BlendedProvPayPrem+U26*BlendedProvPayElite+V26*BlendedProvPayEss+W26*BlendedProvPayPrem+X26*BlendedProvPayElite)</f>
        <v/>
      </c>
      <c r="AM26" s="12">
        <f>AE26*PaymentFee</f>
        <v/>
      </c>
      <c r="AN26" s="12">
        <f>Y26*OpsAI</f>
        <v/>
      </c>
      <c r="AO26" s="12">
        <f>MonthlyFixed</f>
        <v/>
      </c>
      <c r="AP26" s="12">
        <f>I26*ReferralReward</f>
        <v/>
      </c>
      <c r="AQ26" s="12">
        <f>G26</f>
        <v/>
      </c>
      <c r="AR26" s="9">
        <f>AH26-AL26-AM26-AN26-AO26-AP26-AQ26</f>
        <v/>
      </c>
      <c r="AS26" s="9">
        <f>AS25+AE26-(AL26+AM26+AN26+AO26+AP26+AQ26+AJ26)</f>
        <v/>
      </c>
      <c r="AT26" s="12">
        <f>IF(Y26&gt;0,Z26/Y26,0)</f>
        <v/>
      </c>
      <c r="AU26" s="11">
        <f>IF(Y25&gt;0,MAX(0,(Y25+J26-Y26)/Y25),0)</f>
        <v/>
      </c>
      <c r="AW26" s="12" t="n">
        <v>22</v>
      </c>
      <c r="AX26" s="12">
        <f>MOD(AW26-1+LaunchMonth-1,12)+1</f>
        <v/>
      </c>
      <c r="AY26" s="12">
        <f>INT((AW26-1+LaunchMonth-1)/12)+1</f>
        <v/>
      </c>
      <c r="AZ26" s="12">
        <f>VLOOKUP(AX26,SeasonTable,2,FALSE)</f>
        <v/>
      </c>
      <c r="BA26" s="12">
        <f>(1+InflationRate)^INT((AW26-1)/12)</f>
        <v/>
      </c>
      <c r="BB26" s="11">
        <f>MonthlyChurn*VLOOKUP(AX26,ChurnSeasonTable,4,FALSE)</f>
        <v/>
      </c>
      <c r="BC26" s="12">
        <f>MIN(MAX(MktMin19plus,CA25*MktPct19plus),MAX(0,CO25-CashBuffer))</f>
        <v/>
      </c>
      <c r="BD26" s="12">
        <f>IF(BC26&gt;0,MAX(1,ROUND(BC26/CAC*AZ26,0)),0)</f>
        <v/>
      </c>
      <c r="BE26" s="12">
        <f>IF(BD26&gt;0,ROUND(BD26*ReferralMix/(1-ReferralMix),0),0)</f>
        <v/>
      </c>
      <c r="BF26" s="12">
        <f>BD26+BE26</f>
        <v/>
      </c>
      <c r="BG26" s="12">
        <f>ROUND(BF26*(1-AnnualMix),0)</f>
        <v/>
      </c>
      <c r="BH26" s="12">
        <f>BF26-BG26</f>
        <v/>
      </c>
      <c r="BI26" s="12">
        <f>ROUND(BG26*EssentialMix,0)</f>
        <v/>
      </c>
      <c r="BJ26" s="12">
        <f>ROUND(BG26*PremiumMix,0)</f>
        <v/>
      </c>
      <c r="BK26" s="12">
        <f>BG26-BI26-BJ26</f>
        <v/>
      </c>
      <c r="BL26" s="12">
        <f>ROUND(BH26*EssentialMix,0)</f>
        <v/>
      </c>
      <c r="BM26" s="12">
        <f>ROUND(BH26*PremiumMix,0)</f>
        <v/>
      </c>
      <c r="BN26" s="12">
        <f>BH26-BL26-BM26</f>
        <v/>
      </c>
      <c r="BO26" s="12">
        <f>BI26+BI25+BI24+MAX(0,BO25-BI25-BI24)*(1-BB26)</f>
        <v/>
      </c>
      <c r="BP26" s="12">
        <f>BJ26+BJ25+BJ24+MAX(0,BP25-BJ25-BJ24)*(1-BB26)</f>
        <v/>
      </c>
      <c r="BQ26" s="12">
        <f>BK26+BK25+BK24+MAX(0,BQ25-BK25-BK24)*(1-BB26)</f>
        <v/>
      </c>
      <c r="BR26" s="12">
        <f>BR25+BL26-BL14*(AnnualChurn*VLOOKUP(AX26,ChurnSeasonTable,4,FALSE))*POWER(1-(AnnualChurn*VLOOKUP(AX26,ChurnSeasonTable,4,FALSE)),0)</f>
        <v/>
      </c>
      <c r="BS26" s="12">
        <f>BS25+BM26-BM14*(AnnualChurn*VLOOKUP(AX26,ChurnSeasonTable,4,FALSE))*POWER(1-(AnnualChurn*VLOOKUP(AX26,ChurnSeasonTable,4,FALSE)),0)</f>
        <v/>
      </c>
      <c r="BT26" s="12">
        <f>BT25+BN26-BN14*(AnnualChurn*VLOOKUP(AX26,ChurnSeasonTable,4,FALSE))*POWER(1-(AnnualChurn*VLOOKUP(AX26,ChurnSeasonTable,4,FALSE)),0)</f>
        <v/>
      </c>
      <c r="BU26" s="12">
        <f>BO26+BP26+BQ26+BR26+BS26+BT26</f>
        <v/>
      </c>
      <c r="BV26" s="9">
        <f>BO26*BlendedPriceEssMonthly*BA26+BP26*BlendedPricePremMonthly*BA26+BQ26*BlendedPriceEliteMonthly*BA26+BR26*BlendedPriceEssAnnual*BA26/12+BS26*BlendedPricePremAnnual*BA26/12+BT26*BlendedPriceEliteAnnual*BA26/12</f>
        <v/>
      </c>
      <c r="BW26" s="9">
        <f>BV26*12</f>
        <v/>
      </c>
      <c r="BX26" s="12">
        <f>BO26*BlendedPriceEssMonthly*BA26+BP26*BlendedPricePremMonthly*BA26+BQ26*BlendedPriceEliteMonthly*BA26</f>
        <v/>
      </c>
      <c r="BY26" s="12">
        <f>BL26*BlendedPriceEssAnnual*BA26+BM26*BlendedPricePremAnnual*BA26+BN26*BlendedPriceEliteAnnual*BA26</f>
        <v/>
      </c>
      <c r="BZ26" s="12">
        <f>BL14*POWER(1-(AnnualChurn*VLOOKUP(AX26,ChurnSeasonTable,4,FALSE)),1)*BlendedPriceEssAnnual*BA26+BM14*POWER(1-(AnnualChurn*VLOOKUP(AX26,ChurnSeasonTable,4,FALSE)),1)*BlendedPricePremAnnual*BA26+BN14*POWER(1-(AnnualChurn*VLOOKUP(AX26,ChurnSeasonTable,4,FALSE)),1)*BlendedPriceEliteAnnual*BA26</f>
        <v/>
      </c>
      <c r="CA26" s="9">
        <f>BX26+BY26+BZ26</f>
        <v/>
      </c>
      <c r="CB26" s="12">
        <f>SUM(CA15:CA26)</f>
        <v/>
      </c>
      <c r="CC26" s="12">
        <f>OR(CC25,IF(VATAgentMode,SUM($CA15:$CA26)-SUM($CH15:$CH26)&gt;=VATThreshold,SUM($CA15:$CA26)&gt;=VATThreshold))</f>
        <v/>
      </c>
      <c r="CD26" s="9">
        <f>IF(CC26,IF(VATAgentMode,CA26-((CA26-CH26)-(CA26-CH26)/(1+VATRate)),CA26/(1+VATRate)),CA26)</f>
        <v/>
      </c>
      <c r="CE26" s="12">
        <f>CA26-CD26</f>
        <v/>
      </c>
      <c r="CF26" s="12">
        <f>IF(CC26=0,0,IF(AX26=1,SUMPRODUCT(--(($AY$5:$AY26=$AY26-1)*($AX$5:$AX26&gt;=10)*($AX$5:$AX26&lt;=12)),$CE$5:$CE26),IF(AX26=4,SUMPRODUCT(--(($AY$5:$AY26=$AY26)*($AX$5:$AX26&gt;=1)*($AX$5:$AX26&lt;=3)),$CE$5:$CE26),IF(AX26=7,SUMPRODUCT(--(($AY$5:$AY26=$AY26)*($AX$5:$AX26&gt;=4)*($AX$5:$AX26&lt;=6)),$CE$5:$CE26),IF(AX26=10,SUMPRODUCT(--(($AY$5:$AY26=$AY26)*($AX$5:$AX26&gt;=7)*($AX$5:$AX26&lt;=9)),$CE$5:$CE26),0)))))</f>
        <v/>
      </c>
      <c r="CG26" s="12">
        <f>CG25+CE26-CF26</f>
        <v/>
      </c>
      <c r="CH26" s="12">
        <f>IF(ProviderDelay&gt;=1,BO25*BlendedProvPayEss+BP25*BlendedProvPayPrem+BQ25*BlendedProvPayElite+BR25*BlendedProvPayEss+BS25*BlendedProvPayPrem+BT25*BlendedProvPayElite,BO26*BlendedProvPayEss+BP26*BlendedProvPayPrem+BQ26*BlendedProvPayElite+BR26*BlendedProvPayEss+BS26*BlendedProvPayPrem+BT26*BlendedProvPayElite)</f>
        <v/>
      </c>
      <c r="CI26" s="12">
        <f>CA26*PaymentFee</f>
        <v/>
      </c>
      <c r="CJ26" s="12">
        <f>BU26*OpsAI</f>
        <v/>
      </c>
      <c r="CK26" s="12">
        <f>MonthlyFixed</f>
        <v/>
      </c>
      <c r="CL26" s="12">
        <f>BE26*ReferralReward</f>
        <v/>
      </c>
      <c r="CM26" s="12">
        <f>BC26</f>
        <v/>
      </c>
      <c r="CN26" s="9">
        <f>CD26-CH26-CI26-CJ26-CK26-CL26-CM26</f>
        <v/>
      </c>
      <c r="CO26" s="9">
        <f>CO25+CA26-(CH26+CI26+CJ26+CK26+CL26+CM26+CF26)</f>
        <v/>
      </c>
      <c r="CP26" s="12">
        <f>IF(BU26&gt;0,BV26/BU26,0)</f>
        <v/>
      </c>
      <c r="CQ26" s="11">
        <f>IF(BU25&gt;0,MAX(0,(BU25+BF26-BU26)/BU25),0)</f>
        <v/>
      </c>
      <c r="CS26" s="12" t="n">
        <v>22</v>
      </c>
      <c r="CT26" s="12">
        <f>MOD(CS26-1+LaunchMonth-1,12)+1</f>
        <v/>
      </c>
      <c r="CU26" s="12">
        <f>INT((CS26-1+LaunchMonth-1)/12)+1</f>
        <v/>
      </c>
      <c r="CV26" s="12">
        <f>VLOOKUP(CT26,SeasonTable,2,FALSE)</f>
        <v/>
      </c>
      <c r="CW26" s="12">
        <f>(1+InflationRate)^INT((CS26-1)/12)</f>
        <v/>
      </c>
      <c r="CX26" s="11">
        <f>'Sens - Scenarios'!$D$5*VLOOKUP(CT26,ChurnSeasonTable,4,FALSE)</f>
        <v/>
      </c>
      <c r="CY26" s="12">
        <f>MIN(MAX(MktMin19plus,DW25*MktPct19plus),MAX(0,EK25-CashBuffer))</f>
        <v/>
      </c>
      <c r="CZ26" s="12">
        <f>IF(CY26&gt;0,MAX(1,ROUND(CY26/'Sens - Scenarios'!$D$8*CV26,0)),0)</f>
        <v/>
      </c>
      <c r="DA26" s="12">
        <f>IF(CZ26&gt;0,ROUND(CZ26*ReferralMix/(1-ReferralMix),0),0)</f>
        <v/>
      </c>
      <c r="DB26" s="12">
        <f>CZ26+DA26</f>
        <v/>
      </c>
      <c r="DC26" s="12">
        <f>ROUND(DB26*(1-'Sens - Scenarios'!$D$7),0)</f>
        <v/>
      </c>
      <c r="DD26" s="12">
        <f>DB26-DC26</f>
        <v/>
      </c>
      <c r="DE26" s="12">
        <f>ROUND(DC26*EssentialMix,0)</f>
        <v/>
      </c>
      <c r="DF26" s="12">
        <f>ROUND(DC26*PremiumMix,0)</f>
        <v/>
      </c>
      <c r="DG26" s="12">
        <f>DC26-DE26-DF26</f>
        <v/>
      </c>
      <c r="DH26" s="12">
        <f>ROUND(DD26*EssentialMix,0)</f>
        <v/>
      </c>
      <c r="DI26" s="12">
        <f>ROUND(DD26*PremiumMix,0)</f>
        <v/>
      </c>
      <c r="DJ26" s="12">
        <f>DD26-DH26-DI26</f>
        <v/>
      </c>
      <c r="DK26" s="12">
        <f>DE26+DE25+DE24+MAX(0,DK25-DE25-DE24)*(1-CX26)</f>
        <v/>
      </c>
      <c r="DL26" s="12">
        <f>DF26+DF25+DF24+MAX(0,DL25-DF25-DF24)*(1-CX26)</f>
        <v/>
      </c>
      <c r="DM26" s="12">
        <f>DG26+DG25+DG24+MAX(0,DM25-DG25-DG24)*(1-CX26)</f>
        <v/>
      </c>
      <c r="DN26" s="12">
        <f>DN25+DH26-DH14*('Sens - Scenarios'!$D$6*VLOOKUP(CT26,ChurnSeasonTable,4,FALSE))*POWER(1-('Sens - Scenarios'!$D$6*VLOOKUP(CT26,ChurnSeasonTable,4,FALSE)),0)</f>
        <v/>
      </c>
      <c r="DO26" s="12">
        <f>DO25+DI26-DI14*('Sens - Scenarios'!$D$6*VLOOKUP(CT26,ChurnSeasonTable,4,FALSE))*POWER(1-('Sens - Scenarios'!$D$6*VLOOKUP(CT26,ChurnSeasonTable,4,FALSE)),0)</f>
        <v/>
      </c>
      <c r="DP26" s="12">
        <f>DP25+DJ26-DJ14*('Sens - Scenarios'!$D$6*VLOOKUP(CT26,ChurnSeasonTable,4,FALSE))*POWER(1-('Sens - Scenarios'!$D$6*VLOOKUP(CT26,ChurnSeasonTable,4,FALSE)),0)</f>
        <v/>
      </c>
      <c r="DQ26" s="12">
        <f>DK26+DL26+DM26+DN26+DO26+DP26</f>
        <v/>
      </c>
      <c r="DR26" s="9">
        <f>DK26*BlendedPriceEssMonthly*CW26+DL26*BlendedPricePremMonthly*CW26+DM26*BlendedPriceEliteMonthly*CW26+DN26*BlendedPriceEssAnnual*CW26/12+DO26*BlendedPricePremAnnual*CW26/12+DP26*BlendedPriceEliteAnnual*CW26/12</f>
        <v/>
      </c>
      <c r="DS26" s="9">
        <f>DR26*12</f>
        <v/>
      </c>
      <c r="DT26" s="12">
        <f>DK26*BlendedPriceEssMonthly*CW26+DL26*BlendedPricePremMonthly*CW26+DM26*BlendedPriceEliteMonthly*CW26</f>
        <v/>
      </c>
      <c r="DU26" s="12">
        <f>DH26*BlendedPriceEssAnnual*CW26+DI26*BlendedPricePremAnnual*CW26+DJ26*BlendedPriceEliteAnnual*CW26</f>
        <v/>
      </c>
      <c r="DV26" s="12">
        <f>DH14*POWER(1-('Sens - Scenarios'!$D$6*VLOOKUP(CT26,ChurnSeasonTable,4,FALSE)),1)*BlendedPriceEssAnnual*CW26+DI14*POWER(1-('Sens - Scenarios'!$D$6*VLOOKUP(CT26,ChurnSeasonTable,4,FALSE)),1)*BlendedPricePremAnnual*CW26+DJ14*POWER(1-('Sens - Scenarios'!$D$6*VLOOKUP(CT26,ChurnSeasonTable,4,FALSE)),1)*BlendedPriceEliteAnnual*CW26</f>
        <v/>
      </c>
      <c r="DW26" s="9">
        <f>DT26+DU26+DV26</f>
        <v/>
      </c>
      <c r="DX26" s="12">
        <f>SUM(DW15:DW26)</f>
        <v/>
      </c>
      <c r="DY26" s="12">
        <f>OR(DY25,IF(VATAgentMode,SUM($DW15:$DW26)-SUM($ED15:$ED26)&gt;=VATThreshold,SUM($DW15:$DW26)&gt;=VATThreshold))</f>
        <v/>
      </c>
      <c r="DZ26" s="9">
        <f>IF(DY26,IF(VATAgentMode,DW26-((DW26-ED26)-(DW26-ED26)/(1+VATRate)),DW26/(1+VATRate)),DW26)</f>
        <v/>
      </c>
      <c r="EA26" s="12">
        <f>DW26-DZ26</f>
        <v/>
      </c>
      <c r="EB26" s="12">
        <f>IF(DY26=0,0,IF(CT26=1,SUMPRODUCT(--(($CU$5:$CU26=$CU26-1)*($CT$5:$CT26&gt;=10)*($CT$5:$CT26&lt;=12)),$EA$5:$EA26),IF(CT26=4,SUMPRODUCT(--(($CU$5:$CU26=$CU26)*($CT$5:$CT26&gt;=1)*($CT$5:$CT26&lt;=3)),$EA$5:$EA26),IF(CT26=7,SUMPRODUCT(--(($CU$5:$CU26=$CU26)*($CT$5:$CT26&gt;=4)*($CT$5:$CT26&lt;=6)),$EA$5:$EA26),IF(CT26=10,SUMPRODUCT(--(($CU$5:$CU26=$CU26)*($CT$5:$CT26&gt;=7)*($CT$5:$CT26&lt;=9)),$EA$5:$EA26),0)))))</f>
        <v/>
      </c>
      <c r="EC26" s="12">
        <f>EC25+EA26-EB26</f>
        <v/>
      </c>
      <c r="ED26" s="12">
        <f>IF(ProviderDelay&gt;=1,DK25*BlendedProvPayEss+DL25*BlendedProvPayPrem+DM25*BlendedProvPayElite+DN25*BlendedProvPayEss+DO25*BlendedProvPayPrem+DP25*BlendedProvPayElite,DK26*BlendedProvPayEss+DL26*BlendedProvPayPrem+DM26*BlendedProvPayElite+DN26*BlendedProvPayEss+DO26*BlendedProvPayPrem+DP26*BlendedProvPayElite)</f>
        <v/>
      </c>
      <c r="EE26" s="12">
        <f>DW26*PaymentFee</f>
        <v/>
      </c>
      <c r="EF26" s="12">
        <f>DQ26*OpsAI</f>
        <v/>
      </c>
      <c r="EG26" s="12">
        <f>MonthlyFixed</f>
        <v/>
      </c>
      <c r="EH26" s="12">
        <f>DA26*ReferralReward</f>
        <v/>
      </c>
      <c r="EI26" s="12">
        <f>CY26</f>
        <v/>
      </c>
      <c r="EJ26" s="9">
        <f>DZ26-ED26-EE26-EF26-EG26-EH26-EI26</f>
        <v/>
      </c>
      <c r="EK26" s="9">
        <f>EK25+DW26-(ED26+EE26+EF26+EG26+EH26+EI26+EB26)</f>
        <v/>
      </c>
      <c r="EL26" s="12">
        <f>IF(DQ26&gt;0,DR26/DQ26,0)</f>
        <v/>
      </c>
      <c r="EM26" s="11">
        <f>IF(DQ25&gt;0,MAX(0,(DQ25+DB26-DQ26)/DQ25),0)</f>
        <v/>
      </c>
      <c r="EO26" s="12" t="n">
        <v>22</v>
      </c>
      <c r="EP26" s="12">
        <f>MOD(EO26-1+LaunchMonth-1,12)+1</f>
        <v/>
      </c>
      <c r="EQ26" s="12">
        <f>INT((EO26-1+LaunchMonth-1)/12)+1</f>
        <v/>
      </c>
      <c r="ER26" s="12">
        <f>VLOOKUP(EP26,SeasonTable,2,FALSE)</f>
        <v/>
      </c>
      <c r="ES26" s="12">
        <f>(1+InflationRate)^INT((EO26-1)/12)</f>
        <v/>
      </c>
      <c r="ET26" s="11">
        <f>'Sens - Churn'!$A$13*VLOOKUP(EP26,ChurnSeasonTable,4,FALSE)</f>
        <v/>
      </c>
      <c r="EU26" s="12">
        <f>MIN(MAX(MktMin19plus,FS25*MktPct19plus),MAX(0,GG25-CashBuffer))</f>
        <v/>
      </c>
      <c r="EV26" s="12">
        <f>IF(EU26&gt;0,MAX(1,ROUND(EU26/CAC*ER26,0)),0)</f>
        <v/>
      </c>
      <c r="EW26" s="12">
        <f>IF(EV26&gt;0,ROUND(EV26*ReferralMix/(1-ReferralMix),0),0)</f>
        <v/>
      </c>
      <c r="EX26" s="12">
        <f>EV26+EW26</f>
        <v/>
      </c>
      <c r="EY26" s="12">
        <f>ROUND(EX26*(1-AnnualMix),0)</f>
        <v/>
      </c>
      <c r="EZ26" s="12">
        <f>EX26-EY26</f>
        <v/>
      </c>
      <c r="FA26" s="12">
        <f>ROUND(EY26*EssentialMix,0)</f>
        <v/>
      </c>
      <c r="FB26" s="12">
        <f>ROUND(EY26*PremiumMix,0)</f>
        <v/>
      </c>
      <c r="FC26" s="12">
        <f>EY26-FA26-FB26</f>
        <v/>
      </c>
      <c r="FD26" s="12">
        <f>ROUND(EZ26*EssentialMix,0)</f>
        <v/>
      </c>
      <c r="FE26" s="12">
        <f>ROUND(EZ26*PremiumMix,0)</f>
        <v/>
      </c>
      <c r="FF26" s="12">
        <f>EZ26-FD26-FE26</f>
        <v/>
      </c>
      <c r="FG26" s="12">
        <f>FA26+FA25+FA24+MAX(0,FG25-FA25-FA24)*(1-ET26)</f>
        <v/>
      </c>
      <c r="FH26" s="12">
        <f>FB26+FB25+FB24+MAX(0,FH25-FB25-FB24)*(1-ET26)</f>
        <v/>
      </c>
      <c r="FI26" s="12">
        <f>FC26+FC25+FC24+MAX(0,FI25-FC25-FC24)*(1-ET26)</f>
        <v/>
      </c>
      <c r="FJ26" s="12">
        <f>FJ25+FD26-FD14*(AnnualChurn*VLOOKUP(EP26,ChurnSeasonTable,4,FALSE))*POWER(1-(AnnualChurn*VLOOKUP(EP26,ChurnSeasonTable,4,FALSE)),0)</f>
        <v/>
      </c>
      <c r="FK26" s="12">
        <f>FK25+FE26-FE14*(AnnualChurn*VLOOKUP(EP26,ChurnSeasonTable,4,FALSE))*POWER(1-(AnnualChurn*VLOOKUP(EP26,ChurnSeasonTable,4,FALSE)),0)</f>
        <v/>
      </c>
      <c r="FL26" s="12">
        <f>FL25+FF26-FF14*(AnnualChurn*VLOOKUP(EP26,ChurnSeasonTable,4,FALSE))*POWER(1-(AnnualChurn*VLOOKUP(EP26,ChurnSeasonTable,4,FALSE)),0)</f>
        <v/>
      </c>
      <c r="FM26" s="12">
        <f>FG26+FH26+FI26+FJ26+FK26+FL26</f>
        <v/>
      </c>
      <c r="FN26" s="9">
        <f>FG26*BlendedPriceEssMonthly*ES26+FH26*BlendedPricePremMonthly*ES26+FI26*BlendedPriceEliteMonthly*ES26+FJ26*BlendedPriceEssAnnual*ES26/12+FK26*BlendedPricePremAnnual*ES26/12+FL26*BlendedPriceEliteAnnual*ES26/12</f>
        <v/>
      </c>
      <c r="FO26" s="9">
        <f>FN26*12</f>
        <v/>
      </c>
      <c r="FP26" s="12">
        <f>FG26*BlendedPriceEssMonthly*ES26+FH26*BlendedPricePremMonthly*ES26+FI26*BlendedPriceEliteMonthly*ES26</f>
        <v/>
      </c>
      <c r="FQ26" s="12">
        <f>FD26*BlendedPriceEssAnnual*ES26+FE26*BlendedPricePremAnnual*ES26+FF26*BlendedPriceEliteAnnual*ES26</f>
        <v/>
      </c>
      <c r="FR26" s="12">
        <f>FD14*POWER(1-(AnnualChurn*VLOOKUP(EP26,ChurnSeasonTable,4,FALSE)),1)*BlendedPriceEssAnnual*ES26+FE14*POWER(1-(AnnualChurn*VLOOKUP(EP26,ChurnSeasonTable,4,FALSE)),1)*BlendedPricePremAnnual*ES26+FF14*POWER(1-(AnnualChurn*VLOOKUP(EP26,ChurnSeasonTable,4,FALSE)),1)*BlendedPriceEliteAnnual*ES26</f>
        <v/>
      </c>
      <c r="FS26" s="9">
        <f>FP26+FQ26+FR26</f>
        <v/>
      </c>
      <c r="FT26" s="12">
        <f>SUM(FS15:FS26)</f>
        <v/>
      </c>
      <c r="FU26" s="12">
        <f>OR(FU25,IF(VATAgentMode,SUM($FS15:$FS26)-SUM($FZ15:$FZ26)&gt;=VATThreshold,SUM($FS15:$FS26)&gt;=VATThreshold))</f>
        <v/>
      </c>
      <c r="FV26" s="9">
        <f>IF(FU26,IF(VATAgentMode,FS26-((FS26-FZ26)-(FS26-FZ26)/(1+VATRate)),FS26/(1+VATRate)),FS26)</f>
        <v/>
      </c>
      <c r="FW26" s="12">
        <f>FS26-FV26</f>
        <v/>
      </c>
      <c r="FX26" s="12">
        <f>IF(FU26=0,0,IF(EP26=1,SUMPRODUCT(--(($EQ$5:$EQ26=$EQ26-1)*($EP$5:$EP26&gt;=10)*($EP$5:$EP26&lt;=12)),$FW$5:$FW26),IF(EP26=4,SUMPRODUCT(--(($EQ$5:$EQ26=$EQ26)*($EP$5:$EP26&gt;=1)*($EP$5:$EP26&lt;=3)),$FW$5:$FW26),IF(EP26=7,SUMPRODUCT(--(($EQ$5:$EQ26=$EQ26)*($EP$5:$EP26&gt;=4)*($EP$5:$EP26&lt;=6)),$FW$5:$FW26),IF(EP26=10,SUMPRODUCT(--(($EQ$5:$EQ26=$EQ26)*($EP$5:$EP26&gt;=7)*($EP$5:$EP26&lt;=9)),$FW$5:$FW26),0)))))</f>
        <v/>
      </c>
      <c r="FY26" s="12">
        <f>FY25+FW26-FX26</f>
        <v/>
      </c>
      <c r="FZ26" s="12">
        <f>IF(ProviderDelay&gt;=1,FG25*BlendedProvPayEss+FH25*BlendedProvPayPrem+FI25*BlendedProvPayElite+FJ25*BlendedProvPayEss+FK25*BlendedProvPayPrem+FL25*BlendedProvPayElite,FG26*BlendedProvPayEss+FH26*BlendedProvPayPrem+FI26*BlendedProvPayElite+FJ26*BlendedProvPayEss+FK26*BlendedProvPayPrem+FL26*BlendedProvPayElite)</f>
        <v/>
      </c>
      <c r="GA26" s="12">
        <f>FS26*PaymentFee</f>
        <v/>
      </c>
      <c r="GB26" s="12">
        <f>FM26*OpsAI</f>
        <v/>
      </c>
      <c r="GC26" s="12">
        <f>MonthlyFixed</f>
        <v/>
      </c>
      <c r="GD26" s="12">
        <f>EW26*ReferralReward</f>
        <v/>
      </c>
      <c r="GE26" s="12">
        <f>EU26</f>
        <v/>
      </c>
      <c r="GF26" s="9">
        <f>FV26-FZ26-GA26-GB26-GC26-GD26-GE26</f>
        <v/>
      </c>
      <c r="GG26" s="9">
        <f>GG25+FS26-(FZ26+GA26+GB26+GC26+GD26+GE26+FX26)</f>
        <v/>
      </c>
      <c r="GH26" s="12">
        <f>IF(FM26&gt;0,FN26/FM26,0)</f>
        <v/>
      </c>
      <c r="GI26" s="11">
        <f>IF(FM25&gt;0,MAX(0,(FM25+EX26-FM26)/FM25),0)</f>
        <v/>
      </c>
      <c r="GK26" s="12" t="n">
        <v>22</v>
      </c>
      <c r="GL26" s="12">
        <f>MOD(GK26-1+LaunchMonth-1,12)+1</f>
        <v/>
      </c>
      <c r="GM26" s="12">
        <f>INT((GK26-1+LaunchMonth-1)/12)+1</f>
        <v/>
      </c>
      <c r="GN26" s="12">
        <f>VLOOKUP(GL26,SeasonTable,2,FALSE)</f>
        <v/>
      </c>
      <c r="GO26" s="12">
        <f>(1+InflationRate)^INT((GK26-1)/12)</f>
        <v/>
      </c>
      <c r="GP26" s="11">
        <f>'Sens - Churn'!$A$14*VLOOKUP(GL26,ChurnSeasonTable,4,FALSE)</f>
        <v/>
      </c>
      <c r="GQ26" s="12">
        <f>MIN(MAX(MktMin19plus,HO25*MktPct19plus),MAX(0,IC25-CashBuffer))</f>
        <v/>
      </c>
      <c r="GR26" s="12">
        <f>IF(GQ26&gt;0,MAX(1,ROUND(GQ26/CAC*GN26,0)),0)</f>
        <v/>
      </c>
      <c r="GS26" s="12">
        <f>IF(GR26&gt;0,ROUND(GR26*ReferralMix/(1-ReferralMix),0),0)</f>
        <v/>
      </c>
      <c r="GT26" s="12">
        <f>GR26+GS26</f>
        <v/>
      </c>
      <c r="GU26" s="12">
        <f>ROUND(GT26*(1-AnnualMix),0)</f>
        <v/>
      </c>
      <c r="GV26" s="12">
        <f>GT26-GU26</f>
        <v/>
      </c>
      <c r="GW26" s="12">
        <f>ROUND(GU26*EssentialMix,0)</f>
        <v/>
      </c>
      <c r="GX26" s="12">
        <f>ROUND(GU26*PremiumMix,0)</f>
        <v/>
      </c>
      <c r="GY26" s="12">
        <f>GU26-GW26-GX26</f>
        <v/>
      </c>
      <c r="GZ26" s="12">
        <f>ROUND(GV26*EssentialMix,0)</f>
        <v/>
      </c>
      <c r="HA26" s="12">
        <f>ROUND(GV26*PremiumMix,0)</f>
        <v/>
      </c>
      <c r="HB26" s="12">
        <f>GV26-GZ26-HA26</f>
        <v/>
      </c>
      <c r="HC26" s="12">
        <f>GW26+GW25+GW24+MAX(0,HC25-GW25-GW24)*(1-GP26)</f>
        <v/>
      </c>
      <c r="HD26" s="12">
        <f>GX26+GX25+GX24+MAX(0,HD25-GX25-GX24)*(1-GP26)</f>
        <v/>
      </c>
      <c r="HE26" s="12">
        <f>GY26+GY25+GY24+MAX(0,HE25-GY25-GY24)*(1-GP26)</f>
        <v/>
      </c>
      <c r="HF26" s="12">
        <f>HF25+GZ26-GZ14*(AnnualChurn*VLOOKUP(GL26,ChurnSeasonTable,4,FALSE))*POWER(1-(AnnualChurn*VLOOKUP(GL26,ChurnSeasonTable,4,FALSE)),0)</f>
        <v/>
      </c>
      <c r="HG26" s="12">
        <f>HG25+HA26-HA14*(AnnualChurn*VLOOKUP(GL26,ChurnSeasonTable,4,FALSE))*POWER(1-(AnnualChurn*VLOOKUP(GL26,ChurnSeasonTable,4,FALSE)),0)</f>
        <v/>
      </c>
      <c r="HH26" s="12">
        <f>HH25+HB26-HB14*(AnnualChurn*VLOOKUP(GL26,ChurnSeasonTable,4,FALSE))*POWER(1-(AnnualChurn*VLOOKUP(GL26,ChurnSeasonTable,4,FALSE)),0)</f>
        <v/>
      </c>
      <c r="HI26" s="12">
        <f>HC26+HD26+HE26+HF26+HG26+HH26</f>
        <v/>
      </c>
      <c r="HJ26" s="9">
        <f>HC26*BlendedPriceEssMonthly*GO26+HD26*BlendedPricePremMonthly*GO26+HE26*BlendedPriceEliteMonthly*GO26+HF26*BlendedPriceEssAnnual*GO26/12+HG26*BlendedPricePremAnnual*GO26/12+HH26*BlendedPriceEliteAnnual*GO26/12</f>
        <v/>
      </c>
      <c r="HK26" s="9">
        <f>HJ26*12</f>
        <v/>
      </c>
      <c r="HL26" s="12">
        <f>HC26*BlendedPriceEssMonthly*GO26+HD26*BlendedPricePremMonthly*GO26+HE26*BlendedPriceEliteMonthly*GO26</f>
        <v/>
      </c>
      <c r="HM26" s="12">
        <f>GZ26*BlendedPriceEssAnnual*GO26+HA26*BlendedPricePremAnnual*GO26+HB26*BlendedPriceEliteAnnual*GO26</f>
        <v/>
      </c>
      <c r="HN26" s="12">
        <f>GZ14*POWER(1-(AnnualChurn*VLOOKUP(GL26,ChurnSeasonTable,4,FALSE)),1)*BlendedPriceEssAnnual*GO26+HA14*POWER(1-(AnnualChurn*VLOOKUP(GL26,ChurnSeasonTable,4,FALSE)),1)*BlendedPricePremAnnual*GO26+HB14*POWER(1-(AnnualChurn*VLOOKUP(GL26,ChurnSeasonTable,4,FALSE)),1)*BlendedPriceEliteAnnual*GO26</f>
        <v/>
      </c>
      <c r="HO26" s="9">
        <f>HL26+HM26+HN26</f>
        <v/>
      </c>
      <c r="HP26" s="12">
        <f>SUM(HO15:HO26)</f>
        <v/>
      </c>
      <c r="HQ26" s="12">
        <f>OR(HQ25,IF(VATAgentMode,SUM($HO15:$HO26)-SUM($HV15:$HV26)&gt;=VATThreshold,SUM($HO15:$HO26)&gt;=VATThreshold))</f>
        <v/>
      </c>
      <c r="HR26" s="9">
        <f>IF(HQ26,IF(VATAgentMode,HO26-((HO26-HV26)-(HO26-HV26)/(1+VATRate)),HO26/(1+VATRate)),HO26)</f>
        <v/>
      </c>
      <c r="HS26" s="12">
        <f>HO26-HR26</f>
        <v/>
      </c>
      <c r="HT26" s="12">
        <f>IF(HQ26=0,0,IF(GL26=1,SUMPRODUCT(--(($GM$5:$GM26=$GM26-1)*($GL$5:$GL26&gt;=10)*($GL$5:$GL26&lt;=12)),$HS$5:$HS26),IF(GL26=4,SUMPRODUCT(--(($GM$5:$GM26=$GM26)*($GL$5:$GL26&gt;=1)*($GL$5:$GL26&lt;=3)),$HS$5:$HS26),IF(GL26=7,SUMPRODUCT(--(($GM$5:$GM26=$GM26)*($GL$5:$GL26&gt;=4)*($GL$5:$GL26&lt;=6)),$HS$5:$HS26),IF(GL26=10,SUMPRODUCT(--(($GM$5:$GM26=$GM26)*($GL$5:$GL26&gt;=7)*($GL$5:$GL26&lt;=9)),$HS$5:$HS26),0)))))</f>
        <v/>
      </c>
      <c r="HU26" s="12">
        <f>HU25+HS26-HT26</f>
        <v/>
      </c>
      <c r="HV26" s="12">
        <f>IF(ProviderDelay&gt;=1,HC25*BlendedProvPayEss+HD25*BlendedProvPayPrem+HE25*BlendedProvPayElite+HF25*BlendedProvPayEss+HG25*BlendedProvPayPrem+HH25*BlendedProvPayElite,HC26*BlendedProvPayEss+HD26*BlendedProvPayPrem+HE26*BlendedProvPayElite+HF26*BlendedProvPayEss+HG26*BlendedProvPayPrem+HH26*BlendedProvPayElite)</f>
        <v/>
      </c>
      <c r="HW26" s="12">
        <f>HO26*PaymentFee</f>
        <v/>
      </c>
      <c r="HX26" s="12">
        <f>HI26*OpsAI</f>
        <v/>
      </c>
      <c r="HY26" s="12">
        <f>MonthlyFixed</f>
        <v/>
      </c>
      <c r="HZ26" s="12">
        <f>GS26*ReferralReward</f>
        <v/>
      </c>
      <c r="IA26" s="12">
        <f>GQ26</f>
        <v/>
      </c>
      <c r="IB26" s="9">
        <f>HR26-HV26-HW26-HX26-HY26-HZ26-IA26</f>
        <v/>
      </c>
      <c r="IC26" s="9">
        <f>IC25+HO26-(HV26+HW26+HX26+HY26+HZ26+IA26+HT26)</f>
        <v/>
      </c>
      <c r="ID26" s="12">
        <f>IF(HI26&gt;0,HJ26/HI26,0)</f>
        <v/>
      </c>
      <c r="IE26" s="11">
        <f>IF(HI25&gt;0,MAX(0,(HI25+GT26-HI26)/HI25),0)</f>
        <v/>
      </c>
      <c r="IG26" s="12" t="n">
        <v>22</v>
      </c>
      <c r="IH26" s="12">
        <f>MOD(IG26-1+LaunchMonth-1,12)+1</f>
        <v/>
      </c>
      <c r="II26" s="12">
        <f>INT((IG26-1+LaunchMonth-1)/12)+1</f>
        <v/>
      </c>
      <c r="IJ26" s="12">
        <f>VLOOKUP(IH26,SeasonTable,2,FALSE)</f>
        <v/>
      </c>
      <c r="IK26" s="12">
        <f>(1+InflationRate)^INT((IG26-1)/12)</f>
        <v/>
      </c>
      <c r="IL26" s="11">
        <f>'Sens - Churn'!$A$15*VLOOKUP(IH26,ChurnSeasonTable,4,FALSE)</f>
        <v/>
      </c>
      <c r="IM26" s="12">
        <f>MIN(MAX(MktMin19plus,JK25*MktPct19plus),MAX(0,JY25-CashBuffer))</f>
        <v/>
      </c>
      <c r="IN26" s="12">
        <f>IF(IM26&gt;0,MAX(1,ROUND(IM26/CAC*IJ26,0)),0)</f>
        <v/>
      </c>
      <c r="IO26" s="12">
        <f>IF(IN26&gt;0,ROUND(IN26*ReferralMix/(1-ReferralMix),0),0)</f>
        <v/>
      </c>
      <c r="IP26" s="12">
        <f>IN26+IO26</f>
        <v/>
      </c>
      <c r="IQ26" s="12">
        <f>ROUND(IP26*(1-AnnualMix),0)</f>
        <v/>
      </c>
      <c r="IR26" s="12">
        <f>IP26-IQ26</f>
        <v/>
      </c>
      <c r="IS26" s="12">
        <f>ROUND(IQ26*EssentialMix,0)</f>
        <v/>
      </c>
      <c r="IT26" s="12">
        <f>ROUND(IQ26*PremiumMix,0)</f>
        <v/>
      </c>
      <c r="IU26" s="12">
        <f>IQ26-IS26-IT26</f>
        <v/>
      </c>
      <c r="IV26" s="12">
        <f>ROUND(IR26*EssentialMix,0)</f>
        <v/>
      </c>
      <c r="IW26" s="12">
        <f>ROUND(IR26*PremiumMix,0)</f>
        <v/>
      </c>
      <c r="IX26" s="12">
        <f>IR26-IV26-IW26</f>
        <v/>
      </c>
      <c r="IY26" s="12">
        <f>IS26+IS25+IS24+MAX(0,IY25-IS25-IS24)*(1-IL26)</f>
        <v/>
      </c>
      <c r="IZ26" s="12">
        <f>IT26+IT25+IT24+MAX(0,IZ25-IT25-IT24)*(1-IL26)</f>
        <v/>
      </c>
      <c r="JA26" s="12">
        <f>IU26+IU25+IU24+MAX(0,JA25-IU25-IU24)*(1-IL26)</f>
        <v/>
      </c>
      <c r="JB26" s="12">
        <f>JB25+IV26-IV14*(AnnualChurn*VLOOKUP(IH26,ChurnSeasonTable,4,FALSE))*POWER(1-(AnnualChurn*VLOOKUP(IH26,ChurnSeasonTable,4,FALSE)),0)</f>
        <v/>
      </c>
      <c r="JC26" s="12">
        <f>JC25+IW26-IW14*(AnnualChurn*VLOOKUP(IH26,ChurnSeasonTable,4,FALSE))*POWER(1-(AnnualChurn*VLOOKUP(IH26,ChurnSeasonTable,4,FALSE)),0)</f>
        <v/>
      </c>
      <c r="JD26" s="12">
        <f>JD25+IX26-IX14*(AnnualChurn*VLOOKUP(IH26,ChurnSeasonTable,4,FALSE))*POWER(1-(AnnualChurn*VLOOKUP(IH26,ChurnSeasonTable,4,FALSE)),0)</f>
        <v/>
      </c>
      <c r="JE26" s="12">
        <f>IY26+IZ26+JA26+JB26+JC26+JD26</f>
        <v/>
      </c>
      <c r="JF26" s="9">
        <f>IY26*BlendedPriceEssMonthly*IK26+IZ26*BlendedPricePremMonthly*IK26+JA26*BlendedPriceEliteMonthly*IK26+JB26*BlendedPriceEssAnnual*IK26/12+JC26*BlendedPricePremAnnual*IK26/12+JD26*BlendedPriceEliteAnnual*IK26/12</f>
        <v/>
      </c>
      <c r="JG26" s="9">
        <f>JF26*12</f>
        <v/>
      </c>
      <c r="JH26" s="12">
        <f>IY26*BlendedPriceEssMonthly*IK26+IZ26*BlendedPricePremMonthly*IK26+JA26*BlendedPriceEliteMonthly*IK26</f>
        <v/>
      </c>
      <c r="JI26" s="12">
        <f>IV26*BlendedPriceEssAnnual*IK26+IW26*BlendedPricePremAnnual*IK26+IX26*BlendedPriceEliteAnnual*IK26</f>
        <v/>
      </c>
      <c r="JJ26" s="12">
        <f>IV14*POWER(1-(AnnualChurn*VLOOKUP(IH26,ChurnSeasonTable,4,FALSE)),1)*BlendedPriceEssAnnual*IK26+IW14*POWER(1-(AnnualChurn*VLOOKUP(IH26,ChurnSeasonTable,4,FALSE)),1)*BlendedPricePremAnnual*IK26+IX14*POWER(1-(AnnualChurn*VLOOKUP(IH26,ChurnSeasonTable,4,FALSE)),1)*BlendedPriceEliteAnnual*IK26</f>
        <v/>
      </c>
      <c r="JK26" s="9">
        <f>JH26+JI26+JJ26</f>
        <v/>
      </c>
      <c r="JL26" s="12">
        <f>SUM(JK15:JK26)</f>
        <v/>
      </c>
      <c r="JM26" s="12">
        <f>OR(JM25,IF(VATAgentMode,SUM($JK15:$JK26)-SUM($JR15:$JR26)&gt;=VATThreshold,SUM($JK15:$JK26)&gt;=VATThreshold))</f>
        <v/>
      </c>
      <c r="JN26" s="9">
        <f>IF(JM26,IF(VATAgentMode,JK26-((JK26-JR26)-(JK26-JR26)/(1+VATRate)),JK26/(1+VATRate)),JK26)</f>
        <v/>
      </c>
      <c r="JO26" s="12">
        <f>JK26-JN26</f>
        <v/>
      </c>
      <c r="JP26" s="12">
        <f>IF(JM26=0,0,IF(IH26=1,SUMPRODUCT(--(($II$5:$II26=$II26-1)*($IH$5:$IH26&gt;=10)*($IH$5:$IH26&lt;=12)),$JO$5:$JO26),IF(IH26=4,SUMPRODUCT(--(($II$5:$II26=$II26)*($IH$5:$IH26&gt;=1)*($IH$5:$IH26&lt;=3)),$JO$5:$JO26),IF(IH26=7,SUMPRODUCT(--(($II$5:$II26=$II26)*($IH$5:$IH26&gt;=4)*($IH$5:$IH26&lt;=6)),$JO$5:$JO26),IF(IH26=10,SUMPRODUCT(--(($II$5:$II26=$II26)*($IH$5:$IH26&gt;=7)*($IH$5:$IH26&lt;=9)),$JO$5:$JO26),0)))))</f>
        <v/>
      </c>
      <c r="JQ26" s="12">
        <f>JQ25+JO26-JP26</f>
        <v/>
      </c>
      <c r="JR26" s="12">
        <f>IF(ProviderDelay&gt;=1,IY25*BlendedProvPayEss+IZ25*BlendedProvPayPrem+JA25*BlendedProvPayElite+JB25*BlendedProvPayEss+JC25*BlendedProvPayPrem+JD25*BlendedProvPayElite,IY26*BlendedProvPayEss+IZ26*BlendedProvPayPrem+JA26*BlendedProvPayElite+JB26*BlendedProvPayEss+JC26*BlendedProvPayPrem+JD26*BlendedProvPayElite)</f>
        <v/>
      </c>
      <c r="JS26" s="12">
        <f>JK26*PaymentFee</f>
        <v/>
      </c>
      <c r="JT26" s="12">
        <f>JE26*OpsAI</f>
        <v/>
      </c>
      <c r="JU26" s="12">
        <f>MonthlyFixed</f>
        <v/>
      </c>
      <c r="JV26" s="12">
        <f>IO26*ReferralReward</f>
        <v/>
      </c>
      <c r="JW26" s="12">
        <f>IM26</f>
        <v/>
      </c>
      <c r="JX26" s="9">
        <f>JN26-JR26-JS26-JT26-JU26-JV26-JW26</f>
        <v/>
      </c>
      <c r="JY26" s="9">
        <f>JY25+JK26-(JR26+JS26+JT26+JU26+JV26+JW26+JP26)</f>
        <v/>
      </c>
      <c r="JZ26" s="12">
        <f>IF(JE26&gt;0,JF26/JE26,0)</f>
        <v/>
      </c>
      <c r="KA26" s="11">
        <f>IF(JE25&gt;0,MAX(0,(JE25+IP26-JE26)/JE25),0)</f>
        <v/>
      </c>
      <c r="KC26" s="12" t="n">
        <v>22</v>
      </c>
      <c r="KD26" s="12">
        <f>MOD(KC26-1+LaunchMonth-1,12)+1</f>
        <v/>
      </c>
      <c r="KE26" s="12">
        <f>INT((KC26-1+LaunchMonth-1)/12)+1</f>
        <v/>
      </c>
      <c r="KF26" s="12">
        <f>VLOOKUP(KD26,SeasonTable,2,FALSE)</f>
        <v/>
      </c>
      <c r="KG26" s="12">
        <f>(1+InflationRate)^INT((KC26-1)/12)</f>
        <v/>
      </c>
      <c r="KH26" s="11">
        <f>'Sens - Churn'!$A$16*VLOOKUP(KD26,ChurnSeasonTable,4,FALSE)</f>
        <v/>
      </c>
      <c r="KI26" s="12">
        <f>MIN(MAX(MktMin19plus,LG25*MktPct19plus),MAX(0,LU25-CashBuffer))</f>
        <v/>
      </c>
      <c r="KJ26" s="12">
        <f>IF(KI26&gt;0,MAX(1,ROUND(KI26/CAC*KF26,0)),0)</f>
        <v/>
      </c>
      <c r="KK26" s="12">
        <f>IF(KJ26&gt;0,ROUND(KJ26*ReferralMix/(1-ReferralMix),0),0)</f>
        <v/>
      </c>
      <c r="KL26" s="12">
        <f>KJ26+KK26</f>
        <v/>
      </c>
      <c r="KM26" s="12">
        <f>ROUND(KL26*(1-AnnualMix),0)</f>
        <v/>
      </c>
      <c r="KN26" s="12">
        <f>KL26-KM26</f>
        <v/>
      </c>
      <c r="KO26" s="12">
        <f>ROUND(KM26*EssentialMix,0)</f>
        <v/>
      </c>
      <c r="KP26" s="12">
        <f>ROUND(KM26*PremiumMix,0)</f>
        <v/>
      </c>
      <c r="KQ26" s="12">
        <f>KM26-KO26-KP26</f>
        <v/>
      </c>
      <c r="KR26" s="12">
        <f>ROUND(KN26*EssentialMix,0)</f>
        <v/>
      </c>
      <c r="KS26" s="12">
        <f>ROUND(KN26*PremiumMix,0)</f>
        <v/>
      </c>
      <c r="KT26" s="12">
        <f>KN26-KR26-KS26</f>
        <v/>
      </c>
      <c r="KU26" s="12">
        <f>KO26+KO25+KO24+MAX(0,KU25-KO25-KO24)*(1-KH26)</f>
        <v/>
      </c>
      <c r="KV26" s="12">
        <f>KP26+KP25+KP24+MAX(0,KV25-KP25-KP24)*(1-KH26)</f>
        <v/>
      </c>
      <c r="KW26" s="12">
        <f>KQ26+KQ25+KQ24+MAX(0,KW25-KQ25-KQ24)*(1-KH26)</f>
        <v/>
      </c>
      <c r="KX26" s="12">
        <f>KX25+KR26-KR14*(AnnualChurn*VLOOKUP(KD26,ChurnSeasonTable,4,FALSE))*POWER(1-(AnnualChurn*VLOOKUP(KD26,ChurnSeasonTable,4,FALSE)),0)</f>
        <v/>
      </c>
      <c r="KY26" s="12">
        <f>KY25+KS26-KS14*(AnnualChurn*VLOOKUP(KD26,ChurnSeasonTable,4,FALSE))*POWER(1-(AnnualChurn*VLOOKUP(KD26,ChurnSeasonTable,4,FALSE)),0)</f>
        <v/>
      </c>
      <c r="KZ26" s="12">
        <f>KZ25+KT26-KT14*(AnnualChurn*VLOOKUP(KD26,ChurnSeasonTable,4,FALSE))*POWER(1-(AnnualChurn*VLOOKUP(KD26,ChurnSeasonTable,4,FALSE)),0)</f>
        <v/>
      </c>
      <c r="LA26" s="12">
        <f>KU26+KV26+KW26+KX26+KY26+KZ26</f>
        <v/>
      </c>
      <c r="LB26" s="9">
        <f>KU26*BlendedPriceEssMonthly*KG26+KV26*BlendedPricePremMonthly*KG26+KW26*BlendedPriceEliteMonthly*KG26+KX26*BlendedPriceEssAnnual*KG26/12+KY26*BlendedPricePremAnnual*KG26/12+KZ26*BlendedPriceEliteAnnual*KG26/12</f>
        <v/>
      </c>
      <c r="LC26" s="9">
        <f>LB26*12</f>
        <v/>
      </c>
      <c r="LD26" s="12">
        <f>KU26*BlendedPriceEssMonthly*KG26+KV26*BlendedPricePremMonthly*KG26+KW26*BlendedPriceEliteMonthly*KG26</f>
        <v/>
      </c>
      <c r="LE26" s="12">
        <f>KR26*BlendedPriceEssAnnual*KG26+KS26*BlendedPricePremAnnual*KG26+KT26*BlendedPriceEliteAnnual*KG26</f>
        <v/>
      </c>
      <c r="LF26" s="12">
        <f>KR14*POWER(1-(AnnualChurn*VLOOKUP(KD26,ChurnSeasonTable,4,FALSE)),1)*BlendedPriceEssAnnual*KG26+KS14*POWER(1-(AnnualChurn*VLOOKUP(KD26,ChurnSeasonTable,4,FALSE)),1)*BlendedPricePremAnnual*KG26+KT14*POWER(1-(AnnualChurn*VLOOKUP(KD26,ChurnSeasonTable,4,FALSE)),1)*BlendedPriceEliteAnnual*KG26</f>
        <v/>
      </c>
      <c r="LG26" s="9">
        <f>LD26+LE26+LF26</f>
        <v/>
      </c>
      <c r="LH26" s="12">
        <f>SUM(LG15:LG26)</f>
        <v/>
      </c>
      <c r="LI26" s="12">
        <f>OR(LI25,IF(VATAgentMode,SUM($LG15:$LG26)-SUM($LN15:$LN26)&gt;=VATThreshold,SUM($LG15:$LG26)&gt;=VATThreshold))</f>
        <v/>
      </c>
      <c r="LJ26" s="9">
        <f>IF(LI26,IF(VATAgentMode,LG26-((LG26-LN26)-(LG26-LN26)/(1+VATRate)),LG26/(1+VATRate)),LG26)</f>
        <v/>
      </c>
      <c r="LK26" s="12">
        <f>LG26-LJ26</f>
        <v/>
      </c>
      <c r="LL26" s="12">
        <f>IF(LI26=0,0,IF(KD26=1,SUMPRODUCT(--(($KE$5:$KE26=$KE26-1)*($KD$5:$KD26&gt;=10)*($KD$5:$KD26&lt;=12)),$LK$5:$LK26),IF(KD26=4,SUMPRODUCT(--(($KE$5:$KE26=$KE26)*($KD$5:$KD26&gt;=1)*($KD$5:$KD26&lt;=3)),$LK$5:$LK26),IF(KD26=7,SUMPRODUCT(--(($KE$5:$KE26=$KE26)*($KD$5:$KD26&gt;=4)*($KD$5:$KD26&lt;=6)),$LK$5:$LK26),IF(KD26=10,SUMPRODUCT(--(($KE$5:$KE26=$KE26)*($KD$5:$KD26&gt;=7)*($KD$5:$KD26&lt;=9)),$LK$5:$LK26),0)))))</f>
        <v/>
      </c>
      <c r="LM26" s="12">
        <f>LM25+LK26-LL26</f>
        <v/>
      </c>
      <c r="LN26" s="12">
        <f>IF(ProviderDelay&gt;=1,KU25*BlendedProvPayEss+KV25*BlendedProvPayPrem+KW25*BlendedProvPayElite+KX25*BlendedProvPayEss+KY25*BlendedProvPayPrem+KZ25*BlendedProvPayElite,KU26*BlendedProvPayEss+KV26*BlendedProvPayPrem+KW26*BlendedProvPayElite+KX26*BlendedProvPayEss+KY26*BlendedProvPayPrem+KZ26*BlendedProvPayElite)</f>
        <v/>
      </c>
      <c r="LO26" s="12">
        <f>LG26*PaymentFee</f>
        <v/>
      </c>
      <c r="LP26" s="12">
        <f>LA26*OpsAI</f>
        <v/>
      </c>
      <c r="LQ26" s="12">
        <f>MonthlyFixed</f>
        <v/>
      </c>
      <c r="LR26" s="12">
        <f>KK26*ReferralReward</f>
        <v/>
      </c>
      <c r="LS26" s="12">
        <f>KI26</f>
        <v/>
      </c>
      <c r="LT26" s="9">
        <f>LJ26-LN26-LO26-LP26-LQ26-LR26-LS26</f>
        <v/>
      </c>
      <c r="LU26" s="9">
        <f>LU25+LG26-(LN26+LO26+LP26+LQ26+LR26+LS26+LL26)</f>
        <v/>
      </c>
      <c r="LV26" s="12">
        <f>IF(LA26&gt;0,LB26/LA26,0)</f>
        <v/>
      </c>
      <c r="LW26" s="11">
        <f>IF(LA25&gt;0,MAX(0,(LA25+KL26-LA26)/LA25),0)</f>
        <v/>
      </c>
      <c r="LY26" s="12" t="n">
        <v>22</v>
      </c>
      <c r="LZ26" s="12">
        <f>MOD(LY26-1+LaunchMonth-1,12)+1</f>
        <v/>
      </c>
      <c r="MA26" s="12">
        <f>INT((LY26-1+LaunchMonth-1)/12)+1</f>
        <v/>
      </c>
      <c r="MB26" s="12">
        <f>VLOOKUP(LZ26,SeasonTable,2,FALSE)</f>
        <v/>
      </c>
      <c r="MC26" s="12">
        <f>(1+InflationRate)^INT((LY26-1)/12)</f>
        <v/>
      </c>
      <c r="MD26" s="11">
        <f>'Sens - Churn'!$A$17*VLOOKUP(LZ26,ChurnSeasonTable,4,FALSE)</f>
        <v/>
      </c>
      <c r="ME26" s="12">
        <f>MIN(MAX(MktMin19plus,NC25*MktPct19plus),MAX(0,NQ25-CashBuffer))</f>
        <v/>
      </c>
      <c r="MF26" s="12">
        <f>IF(ME26&gt;0,MAX(1,ROUND(ME26/CAC*MB26,0)),0)</f>
        <v/>
      </c>
      <c r="MG26" s="12">
        <f>IF(MF26&gt;0,ROUND(MF26*ReferralMix/(1-ReferralMix),0),0)</f>
        <v/>
      </c>
      <c r="MH26" s="12">
        <f>MF26+MG26</f>
        <v/>
      </c>
      <c r="MI26" s="12">
        <f>ROUND(MH26*(1-AnnualMix),0)</f>
        <v/>
      </c>
      <c r="MJ26" s="12">
        <f>MH26-MI26</f>
        <v/>
      </c>
      <c r="MK26" s="12">
        <f>ROUND(MI26*EssentialMix,0)</f>
        <v/>
      </c>
      <c r="ML26" s="12">
        <f>ROUND(MI26*PremiumMix,0)</f>
        <v/>
      </c>
      <c r="MM26" s="12">
        <f>MI26-MK26-ML26</f>
        <v/>
      </c>
      <c r="MN26" s="12">
        <f>ROUND(MJ26*EssentialMix,0)</f>
        <v/>
      </c>
      <c r="MO26" s="12">
        <f>ROUND(MJ26*PremiumMix,0)</f>
        <v/>
      </c>
      <c r="MP26" s="12">
        <f>MJ26-MN26-MO26</f>
        <v/>
      </c>
      <c r="MQ26" s="12">
        <f>MK26+MK25+MK24+MAX(0,MQ25-MK25-MK24)*(1-MD26)</f>
        <v/>
      </c>
      <c r="MR26" s="12">
        <f>ML26+ML25+ML24+MAX(0,MR25-ML25-ML24)*(1-MD26)</f>
        <v/>
      </c>
      <c r="MS26" s="12">
        <f>MM26+MM25+MM24+MAX(0,MS25-MM25-MM24)*(1-MD26)</f>
        <v/>
      </c>
      <c r="MT26" s="12">
        <f>MT25+MN26-MN14*(AnnualChurn*VLOOKUP(LZ26,ChurnSeasonTable,4,FALSE))*POWER(1-(AnnualChurn*VLOOKUP(LZ26,ChurnSeasonTable,4,FALSE)),0)</f>
        <v/>
      </c>
      <c r="MU26" s="12">
        <f>MU25+MO26-MO14*(AnnualChurn*VLOOKUP(LZ26,ChurnSeasonTable,4,FALSE))*POWER(1-(AnnualChurn*VLOOKUP(LZ26,ChurnSeasonTable,4,FALSE)),0)</f>
        <v/>
      </c>
      <c r="MV26" s="12">
        <f>MV25+MP26-MP14*(AnnualChurn*VLOOKUP(LZ26,ChurnSeasonTable,4,FALSE))*POWER(1-(AnnualChurn*VLOOKUP(LZ26,ChurnSeasonTable,4,FALSE)),0)</f>
        <v/>
      </c>
      <c r="MW26" s="12">
        <f>MQ26+MR26+MS26+MT26+MU26+MV26</f>
        <v/>
      </c>
      <c r="MX26" s="9">
        <f>MQ26*BlendedPriceEssMonthly*MC26+MR26*BlendedPricePremMonthly*MC26+MS26*BlendedPriceEliteMonthly*MC26+MT26*BlendedPriceEssAnnual*MC26/12+MU26*BlendedPricePremAnnual*MC26/12+MV26*BlendedPriceEliteAnnual*MC26/12</f>
        <v/>
      </c>
      <c r="MY26" s="9">
        <f>MX26*12</f>
        <v/>
      </c>
      <c r="MZ26" s="12">
        <f>MQ26*BlendedPriceEssMonthly*MC26+MR26*BlendedPricePremMonthly*MC26+MS26*BlendedPriceEliteMonthly*MC26</f>
        <v/>
      </c>
      <c r="NA26" s="12">
        <f>MN26*BlendedPriceEssAnnual*MC26+MO26*BlendedPricePremAnnual*MC26+MP26*BlendedPriceEliteAnnual*MC26</f>
        <v/>
      </c>
      <c r="NB26" s="12">
        <f>MN14*POWER(1-(AnnualChurn*VLOOKUP(LZ26,ChurnSeasonTable,4,FALSE)),1)*BlendedPriceEssAnnual*MC26+MO14*POWER(1-(AnnualChurn*VLOOKUP(LZ26,ChurnSeasonTable,4,FALSE)),1)*BlendedPricePremAnnual*MC26+MP14*POWER(1-(AnnualChurn*VLOOKUP(LZ26,ChurnSeasonTable,4,FALSE)),1)*BlendedPriceEliteAnnual*MC26</f>
        <v/>
      </c>
      <c r="NC26" s="9">
        <f>MZ26+NA26+NB26</f>
        <v/>
      </c>
      <c r="ND26" s="12">
        <f>SUM(NC15:NC26)</f>
        <v/>
      </c>
      <c r="NE26" s="12">
        <f>OR(NE25,IF(VATAgentMode,SUM($NC15:$NC26)-SUM($NJ15:$NJ26)&gt;=VATThreshold,SUM($NC15:$NC26)&gt;=VATThreshold))</f>
        <v/>
      </c>
      <c r="NF26" s="9">
        <f>IF(NE26,IF(VATAgentMode,NC26-((NC26-NJ26)-(NC26-NJ26)/(1+VATRate)),NC26/(1+VATRate)),NC26)</f>
        <v/>
      </c>
      <c r="NG26" s="12">
        <f>NC26-NF26</f>
        <v/>
      </c>
      <c r="NH26" s="12">
        <f>IF(NE26=0,0,IF(LZ26=1,SUMPRODUCT(--(($MA$5:$MA26=$MA26-1)*($LZ$5:$LZ26&gt;=10)*($LZ$5:$LZ26&lt;=12)),$NG$5:$NG26),IF(LZ26=4,SUMPRODUCT(--(($MA$5:$MA26=$MA26)*($LZ$5:$LZ26&gt;=1)*($LZ$5:$LZ26&lt;=3)),$NG$5:$NG26),IF(LZ26=7,SUMPRODUCT(--(($MA$5:$MA26=$MA26)*($LZ$5:$LZ26&gt;=4)*($LZ$5:$LZ26&lt;=6)),$NG$5:$NG26),IF(LZ26=10,SUMPRODUCT(--(($MA$5:$MA26=$MA26)*($LZ$5:$LZ26&gt;=7)*($LZ$5:$LZ26&lt;=9)),$NG$5:$NG26),0)))))</f>
        <v/>
      </c>
      <c r="NI26" s="12">
        <f>NI25+NG26-NH26</f>
        <v/>
      </c>
      <c r="NJ26" s="12">
        <f>IF(ProviderDelay&gt;=1,MQ25*BlendedProvPayEss+MR25*BlendedProvPayPrem+MS25*BlendedProvPayElite+MT25*BlendedProvPayEss+MU25*BlendedProvPayPrem+MV25*BlendedProvPayElite,MQ26*BlendedProvPayEss+MR26*BlendedProvPayPrem+MS26*BlendedProvPayElite+MT26*BlendedProvPayEss+MU26*BlendedProvPayPrem+MV26*BlendedProvPayElite)</f>
        <v/>
      </c>
      <c r="NK26" s="12">
        <f>NC26*PaymentFee</f>
        <v/>
      </c>
      <c r="NL26" s="12">
        <f>MW26*OpsAI</f>
        <v/>
      </c>
      <c r="NM26" s="12">
        <f>MonthlyFixed</f>
        <v/>
      </c>
      <c r="NN26" s="12">
        <f>MG26*ReferralReward</f>
        <v/>
      </c>
      <c r="NO26" s="12">
        <f>ME26</f>
        <v/>
      </c>
      <c r="NP26" s="9">
        <f>NF26-NJ26-NK26-NL26-NM26-NN26-NO26</f>
        <v/>
      </c>
      <c r="NQ26" s="9">
        <f>NQ25+NC26-(NJ26+NK26+NL26+NM26+NN26+NO26+NH26)</f>
        <v/>
      </c>
      <c r="NR26" s="12">
        <f>IF(MW26&gt;0,MX26/MW26,0)</f>
        <v/>
      </c>
      <c r="NS26" s="11">
        <f>IF(MW25&gt;0,MAX(0,(MW25+MH26-MW26)/MW25),0)</f>
        <v/>
      </c>
      <c r="NU26" s="12" t="n">
        <v>22</v>
      </c>
      <c r="NV26" s="12">
        <f>MOD(NU26-1+LaunchMonth-1,12)+1</f>
        <v/>
      </c>
      <c r="NW26" s="12">
        <f>INT((NU26-1+LaunchMonth-1)/12)+1</f>
        <v/>
      </c>
      <c r="NX26" s="12">
        <f>VLOOKUP(NV26,SeasonTable,2,FALSE)</f>
        <v/>
      </c>
      <c r="NY26" s="12">
        <f>(1+InflationRate)^INT((NU26-1)/12)</f>
        <v/>
      </c>
      <c r="NZ26" s="11">
        <f>'Sens - Churn'!$A$18*VLOOKUP(NV26,ChurnSeasonTable,4,FALSE)</f>
        <v/>
      </c>
      <c r="OA26" s="12">
        <f>MIN(MAX(MktMin19plus,OY25*MktPct19plus),MAX(0,PM25-CashBuffer))</f>
        <v/>
      </c>
      <c r="OB26" s="12">
        <f>IF(OA26&gt;0,MAX(1,ROUND(OA26/CAC*NX26,0)),0)</f>
        <v/>
      </c>
      <c r="OC26" s="12">
        <f>IF(OB26&gt;0,ROUND(OB26*ReferralMix/(1-ReferralMix),0),0)</f>
        <v/>
      </c>
      <c r="OD26" s="12">
        <f>OB26+OC26</f>
        <v/>
      </c>
      <c r="OE26" s="12">
        <f>ROUND(OD26*(1-AnnualMix),0)</f>
        <v/>
      </c>
      <c r="OF26" s="12">
        <f>OD26-OE26</f>
        <v/>
      </c>
      <c r="OG26" s="12">
        <f>ROUND(OE26*EssentialMix,0)</f>
        <v/>
      </c>
      <c r="OH26" s="12">
        <f>ROUND(OE26*PremiumMix,0)</f>
        <v/>
      </c>
      <c r="OI26" s="12">
        <f>OE26-OG26-OH26</f>
        <v/>
      </c>
      <c r="OJ26" s="12">
        <f>ROUND(OF26*EssentialMix,0)</f>
        <v/>
      </c>
      <c r="OK26" s="12">
        <f>ROUND(OF26*PremiumMix,0)</f>
        <v/>
      </c>
      <c r="OL26" s="12">
        <f>OF26-OJ26-OK26</f>
        <v/>
      </c>
      <c r="OM26" s="12">
        <f>OG26+OG25+OG24+MAX(0,OM25-OG25-OG24)*(1-NZ26)</f>
        <v/>
      </c>
      <c r="ON26" s="12">
        <f>OH26+OH25+OH24+MAX(0,ON25-OH25-OH24)*(1-NZ26)</f>
        <v/>
      </c>
      <c r="OO26" s="12">
        <f>OI26+OI25+OI24+MAX(0,OO25-OI25-OI24)*(1-NZ26)</f>
        <v/>
      </c>
      <c r="OP26" s="12">
        <f>OP25+OJ26-OJ14*(AnnualChurn*VLOOKUP(NV26,ChurnSeasonTable,4,FALSE))*POWER(1-(AnnualChurn*VLOOKUP(NV26,ChurnSeasonTable,4,FALSE)),0)</f>
        <v/>
      </c>
      <c r="OQ26" s="12">
        <f>OQ25+OK26-OK14*(AnnualChurn*VLOOKUP(NV26,ChurnSeasonTable,4,FALSE))*POWER(1-(AnnualChurn*VLOOKUP(NV26,ChurnSeasonTable,4,FALSE)),0)</f>
        <v/>
      </c>
      <c r="OR26" s="12">
        <f>OR25+OL26-OL14*(AnnualChurn*VLOOKUP(NV26,ChurnSeasonTable,4,FALSE))*POWER(1-(AnnualChurn*VLOOKUP(NV26,ChurnSeasonTable,4,FALSE)),0)</f>
        <v/>
      </c>
      <c r="OS26" s="12">
        <f>OM26+ON26+OO26+OP26+OQ26+OR26</f>
        <v/>
      </c>
      <c r="OT26" s="9">
        <f>OM26*BlendedPriceEssMonthly*NY26+ON26*BlendedPricePremMonthly*NY26+OO26*BlendedPriceEliteMonthly*NY26+OP26*BlendedPriceEssAnnual*NY26/12+OQ26*BlendedPricePremAnnual*NY26/12+OR26*BlendedPriceEliteAnnual*NY26/12</f>
        <v/>
      </c>
      <c r="OU26" s="9">
        <f>OT26*12</f>
        <v/>
      </c>
      <c r="OV26" s="12">
        <f>OM26*BlendedPriceEssMonthly*NY26+ON26*BlendedPricePremMonthly*NY26+OO26*BlendedPriceEliteMonthly*NY26</f>
        <v/>
      </c>
      <c r="OW26" s="12">
        <f>OJ26*BlendedPriceEssAnnual*NY26+OK26*BlendedPricePremAnnual*NY26+OL26*BlendedPriceEliteAnnual*NY26</f>
        <v/>
      </c>
      <c r="OX26" s="12">
        <f>OJ14*POWER(1-(AnnualChurn*VLOOKUP(NV26,ChurnSeasonTable,4,FALSE)),1)*BlendedPriceEssAnnual*NY26+OK14*POWER(1-(AnnualChurn*VLOOKUP(NV26,ChurnSeasonTable,4,FALSE)),1)*BlendedPricePremAnnual*NY26+OL14*POWER(1-(AnnualChurn*VLOOKUP(NV26,ChurnSeasonTable,4,FALSE)),1)*BlendedPriceEliteAnnual*NY26</f>
        <v/>
      </c>
      <c r="OY26" s="9">
        <f>OV26+OW26+OX26</f>
        <v/>
      </c>
      <c r="OZ26" s="12">
        <f>SUM(OY15:OY26)</f>
        <v/>
      </c>
      <c r="PA26" s="12">
        <f>OR(PA25,IF(VATAgentMode,SUM($OY15:$OY26)-SUM($PF15:$PF26)&gt;=VATThreshold,SUM($OY15:$OY26)&gt;=VATThreshold))</f>
        <v/>
      </c>
      <c r="PB26" s="9">
        <f>IF(PA26,IF(VATAgentMode,OY26-((OY26-PF26)-(OY26-PF26)/(1+VATRate)),OY26/(1+VATRate)),OY26)</f>
        <v/>
      </c>
      <c r="PC26" s="12">
        <f>OY26-PB26</f>
        <v/>
      </c>
      <c r="PD26" s="12">
        <f>IF(PA26=0,0,IF(NV26=1,SUMPRODUCT(--(($NW$5:$NW26=$NW26-1)*($NV$5:$NV26&gt;=10)*($NV$5:$NV26&lt;=12)),$PC$5:$PC26),IF(NV26=4,SUMPRODUCT(--(($NW$5:$NW26=$NW26)*($NV$5:$NV26&gt;=1)*($NV$5:$NV26&lt;=3)),$PC$5:$PC26),IF(NV26=7,SUMPRODUCT(--(($NW$5:$NW26=$NW26)*($NV$5:$NV26&gt;=4)*($NV$5:$NV26&lt;=6)),$PC$5:$PC26),IF(NV26=10,SUMPRODUCT(--(($NW$5:$NW26=$NW26)*($NV$5:$NV26&gt;=7)*($NV$5:$NV26&lt;=9)),$PC$5:$PC26),0)))))</f>
        <v/>
      </c>
      <c r="PE26" s="12">
        <f>PE25+PC26-PD26</f>
        <v/>
      </c>
      <c r="PF26" s="12">
        <f>IF(ProviderDelay&gt;=1,OM25*BlendedProvPayEss+ON25*BlendedProvPayPrem+OO25*BlendedProvPayElite+OP25*BlendedProvPayEss+OQ25*BlendedProvPayPrem+OR25*BlendedProvPayElite,OM26*BlendedProvPayEss+ON26*BlendedProvPayPrem+OO26*BlendedProvPayElite+OP26*BlendedProvPayEss+OQ26*BlendedProvPayPrem+OR26*BlendedProvPayElite)</f>
        <v/>
      </c>
      <c r="PG26" s="12">
        <f>OY26*PaymentFee</f>
        <v/>
      </c>
      <c r="PH26" s="12">
        <f>OS26*OpsAI</f>
        <v/>
      </c>
      <c r="PI26" s="12">
        <f>MonthlyFixed</f>
        <v/>
      </c>
      <c r="PJ26" s="12">
        <f>OC26*ReferralReward</f>
        <v/>
      </c>
      <c r="PK26" s="12">
        <f>OA26</f>
        <v/>
      </c>
      <c r="PL26" s="9">
        <f>PB26-PF26-PG26-PH26-PI26-PJ26-PK26</f>
        <v/>
      </c>
      <c r="PM26" s="9">
        <f>PM25+OY26-(PF26+PG26+PH26+PI26+PJ26+PK26+PD26)</f>
        <v/>
      </c>
      <c r="PN26" s="12">
        <f>IF(OS26&gt;0,OT26/OS26,0)</f>
        <v/>
      </c>
      <c r="PO26" s="11">
        <f>IF(OS25&gt;0,MAX(0,(OS25+OD26-OS26)/OS25),0)</f>
        <v/>
      </c>
      <c r="PQ26" s="12" t="n">
        <v>22</v>
      </c>
      <c r="PR26" s="12">
        <f>MOD(PQ26-1+LaunchMonth-1,12)+1</f>
        <v/>
      </c>
      <c r="PS26" s="12">
        <f>INT((PQ26-1+LaunchMonth-1)/12)+1</f>
        <v/>
      </c>
      <c r="PT26" s="12">
        <f>VLOOKUP(PR26,SeasonTable,2,FALSE)</f>
        <v/>
      </c>
      <c r="PU26" s="12">
        <f>(1+InflationRate)^INT((PQ26-1)/12)</f>
        <v/>
      </c>
      <c r="PV26" s="11">
        <f>'Sens - Churn'!$A$19*VLOOKUP(PR26,ChurnSeasonTable,4,FALSE)</f>
        <v/>
      </c>
      <c r="PW26" s="12">
        <f>MIN(MAX(MktMin19plus,QU25*MktPct19plus),MAX(0,RI25-CashBuffer))</f>
        <v/>
      </c>
      <c r="PX26" s="12">
        <f>IF(PW26&gt;0,MAX(1,ROUND(PW26/CAC*PT26,0)),0)</f>
        <v/>
      </c>
      <c r="PY26" s="12">
        <f>IF(PX26&gt;0,ROUND(PX26*ReferralMix/(1-ReferralMix),0),0)</f>
        <v/>
      </c>
      <c r="PZ26" s="12">
        <f>PX26+PY26</f>
        <v/>
      </c>
      <c r="QA26" s="12">
        <f>ROUND(PZ26*(1-AnnualMix),0)</f>
        <v/>
      </c>
      <c r="QB26" s="12">
        <f>PZ26-QA26</f>
        <v/>
      </c>
      <c r="QC26" s="12">
        <f>ROUND(QA26*EssentialMix,0)</f>
        <v/>
      </c>
      <c r="QD26" s="12">
        <f>ROUND(QA26*PremiumMix,0)</f>
        <v/>
      </c>
      <c r="QE26" s="12">
        <f>QA26-QC26-QD26</f>
        <v/>
      </c>
      <c r="QF26" s="12">
        <f>ROUND(QB26*EssentialMix,0)</f>
        <v/>
      </c>
      <c r="QG26" s="12">
        <f>ROUND(QB26*PremiumMix,0)</f>
        <v/>
      </c>
      <c r="QH26" s="12">
        <f>QB26-QF26-QG26</f>
        <v/>
      </c>
      <c r="QI26" s="12">
        <f>QC26+QC25+QC24+MAX(0,QI25-QC25-QC24)*(1-PV26)</f>
        <v/>
      </c>
      <c r="QJ26" s="12">
        <f>QD26+QD25+QD24+MAX(0,QJ25-QD25-QD24)*(1-PV26)</f>
        <v/>
      </c>
      <c r="QK26" s="12">
        <f>QE26+QE25+QE24+MAX(0,QK25-QE25-QE24)*(1-PV26)</f>
        <v/>
      </c>
      <c r="QL26" s="12">
        <f>QL25+QF26-QF14*(AnnualChurn*VLOOKUP(PR26,ChurnSeasonTable,4,FALSE))*POWER(1-(AnnualChurn*VLOOKUP(PR26,ChurnSeasonTable,4,FALSE)),0)</f>
        <v/>
      </c>
      <c r="QM26" s="12">
        <f>QM25+QG26-QG14*(AnnualChurn*VLOOKUP(PR26,ChurnSeasonTable,4,FALSE))*POWER(1-(AnnualChurn*VLOOKUP(PR26,ChurnSeasonTable,4,FALSE)),0)</f>
        <v/>
      </c>
      <c r="QN26" s="12">
        <f>QN25+QH26-QH14*(AnnualChurn*VLOOKUP(PR26,ChurnSeasonTable,4,FALSE))*POWER(1-(AnnualChurn*VLOOKUP(PR26,ChurnSeasonTable,4,FALSE)),0)</f>
        <v/>
      </c>
      <c r="QO26" s="12">
        <f>QI26+QJ26+QK26+QL26+QM26+QN26</f>
        <v/>
      </c>
      <c r="QP26" s="9">
        <f>QI26*BlendedPriceEssMonthly*PU26+QJ26*BlendedPricePremMonthly*PU26+QK26*BlendedPriceEliteMonthly*PU26+QL26*BlendedPriceEssAnnual*PU26/12+QM26*BlendedPricePremAnnual*PU26/12+QN26*BlendedPriceEliteAnnual*PU26/12</f>
        <v/>
      </c>
      <c r="QQ26" s="9">
        <f>QP26*12</f>
        <v/>
      </c>
      <c r="QR26" s="12">
        <f>QI26*BlendedPriceEssMonthly*PU26+QJ26*BlendedPricePremMonthly*PU26+QK26*BlendedPriceEliteMonthly*PU26</f>
        <v/>
      </c>
      <c r="QS26" s="12">
        <f>QF26*BlendedPriceEssAnnual*PU26+QG26*BlendedPricePremAnnual*PU26+QH26*BlendedPriceEliteAnnual*PU26</f>
        <v/>
      </c>
      <c r="QT26" s="12">
        <f>QF14*POWER(1-(AnnualChurn*VLOOKUP(PR26,ChurnSeasonTable,4,FALSE)),1)*BlendedPriceEssAnnual*PU26+QG14*POWER(1-(AnnualChurn*VLOOKUP(PR26,ChurnSeasonTable,4,FALSE)),1)*BlendedPricePremAnnual*PU26+QH14*POWER(1-(AnnualChurn*VLOOKUP(PR26,ChurnSeasonTable,4,FALSE)),1)*BlendedPriceEliteAnnual*PU26</f>
        <v/>
      </c>
      <c r="QU26" s="9">
        <f>QR26+QS26+QT26</f>
        <v/>
      </c>
      <c r="QV26" s="12">
        <f>SUM(QU15:QU26)</f>
        <v/>
      </c>
      <c r="QW26" s="12">
        <f>OR(QW25,IF(VATAgentMode,SUM($QU15:$QU26)-SUM($RB15:$RB26)&gt;=VATThreshold,SUM($QU15:$QU26)&gt;=VATThreshold))</f>
        <v/>
      </c>
      <c r="QX26" s="9">
        <f>IF(QW26,IF(VATAgentMode,QU26-((QU26-RB26)-(QU26-RB26)/(1+VATRate)),QU26/(1+VATRate)),QU26)</f>
        <v/>
      </c>
      <c r="QY26" s="12">
        <f>QU26-QX26</f>
        <v/>
      </c>
      <c r="QZ26" s="12">
        <f>IF(QW26=0,0,IF(PR26=1,SUMPRODUCT(--(($PS$5:$PS26=$PS26-1)*($PR$5:$PR26&gt;=10)*($PR$5:$PR26&lt;=12)),$QY$5:$QY26),IF(PR26=4,SUMPRODUCT(--(($PS$5:$PS26=$PS26)*($PR$5:$PR26&gt;=1)*($PR$5:$PR26&lt;=3)),$QY$5:$QY26),IF(PR26=7,SUMPRODUCT(--(($PS$5:$PS26=$PS26)*($PR$5:$PR26&gt;=4)*($PR$5:$PR26&lt;=6)),$QY$5:$QY26),IF(PR26=10,SUMPRODUCT(--(($PS$5:$PS26=$PS26)*($PR$5:$PR26&gt;=7)*($PR$5:$PR26&lt;=9)),$QY$5:$QY26),0)))))</f>
        <v/>
      </c>
      <c r="RA26" s="12">
        <f>RA25+QY26-QZ26</f>
        <v/>
      </c>
      <c r="RB26" s="12">
        <f>IF(ProviderDelay&gt;=1,QI25*BlendedProvPayEss+QJ25*BlendedProvPayPrem+QK25*BlendedProvPayElite+QL25*BlendedProvPayEss+QM25*BlendedProvPayPrem+QN25*BlendedProvPayElite,QI26*BlendedProvPayEss+QJ26*BlendedProvPayPrem+QK26*BlendedProvPayElite+QL26*BlendedProvPayEss+QM26*BlendedProvPayPrem+QN26*BlendedProvPayElite)</f>
        <v/>
      </c>
      <c r="RC26" s="12">
        <f>QU26*PaymentFee</f>
        <v/>
      </c>
      <c r="RD26" s="12">
        <f>QO26*OpsAI</f>
        <v/>
      </c>
      <c r="RE26" s="12">
        <f>MonthlyFixed</f>
        <v/>
      </c>
      <c r="RF26" s="12">
        <f>PY26*ReferralReward</f>
        <v/>
      </c>
      <c r="RG26" s="12">
        <f>PW26</f>
        <v/>
      </c>
      <c r="RH26" s="9">
        <f>QX26-RB26-RC26-RD26-RE26-RF26-RG26</f>
        <v/>
      </c>
      <c r="RI26" s="9">
        <f>RI25+QU26-(RB26+RC26+RD26+RE26+RF26+RG26+QZ26)</f>
        <v/>
      </c>
      <c r="RJ26" s="12">
        <f>IF(QO26&gt;0,QP26/QO26,0)</f>
        <v/>
      </c>
      <c r="RK26" s="11">
        <f>IF(QO25&gt;0,MAX(0,(QO25+PZ26-QO26)/QO25),0)</f>
        <v/>
      </c>
      <c r="RM26" s="12" t="n">
        <v>22</v>
      </c>
      <c r="RN26" s="12">
        <f>MOD(RM26-1+LaunchMonth-1,12)+1</f>
        <v/>
      </c>
      <c r="RO26" s="12">
        <f>INT((RM26-1+LaunchMonth-1)/12)+1</f>
        <v/>
      </c>
      <c r="RP26" s="12">
        <f>VLOOKUP(RN26,SeasonTable,2,FALSE)</f>
        <v/>
      </c>
      <c r="RQ26" s="12">
        <f>(1+InflationRate)^INT((RM26-1)/12)</f>
        <v/>
      </c>
      <c r="RR26" s="11">
        <f>'Sens - Churn'!$A$20*VLOOKUP(RN26,ChurnSeasonTable,4,FALSE)</f>
        <v/>
      </c>
      <c r="RS26" s="12">
        <f>MIN(MAX(MktMin19plus,SQ25*MktPct19plus),MAX(0,TE25-CashBuffer))</f>
        <v/>
      </c>
      <c r="RT26" s="12">
        <f>IF(RS26&gt;0,MAX(1,ROUND(RS26/CAC*RP26,0)),0)</f>
        <v/>
      </c>
      <c r="RU26" s="12">
        <f>IF(RT26&gt;0,ROUND(RT26*ReferralMix/(1-ReferralMix),0),0)</f>
        <v/>
      </c>
      <c r="RV26" s="12">
        <f>RT26+RU26</f>
        <v/>
      </c>
      <c r="RW26" s="12">
        <f>ROUND(RV26*(1-AnnualMix),0)</f>
        <v/>
      </c>
      <c r="RX26" s="12">
        <f>RV26-RW26</f>
        <v/>
      </c>
      <c r="RY26" s="12">
        <f>ROUND(RW26*EssentialMix,0)</f>
        <v/>
      </c>
      <c r="RZ26" s="12">
        <f>ROUND(RW26*PremiumMix,0)</f>
        <v/>
      </c>
      <c r="SA26" s="12">
        <f>RW26-RY26-RZ26</f>
        <v/>
      </c>
      <c r="SB26" s="12">
        <f>ROUND(RX26*EssentialMix,0)</f>
        <v/>
      </c>
      <c r="SC26" s="12">
        <f>ROUND(RX26*PremiumMix,0)</f>
        <v/>
      </c>
      <c r="SD26" s="12">
        <f>RX26-SB26-SC26</f>
        <v/>
      </c>
      <c r="SE26" s="12">
        <f>RY26+RY25+RY24+MAX(0,SE25-RY25-RY24)*(1-RR26)</f>
        <v/>
      </c>
      <c r="SF26" s="12">
        <f>RZ26+RZ25+RZ24+MAX(0,SF25-RZ25-RZ24)*(1-RR26)</f>
        <v/>
      </c>
      <c r="SG26" s="12">
        <f>SA26+SA25+SA24+MAX(0,SG25-SA25-SA24)*(1-RR26)</f>
        <v/>
      </c>
      <c r="SH26" s="12">
        <f>SH25+SB26-SB14*(AnnualChurn*VLOOKUP(RN26,ChurnSeasonTable,4,FALSE))*POWER(1-(AnnualChurn*VLOOKUP(RN26,ChurnSeasonTable,4,FALSE)),0)</f>
        <v/>
      </c>
      <c r="SI26" s="12">
        <f>SI25+SC26-SC14*(AnnualChurn*VLOOKUP(RN26,ChurnSeasonTable,4,FALSE))*POWER(1-(AnnualChurn*VLOOKUP(RN26,ChurnSeasonTable,4,FALSE)),0)</f>
        <v/>
      </c>
      <c r="SJ26" s="12">
        <f>SJ25+SD26-SD14*(AnnualChurn*VLOOKUP(RN26,ChurnSeasonTable,4,FALSE))*POWER(1-(AnnualChurn*VLOOKUP(RN26,ChurnSeasonTable,4,FALSE)),0)</f>
        <v/>
      </c>
      <c r="SK26" s="12">
        <f>SE26+SF26+SG26+SH26+SI26+SJ26</f>
        <v/>
      </c>
      <c r="SL26" s="9">
        <f>SE26*BlendedPriceEssMonthly*RQ26+SF26*BlendedPricePremMonthly*RQ26+SG26*BlendedPriceEliteMonthly*RQ26+SH26*BlendedPriceEssAnnual*RQ26/12+SI26*BlendedPricePremAnnual*RQ26/12+SJ26*BlendedPriceEliteAnnual*RQ26/12</f>
        <v/>
      </c>
      <c r="SM26" s="9">
        <f>SL26*12</f>
        <v/>
      </c>
      <c r="SN26" s="12">
        <f>SE26*BlendedPriceEssMonthly*RQ26+SF26*BlendedPricePremMonthly*RQ26+SG26*BlendedPriceEliteMonthly*RQ26</f>
        <v/>
      </c>
      <c r="SO26" s="12">
        <f>SB26*BlendedPriceEssAnnual*RQ26+SC26*BlendedPricePremAnnual*RQ26+SD26*BlendedPriceEliteAnnual*RQ26</f>
        <v/>
      </c>
      <c r="SP26" s="12">
        <f>SB14*POWER(1-(AnnualChurn*VLOOKUP(RN26,ChurnSeasonTable,4,FALSE)),1)*BlendedPriceEssAnnual*RQ26+SC14*POWER(1-(AnnualChurn*VLOOKUP(RN26,ChurnSeasonTable,4,FALSE)),1)*BlendedPricePremAnnual*RQ26+SD14*POWER(1-(AnnualChurn*VLOOKUP(RN26,ChurnSeasonTable,4,FALSE)),1)*BlendedPriceEliteAnnual*RQ26</f>
        <v/>
      </c>
      <c r="SQ26" s="9">
        <f>SN26+SO26+SP26</f>
        <v/>
      </c>
      <c r="SR26" s="12">
        <f>SUM(SQ15:SQ26)</f>
        <v/>
      </c>
      <c r="SS26" s="12">
        <f>OR(SS25,IF(VATAgentMode,SUM($SQ15:$SQ26)-SUM($SX15:$SX26)&gt;=VATThreshold,SUM($SQ15:$SQ26)&gt;=VATThreshold))</f>
        <v/>
      </c>
      <c r="ST26" s="9">
        <f>IF(SS26,IF(VATAgentMode,SQ26-((SQ26-SX26)-(SQ26-SX26)/(1+VATRate)),SQ26/(1+VATRate)),SQ26)</f>
        <v/>
      </c>
      <c r="SU26" s="12">
        <f>SQ26-ST26</f>
        <v/>
      </c>
      <c r="SV26" s="12">
        <f>IF(SS26=0,0,IF(RN26=1,SUMPRODUCT(--(($RO$5:$RO26=$RO26-1)*($RN$5:$RN26&gt;=10)*($RN$5:$RN26&lt;=12)),$SU$5:$SU26),IF(RN26=4,SUMPRODUCT(--(($RO$5:$RO26=$RO26)*($RN$5:$RN26&gt;=1)*($RN$5:$RN26&lt;=3)),$SU$5:$SU26),IF(RN26=7,SUMPRODUCT(--(($RO$5:$RO26=$RO26)*($RN$5:$RN26&gt;=4)*($RN$5:$RN26&lt;=6)),$SU$5:$SU26),IF(RN26=10,SUMPRODUCT(--(($RO$5:$RO26=$RO26)*($RN$5:$RN26&gt;=7)*($RN$5:$RN26&lt;=9)),$SU$5:$SU26),0)))))</f>
        <v/>
      </c>
      <c r="SW26" s="12">
        <f>SW25+SU26-SV26</f>
        <v/>
      </c>
      <c r="SX26" s="12">
        <f>IF(ProviderDelay&gt;=1,SE25*BlendedProvPayEss+SF25*BlendedProvPayPrem+SG25*BlendedProvPayElite+SH25*BlendedProvPayEss+SI25*BlendedProvPayPrem+SJ25*BlendedProvPayElite,SE26*BlendedProvPayEss+SF26*BlendedProvPayPrem+SG26*BlendedProvPayElite+SH26*BlendedProvPayEss+SI26*BlendedProvPayPrem+SJ26*BlendedProvPayElite)</f>
        <v/>
      </c>
      <c r="SY26" s="12">
        <f>SQ26*PaymentFee</f>
        <v/>
      </c>
      <c r="SZ26" s="12">
        <f>SK26*OpsAI</f>
        <v/>
      </c>
      <c r="TA26" s="12">
        <f>MonthlyFixed</f>
        <v/>
      </c>
      <c r="TB26" s="12">
        <f>RU26*ReferralReward</f>
        <v/>
      </c>
      <c r="TC26" s="12">
        <f>RS26</f>
        <v/>
      </c>
      <c r="TD26" s="9">
        <f>ST26-SX26-SY26-SZ26-TA26-TB26-TC26</f>
        <v/>
      </c>
      <c r="TE26" s="9">
        <f>TE25+SQ26-(SX26+SY26+SZ26+TA26+TB26+TC26+SV26)</f>
        <v/>
      </c>
      <c r="TF26" s="12">
        <f>IF(SK26&gt;0,SL26/SK26,0)</f>
        <v/>
      </c>
      <c r="TG26" s="11">
        <f>IF(SK25&gt;0,MAX(0,(SK25+RV26-SK26)/SK25),0)</f>
        <v/>
      </c>
      <c r="TI26" s="12" t="n">
        <v>22</v>
      </c>
      <c r="TJ26" s="12">
        <f>MOD(TI26-1+LaunchMonth-1,12)+1</f>
        <v/>
      </c>
      <c r="TK26" s="12">
        <f>INT((TI26-1+LaunchMonth-1)/12)+1</f>
        <v/>
      </c>
      <c r="TL26" s="12">
        <f>VLOOKUP(TJ26,SeasonTable,2,FALSE)</f>
        <v/>
      </c>
      <c r="TM26" s="12">
        <f>(1+InflationRate)^INT((TI26-1)/12)</f>
        <v/>
      </c>
      <c r="TN26" s="11">
        <f>'Sens - Churn'!$A$21*VLOOKUP(TJ26,ChurnSeasonTable,4,FALSE)</f>
        <v/>
      </c>
      <c r="TO26" s="12">
        <f>MIN(MAX(MktMin19plus,UM25*MktPct19plus),MAX(0,VA25-CashBuffer))</f>
        <v/>
      </c>
      <c r="TP26" s="12">
        <f>IF(TO26&gt;0,MAX(1,ROUND(TO26/CAC*TL26,0)),0)</f>
        <v/>
      </c>
      <c r="TQ26" s="12">
        <f>IF(TP26&gt;0,ROUND(TP26*ReferralMix/(1-ReferralMix),0),0)</f>
        <v/>
      </c>
      <c r="TR26" s="12">
        <f>TP26+TQ26</f>
        <v/>
      </c>
      <c r="TS26" s="12">
        <f>ROUND(TR26*(1-AnnualMix),0)</f>
        <v/>
      </c>
      <c r="TT26" s="12">
        <f>TR26-TS26</f>
        <v/>
      </c>
      <c r="TU26" s="12">
        <f>ROUND(TS26*EssentialMix,0)</f>
        <v/>
      </c>
      <c r="TV26" s="12">
        <f>ROUND(TS26*PremiumMix,0)</f>
        <v/>
      </c>
      <c r="TW26" s="12">
        <f>TS26-TU26-TV26</f>
        <v/>
      </c>
      <c r="TX26" s="12">
        <f>ROUND(TT26*EssentialMix,0)</f>
        <v/>
      </c>
      <c r="TY26" s="12">
        <f>ROUND(TT26*PremiumMix,0)</f>
        <v/>
      </c>
      <c r="TZ26" s="12">
        <f>TT26-TX26-TY26</f>
        <v/>
      </c>
      <c r="UA26" s="12">
        <f>TU26+TU25+TU24+MAX(0,UA25-TU25-TU24)*(1-TN26)</f>
        <v/>
      </c>
      <c r="UB26" s="12">
        <f>TV26+TV25+TV24+MAX(0,UB25-TV25-TV24)*(1-TN26)</f>
        <v/>
      </c>
      <c r="UC26" s="12">
        <f>TW26+TW25+TW24+MAX(0,UC25-TW25-TW24)*(1-TN26)</f>
        <v/>
      </c>
      <c r="UD26" s="12">
        <f>UD25+TX26-TX14*(AnnualChurn*VLOOKUP(TJ26,ChurnSeasonTable,4,FALSE))*POWER(1-(AnnualChurn*VLOOKUP(TJ26,ChurnSeasonTable,4,FALSE)),0)</f>
        <v/>
      </c>
      <c r="UE26" s="12">
        <f>UE25+TY26-TY14*(AnnualChurn*VLOOKUP(TJ26,ChurnSeasonTable,4,FALSE))*POWER(1-(AnnualChurn*VLOOKUP(TJ26,ChurnSeasonTable,4,FALSE)),0)</f>
        <v/>
      </c>
      <c r="UF26" s="12">
        <f>UF25+TZ26-TZ14*(AnnualChurn*VLOOKUP(TJ26,ChurnSeasonTable,4,FALSE))*POWER(1-(AnnualChurn*VLOOKUP(TJ26,ChurnSeasonTable,4,FALSE)),0)</f>
        <v/>
      </c>
      <c r="UG26" s="12">
        <f>UA26+UB26+UC26+UD26+UE26+UF26</f>
        <v/>
      </c>
      <c r="UH26" s="9">
        <f>UA26*BlendedPriceEssMonthly*TM26+UB26*BlendedPricePremMonthly*TM26+UC26*BlendedPriceEliteMonthly*TM26+UD26*BlendedPriceEssAnnual*TM26/12+UE26*BlendedPricePremAnnual*TM26/12+UF26*BlendedPriceEliteAnnual*TM26/12</f>
        <v/>
      </c>
      <c r="UI26" s="9">
        <f>UH26*12</f>
        <v/>
      </c>
      <c r="UJ26" s="12">
        <f>UA26*BlendedPriceEssMonthly*TM26+UB26*BlendedPricePremMonthly*TM26+UC26*BlendedPriceEliteMonthly*TM26</f>
        <v/>
      </c>
      <c r="UK26" s="12">
        <f>TX26*BlendedPriceEssAnnual*TM26+TY26*BlendedPricePremAnnual*TM26+TZ26*BlendedPriceEliteAnnual*TM26</f>
        <v/>
      </c>
      <c r="UL26" s="12">
        <f>TX14*POWER(1-(AnnualChurn*VLOOKUP(TJ26,ChurnSeasonTable,4,FALSE)),1)*BlendedPriceEssAnnual*TM26+TY14*POWER(1-(AnnualChurn*VLOOKUP(TJ26,ChurnSeasonTable,4,FALSE)),1)*BlendedPricePremAnnual*TM26+TZ14*POWER(1-(AnnualChurn*VLOOKUP(TJ26,ChurnSeasonTable,4,FALSE)),1)*BlendedPriceEliteAnnual*TM26</f>
        <v/>
      </c>
      <c r="UM26" s="9">
        <f>UJ26+UK26+UL26</f>
        <v/>
      </c>
      <c r="UN26" s="12">
        <f>SUM(UM15:UM26)</f>
        <v/>
      </c>
      <c r="UO26" s="12">
        <f>OR(UO25,IF(VATAgentMode,SUM($UM15:$UM26)-SUM($UT15:$UT26)&gt;=VATThreshold,SUM($UM15:$UM26)&gt;=VATThreshold))</f>
        <v/>
      </c>
      <c r="UP26" s="9">
        <f>IF(UO26,IF(VATAgentMode,UM26-((UM26-UT26)-(UM26-UT26)/(1+VATRate)),UM26/(1+VATRate)),UM26)</f>
        <v/>
      </c>
      <c r="UQ26" s="12">
        <f>UM26-UP26</f>
        <v/>
      </c>
      <c r="UR26" s="12">
        <f>IF(UO26=0,0,IF(TJ26=1,SUMPRODUCT(--(($TK$5:$TK26=$TK26-1)*($TJ$5:$TJ26&gt;=10)*($TJ$5:$TJ26&lt;=12)),$UQ$5:$UQ26),IF(TJ26=4,SUMPRODUCT(--(($TK$5:$TK26=$TK26)*($TJ$5:$TJ26&gt;=1)*($TJ$5:$TJ26&lt;=3)),$UQ$5:$UQ26),IF(TJ26=7,SUMPRODUCT(--(($TK$5:$TK26=$TK26)*($TJ$5:$TJ26&gt;=4)*($TJ$5:$TJ26&lt;=6)),$UQ$5:$UQ26),IF(TJ26=10,SUMPRODUCT(--(($TK$5:$TK26=$TK26)*($TJ$5:$TJ26&gt;=7)*($TJ$5:$TJ26&lt;=9)),$UQ$5:$UQ26),0)))))</f>
        <v/>
      </c>
      <c r="US26" s="12">
        <f>US25+UQ26-UR26</f>
        <v/>
      </c>
      <c r="UT26" s="12">
        <f>IF(ProviderDelay&gt;=1,UA25*BlendedProvPayEss+UB25*BlendedProvPayPrem+UC25*BlendedProvPayElite+UD25*BlendedProvPayEss+UE25*BlendedProvPayPrem+UF25*BlendedProvPayElite,UA26*BlendedProvPayEss+UB26*BlendedProvPayPrem+UC26*BlendedProvPayElite+UD26*BlendedProvPayEss+UE26*BlendedProvPayPrem+UF26*BlendedProvPayElite)</f>
        <v/>
      </c>
      <c r="UU26" s="12">
        <f>UM26*PaymentFee</f>
        <v/>
      </c>
      <c r="UV26" s="12">
        <f>UG26*OpsAI</f>
        <v/>
      </c>
      <c r="UW26" s="12">
        <f>MonthlyFixed</f>
        <v/>
      </c>
      <c r="UX26" s="12">
        <f>TQ26*ReferralReward</f>
        <v/>
      </c>
      <c r="UY26" s="12">
        <f>TO26</f>
        <v/>
      </c>
      <c r="UZ26" s="9">
        <f>UP26-UT26-UU26-UV26-UW26-UX26-UY26</f>
        <v/>
      </c>
      <c r="VA26" s="9">
        <f>VA25+UM26-(UT26+UU26+UV26+UW26+UX26+UY26+UR26)</f>
        <v/>
      </c>
      <c r="VB26" s="12">
        <f>IF(UG26&gt;0,UH26/UG26,0)</f>
        <v/>
      </c>
      <c r="VC26" s="11">
        <f>IF(UG25&gt;0,MAX(0,(UG25+TR26-UG26)/UG25),0)</f>
        <v/>
      </c>
      <c r="VE26" s="12" t="n">
        <v>22</v>
      </c>
      <c r="VF26" s="12">
        <f>MOD(VE26-1+LaunchMonth-1,12)+1</f>
        <v/>
      </c>
      <c r="VG26" s="12">
        <f>INT((VE26-1+LaunchMonth-1)/12)+1</f>
        <v/>
      </c>
      <c r="VH26" s="12">
        <f>VLOOKUP(VF26,SeasonTable,2,FALSE)</f>
        <v/>
      </c>
      <c r="VI26" s="12">
        <f>(1+InflationRate)^INT((VE26-1)/12)</f>
        <v/>
      </c>
      <c r="VJ26" s="11">
        <f>MonthlyChurn*VLOOKUP(VF26,ChurnSeasonTable,4,FALSE)</f>
        <v/>
      </c>
      <c r="VK26" s="12">
        <f>MIN(MAX(MktMin19plus,WI25*MktPct19plus),MAX(0,WW25-CashBuffer))</f>
        <v/>
      </c>
      <c r="VL26" s="12">
        <f>IF(VK26&gt;0,MAX(1,ROUND(VK26/CAC*VH26,0)),0)</f>
        <v/>
      </c>
      <c r="VM26" s="12">
        <f>IF(VL26&gt;0,ROUND(VL26*ReferralMix/(1-ReferralMix),0),0)</f>
        <v/>
      </c>
      <c r="VN26" s="12">
        <f>VL26+VM26</f>
        <v/>
      </c>
      <c r="VO26" s="12">
        <f>ROUND(VN26*(1-'Sens - Annual Mix'!$A$9),0)</f>
        <v/>
      </c>
      <c r="VP26" s="12">
        <f>VN26-VO26</f>
        <v/>
      </c>
      <c r="VQ26" s="12">
        <f>ROUND(VO26*EssentialMix,0)</f>
        <v/>
      </c>
      <c r="VR26" s="12">
        <f>ROUND(VO26*PremiumMix,0)</f>
        <v/>
      </c>
      <c r="VS26" s="12">
        <f>VO26-VQ26-VR26</f>
        <v/>
      </c>
      <c r="VT26" s="12">
        <f>ROUND(VP26*EssentialMix,0)</f>
        <v/>
      </c>
      <c r="VU26" s="12">
        <f>ROUND(VP26*PremiumMix,0)</f>
        <v/>
      </c>
      <c r="VV26" s="12">
        <f>VP26-VT26-VU26</f>
        <v/>
      </c>
      <c r="VW26" s="12">
        <f>VQ26+VQ25+VQ24+MAX(0,VW25-VQ25-VQ24)*(1-VJ26)</f>
        <v/>
      </c>
      <c r="VX26" s="12">
        <f>VR26+VR25+VR24+MAX(0,VX25-VR25-VR24)*(1-VJ26)</f>
        <v/>
      </c>
      <c r="VY26" s="12">
        <f>VS26+VS25+VS24+MAX(0,VY25-VS25-VS24)*(1-VJ26)</f>
        <v/>
      </c>
      <c r="VZ26" s="12">
        <f>VZ25+VT26-VT14*(AnnualChurn*VLOOKUP(VF26,ChurnSeasonTable,4,FALSE))*POWER(1-(AnnualChurn*VLOOKUP(VF26,ChurnSeasonTable,4,FALSE)),0)</f>
        <v/>
      </c>
      <c r="WA26" s="12">
        <f>WA25+VU26-VU14*(AnnualChurn*VLOOKUP(VF26,ChurnSeasonTable,4,FALSE))*POWER(1-(AnnualChurn*VLOOKUP(VF26,ChurnSeasonTable,4,FALSE)),0)</f>
        <v/>
      </c>
      <c r="WB26" s="12">
        <f>WB25+VV26-VV14*(AnnualChurn*VLOOKUP(VF26,ChurnSeasonTable,4,FALSE))*POWER(1-(AnnualChurn*VLOOKUP(VF26,ChurnSeasonTable,4,FALSE)),0)</f>
        <v/>
      </c>
      <c r="WC26" s="12">
        <f>VW26+VX26+VY26+VZ26+WA26+WB26</f>
        <v/>
      </c>
      <c r="WD26" s="9">
        <f>VW26*BlendedPriceEssMonthly*VI26+VX26*BlendedPricePremMonthly*VI26+VY26*BlendedPriceEliteMonthly*VI26+VZ26*BlendedPriceEssAnnual*VI26/12+WA26*BlendedPricePremAnnual*VI26/12+WB26*BlendedPriceEliteAnnual*VI26/12</f>
        <v/>
      </c>
      <c r="WE26" s="9">
        <f>WD26*12</f>
        <v/>
      </c>
      <c r="WF26" s="12">
        <f>VW26*BlendedPriceEssMonthly*VI26+VX26*BlendedPricePremMonthly*VI26+VY26*BlendedPriceEliteMonthly*VI26</f>
        <v/>
      </c>
      <c r="WG26" s="12">
        <f>VT26*BlendedPriceEssAnnual*VI26+VU26*BlendedPricePremAnnual*VI26+VV26*BlendedPriceEliteAnnual*VI26</f>
        <v/>
      </c>
      <c r="WH26" s="12">
        <f>VT14*POWER(1-(AnnualChurn*VLOOKUP(VF26,ChurnSeasonTable,4,FALSE)),1)*BlendedPriceEssAnnual*VI26+VU14*POWER(1-(AnnualChurn*VLOOKUP(VF26,ChurnSeasonTable,4,FALSE)),1)*BlendedPricePremAnnual*VI26+VV14*POWER(1-(AnnualChurn*VLOOKUP(VF26,ChurnSeasonTable,4,FALSE)),1)*BlendedPriceEliteAnnual*VI26</f>
        <v/>
      </c>
      <c r="WI26" s="9">
        <f>WF26+WG26+WH26</f>
        <v/>
      </c>
      <c r="WJ26" s="12">
        <f>SUM(WI15:WI26)</f>
        <v/>
      </c>
      <c r="WK26" s="12">
        <f>OR(WK25,IF(VATAgentMode,SUM($WI15:$WI26)-SUM($WP15:$WP26)&gt;=VATThreshold,SUM($WI15:$WI26)&gt;=VATThreshold))</f>
        <v/>
      </c>
      <c r="WL26" s="9">
        <f>IF(WK26,IF(VATAgentMode,WI26-((WI26-WP26)-(WI26-WP26)/(1+VATRate)),WI26/(1+VATRate)),WI26)</f>
        <v/>
      </c>
      <c r="WM26" s="12">
        <f>WI26-WL26</f>
        <v/>
      </c>
      <c r="WN26" s="12">
        <f>IF(WK26=0,0,IF(VF26=1,SUMPRODUCT(--(($VG$5:$VG26=$VG26-1)*($VF$5:$VF26&gt;=10)*($VF$5:$VF26&lt;=12)),$WM$5:$WM26),IF(VF26=4,SUMPRODUCT(--(($VG$5:$VG26=$VG26)*($VF$5:$VF26&gt;=1)*($VF$5:$VF26&lt;=3)),$WM$5:$WM26),IF(VF26=7,SUMPRODUCT(--(($VG$5:$VG26=$VG26)*($VF$5:$VF26&gt;=4)*($VF$5:$VF26&lt;=6)),$WM$5:$WM26),IF(VF26=10,SUMPRODUCT(--(($VG$5:$VG26=$VG26)*($VF$5:$VF26&gt;=7)*($VF$5:$VF26&lt;=9)),$WM$5:$WM26),0)))))</f>
        <v/>
      </c>
      <c r="WO26" s="12">
        <f>WO25+WM26-WN26</f>
        <v/>
      </c>
      <c r="WP26" s="12">
        <f>IF(ProviderDelay&gt;=1,VW25*BlendedProvPayEss+VX25*BlendedProvPayPrem+VY25*BlendedProvPayElite+VZ25*BlendedProvPayEss+WA25*BlendedProvPayPrem+WB25*BlendedProvPayElite,VW26*BlendedProvPayEss+VX26*BlendedProvPayPrem+VY26*BlendedProvPayElite+VZ26*BlendedProvPayEss+WA26*BlendedProvPayPrem+WB26*BlendedProvPayElite)</f>
        <v/>
      </c>
      <c r="WQ26" s="12">
        <f>WI26*PaymentFee</f>
        <v/>
      </c>
      <c r="WR26" s="12">
        <f>WC26*OpsAI</f>
        <v/>
      </c>
      <c r="WS26" s="12">
        <f>MonthlyFixed</f>
        <v/>
      </c>
      <c r="WT26" s="12">
        <f>VM26*ReferralReward</f>
        <v/>
      </c>
      <c r="WU26" s="12">
        <f>VK26</f>
        <v/>
      </c>
      <c r="WV26" s="9">
        <f>WL26-WP26-WQ26-WR26-WS26-WT26-WU26</f>
        <v/>
      </c>
      <c r="WW26" s="9">
        <f>WW25+WI26-(WP26+WQ26+WR26+WS26+WT26+WU26+WN26)</f>
        <v/>
      </c>
      <c r="WX26" s="12">
        <f>IF(WC26&gt;0,WD26/WC26,0)</f>
        <v/>
      </c>
      <c r="WY26" s="11">
        <f>IF(WC25&gt;0,MAX(0,(WC25+VN26-WC26)/WC25),0)</f>
        <v/>
      </c>
      <c r="XA26" s="12" t="n">
        <v>22</v>
      </c>
      <c r="XB26" s="12">
        <f>MOD(XA26-1+LaunchMonth-1,12)+1</f>
        <v/>
      </c>
      <c r="XC26" s="12">
        <f>INT((XA26-1+LaunchMonth-1)/12)+1</f>
        <v/>
      </c>
      <c r="XD26" s="12">
        <f>VLOOKUP(XB26,SeasonTable,2,FALSE)</f>
        <v/>
      </c>
      <c r="XE26" s="12">
        <f>(1+InflationRate)^INT((XA26-1)/12)</f>
        <v/>
      </c>
      <c r="XF26" s="11">
        <f>MonthlyChurn*VLOOKUP(XB26,ChurnSeasonTable,4,FALSE)</f>
        <v/>
      </c>
      <c r="XG26" s="12">
        <f>MIN(MAX(MktMin19plus,YE25*MktPct19plus),MAX(0,YS25-CashBuffer))</f>
        <v/>
      </c>
      <c r="XH26" s="12">
        <f>IF(XG26&gt;0,MAX(1,ROUND(XG26/CAC*XD26,0)),0)</f>
        <v/>
      </c>
      <c r="XI26" s="12">
        <f>IF(XH26&gt;0,ROUND(XH26*ReferralMix/(1-ReferralMix),0),0)</f>
        <v/>
      </c>
      <c r="XJ26" s="12">
        <f>XH26+XI26</f>
        <v/>
      </c>
      <c r="XK26" s="12">
        <f>ROUND(XJ26*(1-'Sens - Annual Mix'!$A$10),0)</f>
        <v/>
      </c>
      <c r="XL26" s="12">
        <f>XJ26-XK26</f>
        <v/>
      </c>
      <c r="XM26" s="12">
        <f>ROUND(XK26*EssentialMix,0)</f>
        <v/>
      </c>
      <c r="XN26" s="12">
        <f>ROUND(XK26*PremiumMix,0)</f>
        <v/>
      </c>
      <c r="XO26" s="12">
        <f>XK26-XM26-XN26</f>
        <v/>
      </c>
      <c r="XP26" s="12">
        <f>ROUND(XL26*EssentialMix,0)</f>
        <v/>
      </c>
      <c r="XQ26" s="12">
        <f>ROUND(XL26*PremiumMix,0)</f>
        <v/>
      </c>
      <c r="XR26" s="12">
        <f>XL26-XP26-XQ26</f>
        <v/>
      </c>
      <c r="XS26" s="12">
        <f>XM26+XM25+XM24+MAX(0,XS25-XM25-XM24)*(1-XF26)</f>
        <v/>
      </c>
      <c r="XT26" s="12">
        <f>XN26+XN25+XN24+MAX(0,XT25-XN25-XN24)*(1-XF26)</f>
        <v/>
      </c>
      <c r="XU26" s="12">
        <f>XO26+XO25+XO24+MAX(0,XU25-XO25-XO24)*(1-XF26)</f>
        <v/>
      </c>
      <c r="XV26" s="12">
        <f>XV25+XP26-XP14*(AnnualChurn*VLOOKUP(XB26,ChurnSeasonTable,4,FALSE))*POWER(1-(AnnualChurn*VLOOKUP(XB26,ChurnSeasonTable,4,FALSE)),0)</f>
        <v/>
      </c>
      <c r="XW26" s="12">
        <f>XW25+XQ26-XQ14*(AnnualChurn*VLOOKUP(XB26,ChurnSeasonTable,4,FALSE))*POWER(1-(AnnualChurn*VLOOKUP(XB26,ChurnSeasonTable,4,FALSE)),0)</f>
        <v/>
      </c>
      <c r="XX26" s="12">
        <f>XX25+XR26-XR14*(AnnualChurn*VLOOKUP(XB26,ChurnSeasonTable,4,FALSE))*POWER(1-(AnnualChurn*VLOOKUP(XB26,ChurnSeasonTable,4,FALSE)),0)</f>
        <v/>
      </c>
      <c r="XY26" s="12">
        <f>XS26+XT26+XU26+XV26+XW26+XX26</f>
        <v/>
      </c>
      <c r="XZ26" s="9">
        <f>XS26*BlendedPriceEssMonthly*XE26+XT26*BlendedPricePremMonthly*XE26+XU26*BlendedPriceEliteMonthly*XE26+XV26*BlendedPriceEssAnnual*XE26/12+XW26*BlendedPricePremAnnual*XE26/12+XX26*BlendedPriceEliteAnnual*XE26/12</f>
        <v/>
      </c>
      <c r="YA26" s="9">
        <f>XZ26*12</f>
        <v/>
      </c>
      <c r="YB26" s="12">
        <f>XS26*BlendedPriceEssMonthly*XE26+XT26*BlendedPricePremMonthly*XE26+XU26*BlendedPriceEliteMonthly*XE26</f>
        <v/>
      </c>
      <c r="YC26" s="12">
        <f>XP26*BlendedPriceEssAnnual*XE26+XQ26*BlendedPricePremAnnual*XE26+XR26*BlendedPriceEliteAnnual*XE26</f>
        <v/>
      </c>
      <c r="YD26" s="12">
        <f>XP14*POWER(1-(AnnualChurn*VLOOKUP(XB26,ChurnSeasonTable,4,FALSE)),1)*BlendedPriceEssAnnual*XE26+XQ14*POWER(1-(AnnualChurn*VLOOKUP(XB26,ChurnSeasonTable,4,FALSE)),1)*BlendedPricePremAnnual*XE26+XR14*POWER(1-(AnnualChurn*VLOOKUP(XB26,ChurnSeasonTable,4,FALSE)),1)*BlendedPriceEliteAnnual*XE26</f>
        <v/>
      </c>
      <c r="YE26" s="9">
        <f>YB26+YC26+YD26</f>
        <v/>
      </c>
      <c r="YF26" s="12">
        <f>SUM(YE15:YE26)</f>
        <v/>
      </c>
      <c r="YG26" s="12">
        <f>OR(YG25,IF(VATAgentMode,SUM($YE15:$YE26)-SUM($YL15:$YL26)&gt;=VATThreshold,SUM($YE15:$YE26)&gt;=VATThreshold))</f>
        <v/>
      </c>
      <c r="YH26" s="9">
        <f>IF(YG26,IF(VATAgentMode,YE26-((YE26-YL26)-(YE26-YL26)/(1+VATRate)),YE26/(1+VATRate)),YE26)</f>
        <v/>
      </c>
      <c r="YI26" s="12">
        <f>YE26-YH26</f>
        <v/>
      </c>
      <c r="YJ26" s="12">
        <f>IF(YG26=0,0,IF(XB26=1,SUMPRODUCT(--(($XC$5:$XC26=$XC26-1)*($XB$5:$XB26&gt;=10)*($XB$5:$XB26&lt;=12)),$YI$5:$YI26),IF(XB26=4,SUMPRODUCT(--(($XC$5:$XC26=$XC26)*($XB$5:$XB26&gt;=1)*($XB$5:$XB26&lt;=3)),$YI$5:$YI26),IF(XB26=7,SUMPRODUCT(--(($XC$5:$XC26=$XC26)*($XB$5:$XB26&gt;=4)*($XB$5:$XB26&lt;=6)),$YI$5:$YI26),IF(XB26=10,SUMPRODUCT(--(($XC$5:$XC26=$XC26)*($XB$5:$XB26&gt;=7)*($XB$5:$XB26&lt;=9)),$YI$5:$YI26),0)))))</f>
        <v/>
      </c>
      <c r="YK26" s="12">
        <f>YK25+YI26-YJ26</f>
        <v/>
      </c>
      <c r="YL26" s="12">
        <f>IF(ProviderDelay&gt;=1,XS25*BlendedProvPayEss+XT25*BlendedProvPayPrem+XU25*BlendedProvPayElite+XV25*BlendedProvPayEss+XW25*BlendedProvPayPrem+XX25*BlendedProvPayElite,XS26*BlendedProvPayEss+XT26*BlendedProvPayPrem+XU26*BlendedProvPayElite+XV26*BlendedProvPayEss+XW26*BlendedProvPayPrem+XX26*BlendedProvPayElite)</f>
        <v/>
      </c>
      <c r="YM26" s="12">
        <f>YE26*PaymentFee</f>
        <v/>
      </c>
      <c r="YN26" s="12">
        <f>XY26*OpsAI</f>
        <v/>
      </c>
      <c r="YO26" s="12">
        <f>MonthlyFixed</f>
        <v/>
      </c>
      <c r="YP26" s="12">
        <f>XI26*ReferralReward</f>
        <v/>
      </c>
      <c r="YQ26" s="12">
        <f>XG26</f>
        <v/>
      </c>
      <c r="YR26" s="9">
        <f>YH26-YL26-YM26-YN26-YO26-YP26-YQ26</f>
        <v/>
      </c>
      <c r="YS26" s="9">
        <f>YS25+YE26-(YL26+YM26+YN26+YO26+YP26+YQ26+YJ26)</f>
        <v/>
      </c>
      <c r="YT26" s="12">
        <f>IF(XY26&gt;0,XZ26/XY26,0)</f>
        <v/>
      </c>
      <c r="YU26" s="11">
        <f>IF(XY25&gt;0,MAX(0,(XY25+XJ26-XY26)/XY25),0)</f>
        <v/>
      </c>
      <c r="YW26" s="12" t="n">
        <v>22</v>
      </c>
      <c r="YX26" s="12">
        <f>MOD(YW26-1+LaunchMonth-1,12)+1</f>
        <v/>
      </c>
      <c r="YY26" s="12">
        <f>INT((YW26-1+LaunchMonth-1)/12)+1</f>
        <v/>
      </c>
      <c r="YZ26" s="12">
        <f>VLOOKUP(YX26,SeasonTable,2,FALSE)</f>
        <v/>
      </c>
      <c r="ZA26" s="12">
        <f>(1+InflationRate)^INT((YW26-1)/12)</f>
        <v/>
      </c>
      <c r="ZB26" s="11">
        <f>MonthlyChurn*VLOOKUP(YX26,ChurnSeasonTable,4,FALSE)</f>
        <v/>
      </c>
      <c r="ZC26" s="12">
        <f>MIN(MAX(MktMin19plus,AAA25*MktPct19plus),MAX(0,AAO25-CashBuffer))</f>
        <v/>
      </c>
      <c r="ZD26" s="12">
        <f>IF(ZC26&gt;0,MAX(1,ROUND(ZC26/CAC*YZ26,0)),0)</f>
        <v/>
      </c>
      <c r="ZE26" s="12">
        <f>IF(ZD26&gt;0,ROUND(ZD26*ReferralMix/(1-ReferralMix),0),0)</f>
        <v/>
      </c>
      <c r="ZF26" s="12">
        <f>ZD26+ZE26</f>
        <v/>
      </c>
      <c r="ZG26" s="12">
        <f>ROUND(ZF26*(1-'Sens - Annual Mix'!$A$11),0)</f>
        <v/>
      </c>
      <c r="ZH26" s="12">
        <f>ZF26-ZG26</f>
        <v/>
      </c>
      <c r="ZI26" s="12">
        <f>ROUND(ZG26*EssentialMix,0)</f>
        <v/>
      </c>
      <c r="ZJ26" s="12">
        <f>ROUND(ZG26*PremiumMix,0)</f>
        <v/>
      </c>
      <c r="ZK26" s="12">
        <f>ZG26-ZI26-ZJ26</f>
        <v/>
      </c>
      <c r="ZL26" s="12">
        <f>ROUND(ZH26*EssentialMix,0)</f>
        <v/>
      </c>
      <c r="ZM26" s="12">
        <f>ROUND(ZH26*PremiumMix,0)</f>
        <v/>
      </c>
      <c r="ZN26" s="12">
        <f>ZH26-ZL26-ZM26</f>
        <v/>
      </c>
      <c r="ZO26" s="12">
        <f>ZI26+ZI25+ZI24+MAX(0,ZO25-ZI25-ZI24)*(1-ZB26)</f>
        <v/>
      </c>
      <c r="ZP26" s="12">
        <f>ZJ26+ZJ25+ZJ24+MAX(0,ZP25-ZJ25-ZJ24)*(1-ZB26)</f>
        <v/>
      </c>
      <c r="ZQ26" s="12">
        <f>ZK26+ZK25+ZK24+MAX(0,ZQ25-ZK25-ZK24)*(1-ZB26)</f>
        <v/>
      </c>
      <c r="ZR26" s="12">
        <f>ZR25+ZL26-ZL14*(AnnualChurn*VLOOKUP(YX26,ChurnSeasonTable,4,FALSE))*POWER(1-(AnnualChurn*VLOOKUP(YX26,ChurnSeasonTable,4,FALSE)),0)</f>
        <v/>
      </c>
      <c r="ZS26" s="12">
        <f>ZS25+ZM26-ZM14*(AnnualChurn*VLOOKUP(YX26,ChurnSeasonTable,4,FALSE))*POWER(1-(AnnualChurn*VLOOKUP(YX26,ChurnSeasonTable,4,FALSE)),0)</f>
        <v/>
      </c>
      <c r="ZT26" s="12">
        <f>ZT25+ZN26-ZN14*(AnnualChurn*VLOOKUP(YX26,ChurnSeasonTable,4,FALSE))*POWER(1-(AnnualChurn*VLOOKUP(YX26,ChurnSeasonTable,4,FALSE)),0)</f>
        <v/>
      </c>
      <c r="ZU26" s="12">
        <f>ZO26+ZP26+ZQ26+ZR26+ZS26+ZT26</f>
        <v/>
      </c>
      <c r="ZV26" s="9">
        <f>ZO26*BlendedPriceEssMonthly*ZA26+ZP26*BlendedPricePremMonthly*ZA26+ZQ26*BlendedPriceEliteMonthly*ZA26+ZR26*BlendedPriceEssAnnual*ZA26/12+ZS26*BlendedPricePremAnnual*ZA26/12+ZT26*BlendedPriceEliteAnnual*ZA26/12</f>
        <v/>
      </c>
      <c r="ZW26" s="9">
        <f>ZV26*12</f>
        <v/>
      </c>
      <c r="ZX26" s="12">
        <f>ZO26*BlendedPriceEssMonthly*ZA26+ZP26*BlendedPricePremMonthly*ZA26+ZQ26*BlendedPriceEliteMonthly*ZA26</f>
        <v/>
      </c>
      <c r="ZY26" s="12">
        <f>ZL26*BlendedPriceEssAnnual*ZA26+ZM26*BlendedPricePremAnnual*ZA26+ZN26*BlendedPriceEliteAnnual*ZA26</f>
        <v/>
      </c>
      <c r="ZZ26" s="12">
        <f>ZL14*POWER(1-(AnnualChurn*VLOOKUP(YX26,ChurnSeasonTable,4,FALSE)),1)*BlendedPriceEssAnnual*ZA26+ZM14*POWER(1-(AnnualChurn*VLOOKUP(YX26,ChurnSeasonTable,4,FALSE)),1)*BlendedPricePremAnnual*ZA26+ZN14*POWER(1-(AnnualChurn*VLOOKUP(YX26,ChurnSeasonTable,4,FALSE)),1)*BlendedPriceEliteAnnual*ZA26</f>
        <v/>
      </c>
      <c r="AAA26" s="9">
        <f>ZX26+ZY26+ZZ26</f>
        <v/>
      </c>
      <c r="AAB26" s="12">
        <f>SUM(AAA15:AAA26)</f>
        <v/>
      </c>
      <c r="AAC26" s="12">
        <f>OR(AAC25,IF(VATAgentMode,SUM($AAA15:$AAA26)-SUM($AAH15:$AAH26)&gt;=VATThreshold,SUM($AAA15:$AAA26)&gt;=VATThreshold))</f>
        <v/>
      </c>
      <c r="AAD26" s="9">
        <f>IF(AAC26,IF(VATAgentMode,AAA26-((AAA26-AAH26)-(AAA26-AAH26)/(1+VATRate)),AAA26/(1+VATRate)),AAA26)</f>
        <v/>
      </c>
      <c r="AAE26" s="12">
        <f>AAA26-AAD26</f>
        <v/>
      </c>
      <c r="AAF26" s="12">
        <f>IF(AAC26=0,0,IF(YX26=1,SUMPRODUCT(--(($YY$5:$YY26=$YY26-1)*($YX$5:$YX26&gt;=10)*($YX$5:$YX26&lt;=12)),$AAE$5:$AAE26),IF(YX26=4,SUMPRODUCT(--(($YY$5:$YY26=$YY26)*($YX$5:$YX26&gt;=1)*($YX$5:$YX26&lt;=3)),$AAE$5:$AAE26),IF(YX26=7,SUMPRODUCT(--(($YY$5:$YY26=$YY26)*($YX$5:$YX26&gt;=4)*($YX$5:$YX26&lt;=6)),$AAE$5:$AAE26),IF(YX26=10,SUMPRODUCT(--(($YY$5:$YY26=$YY26)*($YX$5:$YX26&gt;=7)*($YX$5:$YX26&lt;=9)),$AAE$5:$AAE26),0)))))</f>
        <v/>
      </c>
      <c r="AAG26" s="12">
        <f>AAG25+AAE26-AAF26</f>
        <v/>
      </c>
      <c r="AAH26" s="12">
        <f>IF(ProviderDelay&gt;=1,ZO25*BlendedProvPayEss+ZP25*BlendedProvPayPrem+ZQ25*BlendedProvPayElite+ZR25*BlendedProvPayEss+ZS25*BlendedProvPayPrem+ZT25*BlendedProvPayElite,ZO26*BlendedProvPayEss+ZP26*BlendedProvPayPrem+ZQ26*BlendedProvPayElite+ZR26*BlendedProvPayEss+ZS26*BlendedProvPayPrem+ZT26*BlendedProvPayElite)</f>
        <v/>
      </c>
      <c r="AAI26" s="12">
        <f>AAA26*PaymentFee</f>
        <v/>
      </c>
      <c r="AAJ26" s="12">
        <f>ZU26*OpsAI</f>
        <v/>
      </c>
      <c r="AAK26" s="12">
        <f>MonthlyFixed</f>
        <v/>
      </c>
      <c r="AAL26" s="12">
        <f>ZE26*ReferralReward</f>
        <v/>
      </c>
      <c r="AAM26" s="12">
        <f>ZC26</f>
        <v/>
      </c>
      <c r="AAN26" s="9">
        <f>AAD26-AAH26-AAI26-AAJ26-AAK26-AAL26-AAM26</f>
        <v/>
      </c>
      <c r="AAO26" s="9">
        <f>AAO25+AAA26-(AAH26+AAI26+AAJ26+AAK26+AAL26+AAM26+AAF26)</f>
        <v/>
      </c>
      <c r="AAP26" s="12">
        <f>IF(ZU26&gt;0,ZV26/ZU26,0)</f>
        <v/>
      </c>
      <c r="AAQ26" s="11">
        <f>IF(ZU25&gt;0,MAX(0,(ZU25+ZF26-ZU26)/ZU25),0)</f>
        <v/>
      </c>
      <c r="AAS26" s="12" t="n">
        <v>22</v>
      </c>
      <c r="AAT26" s="12">
        <f>MOD(AAS26-1+LaunchMonth-1,12)+1</f>
        <v/>
      </c>
      <c r="AAU26" s="12">
        <f>INT((AAS26-1+LaunchMonth-1)/12)+1</f>
        <v/>
      </c>
      <c r="AAV26" s="12">
        <f>VLOOKUP(AAT26,SeasonTable,2,FALSE)</f>
        <v/>
      </c>
      <c r="AAW26" s="12">
        <f>(1+InflationRate)^INT((AAS26-1)/12)</f>
        <v/>
      </c>
      <c r="AAX26" s="11">
        <f>MonthlyChurn*VLOOKUP(AAT26,ChurnSeasonTable,4,FALSE)</f>
        <v/>
      </c>
      <c r="AAY26" s="12">
        <f>MIN(MAX(MktMin19plus,ABW25*MktPct19plus),MAX(0,ACK25-CashBuffer))</f>
        <v/>
      </c>
      <c r="AAZ26" s="12">
        <f>IF(AAY26&gt;0,MAX(1,ROUND(AAY26/CAC*AAV26,0)),0)</f>
        <v/>
      </c>
      <c r="ABA26" s="12">
        <f>IF(AAZ26&gt;0,ROUND(AAZ26*ReferralMix/(1-ReferralMix),0),0)</f>
        <v/>
      </c>
      <c r="ABB26" s="12">
        <f>AAZ26+ABA26</f>
        <v/>
      </c>
      <c r="ABC26" s="12">
        <f>ROUND(ABB26*(1-'Sens - Annual Mix'!$A$12),0)</f>
        <v/>
      </c>
      <c r="ABD26" s="12">
        <f>ABB26-ABC26</f>
        <v/>
      </c>
      <c r="ABE26" s="12">
        <f>ROUND(ABC26*EssentialMix,0)</f>
        <v/>
      </c>
      <c r="ABF26" s="12">
        <f>ROUND(ABC26*PremiumMix,0)</f>
        <v/>
      </c>
      <c r="ABG26" s="12">
        <f>ABC26-ABE26-ABF26</f>
        <v/>
      </c>
      <c r="ABH26" s="12">
        <f>ROUND(ABD26*EssentialMix,0)</f>
        <v/>
      </c>
      <c r="ABI26" s="12">
        <f>ROUND(ABD26*PremiumMix,0)</f>
        <v/>
      </c>
      <c r="ABJ26" s="12">
        <f>ABD26-ABH26-ABI26</f>
        <v/>
      </c>
      <c r="ABK26" s="12">
        <f>ABE26+ABE25+ABE24+MAX(0,ABK25-ABE25-ABE24)*(1-AAX26)</f>
        <v/>
      </c>
      <c r="ABL26" s="12">
        <f>ABF26+ABF25+ABF24+MAX(0,ABL25-ABF25-ABF24)*(1-AAX26)</f>
        <v/>
      </c>
      <c r="ABM26" s="12">
        <f>ABG26+ABG25+ABG24+MAX(0,ABM25-ABG25-ABG24)*(1-AAX26)</f>
        <v/>
      </c>
      <c r="ABN26" s="12">
        <f>ABN25+ABH26-ABH14*(AnnualChurn*VLOOKUP(AAT26,ChurnSeasonTable,4,FALSE))*POWER(1-(AnnualChurn*VLOOKUP(AAT26,ChurnSeasonTable,4,FALSE)),0)</f>
        <v/>
      </c>
      <c r="ABO26" s="12">
        <f>ABO25+ABI26-ABI14*(AnnualChurn*VLOOKUP(AAT26,ChurnSeasonTable,4,FALSE))*POWER(1-(AnnualChurn*VLOOKUP(AAT26,ChurnSeasonTable,4,FALSE)),0)</f>
        <v/>
      </c>
      <c r="ABP26" s="12">
        <f>ABP25+ABJ26-ABJ14*(AnnualChurn*VLOOKUP(AAT26,ChurnSeasonTable,4,FALSE))*POWER(1-(AnnualChurn*VLOOKUP(AAT26,ChurnSeasonTable,4,FALSE)),0)</f>
        <v/>
      </c>
      <c r="ABQ26" s="12">
        <f>ABK26+ABL26+ABM26+ABN26+ABO26+ABP26</f>
        <v/>
      </c>
      <c r="ABR26" s="9">
        <f>ABK26*BlendedPriceEssMonthly*AAW26+ABL26*BlendedPricePremMonthly*AAW26+ABM26*BlendedPriceEliteMonthly*AAW26+ABN26*BlendedPriceEssAnnual*AAW26/12+ABO26*BlendedPricePremAnnual*AAW26/12+ABP26*BlendedPriceEliteAnnual*AAW26/12</f>
        <v/>
      </c>
      <c r="ABS26" s="9">
        <f>ABR26*12</f>
        <v/>
      </c>
      <c r="ABT26" s="12">
        <f>ABK26*BlendedPriceEssMonthly*AAW26+ABL26*BlendedPricePremMonthly*AAW26+ABM26*BlendedPriceEliteMonthly*AAW26</f>
        <v/>
      </c>
      <c r="ABU26" s="12">
        <f>ABH26*BlendedPriceEssAnnual*AAW26+ABI26*BlendedPricePremAnnual*AAW26+ABJ26*BlendedPriceEliteAnnual*AAW26</f>
        <v/>
      </c>
      <c r="ABV26" s="12">
        <f>ABH14*POWER(1-(AnnualChurn*VLOOKUP(AAT26,ChurnSeasonTable,4,FALSE)),1)*BlendedPriceEssAnnual*AAW26+ABI14*POWER(1-(AnnualChurn*VLOOKUP(AAT26,ChurnSeasonTable,4,FALSE)),1)*BlendedPricePremAnnual*AAW26+ABJ14*POWER(1-(AnnualChurn*VLOOKUP(AAT26,ChurnSeasonTable,4,FALSE)),1)*BlendedPriceEliteAnnual*AAW26</f>
        <v/>
      </c>
      <c r="ABW26" s="9">
        <f>ABT26+ABU26+ABV26</f>
        <v/>
      </c>
      <c r="ABX26" s="12">
        <f>SUM(ABW15:ABW26)</f>
        <v/>
      </c>
      <c r="ABY26" s="12">
        <f>OR(ABY25,IF(VATAgentMode,SUM($ABW15:$ABW26)-SUM($ACD15:$ACD26)&gt;=VATThreshold,SUM($ABW15:$ABW26)&gt;=VATThreshold))</f>
        <v/>
      </c>
      <c r="ABZ26" s="9">
        <f>IF(ABY26,IF(VATAgentMode,ABW26-((ABW26-ACD26)-(ABW26-ACD26)/(1+VATRate)),ABW26/(1+VATRate)),ABW26)</f>
        <v/>
      </c>
      <c r="ACA26" s="12">
        <f>ABW26-ABZ26</f>
        <v/>
      </c>
      <c r="ACB26" s="12">
        <f>IF(ABY26=0,0,IF(AAT26=1,SUMPRODUCT(--(($AAU$5:$AAU26=$AAU26-1)*($AAT$5:$AAT26&gt;=10)*($AAT$5:$AAT26&lt;=12)),$ACA$5:$ACA26),IF(AAT26=4,SUMPRODUCT(--(($AAU$5:$AAU26=$AAU26)*($AAT$5:$AAT26&gt;=1)*($AAT$5:$AAT26&lt;=3)),$ACA$5:$ACA26),IF(AAT26=7,SUMPRODUCT(--(($AAU$5:$AAU26=$AAU26)*($AAT$5:$AAT26&gt;=4)*($AAT$5:$AAT26&lt;=6)),$ACA$5:$ACA26),IF(AAT26=10,SUMPRODUCT(--(($AAU$5:$AAU26=$AAU26)*($AAT$5:$AAT26&gt;=7)*($AAT$5:$AAT26&lt;=9)),$ACA$5:$ACA26),0)))))</f>
        <v/>
      </c>
      <c r="ACC26" s="12">
        <f>ACC25+ACA26-ACB26</f>
        <v/>
      </c>
      <c r="ACD26" s="12">
        <f>IF(ProviderDelay&gt;=1,ABK25*BlendedProvPayEss+ABL25*BlendedProvPayPrem+ABM25*BlendedProvPayElite+ABN25*BlendedProvPayEss+ABO25*BlendedProvPayPrem+ABP25*BlendedProvPayElite,ABK26*BlendedProvPayEss+ABL26*BlendedProvPayPrem+ABM26*BlendedProvPayElite+ABN26*BlendedProvPayEss+ABO26*BlendedProvPayPrem+ABP26*BlendedProvPayElite)</f>
        <v/>
      </c>
      <c r="ACE26" s="12">
        <f>ABW26*PaymentFee</f>
        <v/>
      </c>
      <c r="ACF26" s="12">
        <f>ABQ26*OpsAI</f>
        <v/>
      </c>
      <c r="ACG26" s="12">
        <f>MonthlyFixed</f>
        <v/>
      </c>
      <c r="ACH26" s="12">
        <f>ABA26*ReferralReward</f>
        <v/>
      </c>
      <c r="ACI26" s="12">
        <f>AAY26</f>
        <v/>
      </c>
      <c r="ACJ26" s="9">
        <f>ABZ26-ACD26-ACE26-ACF26-ACG26-ACH26-ACI26</f>
        <v/>
      </c>
      <c r="ACK26" s="9">
        <f>ACK25+ABW26-(ACD26+ACE26+ACF26+ACG26+ACH26+ACI26+ACB26)</f>
        <v/>
      </c>
      <c r="ACL26" s="12">
        <f>IF(ABQ26&gt;0,ABR26/ABQ26,0)</f>
        <v/>
      </c>
      <c r="ACM26" s="11">
        <f>IF(ABQ25&gt;0,MAX(0,(ABQ25+ABB26-ABQ26)/ABQ25),0)</f>
        <v/>
      </c>
      <c r="ACO26" s="12" t="n">
        <v>22</v>
      </c>
      <c r="ACP26" s="12">
        <f>MOD(ACO26-1+LaunchMonth-1,12)+1</f>
        <v/>
      </c>
      <c r="ACQ26" s="12">
        <f>INT((ACO26-1+LaunchMonth-1)/12)+1</f>
        <v/>
      </c>
      <c r="ACR26" s="12">
        <f>VLOOKUP(ACP26,SeasonTable,2,FALSE)</f>
        <v/>
      </c>
      <c r="ACS26" s="12">
        <f>(1+InflationRate)^INT((ACO26-1)/12)</f>
        <v/>
      </c>
      <c r="ACT26" s="11">
        <f>MonthlyChurn*VLOOKUP(ACP26,ChurnSeasonTable,4,FALSE)</f>
        <v/>
      </c>
      <c r="ACU26" s="12">
        <f>MIN(MAX(MktMin19plus,ADS25*MktPct19plus),MAX(0,AEG25-CashBuffer))</f>
        <v/>
      </c>
      <c r="ACV26" s="12">
        <f>IF(ACU26&gt;0,MAX(1,ROUND(ACU26/CAC*ACR26,0)),0)</f>
        <v/>
      </c>
      <c r="ACW26" s="12">
        <f>IF(ACV26&gt;0,ROUND(ACV26*ReferralMix/(1-ReferralMix),0),0)</f>
        <v/>
      </c>
      <c r="ACX26" s="12">
        <f>ACV26+ACW26</f>
        <v/>
      </c>
      <c r="ACY26" s="12">
        <f>ROUND(ACX26*(1-'Sens - Annual Mix'!$A$13),0)</f>
        <v/>
      </c>
      <c r="ACZ26" s="12">
        <f>ACX26-ACY26</f>
        <v/>
      </c>
      <c r="ADA26" s="12">
        <f>ROUND(ACY26*EssentialMix,0)</f>
        <v/>
      </c>
      <c r="ADB26" s="12">
        <f>ROUND(ACY26*PremiumMix,0)</f>
        <v/>
      </c>
      <c r="ADC26" s="12">
        <f>ACY26-ADA26-ADB26</f>
        <v/>
      </c>
      <c r="ADD26" s="12">
        <f>ROUND(ACZ26*EssentialMix,0)</f>
        <v/>
      </c>
      <c r="ADE26" s="12">
        <f>ROUND(ACZ26*PremiumMix,0)</f>
        <v/>
      </c>
      <c r="ADF26" s="12">
        <f>ACZ26-ADD26-ADE26</f>
        <v/>
      </c>
      <c r="ADG26" s="12">
        <f>ADA26+ADA25+ADA24+MAX(0,ADG25-ADA25-ADA24)*(1-ACT26)</f>
        <v/>
      </c>
      <c r="ADH26" s="12">
        <f>ADB26+ADB25+ADB24+MAX(0,ADH25-ADB25-ADB24)*(1-ACT26)</f>
        <v/>
      </c>
      <c r="ADI26" s="12">
        <f>ADC26+ADC25+ADC24+MAX(0,ADI25-ADC25-ADC24)*(1-ACT26)</f>
        <v/>
      </c>
      <c r="ADJ26" s="12">
        <f>ADJ25+ADD26-ADD14*(AnnualChurn*VLOOKUP(ACP26,ChurnSeasonTable,4,FALSE))*POWER(1-(AnnualChurn*VLOOKUP(ACP26,ChurnSeasonTable,4,FALSE)),0)</f>
        <v/>
      </c>
      <c r="ADK26" s="12">
        <f>ADK25+ADE26-ADE14*(AnnualChurn*VLOOKUP(ACP26,ChurnSeasonTable,4,FALSE))*POWER(1-(AnnualChurn*VLOOKUP(ACP26,ChurnSeasonTable,4,FALSE)),0)</f>
        <v/>
      </c>
      <c r="ADL26" s="12">
        <f>ADL25+ADF26-ADF14*(AnnualChurn*VLOOKUP(ACP26,ChurnSeasonTable,4,FALSE))*POWER(1-(AnnualChurn*VLOOKUP(ACP26,ChurnSeasonTable,4,FALSE)),0)</f>
        <v/>
      </c>
      <c r="ADM26" s="12">
        <f>ADG26+ADH26+ADI26+ADJ26+ADK26+ADL26</f>
        <v/>
      </c>
      <c r="ADN26" s="9">
        <f>ADG26*BlendedPriceEssMonthly*ACS26+ADH26*BlendedPricePremMonthly*ACS26+ADI26*BlendedPriceEliteMonthly*ACS26+ADJ26*BlendedPriceEssAnnual*ACS26/12+ADK26*BlendedPricePremAnnual*ACS26/12+ADL26*BlendedPriceEliteAnnual*ACS26/12</f>
        <v/>
      </c>
      <c r="ADO26" s="9">
        <f>ADN26*12</f>
        <v/>
      </c>
      <c r="ADP26" s="12">
        <f>ADG26*BlendedPriceEssMonthly*ACS26+ADH26*BlendedPricePremMonthly*ACS26+ADI26*BlendedPriceEliteMonthly*ACS26</f>
        <v/>
      </c>
      <c r="ADQ26" s="12">
        <f>ADD26*BlendedPriceEssAnnual*ACS26+ADE26*BlendedPricePremAnnual*ACS26+ADF26*BlendedPriceEliteAnnual*ACS26</f>
        <v/>
      </c>
      <c r="ADR26" s="12">
        <f>ADD14*POWER(1-(AnnualChurn*VLOOKUP(ACP26,ChurnSeasonTable,4,FALSE)),1)*BlendedPriceEssAnnual*ACS26+ADE14*POWER(1-(AnnualChurn*VLOOKUP(ACP26,ChurnSeasonTable,4,FALSE)),1)*BlendedPricePremAnnual*ACS26+ADF14*POWER(1-(AnnualChurn*VLOOKUP(ACP26,ChurnSeasonTable,4,FALSE)),1)*BlendedPriceEliteAnnual*ACS26</f>
        <v/>
      </c>
      <c r="ADS26" s="9">
        <f>ADP26+ADQ26+ADR26</f>
        <v/>
      </c>
      <c r="ADT26" s="12">
        <f>SUM(ADS15:ADS26)</f>
        <v/>
      </c>
      <c r="ADU26" s="12">
        <f>OR(ADU25,IF(VATAgentMode,SUM($ADS15:$ADS26)-SUM($ADZ15:$ADZ26)&gt;=VATThreshold,SUM($ADS15:$ADS26)&gt;=VATThreshold))</f>
        <v/>
      </c>
      <c r="ADV26" s="9">
        <f>IF(ADU26,IF(VATAgentMode,ADS26-((ADS26-ADZ26)-(ADS26-ADZ26)/(1+VATRate)),ADS26/(1+VATRate)),ADS26)</f>
        <v/>
      </c>
      <c r="ADW26" s="12">
        <f>ADS26-ADV26</f>
        <v/>
      </c>
      <c r="ADX26" s="12">
        <f>IF(ADU26=0,0,IF(ACP26=1,SUMPRODUCT(--(($ACQ$5:$ACQ26=$ACQ26-1)*($ACP$5:$ACP26&gt;=10)*($ACP$5:$ACP26&lt;=12)),$ADW$5:$ADW26),IF(ACP26=4,SUMPRODUCT(--(($ACQ$5:$ACQ26=$ACQ26)*($ACP$5:$ACP26&gt;=1)*($ACP$5:$ACP26&lt;=3)),$ADW$5:$ADW26),IF(ACP26=7,SUMPRODUCT(--(($ACQ$5:$ACQ26=$ACQ26)*($ACP$5:$ACP26&gt;=4)*($ACP$5:$ACP26&lt;=6)),$ADW$5:$ADW26),IF(ACP26=10,SUMPRODUCT(--(($ACQ$5:$ACQ26=$ACQ26)*($ACP$5:$ACP26&gt;=7)*($ACP$5:$ACP26&lt;=9)),$ADW$5:$ADW26),0)))))</f>
        <v/>
      </c>
      <c r="ADY26" s="12">
        <f>ADY25+ADW26-ADX26</f>
        <v/>
      </c>
      <c r="ADZ26" s="12">
        <f>IF(ProviderDelay&gt;=1,ADG25*BlendedProvPayEss+ADH25*BlendedProvPayPrem+ADI25*BlendedProvPayElite+ADJ25*BlendedProvPayEss+ADK25*BlendedProvPayPrem+ADL25*BlendedProvPayElite,ADG26*BlendedProvPayEss+ADH26*BlendedProvPayPrem+ADI26*BlendedProvPayElite+ADJ26*BlendedProvPayEss+ADK26*BlendedProvPayPrem+ADL26*BlendedProvPayElite)</f>
        <v/>
      </c>
      <c r="AEA26" s="12">
        <f>ADS26*PaymentFee</f>
        <v/>
      </c>
      <c r="AEB26" s="12">
        <f>ADM26*OpsAI</f>
        <v/>
      </c>
      <c r="AEC26" s="12">
        <f>MonthlyFixed</f>
        <v/>
      </c>
      <c r="AED26" s="12">
        <f>ACW26*ReferralReward</f>
        <v/>
      </c>
      <c r="AEE26" s="12">
        <f>ACU26</f>
        <v/>
      </c>
      <c r="AEF26" s="9">
        <f>ADV26-ADZ26-AEA26-AEB26-AEC26-AED26-AEE26</f>
        <v/>
      </c>
      <c r="AEG26" s="9">
        <f>AEG25+ADS26-(ADZ26+AEA26+AEB26+AEC26+AED26+AEE26+ADX26)</f>
        <v/>
      </c>
      <c r="AEH26" s="12">
        <f>IF(ADM26&gt;0,ADN26/ADM26,0)</f>
        <v/>
      </c>
      <c r="AEI26" s="11">
        <f>IF(ADM25&gt;0,MAX(0,(ADM25+ACX26-ADM26)/ADM25),0)</f>
        <v/>
      </c>
      <c r="AEK26" s="12" t="n">
        <v>22</v>
      </c>
      <c r="AEL26" s="12">
        <f>MOD(AEK26-1+LaunchMonth-1,12)+1</f>
        <v/>
      </c>
      <c r="AEM26" s="12">
        <f>INT((AEK26-1+LaunchMonth-1)/12)+1</f>
        <v/>
      </c>
      <c r="AEN26" s="12">
        <f>VLOOKUP(AEL26,SeasonTable,2,FALSE)</f>
        <v/>
      </c>
      <c r="AEO26" s="12">
        <f>(1+InflationRate)^INT((AEK26-1)/12)</f>
        <v/>
      </c>
      <c r="AEP26" s="11">
        <f>MonthlyChurn*VLOOKUP(AEL26,ChurnSeasonTable,4,FALSE)</f>
        <v/>
      </c>
      <c r="AEQ26" s="12">
        <f>MIN(MAX(MktMin19plus,AFO25*MktPct19plus),MAX(0,AGC25-CashBuffer))</f>
        <v/>
      </c>
      <c r="AER26" s="12">
        <f>IF(AEQ26&gt;0,MAX(1,ROUND(AEQ26/CAC*AEN26,0)),0)</f>
        <v/>
      </c>
      <c r="AES26" s="12">
        <f>IF(AER26&gt;0,ROUND(AER26*ReferralMix/(1-ReferralMix),0),0)</f>
        <v/>
      </c>
      <c r="AET26" s="12">
        <f>AER26+AES26</f>
        <v/>
      </c>
      <c r="AEU26" s="12">
        <f>ROUND(AET26*(1-'Sens - Annual Mix'!$A$14),0)</f>
        <v/>
      </c>
      <c r="AEV26" s="12">
        <f>AET26-AEU26</f>
        <v/>
      </c>
      <c r="AEW26" s="12">
        <f>ROUND(AEU26*EssentialMix,0)</f>
        <v/>
      </c>
      <c r="AEX26" s="12">
        <f>ROUND(AEU26*PremiumMix,0)</f>
        <v/>
      </c>
      <c r="AEY26" s="12">
        <f>AEU26-AEW26-AEX26</f>
        <v/>
      </c>
      <c r="AEZ26" s="12">
        <f>ROUND(AEV26*EssentialMix,0)</f>
        <v/>
      </c>
      <c r="AFA26" s="12">
        <f>ROUND(AEV26*PremiumMix,0)</f>
        <v/>
      </c>
      <c r="AFB26" s="12">
        <f>AEV26-AEZ26-AFA26</f>
        <v/>
      </c>
      <c r="AFC26" s="12">
        <f>AEW26+AEW25+AEW24+MAX(0,AFC25-AEW25-AEW24)*(1-AEP26)</f>
        <v/>
      </c>
      <c r="AFD26" s="12">
        <f>AEX26+AEX25+AEX24+MAX(0,AFD25-AEX25-AEX24)*(1-AEP26)</f>
        <v/>
      </c>
      <c r="AFE26" s="12">
        <f>AEY26+AEY25+AEY24+MAX(0,AFE25-AEY25-AEY24)*(1-AEP26)</f>
        <v/>
      </c>
      <c r="AFF26" s="12">
        <f>AFF25+AEZ26-AEZ14*(AnnualChurn*VLOOKUP(AEL26,ChurnSeasonTable,4,FALSE))*POWER(1-(AnnualChurn*VLOOKUP(AEL26,ChurnSeasonTable,4,FALSE)),0)</f>
        <v/>
      </c>
      <c r="AFG26" s="12">
        <f>AFG25+AFA26-AFA14*(AnnualChurn*VLOOKUP(AEL26,ChurnSeasonTable,4,FALSE))*POWER(1-(AnnualChurn*VLOOKUP(AEL26,ChurnSeasonTable,4,FALSE)),0)</f>
        <v/>
      </c>
      <c r="AFH26" s="12">
        <f>AFH25+AFB26-AFB14*(AnnualChurn*VLOOKUP(AEL26,ChurnSeasonTable,4,FALSE))*POWER(1-(AnnualChurn*VLOOKUP(AEL26,ChurnSeasonTable,4,FALSE)),0)</f>
        <v/>
      </c>
      <c r="AFI26" s="12">
        <f>AFC26+AFD26+AFE26+AFF26+AFG26+AFH26</f>
        <v/>
      </c>
      <c r="AFJ26" s="9">
        <f>AFC26*BlendedPriceEssMonthly*AEO26+AFD26*BlendedPricePremMonthly*AEO26+AFE26*BlendedPriceEliteMonthly*AEO26+AFF26*BlendedPriceEssAnnual*AEO26/12+AFG26*BlendedPricePremAnnual*AEO26/12+AFH26*BlendedPriceEliteAnnual*AEO26/12</f>
        <v/>
      </c>
      <c r="AFK26" s="9">
        <f>AFJ26*12</f>
        <v/>
      </c>
      <c r="AFL26" s="12">
        <f>AFC26*BlendedPriceEssMonthly*AEO26+AFD26*BlendedPricePremMonthly*AEO26+AFE26*BlendedPriceEliteMonthly*AEO26</f>
        <v/>
      </c>
      <c r="AFM26" s="12">
        <f>AEZ26*BlendedPriceEssAnnual*AEO26+AFA26*BlendedPricePremAnnual*AEO26+AFB26*BlendedPriceEliteAnnual*AEO26</f>
        <v/>
      </c>
      <c r="AFN26" s="12">
        <f>AEZ14*POWER(1-(AnnualChurn*VLOOKUP(AEL26,ChurnSeasonTable,4,FALSE)),1)*BlendedPriceEssAnnual*AEO26+AFA14*POWER(1-(AnnualChurn*VLOOKUP(AEL26,ChurnSeasonTable,4,FALSE)),1)*BlendedPricePremAnnual*AEO26+AFB14*POWER(1-(AnnualChurn*VLOOKUP(AEL26,ChurnSeasonTable,4,FALSE)),1)*BlendedPriceEliteAnnual*AEO26</f>
        <v/>
      </c>
      <c r="AFO26" s="9">
        <f>AFL26+AFM26+AFN26</f>
        <v/>
      </c>
      <c r="AFP26" s="12">
        <f>SUM(AFO15:AFO26)</f>
        <v/>
      </c>
      <c r="AFQ26" s="12">
        <f>OR(AFQ25,IF(VATAgentMode,SUM($AFO15:$AFO26)-SUM($AFV15:$AFV26)&gt;=VATThreshold,SUM($AFO15:$AFO26)&gt;=VATThreshold))</f>
        <v/>
      </c>
      <c r="AFR26" s="9">
        <f>IF(AFQ26,IF(VATAgentMode,AFO26-((AFO26-AFV26)-(AFO26-AFV26)/(1+VATRate)),AFO26/(1+VATRate)),AFO26)</f>
        <v/>
      </c>
      <c r="AFS26" s="12">
        <f>AFO26-AFR26</f>
        <v/>
      </c>
      <c r="AFT26" s="12">
        <f>IF(AFQ26=0,0,IF(AEL26=1,SUMPRODUCT(--(($AEM$5:$AEM26=$AEM26-1)*($AEL$5:$AEL26&gt;=10)*($AEL$5:$AEL26&lt;=12)),$AFS$5:$AFS26),IF(AEL26=4,SUMPRODUCT(--(($AEM$5:$AEM26=$AEM26)*($AEL$5:$AEL26&gt;=1)*($AEL$5:$AEL26&lt;=3)),$AFS$5:$AFS26),IF(AEL26=7,SUMPRODUCT(--(($AEM$5:$AEM26=$AEM26)*($AEL$5:$AEL26&gt;=4)*($AEL$5:$AEL26&lt;=6)),$AFS$5:$AFS26),IF(AEL26=10,SUMPRODUCT(--(($AEM$5:$AEM26=$AEM26)*($AEL$5:$AEL26&gt;=7)*($AEL$5:$AEL26&lt;=9)),$AFS$5:$AFS26),0)))))</f>
        <v/>
      </c>
      <c r="AFU26" s="12">
        <f>AFU25+AFS26-AFT26</f>
        <v/>
      </c>
      <c r="AFV26" s="12">
        <f>IF(ProviderDelay&gt;=1,AFC25*BlendedProvPayEss+AFD25*BlendedProvPayPrem+AFE25*BlendedProvPayElite+AFF25*BlendedProvPayEss+AFG25*BlendedProvPayPrem+AFH25*BlendedProvPayElite,AFC26*BlendedProvPayEss+AFD26*BlendedProvPayPrem+AFE26*BlendedProvPayElite+AFF26*BlendedProvPayEss+AFG26*BlendedProvPayPrem+AFH26*BlendedProvPayElite)</f>
        <v/>
      </c>
      <c r="AFW26" s="12">
        <f>AFO26*PaymentFee</f>
        <v/>
      </c>
      <c r="AFX26" s="12">
        <f>AFI26*OpsAI</f>
        <v/>
      </c>
      <c r="AFY26" s="12">
        <f>MonthlyFixed</f>
        <v/>
      </c>
      <c r="AFZ26" s="12">
        <f>AES26*ReferralReward</f>
        <v/>
      </c>
      <c r="AGA26" s="12">
        <f>AEQ26</f>
        <v/>
      </c>
      <c r="AGB26" s="9">
        <f>AFR26-AFV26-AFW26-AFX26-AFY26-AFZ26-AGA26</f>
        <v/>
      </c>
      <c r="AGC26" s="9">
        <f>AGC25+AFO26-(AFV26+AFW26+AFX26+AFY26+AFZ26+AGA26+AFT26)</f>
        <v/>
      </c>
      <c r="AGD26" s="12">
        <f>IF(AFI26&gt;0,AFJ26/AFI26,0)</f>
        <v/>
      </c>
      <c r="AGE26" s="11">
        <f>IF(AFI25&gt;0,MAX(0,(AFI25+AET26-AFI26)/AFI25),0)</f>
        <v/>
      </c>
      <c r="AGG26" s="12" t="n">
        <v>22</v>
      </c>
      <c r="AGH26" s="12">
        <f>MOD(AGG26-1+LaunchMonth-1,12)+1</f>
        <v/>
      </c>
      <c r="AGI26" s="12">
        <f>INT((AGG26-1+LaunchMonth-1)/12)+1</f>
        <v/>
      </c>
      <c r="AGJ26" s="12">
        <f>VLOOKUP(AGH26,SeasonTable,2,FALSE)</f>
        <v/>
      </c>
      <c r="AGK26" s="12">
        <f>(1+InflationRate)^INT((AGG26-1)/12)</f>
        <v/>
      </c>
      <c r="AGL26" s="11">
        <f>MonthlyChurn*VLOOKUP(AGH26,ChurnSeasonTable,4,FALSE)</f>
        <v/>
      </c>
      <c r="AGM26" s="12">
        <f>MIN(MAX(MktMin19plus,AHK25*MktPct19plus),MAX(0,AHY25-CashBuffer))</f>
        <v/>
      </c>
      <c r="AGN26" s="12">
        <f>IF(AGM26&gt;0,MAX(1,ROUND(AGM26/CAC*AGJ26,0)),0)</f>
        <v/>
      </c>
      <c r="AGO26" s="12">
        <f>IF(AGN26&gt;0,ROUND(AGN26*ReferralMix/(1-ReferralMix),0),0)</f>
        <v/>
      </c>
      <c r="AGP26" s="12">
        <f>AGN26+AGO26</f>
        <v/>
      </c>
      <c r="AGQ26" s="12">
        <f>ROUND(AGP26*(1-'Sens - Annual Mix'!$A$15),0)</f>
        <v/>
      </c>
      <c r="AGR26" s="12">
        <f>AGP26-AGQ26</f>
        <v/>
      </c>
      <c r="AGS26" s="12">
        <f>ROUND(AGQ26*EssentialMix,0)</f>
        <v/>
      </c>
      <c r="AGT26" s="12">
        <f>ROUND(AGQ26*PremiumMix,0)</f>
        <v/>
      </c>
      <c r="AGU26" s="12">
        <f>AGQ26-AGS26-AGT26</f>
        <v/>
      </c>
      <c r="AGV26" s="12">
        <f>ROUND(AGR26*EssentialMix,0)</f>
        <v/>
      </c>
      <c r="AGW26" s="12">
        <f>ROUND(AGR26*PremiumMix,0)</f>
        <v/>
      </c>
      <c r="AGX26" s="12">
        <f>AGR26-AGV26-AGW26</f>
        <v/>
      </c>
      <c r="AGY26" s="12">
        <f>AGS26+AGS25+AGS24+MAX(0,AGY25-AGS25-AGS24)*(1-AGL26)</f>
        <v/>
      </c>
      <c r="AGZ26" s="12">
        <f>AGT26+AGT25+AGT24+MAX(0,AGZ25-AGT25-AGT24)*(1-AGL26)</f>
        <v/>
      </c>
      <c r="AHA26" s="12">
        <f>AGU26+AGU25+AGU24+MAX(0,AHA25-AGU25-AGU24)*(1-AGL26)</f>
        <v/>
      </c>
      <c r="AHB26" s="12">
        <f>AHB25+AGV26-AGV14*(AnnualChurn*VLOOKUP(AGH26,ChurnSeasonTable,4,FALSE))*POWER(1-(AnnualChurn*VLOOKUP(AGH26,ChurnSeasonTable,4,FALSE)),0)</f>
        <v/>
      </c>
      <c r="AHC26" s="12">
        <f>AHC25+AGW26-AGW14*(AnnualChurn*VLOOKUP(AGH26,ChurnSeasonTable,4,FALSE))*POWER(1-(AnnualChurn*VLOOKUP(AGH26,ChurnSeasonTable,4,FALSE)),0)</f>
        <v/>
      </c>
      <c r="AHD26" s="12">
        <f>AHD25+AGX26-AGX14*(AnnualChurn*VLOOKUP(AGH26,ChurnSeasonTable,4,FALSE))*POWER(1-(AnnualChurn*VLOOKUP(AGH26,ChurnSeasonTable,4,FALSE)),0)</f>
        <v/>
      </c>
      <c r="AHE26" s="12">
        <f>AGY26+AGZ26+AHA26+AHB26+AHC26+AHD26</f>
        <v/>
      </c>
      <c r="AHF26" s="9">
        <f>AGY26*BlendedPriceEssMonthly*AGK26+AGZ26*BlendedPricePremMonthly*AGK26+AHA26*BlendedPriceEliteMonthly*AGK26+AHB26*BlendedPriceEssAnnual*AGK26/12+AHC26*BlendedPricePremAnnual*AGK26/12+AHD26*BlendedPriceEliteAnnual*AGK26/12</f>
        <v/>
      </c>
      <c r="AHG26" s="9">
        <f>AHF26*12</f>
        <v/>
      </c>
      <c r="AHH26" s="12">
        <f>AGY26*BlendedPriceEssMonthly*AGK26+AGZ26*BlendedPricePremMonthly*AGK26+AHA26*BlendedPriceEliteMonthly*AGK26</f>
        <v/>
      </c>
      <c r="AHI26" s="12">
        <f>AGV26*BlendedPriceEssAnnual*AGK26+AGW26*BlendedPricePremAnnual*AGK26+AGX26*BlendedPriceEliteAnnual*AGK26</f>
        <v/>
      </c>
      <c r="AHJ26" s="12">
        <f>AGV14*POWER(1-(AnnualChurn*VLOOKUP(AGH26,ChurnSeasonTable,4,FALSE)),1)*BlendedPriceEssAnnual*AGK26+AGW14*POWER(1-(AnnualChurn*VLOOKUP(AGH26,ChurnSeasonTable,4,FALSE)),1)*BlendedPricePremAnnual*AGK26+AGX14*POWER(1-(AnnualChurn*VLOOKUP(AGH26,ChurnSeasonTable,4,FALSE)),1)*BlendedPriceEliteAnnual*AGK26</f>
        <v/>
      </c>
      <c r="AHK26" s="9">
        <f>AHH26+AHI26+AHJ26</f>
        <v/>
      </c>
      <c r="AHL26" s="12">
        <f>SUM(AHK15:AHK26)</f>
        <v/>
      </c>
      <c r="AHM26" s="12">
        <f>OR(AHM25,IF(VATAgentMode,SUM($AHK15:$AHK26)-SUM($AHR15:$AHR26)&gt;=VATThreshold,SUM($AHK15:$AHK26)&gt;=VATThreshold))</f>
        <v/>
      </c>
      <c r="AHN26" s="9">
        <f>IF(AHM26,IF(VATAgentMode,AHK26-((AHK26-AHR26)-(AHK26-AHR26)/(1+VATRate)),AHK26/(1+VATRate)),AHK26)</f>
        <v/>
      </c>
      <c r="AHO26" s="12">
        <f>AHK26-AHN26</f>
        <v/>
      </c>
      <c r="AHP26" s="12">
        <f>IF(AHM26=0,0,IF(AGH26=1,SUMPRODUCT(--(($AGI$5:$AGI26=$AGI26-1)*($AGH$5:$AGH26&gt;=10)*($AGH$5:$AGH26&lt;=12)),$AHO$5:$AHO26),IF(AGH26=4,SUMPRODUCT(--(($AGI$5:$AGI26=$AGI26)*($AGH$5:$AGH26&gt;=1)*($AGH$5:$AGH26&lt;=3)),$AHO$5:$AHO26),IF(AGH26=7,SUMPRODUCT(--(($AGI$5:$AGI26=$AGI26)*($AGH$5:$AGH26&gt;=4)*($AGH$5:$AGH26&lt;=6)),$AHO$5:$AHO26),IF(AGH26=10,SUMPRODUCT(--(($AGI$5:$AGI26=$AGI26)*($AGH$5:$AGH26&gt;=7)*($AGH$5:$AGH26&lt;=9)),$AHO$5:$AHO26),0)))))</f>
        <v/>
      </c>
      <c r="AHQ26" s="12">
        <f>AHQ25+AHO26-AHP26</f>
        <v/>
      </c>
      <c r="AHR26" s="12">
        <f>IF(ProviderDelay&gt;=1,AGY25*BlendedProvPayEss+AGZ25*BlendedProvPayPrem+AHA25*BlendedProvPayElite+AHB25*BlendedProvPayEss+AHC25*BlendedProvPayPrem+AHD25*BlendedProvPayElite,AGY26*BlendedProvPayEss+AGZ26*BlendedProvPayPrem+AHA26*BlendedProvPayElite+AHB26*BlendedProvPayEss+AHC26*BlendedProvPayPrem+AHD26*BlendedProvPayElite)</f>
        <v/>
      </c>
      <c r="AHS26" s="12">
        <f>AHK26*PaymentFee</f>
        <v/>
      </c>
      <c r="AHT26" s="12">
        <f>AHE26*OpsAI</f>
        <v/>
      </c>
      <c r="AHU26" s="12">
        <f>MonthlyFixed</f>
        <v/>
      </c>
      <c r="AHV26" s="12">
        <f>AGO26*ReferralReward</f>
        <v/>
      </c>
      <c r="AHW26" s="12">
        <f>AGM26</f>
        <v/>
      </c>
      <c r="AHX26" s="9">
        <f>AHN26-AHR26-AHS26-AHT26-AHU26-AHV26-AHW26</f>
        <v/>
      </c>
      <c r="AHY26" s="9">
        <f>AHY25+AHK26-(AHR26+AHS26+AHT26+AHU26+AHV26+AHW26+AHP26)</f>
        <v/>
      </c>
      <c r="AHZ26" s="12">
        <f>IF(AHE26&gt;0,AHF26/AHE26,0)</f>
        <v/>
      </c>
      <c r="AIA26" s="11">
        <f>IF(AHE25&gt;0,MAX(0,(AHE25+AGP26-AHE26)/AHE25),0)</f>
        <v/>
      </c>
      <c r="AIC26" s="12" t="n">
        <v>22</v>
      </c>
      <c r="AID26" s="12">
        <f>MOD(AIC26-1+LaunchMonth-1,12)+1</f>
        <v/>
      </c>
      <c r="AIE26" s="12">
        <f>INT((AIC26-1+LaunchMonth-1)/12)+1</f>
        <v/>
      </c>
      <c r="AIF26" s="12">
        <f>VLOOKUP(AID26,SeasonTable,2,FALSE)</f>
        <v/>
      </c>
      <c r="AIG26" s="12">
        <f>(1+InflationRate)^INT((AIC26-1)/12)</f>
        <v/>
      </c>
      <c r="AIH26" s="11">
        <f>MonthlyChurn*VLOOKUP(AID26,ChurnSeasonTable,4,FALSE)</f>
        <v/>
      </c>
      <c r="AII26" s="12">
        <f>MIN(MAX(MktMin19plus,AJG25*MktPct19plus),MAX(0,AJU25-CashBuffer))</f>
        <v/>
      </c>
      <c r="AIJ26" s="12">
        <f>IF(AII26&gt;0,MAX(1,ROUND(AII26/'Sens - CAC &amp; Marketing'!$A$9*AIF26,0)),0)</f>
        <v/>
      </c>
      <c r="AIK26" s="12">
        <f>IF(AIJ26&gt;0,ROUND(AIJ26*ReferralMix/(1-ReferralMix),0),0)</f>
        <v/>
      </c>
      <c r="AIL26" s="12">
        <f>AIJ26+AIK26</f>
        <v/>
      </c>
      <c r="AIM26" s="12">
        <f>ROUND(AIL26*(1-AnnualMix),0)</f>
        <v/>
      </c>
      <c r="AIN26" s="12">
        <f>AIL26-AIM26</f>
        <v/>
      </c>
      <c r="AIO26" s="12">
        <f>ROUND(AIM26*EssentialMix,0)</f>
        <v/>
      </c>
      <c r="AIP26" s="12">
        <f>ROUND(AIM26*PremiumMix,0)</f>
        <v/>
      </c>
      <c r="AIQ26" s="12">
        <f>AIM26-AIO26-AIP26</f>
        <v/>
      </c>
      <c r="AIR26" s="12">
        <f>ROUND(AIN26*EssentialMix,0)</f>
        <v/>
      </c>
      <c r="AIS26" s="12">
        <f>ROUND(AIN26*PremiumMix,0)</f>
        <v/>
      </c>
      <c r="AIT26" s="12">
        <f>AIN26-AIR26-AIS26</f>
        <v/>
      </c>
      <c r="AIU26" s="12">
        <f>AIO26+AIO25+AIO24+MAX(0,AIU25-AIO25-AIO24)*(1-AIH26)</f>
        <v/>
      </c>
      <c r="AIV26" s="12">
        <f>AIP26+AIP25+AIP24+MAX(0,AIV25-AIP25-AIP24)*(1-AIH26)</f>
        <v/>
      </c>
      <c r="AIW26" s="12">
        <f>AIQ26+AIQ25+AIQ24+MAX(0,AIW25-AIQ25-AIQ24)*(1-AIH26)</f>
        <v/>
      </c>
      <c r="AIX26" s="12">
        <f>AIX25+AIR26-AIR14*(AnnualChurn*VLOOKUP(AID26,ChurnSeasonTable,4,FALSE))*POWER(1-(AnnualChurn*VLOOKUP(AID26,ChurnSeasonTable,4,FALSE)),0)</f>
        <v/>
      </c>
      <c r="AIY26" s="12">
        <f>AIY25+AIS26-AIS14*(AnnualChurn*VLOOKUP(AID26,ChurnSeasonTable,4,FALSE))*POWER(1-(AnnualChurn*VLOOKUP(AID26,ChurnSeasonTable,4,FALSE)),0)</f>
        <v/>
      </c>
      <c r="AIZ26" s="12">
        <f>AIZ25+AIT26-AIT14*(AnnualChurn*VLOOKUP(AID26,ChurnSeasonTable,4,FALSE))*POWER(1-(AnnualChurn*VLOOKUP(AID26,ChurnSeasonTable,4,FALSE)),0)</f>
        <v/>
      </c>
      <c r="AJA26" s="12">
        <f>AIU26+AIV26+AIW26+AIX26+AIY26+AIZ26</f>
        <v/>
      </c>
      <c r="AJB26" s="9">
        <f>AIU26*BlendedPriceEssMonthly*AIG26+AIV26*BlendedPricePremMonthly*AIG26+AIW26*BlendedPriceEliteMonthly*AIG26+AIX26*BlendedPriceEssAnnual*AIG26/12+AIY26*BlendedPricePremAnnual*AIG26/12+AIZ26*BlendedPriceEliteAnnual*AIG26/12</f>
        <v/>
      </c>
      <c r="AJC26" s="9">
        <f>AJB26*12</f>
        <v/>
      </c>
      <c r="AJD26" s="12">
        <f>AIU26*BlendedPriceEssMonthly*AIG26+AIV26*BlendedPricePremMonthly*AIG26+AIW26*BlendedPriceEliteMonthly*AIG26</f>
        <v/>
      </c>
      <c r="AJE26" s="12">
        <f>AIR26*BlendedPriceEssAnnual*AIG26+AIS26*BlendedPricePremAnnual*AIG26+AIT26*BlendedPriceEliteAnnual*AIG26</f>
        <v/>
      </c>
      <c r="AJF26" s="12">
        <f>AIR14*POWER(1-(AnnualChurn*VLOOKUP(AID26,ChurnSeasonTable,4,FALSE)),1)*BlendedPriceEssAnnual*AIG26+AIS14*POWER(1-(AnnualChurn*VLOOKUP(AID26,ChurnSeasonTable,4,FALSE)),1)*BlendedPricePremAnnual*AIG26+AIT14*POWER(1-(AnnualChurn*VLOOKUP(AID26,ChurnSeasonTable,4,FALSE)),1)*BlendedPriceEliteAnnual*AIG26</f>
        <v/>
      </c>
      <c r="AJG26" s="9">
        <f>AJD26+AJE26+AJF26</f>
        <v/>
      </c>
      <c r="AJH26" s="12">
        <f>SUM(AJG15:AJG26)</f>
        <v/>
      </c>
      <c r="AJI26" s="12">
        <f>OR(AJI25,IF(VATAgentMode,SUM($AJG15:$AJG26)-SUM($AJN15:$AJN26)&gt;=VATThreshold,SUM($AJG15:$AJG26)&gt;=VATThreshold))</f>
        <v/>
      </c>
      <c r="AJJ26" s="9">
        <f>IF(AJI26,IF(VATAgentMode,AJG26-((AJG26-AJN26)-(AJG26-AJN26)/(1+VATRate)),AJG26/(1+VATRate)),AJG26)</f>
        <v/>
      </c>
      <c r="AJK26" s="12">
        <f>AJG26-AJJ26</f>
        <v/>
      </c>
      <c r="AJL26" s="12">
        <f>IF(AJI26=0,0,IF(AID26=1,SUMPRODUCT(--(($AIE$5:$AIE26=$AIE26-1)*($AID$5:$AID26&gt;=10)*($AID$5:$AID26&lt;=12)),$AJK$5:$AJK26),IF(AID26=4,SUMPRODUCT(--(($AIE$5:$AIE26=$AIE26)*($AID$5:$AID26&gt;=1)*($AID$5:$AID26&lt;=3)),$AJK$5:$AJK26),IF(AID26=7,SUMPRODUCT(--(($AIE$5:$AIE26=$AIE26)*($AID$5:$AID26&gt;=4)*($AID$5:$AID26&lt;=6)),$AJK$5:$AJK26),IF(AID26=10,SUMPRODUCT(--(($AIE$5:$AIE26=$AIE26)*($AID$5:$AID26&gt;=7)*($AID$5:$AID26&lt;=9)),$AJK$5:$AJK26),0)))))</f>
        <v/>
      </c>
      <c r="AJM26" s="12">
        <f>AJM25+AJK26-AJL26</f>
        <v/>
      </c>
      <c r="AJN26" s="12">
        <f>IF(ProviderDelay&gt;=1,AIU25*BlendedProvPayEss+AIV25*BlendedProvPayPrem+AIW25*BlendedProvPayElite+AIX25*BlendedProvPayEss+AIY25*BlendedProvPayPrem+AIZ25*BlendedProvPayElite,AIU26*BlendedProvPayEss+AIV26*BlendedProvPayPrem+AIW26*BlendedProvPayElite+AIX26*BlendedProvPayEss+AIY26*BlendedProvPayPrem+AIZ26*BlendedProvPayElite)</f>
        <v/>
      </c>
      <c r="AJO26" s="12">
        <f>AJG26*PaymentFee</f>
        <v/>
      </c>
      <c r="AJP26" s="12">
        <f>AJA26*OpsAI</f>
        <v/>
      </c>
      <c r="AJQ26" s="12">
        <f>MonthlyFixed</f>
        <v/>
      </c>
      <c r="AJR26" s="12">
        <f>AIK26*ReferralReward</f>
        <v/>
      </c>
      <c r="AJS26" s="12">
        <f>AII26</f>
        <v/>
      </c>
      <c r="AJT26" s="9">
        <f>AJJ26-AJN26-AJO26-AJP26-AJQ26-AJR26-AJS26</f>
        <v/>
      </c>
      <c r="AJU26" s="9">
        <f>AJU25+AJG26-(AJN26+AJO26+AJP26+AJQ26+AJR26+AJS26+AJL26)</f>
        <v/>
      </c>
      <c r="AJV26" s="12">
        <f>IF(AJA26&gt;0,AJB26/AJA26,0)</f>
        <v/>
      </c>
      <c r="AJW26" s="11">
        <f>IF(AJA25&gt;0,MAX(0,(AJA25+AIL26-AJA26)/AJA25),0)</f>
        <v/>
      </c>
      <c r="AJY26" s="12" t="n">
        <v>22</v>
      </c>
      <c r="AJZ26" s="12">
        <f>MOD(AJY26-1+LaunchMonth-1,12)+1</f>
        <v/>
      </c>
      <c r="AKA26" s="12">
        <f>INT((AJY26-1+LaunchMonth-1)/12)+1</f>
        <v/>
      </c>
      <c r="AKB26" s="12">
        <f>VLOOKUP(AJZ26,SeasonTable,2,FALSE)</f>
        <v/>
      </c>
      <c r="AKC26" s="12">
        <f>(1+InflationRate)^INT((AJY26-1)/12)</f>
        <v/>
      </c>
      <c r="AKD26" s="11">
        <f>MonthlyChurn*VLOOKUP(AJZ26,ChurnSeasonTable,4,FALSE)</f>
        <v/>
      </c>
      <c r="AKE26" s="12">
        <f>MIN(MAX(MktMin19plus,ALC25*MktPct19plus),MAX(0,ALQ25-CashBuffer))</f>
        <v/>
      </c>
      <c r="AKF26" s="12">
        <f>IF(AKE26&gt;0,MAX(1,ROUND(AKE26/'Sens - CAC &amp; Marketing'!$A$10*AKB26,0)),0)</f>
        <v/>
      </c>
      <c r="AKG26" s="12">
        <f>IF(AKF26&gt;0,ROUND(AKF26*ReferralMix/(1-ReferralMix),0),0)</f>
        <v/>
      </c>
      <c r="AKH26" s="12">
        <f>AKF26+AKG26</f>
        <v/>
      </c>
      <c r="AKI26" s="12">
        <f>ROUND(AKH26*(1-AnnualMix),0)</f>
        <v/>
      </c>
      <c r="AKJ26" s="12">
        <f>AKH26-AKI26</f>
        <v/>
      </c>
      <c r="AKK26" s="12">
        <f>ROUND(AKI26*EssentialMix,0)</f>
        <v/>
      </c>
      <c r="AKL26" s="12">
        <f>ROUND(AKI26*PremiumMix,0)</f>
        <v/>
      </c>
      <c r="AKM26" s="12">
        <f>AKI26-AKK26-AKL26</f>
        <v/>
      </c>
      <c r="AKN26" s="12">
        <f>ROUND(AKJ26*EssentialMix,0)</f>
        <v/>
      </c>
      <c r="AKO26" s="12">
        <f>ROUND(AKJ26*PremiumMix,0)</f>
        <v/>
      </c>
      <c r="AKP26" s="12">
        <f>AKJ26-AKN26-AKO26</f>
        <v/>
      </c>
      <c r="AKQ26" s="12">
        <f>AKK26+AKK25+AKK24+MAX(0,AKQ25-AKK25-AKK24)*(1-AKD26)</f>
        <v/>
      </c>
      <c r="AKR26" s="12">
        <f>AKL26+AKL25+AKL24+MAX(0,AKR25-AKL25-AKL24)*(1-AKD26)</f>
        <v/>
      </c>
      <c r="AKS26" s="12">
        <f>AKM26+AKM25+AKM24+MAX(0,AKS25-AKM25-AKM24)*(1-AKD26)</f>
        <v/>
      </c>
      <c r="AKT26" s="12">
        <f>AKT25+AKN26-AKN14*(AnnualChurn*VLOOKUP(AJZ26,ChurnSeasonTable,4,FALSE))*POWER(1-(AnnualChurn*VLOOKUP(AJZ26,ChurnSeasonTable,4,FALSE)),0)</f>
        <v/>
      </c>
      <c r="AKU26" s="12">
        <f>AKU25+AKO26-AKO14*(AnnualChurn*VLOOKUP(AJZ26,ChurnSeasonTable,4,FALSE))*POWER(1-(AnnualChurn*VLOOKUP(AJZ26,ChurnSeasonTable,4,FALSE)),0)</f>
        <v/>
      </c>
      <c r="AKV26" s="12">
        <f>AKV25+AKP26-AKP14*(AnnualChurn*VLOOKUP(AJZ26,ChurnSeasonTable,4,FALSE))*POWER(1-(AnnualChurn*VLOOKUP(AJZ26,ChurnSeasonTable,4,FALSE)),0)</f>
        <v/>
      </c>
      <c r="AKW26" s="12">
        <f>AKQ26+AKR26+AKS26+AKT26+AKU26+AKV26</f>
        <v/>
      </c>
      <c r="AKX26" s="9">
        <f>AKQ26*BlendedPriceEssMonthly*AKC26+AKR26*BlendedPricePremMonthly*AKC26+AKS26*BlendedPriceEliteMonthly*AKC26+AKT26*BlendedPriceEssAnnual*AKC26/12+AKU26*BlendedPricePremAnnual*AKC26/12+AKV26*BlendedPriceEliteAnnual*AKC26/12</f>
        <v/>
      </c>
      <c r="AKY26" s="9">
        <f>AKX26*12</f>
        <v/>
      </c>
      <c r="AKZ26" s="12">
        <f>AKQ26*BlendedPriceEssMonthly*AKC26+AKR26*BlendedPricePremMonthly*AKC26+AKS26*BlendedPriceEliteMonthly*AKC26</f>
        <v/>
      </c>
      <c r="ALA26" s="12">
        <f>AKN26*BlendedPriceEssAnnual*AKC26+AKO26*BlendedPricePremAnnual*AKC26+AKP26*BlendedPriceEliteAnnual*AKC26</f>
        <v/>
      </c>
      <c r="ALB26" s="12">
        <f>AKN14*POWER(1-(AnnualChurn*VLOOKUP(AJZ26,ChurnSeasonTable,4,FALSE)),1)*BlendedPriceEssAnnual*AKC26+AKO14*POWER(1-(AnnualChurn*VLOOKUP(AJZ26,ChurnSeasonTable,4,FALSE)),1)*BlendedPricePremAnnual*AKC26+AKP14*POWER(1-(AnnualChurn*VLOOKUP(AJZ26,ChurnSeasonTable,4,FALSE)),1)*BlendedPriceEliteAnnual*AKC26</f>
        <v/>
      </c>
      <c r="ALC26" s="9">
        <f>AKZ26+ALA26+ALB26</f>
        <v/>
      </c>
      <c r="ALD26" s="12">
        <f>SUM(ALC15:ALC26)</f>
        <v/>
      </c>
      <c r="ALE26" s="12">
        <f>OR(ALE25,IF(VATAgentMode,SUM($ALC15:$ALC26)-SUM($ALJ15:$ALJ26)&gt;=VATThreshold,SUM($ALC15:$ALC26)&gt;=VATThreshold))</f>
        <v/>
      </c>
      <c r="ALF26" s="9">
        <f>IF(ALE26,IF(VATAgentMode,ALC26-((ALC26-ALJ26)-(ALC26-ALJ26)/(1+VATRate)),ALC26/(1+VATRate)),ALC26)</f>
        <v/>
      </c>
      <c r="ALG26" s="12">
        <f>ALC26-ALF26</f>
        <v/>
      </c>
      <c r="ALH26" s="12">
        <f>IF(ALE26=0,0,IF(AJZ26=1,SUMPRODUCT(--(($AKA$5:$AKA26=$AKA26-1)*($AJZ$5:$AJZ26&gt;=10)*($AJZ$5:$AJZ26&lt;=12)),$ALG$5:$ALG26),IF(AJZ26=4,SUMPRODUCT(--(($AKA$5:$AKA26=$AKA26)*($AJZ$5:$AJZ26&gt;=1)*($AJZ$5:$AJZ26&lt;=3)),$ALG$5:$ALG26),IF(AJZ26=7,SUMPRODUCT(--(($AKA$5:$AKA26=$AKA26)*($AJZ$5:$AJZ26&gt;=4)*($AJZ$5:$AJZ26&lt;=6)),$ALG$5:$ALG26),IF(AJZ26=10,SUMPRODUCT(--(($AKA$5:$AKA26=$AKA26)*($AJZ$5:$AJZ26&gt;=7)*($AJZ$5:$AJZ26&lt;=9)),$ALG$5:$ALG26),0)))))</f>
        <v/>
      </c>
      <c r="ALI26" s="12">
        <f>ALI25+ALG26-ALH26</f>
        <v/>
      </c>
      <c r="ALJ26" s="12">
        <f>IF(ProviderDelay&gt;=1,AKQ25*BlendedProvPayEss+AKR25*BlendedProvPayPrem+AKS25*BlendedProvPayElite+AKT25*BlendedProvPayEss+AKU25*BlendedProvPayPrem+AKV25*BlendedProvPayElite,AKQ26*BlendedProvPayEss+AKR26*BlendedProvPayPrem+AKS26*BlendedProvPayElite+AKT26*BlendedProvPayEss+AKU26*BlendedProvPayPrem+AKV26*BlendedProvPayElite)</f>
        <v/>
      </c>
      <c r="ALK26" s="12">
        <f>ALC26*PaymentFee</f>
        <v/>
      </c>
      <c r="ALL26" s="12">
        <f>AKW26*OpsAI</f>
        <v/>
      </c>
      <c r="ALM26" s="12">
        <f>MonthlyFixed</f>
        <v/>
      </c>
      <c r="ALN26" s="12">
        <f>AKG26*ReferralReward</f>
        <v/>
      </c>
      <c r="ALO26" s="12">
        <f>AKE26</f>
        <v/>
      </c>
      <c r="ALP26" s="9">
        <f>ALF26-ALJ26-ALK26-ALL26-ALM26-ALN26-ALO26</f>
        <v/>
      </c>
      <c r="ALQ26" s="9">
        <f>ALQ25+ALC26-(ALJ26+ALK26+ALL26+ALM26+ALN26+ALO26+ALH26)</f>
        <v/>
      </c>
      <c r="ALR26" s="12">
        <f>IF(AKW26&gt;0,AKX26/AKW26,0)</f>
        <v/>
      </c>
      <c r="ALS26" s="11">
        <f>IF(AKW25&gt;0,MAX(0,(AKW25+AKH26-AKW26)/AKW25),0)</f>
        <v/>
      </c>
      <c r="ALU26" s="12" t="n">
        <v>22</v>
      </c>
      <c r="ALV26" s="12">
        <f>MOD(ALU26-1+LaunchMonth-1,12)+1</f>
        <v/>
      </c>
      <c r="ALW26" s="12">
        <f>INT((ALU26-1+LaunchMonth-1)/12)+1</f>
        <v/>
      </c>
      <c r="ALX26" s="12">
        <f>VLOOKUP(ALV26,SeasonTable,2,FALSE)</f>
        <v/>
      </c>
      <c r="ALY26" s="12">
        <f>(1+InflationRate)^INT((ALU26-1)/12)</f>
        <v/>
      </c>
      <c r="ALZ26" s="11">
        <f>MonthlyChurn*VLOOKUP(ALV26,ChurnSeasonTable,4,FALSE)</f>
        <v/>
      </c>
      <c r="AMA26" s="12">
        <f>MIN(MAX(MktMin19plus,AMY25*MktPct19plus),MAX(0,ANM25-CashBuffer))</f>
        <v/>
      </c>
      <c r="AMB26" s="12">
        <f>IF(AMA26&gt;0,MAX(1,ROUND(AMA26/'Sens - CAC &amp; Marketing'!$A$11*ALX26,0)),0)</f>
        <v/>
      </c>
      <c r="AMC26" s="12">
        <f>IF(AMB26&gt;0,ROUND(AMB26*ReferralMix/(1-ReferralMix),0),0)</f>
        <v/>
      </c>
      <c r="AMD26" s="12">
        <f>AMB26+AMC26</f>
        <v/>
      </c>
      <c r="AME26" s="12">
        <f>ROUND(AMD26*(1-AnnualMix),0)</f>
        <v/>
      </c>
      <c r="AMF26" s="12">
        <f>AMD26-AME26</f>
        <v/>
      </c>
      <c r="AMG26" s="12">
        <f>ROUND(AME26*EssentialMix,0)</f>
        <v/>
      </c>
      <c r="AMH26" s="12">
        <f>ROUND(AME26*PremiumMix,0)</f>
        <v/>
      </c>
      <c r="AMI26" s="12">
        <f>AME26-AMG26-AMH26</f>
        <v/>
      </c>
      <c r="AMJ26" s="12">
        <f>ROUND(AMF26*EssentialMix,0)</f>
        <v/>
      </c>
      <c r="AMK26" s="12">
        <f>ROUND(AMF26*PremiumMix,0)</f>
        <v/>
      </c>
      <c r="AML26" s="12">
        <f>AMF26-AMJ26-AMK26</f>
        <v/>
      </c>
      <c r="AMM26" s="12">
        <f>AMG26+AMG25+AMG24+MAX(0,AMM25-AMG25-AMG24)*(1-ALZ26)</f>
        <v/>
      </c>
      <c r="AMN26" s="12">
        <f>AMH26+AMH25+AMH24+MAX(0,AMN25-AMH25-AMH24)*(1-ALZ26)</f>
        <v/>
      </c>
      <c r="AMO26" s="12">
        <f>AMI26+AMI25+AMI24+MAX(0,AMO25-AMI25-AMI24)*(1-ALZ26)</f>
        <v/>
      </c>
      <c r="AMP26" s="12">
        <f>AMP25+AMJ26-AMJ14*(AnnualChurn*VLOOKUP(ALV26,ChurnSeasonTable,4,FALSE))*POWER(1-(AnnualChurn*VLOOKUP(ALV26,ChurnSeasonTable,4,FALSE)),0)</f>
        <v/>
      </c>
      <c r="AMQ26" s="12">
        <f>AMQ25+AMK26-AMK14*(AnnualChurn*VLOOKUP(ALV26,ChurnSeasonTable,4,FALSE))*POWER(1-(AnnualChurn*VLOOKUP(ALV26,ChurnSeasonTable,4,FALSE)),0)</f>
        <v/>
      </c>
      <c r="AMR26" s="12">
        <f>AMR25+AML26-AML14*(AnnualChurn*VLOOKUP(ALV26,ChurnSeasonTable,4,FALSE))*POWER(1-(AnnualChurn*VLOOKUP(ALV26,ChurnSeasonTable,4,FALSE)),0)</f>
        <v/>
      </c>
      <c r="AMS26" s="12">
        <f>AMM26+AMN26+AMO26+AMP26+AMQ26+AMR26</f>
        <v/>
      </c>
      <c r="AMT26" s="9">
        <f>AMM26*BlendedPriceEssMonthly*ALY26+AMN26*BlendedPricePremMonthly*ALY26+AMO26*BlendedPriceEliteMonthly*ALY26+AMP26*BlendedPriceEssAnnual*ALY26/12+AMQ26*BlendedPricePremAnnual*ALY26/12+AMR26*BlendedPriceEliteAnnual*ALY26/12</f>
        <v/>
      </c>
      <c r="AMU26" s="9">
        <f>AMT26*12</f>
        <v/>
      </c>
      <c r="AMV26" s="12">
        <f>AMM26*BlendedPriceEssMonthly*ALY26+AMN26*BlendedPricePremMonthly*ALY26+AMO26*BlendedPriceEliteMonthly*ALY26</f>
        <v/>
      </c>
      <c r="AMW26" s="12">
        <f>AMJ26*BlendedPriceEssAnnual*ALY26+AMK26*BlendedPricePremAnnual*ALY26+AML26*BlendedPriceEliteAnnual*ALY26</f>
        <v/>
      </c>
      <c r="AMX26" s="12">
        <f>AMJ14*POWER(1-(AnnualChurn*VLOOKUP(ALV26,ChurnSeasonTable,4,FALSE)),1)*BlendedPriceEssAnnual*ALY26+AMK14*POWER(1-(AnnualChurn*VLOOKUP(ALV26,ChurnSeasonTable,4,FALSE)),1)*BlendedPricePremAnnual*ALY26+AML14*POWER(1-(AnnualChurn*VLOOKUP(ALV26,ChurnSeasonTable,4,FALSE)),1)*BlendedPriceEliteAnnual*ALY26</f>
        <v/>
      </c>
      <c r="AMY26" s="9">
        <f>AMV26+AMW26+AMX26</f>
        <v/>
      </c>
      <c r="AMZ26" s="12">
        <f>SUM(AMY15:AMY26)</f>
        <v/>
      </c>
      <c r="ANA26" s="12">
        <f>OR(ANA25,IF(VATAgentMode,SUM($AMY15:$AMY26)-SUM($ANF15:$ANF26)&gt;=VATThreshold,SUM($AMY15:$AMY26)&gt;=VATThreshold))</f>
        <v/>
      </c>
      <c r="ANB26" s="9">
        <f>IF(ANA26,IF(VATAgentMode,AMY26-((AMY26-ANF26)-(AMY26-ANF26)/(1+VATRate)),AMY26/(1+VATRate)),AMY26)</f>
        <v/>
      </c>
      <c r="ANC26" s="12">
        <f>AMY26-ANB26</f>
        <v/>
      </c>
      <c r="AND26" s="12">
        <f>IF(ANA26=0,0,IF(ALV26=1,SUMPRODUCT(--(($ALW$5:$ALW26=$ALW26-1)*($ALV$5:$ALV26&gt;=10)*($ALV$5:$ALV26&lt;=12)),$ANC$5:$ANC26),IF(ALV26=4,SUMPRODUCT(--(($ALW$5:$ALW26=$ALW26)*($ALV$5:$ALV26&gt;=1)*($ALV$5:$ALV26&lt;=3)),$ANC$5:$ANC26),IF(ALV26=7,SUMPRODUCT(--(($ALW$5:$ALW26=$ALW26)*($ALV$5:$ALV26&gt;=4)*($ALV$5:$ALV26&lt;=6)),$ANC$5:$ANC26),IF(ALV26=10,SUMPRODUCT(--(($ALW$5:$ALW26=$ALW26)*($ALV$5:$ALV26&gt;=7)*($ALV$5:$ALV26&lt;=9)),$ANC$5:$ANC26),0)))))</f>
        <v/>
      </c>
      <c r="ANE26" s="12">
        <f>ANE25+ANC26-AND26</f>
        <v/>
      </c>
      <c r="ANF26" s="12">
        <f>IF(ProviderDelay&gt;=1,AMM25*BlendedProvPayEss+AMN25*BlendedProvPayPrem+AMO25*BlendedProvPayElite+AMP25*BlendedProvPayEss+AMQ25*BlendedProvPayPrem+AMR25*BlendedProvPayElite,AMM26*BlendedProvPayEss+AMN26*BlendedProvPayPrem+AMO26*BlendedProvPayElite+AMP26*BlendedProvPayEss+AMQ26*BlendedProvPayPrem+AMR26*BlendedProvPayElite)</f>
        <v/>
      </c>
      <c r="ANG26" s="12">
        <f>AMY26*PaymentFee</f>
        <v/>
      </c>
      <c r="ANH26" s="12">
        <f>AMS26*OpsAI</f>
        <v/>
      </c>
      <c r="ANI26" s="12">
        <f>MonthlyFixed</f>
        <v/>
      </c>
      <c r="ANJ26" s="12">
        <f>AMC26*ReferralReward</f>
        <v/>
      </c>
      <c r="ANK26" s="12">
        <f>AMA26</f>
        <v/>
      </c>
      <c r="ANL26" s="9">
        <f>ANB26-ANF26-ANG26-ANH26-ANI26-ANJ26-ANK26</f>
        <v/>
      </c>
      <c r="ANM26" s="9">
        <f>ANM25+AMY26-(ANF26+ANG26+ANH26+ANI26+ANJ26+ANK26+AND26)</f>
        <v/>
      </c>
      <c r="ANN26" s="12">
        <f>IF(AMS26&gt;0,AMT26/AMS26,0)</f>
        <v/>
      </c>
      <c r="ANO26" s="11">
        <f>IF(AMS25&gt;0,MAX(0,(AMS25+AMD26-AMS26)/AMS25),0)</f>
        <v/>
      </c>
      <c r="ANQ26" s="12" t="n">
        <v>22</v>
      </c>
      <c r="ANR26" s="12">
        <f>MOD(ANQ26-1+LaunchMonth-1,12)+1</f>
        <v/>
      </c>
      <c r="ANS26" s="12">
        <f>INT((ANQ26-1+LaunchMonth-1)/12)+1</f>
        <v/>
      </c>
      <c r="ANT26" s="12">
        <f>VLOOKUP(ANR26,SeasonTable,2,FALSE)</f>
        <v/>
      </c>
      <c r="ANU26" s="12">
        <f>(1+InflationRate)^INT((ANQ26-1)/12)</f>
        <v/>
      </c>
      <c r="ANV26" s="11">
        <f>MonthlyChurn*VLOOKUP(ANR26,ChurnSeasonTable,4,FALSE)</f>
        <v/>
      </c>
      <c r="ANW26" s="12">
        <f>MIN(MAX(MktMin19plus,AOU25*MktPct19plus),MAX(0,API25-CashBuffer))</f>
        <v/>
      </c>
      <c r="ANX26" s="12">
        <f>IF(ANW26&gt;0,MAX(1,ROUND(ANW26/'Sens - CAC &amp; Marketing'!$A$12*ANT26,0)),0)</f>
        <v/>
      </c>
      <c r="ANY26" s="12">
        <f>IF(ANX26&gt;0,ROUND(ANX26*ReferralMix/(1-ReferralMix),0),0)</f>
        <v/>
      </c>
      <c r="ANZ26" s="12">
        <f>ANX26+ANY26</f>
        <v/>
      </c>
      <c r="AOA26" s="12">
        <f>ROUND(ANZ26*(1-AnnualMix),0)</f>
        <v/>
      </c>
      <c r="AOB26" s="12">
        <f>ANZ26-AOA26</f>
        <v/>
      </c>
      <c r="AOC26" s="12">
        <f>ROUND(AOA26*EssentialMix,0)</f>
        <v/>
      </c>
      <c r="AOD26" s="12">
        <f>ROUND(AOA26*PremiumMix,0)</f>
        <v/>
      </c>
      <c r="AOE26" s="12">
        <f>AOA26-AOC26-AOD26</f>
        <v/>
      </c>
      <c r="AOF26" s="12">
        <f>ROUND(AOB26*EssentialMix,0)</f>
        <v/>
      </c>
      <c r="AOG26" s="12">
        <f>ROUND(AOB26*PremiumMix,0)</f>
        <v/>
      </c>
      <c r="AOH26" s="12">
        <f>AOB26-AOF26-AOG26</f>
        <v/>
      </c>
      <c r="AOI26" s="12">
        <f>AOC26+AOC25+AOC24+MAX(0,AOI25-AOC25-AOC24)*(1-ANV26)</f>
        <v/>
      </c>
      <c r="AOJ26" s="12">
        <f>AOD26+AOD25+AOD24+MAX(0,AOJ25-AOD25-AOD24)*(1-ANV26)</f>
        <v/>
      </c>
      <c r="AOK26" s="12">
        <f>AOE26+AOE25+AOE24+MAX(0,AOK25-AOE25-AOE24)*(1-ANV26)</f>
        <v/>
      </c>
      <c r="AOL26" s="12">
        <f>AOL25+AOF26-AOF14*(AnnualChurn*VLOOKUP(ANR26,ChurnSeasonTable,4,FALSE))*POWER(1-(AnnualChurn*VLOOKUP(ANR26,ChurnSeasonTable,4,FALSE)),0)</f>
        <v/>
      </c>
      <c r="AOM26" s="12">
        <f>AOM25+AOG26-AOG14*(AnnualChurn*VLOOKUP(ANR26,ChurnSeasonTable,4,FALSE))*POWER(1-(AnnualChurn*VLOOKUP(ANR26,ChurnSeasonTable,4,FALSE)),0)</f>
        <v/>
      </c>
      <c r="AON26" s="12">
        <f>AON25+AOH26-AOH14*(AnnualChurn*VLOOKUP(ANR26,ChurnSeasonTable,4,FALSE))*POWER(1-(AnnualChurn*VLOOKUP(ANR26,ChurnSeasonTable,4,FALSE)),0)</f>
        <v/>
      </c>
      <c r="AOO26" s="12">
        <f>AOI26+AOJ26+AOK26+AOL26+AOM26+AON26</f>
        <v/>
      </c>
      <c r="AOP26" s="9">
        <f>AOI26*BlendedPriceEssMonthly*ANU26+AOJ26*BlendedPricePremMonthly*ANU26+AOK26*BlendedPriceEliteMonthly*ANU26+AOL26*BlendedPriceEssAnnual*ANU26/12+AOM26*BlendedPricePremAnnual*ANU26/12+AON26*BlendedPriceEliteAnnual*ANU26/12</f>
        <v/>
      </c>
      <c r="AOQ26" s="9">
        <f>AOP26*12</f>
        <v/>
      </c>
      <c r="AOR26" s="12">
        <f>AOI26*BlendedPriceEssMonthly*ANU26+AOJ26*BlendedPricePremMonthly*ANU26+AOK26*BlendedPriceEliteMonthly*ANU26</f>
        <v/>
      </c>
      <c r="AOS26" s="12">
        <f>AOF26*BlendedPriceEssAnnual*ANU26+AOG26*BlendedPricePremAnnual*ANU26+AOH26*BlendedPriceEliteAnnual*ANU26</f>
        <v/>
      </c>
      <c r="AOT26" s="12">
        <f>AOF14*POWER(1-(AnnualChurn*VLOOKUP(ANR26,ChurnSeasonTable,4,FALSE)),1)*BlendedPriceEssAnnual*ANU26+AOG14*POWER(1-(AnnualChurn*VLOOKUP(ANR26,ChurnSeasonTable,4,FALSE)),1)*BlendedPricePremAnnual*ANU26+AOH14*POWER(1-(AnnualChurn*VLOOKUP(ANR26,ChurnSeasonTable,4,FALSE)),1)*BlendedPriceEliteAnnual*ANU26</f>
        <v/>
      </c>
      <c r="AOU26" s="9">
        <f>AOR26+AOS26+AOT26</f>
        <v/>
      </c>
      <c r="AOV26" s="12">
        <f>SUM(AOU15:AOU26)</f>
        <v/>
      </c>
      <c r="AOW26" s="12">
        <f>OR(AOW25,IF(VATAgentMode,SUM($AOU15:$AOU26)-SUM($APB15:$APB26)&gt;=VATThreshold,SUM($AOU15:$AOU26)&gt;=VATThreshold))</f>
        <v/>
      </c>
      <c r="AOX26" s="9">
        <f>IF(AOW26,IF(VATAgentMode,AOU26-((AOU26-APB26)-(AOU26-APB26)/(1+VATRate)),AOU26/(1+VATRate)),AOU26)</f>
        <v/>
      </c>
      <c r="AOY26" s="12">
        <f>AOU26-AOX26</f>
        <v/>
      </c>
      <c r="AOZ26" s="12">
        <f>IF(AOW26=0,0,IF(ANR26=1,SUMPRODUCT(--(($ANS$5:$ANS26=$ANS26-1)*($ANR$5:$ANR26&gt;=10)*($ANR$5:$ANR26&lt;=12)),$AOY$5:$AOY26),IF(ANR26=4,SUMPRODUCT(--(($ANS$5:$ANS26=$ANS26)*($ANR$5:$ANR26&gt;=1)*($ANR$5:$ANR26&lt;=3)),$AOY$5:$AOY26),IF(ANR26=7,SUMPRODUCT(--(($ANS$5:$ANS26=$ANS26)*($ANR$5:$ANR26&gt;=4)*($ANR$5:$ANR26&lt;=6)),$AOY$5:$AOY26),IF(ANR26=10,SUMPRODUCT(--(($ANS$5:$ANS26=$ANS26)*($ANR$5:$ANR26&gt;=7)*($ANR$5:$ANR26&lt;=9)),$AOY$5:$AOY26),0)))))</f>
        <v/>
      </c>
      <c r="APA26" s="12">
        <f>APA25+AOY26-AOZ26</f>
        <v/>
      </c>
      <c r="APB26" s="12">
        <f>IF(ProviderDelay&gt;=1,AOI25*BlendedProvPayEss+AOJ25*BlendedProvPayPrem+AOK25*BlendedProvPayElite+AOL25*BlendedProvPayEss+AOM25*BlendedProvPayPrem+AON25*BlendedProvPayElite,AOI26*BlendedProvPayEss+AOJ26*BlendedProvPayPrem+AOK26*BlendedProvPayElite+AOL26*BlendedProvPayEss+AOM26*BlendedProvPayPrem+AON26*BlendedProvPayElite)</f>
        <v/>
      </c>
      <c r="APC26" s="12">
        <f>AOU26*PaymentFee</f>
        <v/>
      </c>
      <c r="APD26" s="12">
        <f>AOO26*OpsAI</f>
        <v/>
      </c>
      <c r="APE26" s="12">
        <f>MonthlyFixed</f>
        <v/>
      </c>
      <c r="APF26" s="12">
        <f>ANY26*ReferralReward</f>
        <v/>
      </c>
      <c r="APG26" s="12">
        <f>ANW26</f>
        <v/>
      </c>
      <c r="APH26" s="9">
        <f>AOX26-APB26-APC26-APD26-APE26-APF26-APG26</f>
        <v/>
      </c>
      <c r="API26" s="9">
        <f>API25+AOU26-(APB26+APC26+APD26+APE26+APF26+APG26+AOZ26)</f>
        <v/>
      </c>
      <c r="APJ26" s="12">
        <f>IF(AOO26&gt;0,AOP26/AOO26,0)</f>
        <v/>
      </c>
      <c r="APK26" s="11">
        <f>IF(AOO25&gt;0,MAX(0,(AOO25+ANZ26-AOO26)/AOO25),0)</f>
        <v/>
      </c>
      <c r="APM26" s="12" t="n">
        <v>22</v>
      </c>
      <c r="APN26" s="12">
        <f>MOD(APM26-1+LaunchMonth-1,12)+1</f>
        <v/>
      </c>
      <c r="APO26" s="12">
        <f>INT((APM26-1+LaunchMonth-1)/12)+1</f>
        <v/>
      </c>
      <c r="APP26" s="12">
        <f>VLOOKUP(APN26,SeasonTable,2,FALSE)</f>
        <v/>
      </c>
      <c r="APQ26" s="12">
        <f>(1+InflationRate)^INT((APM26-1)/12)</f>
        <v/>
      </c>
      <c r="APR26" s="11">
        <f>MonthlyChurn*VLOOKUP(APN26,ChurnSeasonTable,4,FALSE)</f>
        <v/>
      </c>
      <c r="APS26" s="12">
        <f>MIN(MAX(MktMin19plus,AQQ25*MktPct19plus),MAX(0,ARE25-CashBuffer))</f>
        <v/>
      </c>
      <c r="APT26" s="12">
        <f>IF(APS26&gt;0,MAX(1,ROUND(APS26/'Sens - CAC &amp; Marketing'!$A$13*APP26,0)),0)</f>
        <v/>
      </c>
      <c r="APU26" s="12">
        <f>IF(APT26&gt;0,ROUND(APT26*ReferralMix/(1-ReferralMix),0),0)</f>
        <v/>
      </c>
      <c r="APV26" s="12">
        <f>APT26+APU26</f>
        <v/>
      </c>
      <c r="APW26" s="12">
        <f>ROUND(APV26*(1-AnnualMix),0)</f>
        <v/>
      </c>
      <c r="APX26" s="12">
        <f>APV26-APW26</f>
        <v/>
      </c>
      <c r="APY26" s="12">
        <f>ROUND(APW26*EssentialMix,0)</f>
        <v/>
      </c>
      <c r="APZ26" s="12">
        <f>ROUND(APW26*PremiumMix,0)</f>
        <v/>
      </c>
      <c r="AQA26" s="12">
        <f>APW26-APY26-APZ26</f>
        <v/>
      </c>
      <c r="AQB26" s="12">
        <f>ROUND(APX26*EssentialMix,0)</f>
        <v/>
      </c>
      <c r="AQC26" s="12">
        <f>ROUND(APX26*PremiumMix,0)</f>
        <v/>
      </c>
      <c r="AQD26" s="12">
        <f>APX26-AQB26-AQC26</f>
        <v/>
      </c>
      <c r="AQE26" s="12">
        <f>APY26+APY25+APY24+MAX(0,AQE25-APY25-APY24)*(1-APR26)</f>
        <v/>
      </c>
      <c r="AQF26" s="12">
        <f>APZ26+APZ25+APZ24+MAX(0,AQF25-APZ25-APZ24)*(1-APR26)</f>
        <v/>
      </c>
      <c r="AQG26" s="12">
        <f>AQA26+AQA25+AQA24+MAX(0,AQG25-AQA25-AQA24)*(1-APR26)</f>
        <v/>
      </c>
      <c r="AQH26" s="12">
        <f>AQH25+AQB26-AQB14*(AnnualChurn*VLOOKUP(APN26,ChurnSeasonTable,4,FALSE))*POWER(1-(AnnualChurn*VLOOKUP(APN26,ChurnSeasonTable,4,FALSE)),0)</f>
        <v/>
      </c>
      <c r="AQI26" s="12">
        <f>AQI25+AQC26-AQC14*(AnnualChurn*VLOOKUP(APN26,ChurnSeasonTable,4,FALSE))*POWER(1-(AnnualChurn*VLOOKUP(APN26,ChurnSeasonTable,4,FALSE)),0)</f>
        <v/>
      </c>
      <c r="AQJ26" s="12">
        <f>AQJ25+AQD26-AQD14*(AnnualChurn*VLOOKUP(APN26,ChurnSeasonTable,4,FALSE))*POWER(1-(AnnualChurn*VLOOKUP(APN26,ChurnSeasonTable,4,FALSE)),0)</f>
        <v/>
      </c>
      <c r="AQK26" s="12">
        <f>AQE26+AQF26+AQG26+AQH26+AQI26+AQJ26</f>
        <v/>
      </c>
      <c r="AQL26" s="9">
        <f>AQE26*BlendedPriceEssMonthly*APQ26+AQF26*BlendedPricePremMonthly*APQ26+AQG26*BlendedPriceEliteMonthly*APQ26+AQH26*BlendedPriceEssAnnual*APQ26/12+AQI26*BlendedPricePremAnnual*APQ26/12+AQJ26*BlendedPriceEliteAnnual*APQ26/12</f>
        <v/>
      </c>
      <c r="AQM26" s="9">
        <f>AQL26*12</f>
        <v/>
      </c>
      <c r="AQN26" s="12">
        <f>AQE26*BlendedPriceEssMonthly*APQ26+AQF26*BlendedPricePremMonthly*APQ26+AQG26*BlendedPriceEliteMonthly*APQ26</f>
        <v/>
      </c>
      <c r="AQO26" s="12">
        <f>AQB26*BlendedPriceEssAnnual*APQ26+AQC26*BlendedPricePremAnnual*APQ26+AQD26*BlendedPriceEliteAnnual*APQ26</f>
        <v/>
      </c>
      <c r="AQP26" s="12">
        <f>AQB14*POWER(1-(AnnualChurn*VLOOKUP(APN26,ChurnSeasonTable,4,FALSE)),1)*BlendedPriceEssAnnual*APQ26+AQC14*POWER(1-(AnnualChurn*VLOOKUP(APN26,ChurnSeasonTable,4,FALSE)),1)*BlendedPricePremAnnual*APQ26+AQD14*POWER(1-(AnnualChurn*VLOOKUP(APN26,ChurnSeasonTable,4,FALSE)),1)*BlendedPriceEliteAnnual*APQ26</f>
        <v/>
      </c>
      <c r="AQQ26" s="9">
        <f>AQN26+AQO26+AQP26</f>
        <v/>
      </c>
      <c r="AQR26" s="12">
        <f>SUM(AQQ15:AQQ26)</f>
        <v/>
      </c>
      <c r="AQS26" s="12">
        <f>OR(AQS25,IF(VATAgentMode,SUM($AQQ15:$AQQ26)-SUM($AQX15:$AQX26)&gt;=VATThreshold,SUM($AQQ15:$AQQ26)&gt;=VATThreshold))</f>
        <v/>
      </c>
      <c r="AQT26" s="9">
        <f>IF(AQS26,IF(VATAgentMode,AQQ26-((AQQ26-AQX26)-(AQQ26-AQX26)/(1+VATRate)),AQQ26/(1+VATRate)),AQQ26)</f>
        <v/>
      </c>
      <c r="AQU26" s="12">
        <f>AQQ26-AQT26</f>
        <v/>
      </c>
      <c r="AQV26" s="12">
        <f>IF(AQS26=0,0,IF(APN26=1,SUMPRODUCT(--(($APO$5:$APO26=$APO26-1)*($APN$5:$APN26&gt;=10)*($APN$5:$APN26&lt;=12)),$AQU$5:$AQU26),IF(APN26=4,SUMPRODUCT(--(($APO$5:$APO26=$APO26)*($APN$5:$APN26&gt;=1)*($APN$5:$APN26&lt;=3)),$AQU$5:$AQU26),IF(APN26=7,SUMPRODUCT(--(($APO$5:$APO26=$APO26)*($APN$5:$APN26&gt;=4)*($APN$5:$APN26&lt;=6)),$AQU$5:$AQU26),IF(APN26=10,SUMPRODUCT(--(($APO$5:$APO26=$APO26)*($APN$5:$APN26&gt;=7)*($APN$5:$APN26&lt;=9)),$AQU$5:$AQU26),0)))))</f>
        <v/>
      </c>
      <c r="AQW26" s="12">
        <f>AQW25+AQU26-AQV26</f>
        <v/>
      </c>
      <c r="AQX26" s="12">
        <f>IF(ProviderDelay&gt;=1,AQE25*BlendedProvPayEss+AQF25*BlendedProvPayPrem+AQG25*BlendedProvPayElite+AQH25*BlendedProvPayEss+AQI25*BlendedProvPayPrem+AQJ25*BlendedProvPayElite,AQE26*BlendedProvPayEss+AQF26*BlendedProvPayPrem+AQG26*BlendedProvPayElite+AQH26*BlendedProvPayEss+AQI26*BlendedProvPayPrem+AQJ26*BlendedProvPayElite)</f>
        <v/>
      </c>
      <c r="AQY26" s="12">
        <f>AQQ26*PaymentFee</f>
        <v/>
      </c>
      <c r="AQZ26" s="12">
        <f>AQK26*OpsAI</f>
        <v/>
      </c>
      <c r="ARA26" s="12">
        <f>MonthlyFixed</f>
        <v/>
      </c>
      <c r="ARB26" s="12">
        <f>APU26*ReferralReward</f>
        <v/>
      </c>
      <c r="ARC26" s="12">
        <f>APS26</f>
        <v/>
      </c>
      <c r="ARD26" s="9">
        <f>AQT26-AQX26-AQY26-AQZ26-ARA26-ARB26-ARC26</f>
        <v/>
      </c>
      <c r="ARE26" s="9">
        <f>ARE25+AQQ26-(AQX26+AQY26+AQZ26+ARA26+ARB26+ARC26+AQV26)</f>
        <v/>
      </c>
      <c r="ARF26" s="12">
        <f>IF(AQK26&gt;0,AQL26/AQK26,0)</f>
        <v/>
      </c>
      <c r="ARG26" s="11">
        <f>IF(AQK25&gt;0,MAX(0,(AQK25+APV26-AQK26)/AQK25),0)</f>
        <v/>
      </c>
      <c r="ARI26" s="12" t="n">
        <v>22</v>
      </c>
      <c r="ARJ26" s="12">
        <f>MOD(ARI26-1+LaunchMonth-1,12)+1</f>
        <v/>
      </c>
      <c r="ARK26" s="12">
        <f>INT((ARI26-1+LaunchMonth-1)/12)+1</f>
        <v/>
      </c>
      <c r="ARL26" s="12">
        <f>VLOOKUP(ARJ26,SeasonTable,2,FALSE)</f>
        <v/>
      </c>
      <c r="ARM26" s="12">
        <f>(1+InflationRate)^INT((ARI26-1)/12)</f>
        <v/>
      </c>
      <c r="ARN26" s="11">
        <f>MonthlyChurn*VLOOKUP(ARJ26,ChurnSeasonTable,4,FALSE)</f>
        <v/>
      </c>
      <c r="ARO26" s="12">
        <f>MIN(MAX(MktMin19plus,ASM25*MktPct19plus),MAX(0,ATA25-CashBuffer))</f>
        <v/>
      </c>
      <c r="ARP26" s="12">
        <f>IF(ARO26&gt;0,MAX(1,ROUND(ARO26/'Sens - CAC &amp; Marketing'!$A$14*ARL26,0)),0)</f>
        <v/>
      </c>
      <c r="ARQ26" s="12">
        <f>IF(ARP26&gt;0,ROUND(ARP26*ReferralMix/(1-ReferralMix),0),0)</f>
        <v/>
      </c>
      <c r="ARR26" s="12">
        <f>ARP26+ARQ26</f>
        <v/>
      </c>
      <c r="ARS26" s="12">
        <f>ROUND(ARR26*(1-AnnualMix),0)</f>
        <v/>
      </c>
      <c r="ART26" s="12">
        <f>ARR26-ARS26</f>
        <v/>
      </c>
      <c r="ARU26" s="12">
        <f>ROUND(ARS26*EssentialMix,0)</f>
        <v/>
      </c>
      <c r="ARV26" s="12">
        <f>ROUND(ARS26*PremiumMix,0)</f>
        <v/>
      </c>
      <c r="ARW26" s="12">
        <f>ARS26-ARU26-ARV26</f>
        <v/>
      </c>
      <c r="ARX26" s="12">
        <f>ROUND(ART26*EssentialMix,0)</f>
        <v/>
      </c>
      <c r="ARY26" s="12">
        <f>ROUND(ART26*PremiumMix,0)</f>
        <v/>
      </c>
      <c r="ARZ26" s="12">
        <f>ART26-ARX26-ARY26</f>
        <v/>
      </c>
      <c r="ASA26" s="12">
        <f>ARU26+ARU25+ARU24+MAX(0,ASA25-ARU25-ARU24)*(1-ARN26)</f>
        <v/>
      </c>
      <c r="ASB26" s="12">
        <f>ARV26+ARV25+ARV24+MAX(0,ASB25-ARV25-ARV24)*(1-ARN26)</f>
        <v/>
      </c>
      <c r="ASC26" s="12">
        <f>ARW26+ARW25+ARW24+MAX(0,ASC25-ARW25-ARW24)*(1-ARN26)</f>
        <v/>
      </c>
      <c r="ASD26" s="12">
        <f>ASD25+ARX26-ARX14*(AnnualChurn*VLOOKUP(ARJ26,ChurnSeasonTable,4,FALSE))*POWER(1-(AnnualChurn*VLOOKUP(ARJ26,ChurnSeasonTable,4,FALSE)),0)</f>
        <v/>
      </c>
      <c r="ASE26" s="12">
        <f>ASE25+ARY26-ARY14*(AnnualChurn*VLOOKUP(ARJ26,ChurnSeasonTable,4,FALSE))*POWER(1-(AnnualChurn*VLOOKUP(ARJ26,ChurnSeasonTable,4,FALSE)),0)</f>
        <v/>
      </c>
      <c r="ASF26" s="12">
        <f>ASF25+ARZ26-ARZ14*(AnnualChurn*VLOOKUP(ARJ26,ChurnSeasonTable,4,FALSE))*POWER(1-(AnnualChurn*VLOOKUP(ARJ26,ChurnSeasonTable,4,FALSE)),0)</f>
        <v/>
      </c>
      <c r="ASG26" s="12">
        <f>ASA26+ASB26+ASC26+ASD26+ASE26+ASF26</f>
        <v/>
      </c>
      <c r="ASH26" s="9">
        <f>ASA26*BlendedPriceEssMonthly*ARM26+ASB26*BlendedPricePremMonthly*ARM26+ASC26*BlendedPriceEliteMonthly*ARM26+ASD26*BlendedPriceEssAnnual*ARM26/12+ASE26*BlendedPricePremAnnual*ARM26/12+ASF26*BlendedPriceEliteAnnual*ARM26/12</f>
        <v/>
      </c>
      <c r="ASI26" s="9">
        <f>ASH26*12</f>
        <v/>
      </c>
      <c r="ASJ26" s="12">
        <f>ASA26*BlendedPriceEssMonthly*ARM26+ASB26*BlendedPricePremMonthly*ARM26+ASC26*BlendedPriceEliteMonthly*ARM26</f>
        <v/>
      </c>
      <c r="ASK26" s="12">
        <f>ARX26*BlendedPriceEssAnnual*ARM26+ARY26*BlendedPricePremAnnual*ARM26+ARZ26*BlendedPriceEliteAnnual*ARM26</f>
        <v/>
      </c>
      <c r="ASL26" s="12">
        <f>ARX14*POWER(1-(AnnualChurn*VLOOKUP(ARJ26,ChurnSeasonTable,4,FALSE)),1)*BlendedPriceEssAnnual*ARM26+ARY14*POWER(1-(AnnualChurn*VLOOKUP(ARJ26,ChurnSeasonTable,4,FALSE)),1)*BlendedPricePremAnnual*ARM26+ARZ14*POWER(1-(AnnualChurn*VLOOKUP(ARJ26,ChurnSeasonTable,4,FALSE)),1)*BlendedPriceEliteAnnual*ARM26</f>
        <v/>
      </c>
      <c r="ASM26" s="9">
        <f>ASJ26+ASK26+ASL26</f>
        <v/>
      </c>
      <c r="ASN26" s="12">
        <f>SUM(ASM15:ASM26)</f>
        <v/>
      </c>
      <c r="ASO26" s="12">
        <f>OR(ASO25,IF(VATAgentMode,SUM($ASM15:$ASM26)-SUM($AST15:$AST26)&gt;=VATThreshold,SUM($ASM15:$ASM26)&gt;=VATThreshold))</f>
        <v/>
      </c>
      <c r="ASP26" s="9">
        <f>IF(ASO26,IF(VATAgentMode,ASM26-((ASM26-AST26)-(ASM26-AST26)/(1+VATRate)),ASM26/(1+VATRate)),ASM26)</f>
        <v/>
      </c>
      <c r="ASQ26" s="12">
        <f>ASM26-ASP26</f>
        <v/>
      </c>
      <c r="ASR26" s="12">
        <f>IF(ASO26=0,0,IF(ARJ26=1,SUMPRODUCT(--(($ARK$5:$ARK26=$ARK26-1)*($ARJ$5:$ARJ26&gt;=10)*($ARJ$5:$ARJ26&lt;=12)),$ASQ$5:$ASQ26),IF(ARJ26=4,SUMPRODUCT(--(($ARK$5:$ARK26=$ARK26)*($ARJ$5:$ARJ26&gt;=1)*($ARJ$5:$ARJ26&lt;=3)),$ASQ$5:$ASQ26),IF(ARJ26=7,SUMPRODUCT(--(($ARK$5:$ARK26=$ARK26)*($ARJ$5:$ARJ26&gt;=4)*($ARJ$5:$ARJ26&lt;=6)),$ASQ$5:$ASQ26),IF(ARJ26=10,SUMPRODUCT(--(($ARK$5:$ARK26=$ARK26)*($ARJ$5:$ARJ26&gt;=7)*($ARJ$5:$ARJ26&lt;=9)),$ASQ$5:$ASQ26),0)))))</f>
        <v/>
      </c>
      <c r="ASS26" s="12">
        <f>ASS25+ASQ26-ASR26</f>
        <v/>
      </c>
      <c r="AST26" s="12">
        <f>IF(ProviderDelay&gt;=1,ASA25*BlendedProvPayEss+ASB25*BlendedProvPayPrem+ASC25*BlendedProvPayElite+ASD25*BlendedProvPayEss+ASE25*BlendedProvPayPrem+ASF25*BlendedProvPayElite,ASA26*BlendedProvPayEss+ASB26*BlendedProvPayPrem+ASC26*BlendedProvPayElite+ASD26*BlendedProvPayEss+ASE26*BlendedProvPayPrem+ASF26*BlendedProvPayElite)</f>
        <v/>
      </c>
      <c r="ASU26" s="12">
        <f>ASM26*PaymentFee</f>
        <v/>
      </c>
      <c r="ASV26" s="12">
        <f>ASG26*OpsAI</f>
        <v/>
      </c>
      <c r="ASW26" s="12">
        <f>MonthlyFixed</f>
        <v/>
      </c>
      <c r="ASX26" s="12">
        <f>ARQ26*ReferralReward</f>
        <v/>
      </c>
      <c r="ASY26" s="12">
        <f>ARO26</f>
        <v/>
      </c>
      <c r="ASZ26" s="9">
        <f>ASP26-AST26-ASU26-ASV26-ASW26-ASX26-ASY26</f>
        <v/>
      </c>
      <c r="ATA26" s="9">
        <f>ATA25+ASM26-(AST26+ASU26+ASV26+ASW26+ASX26+ASY26+ASR26)</f>
        <v/>
      </c>
      <c r="ATB26" s="12">
        <f>IF(ASG26&gt;0,ASH26/ASG26,0)</f>
        <v/>
      </c>
      <c r="ATC26" s="11">
        <f>IF(ASG25&gt;0,MAX(0,(ASG25+ARR26-ASG26)/ASG25),0)</f>
        <v/>
      </c>
      <c r="ATE26" s="12" t="n">
        <v>22</v>
      </c>
      <c r="ATF26" s="12">
        <f>MOD(ATE26-1+LaunchMonth-1,12)+1</f>
        <v/>
      </c>
      <c r="ATG26" s="12">
        <f>INT((ATE26-1+LaunchMonth-1)/12)+1</f>
        <v/>
      </c>
      <c r="ATH26" s="12">
        <f>VLOOKUP(ATF26,SeasonTable,2,FALSE)</f>
        <v/>
      </c>
      <c r="ATI26" s="12">
        <f>(1+InflationRate)^INT((ATE26-1)/12)</f>
        <v/>
      </c>
      <c r="ATJ26" s="11">
        <f>MonthlyChurn*VLOOKUP(ATF26,ChurnSeasonTable,4,FALSE)</f>
        <v/>
      </c>
      <c r="ATK26" s="12">
        <f>MIN(MAX(MktMin19plus,AUI25*MktPct19plus),MAX(0,AUW25-CashBuffer))</f>
        <v/>
      </c>
      <c r="ATL26" s="12">
        <f>IF(ATK26&gt;0,MAX(1,ROUND(ATK26/'Sens - CAC &amp; Marketing'!$A$15*ATH26,0)),0)</f>
        <v/>
      </c>
      <c r="ATM26" s="12">
        <f>IF(ATL26&gt;0,ROUND(ATL26*ReferralMix/(1-ReferralMix),0),0)</f>
        <v/>
      </c>
      <c r="ATN26" s="12">
        <f>ATL26+ATM26</f>
        <v/>
      </c>
      <c r="ATO26" s="12">
        <f>ROUND(ATN26*(1-AnnualMix),0)</f>
        <v/>
      </c>
      <c r="ATP26" s="12">
        <f>ATN26-ATO26</f>
        <v/>
      </c>
      <c r="ATQ26" s="12">
        <f>ROUND(ATO26*EssentialMix,0)</f>
        <v/>
      </c>
      <c r="ATR26" s="12">
        <f>ROUND(ATO26*PremiumMix,0)</f>
        <v/>
      </c>
      <c r="ATS26" s="12">
        <f>ATO26-ATQ26-ATR26</f>
        <v/>
      </c>
      <c r="ATT26" s="12">
        <f>ROUND(ATP26*EssentialMix,0)</f>
        <v/>
      </c>
      <c r="ATU26" s="12">
        <f>ROUND(ATP26*PremiumMix,0)</f>
        <v/>
      </c>
      <c r="ATV26" s="12">
        <f>ATP26-ATT26-ATU26</f>
        <v/>
      </c>
      <c r="ATW26" s="12">
        <f>ATQ26+ATQ25+ATQ24+MAX(0,ATW25-ATQ25-ATQ24)*(1-ATJ26)</f>
        <v/>
      </c>
      <c r="ATX26" s="12">
        <f>ATR26+ATR25+ATR24+MAX(0,ATX25-ATR25-ATR24)*(1-ATJ26)</f>
        <v/>
      </c>
      <c r="ATY26" s="12">
        <f>ATS26+ATS25+ATS24+MAX(0,ATY25-ATS25-ATS24)*(1-ATJ26)</f>
        <v/>
      </c>
      <c r="ATZ26" s="12">
        <f>ATZ25+ATT26-ATT14*(AnnualChurn*VLOOKUP(ATF26,ChurnSeasonTable,4,FALSE))*POWER(1-(AnnualChurn*VLOOKUP(ATF26,ChurnSeasonTable,4,FALSE)),0)</f>
        <v/>
      </c>
      <c r="AUA26" s="12">
        <f>AUA25+ATU26-ATU14*(AnnualChurn*VLOOKUP(ATF26,ChurnSeasonTable,4,FALSE))*POWER(1-(AnnualChurn*VLOOKUP(ATF26,ChurnSeasonTable,4,FALSE)),0)</f>
        <v/>
      </c>
      <c r="AUB26" s="12">
        <f>AUB25+ATV26-ATV14*(AnnualChurn*VLOOKUP(ATF26,ChurnSeasonTable,4,FALSE))*POWER(1-(AnnualChurn*VLOOKUP(ATF26,ChurnSeasonTable,4,FALSE)),0)</f>
        <v/>
      </c>
      <c r="AUC26" s="12">
        <f>ATW26+ATX26+ATY26+ATZ26+AUA26+AUB26</f>
        <v/>
      </c>
      <c r="AUD26" s="9">
        <f>ATW26*BlendedPriceEssMonthly*ATI26+ATX26*BlendedPricePremMonthly*ATI26+ATY26*BlendedPriceEliteMonthly*ATI26+ATZ26*BlendedPriceEssAnnual*ATI26/12+AUA26*BlendedPricePremAnnual*ATI26/12+AUB26*BlendedPriceEliteAnnual*ATI26/12</f>
        <v/>
      </c>
      <c r="AUE26" s="9">
        <f>AUD26*12</f>
        <v/>
      </c>
      <c r="AUF26" s="12">
        <f>ATW26*BlendedPriceEssMonthly*ATI26+ATX26*BlendedPricePremMonthly*ATI26+ATY26*BlendedPriceEliteMonthly*ATI26</f>
        <v/>
      </c>
      <c r="AUG26" s="12">
        <f>ATT26*BlendedPriceEssAnnual*ATI26+ATU26*BlendedPricePremAnnual*ATI26+ATV26*BlendedPriceEliteAnnual*ATI26</f>
        <v/>
      </c>
      <c r="AUH26" s="12">
        <f>ATT14*POWER(1-(AnnualChurn*VLOOKUP(ATF26,ChurnSeasonTable,4,FALSE)),1)*BlendedPriceEssAnnual*ATI26+ATU14*POWER(1-(AnnualChurn*VLOOKUP(ATF26,ChurnSeasonTable,4,FALSE)),1)*BlendedPricePremAnnual*ATI26+ATV14*POWER(1-(AnnualChurn*VLOOKUP(ATF26,ChurnSeasonTable,4,FALSE)),1)*BlendedPriceEliteAnnual*ATI26</f>
        <v/>
      </c>
      <c r="AUI26" s="9">
        <f>AUF26+AUG26+AUH26</f>
        <v/>
      </c>
      <c r="AUJ26" s="12">
        <f>SUM(AUI15:AUI26)</f>
        <v/>
      </c>
      <c r="AUK26" s="12">
        <f>OR(AUK25,IF(VATAgentMode,SUM($AUI15:$AUI26)-SUM($AUP15:$AUP26)&gt;=VATThreshold,SUM($AUI15:$AUI26)&gt;=VATThreshold))</f>
        <v/>
      </c>
      <c r="AUL26" s="9">
        <f>IF(AUK26,IF(VATAgentMode,AUI26-((AUI26-AUP26)-(AUI26-AUP26)/(1+VATRate)),AUI26/(1+VATRate)),AUI26)</f>
        <v/>
      </c>
      <c r="AUM26" s="12">
        <f>AUI26-AUL26</f>
        <v/>
      </c>
      <c r="AUN26" s="12">
        <f>IF(AUK26=0,0,IF(ATF26=1,SUMPRODUCT(--(($ATG$5:$ATG26=$ATG26-1)*($ATF$5:$ATF26&gt;=10)*($ATF$5:$ATF26&lt;=12)),$AUM$5:$AUM26),IF(ATF26=4,SUMPRODUCT(--(($ATG$5:$ATG26=$ATG26)*($ATF$5:$ATF26&gt;=1)*($ATF$5:$ATF26&lt;=3)),$AUM$5:$AUM26),IF(ATF26=7,SUMPRODUCT(--(($ATG$5:$ATG26=$ATG26)*($ATF$5:$ATF26&gt;=4)*($ATF$5:$ATF26&lt;=6)),$AUM$5:$AUM26),IF(ATF26=10,SUMPRODUCT(--(($ATG$5:$ATG26=$ATG26)*($ATF$5:$ATF26&gt;=7)*($ATF$5:$ATF26&lt;=9)),$AUM$5:$AUM26),0)))))</f>
        <v/>
      </c>
      <c r="AUO26" s="12">
        <f>AUO25+AUM26-AUN26</f>
        <v/>
      </c>
      <c r="AUP26" s="12">
        <f>IF(ProviderDelay&gt;=1,ATW25*BlendedProvPayEss+ATX25*BlendedProvPayPrem+ATY25*BlendedProvPayElite+ATZ25*BlendedProvPayEss+AUA25*BlendedProvPayPrem+AUB25*BlendedProvPayElite,ATW26*BlendedProvPayEss+ATX26*BlendedProvPayPrem+ATY26*BlendedProvPayElite+ATZ26*BlendedProvPayEss+AUA26*BlendedProvPayPrem+AUB26*BlendedProvPayElite)</f>
        <v/>
      </c>
      <c r="AUQ26" s="12">
        <f>AUI26*PaymentFee</f>
        <v/>
      </c>
      <c r="AUR26" s="12">
        <f>AUC26*OpsAI</f>
        <v/>
      </c>
      <c r="AUS26" s="12">
        <f>MonthlyFixed</f>
        <v/>
      </c>
      <c r="AUT26" s="12">
        <f>ATM26*ReferralReward</f>
        <v/>
      </c>
      <c r="AUU26" s="12">
        <f>ATK26</f>
        <v/>
      </c>
      <c r="AUV26" s="9">
        <f>AUL26-AUP26-AUQ26-AUR26-AUS26-AUT26-AUU26</f>
        <v/>
      </c>
      <c r="AUW26" s="9">
        <f>AUW25+AUI26-(AUP26+AUQ26+AUR26+AUS26+AUT26+AUU26+AUN26)</f>
        <v/>
      </c>
      <c r="AUX26" s="12">
        <f>IF(AUC26&gt;0,AUD26/AUC26,0)</f>
        <v/>
      </c>
      <c r="AUY26" s="11">
        <f>IF(AUC25&gt;0,MAX(0,(AUC25+ATN26-AUC26)/AUC25),0)</f>
        <v/>
      </c>
      <c r="AVA26" s="12" t="n">
        <v>22</v>
      </c>
      <c r="AVB26" s="12">
        <f>MOD(AVA26-1+LaunchMonth-1,12)+1</f>
        <v/>
      </c>
      <c r="AVC26" s="12">
        <f>INT((AVA26-1+LaunchMonth-1)/12)+1</f>
        <v/>
      </c>
      <c r="AVD26" s="12">
        <f>VLOOKUP(AVB26,WinterPivotSeasonTable,5,FALSE)</f>
        <v/>
      </c>
      <c r="AVE26" s="12">
        <f>(1+InflationRate)^INT((AVA26-1)/12)</f>
        <v/>
      </c>
      <c r="AVF26" s="11">
        <f>MonthlyChurn*VLOOKUP(AVB26,WinterPivotChurnTable,6,FALSE)</f>
        <v/>
      </c>
      <c r="AVG26" s="12">
        <f>MIN(MAX(MktMin19plus,AWE25*MktPct19plus),MAX(0,AWS25-CashBuffer))</f>
        <v/>
      </c>
      <c r="AVH26" s="12">
        <f>IF(AVG26&gt;0,MAX(1,ROUND(AVG26/CAC*AVD26,0)),0)</f>
        <v/>
      </c>
      <c r="AVI26" s="12">
        <f>IF(AVH26&gt;0,ROUND(AVH26*ReferralMix/(1-ReferralMix),0),0)</f>
        <v/>
      </c>
      <c r="AVJ26" s="12">
        <f>AVH26+AVI26</f>
        <v/>
      </c>
      <c r="AVK26" s="12">
        <f>ROUND(AVJ26*(1-AnnualMix),0)</f>
        <v/>
      </c>
      <c r="AVL26" s="12">
        <f>AVJ26-AVK26</f>
        <v/>
      </c>
      <c r="AVM26" s="12">
        <f>ROUND(AVK26*'Sens - Winter Pivot'!$B$6,0)</f>
        <v/>
      </c>
      <c r="AVN26" s="12">
        <f>ROUND(AVK26*PremiumMix,0)</f>
        <v/>
      </c>
      <c r="AVO26" s="12">
        <f>AVK26-AVM26-AVN26</f>
        <v/>
      </c>
      <c r="AVP26" s="12">
        <f>ROUND(AVL26*'Sens - Winter Pivot'!$B$6,0)</f>
        <v/>
      </c>
      <c r="AVQ26" s="12">
        <f>ROUND(AVL26*PremiumMix,0)</f>
        <v/>
      </c>
      <c r="AVR26" s="12">
        <f>AVL26-AVP26-AVQ26</f>
        <v/>
      </c>
      <c r="AVS26" s="12">
        <f>AVM26+AVM25+AVM24+MAX(0,AVS25-AVM25-AVM24)*(1-AVF26)</f>
        <v/>
      </c>
      <c r="AVT26" s="12">
        <f>AVN26+AVN25+AVN24+MAX(0,AVT25-AVN25-AVN24)*(1-AVF26)</f>
        <v/>
      </c>
      <c r="AVU26" s="12">
        <f>AVO26+AVO25+AVO24+MAX(0,AVU25-AVO25-AVO24)*(1-AVF26)</f>
        <v/>
      </c>
      <c r="AVV26" s="12">
        <f>AVV25+AVP26-AVP14*(AnnualChurn*VLOOKUP(AVB26,ChurnSeasonTable,4,FALSE))*POWER(1-(AnnualChurn*VLOOKUP(AVB26,ChurnSeasonTable,4,FALSE)),0)</f>
        <v/>
      </c>
      <c r="AVW26" s="12">
        <f>AVW25+AVQ26-AVQ14*(AnnualChurn*VLOOKUP(AVB26,ChurnSeasonTable,4,FALSE))*POWER(1-(AnnualChurn*VLOOKUP(AVB26,ChurnSeasonTable,4,FALSE)),0)</f>
        <v/>
      </c>
      <c r="AVX26" s="12">
        <f>AVX25+AVR26-AVR14*(AnnualChurn*VLOOKUP(AVB26,ChurnSeasonTable,4,FALSE))*POWER(1-(AnnualChurn*VLOOKUP(AVB26,ChurnSeasonTable,4,FALSE)),0)</f>
        <v/>
      </c>
      <c r="AVY26" s="12">
        <f>AVS26+AVT26+AVU26+AVV26+AVW26+AVX26</f>
        <v/>
      </c>
      <c r="AVZ26" s="9">
        <f>AVS26*BlendedPriceEssMonthly*AVE26+AVT26*(BlendedPricePremMonthly+'Sens - Winter Pivot'!$B$7)*AVE26+AVU26*BlendedPriceEliteMonthly*AVE26+AVV26*BlendedPriceEssAnnual*AVE26/12+AVW26*(BlendedPricePremAnnual+'Sens - Winter Pivot'!$B$7*12)*AVE26/12+AVX26*BlendedPriceEliteAnnual*AVE26/12</f>
        <v/>
      </c>
      <c r="AWA26" s="9">
        <f>AVZ26*12</f>
        <v/>
      </c>
      <c r="AWB26" s="12">
        <f>AVS26*BlendedPriceEssMonthly*AVE26+AVT26*(BlendedPricePremMonthly+'Sens - Winter Pivot'!$B$7)*AVE26+AVU26*BlendedPriceEliteMonthly*AVE26</f>
        <v/>
      </c>
      <c r="AWC26" s="12">
        <f>AVP26*BlendedPriceEssAnnual*AVE26+AVQ26*(BlendedPricePremAnnual+'Sens - Winter Pivot'!$B$7*12)*AVE26+AVR26*BlendedPriceEliteAnnual*AVE26</f>
        <v/>
      </c>
      <c r="AWD26" s="12">
        <f>AVP14*POWER(1-(AnnualChurn*VLOOKUP(AVB26,ChurnSeasonTable,4,FALSE)),1)*BlendedPriceEssAnnual*AVE26+AVQ14*POWER(1-(AnnualChurn*VLOOKUP(AVB26,ChurnSeasonTable,4,FALSE)),1)*BlendedPricePremAnnual*AVE26+AVR14*POWER(1-(AnnualChurn*VLOOKUP(AVB26,ChurnSeasonTable,4,FALSE)),1)*BlendedPriceEliteAnnual*AVE26</f>
        <v/>
      </c>
      <c r="AWE26" s="9">
        <f>AWB26+AWC26+AWD26</f>
        <v/>
      </c>
      <c r="AWF26" s="12">
        <f>SUM(AWE15:AWE26)</f>
        <v/>
      </c>
      <c r="AWG26" s="12">
        <f>OR(AWG25,IF(VATAgentMode,SUM($AWE15:$AWE26)-SUM($AWL15:$AWL26)&gt;=VATThreshold,SUM($AWE15:$AWE26)&gt;=VATThreshold))</f>
        <v/>
      </c>
      <c r="AWH26" s="9">
        <f>IF(AWG26,IF(VATAgentMode,AWE26-((AWE26-AWL26)-(AWE26-AWL26)/(1+VATRate)),AWE26/(1+VATRate)),AWE26)</f>
        <v/>
      </c>
      <c r="AWI26" s="12">
        <f>AWE26-AWH26</f>
        <v/>
      </c>
      <c r="AWJ26" s="12">
        <f>IF(AWG26=0,0,IF(AVB26=1,SUMPRODUCT(--(($AVC$5:$AVC26=$AVC26-1)*($AVB$5:$AVB26&gt;=10)*($AVB$5:$AVB26&lt;=12)),$AWI$5:$AWI26),IF(AVB26=4,SUMPRODUCT(--(($AVC$5:$AVC26=$AVC26)*($AVB$5:$AVB26&gt;=1)*($AVB$5:$AVB26&lt;=3)),$AWI$5:$AWI26),IF(AVB26=7,SUMPRODUCT(--(($AVC$5:$AVC26=$AVC26)*($AVB$5:$AVB26&gt;=4)*($AVB$5:$AVB26&lt;=6)),$AWI$5:$AWI26),IF(AVB26=10,SUMPRODUCT(--(($AVC$5:$AVC26=$AVC26)*($AVB$5:$AVB26&gt;=7)*($AVB$5:$AVB26&lt;=9)),$AWI$5:$AWI26),0)))))</f>
        <v/>
      </c>
      <c r="AWK26" s="12">
        <f>AWK25+AWI26-AWJ26</f>
        <v/>
      </c>
      <c r="AWL26" s="12">
        <f>IF(ProviderDelay&gt;=1,AVS25*BlendedProvPayEss+AVT25*BlendedProvPayPrem+AVU25*BlendedProvPayElite+AVV25*BlendedProvPayEss+AVW25*BlendedProvPayPrem+AVX25*BlendedProvPayElite,AVS26*BlendedProvPayEss+AVT26*BlendedProvPayPrem+AVU26*BlendedProvPayElite+AVV26*BlendedProvPayEss+AVW26*BlendedProvPayPrem+AVX26*BlendedProvPayElite)</f>
        <v/>
      </c>
      <c r="AWM26" s="12">
        <f>AWE26*PaymentFee</f>
        <v/>
      </c>
      <c r="AWN26" s="12">
        <f>AVY26*OpsAI</f>
        <v/>
      </c>
      <c r="AWO26" s="12">
        <f>MonthlyFixed</f>
        <v/>
      </c>
      <c r="AWP26" s="12">
        <f>AVI26*ReferralReward</f>
        <v/>
      </c>
      <c r="AWQ26" s="12">
        <f>AVG26</f>
        <v/>
      </c>
      <c r="AWR26" s="9">
        <f>AWH26-AWL26-AWM26-AWN26-AWO26-AWP26-AWQ26</f>
        <v/>
      </c>
      <c r="AWS26" s="9">
        <f>AWS25+AWE26-(AWL26+AWM26+AWN26+AWO26+AWP26+AWQ26+AWJ26)</f>
        <v/>
      </c>
      <c r="AWT26" s="12">
        <f>IF(AVY26&gt;0,AVZ26/AVY26,0)</f>
        <v/>
      </c>
      <c r="AWU26" s="11">
        <f>IF(AVY25&gt;0,MAX(0,(AVY25+AVJ26-AVY26)/AVY25),0)</f>
        <v/>
      </c>
    </row>
    <row r="27">
      <c r="A27" s="12" t="n">
        <v>23</v>
      </c>
      <c r="B27" s="12">
        <f>MOD(A27-1+LaunchMonth-1,12)+1</f>
        <v/>
      </c>
      <c r="C27" s="12">
        <f>INT((A27-1+LaunchMonth-1)/12)+1</f>
        <v/>
      </c>
      <c r="D27" s="12">
        <f>VLOOKUP(B27,SeasonTable,2,FALSE)</f>
        <v/>
      </c>
      <c r="E27" s="12">
        <f>(1+InflationRate)^INT((A27-1)/12)</f>
        <v/>
      </c>
      <c r="F27" s="11">
        <f>'Sens - Scenarios'!$B$5*VLOOKUP(B27,ChurnSeasonTable,4,FALSE)</f>
        <v/>
      </c>
      <c r="G27" s="12">
        <f>MIN(MAX(MktMin19plus,AE26*MktPct19plus),MAX(0,AS26-CashBuffer))</f>
        <v/>
      </c>
      <c r="H27" s="12">
        <f>IF(G27&gt;0,MAX(1,ROUND(G27/'Sens - Scenarios'!$B$8*D27,0)),0)</f>
        <v/>
      </c>
      <c r="I27" s="12">
        <f>IF(H27&gt;0,ROUND(H27*ReferralMix/(1-ReferralMix),0),0)</f>
        <v/>
      </c>
      <c r="J27" s="12">
        <f>H27+I27</f>
        <v/>
      </c>
      <c r="K27" s="12">
        <f>ROUND(J27*(1-'Sens - Scenarios'!$B$7),0)</f>
        <v/>
      </c>
      <c r="L27" s="12">
        <f>J27-K27</f>
        <v/>
      </c>
      <c r="M27" s="12">
        <f>ROUND(K27*EssentialMix,0)</f>
        <v/>
      </c>
      <c r="N27" s="12">
        <f>ROUND(K27*PremiumMix,0)</f>
        <v/>
      </c>
      <c r="O27" s="12">
        <f>K27-M27-N27</f>
        <v/>
      </c>
      <c r="P27" s="12">
        <f>ROUND(L27*EssentialMix,0)</f>
        <v/>
      </c>
      <c r="Q27" s="12">
        <f>ROUND(L27*PremiumMix,0)</f>
        <v/>
      </c>
      <c r="R27" s="12">
        <f>L27-P27-Q27</f>
        <v/>
      </c>
      <c r="S27" s="12">
        <f>M27+M26+M25+MAX(0,S26-M26-M25)*(1-F27)</f>
        <v/>
      </c>
      <c r="T27" s="12">
        <f>N27+N26+N25+MAX(0,T26-N26-N25)*(1-F27)</f>
        <v/>
      </c>
      <c r="U27" s="12">
        <f>O27+O26+O25+MAX(0,U26-O26-O25)*(1-F27)</f>
        <v/>
      </c>
      <c r="V27" s="12">
        <f>V26+P27-P15*('Sens - Scenarios'!$B$6*VLOOKUP(B27,ChurnSeasonTable,4,FALSE))*POWER(1-('Sens - Scenarios'!$B$6*VLOOKUP(B27,ChurnSeasonTable,4,FALSE)),0)</f>
        <v/>
      </c>
      <c r="W27" s="12">
        <f>W26+Q27-Q15*('Sens - Scenarios'!$B$6*VLOOKUP(B27,ChurnSeasonTable,4,FALSE))*POWER(1-('Sens - Scenarios'!$B$6*VLOOKUP(B27,ChurnSeasonTable,4,FALSE)),0)</f>
        <v/>
      </c>
      <c r="X27" s="12">
        <f>X26+R27-R15*('Sens - Scenarios'!$B$6*VLOOKUP(B27,ChurnSeasonTable,4,FALSE))*POWER(1-('Sens - Scenarios'!$B$6*VLOOKUP(B27,ChurnSeasonTable,4,FALSE)),0)</f>
        <v/>
      </c>
      <c r="Y27" s="12">
        <f>S27+T27+U27+V27+W27+X27</f>
        <v/>
      </c>
      <c r="Z27" s="9">
        <f>S27*BlendedPriceEssMonthly*E27+T27*BlendedPricePremMonthly*E27+U27*BlendedPriceEliteMonthly*E27+V27*BlendedPriceEssAnnual*E27/12+W27*BlendedPricePremAnnual*E27/12+X27*BlendedPriceEliteAnnual*E27/12</f>
        <v/>
      </c>
      <c r="AA27" s="9">
        <f>Z27*12</f>
        <v/>
      </c>
      <c r="AB27" s="12">
        <f>S27*BlendedPriceEssMonthly*E27+T27*BlendedPricePremMonthly*E27+U27*BlendedPriceEliteMonthly*E27</f>
        <v/>
      </c>
      <c r="AC27" s="12">
        <f>P27*BlendedPriceEssAnnual*E27+Q27*BlendedPricePremAnnual*E27+R27*BlendedPriceEliteAnnual*E27</f>
        <v/>
      </c>
      <c r="AD27" s="12">
        <f>P15*POWER(1-('Sens - Scenarios'!$B$6*VLOOKUP(B27,ChurnSeasonTable,4,FALSE)),1)*BlendedPriceEssAnnual*E27+Q15*POWER(1-('Sens - Scenarios'!$B$6*VLOOKUP(B27,ChurnSeasonTable,4,FALSE)),1)*BlendedPricePremAnnual*E27+R15*POWER(1-('Sens - Scenarios'!$B$6*VLOOKUP(B27,ChurnSeasonTable,4,FALSE)),1)*BlendedPriceEliteAnnual*E27</f>
        <v/>
      </c>
      <c r="AE27" s="9">
        <f>AB27+AC27+AD27</f>
        <v/>
      </c>
      <c r="AF27" s="12">
        <f>SUM(AE16:AE27)</f>
        <v/>
      </c>
      <c r="AG27" s="12">
        <f>OR(AG26,IF(VATAgentMode,SUM($AE16:$AE27)-SUM($AL16:$AL27)&gt;=VATThreshold,SUM($AE16:$AE27)&gt;=VATThreshold))</f>
        <v/>
      </c>
      <c r="AH27" s="9">
        <f>IF(AG27,IF(VATAgentMode,AE27-((AE27-AL27)-(AE27-AL27)/(1+VATRate)),AE27/(1+VATRate)),AE27)</f>
        <v/>
      </c>
      <c r="AI27" s="12">
        <f>AE27-AH27</f>
        <v/>
      </c>
      <c r="AJ27" s="12">
        <f>IF(AG27=0,0,IF(B27=1,SUMPRODUCT(--(($C$5:$C27=$C27-1)*($B$5:$B27&gt;=10)*($B$5:$B27&lt;=12)),$AI$5:$AI27),IF(B27=4,SUMPRODUCT(--(($C$5:$C27=$C27)*($B$5:$B27&gt;=1)*($B$5:$B27&lt;=3)),$AI$5:$AI27),IF(B27=7,SUMPRODUCT(--(($C$5:$C27=$C27)*($B$5:$B27&gt;=4)*($B$5:$B27&lt;=6)),$AI$5:$AI27),IF(B27=10,SUMPRODUCT(--(($C$5:$C27=$C27)*($B$5:$B27&gt;=7)*($B$5:$B27&lt;=9)),$AI$5:$AI27),0)))))</f>
        <v/>
      </c>
      <c r="AK27" s="12">
        <f>AK26+AI27-AJ27</f>
        <v/>
      </c>
      <c r="AL27" s="12">
        <f>IF(ProviderDelay&gt;=1,S26*BlendedProvPayEss+T26*BlendedProvPayPrem+U26*BlendedProvPayElite+V26*BlendedProvPayEss+W26*BlendedProvPayPrem+X26*BlendedProvPayElite,S27*BlendedProvPayEss+T27*BlendedProvPayPrem+U27*BlendedProvPayElite+V27*BlendedProvPayEss+W27*BlendedProvPayPrem+X27*BlendedProvPayElite)</f>
        <v/>
      </c>
      <c r="AM27" s="12">
        <f>AE27*PaymentFee</f>
        <v/>
      </c>
      <c r="AN27" s="12">
        <f>Y27*OpsAI</f>
        <v/>
      </c>
      <c r="AO27" s="12">
        <f>MonthlyFixed</f>
        <v/>
      </c>
      <c r="AP27" s="12">
        <f>I27*ReferralReward</f>
        <v/>
      </c>
      <c r="AQ27" s="12">
        <f>G27</f>
        <v/>
      </c>
      <c r="AR27" s="9">
        <f>AH27-AL27-AM27-AN27-AO27-AP27-AQ27</f>
        <v/>
      </c>
      <c r="AS27" s="9">
        <f>AS26+AE27-(AL27+AM27+AN27+AO27+AP27+AQ27+AJ27)</f>
        <v/>
      </c>
      <c r="AT27" s="12">
        <f>IF(Y27&gt;0,Z27/Y27,0)</f>
        <v/>
      </c>
      <c r="AU27" s="11">
        <f>IF(Y26&gt;0,MAX(0,(Y26+J27-Y27)/Y26),0)</f>
        <v/>
      </c>
      <c r="AW27" s="12" t="n">
        <v>23</v>
      </c>
      <c r="AX27" s="12">
        <f>MOD(AW27-1+LaunchMonth-1,12)+1</f>
        <v/>
      </c>
      <c r="AY27" s="12">
        <f>INT((AW27-1+LaunchMonth-1)/12)+1</f>
        <v/>
      </c>
      <c r="AZ27" s="12">
        <f>VLOOKUP(AX27,SeasonTable,2,FALSE)</f>
        <v/>
      </c>
      <c r="BA27" s="12">
        <f>(1+InflationRate)^INT((AW27-1)/12)</f>
        <v/>
      </c>
      <c r="BB27" s="11">
        <f>MonthlyChurn*VLOOKUP(AX27,ChurnSeasonTable,4,FALSE)</f>
        <v/>
      </c>
      <c r="BC27" s="12">
        <f>MIN(MAX(MktMin19plus,CA26*MktPct19plus),MAX(0,CO26-CashBuffer))</f>
        <v/>
      </c>
      <c r="BD27" s="12">
        <f>IF(BC27&gt;0,MAX(1,ROUND(BC27/CAC*AZ27,0)),0)</f>
        <v/>
      </c>
      <c r="BE27" s="12">
        <f>IF(BD27&gt;0,ROUND(BD27*ReferralMix/(1-ReferralMix),0),0)</f>
        <v/>
      </c>
      <c r="BF27" s="12">
        <f>BD27+BE27</f>
        <v/>
      </c>
      <c r="BG27" s="12">
        <f>ROUND(BF27*(1-AnnualMix),0)</f>
        <v/>
      </c>
      <c r="BH27" s="12">
        <f>BF27-BG27</f>
        <v/>
      </c>
      <c r="BI27" s="12">
        <f>ROUND(BG27*EssentialMix,0)</f>
        <v/>
      </c>
      <c r="BJ27" s="12">
        <f>ROUND(BG27*PremiumMix,0)</f>
        <v/>
      </c>
      <c r="BK27" s="12">
        <f>BG27-BI27-BJ27</f>
        <v/>
      </c>
      <c r="BL27" s="12">
        <f>ROUND(BH27*EssentialMix,0)</f>
        <v/>
      </c>
      <c r="BM27" s="12">
        <f>ROUND(BH27*PremiumMix,0)</f>
        <v/>
      </c>
      <c r="BN27" s="12">
        <f>BH27-BL27-BM27</f>
        <v/>
      </c>
      <c r="BO27" s="12">
        <f>BI27+BI26+BI25+MAX(0,BO26-BI26-BI25)*(1-BB27)</f>
        <v/>
      </c>
      <c r="BP27" s="12">
        <f>BJ27+BJ26+BJ25+MAX(0,BP26-BJ26-BJ25)*(1-BB27)</f>
        <v/>
      </c>
      <c r="BQ27" s="12">
        <f>BK27+BK26+BK25+MAX(0,BQ26-BK26-BK25)*(1-BB27)</f>
        <v/>
      </c>
      <c r="BR27" s="12">
        <f>BR26+BL27-BL15*(AnnualChurn*VLOOKUP(AX27,ChurnSeasonTable,4,FALSE))*POWER(1-(AnnualChurn*VLOOKUP(AX27,ChurnSeasonTable,4,FALSE)),0)</f>
        <v/>
      </c>
      <c r="BS27" s="12">
        <f>BS26+BM27-BM15*(AnnualChurn*VLOOKUP(AX27,ChurnSeasonTable,4,FALSE))*POWER(1-(AnnualChurn*VLOOKUP(AX27,ChurnSeasonTable,4,FALSE)),0)</f>
        <v/>
      </c>
      <c r="BT27" s="12">
        <f>BT26+BN27-BN15*(AnnualChurn*VLOOKUP(AX27,ChurnSeasonTable,4,FALSE))*POWER(1-(AnnualChurn*VLOOKUP(AX27,ChurnSeasonTable,4,FALSE)),0)</f>
        <v/>
      </c>
      <c r="BU27" s="12">
        <f>BO27+BP27+BQ27+BR27+BS27+BT27</f>
        <v/>
      </c>
      <c r="BV27" s="9">
        <f>BO27*BlendedPriceEssMonthly*BA27+BP27*BlendedPricePremMonthly*BA27+BQ27*BlendedPriceEliteMonthly*BA27+BR27*BlendedPriceEssAnnual*BA27/12+BS27*BlendedPricePremAnnual*BA27/12+BT27*BlendedPriceEliteAnnual*BA27/12</f>
        <v/>
      </c>
      <c r="BW27" s="9">
        <f>BV27*12</f>
        <v/>
      </c>
      <c r="BX27" s="12">
        <f>BO27*BlendedPriceEssMonthly*BA27+BP27*BlendedPricePremMonthly*BA27+BQ27*BlendedPriceEliteMonthly*BA27</f>
        <v/>
      </c>
      <c r="BY27" s="12">
        <f>BL27*BlendedPriceEssAnnual*BA27+BM27*BlendedPricePremAnnual*BA27+BN27*BlendedPriceEliteAnnual*BA27</f>
        <v/>
      </c>
      <c r="BZ27" s="12">
        <f>BL15*POWER(1-(AnnualChurn*VLOOKUP(AX27,ChurnSeasonTable,4,FALSE)),1)*BlendedPriceEssAnnual*BA27+BM15*POWER(1-(AnnualChurn*VLOOKUP(AX27,ChurnSeasonTable,4,FALSE)),1)*BlendedPricePremAnnual*BA27+BN15*POWER(1-(AnnualChurn*VLOOKUP(AX27,ChurnSeasonTable,4,FALSE)),1)*BlendedPriceEliteAnnual*BA27</f>
        <v/>
      </c>
      <c r="CA27" s="9">
        <f>BX27+BY27+BZ27</f>
        <v/>
      </c>
      <c r="CB27" s="12">
        <f>SUM(CA16:CA27)</f>
        <v/>
      </c>
      <c r="CC27" s="12">
        <f>OR(CC26,IF(VATAgentMode,SUM($CA16:$CA27)-SUM($CH16:$CH27)&gt;=VATThreshold,SUM($CA16:$CA27)&gt;=VATThreshold))</f>
        <v/>
      </c>
      <c r="CD27" s="9">
        <f>IF(CC27,IF(VATAgentMode,CA27-((CA27-CH27)-(CA27-CH27)/(1+VATRate)),CA27/(1+VATRate)),CA27)</f>
        <v/>
      </c>
      <c r="CE27" s="12">
        <f>CA27-CD27</f>
        <v/>
      </c>
      <c r="CF27" s="12">
        <f>IF(CC27=0,0,IF(AX27=1,SUMPRODUCT(--(($AY$5:$AY27=$AY27-1)*($AX$5:$AX27&gt;=10)*($AX$5:$AX27&lt;=12)),$CE$5:$CE27),IF(AX27=4,SUMPRODUCT(--(($AY$5:$AY27=$AY27)*($AX$5:$AX27&gt;=1)*($AX$5:$AX27&lt;=3)),$CE$5:$CE27),IF(AX27=7,SUMPRODUCT(--(($AY$5:$AY27=$AY27)*($AX$5:$AX27&gt;=4)*($AX$5:$AX27&lt;=6)),$CE$5:$CE27),IF(AX27=10,SUMPRODUCT(--(($AY$5:$AY27=$AY27)*($AX$5:$AX27&gt;=7)*($AX$5:$AX27&lt;=9)),$CE$5:$CE27),0)))))</f>
        <v/>
      </c>
      <c r="CG27" s="12">
        <f>CG26+CE27-CF27</f>
        <v/>
      </c>
      <c r="CH27" s="12">
        <f>IF(ProviderDelay&gt;=1,BO26*BlendedProvPayEss+BP26*BlendedProvPayPrem+BQ26*BlendedProvPayElite+BR26*BlendedProvPayEss+BS26*BlendedProvPayPrem+BT26*BlendedProvPayElite,BO27*BlendedProvPayEss+BP27*BlendedProvPayPrem+BQ27*BlendedProvPayElite+BR27*BlendedProvPayEss+BS27*BlendedProvPayPrem+BT27*BlendedProvPayElite)</f>
        <v/>
      </c>
      <c r="CI27" s="12">
        <f>CA27*PaymentFee</f>
        <v/>
      </c>
      <c r="CJ27" s="12">
        <f>BU27*OpsAI</f>
        <v/>
      </c>
      <c r="CK27" s="12">
        <f>MonthlyFixed</f>
        <v/>
      </c>
      <c r="CL27" s="12">
        <f>BE27*ReferralReward</f>
        <v/>
      </c>
      <c r="CM27" s="12">
        <f>BC27</f>
        <v/>
      </c>
      <c r="CN27" s="9">
        <f>CD27-CH27-CI27-CJ27-CK27-CL27-CM27</f>
        <v/>
      </c>
      <c r="CO27" s="9">
        <f>CO26+CA27-(CH27+CI27+CJ27+CK27+CL27+CM27+CF27)</f>
        <v/>
      </c>
      <c r="CP27" s="12">
        <f>IF(BU27&gt;0,BV27/BU27,0)</f>
        <v/>
      </c>
      <c r="CQ27" s="11">
        <f>IF(BU26&gt;0,MAX(0,(BU26+BF27-BU27)/BU26),0)</f>
        <v/>
      </c>
      <c r="CS27" s="12" t="n">
        <v>23</v>
      </c>
      <c r="CT27" s="12">
        <f>MOD(CS27-1+LaunchMonth-1,12)+1</f>
        <v/>
      </c>
      <c r="CU27" s="12">
        <f>INT((CS27-1+LaunchMonth-1)/12)+1</f>
        <v/>
      </c>
      <c r="CV27" s="12">
        <f>VLOOKUP(CT27,SeasonTable,2,FALSE)</f>
        <v/>
      </c>
      <c r="CW27" s="12">
        <f>(1+InflationRate)^INT((CS27-1)/12)</f>
        <v/>
      </c>
      <c r="CX27" s="11">
        <f>'Sens - Scenarios'!$D$5*VLOOKUP(CT27,ChurnSeasonTable,4,FALSE)</f>
        <v/>
      </c>
      <c r="CY27" s="12">
        <f>MIN(MAX(MktMin19plus,DW26*MktPct19plus),MAX(0,EK26-CashBuffer))</f>
        <v/>
      </c>
      <c r="CZ27" s="12">
        <f>IF(CY27&gt;0,MAX(1,ROUND(CY27/'Sens - Scenarios'!$D$8*CV27,0)),0)</f>
        <v/>
      </c>
      <c r="DA27" s="12">
        <f>IF(CZ27&gt;0,ROUND(CZ27*ReferralMix/(1-ReferralMix),0),0)</f>
        <v/>
      </c>
      <c r="DB27" s="12">
        <f>CZ27+DA27</f>
        <v/>
      </c>
      <c r="DC27" s="12">
        <f>ROUND(DB27*(1-'Sens - Scenarios'!$D$7),0)</f>
        <v/>
      </c>
      <c r="DD27" s="12">
        <f>DB27-DC27</f>
        <v/>
      </c>
      <c r="DE27" s="12">
        <f>ROUND(DC27*EssentialMix,0)</f>
        <v/>
      </c>
      <c r="DF27" s="12">
        <f>ROUND(DC27*PremiumMix,0)</f>
        <v/>
      </c>
      <c r="DG27" s="12">
        <f>DC27-DE27-DF27</f>
        <v/>
      </c>
      <c r="DH27" s="12">
        <f>ROUND(DD27*EssentialMix,0)</f>
        <v/>
      </c>
      <c r="DI27" s="12">
        <f>ROUND(DD27*PremiumMix,0)</f>
        <v/>
      </c>
      <c r="DJ27" s="12">
        <f>DD27-DH27-DI27</f>
        <v/>
      </c>
      <c r="DK27" s="12">
        <f>DE27+DE26+DE25+MAX(0,DK26-DE26-DE25)*(1-CX27)</f>
        <v/>
      </c>
      <c r="DL27" s="12">
        <f>DF27+DF26+DF25+MAX(0,DL26-DF26-DF25)*(1-CX27)</f>
        <v/>
      </c>
      <c r="DM27" s="12">
        <f>DG27+DG26+DG25+MAX(0,DM26-DG26-DG25)*(1-CX27)</f>
        <v/>
      </c>
      <c r="DN27" s="12">
        <f>DN26+DH27-DH15*('Sens - Scenarios'!$D$6*VLOOKUP(CT27,ChurnSeasonTable,4,FALSE))*POWER(1-('Sens - Scenarios'!$D$6*VLOOKUP(CT27,ChurnSeasonTable,4,FALSE)),0)</f>
        <v/>
      </c>
      <c r="DO27" s="12">
        <f>DO26+DI27-DI15*('Sens - Scenarios'!$D$6*VLOOKUP(CT27,ChurnSeasonTable,4,FALSE))*POWER(1-('Sens - Scenarios'!$D$6*VLOOKUP(CT27,ChurnSeasonTable,4,FALSE)),0)</f>
        <v/>
      </c>
      <c r="DP27" s="12">
        <f>DP26+DJ27-DJ15*('Sens - Scenarios'!$D$6*VLOOKUP(CT27,ChurnSeasonTable,4,FALSE))*POWER(1-('Sens - Scenarios'!$D$6*VLOOKUP(CT27,ChurnSeasonTable,4,FALSE)),0)</f>
        <v/>
      </c>
      <c r="DQ27" s="12">
        <f>DK27+DL27+DM27+DN27+DO27+DP27</f>
        <v/>
      </c>
      <c r="DR27" s="9">
        <f>DK27*BlendedPriceEssMonthly*CW27+DL27*BlendedPricePremMonthly*CW27+DM27*BlendedPriceEliteMonthly*CW27+DN27*BlendedPriceEssAnnual*CW27/12+DO27*BlendedPricePremAnnual*CW27/12+DP27*BlendedPriceEliteAnnual*CW27/12</f>
        <v/>
      </c>
      <c r="DS27" s="9">
        <f>DR27*12</f>
        <v/>
      </c>
      <c r="DT27" s="12">
        <f>DK27*BlendedPriceEssMonthly*CW27+DL27*BlendedPricePremMonthly*CW27+DM27*BlendedPriceEliteMonthly*CW27</f>
        <v/>
      </c>
      <c r="DU27" s="12">
        <f>DH27*BlendedPriceEssAnnual*CW27+DI27*BlendedPricePremAnnual*CW27+DJ27*BlendedPriceEliteAnnual*CW27</f>
        <v/>
      </c>
      <c r="DV27" s="12">
        <f>DH15*POWER(1-('Sens - Scenarios'!$D$6*VLOOKUP(CT27,ChurnSeasonTable,4,FALSE)),1)*BlendedPriceEssAnnual*CW27+DI15*POWER(1-('Sens - Scenarios'!$D$6*VLOOKUP(CT27,ChurnSeasonTable,4,FALSE)),1)*BlendedPricePremAnnual*CW27+DJ15*POWER(1-('Sens - Scenarios'!$D$6*VLOOKUP(CT27,ChurnSeasonTable,4,FALSE)),1)*BlendedPriceEliteAnnual*CW27</f>
        <v/>
      </c>
      <c r="DW27" s="9">
        <f>DT27+DU27+DV27</f>
        <v/>
      </c>
      <c r="DX27" s="12">
        <f>SUM(DW16:DW27)</f>
        <v/>
      </c>
      <c r="DY27" s="12">
        <f>OR(DY26,IF(VATAgentMode,SUM($DW16:$DW27)-SUM($ED16:$ED27)&gt;=VATThreshold,SUM($DW16:$DW27)&gt;=VATThreshold))</f>
        <v/>
      </c>
      <c r="DZ27" s="9">
        <f>IF(DY27,IF(VATAgentMode,DW27-((DW27-ED27)-(DW27-ED27)/(1+VATRate)),DW27/(1+VATRate)),DW27)</f>
        <v/>
      </c>
      <c r="EA27" s="12">
        <f>DW27-DZ27</f>
        <v/>
      </c>
      <c r="EB27" s="12">
        <f>IF(DY27=0,0,IF(CT27=1,SUMPRODUCT(--(($CU$5:$CU27=$CU27-1)*($CT$5:$CT27&gt;=10)*($CT$5:$CT27&lt;=12)),$EA$5:$EA27),IF(CT27=4,SUMPRODUCT(--(($CU$5:$CU27=$CU27)*($CT$5:$CT27&gt;=1)*($CT$5:$CT27&lt;=3)),$EA$5:$EA27),IF(CT27=7,SUMPRODUCT(--(($CU$5:$CU27=$CU27)*($CT$5:$CT27&gt;=4)*($CT$5:$CT27&lt;=6)),$EA$5:$EA27),IF(CT27=10,SUMPRODUCT(--(($CU$5:$CU27=$CU27)*($CT$5:$CT27&gt;=7)*($CT$5:$CT27&lt;=9)),$EA$5:$EA27),0)))))</f>
        <v/>
      </c>
      <c r="EC27" s="12">
        <f>EC26+EA27-EB27</f>
        <v/>
      </c>
      <c r="ED27" s="12">
        <f>IF(ProviderDelay&gt;=1,DK26*BlendedProvPayEss+DL26*BlendedProvPayPrem+DM26*BlendedProvPayElite+DN26*BlendedProvPayEss+DO26*BlendedProvPayPrem+DP26*BlendedProvPayElite,DK27*BlendedProvPayEss+DL27*BlendedProvPayPrem+DM27*BlendedProvPayElite+DN27*BlendedProvPayEss+DO27*BlendedProvPayPrem+DP27*BlendedProvPayElite)</f>
        <v/>
      </c>
      <c r="EE27" s="12">
        <f>DW27*PaymentFee</f>
        <v/>
      </c>
      <c r="EF27" s="12">
        <f>DQ27*OpsAI</f>
        <v/>
      </c>
      <c r="EG27" s="12">
        <f>MonthlyFixed</f>
        <v/>
      </c>
      <c r="EH27" s="12">
        <f>DA27*ReferralReward</f>
        <v/>
      </c>
      <c r="EI27" s="12">
        <f>CY27</f>
        <v/>
      </c>
      <c r="EJ27" s="9">
        <f>DZ27-ED27-EE27-EF27-EG27-EH27-EI27</f>
        <v/>
      </c>
      <c r="EK27" s="9">
        <f>EK26+DW27-(ED27+EE27+EF27+EG27+EH27+EI27+EB27)</f>
        <v/>
      </c>
      <c r="EL27" s="12">
        <f>IF(DQ27&gt;0,DR27/DQ27,0)</f>
        <v/>
      </c>
      <c r="EM27" s="11">
        <f>IF(DQ26&gt;0,MAX(0,(DQ26+DB27-DQ27)/DQ26),0)</f>
        <v/>
      </c>
      <c r="EO27" s="12" t="n">
        <v>23</v>
      </c>
      <c r="EP27" s="12">
        <f>MOD(EO27-1+LaunchMonth-1,12)+1</f>
        <v/>
      </c>
      <c r="EQ27" s="12">
        <f>INT((EO27-1+LaunchMonth-1)/12)+1</f>
        <v/>
      </c>
      <c r="ER27" s="12">
        <f>VLOOKUP(EP27,SeasonTable,2,FALSE)</f>
        <v/>
      </c>
      <c r="ES27" s="12">
        <f>(1+InflationRate)^INT((EO27-1)/12)</f>
        <v/>
      </c>
      <c r="ET27" s="11">
        <f>'Sens - Churn'!$A$13*VLOOKUP(EP27,ChurnSeasonTable,4,FALSE)</f>
        <v/>
      </c>
      <c r="EU27" s="12">
        <f>MIN(MAX(MktMin19plus,FS26*MktPct19plus),MAX(0,GG26-CashBuffer))</f>
        <v/>
      </c>
      <c r="EV27" s="12">
        <f>IF(EU27&gt;0,MAX(1,ROUND(EU27/CAC*ER27,0)),0)</f>
        <v/>
      </c>
      <c r="EW27" s="12">
        <f>IF(EV27&gt;0,ROUND(EV27*ReferralMix/(1-ReferralMix),0),0)</f>
        <v/>
      </c>
      <c r="EX27" s="12">
        <f>EV27+EW27</f>
        <v/>
      </c>
      <c r="EY27" s="12">
        <f>ROUND(EX27*(1-AnnualMix),0)</f>
        <v/>
      </c>
      <c r="EZ27" s="12">
        <f>EX27-EY27</f>
        <v/>
      </c>
      <c r="FA27" s="12">
        <f>ROUND(EY27*EssentialMix,0)</f>
        <v/>
      </c>
      <c r="FB27" s="12">
        <f>ROUND(EY27*PremiumMix,0)</f>
        <v/>
      </c>
      <c r="FC27" s="12">
        <f>EY27-FA27-FB27</f>
        <v/>
      </c>
      <c r="FD27" s="12">
        <f>ROUND(EZ27*EssentialMix,0)</f>
        <v/>
      </c>
      <c r="FE27" s="12">
        <f>ROUND(EZ27*PremiumMix,0)</f>
        <v/>
      </c>
      <c r="FF27" s="12">
        <f>EZ27-FD27-FE27</f>
        <v/>
      </c>
      <c r="FG27" s="12">
        <f>FA27+FA26+FA25+MAX(0,FG26-FA26-FA25)*(1-ET27)</f>
        <v/>
      </c>
      <c r="FH27" s="12">
        <f>FB27+FB26+FB25+MAX(0,FH26-FB26-FB25)*(1-ET27)</f>
        <v/>
      </c>
      <c r="FI27" s="12">
        <f>FC27+FC26+FC25+MAX(0,FI26-FC26-FC25)*(1-ET27)</f>
        <v/>
      </c>
      <c r="FJ27" s="12">
        <f>FJ26+FD27-FD15*(AnnualChurn*VLOOKUP(EP27,ChurnSeasonTable,4,FALSE))*POWER(1-(AnnualChurn*VLOOKUP(EP27,ChurnSeasonTable,4,FALSE)),0)</f>
        <v/>
      </c>
      <c r="FK27" s="12">
        <f>FK26+FE27-FE15*(AnnualChurn*VLOOKUP(EP27,ChurnSeasonTable,4,FALSE))*POWER(1-(AnnualChurn*VLOOKUP(EP27,ChurnSeasonTable,4,FALSE)),0)</f>
        <v/>
      </c>
      <c r="FL27" s="12">
        <f>FL26+FF27-FF15*(AnnualChurn*VLOOKUP(EP27,ChurnSeasonTable,4,FALSE))*POWER(1-(AnnualChurn*VLOOKUP(EP27,ChurnSeasonTable,4,FALSE)),0)</f>
        <v/>
      </c>
      <c r="FM27" s="12">
        <f>FG27+FH27+FI27+FJ27+FK27+FL27</f>
        <v/>
      </c>
      <c r="FN27" s="9">
        <f>FG27*BlendedPriceEssMonthly*ES27+FH27*BlendedPricePremMonthly*ES27+FI27*BlendedPriceEliteMonthly*ES27+FJ27*BlendedPriceEssAnnual*ES27/12+FK27*BlendedPricePremAnnual*ES27/12+FL27*BlendedPriceEliteAnnual*ES27/12</f>
        <v/>
      </c>
      <c r="FO27" s="9">
        <f>FN27*12</f>
        <v/>
      </c>
      <c r="FP27" s="12">
        <f>FG27*BlendedPriceEssMonthly*ES27+FH27*BlendedPricePremMonthly*ES27+FI27*BlendedPriceEliteMonthly*ES27</f>
        <v/>
      </c>
      <c r="FQ27" s="12">
        <f>FD27*BlendedPriceEssAnnual*ES27+FE27*BlendedPricePremAnnual*ES27+FF27*BlendedPriceEliteAnnual*ES27</f>
        <v/>
      </c>
      <c r="FR27" s="12">
        <f>FD15*POWER(1-(AnnualChurn*VLOOKUP(EP27,ChurnSeasonTable,4,FALSE)),1)*BlendedPriceEssAnnual*ES27+FE15*POWER(1-(AnnualChurn*VLOOKUP(EP27,ChurnSeasonTable,4,FALSE)),1)*BlendedPricePremAnnual*ES27+FF15*POWER(1-(AnnualChurn*VLOOKUP(EP27,ChurnSeasonTable,4,FALSE)),1)*BlendedPriceEliteAnnual*ES27</f>
        <v/>
      </c>
      <c r="FS27" s="9">
        <f>FP27+FQ27+FR27</f>
        <v/>
      </c>
      <c r="FT27" s="12">
        <f>SUM(FS16:FS27)</f>
        <v/>
      </c>
      <c r="FU27" s="12">
        <f>OR(FU26,IF(VATAgentMode,SUM($FS16:$FS27)-SUM($FZ16:$FZ27)&gt;=VATThreshold,SUM($FS16:$FS27)&gt;=VATThreshold))</f>
        <v/>
      </c>
      <c r="FV27" s="9">
        <f>IF(FU27,IF(VATAgentMode,FS27-((FS27-FZ27)-(FS27-FZ27)/(1+VATRate)),FS27/(1+VATRate)),FS27)</f>
        <v/>
      </c>
      <c r="FW27" s="12">
        <f>FS27-FV27</f>
        <v/>
      </c>
      <c r="FX27" s="12">
        <f>IF(FU27=0,0,IF(EP27=1,SUMPRODUCT(--(($EQ$5:$EQ27=$EQ27-1)*($EP$5:$EP27&gt;=10)*($EP$5:$EP27&lt;=12)),$FW$5:$FW27),IF(EP27=4,SUMPRODUCT(--(($EQ$5:$EQ27=$EQ27)*($EP$5:$EP27&gt;=1)*($EP$5:$EP27&lt;=3)),$FW$5:$FW27),IF(EP27=7,SUMPRODUCT(--(($EQ$5:$EQ27=$EQ27)*($EP$5:$EP27&gt;=4)*($EP$5:$EP27&lt;=6)),$FW$5:$FW27),IF(EP27=10,SUMPRODUCT(--(($EQ$5:$EQ27=$EQ27)*($EP$5:$EP27&gt;=7)*($EP$5:$EP27&lt;=9)),$FW$5:$FW27),0)))))</f>
        <v/>
      </c>
      <c r="FY27" s="12">
        <f>FY26+FW27-FX27</f>
        <v/>
      </c>
      <c r="FZ27" s="12">
        <f>IF(ProviderDelay&gt;=1,FG26*BlendedProvPayEss+FH26*BlendedProvPayPrem+FI26*BlendedProvPayElite+FJ26*BlendedProvPayEss+FK26*BlendedProvPayPrem+FL26*BlendedProvPayElite,FG27*BlendedProvPayEss+FH27*BlendedProvPayPrem+FI27*BlendedProvPayElite+FJ27*BlendedProvPayEss+FK27*BlendedProvPayPrem+FL27*BlendedProvPayElite)</f>
        <v/>
      </c>
      <c r="GA27" s="12">
        <f>FS27*PaymentFee</f>
        <v/>
      </c>
      <c r="GB27" s="12">
        <f>FM27*OpsAI</f>
        <v/>
      </c>
      <c r="GC27" s="12">
        <f>MonthlyFixed</f>
        <v/>
      </c>
      <c r="GD27" s="12">
        <f>EW27*ReferralReward</f>
        <v/>
      </c>
      <c r="GE27" s="12">
        <f>EU27</f>
        <v/>
      </c>
      <c r="GF27" s="9">
        <f>FV27-FZ27-GA27-GB27-GC27-GD27-GE27</f>
        <v/>
      </c>
      <c r="GG27" s="9">
        <f>GG26+FS27-(FZ27+GA27+GB27+GC27+GD27+GE27+FX27)</f>
        <v/>
      </c>
      <c r="GH27" s="12">
        <f>IF(FM27&gt;0,FN27/FM27,0)</f>
        <v/>
      </c>
      <c r="GI27" s="11">
        <f>IF(FM26&gt;0,MAX(0,(FM26+EX27-FM27)/FM26),0)</f>
        <v/>
      </c>
      <c r="GK27" s="12" t="n">
        <v>23</v>
      </c>
      <c r="GL27" s="12">
        <f>MOD(GK27-1+LaunchMonth-1,12)+1</f>
        <v/>
      </c>
      <c r="GM27" s="12">
        <f>INT((GK27-1+LaunchMonth-1)/12)+1</f>
        <v/>
      </c>
      <c r="GN27" s="12">
        <f>VLOOKUP(GL27,SeasonTable,2,FALSE)</f>
        <v/>
      </c>
      <c r="GO27" s="12">
        <f>(1+InflationRate)^INT((GK27-1)/12)</f>
        <v/>
      </c>
      <c r="GP27" s="11">
        <f>'Sens - Churn'!$A$14*VLOOKUP(GL27,ChurnSeasonTable,4,FALSE)</f>
        <v/>
      </c>
      <c r="GQ27" s="12">
        <f>MIN(MAX(MktMin19plus,HO26*MktPct19plus),MAX(0,IC26-CashBuffer))</f>
        <v/>
      </c>
      <c r="GR27" s="12">
        <f>IF(GQ27&gt;0,MAX(1,ROUND(GQ27/CAC*GN27,0)),0)</f>
        <v/>
      </c>
      <c r="GS27" s="12">
        <f>IF(GR27&gt;0,ROUND(GR27*ReferralMix/(1-ReferralMix),0),0)</f>
        <v/>
      </c>
      <c r="GT27" s="12">
        <f>GR27+GS27</f>
        <v/>
      </c>
      <c r="GU27" s="12">
        <f>ROUND(GT27*(1-AnnualMix),0)</f>
        <v/>
      </c>
      <c r="GV27" s="12">
        <f>GT27-GU27</f>
        <v/>
      </c>
      <c r="GW27" s="12">
        <f>ROUND(GU27*EssentialMix,0)</f>
        <v/>
      </c>
      <c r="GX27" s="12">
        <f>ROUND(GU27*PremiumMix,0)</f>
        <v/>
      </c>
      <c r="GY27" s="12">
        <f>GU27-GW27-GX27</f>
        <v/>
      </c>
      <c r="GZ27" s="12">
        <f>ROUND(GV27*EssentialMix,0)</f>
        <v/>
      </c>
      <c r="HA27" s="12">
        <f>ROUND(GV27*PremiumMix,0)</f>
        <v/>
      </c>
      <c r="HB27" s="12">
        <f>GV27-GZ27-HA27</f>
        <v/>
      </c>
      <c r="HC27" s="12">
        <f>GW27+GW26+GW25+MAX(0,HC26-GW26-GW25)*(1-GP27)</f>
        <v/>
      </c>
      <c r="HD27" s="12">
        <f>GX27+GX26+GX25+MAX(0,HD26-GX26-GX25)*(1-GP27)</f>
        <v/>
      </c>
      <c r="HE27" s="12">
        <f>GY27+GY26+GY25+MAX(0,HE26-GY26-GY25)*(1-GP27)</f>
        <v/>
      </c>
      <c r="HF27" s="12">
        <f>HF26+GZ27-GZ15*(AnnualChurn*VLOOKUP(GL27,ChurnSeasonTable,4,FALSE))*POWER(1-(AnnualChurn*VLOOKUP(GL27,ChurnSeasonTable,4,FALSE)),0)</f>
        <v/>
      </c>
      <c r="HG27" s="12">
        <f>HG26+HA27-HA15*(AnnualChurn*VLOOKUP(GL27,ChurnSeasonTable,4,FALSE))*POWER(1-(AnnualChurn*VLOOKUP(GL27,ChurnSeasonTable,4,FALSE)),0)</f>
        <v/>
      </c>
      <c r="HH27" s="12">
        <f>HH26+HB27-HB15*(AnnualChurn*VLOOKUP(GL27,ChurnSeasonTable,4,FALSE))*POWER(1-(AnnualChurn*VLOOKUP(GL27,ChurnSeasonTable,4,FALSE)),0)</f>
        <v/>
      </c>
      <c r="HI27" s="12">
        <f>HC27+HD27+HE27+HF27+HG27+HH27</f>
        <v/>
      </c>
      <c r="HJ27" s="9">
        <f>HC27*BlendedPriceEssMonthly*GO27+HD27*BlendedPricePremMonthly*GO27+HE27*BlendedPriceEliteMonthly*GO27+HF27*BlendedPriceEssAnnual*GO27/12+HG27*BlendedPricePremAnnual*GO27/12+HH27*BlendedPriceEliteAnnual*GO27/12</f>
        <v/>
      </c>
      <c r="HK27" s="9">
        <f>HJ27*12</f>
        <v/>
      </c>
      <c r="HL27" s="12">
        <f>HC27*BlendedPriceEssMonthly*GO27+HD27*BlendedPricePremMonthly*GO27+HE27*BlendedPriceEliteMonthly*GO27</f>
        <v/>
      </c>
      <c r="HM27" s="12">
        <f>GZ27*BlendedPriceEssAnnual*GO27+HA27*BlendedPricePremAnnual*GO27+HB27*BlendedPriceEliteAnnual*GO27</f>
        <v/>
      </c>
      <c r="HN27" s="12">
        <f>GZ15*POWER(1-(AnnualChurn*VLOOKUP(GL27,ChurnSeasonTable,4,FALSE)),1)*BlendedPriceEssAnnual*GO27+HA15*POWER(1-(AnnualChurn*VLOOKUP(GL27,ChurnSeasonTable,4,FALSE)),1)*BlendedPricePremAnnual*GO27+HB15*POWER(1-(AnnualChurn*VLOOKUP(GL27,ChurnSeasonTable,4,FALSE)),1)*BlendedPriceEliteAnnual*GO27</f>
        <v/>
      </c>
      <c r="HO27" s="9">
        <f>HL27+HM27+HN27</f>
        <v/>
      </c>
      <c r="HP27" s="12">
        <f>SUM(HO16:HO27)</f>
        <v/>
      </c>
      <c r="HQ27" s="12">
        <f>OR(HQ26,IF(VATAgentMode,SUM($HO16:$HO27)-SUM($HV16:$HV27)&gt;=VATThreshold,SUM($HO16:$HO27)&gt;=VATThreshold))</f>
        <v/>
      </c>
      <c r="HR27" s="9">
        <f>IF(HQ27,IF(VATAgentMode,HO27-((HO27-HV27)-(HO27-HV27)/(1+VATRate)),HO27/(1+VATRate)),HO27)</f>
        <v/>
      </c>
      <c r="HS27" s="12">
        <f>HO27-HR27</f>
        <v/>
      </c>
      <c r="HT27" s="12">
        <f>IF(HQ27=0,0,IF(GL27=1,SUMPRODUCT(--(($GM$5:$GM27=$GM27-1)*($GL$5:$GL27&gt;=10)*($GL$5:$GL27&lt;=12)),$HS$5:$HS27),IF(GL27=4,SUMPRODUCT(--(($GM$5:$GM27=$GM27)*($GL$5:$GL27&gt;=1)*($GL$5:$GL27&lt;=3)),$HS$5:$HS27),IF(GL27=7,SUMPRODUCT(--(($GM$5:$GM27=$GM27)*($GL$5:$GL27&gt;=4)*($GL$5:$GL27&lt;=6)),$HS$5:$HS27),IF(GL27=10,SUMPRODUCT(--(($GM$5:$GM27=$GM27)*($GL$5:$GL27&gt;=7)*($GL$5:$GL27&lt;=9)),$HS$5:$HS27),0)))))</f>
        <v/>
      </c>
      <c r="HU27" s="12">
        <f>HU26+HS27-HT27</f>
        <v/>
      </c>
      <c r="HV27" s="12">
        <f>IF(ProviderDelay&gt;=1,HC26*BlendedProvPayEss+HD26*BlendedProvPayPrem+HE26*BlendedProvPayElite+HF26*BlendedProvPayEss+HG26*BlendedProvPayPrem+HH26*BlendedProvPayElite,HC27*BlendedProvPayEss+HD27*BlendedProvPayPrem+HE27*BlendedProvPayElite+HF27*BlendedProvPayEss+HG27*BlendedProvPayPrem+HH27*BlendedProvPayElite)</f>
        <v/>
      </c>
      <c r="HW27" s="12">
        <f>HO27*PaymentFee</f>
        <v/>
      </c>
      <c r="HX27" s="12">
        <f>HI27*OpsAI</f>
        <v/>
      </c>
      <c r="HY27" s="12">
        <f>MonthlyFixed</f>
        <v/>
      </c>
      <c r="HZ27" s="12">
        <f>GS27*ReferralReward</f>
        <v/>
      </c>
      <c r="IA27" s="12">
        <f>GQ27</f>
        <v/>
      </c>
      <c r="IB27" s="9">
        <f>HR27-HV27-HW27-HX27-HY27-HZ27-IA27</f>
        <v/>
      </c>
      <c r="IC27" s="9">
        <f>IC26+HO27-(HV27+HW27+HX27+HY27+HZ27+IA27+HT27)</f>
        <v/>
      </c>
      <c r="ID27" s="12">
        <f>IF(HI27&gt;0,HJ27/HI27,0)</f>
        <v/>
      </c>
      <c r="IE27" s="11">
        <f>IF(HI26&gt;0,MAX(0,(HI26+GT27-HI27)/HI26),0)</f>
        <v/>
      </c>
      <c r="IG27" s="12" t="n">
        <v>23</v>
      </c>
      <c r="IH27" s="12">
        <f>MOD(IG27-1+LaunchMonth-1,12)+1</f>
        <v/>
      </c>
      <c r="II27" s="12">
        <f>INT((IG27-1+LaunchMonth-1)/12)+1</f>
        <v/>
      </c>
      <c r="IJ27" s="12">
        <f>VLOOKUP(IH27,SeasonTable,2,FALSE)</f>
        <v/>
      </c>
      <c r="IK27" s="12">
        <f>(1+InflationRate)^INT((IG27-1)/12)</f>
        <v/>
      </c>
      <c r="IL27" s="11">
        <f>'Sens - Churn'!$A$15*VLOOKUP(IH27,ChurnSeasonTable,4,FALSE)</f>
        <v/>
      </c>
      <c r="IM27" s="12">
        <f>MIN(MAX(MktMin19plus,JK26*MktPct19plus),MAX(0,JY26-CashBuffer))</f>
        <v/>
      </c>
      <c r="IN27" s="12">
        <f>IF(IM27&gt;0,MAX(1,ROUND(IM27/CAC*IJ27,0)),0)</f>
        <v/>
      </c>
      <c r="IO27" s="12">
        <f>IF(IN27&gt;0,ROUND(IN27*ReferralMix/(1-ReferralMix),0),0)</f>
        <v/>
      </c>
      <c r="IP27" s="12">
        <f>IN27+IO27</f>
        <v/>
      </c>
      <c r="IQ27" s="12">
        <f>ROUND(IP27*(1-AnnualMix),0)</f>
        <v/>
      </c>
      <c r="IR27" s="12">
        <f>IP27-IQ27</f>
        <v/>
      </c>
      <c r="IS27" s="12">
        <f>ROUND(IQ27*EssentialMix,0)</f>
        <v/>
      </c>
      <c r="IT27" s="12">
        <f>ROUND(IQ27*PremiumMix,0)</f>
        <v/>
      </c>
      <c r="IU27" s="12">
        <f>IQ27-IS27-IT27</f>
        <v/>
      </c>
      <c r="IV27" s="12">
        <f>ROUND(IR27*EssentialMix,0)</f>
        <v/>
      </c>
      <c r="IW27" s="12">
        <f>ROUND(IR27*PremiumMix,0)</f>
        <v/>
      </c>
      <c r="IX27" s="12">
        <f>IR27-IV27-IW27</f>
        <v/>
      </c>
      <c r="IY27" s="12">
        <f>IS27+IS26+IS25+MAX(0,IY26-IS26-IS25)*(1-IL27)</f>
        <v/>
      </c>
      <c r="IZ27" s="12">
        <f>IT27+IT26+IT25+MAX(0,IZ26-IT26-IT25)*(1-IL27)</f>
        <v/>
      </c>
      <c r="JA27" s="12">
        <f>IU27+IU26+IU25+MAX(0,JA26-IU26-IU25)*(1-IL27)</f>
        <v/>
      </c>
      <c r="JB27" s="12">
        <f>JB26+IV27-IV15*(AnnualChurn*VLOOKUP(IH27,ChurnSeasonTable,4,FALSE))*POWER(1-(AnnualChurn*VLOOKUP(IH27,ChurnSeasonTable,4,FALSE)),0)</f>
        <v/>
      </c>
      <c r="JC27" s="12">
        <f>JC26+IW27-IW15*(AnnualChurn*VLOOKUP(IH27,ChurnSeasonTable,4,FALSE))*POWER(1-(AnnualChurn*VLOOKUP(IH27,ChurnSeasonTable,4,FALSE)),0)</f>
        <v/>
      </c>
      <c r="JD27" s="12">
        <f>JD26+IX27-IX15*(AnnualChurn*VLOOKUP(IH27,ChurnSeasonTable,4,FALSE))*POWER(1-(AnnualChurn*VLOOKUP(IH27,ChurnSeasonTable,4,FALSE)),0)</f>
        <v/>
      </c>
      <c r="JE27" s="12">
        <f>IY27+IZ27+JA27+JB27+JC27+JD27</f>
        <v/>
      </c>
      <c r="JF27" s="9">
        <f>IY27*BlendedPriceEssMonthly*IK27+IZ27*BlendedPricePremMonthly*IK27+JA27*BlendedPriceEliteMonthly*IK27+JB27*BlendedPriceEssAnnual*IK27/12+JC27*BlendedPricePremAnnual*IK27/12+JD27*BlendedPriceEliteAnnual*IK27/12</f>
        <v/>
      </c>
      <c r="JG27" s="9">
        <f>JF27*12</f>
        <v/>
      </c>
      <c r="JH27" s="12">
        <f>IY27*BlendedPriceEssMonthly*IK27+IZ27*BlendedPricePremMonthly*IK27+JA27*BlendedPriceEliteMonthly*IK27</f>
        <v/>
      </c>
      <c r="JI27" s="12">
        <f>IV27*BlendedPriceEssAnnual*IK27+IW27*BlendedPricePremAnnual*IK27+IX27*BlendedPriceEliteAnnual*IK27</f>
        <v/>
      </c>
      <c r="JJ27" s="12">
        <f>IV15*POWER(1-(AnnualChurn*VLOOKUP(IH27,ChurnSeasonTable,4,FALSE)),1)*BlendedPriceEssAnnual*IK27+IW15*POWER(1-(AnnualChurn*VLOOKUP(IH27,ChurnSeasonTable,4,FALSE)),1)*BlendedPricePremAnnual*IK27+IX15*POWER(1-(AnnualChurn*VLOOKUP(IH27,ChurnSeasonTable,4,FALSE)),1)*BlendedPriceEliteAnnual*IK27</f>
        <v/>
      </c>
      <c r="JK27" s="9">
        <f>JH27+JI27+JJ27</f>
        <v/>
      </c>
      <c r="JL27" s="12">
        <f>SUM(JK16:JK27)</f>
        <v/>
      </c>
      <c r="JM27" s="12">
        <f>OR(JM26,IF(VATAgentMode,SUM($JK16:$JK27)-SUM($JR16:$JR27)&gt;=VATThreshold,SUM($JK16:$JK27)&gt;=VATThreshold))</f>
        <v/>
      </c>
      <c r="JN27" s="9">
        <f>IF(JM27,IF(VATAgentMode,JK27-((JK27-JR27)-(JK27-JR27)/(1+VATRate)),JK27/(1+VATRate)),JK27)</f>
        <v/>
      </c>
      <c r="JO27" s="12">
        <f>JK27-JN27</f>
        <v/>
      </c>
      <c r="JP27" s="12">
        <f>IF(JM27=0,0,IF(IH27=1,SUMPRODUCT(--(($II$5:$II27=$II27-1)*($IH$5:$IH27&gt;=10)*($IH$5:$IH27&lt;=12)),$JO$5:$JO27),IF(IH27=4,SUMPRODUCT(--(($II$5:$II27=$II27)*($IH$5:$IH27&gt;=1)*($IH$5:$IH27&lt;=3)),$JO$5:$JO27),IF(IH27=7,SUMPRODUCT(--(($II$5:$II27=$II27)*($IH$5:$IH27&gt;=4)*($IH$5:$IH27&lt;=6)),$JO$5:$JO27),IF(IH27=10,SUMPRODUCT(--(($II$5:$II27=$II27)*($IH$5:$IH27&gt;=7)*($IH$5:$IH27&lt;=9)),$JO$5:$JO27),0)))))</f>
        <v/>
      </c>
      <c r="JQ27" s="12">
        <f>JQ26+JO27-JP27</f>
        <v/>
      </c>
      <c r="JR27" s="12">
        <f>IF(ProviderDelay&gt;=1,IY26*BlendedProvPayEss+IZ26*BlendedProvPayPrem+JA26*BlendedProvPayElite+JB26*BlendedProvPayEss+JC26*BlendedProvPayPrem+JD26*BlendedProvPayElite,IY27*BlendedProvPayEss+IZ27*BlendedProvPayPrem+JA27*BlendedProvPayElite+JB27*BlendedProvPayEss+JC27*BlendedProvPayPrem+JD27*BlendedProvPayElite)</f>
        <v/>
      </c>
      <c r="JS27" s="12">
        <f>JK27*PaymentFee</f>
        <v/>
      </c>
      <c r="JT27" s="12">
        <f>JE27*OpsAI</f>
        <v/>
      </c>
      <c r="JU27" s="12">
        <f>MonthlyFixed</f>
        <v/>
      </c>
      <c r="JV27" s="12">
        <f>IO27*ReferralReward</f>
        <v/>
      </c>
      <c r="JW27" s="12">
        <f>IM27</f>
        <v/>
      </c>
      <c r="JX27" s="9">
        <f>JN27-JR27-JS27-JT27-JU27-JV27-JW27</f>
        <v/>
      </c>
      <c r="JY27" s="9">
        <f>JY26+JK27-(JR27+JS27+JT27+JU27+JV27+JW27+JP27)</f>
        <v/>
      </c>
      <c r="JZ27" s="12">
        <f>IF(JE27&gt;0,JF27/JE27,0)</f>
        <v/>
      </c>
      <c r="KA27" s="11">
        <f>IF(JE26&gt;0,MAX(0,(JE26+IP27-JE27)/JE26),0)</f>
        <v/>
      </c>
      <c r="KC27" s="12" t="n">
        <v>23</v>
      </c>
      <c r="KD27" s="12">
        <f>MOD(KC27-1+LaunchMonth-1,12)+1</f>
        <v/>
      </c>
      <c r="KE27" s="12">
        <f>INT((KC27-1+LaunchMonth-1)/12)+1</f>
        <v/>
      </c>
      <c r="KF27" s="12">
        <f>VLOOKUP(KD27,SeasonTable,2,FALSE)</f>
        <v/>
      </c>
      <c r="KG27" s="12">
        <f>(1+InflationRate)^INT((KC27-1)/12)</f>
        <v/>
      </c>
      <c r="KH27" s="11">
        <f>'Sens - Churn'!$A$16*VLOOKUP(KD27,ChurnSeasonTable,4,FALSE)</f>
        <v/>
      </c>
      <c r="KI27" s="12">
        <f>MIN(MAX(MktMin19plus,LG26*MktPct19plus),MAX(0,LU26-CashBuffer))</f>
        <v/>
      </c>
      <c r="KJ27" s="12">
        <f>IF(KI27&gt;0,MAX(1,ROUND(KI27/CAC*KF27,0)),0)</f>
        <v/>
      </c>
      <c r="KK27" s="12">
        <f>IF(KJ27&gt;0,ROUND(KJ27*ReferralMix/(1-ReferralMix),0),0)</f>
        <v/>
      </c>
      <c r="KL27" s="12">
        <f>KJ27+KK27</f>
        <v/>
      </c>
      <c r="KM27" s="12">
        <f>ROUND(KL27*(1-AnnualMix),0)</f>
        <v/>
      </c>
      <c r="KN27" s="12">
        <f>KL27-KM27</f>
        <v/>
      </c>
      <c r="KO27" s="12">
        <f>ROUND(KM27*EssentialMix,0)</f>
        <v/>
      </c>
      <c r="KP27" s="12">
        <f>ROUND(KM27*PremiumMix,0)</f>
        <v/>
      </c>
      <c r="KQ27" s="12">
        <f>KM27-KO27-KP27</f>
        <v/>
      </c>
      <c r="KR27" s="12">
        <f>ROUND(KN27*EssentialMix,0)</f>
        <v/>
      </c>
      <c r="KS27" s="12">
        <f>ROUND(KN27*PremiumMix,0)</f>
        <v/>
      </c>
      <c r="KT27" s="12">
        <f>KN27-KR27-KS27</f>
        <v/>
      </c>
      <c r="KU27" s="12">
        <f>KO27+KO26+KO25+MAX(0,KU26-KO26-KO25)*(1-KH27)</f>
        <v/>
      </c>
      <c r="KV27" s="12">
        <f>KP27+KP26+KP25+MAX(0,KV26-KP26-KP25)*(1-KH27)</f>
        <v/>
      </c>
      <c r="KW27" s="12">
        <f>KQ27+KQ26+KQ25+MAX(0,KW26-KQ26-KQ25)*(1-KH27)</f>
        <v/>
      </c>
      <c r="KX27" s="12">
        <f>KX26+KR27-KR15*(AnnualChurn*VLOOKUP(KD27,ChurnSeasonTable,4,FALSE))*POWER(1-(AnnualChurn*VLOOKUP(KD27,ChurnSeasonTable,4,FALSE)),0)</f>
        <v/>
      </c>
      <c r="KY27" s="12">
        <f>KY26+KS27-KS15*(AnnualChurn*VLOOKUP(KD27,ChurnSeasonTable,4,FALSE))*POWER(1-(AnnualChurn*VLOOKUP(KD27,ChurnSeasonTable,4,FALSE)),0)</f>
        <v/>
      </c>
      <c r="KZ27" s="12">
        <f>KZ26+KT27-KT15*(AnnualChurn*VLOOKUP(KD27,ChurnSeasonTable,4,FALSE))*POWER(1-(AnnualChurn*VLOOKUP(KD27,ChurnSeasonTable,4,FALSE)),0)</f>
        <v/>
      </c>
      <c r="LA27" s="12">
        <f>KU27+KV27+KW27+KX27+KY27+KZ27</f>
        <v/>
      </c>
      <c r="LB27" s="9">
        <f>KU27*BlendedPriceEssMonthly*KG27+KV27*BlendedPricePremMonthly*KG27+KW27*BlendedPriceEliteMonthly*KG27+KX27*BlendedPriceEssAnnual*KG27/12+KY27*BlendedPricePremAnnual*KG27/12+KZ27*BlendedPriceEliteAnnual*KG27/12</f>
        <v/>
      </c>
      <c r="LC27" s="9">
        <f>LB27*12</f>
        <v/>
      </c>
      <c r="LD27" s="12">
        <f>KU27*BlendedPriceEssMonthly*KG27+KV27*BlendedPricePremMonthly*KG27+KW27*BlendedPriceEliteMonthly*KG27</f>
        <v/>
      </c>
      <c r="LE27" s="12">
        <f>KR27*BlendedPriceEssAnnual*KG27+KS27*BlendedPricePremAnnual*KG27+KT27*BlendedPriceEliteAnnual*KG27</f>
        <v/>
      </c>
      <c r="LF27" s="12">
        <f>KR15*POWER(1-(AnnualChurn*VLOOKUP(KD27,ChurnSeasonTable,4,FALSE)),1)*BlendedPriceEssAnnual*KG27+KS15*POWER(1-(AnnualChurn*VLOOKUP(KD27,ChurnSeasonTable,4,FALSE)),1)*BlendedPricePremAnnual*KG27+KT15*POWER(1-(AnnualChurn*VLOOKUP(KD27,ChurnSeasonTable,4,FALSE)),1)*BlendedPriceEliteAnnual*KG27</f>
        <v/>
      </c>
      <c r="LG27" s="9">
        <f>LD27+LE27+LF27</f>
        <v/>
      </c>
      <c r="LH27" s="12">
        <f>SUM(LG16:LG27)</f>
        <v/>
      </c>
      <c r="LI27" s="12">
        <f>OR(LI26,IF(VATAgentMode,SUM($LG16:$LG27)-SUM($LN16:$LN27)&gt;=VATThreshold,SUM($LG16:$LG27)&gt;=VATThreshold))</f>
        <v/>
      </c>
      <c r="LJ27" s="9">
        <f>IF(LI27,IF(VATAgentMode,LG27-((LG27-LN27)-(LG27-LN27)/(1+VATRate)),LG27/(1+VATRate)),LG27)</f>
        <v/>
      </c>
      <c r="LK27" s="12">
        <f>LG27-LJ27</f>
        <v/>
      </c>
      <c r="LL27" s="12">
        <f>IF(LI27=0,0,IF(KD27=1,SUMPRODUCT(--(($KE$5:$KE27=$KE27-1)*($KD$5:$KD27&gt;=10)*($KD$5:$KD27&lt;=12)),$LK$5:$LK27),IF(KD27=4,SUMPRODUCT(--(($KE$5:$KE27=$KE27)*($KD$5:$KD27&gt;=1)*($KD$5:$KD27&lt;=3)),$LK$5:$LK27),IF(KD27=7,SUMPRODUCT(--(($KE$5:$KE27=$KE27)*($KD$5:$KD27&gt;=4)*($KD$5:$KD27&lt;=6)),$LK$5:$LK27),IF(KD27=10,SUMPRODUCT(--(($KE$5:$KE27=$KE27)*($KD$5:$KD27&gt;=7)*($KD$5:$KD27&lt;=9)),$LK$5:$LK27),0)))))</f>
        <v/>
      </c>
      <c r="LM27" s="12">
        <f>LM26+LK27-LL27</f>
        <v/>
      </c>
      <c r="LN27" s="12">
        <f>IF(ProviderDelay&gt;=1,KU26*BlendedProvPayEss+KV26*BlendedProvPayPrem+KW26*BlendedProvPayElite+KX26*BlendedProvPayEss+KY26*BlendedProvPayPrem+KZ26*BlendedProvPayElite,KU27*BlendedProvPayEss+KV27*BlendedProvPayPrem+KW27*BlendedProvPayElite+KX27*BlendedProvPayEss+KY27*BlendedProvPayPrem+KZ27*BlendedProvPayElite)</f>
        <v/>
      </c>
      <c r="LO27" s="12">
        <f>LG27*PaymentFee</f>
        <v/>
      </c>
      <c r="LP27" s="12">
        <f>LA27*OpsAI</f>
        <v/>
      </c>
      <c r="LQ27" s="12">
        <f>MonthlyFixed</f>
        <v/>
      </c>
      <c r="LR27" s="12">
        <f>KK27*ReferralReward</f>
        <v/>
      </c>
      <c r="LS27" s="12">
        <f>KI27</f>
        <v/>
      </c>
      <c r="LT27" s="9">
        <f>LJ27-LN27-LO27-LP27-LQ27-LR27-LS27</f>
        <v/>
      </c>
      <c r="LU27" s="9">
        <f>LU26+LG27-(LN27+LO27+LP27+LQ27+LR27+LS27+LL27)</f>
        <v/>
      </c>
      <c r="LV27" s="12">
        <f>IF(LA27&gt;0,LB27/LA27,0)</f>
        <v/>
      </c>
      <c r="LW27" s="11">
        <f>IF(LA26&gt;0,MAX(0,(LA26+KL27-LA27)/LA26),0)</f>
        <v/>
      </c>
      <c r="LY27" s="12" t="n">
        <v>23</v>
      </c>
      <c r="LZ27" s="12">
        <f>MOD(LY27-1+LaunchMonth-1,12)+1</f>
        <v/>
      </c>
      <c r="MA27" s="12">
        <f>INT((LY27-1+LaunchMonth-1)/12)+1</f>
        <v/>
      </c>
      <c r="MB27" s="12">
        <f>VLOOKUP(LZ27,SeasonTable,2,FALSE)</f>
        <v/>
      </c>
      <c r="MC27" s="12">
        <f>(1+InflationRate)^INT((LY27-1)/12)</f>
        <v/>
      </c>
      <c r="MD27" s="11">
        <f>'Sens - Churn'!$A$17*VLOOKUP(LZ27,ChurnSeasonTable,4,FALSE)</f>
        <v/>
      </c>
      <c r="ME27" s="12">
        <f>MIN(MAX(MktMin19plus,NC26*MktPct19plus),MAX(0,NQ26-CashBuffer))</f>
        <v/>
      </c>
      <c r="MF27" s="12">
        <f>IF(ME27&gt;0,MAX(1,ROUND(ME27/CAC*MB27,0)),0)</f>
        <v/>
      </c>
      <c r="MG27" s="12">
        <f>IF(MF27&gt;0,ROUND(MF27*ReferralMix/(1-ReferralMix),0),0)</f>
        <v/>
      </c>
      <c r="MH27" s="12">
        <f>MF27+MG27</f>
        <v/>
      </c>
      <c r="MI27" s="12">
        <f>ROUND(MH27*(1-AnnualMix),0)</f>
        <v/>
      </c>
      <c r="MJ27" s="12">
        <f>MH27-MI27</f>
        <v/>
      </c>
      <c r="MK27" s="12">
        <f>ROUND(MI27*EssentialMix,0)</f>
        <v/>
      </c>
      <c r="ML27" s="12">
        <f>ROUND(MI27*PremiumMix,0)</f>
        <v/>
      </c>
      <c r="MM27" s="12">
        <f>MI27-MK27-ML27</f>
        <v/>
      </c>
      <c r="MN27" s="12">
        <f>ROUND(MJ27*EssentialMix,0)</f>
        <v/>
      </c>
      <c r="MO27" s="12">
        <f>ROUND(MJ27*PremiumMix,0)</f>
        <v/>
      </c>
      <c r="MP27" s="12">
        <f>MJ27-MN27-MO27</f>
        <v/>
      </c>
      <c r="MQ27" s="12">
        <f>MK27+MK26+MK25+MAX(0,MQ26-MK26-MK25)*(1-MD27)</f>
        <v/>
      </c>
      <c r="MR27" s="12">
        <f>ML27+ML26+ML25+MAX(0,MR26-ML26-ML25)*(1-MD27)</f>
        <v/>
      </c>
      <c r="MS27" s="12">
        <f>MM27+MM26+MM25+MAX(0,MS26-MM26-MM25)*(1-MD27)</f>
        <v/>
      </c>
      <c r="MT27" s="12">
        <f>MT26+MN27-MN15*(AnnualChurn*VLOOKUP(LZ27,ChurnSeasonTable,4,FALSE))*POWER(1-(AnnualChurn*VLOOKUP(LZ27,ChurnSeasonTable,4,FALSE)),0)</f>
        <v/>
      </c>
      <c r="MU27" s="12">
        <f>MU26+MO27-MO15*(AnnualChurn*VLOOKUP(LZ27,ChurnSeasonTable,4,FALSE))*POWER(1-(AnnualChurn*VLOOKUP(LZ27,ChurnSeasonTable,4,FALSE)),0)</f>
        <v/>
      </c>
      <c r="MV27" s="12">
        <f>MV26+MP27-MP15*(AnnualChurn*VLOOKUP(LZ27,ChurnSeasonTable,4,FALSE))*POWER(1-(AnnualChurn*VLOOKUP(LZ27,ChurnSeasonTable,4,FALSE)),0)</f>
        <v/>
      </c>
      <c r="MW27" s="12">
        <f>MQ27+MR27+MS27+MT27+MU27+MV27</f>
        <v/>
      </c>
      <c r="MX27" s="9">
        <f>MQ27*BlendedPriceEssMonthly*MC27+MR27*BlendedPricePremMonthly*MC27+MS27*BlendedPriceEliteMonthly*MC27+MT27*BlendedPriceEssAnnual*MC27/12+MU27*BlendedPricePremAnnual*MC27/12+MV27*BlendedPriceEliteAnnual*MC27/12</f>
        <v/>
      </c>
      <c r="MY27" s="9">
        <f>MX27*12</f>
        <v/>
      </c>
      <c r="MZ27" s="12">
        <f>MQ27*BlendedPriceEssMonthly*MC27+MR27*BlendedPricePremMonthly*MC27+MS27*BlendedPriceEliteMonthly*MC27</f>
        <v/>
      </c>
      <c r="NA27" s="12">
        <f>MN27*BlendedPriceEssAnnual*MC27+MO27*BlendedPricePremAnnual*MC27+MP27*BlendedPriceEliteAnnual*MC27</f>
        <v/>
      </c>
      <c r="NB27" s="12">
        <f>MN15*POWER(1-(AnnualChurn*VLOOKUP(LZ27,ChurnSeasonTable,4,FALSE)),1)*BlendedPriceEssAnnual*MC27+MO15*POWER(1-(AnnualChurn*VLOOKUP(LZ27,ChurnSeasonTable,4,FALSE)),1)*BlendedPricePremAnnual*MC27+MP15*POWER(1-(AnnualChurn*VLOOKUP(LZ27,ChurnSeasonTable,4,FALSE)),1)*BlendedPriceEliteAnnual*MC27</f>
        <v/>
      </c>
      <c r="NC27" s="9">
        <f>MZ27+NA27+NB27</f>
        <v/>
      </c>
      <c r="ND27" s="12">
        <f>SUM(NC16:NC27)</f>
        <v/>
      </c>
      <c r="NE27" s="12">
        <f>OR(NE26,IF(VATAgentMode,SUM($NC16:$NC27)-SUM($NJ16:$NJ27)&gt;=VATThreshold,SUM($NC16:$NC27)&gt;=VATThreshold))</f>
        <v/>
      </c>
      <c r="NF27" s="9">
        <f>IF(NE27,IF(VATAgentMode,NC27-((NC27-NJ27)-(NC27-NJ27)/(1+VATRate)),NC27/(1+VATRate)),NC27)</f>
        <v/>
      </c>
      <c r="NG27" s="12">
        <f>NC27-NF27</f>
        <v/>
      </c>
      <c r="NH27" s="12">
        <f>IF(NE27=0,0,IF(LZ27=1,SUMPRODUCT(--(($MA$5:$MA27=$MA27-1)*($LZ$5:$LZ27&gt;=10)*($LZ$5:$LZ27&lt;=12)),$NG$5:$NG27),IF(LZ27=4,SUMPRODUCT(--(($MA$5:$MA27=$MA27)*($LZ$5:$LZ27&gt;=1)*($LZ$5:$LZ27&lt;=3)),$NG$5:$NG27),IF(LZ27=7,SUMPRODUCT(--(($MA$5:$MA27=$MA27)*($LZ$5:$LZ27&gt;=4)*($LZ$5:$LZ27&lt;=6)),$NG$5:$NG27),IF(LZ27=10,SUMPRODUCT(--(($MA$5:$MA27=$MA27)*($LZ$5:$LZ27&gt;=7)*($LZ$5:$LZ27&lt;=9)),$NG$5:$NG27),0)))))</f>
        <v/>
      </c>
      <c r="NI27" s="12">
        <f>NI26+NG27-NH27</f>
        <v/>
      </c>
      <c r="NJ27" s="12">
        <f>IF(ProviderDelay&gt;=1,MQ26*BlendedProvPayEss+MR26*BlendedProvPayPrem+MS26*BlendedProvPayElite+MT26*BlendedProvPayEss+MU26*BlendedProvPayPrem+MV26*BlendedProvPayElite,MQ27*BlendedProvPayEss+MR27*BlendedProvPayPrem+MS27*BlendedProvPayElite+MT27*BlendedProvPayEss+MU27*BlendedProvPayPrem+MV27*BlendedProvPayElite)</f>
        <v/>
      </c>
      <c r="NK27" s="12">
        <f>NC27*PaymentFee</f>
        <v/>
      </c>
      <c r="NL27" s="12">
        <f>MW27*OpsAI</f>
        <v/>
      </c>
      <c r="NM27" s="12">
        <f>MonthlyFixed</f>
        <v/>
      </c>
      <c r="NN27" s="12">
        <f>MG27*ReferralReward</f>
        <v/>
      </c>
      <c r="NO27" s="12">
        <f>ME27</f>
        <v/>
      </c>
      <c r="NP27" s="9">
        <f>NF27-NJ27-NK27-NL27-NM27-NN27-NO27</f>
        <v/>
      </c>
      <c r="NQ27" s="9">
        <f>NQ26+NC27-(NJ27+NK27+NL27+NM27+NN27+NO27+NH27)</f>
        <v/>
      </c>
      <c r="NR27" s="12">
        <f>IF(MW27&gt;0,MX27/MW27,0)</f>
        <v/>
      </c>
      <c r="NS27" s="11">
        <f>IF(MW26&gt;0,MAX(0,(MW26+MH27-MW27)/MW26),0)</f>
        <v/>
      </c>
      <c r="NU27" s="12" t="n">
        <v>23</v>
      </c>
      <c r="NV27" s="12">
        <f>MOD(NU27-1+LaunchMonth-1,12)+1</f>
        <v/>
      </c>
      <c r="NW27" s="12">
        <f>INT((NU27-1+LaunchMonth-1)/12)+1</f>
        <v/>
      </c>
      <c r="NX27" s="12">
        <f>VLOOKUP(NV27,SeasonTable,2,FALSE)</f>
        <v/>
      </c>
      <c r="NY27" s="12">
        <f>(1+InflationRate)^INT((NU27-1)/12)</f>
        <v/>
      </c>
      <c r="NZ27" s="11">
        <f>'Sens - Churn'!$A$18*VLOOKUP(NV27,ChurnSeasonTable,4,FALSE)</f>
        <v/>
      </c>
      <c r="OA27" s="12">
        <f>MIN(MAX(MktMin19plus,OY26*MktPct19plus),MAX(0,PM26-CashBuffer))</f>
        <v/>
      </c>
      <c r="OB27" s="12">
        <f>IF(OA27&gt;0,MAX(1,ROUND(OA27/CAC*NX27,0)),0)</f>
        <v/>
      </c>
      <c r="OC27" s="12">
        <f>IF(OB27&gt;0,ROUND(OB27*ReferralMix/(1-ReferralMix),0),0)</f>
        <v/>
      </c>
      <c r="OD27" s="12">
        <f>OB27+OC27</f>
        <v/>
      </c>
      <c r="OE27" s="12">
        <f>ROUND(OD27*(1-AnnualMix),0)</f>
        <v/>
      </c>
      <c r="OF27" s="12">
        <f>OD27-OE27</f>
        <v/>
      </c>
      <c r="OG27" s="12">
        <f>ROUND(OE27*EssentialMix,0)</f>
        <v/>
      </c>
      <c r="OH27" s="12">
        <f>ROUND(OE27*PremiumMix,0)</f>
        <v/>
      </c>
      <c r="OI27" s="12">
        <f>OE27-OG27-OH27</f>
        <v/>
      </c>
      <c r="OJ27" s="12">
        <f>ROUND(OF27*EssentialMix,0)</f>
        <v/>
      </c>
      <c r="OK27" s="12">
        <f>ROUND(OF27*PremiumMix,0)</f>
        <v/>
      </c>
      <c r="OL27" s="12">
        <f>OF27-OJ27-OK27</f>
        <v/>
      </c>
      <c r="OM27" s="12">
        <f>OG27+OG26+OG25+MAX(0,OM26-OG26-OG25)*(1-NZ27)</f>
        <v/>
      </c>
      <c r="ON27" s="12">
        <f>OH27+OH26+OH25+MAX(0,ON26-OH26-OH25)*(1-NZ27)</f>
        <v/>
      </c>
      <c r="OO27" s="12">
        <f>OI27+OI26+OI25+MAX(0,OO26-OI26-OI25)*(1-NZ27)</f>
        <v/>
      </c>
      <c r="OP27" s="12">
        <f>OP26+OJ27-OJ15*(AnnualChurn*VLOOKUP(NV27,ChurnSeasonTable,4,FALSE))*POWER(1-(AnnualChurn*VLOOKUP(NV27,ChurnSeasonTable,4,FALSE)),0)</f>
        <v/>
      </c>
      <c r="OQ27" s="12">
        <f>OQ26+OK27-OK15*(AnnualChurn*VLOOKUP(NV27,ChurnSeasonTable,4,FALSE))*POWER(1-(AnnualChurn*VLOOKUP(NV27,ChurnSeasonTable,4,FALSE)),0)</f>
        <v/>
      </c>
      <c r="OR27" s="12">
        <f>OR26+OL27-OL15*(AnnualChurn*VLOOKUP(NV27,ChurnSeasonTable,4,FALSE))*POWER(1-(AnnualChurn*VLOOKUP(NV27,ChurnSeasonTable,4,FALSE)),0)</f>
        <v/>
      </c>
      <c r="OS27" s="12">
        <f>OM27+ON27+OO27+OP27+OQ27+OR27</f>
        <v/>
      </c>
      <c r="OT27" s="9">
        <f>OM27*BlendedPriceEssMonthly*NY27+ON27*BlendedPricePremMonthly*NY27+OO27*BlendedPriceEliteMonthly*NY27+OP27*BlendedPriceEssAnnual*NY27/12+OQ27*BlendedPricePremAnnual*NY27/12+OR27*BlendedPriceEliteAnnual*NY27/12</f>
        <v/>
      </c>
      <c r="OU27" s="9">
        <f>OT27*12</f>
        <v/>
      </c>
      <c r="OV27" s="12">
        <f>OM27*BlendedPriceEssMonthly*NY27+ON27*BlendedPricePremMonthly*NY27+OO27*BlendedPriceEliteMonthly*NY27</f>
        <v/>
      </c>
      <c r="OW27" s="12">
        <f>OJ27*BlendedPriceEssAnnual*NY27+OK27*BlendedPricePremAnnual*NY27+OL27*BlendedPriceEliteAnnual*NY27</f>
        <v/>
      </c>
      <c r="OX27" s="12">
        <f>OJ15*POWER(1-(AnnualChurn*VLOOKUP(NV27,ChurnSeasonTable,4,FALSE)),1)*BlendedPriceEssAnnual*NY27+OK15*POWER(1-(AnnualChurn*VLOOKUP(NV27,ChurnSeasonTable,4,FALSE)),1)*BlendedPricePremAnnual*NY27+OL15*POWER(1-(AnnualChurn*VLOOKUP(NV27,ChurnSeasonTable,4,FALSE)),1)*BlendedPriceEliteAnnual*NY27</f>
        <v/>
      </c>
      <c r="OY27" s="9">
        <f>OV27+OW27+OX27</f>
        <v/>
      </c>
      <c r="OZ27" s="12">
        <f>SUM(OY16:OY27)</f>
        <v/>
      </c>
      <c r="PA27" s="12">
        <f>OR(PA26,IF(VATAgentMode,SUM($OY16:$OY27)-SUM($PF16:$PF27)&gt;=VATThreshold,SUM($OY16:$OY27)&gt;=VATThreshold))</f>
        <v/>
      </c>
      <c r="PB27" s="9">
        <f>IF(PA27,IF(VATAgentMode,OY27-((OY27-PF27)-(OY27-PF27)/(1+VATRate)),OY27/(1+VATRate)),OY27)</f>
        <v/>
      </c>
      <c r="PC27" s="12">
        <f>OY27-PB27</f>
        <v/>
      </c>
      <c r="PD27" s="12">
        <f>IF(PA27=0,0,IF(NV27=1,SUMPRODUCT(--(($NW$5:$NW27=$NW27-1)*($NV$5:$NV27&gt;=10)*($NV$5:$NV27&lt;=12)),$PC$5:$PC27),IF(NV27=4,SUMPRODUCT(--(($NW$5:$NW27=$NW27)*($NV$5:$NV27&gt;=1)*($NV$5:$NV27&lt;=3)),$PC$5:$PC27),IF(NV27=7,SUMPRODUCT(--(($NW$5:$NW27=$NW27)*($NV$5:$NV27&gt;=4)*($NV$5:$NV27&lt;=6)),$PC$5:$PC27),IF(NV27=10,SUMPRODUCT(--(($NW$5:$NW27=$NW27)*($NV$5:$NV27&gt;=7)*($NV$5:$NV27&lt;=9)),$PC$5:$PC27),0)))))</f>
        <v/>
      </c>
      <c r="PE27" s="12">
        <f>PE26+PC27-PD27</f>
        <v/>
      </c>
      <c r="PF27" s="12">
        <f>IF(ProviderDelay&gt;=1,OM26*BlendedProvPayEss+ON26*BlendedProvPayPrem+OO26*BlendedProvPayElite+OP26*BlendedProvPayEss+OQ26*BlendedProvPayPrem+OR26*BlendedProvPayElite,OM27*BlendedProvPayEss+ON27*BlendedProvPayPrem+OO27*BlendedProvPayElite+OP27*BlendedProvPayEss+OQ27*BlendedProvPayPrem+OR27*BlendedProvPayElite)</f>
        <v/>
      </c>
      <c r="PG27" s="12">
        <f>OY27*PaymentFee</f>
        <v/>
      </c>
      <c r="PH27" s="12">
        <f>OS27*OpsAI</f>
        <v/>
      </c>
      <c r="PI27" s="12">
        <f>MonthlyFixed</f>
        <v/>
      </c>
      <c r="PJ27" s="12">
        <f>OC27*ReferralReward</f>
        <v/>
      </c>
      <c r="PK27" s="12">
        <f>OA27</f>
        <v/>
      </c>
      <c r="PL27" s="9">
        <f>PB27-PF27-PG27-PH27-PI27-PJ27-PK27</f>
        <v/>
      </c>
      <c r="PM27" s="9">
        <f>PM26+OY27-(PF27+PG27+PH27+PI27+PJ27+PK27+PD27)</f>
        <v/>
      </c>
      <c r="PN27" s="12">
        <f>IF(OS27&gt;0,OT27/OS27,0)</f>
        <v/>
      </c>
      <c r="PO27" s="11">
        <f>IF(OS26&gt;0,MAX(0,(OS26+OD27-OS27)/OS26),0)</f>
        <v/>
      </c>
      <c r="PQ27" s="12" t="n">
        <v>23</v>
      </c>
      <c r="PR27" s="12">
        <f>MOD(PQ27-1+LaunchMonth-1,12)+1</f>
        <v/>
      </c>
      <c r="PS27" s="12">
        <f>INT((PQ27-1+LaunchMonth-1)/12)+1</f>
        <v/>
      </c>
      <c r="PT27" s="12">
        <f>VLOOKUP(PR27,SeasonTable,2,FALSE)</f>
        <v/>
      </c>
      <c r="PU27" s="12">
        <f>(1+InflationRate)^INT((PQ27-1)/12)</f>
        <v/>
      </c>
      <c r="PV27" s="11">
        <f>'Sens - Churn'!$A$19*VLOOKUP(PR27,ChurnSeasonTable,4,FALSE)</f>
        <v/>
      </c>
      <c r="PW27" s="12">
        <f>MIN(MAX(MktMin19plus,QU26*MktPct19plus),MAX(0,RI26-CashBuffer))</f>
        <v/>
      </c>
      <c r="PX27" s="12">
        <f>IF(PW27&gt;0,MAX(1,ROUND(PW27/CAC*PT27,0)),0)</f>
        <v/>
      </c>
      <c r="PY27" s="12">
        <f>IF(PX27&gt;0,ROUND(PX27*ReferralMix/(1-ReferralMix),0),0)</f>
        <v/>
      </c>
      <c r="PZ27" s="12">
        <f>PX27+PY27</f>
        <v/>
      </c>
      <c r="QA27" s="12">
        <f>ROUND(PZ27*(1-AnnualMix),0)</f>
        <v/>
      </c>
      <c r="QB27" s="12">
        <f>PZ27-QA27</f>
        <v/>
      </c>
      <c r="QC27" s="12">
        <f>ROUND(QA27*EssentialMix,0)</f>
        <v/>
      </c>
      <c r="QD27" s="12">
        <f>ROUND(QA27*PremiumMix,0)</f>
        <v/>
      </c>
      <c r="QE27" s="12">
        <f>QA27-QC27-QD27</f>
        <v/>
      </c>
      <c r="QF27" s="12">
        <f>ROUND(QB27*EssentialMix,0)</f>
        <v/>
      </c>
      <c r="QG27" s="12">
        <f>ROUND(QB27*PremiumMix,0)</f>
        <v/>
      </c>
      <c r="QH27" s="12">
        <f>QB27-QF27-QG27</f>
        <v/>
      </c>
      <c r="QI27" s="12">
        <f>QC27+QC26+QC25+MAX(0,QI26-QC26-QC25)*(1-PV27)</f>
        <v/>
      </c>
      <c r="QJ27" s="12">
        <f>QD27+QD26+QD25+MAX(0,QJ26-QD26-QD25)*(1-PV27)</f>
        <v/>
      </c>
      <c r="QK27" s="12">
        <f>QE27+QE26+QE25+MAX(0,QK26-QE26-QE25)*(1-PV27)</f>
        <v/>
      </c>
      <c r="QL27" s="12">
        <f>QL26+QF27-QF15*(AnnualChurn*VLOOKUP(PR27,ChurnSeasonTable,4,FALSE))*POWER(1-(AnnualChurn*VLOOKUP(PR27,ChurnSeasonTable,4,FALSE)),0)</f>
        <v/>
      </c>
      <c r="QM27" s="12">
        <f>QM26+QG27-QG15*(AnnualChurn*VLOOKUP(PR27,ChurnSeasonTable,4,FALSE))*POWER(1-(AnnualChurn*VLOOKUP(PR27,ChurnSeasonTable,4,FALSE)),0)</f>
        <v/>
      </c>
      <c r="QN27" s="12">
        <f>QN26+QH27-QH15*(AnnualChurn*VLOOKUP(PR27,ChurnSeasonTable,4,FALSE))*POWER(1-(AnnualChurn*VLOOKUP(PR27,ChurnSeasonTable,4,FALSE)),0)</f>
        <v/>
      </c>
      <c r="QO27" s="12">
        <f>QI27+QJ27+QK27+QL27+QM27+QN27</f>
        <v/>
      </c>
      <c r="QP27" s="9">
        <f>QI27*BlendedPriceEssMonthly*PU27+QJ27*BlendedPricePremMonthly*PU27+QK27*BlendedPriceEliteMonthly*PU27+QL27*BlendedPriceEssAnnual*PU27/12+QM27*BlendedPricePremAnnual*PU27/12+QN27*BlendedPriceEliteAnnual*PU27/12</f>
        <v/>
      </c>
      <c r="QQ27" s="9">
        <f>QP27*12</f>
        <v/>
      </c>
      <c r="QR27" s="12">
        <f>QI27*BlendedPriceEssMonthly*PU27+QJ27*BlendedPricePremMonthly*PU27+QK27*BlendedPriceEliteMonthly*PU27</f>
        <v/>
      </c>
      <c r="QS27" s="12">
        <f>QF27*BlendedPriceEssAnnual*PU27+QG27*BlendedPricePremAnnual*PU27+QH27*BlendedPriceEliteAnnual*PU27</f>
        <v/>
      </c>
      <c r="QT27" s="12">
        <f>QF15*POWER(1-(AnnualChurn*VLOOKUP(PR27,ChurnSeasonTable,4,FALSE)),1)*BlendedPriceEssAnnual*PU27+QG15*POWER(1-(AnnualChurn*VLOOKUP(PR27,ChurnSeasonTable,4,FALSE)),1)*BlendedPricePremAnnual*PU27+QH15*POWER(1-(AnnualChurn*VLOOKUP(PR27,ChurnSeasonTable,4,FALSE)),1)*BlendedPriceEliteAnnual*PU27</f>
        <v/>
      </c>
      <c r="QU27" s="9">
        <f>QR27+QS27+QT27</f>
        <v/>
      </c>
      <c r="QV27" s="12">
        <f>SUM(QU16:QU27)</f>
        <v/>
      </c>
      <c r="QW27" s="12">
        <f>OR(QW26,IF(VATAgentMode,SUM($QU16:$QU27)-SUM($RB16:$RB27)&gt;=VATThreshold,SUM($QU16:$QU27)&gt;=VATThreshold))</f>
        <v/>
      </c>
      <c r="QX27" s="9">
        <f>IF(QW27,IF(VATAgentMode,QU27-((QU27-RB27)-(QU27-RB27)/(1+VATRate)),QU27/(1+VATRate)),QU27)</f>
        <v/>
      </c>
      <c r="QY27" s="12">
        <f>QU27-QX27</f>
        <v/>
      </c>
      <c r="QZ27" s="12">
        <f>IF(QW27=0,0,IF(PR27=1,SUMPRODUCT(--(($PS$5:$PS27=$PS27-1)*($PR$5:$PR27&gt;=10)*($PR$5:$PR27&lt;=12)),$QY$5:$QY27),IF(PR27=4,SUMPRODUCT(--(($PS$5:$PS27=$PS27)*($PR$5:$PR27&gt;=1)*($PR$5:$PR27&lt;=3)),$QY$5:$QY27),IF(PR27=7,SUMPRODUCT(--(($PS$5:$PS27=$PS27)*($PR$5:$PR27&gt;=4)*($PR$5:$PR27&lt;=6)),$QY$5:$QY27),IF(PR27=10,SUMPRODUCT(--(($PS$5:$PS27=$PS27)*($PR$5:$PR27&gt;=7)*($PR$5:$PR27&lt;=9)),$QY$5:$QY27),0)))))</f>
        <v/>
      </c>
      <c r="RA27" s="12">
        <f>RA26+QY27-QZ27</f>
        <v/>
      </c>
      <c r="RB27" s="12">
        <f>IF(ProviderDelay&gt;=1,QI26*BlendedProvPayEss+QJ26*BlendedProvPayPrem+QK26*BlendedProvPayElite+QL26*BlendedProvPayEss+QM26*BlendedProvPayPrem+QN26*BlendedProvPayElite,QI27*BlendedProvPayEss+QJ27*BlendedProvPayPrem+QK27*BlendedProvPayElite+QL27*BlendedProvPayEss+QM27*BlendedProvPayPrem+QN27*BlendedProvPayElite)</f>
        <v/>
      </c>
      <c r="RC27" s="12">
        <f>QU27*PaymentFee</f>
        <v/>
      </c>
      <c r="RD27" s="12">
        <f>QO27*OpsAI</f>
        <v/>
      </c>
      <c r="RE27" s="12">
        <f>MonthlyFixed</f>
        <v/>
      </c>
      <c r="RF27" s="12">
        <f>PY27*ReferralReward</f>
        <v/>
      </c>
      <c r="RG27" s="12">
        <f>PW27</f>
        <v/>
      </c>
      <c r="RH27" s="9">
        <f>QX27-RB27-RC27-RD27-RE27-RF27-RG27</f>
        <v/>
      </c>
      <c r="RI27" s="9">
        <f>RI26+QU27-(RB27+RC27+RD27+RE27+RF27+RG27+QZ27)</f>
        <v/>
      </c>
      <c r="RJ27" s="12">
        <f>IF(QO27&gt;0,QP27/QO27,0)</f>
        <v/>
      </c>
      <c r="RK27" s="11">
        <f>IF(QO26&gt;0,MAX(0,(QO26+PZ27-QO27)/QO26),0)</f>
        <v/>
      </c>
      <c r="RM27" s="12" t="n">
        <v>23</v>
      </c>
      <c r="RN27" s="12">
        <f>MOD(RM27-1+LaunchMonth-1,12)+1</f>
        <v/>
      </c>
      <c r="RO27" s="12">
        <f>INT((RM27-1+LaunchMonth-1)/12)+1</f>
        <v/>
      </c>
      <c r="RP27" s="12">
        <f>VLOOKUP(RN27,SeasonTable,2,FALSE)</f>
        <v/>
      </c>
      <c r="RQ27" s="12">
        <f>(1+InflationRate)^INT((RM27-1)/12)</f>
        <v/>
      </c>
      <c r="RR27" s="11">
        <f>'Sens - Churn'!$A$20*VLOOKUP(RN27,ChurnSeasonTable,4,FALSE)</f>
        <v/>
      </c>
      <c r="RS27" s="12">
        <f>MIN(MAX(MktMin19plus,SQ26*MktPct19plus),MAX(0,TE26-CashBuffer))</f>
        <v/>
      </c>
      <c r="RT27" s="12">
        <f>IF(RS27&gt;0,MAX(1,ROUND(RS27/CAC*RP27,0)),0)</f>
        <v/>
      </c>
      <c r="RU27" s="12">
        <f>IF(RT27&gt;0,ROUND(RT27*ReferralMix/(1-ReferralMix),0),0)</f>
        <v/>
      </c>
      <c r="RV27" s="12">
        <f>RT27+RU27</f>
        <v/>
      </c>
      <c r="RW27" s="12">
        <f>ROUND(RV27*(1-AnnualMix),0)</f>
        <v/>
      </c>
      <c r="RX27" s="12">
        <f>RV27-RW27</f>
        <v/>
      </c>
      <c r="RY27" s="12">
        <f>ROUND(RW27*EssentialMix,0)</f>
        <v/>
      </c>
      <c r="RZ27" s="12">
        <f>ROUND(RW27*PremiumMix,0)</f>
        <v/>
      </c>
      <c r="SA27" s="12">
        <f>RW27-RY27-RZ27</f>
        <v/>
      </c>
      <c r="SB27" s="12">
        <f>ROUND(RX27*EssentialMix,0)</f>
        <v/>
      </c>
      <c r="SC27" s="12">
        <f>ROUND(RX27*PremiumMix,0)</f>
        <v/>
      </c>
      <c r="SD27" s="12">
        <f>RX27-SB27-SC27</f>
        <v/>
      </c>
      <c r="SE27" s="12">
        <f>RY27+RY26+RY25+MAX(0,SE26-RY26-RY25)*(1-RR27)</f>
        <v/>
      </c>
      <c r="SF27" s="12">
        <f>RZ27+RZ26+RZ25+MAX(0,SF26-RZ26-RZ25)*(1-RR27)</f>
        <v/>
      </c>
      <c r="SG27" s="12">
        <f>SA27+SA26+SA25+MAX(0,SG26-SA26-SA25)*(1-RR27)</f>
        <v/>
      </c>
      <c r="SH27" s="12">
        <f>SH26+SB27-SB15*(AnnualChurn*VLOOKUP(RN27,ChurnSeasonTable,4,FALSE))*POWER(1-(AnnualChurn*VLOOKUP(RN27,ChurnSeasonTable,4,FALSE)),0)</f>
        <v/>
      </c>
      <c r="SI27" s="12">
        <f>SI26+SC27-SC15*(AnnualChurn*VLOOKUP(RN27,ChurnSeasonTable,4,FALSE))*POWER(1-(AnnualChurn*VLOOKUP(RN27,ChurnSeasonTable,4,FALSE)),0)</f>
        <v/>
      </c>
      <c r="SJ27" s="12">
        <f>SJ26+SD27-SD15*(AnnualChurn*VLOOKUP(RN27,ChurnSeasonTable,4,FALSE))*POWER(1-(AnnualChurn*VLOOKUP(RN27,ChurnSeasonTable,4,FALSE)),0)</f>
        <v/>
      </c>
      <c r="SK27" s="12">
        <f>SE27+SF27+SG27+SH27+SI27+SJ27</f>
        <v/>
      </c>
      <c r="SL27" s="9">
        <f>SE27*BlendedPriceEssMonthly*RQ27+SF27*BlendedPricePremMonthly*RQ27+SG27*BlendedPriceEliteMonthly*RQ27+SH27*BlendedPriceEssAnnual*RQ27/12+SI27*BlendedPricePremAnnual*RQ27/12+SJ27*BlendedPriceEliteAnnual*RQ27/12</f>
        <v/>
      </c>
      <c r="SM27" s="9">
        <f>SL27*12</f>
        <v/>
      </c>
      <c r="SN27" s="12">
        <f>SE27*BlendedPriceEssMonthly*RQ27+SF27*BlendedPricePremMonthly*RQ27+SG27*BlendedPriceEliteMonthly*RQ27</f>
        <v/>
      </c>
      <c r="SO27" s="12">
        <f>SB27*BlendedPriceEssAnnual*RQ27+SC27*BlendedPricePremAnnual*RQ27+SD27*BlendedPriceEliteAnnual*RQ27</f>
        <v/>
      </c>
      <c r="SP27" s="12">
        <f>SB15*POWER(1-(AnnualChurn*VLOOKUP(RN27,ChurnSeasonTable,4,FALSE)),1)*BlendedPriceEssAnnual*RQ27+SC15*POWER(1-(AnnualChurn*VLOOKUP(RN27,ChurnSeasonTable,4,FALSE)),1)*BlendedPricePremAnnual*RQ27+SD15*POWER(1-(AnnualChurn*VLOOKUP(RN27,ChurnSeasonTable,4,FALSE)),1)*BlendedPriceEliteAnnual*RQ27</f>
        <v/>
      </c>
      <c r="SQ27" s="9">
        <f>SN27+SO27+SP27</f>
        <v/>
      </c>
      <c r="SR27" s="12">
        <f>SUM(SQ16:SQ27)</f>
        <v/>
      </c>
      <c r="SS27" s="12">
        <f>OR(SS26,IF(VATAgentMode,SUM($SQ16:$SQ27)-SUM($SX16:$SX27)&gt;=VATThreshold,SUM($SQ16:$SQ27)&gt;=VATThreshold))</f>
        <v/>
      </c>
      <c r="ST27" s="9">
        <f>IF(SS27,IF(VATAgentMode,SQ27-((SQ27-SX27)-(SQ27-SX27)/(1+VATRate)),SQ27/(1+VATRate)),SQ27)</f>
        <v/>
      </c>
      <c r="SU27" s="12">
        <f>SQ27-ST27</f>
        <v/>
      </c>
      <c r="SV27" s="12">
        <f>IF(SS27=0,0,IF(RN27=1,SUMPRODUCT(--(($RO$5:$RO27=$RO27-1)*($RN$5:$RN27&gt;=10)*($RN$5:$RN27&lt;=12)),$SU$5:$SU27),IF(RN27=4,SUMPRODUCT(--(($RO$5:$RO27=$RO27)*($RN$5:$RN27&gt;=1)*($RN$5:$RN27&lt;=3)),$SU$5:$SU27),IF(RN27=7,SUMPRODUCT(--(($RO$5:$RO27=$RO27)*($RN$5:$RN27&gt;=4)*($RN$5:$RN27&lt;=6)),$SU$5:$SU27),IF(RN27=10,SUMPRODUCT(--(($RO$5:$RO27=$RO27)*($RN$5:$RN27&gt;=7)*($RN$5:$RN27&lt;=9)),$SU$5:$SU27),0)))))</f>
        <v/>
      </c>
      <c r="SW27" s="12">
        <f>SW26+SU27-SV27</f>
        <v/>
      </c>
      <c r="SX27" s="12">
        <f>IF(ProviderDelay&gt;=1,SE26*BlendedProvPayEss+SF26*BlendedProvPayPrem+SG26*BlendedProvPayElite+SH26*BlendedProvPayEss+SI26*BlendedProvPayPrem+SJ26*BlendedProvPayElite,SE27*BlendedProvPayEss+SF27*BlendedProvPayPrem+SG27*BlendedProvPayElite+SH27*BlendedProvPayEss+SI27*BlendedProvPayPrem+SJ27*BlendedProvPayElite)</f>
        <v/>
      </c>
      <c r="SY27" s="12">
        <f>SQ27*PaymentFee</f>
        <v/>
      </c>
      <c r="SZ27" s="12">
        <f>SK27*OpsAI</f>
        <v/>
      </c>
      <c r="TA27" s="12">
        <f>MonthlyFixed</f>
        <v/>
      </c>
      <c r="TB27" s="12">
        <f>RU27*ReferralReward</f>
        <v/>
      </c>
      <c r="TC27" s="12">
        <f>RS27</f>
        <v/>
      </c>
      <c r="TD27" s="9">
        <f>ST27-SX27-SY27-SZ27-TA27-TB27-TC27</f>
        <v/>
      </c>
      <c r="TE27" s="9">
        <f>TE26+SQ27-(SX27+SY27+SZ27+TA27+TB27+TC27+SV27)</f>
        <v/>
      </c>
      <c r="TF27" s="12">
        <f>IF(SK27&gt;0,SL27/SK27,0)</f>
        <v/>
      </c>
      <c r="TG27" s="11">
        <f>IF(SK26&gt;0,MAX(0,(SK26+RV27-SK27)/SK26),0)</f>
        <v/>
      </c>
      <c r="TI27" s="12" t="n">
        <v>23</v>
      </c>
      <c r="TJ27" s="12">
        <f>MOD(TI27-1+LaunchMonth-1,12)+1</f>
        <v/>
      </c>
      <c r="TK27" s="12">
        <f>INT((TI27-1+LaunchMonth-1)/12)+1</f>
        <v/>
      </c>
      <c r="TL27" s="12">
        <f>VLOOKUP(TJ27,SeasonTable,2,FALSE)</f>
        <v/>
      </c>
      <c r="TM27" s="12">
        <f>(1+InflationRate)^INT((TI27-1)/12)</f>
        <v/>
      </c>
      <c r="TN27" s="11">
        <f>'Sens - Churn'!$A$21*VLOOKUP(TJ27,ChurnSeasonTable,4,FALSE)</f>
        <v/>
      </c>
      <c r="TO27" s="12">
        <f>MIN(MAX(MktMin19plus,UM26*MktPct19plus),MAX(0,VA26-CashBuffer))</f>
        <v/>
      </c>
      <c r="TP27" s="12">
        <f>IF(TO27&gt;0,MAX(1,ROUND(TO27/CAC*TL27,0)),0)</f>
        <v/>
      </c>
      <c r="TQ27" s="12">
        <f>IF(TP27&gt;0,ROUND(TP27*ReferralMix/(1-ReferralMix),0),0)</f>
        <v/>
      </c>
      <c r="TR27" s="12">
        <f>TP27+TQ27</f>
        <v/>
      </c>
      <c r="TS27" s="12">
        <f>ROUND(TR27*(1-AnnualMix),0)</f>
        <v/>
      </c>
      <c r="TT27" s="12">
        <f>TR27-TS27</f>
        <v/>
      </c>
      <c r="TU27" s="12">
        <f>ROUND(TS27*EssentialMix,0)</f>
        <v/>
      </c>
      <c r="TV27" s="12">
        <f>ROUND(TS27*PremiumMix,0)</f>
        <v/>
      </c>
      <c r="TW27" s="12">
        <f>TS27-TU27-TV27</f>
        <v/>
      </c>
      <c r="TX27" s="12">
        <f>ROUND(TT27*EssentialMix,0)</f>
        <v/>
      </c>
      <c r="TY27" s="12">
        <f>ROUND(TT27*PremiumMix,0)</f>
        <v/>
      </c>
      <c r="TZ27" s="12">
        <f>TT27-TX27-TY27</f>
        <v/>
      </c>
      <c r="UA27" s="12">
        <f>TU27+TU26+TU25+MAX(0,UA26-TU26-TU25)*(1-TN27)</f>
        <v/>
      </c>
      <c r="UB27" s="12">
        <f>TV27+TV26+TV25+MAX(0,UB26-TV26-TV25)*(1-TN27)</f>
        <v/>
      </c>
      <c r="UC27" s="12">
        <f>TW27+TW26+TW25+MAX(0,UC26-TW26-TW25)*(1-TN27)</f>
        <v/>
      </c>
      <c r="UD27" s="12">
        <f>UD26+TX27-TX15*(AnnualChurn*VLOOKUP(TJ27,ChurnSeasonTable,4,FALSE))*POWER(1-(AnnualChurn*VLOOKUP(TJ27,ChurnSeasonTable,4,FALSE)),0)</f>
        <v/>
      </c>
      <c r="UE27" s="12">
        <f>UE26+TY27-TY15*(AnnualChurn*VLOOKUP(TJ27,ChurnSeasonTable,4,FALSE))*POWER(1-(AnnualChurn*VLOOKUP(TJ27,ChurnSeasonTable,4,FALSE)),0)</f>
        <v/>
      </c>
      <c r="UF27" s="12">
        <f>UF26+TZ27-TZ15*(AnnualChurn*VLOOKUP(TJ27,ChurnSeasonTable,4,FALSE))*POWER(1-(AnnualChurn*VLOOKUP(TJ27,ChurnSeasonTable,4,FALSE)),0)</f>
        <v/>
      </c>
      <c r="UG27" s="12">
        <f>UA27+UB27+UC27+UD27+UE27+UF27</f>
        <v/>
      </c>
      <c r="UH27" s="9">
        <f>UA27*BlendedPriceEssMonthly*TM27+UB27*BlendedPricePremMonthly*TM27+UC27*BlendedPriceEliteMonthly*TM27+UD27*BlendedPriceEssAnnual*TM27/12+UE27*BlendedPricePremAnnual*TM27/12+UF27*BlendedPriceEliteAnnual*TM27/12</f>
        <v/>
      </c>
      <c r="UI27" s="9">
        <f>UH27*12</f>
        <v/>
      </c>
      <c r="UJ27" s="12">
        <f>UA27*BlendedPriceEssMonthly*TM27+UB27*BlendedPricePremMonthly*TM27+UC27*BlendedPriceEliteMonthly*TM27</f>
        <v/>
      </c>
      <c r="UK27" s="12">
        <f>TX27*BlendedPriceEssAnnual*TM27+TY27*BlendedPricePremAnnual*TM27+TZ27*BlendedPriceEliteAnnual*TM27</f>
        <v/>
      </c>
      <c r="UL27" s="12">
        <f>TX15*POWER(1-(AnnualChurn*VLOOKUP(TJ27,ChurnSeasonTable,4,FALSE)),1)*BlendedPriceEssAnnual*TM27+TY15*POWER(1-(AnnualChurn*VLOOKUP(TJ27,ChurnSeasonTable,4,FALSE)),1)*BlendedPricePremAnnual*TM27+TZ15*POWER(1-(AnnualChurn*VLOOKUP(TJ27,ChurnSeasonTable,4,FALSE)),1)*BlendedPriceEliteAnnual*TM27</f>
        <v/>
      </c>
      <c r="UM27" s="9">
        <f>UJ27+UK27+UL27</f>
        <v/>
      </c>
      <c r="UN27" s="12">
        <f>SUM(UM16:UM27)</f>
        <v/>
      </c>
      <c r="UO27" s="12">
        <f>OR(UO26,IF(VATAgentMode,SUM($UM16:$UM27)-SUM($UT16:$UT27)&gt;=VATThreshold,SUM($UM16:$UM27)&gt;=VATThreshold))</f>
        <v/>
      </c>
      <c r="UP27" s="9">
        <f>IF(UO27,IF(VATAgentMode,UM27-((UM27-UT27)-(UM27-UT27)/(1+VATRate)),UM27/(1+VATRate)),UM27)</f>
        <v/>
      </c>
      <c r="UQ27" s="12">
        <f>UM27-UP27</f>
        <v/>
      </c>
      <c r="UR27" s="12">
        <f>IF(UO27=0,0,IF(TJ27=1,SUMPRODUCT(--(($TK$5:$TK27=$TK27-1)*($TJ$5:$TJ27&gt;=10)*($TJ$5:$TJ27&lt;=12)),$UQ$5:$UQ27),IF(TJ27=4,SUMPRODUCT(--(($TK$5:$TK27=$TK27)*($TJ$5:$TJ27&gt;=1)*($TJ$5:$TJ27&lt;=3)),$UQ$5:$UQ27),IF(TJ27=7,SUMPRODUCT(--(($TK$5:$TK27=$TK27)*($TJ$5:$TJ27&gt;=4)*($TJ$5:$TJ27&lt;=6)),$UQ$5:$UQ27),IF(TJ27=10,SUMPRODUCT(--(($TK$5:$TK27=$TK27)*($TJ$5:$TJ27&gt;=7)*($TJ$5:$TJ27&lt;=9)),$UQ$5:$UQ27),0)))))</f>
        <v/>
      </c>
      <c r="US27" s="12">
        <f>US26+UQ27-UR27</f>
        <v/>
      </c>
      <c r="UT27" s="12">
        <f>IF(ProviderDelay&gt;=1,UA26*BlendedProvPayEss+UB26*BlendedProvPayPrem+UC26*BlendedProvPayElite+UD26*BlendedProvPayEss+UE26*BlendedProvPayPrem+UF26*BlendedProvPayElite,UA27*BlendedProvPayEss+UB27*BlendedProvPayPrem+UC27*BlendedProvPayElite+UD27*BlendedProvPayEss+UE27*BlendedProvPayPrem+UF27*BlendedProvPayElite)</f>
        <v/>
      </c>
      <c r="UU27" s="12">
        <f>UM27*PaymentFee</f>
        <v/>
      </c>
      <c r="UV27" s="12">
        <f>UG27*OpsAI</f>
        <v/>
      </c>
      <c r="UW27" s="12">
        <f>MonthlyFixed</f>
        <v/>
      </c>
      <c r="UX27" s="12">
        <f>TQ27*ReferralReward</f>
        <v/>
      </c>
      <c r="UY27" s="12">
        <f>TO27</f>
        <v/>
      </c>
      <c r="UZ27" s="9">
        <f>UP27-UT27-UU27-UV27-UW27-UX27-UY27</f>
        <v/>
      </c>
      <c r="VA27" s="9">
        <f>VA26+UM27-(UT27+UU27+UV27+UW27+UX27+UY27+UR27)</f>
        <v/>
      </c>
      <c r="VB27" s="12">
        <f>IF(UG27&gt;0,UH27/UG27,0)</f>
        <v/>
      </c>
      <c r="VC27" s="11">
        <f>IF(UG26&gt;0,MAX(0,(UG26+TR27-UG27)/UG26),0)</f>
        <v/>
      </c>
      <c r="VE27" s="12" t="n">
        <v>23</v>
      </c>
      <c r="VF27" s="12">
        <f>MOD(VE27-1+LaunchMonth-1,12)+1</f>
        <v/>
      </c>
      <c r="VG27" s="12">
        <f>INT((VE27-1+LaunchMonth-1)/12)+1</f>
        <v/>
      </c>
      <c r="VH27" s="12">
        <f>VLOOKUP(VF27,SeasonTable,2,FALSE)</f>
        <v/>
      </c>
      <c r="VI27" s="12">
        <f>(1+InflationRate)^INT((VE27-1)/12)</f>
        <v/>
      </c>
      <c r="VJ27" s="11">
        <f>MonthlyChurn*VLOOKUP(VF27,ChurnSeasonTable,4,FALSE)</f>
        <v/>
      </c>
      <c r="VK27" s="12">
        <f>MIN(MAX(MktMin19plus,WI26*MktPct19plus),MAX(0,WW26-CashBuffer))</f>
        <v/>
      </c>
      <c r="VL27" s="12">
        <f>IF(VK27&gt;0,MAX(1,ROUND(VK27/CAC*VH27,0)),0)</f>
        <v/>
      </c>
      <c r="VM27" s="12">
        <f>IF(VL27&gt;0,ROUND(VL27*ReferralMix/(1-ReferralMix),0),0)</f>
        <v/>
      </c>
      <c r="VN27" s="12">
        <f>VL27+VM27</f>
        <v/>
      </c>
      <c r="VO27" s="12">
        <f>ROUND(VN27*(1-'Sens - Annual Mix'!$A$9),0)</f>
        <v/>
      </c>
      <c r="VP27" s="12">
        <f>VN27-VO27</f>
        <v/>
      </c>
      <c r="VQ27" s="12">
        <f>ROUND(VO27*EssentialMix,0)</f>
        <v/>
      </c>
      <c r="VR27" s="12">
        <f>ROUND(VO27*PremiumMix,0)</f>
        <v/>
      </c>
      <c r="VS27" s="12">
        <f>VO27-VQ27-VR27</f>
        <v/>
      </c>
      <c r="VT27" s="12">
        <f>ROUND(VP27*EssentialMix,0)</f>
        <v/>
      </c>
      <c r="VU27" s="12">
        <f>ROUND(VP27*PremiumMix,0)</f>
        <v/>
      </c>
      <c r="VV27" s="12">
        <f>VP27-VT27-VU27</f>
        <v/>
      </c>
      <c r="VW27" s="12">
        <f>VQ27+VQ26+VQ25+MAX(0,VW26-VQ26-VQ25)*(1-VJ27)</f>
        <v/>
      </c>
      <c r="VX27" s="12">
        <f>VR27+VR26+VR25+MAX(0,VX26-VR26-VR25)*(1-VJ27)</f>
        <v/>
      </c>
      <c r="VY27" s="12">
        <f>VS27+VS26+VS25+MAX(0,VY26-VS26-VS25)*(1-VJ27)</f>
        <v/>
      </c>
      <c r="VZ27" s="12">
        <f>VZ26+VT27-VT15*(AnnualChurn*VLOOKUP(VF27,ChurnSeasonTable,4,FALSE))*POWER(1-(AnnualChurn*VLOOKUP(VF27,ChurnSeasonTable,4,FALSE)),0)</f>
        <v/>
      </c>
      <c r="WA27" s="12">
        <f>WA26+VU27-VU15*(AnnualChurn*VLOOKUP(VF27,ChurnSeasonTable,4,FALSE))*POWER(1-(AnnualChurn*VLOOKUP(VF27,ChurnSeasonTable,4,FALSE)),0)</f>
        <v/>
      </c>
      <c r="WB27" s="12">
        <f>WB26+VV27-VV15*(AnnualChurn*VLOOKUP(VF27,ChurnSeasonTable,4,FALSE))*POWER(1-(AnnualChurn*VLOOKUP(VF27,ChurnSeasonTable,4,FALSE)),0)</f>
        <v/>
      </c>
      <c r="WC27" s="12">
        <f>VW27+VX27+VY27+VZ27+WA27+WB27</f>
        <v/>
      </c>
      <c r="WD27" s="9">
        <f>VW27*BlendedPriceEssMonthly*VI27+VX27*BlendedPricePremMonthly*VI27+VY27*BlendedPriceEliteMonthly*VI27+VZ27*BlendedPriceEssAnnual*VI27/12+WA27*BlendedPricePremAnnual*VI27/12+WB27*BlendedPriceEliteAnnual*VI27/12</f>
        <v/>
      </c>
      <c r="WE27" s="9">
        <f>WD27*12</f>
        <v/>
      </c>
      <c r="WF27" s="12">
        <f>VW27*BlendedPriceEssMonthly*VI27+VX27*BlendedPricePremMonthly*VI27+VY27*BlendedPriceEliteMonthly*VI27</f>
        <v/>
      </c>
      <c r="WG27" s="12">
        <f>VT27*BlendedPriceEssAnnual*VI27+VU27*BlendedPricePremAnnual*VI27+VV27*BlendedPriceEliteAnnual*VI27</f>
        <v/>
      </c>
      <c r="WH27" s="12">
        <f>VT15*POWER(1-(AnnualChurn*VLOOKUP(VF27,ChurnSeasonTable,4,FALSE)),1)*BlendedPriceEssAnnual*VI27+VU15*POWER(1-(AnnualChurn*VLOOKUP(VF27,ChurnSeasonTable,4,FALSE)),1)*BlendedPricePremAnnual*VI27+VV15*POWER(1-(AnnualChurn*VLOOKUP(VF27,ChurnSeasonTable,4,FALSE)),1)*BlendedPriceEliteAnnual*VI27</f>
        <v/>
      </c>
      <c r="WI27" s="9">
        <f>WF27+WG27+WH27</f>
        <v/>
      </c>
      <c r="WJ27" s="12">
        <f>SUM(WI16:WI27)</f>
        <v/>
      </c>
      <c r="WK27" s="12">
        <f>OR(WK26,IF(VATAgentMode,SUM($WI16:$WI27)-SUM($WP16:$WP27)&gt;=VATThreshold,SUM($WI16:$WI27)&gt;=VATThreshold))</f>
        <v/>
      </c>
      <c r="WL27" s="9">
        <f>IF(WK27,IF(VATAgentMode,WI27-((WI27-WP27)-(WI27-WP27)/(1+VATRate)),WI27/(1+VATRate)),WI27)</f>
        <v/>
      </c>
      <c r="WM27" s="12">
        <f>WI27-WL27</f>
        <v/>
      </c>
      <c r="WN27" s="12">
        <f>IF(WK27=0,0,IF(VF27=1,SUMPRODUCT(--(($VG$5:$VG27=$VG27-1)*($VF$5:$VF27&gt;=10)*($VF$5:$VF27&lt;=12)),$WM$5:$WM27),IF(VF27=4,SUMPRODUCT(--(($VG$5:$VG27=$VG27)*($VF$5:$VF27&gt;=1)*($VF$5:$VF27&lt;=3)),$WM$5:$WM27),IF(VF27=7,SUMPRODUCT(--(($VG$5:$VG27=$VG27)*($VF$5:$VF27&gt;=4)*($VF$5:$VF27&lt;=6)),$WM$5:$WM27),IF(VF27=10,SUMPRODUCT(--(($VG$5:$VG27=$VG27)*($VF$5:$VF27&gt;=7)*($VF$5:$VF27&lt;=9)),$WM$5:$WM27),0)))))</f>
        <v/>
      </c>
      <c r="WO27" s="12">
        <f>WO26+WM27-WN27</f>
        <v/>
      </c>
      <c r="WP27" s="12">
        <f>IF(ProviderDelay&gt;=1,VW26*BlendedProvPayEss+VX26*BlendedProvPayPrem+VY26*BlendedProvPayElite+VZ26*BlendedProvPayEss+WA26*BlendedProvPayPrem+WB26*BlendedProvPayElite,VW27*BlendedProvPayEss+VX27*BlendedProvPayPrem+VY27*BlendedProvPayElite+VZ27*BlendedProvPayEss+WA27*BlendedProvPayPrem+WB27*BlendedProvPayElite)</f>
        <v/>
      </c>
      <c r="WQ27" s="12">
        <f>WI27*PaymentFee</f>
        <v/>
      </c>
      <c r="WR27" s="12">
        <f>WC27*OpsAI</f>
        <v/>
      </c>
      <c r="WS27" s="12">
        <f>MonthlyFixed</f>
        <v/>
      </c>
      <c r="WT27" s="12">
        <f>VM27*ReferralReward</f>
        <v/>
      </c>
      <c r="WU27" s="12">
        <f>VK27</f>
        <v/>
      </c>
      <c r="WV27" s="9">
        <f>WL27-WP27-WQ27-WR27-WS27-WT27-WU27</f>
        <v/>
      </c>
      <c r="WW27" s="9">
        <f>WW26+WI27-(WP27+WQ27+WR27+WS27+WT27+WU27+WN27)</f>
        <v/>
      </c>
      <c r="WX27" s="12">
        <f>IF(WC27&gt;0,WD27/WC27,0)</f>
        <v/>
      </c>
      <c r="WY27" s="11">
        <f>IF(WC26&gt;0,MAX(0,(WC26+VN27-WC27)/WC26),0)</f>
        <v/>
      </c>
      <c r="XA27" s="12" t="n">
        <v>23</v>
      </c>
      <c r="XB27" s="12">
        <f>MOD(XA27-1+LaunchMonth-1,12)+1</f>
        <v/>
      </c>
      <c r="XC27" s="12">
        <f>INT((XA27-1+LaunchMonth-1)/12)+1</f>
        <v/>
      </c>
      <c r="XD27" s="12">
        <f>VLOOKUP(XB27,SeasonTable,2,FALSE)</f>
        <v/>
      </c>
      <c r="XE27" s="12">
        <f>(1+InflationRate)^INT((XA27-1)/12)</f>
        <v/>
      </c>
      <c r="XF27" s="11">
        <f>MonthlyChurn*VLOOKUP(XB27,ChurnSeasonTable,4,FALSE)</f>
        <v/>
      </c>
      <c r="XG27" s="12">
        <f>MIN(MAX(MktMin19plus,YE26*MktPct19plus),MAX(0,YS26-CashBuffer))</f>
        <v/>
      </c>
      <c r="XH27" s="12">
        <f>IF(XG27&gt;0,MAX(1,ROUND(XG27/CAC*XD27,0)),0)</f>
        <v/>
      </c>
      <c r="XI27" s="12">
        <f>IF(XH27&gt;0,ROUND(XH27*ReferralMix/(1-ReferralMix),0),0)</f>
        <v/>
      </c>
      <c r="XJ27" s="12">
        <f>XH27+XI27</f>
        <v/>
      </c>
      <c r="XK27" s="12">
        <f>ROUND(XJ27*(1-'Sens - Annual Mix'!$A$10),0)</f>
        <v/>
      </c>
      <c r="XL27" s="12">
        <f>XJ27-XK27</f>
        <v/>
      </c>
      <c r="XM27" s="12">
        <f>ROUND(XK27*EssentialMix,0)</f>
        <v/>
      </c>
      <c r="XN27" s="12">
        <f>ROUND(XK27*PremiumMix,0)</f>
        <v/>
      </c>
      <c r="XO27" s="12">
        <f>XK27-XM27-XN27</f>
        <v/>
      </c>
      <c r="XP27" s="12">
        <f>ROUND(XL27*EssentialMix,0)</f>
        <v/>
      </c>
      <c r="XQ27" s="12">
        <f>ROUND(XL27*PremiumMix,0)</f>
        <v/>
      </c>
      <c r="XR27" s="12">
        <f>XL27-XP27-XQ27</f>
        <v/>
      </c>
      <c r="XS27" s="12">
        <f>XM27+XM26+XM25+MAX(0,XS26-XM26-XM25)*(1-XF27)</f>
        <v/>
      </c>
      <c r="XT27" s="12">
        <f>XN27+XN26+XN25+MAX(0,XT26-XN26-XN25)*(1-XF27)</f>
        <v/>
      </c>
      <c r="XU27" s="12">
        <f>XO27+XO26+XO25+MAX(0,XU26-XO26-XO25)*(1-XF27)</f>
        <v/>
      </c>
      <c r="XV27" s="12">
        <f>XV26+XP27-XP15*(AnnualChurn*VLOOKUP(XB27,ChurnSeasonTable,4,FALSE))*POWER(1-(AnnualChurn*VLOOKUP(XB27,ChurnSeasonTable,4,FALSE)),0)</f>
        <v/>
      </c>
      <c r="XW27" s="12">
        <f>XW26+XQ27-XQ15*(AnnualChurn*VLOOKUP(XB27,ChurnSeasonTable,4,FALSE))*POWER(1-(AnnualChurn*VLOOKUP(XB27,ChurnSeasonTable,4,FALSE)),0)</f>
        <v/>
      </c>
      <c r="XX27" s="12">
        <f>XX26+XR27-XR15*(AnnualChurn*VLOOKUP(XB27,ChurnSeasonTable,4,FALSE))*POWER(1-(AnnualChurn*VLOOKUP(XB27,ChurnSeasonTable,4,FALSE)),0)</f>
        <v/>
      </c>
      <c r="XY27" s="12">
        <f>XS27+XT27+XU27+XV27+XW27+XX27</f>
        <v/>
      </c>
      <c r="XZ27" s="9">
        <f>XS27*BlendedPriceEssMonthly*XE27+XT27*BlendedPricePremMonthly*XE27+XU27*BlendedPriceEliteMonthly*XE27+XV27*BlendedPriceEssAnnual*XE27/12+XW27*BlendedPricePremAnnual*XE27/12+XX27*BlendedPriceEliteAnnual*XE27/12</f>
        <v/>
      </c>
      <c r="YA27" s="9">
        <f>XZ27*12</f>
        <v/>
      </c>
      <c r="YB27" s="12">
        <f>XS27*BlendedPriceEssMonthly*XE27+XT27*BlendedPricePremMonthly*XE27+XU27*BlendedPriceEliteMonthly*XE27</f>
        <v/>
      </c>
      <c r="YC27" s="12">
        <f>XP27*BlendedPriceEssAnnual*XE27+XQ27*BlendedPricePremAnnual*XE27+XR27*BlendedPriceEliteAnnual*XE27</f>
        <v/>
      </c>
      <c r="YD27" s="12">
        <f>XP15*POWER(1-(AnnualChurn*VLOOKUP(XB27,ChurnSeasonTable,4,FALSE)),1)*BlendedPriceEssAnnual*XE27+XQ15*POWER(1-(AnnualChurn*VLOOKUP(XB27,ChurnSeasonTable,4,FALSE)),1)*BlendedPricePremAnnual*XE27+XR15*POWER(1-(AnnualChurn*VLOOKUP(XB27,ChurnSeasonTable,4,FALSE)),1)*BlendedPriceEliteAnnual*XE27</f>
        <v/>
      </c>
      <c r="YE27" s="9">
        <f>YB27+YC27+YD27</f>
        <v/>
      </c>
      <c r="YF27" s="12">
        <f>SUM(YE16:YE27)</f>
        <v/>
      </c>
      <c r="YG27" s="12">
        <f>OR(YG26,IF(VATAgentMode,SUM($YE16:$YE27)-SUM($YL16:$YL27)&gt;=VATThreshold,SUM($YE16:$YE27)&gt;=VATThreshold))</f>
        <v/>
      </c>
      <c r="YH27" s="9">
        <f>IF(YG27,IF(VATAgentMode,YE27-((YE27-YL27)-(YE27-YL27)/(1+VATRate)),YE27/(1+VATRate)),YE27)</f>
        <v/>
      </c>
      <c r="YI27" s="12">
        <f>YE27-YH27</f>
        <v/>
      </c>
      <c r="YJ27" s="12">
        <f>IF(YG27=0,0,IF(XB27=1,SUMPRODUCT(--(($XC$5:$XC27=$XC27-1)*($XB$5:$XB27&gt;=10)*($XB$5:$XB27&lt;=12)),$YI$5:$YI27),IF(XB27=4,SUMPRODUCT(--(($XC$5:$XC27=$XC27)*($XB$5:$XB27&gt;=1)*($XB$5:$XB27&lt;=3)),$YI$5:$YI27),IF(XB27=7,SUMPRODUCT(--(($XC$5:$XC27=$XC27)*($XB$5:$XB27&gt;=4)*($XB$5:$XB27&lt;=6)),$YI$5:$YI27),IF(XB27=10,SUMPRODUCT(--(($XC$5:$XC27=$XC27)*($XB$5:$XB27&gt;=7)*($XB$5:$XB27&lt;=9)),$YI$5:$YI27),0)))))</f>
        <v/>
      </c>
      <c r="YK27" s="12">
        <f>YK26+YI27-YJ27</f>
        <v/>
      </c>
      <c r="YL27" s="12">
        <f>IF(ProviderDelay&gt;=1,XS26*BlendedProvPayEss+XT26*BlendedProvPayPrem+XU26*BlendedProvPayElite+XV26*BlendedProvPayEss+XW26*BlendedProvPayPrem+XX26*BlendedProvPayElite,XS27*BlendedProvPayEss+XT27*BlendedProvPayPrem+XU27*BlendedProvPayElite+XV27*BlendedProvPayEss+XW27*BlendedProvPayPrem+XX27*BlendedProvPayElite)</f>
        <v/>
      </c>
      <c r="YM27" s="12">
        <f>YE27*PaymentFee</f>
        <v/>
      </c>
      <c r="YN27" s="12">
        <f>XY27*OpsAI</f>
        <v/>
      </c>
      <c r="YO27" s="12">
        <f>MonthlyFixed</f>
        <v/>
      </c>
      <c r="YP27" s="12">
        <f>XI27*ReferralReward</f>
        <v/>
      </c>
      <c r="YQ27" s="12">
        <f>XG27</f>
        <v/>
      </c>
      <c r="YR27" s="9">
        <f>YH27-YL27-YM27-YN27-YO27-YP27-YQ27</f>
        <v/>
      </c>
      <c r="YS27" s="9">
        <f>YS26+YE27-(YL27+YM27+YN27+YO27+YP27+YQ27+YJ27)</f>
        <v/>
      </c>
      <c r="YT27" s="12">
        <f>IF(XY27&gt;0,XZ27/XY27,0)</f>
        <v/>
      </c>
      <c r="YU27" s="11">
        <f>IF(XY26&gt;0,MAX(0,(XY26+XJ27-XY27)/XY26),0)</f>
        <v/>
      </c>
      <c r="YW27" s="12" t="n">
        <v>23</v>
      </c>
      <c r="YX27" s="12">
        <f>MOD(YW27-1+LaunchMonth-1,12)+1</f>
        <v/>
      </c>
      <c r="YY27" s="12">
        <f>INT((YW27-1+LaunchMonth-1)/12)+1</f>
        <v/>
      </c>
      <c r="YZ27" s="12">
        <f>VLOOKUP(YX27,SeasonTable,2,FALSE)</f>
        <v/>
      </c>
      <c r="ZA27" s="12">
        <f>(1+InflationRate)^INT((YW27-1)/12)</f>
        <v/>
      </c>
      <c r="ZB27" s="11">
        <f>MonthlyChurn*VLOOKUP(YX27,ChurnSeasonTable,4,FALSE)</f>
        <v/>
      </c>
      <c r="ZC27" s="12">
        <f>MIN(MAX(MktMin19plus,AAA26*MktPct19plus),MAX(0,AAO26-CashBuffer))</f>
        <v/>
      </c>
      <c r="ZD27" s="12">
        <f>IF(ZC27&gt;0,MAX(1,ROUND(ZC27/CAC*YZ27,0)),0)</f>
        <v/>
      </c>
      <c r="ZE27" s="12">
        <f>IF(ZD27&gt;0,ROUND(ZD27*ReferralMix/(1-ReferralMix),0),0)</f>
        <v/>
      </c>
      <c r="ZF27" s="12">
        <f>ZD27+ZE27</f>
        <v/>
      </c>
      <c r="ZG27" s="12">
        <f>ROUND(ZF27*(1-'Sens - Annual Mix'!$A$11),0)</f>
        <v/>
      </c>
      <c r="ZH27" s="12">
        <f>ZF27-ZG27</f>
        <v/>
      </c>
      <c r="ZI27" s="12">
        <f>ROUND(ZG27*EssentialMix,0)</f>
        <v/>
      </c>
      <c r="ZJ27" s="12">
        <f>ROUND(ZG27*PremiumMix,0)</f>
        <v/>
      </c>
      <c r="ZK27" s="12">
        <f>ZG27-ZI27-ZJ27</f>
        <v/>
      </c>
      <c r="ZL27" s="12">
        <f>ROUND(ZH27*EssentialMix,0)</f>
        <v/>
      </c>
      <c r="ZM27" s="12">
        <f>ROUND(ZH27*PremiumMix,0)</f>
        <v/>
      </c>
      <c r="ZN27" s="12">
        <f>ZH27-ZL27-ZM27</f>
        <v/>
      </c>
      <c r="ZO27" s="12">
        <f>ZI27+ZI26+ZI25+MAX(0,ZO26-ZI26-ZI25)*(1-ZB27)</f>
        <v/>
      </c>
      <c r="ZP27" s="12">
        <f>ZJ27+ZJ26+ZJ25+MAX(0,ZP26-ZJ26-ZJ25)*(1-ZB27)</f>
        <v/>
      </c>
      <c r="ZQ27" s="12">
        <f>ZK27+ZK26+ZK25+MAX(0,ZQ26-ZK26-ZK25)*(1-ZB27)</f>
        <v/>
      </c>
      <c r="ZR27" s="12">
        <f>ZR26+ZL27-ZL15*(AnnualChurn*VLOOKUP(YX27,ChurnSeasonTable,4,FALSE))*POWER(1-(AnnualChurn*VLOOKUP(YX27,ChurnSeasonTable,4,FALSE)),0)</f>
        <v/>
      </c>
      <c r="ZS27" s="12">
        <f>ZS26+ZM27-ZM15*(AnnualChurn*VLOOKUP(YX27,ChurnSeasonTable,4,FALSE))*POWER(1-(AnnualChurn*VLOOKUP(YX27,ChurnSeasonTable,4,FALSE)),0)</f>
        <v/>
      </c>
      <c r="ZT27" s="12">
        <f>ZT26+ZN27-ZN15*(AnnualChurn*VLOOKUP(YX27,ChurnSeasonTable,4,FALSE))*POWER(1-(AnnualChurn*VLOOKUP(YX27,ChurnSeasonTable,4,FALSE)),0)</f>
        <v/>
      </c>
      <c r="ZU27" s="12">
        <f>ZO27+ZP27+ZQ27+ZR27+ZS27+ZT27</f>
        <v/>
      </c>
      <c r="ZV27" s="9">
        <f>ZO27*BlendedPriceEssMonthly*ZA27+ZP27*BlendedPricePremMonthly*ZA27+ZQ27*BlendedPriceEliteMonthly*ZA27+ZR27*BlendedPriceEssAnnual*ZA27/12+ZS27*BlendedPricePremAnnual*ZA27/12+ZT27*BlendedPriceEliteAnnual*ZA27/12</f>
        <v/>
      </c>
      <c r="ZW27" s="9">
        <f>ZV27*12</f>
        <v/>
      </c>
      <c r="ZX27" s="12">
        <f>ZO27*BlendedPriceEssMonthly*ZA27+ZP27*BlendedPricePremMonthly*ZA27+ZQ27*BlendedPriceEliteMonthly*ZA27</f>
        <v/>
      </c>
      <c r="ZY27" s="12">
        <f>ZL27*BlendedPriceEssAnnual*ZA27+ZM27*BlendedPricePremAnnual*ZA27+ZN27*BlendedPriceEliteAnnual*ZA27</f>
        <v/>
      </c>
      <c r="ZZ27" s="12">
        <f>ZL15*POWER(1-(AnnualChurn*VLOOKUP(YX27,ChurnSeasonTable,4,FALSE)),1)*BlendedPriceEssAnnual*ZA27+ZM15*POWER(1-(AnnualChurn*VLOOKUP(YX27,ChurnSeasonTable,4,FALSE)),1)*BlendedPricePremAnnual*ZA27+ZN15*POWER(1-(AnnualChurn*VLOOKUP(YX27,ChurnSeasonTable,4,FALSE)),1)*BlendedPriceEliteAnnual*ZA27</f>
        <v/>
      </c>
      <c r="AAA27" s="9">
        <f>ZX27+ZY27+ZZ27</f>
        <v/>
      </c>
      <c r="AAB27" s="12">
        <f>SUM(AAA16:AAA27)</f>
        <v/>
      </c>
      <c r="AAC27" s="12">
        <f>OR(AAC26,IF(VATAgentMode,SUM($AAA16:$AAA27)-SUM($AAH16:$AAH27)&gt;=VATThreshold,SUM($AAA16:$AAA27)&gt;=VATThreshold))</f>
        <v/>
      </c>
      <c r="AAD27" s="9">
        <f>IF(AAC27,IF(VATAgentMode,AAA27-((AAA27-AAH27)-(AAA27-AAH27)/(1+VATRate)),AAA27/(1+VATRate)),AAA27)</f>
        <v/>
      </c>
      <c r="AAE27" s="12">
        <f>AAA27-AAD27</f>
        <v/>
      </c>
      <c r="AAF27" s="12">
        <f>IF(AAC27=0,0,IF(YX27=1,SUMPRODUCT(--(($YY$5:$YY27=$YY27-1)*($YX$5:$YX27&gt;=10)*($YX$5:$YX27&lt;=12)),$AAE$5:$AAE27),IF(YX27=4,SUMPRODUCT(--(($YY$5:$YY27=$YY27)*($YX$5:$YX27&gt;=1)*($YX$5:$YX27&lt;=3)),$AAE$5:$AAE27),IF(YX27=7,SUMPRODUCT(--(($YY$5:$YY27=$YY27)*($YX$5:$YX27&gt;=4)*($YX$5:$YX27&lt;=6)),$AAE$5:$AAE27),IF(YX27=10,SUMPRODUCT(--(($YY$5:$YY27=$YY27)*($YX$5:$YX27&gt;=7)*($YX$5:$YX27&lt;=9)),$AAE$5:$AAE27),0)))))</f>
        <v/>
      </c>
      <c r="AAG27" s="12">
        <f>AAG26+AAE27-AAF27</f>
        <v/>
      </c>
      <c r="AAH27" s="12">
        <f>IF(ProviderDelay&gt;=1,ZO26*BlendedProvPayEss+ZP26*BlendedProvPayPrem+ZQ26*BlendedProvPayElite+ZR26*BlendedProvPayEss+ZS26*BlendedProvPayPrem+ZT26*BlendedProvPayElite,ZO27*BlendedProvPayEss+ZP27*BlendedProvPayPrem+ZQ27*BlendedProvPayElite+ZR27*BlendedProvPayEss+ZS27*BlendedProvPayPrem+ZT27*BlendedProvPayElite)</f>
        <v/>
      </c>
      <c r="AAI27" s="12">
        <f>AAA27*PaymentFee</f>
        <v/>
      </c>
      <c r="AAJ27" s="12">
        <f>ZU27*OpsAI</f>
        <v/>
      </c>
      <c r="AAK27" s="12">
        <f>MonthlyFixed</f>
        <v/>
      </c>
      <c r="AAL27" s="12">
        <f>ZE27*ReferralReward</f>
        <v/>
      </c>
      <c r="AAM27" s="12">
        <f>ZC27</f>
        <v/>
      </c>
      <c r="AAN27" s="9">
        <f>AAD27-AAH27-AAI27-AAJ27-AAK27-AAL27-AAM27</f>
        <v/>
      </c>
      <c r="AAO27" s="9">
        <f>AAO26+AAA27-(AAH27+AAI27+AAJ27+AAK27+AAL27+AAM27+AAF27)</f>
        <v/>
      </c>
      <c r="AAP27" s="12">
        <f>IF(ZU27&gt;0,ZV27/ZU27,0)</f>
        <v/>
      </c>
      <c r="AAQ27" s="11">
        <f>IF(ZU26&gt;0,MAX(0,(ZU26+ZF27-ZU27)/ZU26),0)</f>
        <v/>
      </c>
      <c r="AAS27" s="12" t="n">
        <v>23</v>
      </c>
      <c r="AAT27" s="12">
        <f>MOD(AAS27-1+LaunchMonth-1,12)+1</f>
        <v/>
      </c>
      <c r="AAU27" s="12">
        <f>INT((AAS27-1+LaunchMonth-1)/12)+1</f>
        <v/>
      </c>
      <c r="AAV27" s="12">
        <f>VLOOKUP(AAT27,SeasonTable,2,FALSE)</f>
        <v/>
      </c>
      <c r="AAW27" s="12">
        <f>(1+InflationRate)^INT((AAS27-1)/12)</f>
        <v/>
      </c>
      <c r="AAX27" s="11">
        <f>MonthlyChurn*VLOOKUP(AAT27,ChurnSeasonTable,4,FALSE)</f>
        <v/>
      </c>
      <c r="AAY27" s="12">
        <f>MIN(MAX(MktMin19plus,ABW26*MktPct19plus),MAX(0,ACK26-CashBuffer))</f>
        <v/>
      </c>
      <c r="AAZ27" s="12">
        <f>IF(AAY27&gt;0,MAX(1,ROUND(AAY27/CAC*AAV27,0)),0)</f>
        <v/>
      </c>
      <c r="ABA27" s="12">
        <f>IF(AAZ27&gt;0,ROUND(AAZ27*ReferralMix/(1-ReferralMix),0),0)</f>
        <v/>
      </c>
      <c r="ABB27" s="12">
        <f>AAZ27+ABA27</f>
        <v/>
      </c>
      <c r="ABC27" s="12">
        <f>ROUND(ABB27*(1-'Sens - Annual Mix'!$A$12),0)</f>
        <v/>
      </c>
      <c r="ABD27" s="12">
        <f>ABB27-ABC27</f>
        <v/>
      </c>
      <c r="ABE27" s="12">
        <f>ROUND(ABC27*EssentialMix,0)</f>
        <v/>
      </c>
      <c r="ABF27" s="12">
        <f>ROUND(ABC27*PremiumMix,0)</f>
        <v/>
      </c>
      <c r="ABG27" s="12">
        <f>ABC27-ABE27-ABF27</f>
        <v/>
      </c>
      <c r="ABH27" s="12">
        <f>ROUND(ABD27*EssentialMix,0)</f>
        <v/>
      </c>
      <c r="ABI27" s="12">
        <f>ROUND(ABD27*PremiumMix,0)</f>
        <v/>
      </c>
      <c r="ABJ27" s="12">
        <f>ABD27-ABH27-ABI27</f>
        <v/>
      </c>
      <c r="ABK27" s="12">
        <f>ABE27+ABE26+ABE25+MAX(0,ABK26-ABE26-ABE25)*(1-AAX27)</f>
        <v/>
      </c>
      <c r="ABL27" s="12">
        <f>ABF27+ABF26+ABF25+MAX(0,ABL26-ABF26-ABF25)*(1-AAX27)</f>
        <v/>
      </c>
      <c r="ABM27" s="12">
        <f>ABG27+ABG26+ABG25+MAX(0,ABM26-ABG26-ABG25)*(1-AAX27)</f>
        <v/>
      </c>
      <c r="ABN27" s="12">
        <f>ABN26+ABH27-ABH15*(AnnualChurn*VLOOKUP(AAT27,ChurnSeasonTable,4,FALSE))*POWER(1-(AnnualChurn*VLOOKUP(AAT27,ChurnSeasonTable,4,FALSE)),0)</f>
        <v/>
      </c>
      <c r="ABO27" s="12">
        <f>ABO26+ABI27-ABI15*(AnnualChurn*VLOOKUP(AAT27,ChurnSeasonTable,4,FALSE))*POWER(1-(AnnualChurn*VLOOKUP(AAT27,ChurnSeasonTable,4,FALSE)),0)</f>
        <v/>
      </c>
      <c r="ABP27" s="12">
        <f>ABP26+ABJ27-ABJ15*(AnnualChurn*VLOOKUP(AAT27,ChurnSeasonTable,4,FALSE))*POWER(1-(AnnualChurn*VLOOKUP(AAT27,ChurnSeasonTable,4,FALSE)),0)</f>
        <v/>
      </c>
      <c r="ABQ27" s="12">
        <f>ABK27+ABL27+ABM27+ABN27+ABO27+ABP27</f>
        <v/>
      </c>
      <c r="ABR27" s="9">
        <f>ABK27*BlendedPriceEssMonthly*AAW27+ABL27*BlendedPricePremMonthly*AAW27+ABM27*BlendedPriceEliteMonthly*AAW27+ABN27*BlendedPriceEssAnnual*AAW27/12+ABO27*BlendedPricePremAnnual*AAW27/12+ABP27*BlendedPriceEliteAnnual*AAW27/12</f>
        <v/>
      </c>
      <c r="ABS27" s="9">
        <f>ABR27*12</f>
        <v/>
      </c>
      <c r="ABT27" s="12">
        <f>ABK27*BlendedPriceEssMonthly*AAW27+ABL27*BlendedPricePremMonthly*AAW27+ABM27*BlendedPriceEliteMonthly*AAW27</f>
        <v/>
      </c>
      <c r="ABU27" s="12">
        <f>ABH27*BlendedPriceEssAnnual*AAW27+ABI27*BlendedPricePremAnnual*AAW27+ABJ27*BlendedPriceEliteAnnual*AAW27</f>
        <v/>
      </c>
      <c r="ABV27" s="12">
        <f>ABH15*POWER(1-(AnnualChurn*VLOOKUP(AAT27,ChurnSeasonTable,4,FALSE)),1)*BlendedPriceEssAnnual*AAW27+ABI15*POWER(1-(AnnualChurn*VLOOKUP(AAT27,ChurnSeasonTable,4,FALSE)),1)*BlendedPricePremAnnual*AAW27+ABJ15*POWER(1-(AnnualChurn*VLOOKUP(AAT27,ChurnSeasonTable,4,FALSE)),1)*BlendedPriceEliteAnnual*AAW27</f>
        <v/>
      </c>
      <c r="ABW27" s="9">
        <f>ABT27+ABU27+ABV27</f>
        <v/>
      </c>
      <c r="ABX27" s="12">
        <f>SUM(ABW16:ABW27)</f>
        <v/>
      </c>
      <c r="ABY27" s="12">
        <f>OR(ABY26,IF(VATAgentMode,SUM($ABW16:$ABW27)-SUM($ACD16:$ACD27)&gt;=VATThreshold,SUM($ABW16:$ABW27)&gt;=VATThreshold))</f>
        <v/>
      </c>
      <c r="ABZ27" s="9">
        <f>IF(ABY27,IF(VATAgentMode,ABW27-((ABW27-ACD27)-(ABW27-ACD27)/(1+VATRate)),ABW27/(1+VATRate)),ABW27)</f>
        <v/>
      </c>
      <c r="ACA27" s="12">
        <f>ABW27-ABZ27</f>
        <v/>
      </c>
      <c r="ACB27" s="12">
        <f>IF(ABY27=0,0,IF(AAT27=1,SUMPRODUCT(--(($AAU$5:$AAU27=$AAU27-1)*($AAT$5:$AAT27&gt;=10)*($AAT$5:$AAT27&lt;=12)),$ACA$5:$ACA27),IF(AAT27=4,SUMPRODUCT(--(($AAU$5:$AAU27=$AAU27)*($AAT$5:$AAT27&gt;=1)*($AAT$5:$AAT27&lt;=3)),$ACA$5:$ACA27),IF(AAT27=7,SUMPRODUCT(--(($AAU$5:$AAU27=$AAU27)*($AAT$5:$AAT27&gt;=4)*($AAT$5:$AAT27&lt;=6)),$ACA$5:$ACA27),IF(AAT27=10,SUMPRODUCT(--(($AAU$5:$AAU27=$AAU27)*($AAT$5:$AAT27&gt;=7)*($AAT$5:$AAT27&lt;=9)),$ACA$5:$ACA27),0)))))</f>
        <v/>
      </c>
      <c r="ACC27" s="12">
        <f>ACC26+ACA27-ACB27</f>
        <v/>
      </c>
      <c r="ACD27" s="12">
        <f>IF(ProviderDelay&gt;=1,ABK26*BlendedProvPayEss+ABL26*BlendedProvPayPrem+ABM26*BlendedProvPayElite+ABN26*BlendedProvPayEss+ABO26*BlendedProvPayPrem+ABP26*BlendedProvPayElite,ABK27*BlendedProvPayEss+ABL27*BlendedProvPayPrem+ABM27*BlendedProvPayElite+ABN27*BlendedProvPayEss+ABO27*BlendedProvPayPrem+ABP27*BlendedProvPayElite)</f>
        <v/>
      </c>
      <c r="ACE27" s="12">
        <f>ABW27*PaymentFee</f>
        <v/>
      </c>
      <c r="ACF27" s="12">
        <f>ABQ27*OpsAI</f>
        <v/>
      </c>
      <c r="ACG27" s="12">
        <f>MonthlyFixed</f>
        <v/>
      </c>
      <c r="ACH27" s="12">
        <f>ABA27*ReferralReward</f>
        <v/>
      </c>
      <c r="ACI27" s="12">
        <f>AAY27</f>
        <v/>
      </c>
      <c r="ACJ27" s="9">
        <f>ABZ27-ACD27-ACE27-ACF27-ACG27-ACH27-ACI27</f>
        <v/>
      </c>
      <c r="ACK27" s="9">
        <f>ACK26+ABW27-(ACD27+ACE27+ACF27+ACG27+ACH27+ACI27+ACB27)</f>
        <v/>
      </c>
      <c r="ACL27" s="12">
        <f>IF(ABQ27&gt;0,ABR27/ABQ27,0)</f>
        <v/>
      </c>
      <c r="ACM27" s="11">
        <f>IF(ABQ26&gt;0,MAX(0,(ABQ26+ABB27-ABQ27)/ABQ26),0)</f>
        <v/>
      </c>
      <c r="ACO27" s="12" t="n">
        <v>23</v>
      </c>
      <c r="ACP27" s="12">
        <f>MOD(ACO27-1+LaunchMonth-1,12)+1</f>
        <v/>
      </c>
      <c r="ACQ27" s="12">
        <f>INT((ACO27-1+LaunchMonth-1)/12)+1</f>
        <v/>
      </c>
      <c r="ACR27" s="12">
        <f>VLOOKUP(ACP27,SeasonTable,2,FALSE)</f>
        <v/>
      </c>
      <c r="ACS27" s="12">
        <f>(1+InflationRate)^INT((ACO27-1)/12)</f>
        <v/>
      </c>
      <c r="ACT27" s="11">
        <f>MonthlyChurn*VLOOKUP(ACP27,ChurnSeasonTable,4,FALSE)</f>
        <v/>
      </c>
      <c r="ACU27" s="12">
        <f>MIN(MAX(MktMin19plus,ADS26*MktPct19plus),MAX(0,AEG26-CashBuffer))</f>
        <v/>
      </c>
      <c r="ACV27" s="12">
        <f>IF(ACU27&gt;0,MAX(1,ROUND(ACU27/CAC*ACR27,0)),0)</f>
        <v/>
      </c>
      <c r="ACW27" s="12">
        <f>IF(ACV27&gt;0,ROUND(ACV27*ReferralMix/(1-ReferralMix),0),0)</f>
        <v/>
      </c>
      <c r="ACX27" s="12">
        <f>ACV27+ACW27</f>
        <v/>
      </c>
      <c r="ACY27" s="12">
        <f>ROUND(ACX27*(1-'Sens - Annual Mix'!$A$13),0)</f>
        <v/>
      </c>
      <c r="ACZ27" s="12">
        <f>ACX27-ACY27</f>
        <v/>
      </c>
      <c r="ADA27" s="12">
        <f>ROUND(ACY27*EssentialMix,0)</f>
        <v/>
      </c>
      <c r="ADB27" s="12">
        <f>ROUND(ACY27*PremiumMix,0)</f>
        <v/>
      </c>
      <c r="ADC27" s="12">
        <f>ACY27-ADA27-ADB27</f>
        <v/>
      </c>
      <c r="ADD27" s="12">
        <f>ROUND(ACZ27*EssentialMix,0)</f>
        <v/>
      </c>
      <c r="ADE27" s="12">
        <f>ROUND(ACZ27*PremiumMix,0)</f>
        <v/>
      </c>
      <c r="ADF27" s="12">
        <f>ACZ27-ADD27-ADE27</f>
        <v/>
      </c>
      <c r="ADG27" s="12">
        <f>ADA27+ADA26+ADA25+MAX(0,ADG26-ADA26-ADA25)*(1-ACT27)</f>
        <v/>
      </c>
      <c r="ADH27" s="12">
        <f>ADB27+ADB26+ADB25+MAX(0,ADH26-ADB26-ADB25)*(1-ACT27)</f>
        <v/>
      </c>
      <c r="ADI27" s="12">
        <f>ADC27+ADC26+ADC25+MAX(0,ADI26-ADC26-ADC25)*(1-ACT27)</f>
        <v/>
      </c>
      <c r="ADJ27" s="12">
        <f>ADJ26+ADD27-ADD15*(AnnualChurn*VLOOKUP(ACP27,ChurnSeasonTable,4,FALSE))*POWER(1-(AnnualChurn*VLOOKUP(ACP27,ChurnSeasonTable,4,FALSE)),0)</f>
        <v/>
      </c>
      <c r="ADK27" s="12">
        <f>ADK26+ADE27-ADE15*(AnnualChurn*VLOOKUP(ACP27,ChurnSeasonTable,4,FALSE))*POWER(1-(AnnualChurn*VLOOKUP(ACP27,ChurnSeasonTable,4,FALSE)),0)</f>
        <v/>
      </c>
      <c r="ADL27" s="12">
        <f>ADL26+ADF27-ADF15*(AnnualChurn*VLOOKUP(ACP27,ChurnSeasonTable,4,FALSE))*POWER(1-(AnnualChurn*VLOOKUP(ACP27,ChurnSeasonTable,4,FALSE)),0)</f>
        <v/>
      </c>
      <c r="ADM27" s="12">
        <f>ADG27+ADH27+ADI27+ADJ27+ADK27+ADL27</f>
        <v/>
      </c>
      <c r="ADN27" s="9">
        <f>ADG27*BlendedPriceEssMonthly*ACS27+ADH27*BlendedPricePremMonthly*ACS27+ADI27*BlendedPriceEliteMonthly*ACS27+ADJ27*BlendedPriceEssAnnual*ACS27/12+ADK27*BlendedPricePremAnnual*ACS27/12+ADL27*BlendedPriceEliteAnnual*ACS27/12</f>
        <v/>
      </c>
      <c r="ADO27" s="9">
        <f>ADN27*12</f>
        <v/>
      </c>
      <c r="ADP27" s="12">
        <f>ADG27*BlendedPriceEssMonthly*ACS27+ADH27*BlendedPricePremMonthly*ACS27+ADI27*BlendedPriceEliteMonthly*ACS27</f>
        <v/>
      </c>
      <c r="ADQ27" s="12">
        <f>ADD27*BlendedPriceEssAnnual*ACS27+ADE27*BlendedPricePremAnnual*ACS27+ADF27*BlendedPriceEliteAnnual*ACS27</f>
        <v/>
      </c>
      <c r="ADR27" s="12">
        <f>ADD15*POWER(1-(AnnualChurn*VLOOKUP(ACP27,ChurnSeasonTable,4,FALSE)),1)*BlendedPriceEssAnnual*ACS27+ADE15*POWER(1-(AnnualChurn*VLOOKUP(ACP27,ChurnSeasonTable,4,FALSE)),1)*BlendedPricePremAnnual*ACS27+ADF15*POWER(1-(AnnualChurn*VLOOKUP(ACP27,ChurnSeasonTable,4,FALSE)),1)*BlendedPriceEliteAnnual*ACS27</f>
        <v/>
      </c>
      <c r="ADS27" s="9">
        <f>ADP27+ADQ27+ADR27</f>
        <v/>
      </c>
      <c r="ADT27" s="12">
        <f>SUM(ADS16:ADS27)</f>
        <v/>
      </c>
      <c r="ADU27" s="12">
        <f>OR(ADU26,IF(VATAgentMode,SUM($ADS16:$ADS27)-SUM($ADZ16:$ADZ27)&gt;=VATThreshold,SUM($ADS16:$ADS27)&gt;=VATThreshold))</f>
        <v/>
      </c>
      <c r="ADV27" s="9">
        <f>IF(ADU27,IF(VATAgentMode,ADS27-((ADS27-ADZ27)-(ADS27-ADZ27)/(1+VATRate)),ADS27/(1+VATRate)),ADS27)</f>
        <v/>
      </c>
      <c r="ADW27" s="12">
        <f>ADS27-ADV27</f>
        <v/>
      </c>
      <c r="ADX27" s="12">
        <f>IF(ADU27=0,0,IF(ACP27=1,SUMPRODUCT(--(($ACQ$5:$ACQ27=$ACQ27-1)*($ACP$5:$ACP27&gt;=10)*($ACP$5:$ACP27&lt;=12)),$ADW$5:$ADW27),IF(ACP27=4,SUMPRODUCT(--(($ACQ$5:$ACQ27=$ACQ27)*($ACP$5:$ACP27&gt;=1)*($ACP$5:$ACP27&lt;=3)),$ADW$5:$ADW27),IF(ACP27=7,SUMPRODUCT(--(($ACQ$5:$ACQ27=$ACQ27)*($ACP$5:$ACP27&gt;=4)*($ACP$5:$ACP27&lt;=6)),$ADW$5:$ADW27),IF(ACP27=10,SUMPRODUCT(--(($ACQ$5:$ACQ27=$ACQ27)*($ACP$5:$ACP27&gt;=7)*($ACP$5:$ACP27&lt;=9)),$ADW$5:$ADW27),0)))))</f>
        <v/>
      </c>
      <c r="ADY27" s="12">
        <f>ADY26+ADW27-ADX27</f>
        <v/>
      </c>
      <c r="ADZ27" s="12">
        <f>IF(ProviderDelay&gt;=1,ADG26*BlendedProvPayEss+ADH26*BlendedProvPayPrem+ADI26*BlendedProvPayElite+ADJ26*BlendedProvPayEss+ADK26*BlendedProvPayPrem+ADL26*BlendedProvPayElite,ADG27*BlendedProvPayEss+ADH27*BlendedProvPayPrem+ADI27*BlendedProvPayElite+ADJ27*BlendedProvPayEss+ADK27*BlendedProvPayPrem+ADL27*BlendedProvPayElite)</f>
        <v/>
      </c>
      <c r="AEA27" s="12">
        <f>ADS27*PaymentFee</f>
        <v/>
      </c>
      <c r="AEB27" s="12">
        <f>ADM27*OpsAI</f>
        <v/>
      </c>
      <c r="AEC27" s="12">
        <f>MonthlyFixed</f>
        <v/>
      </c>
      <c r="AED27" s="12">
        <f>ACW27*ReferralReward</f>
        <v/>
      </c>
      <c r="AEE27" s="12">
        <f>ACU27</f>
        <v/>
      </c>
      <c r="AEF27" s="9">
        <f>ADV27-ADZ27-AEA27-AEB27-AEC27-AED27-AEE27</f>
        <v/>
      </c>
      <c r="AEG27" s="9">
        <f>AEG26+ADS27-(ADZ27+AEA27+AEB27+AEC27+AED27+AEE27+ADX27)</f>
        <v/>
      </c>
      <c r="AEH27" s="12">
        <f>IF(ADM27&gt;0,ADN27/ADM27,0)</f>
        <v/>
      </c>
      <c r="AEI27" s="11">
        <f>IF(ADM26&gt;0,MAX(0,(ADM26+ACX27-ADM27)/ADM26),0)</f>
        <v/>
      </c>
      <c r="AEK27" s="12" t="n">
        <v>23</v>
      </c>
      <c r="AEL27" s="12">
        <f>MOD(AEK27-1+LaunchMonth-1,12)+1</f>
        <v/>
      </c>
      <c r="AEM27" s="12">
        <f>INT((AEK27-1+LaunchMonth-1)/12)+1</f>
        <v/>
      </c>
      <c r="AEN27" s="12">
        <f>VLOOKUP(AEL27,SeasonTable,2,FALSE)</f>
        <v/>
      </c>
      <c r="AEO27" s="12">
        <f>(1+InflationRate)^INT((AEK27-1)/12)</f>
        <v/>
      </c>
      <c r="AEP27" s="11">
        <f>MonthlyChurn*VLOOKUP(AEL27,ChurnSeasonTable,4,FALSE)</f>
        <v/>
      </c>
      <c r="AEQ27" s="12">
        <f>MIN(MAX(MktMin19plus,AFO26*MktPct19plus),MAX(0,AGC26-CashBuffer))</f>
        <v/>
      </c>
      <c r="AER27" s="12">
        <f>IF(AEQ27&gt;0,MAX(1,ROUND(AEQ27/CAC*AEN27,0)),0)</f>
        <v/>
      </c>
      <c r="AES27" s="12">
        <f>IF(AER27&gt;0,ROUND(AER27*ReferralMix/(1-ReferralMix),0),0)</f>
        <v/>
      </c>
      <c r="AET27" s="12">
        <f>AER27+AES27</f>
        <v/>
      </c>
      <c r="AEU27" s="12">
        <f>ROUND(AET27*(1-'Sens - Annual Mix'!$A$14),0)</f>
        <v/>
      </c>
      <c r="AEV27" s="12">
        <f>AET27-AEU27</f>
        <v/>
      </c>
      <c r="AEW27" s="12">
        <f>ROUND(AEU27*EssentialMix,0)</f>
        <v/>
      </c>
      <c r="AEX27" s="12">
        <f>ROUND(AEU27*PremiumMix,0)</f>
        <v/>
      </c>
      <c r="AEY27" s="12">
        <f>AEU27-AEW27-AEX27</f>
        <v/>
      </c>
      <c r="AEZ27" s="12">
        <f>ROUND(AEV27*EssentialMix,0)</f>
        <v/>
      </c>
      <c r="AFA27" s="12">
        <f>ROUND(AEV27*PremiumMix,0)</f>
        <v/>
      </c>
      <c r="AFB27" s="12">
        <f>AEV27-AEZ27-AFA27</f>
        <v/>
      </c>
      <c r="AFC27" s="12">
        <f>AEW27+AEW26+AEW25+MAX(0,AFC26-AEW26-AEW25)*(1-AEP27)</f>
        <v/>
      </c>
      <c r="AFD27" s="12">
        <f>AEX27+AEX26+AEX25+MAX(0,AFD26-AEX26-AEX25)*(1-AEP27)</f>
        <v/>
      </c>
      <c r="AFE27" s="12">
        <f>AEY27+AEY26+AEY25+MAX(0,AFE26-AEY26-AEY25)*(1-AEP27)</f>
        <v/>
      </c>
      <c r="AFF27" s="12">
        <f>AFF26+AEZ27-AEZ15*(AnnualChurn*VLOOKUP(AEL27,ChurnSeasonTable,4,FALSE))*POWER(1-(AnnualChurn*VLOOKUP(AEL27,ChurnSeasonTable,4,FALSE)),0)</f>
        <v/>
      </c>
      <c r="AFG27" s="12">
        <f>AFG26+AFA27-AFA15*(AnnualChurn*VLOOKUP(AEL27,ChurnSeasonTable,4,FALSE))*POWER(1-(AnnualChurn*VLOOKUP(AEL27,ChurnSeasonTable,4,FALSE)),0)</f>
        <v/>
      </c>
      <c r="AFH27" s="12">
        <f>AFH26+AFB27-AFB15*(AnnualChurn*VLOOKUP(AEL27,ChurnSeasonTable,4,FALSE))*POWER(1-(AnnualChurn*VLOOKUP(AEL27,ChurnSeasonTable,4,FALSE)),0)</f>
        <v/>
      </c>
      <c r="AFI27" s="12">
        <f>AFC27+AFD27+AFE27+AFF27+AFG27+AFH27</f>
        <v/>
      </c>
      <c r="AFJ27" s="9">
        <f>AFC27*BlendedPriceEssMonthly*AEO27+AFD27*BlendedPricePremMonthly*AEO27+AFE27*BlendedPriceEliteMonthly*AEO27+AFF27*BlendedPriceEssAnnual*AEO27/12+AFG27*BlendedPricePremAnnual*AEO27/12+AFH27*BlendedPriceEliteAnnual*AEO27/12</f>
        <v/>
      </c>
      <c r="AFK27" s="9">
        <f>AFJ27*12</f>
        <v/>
      </c>
      <c r="AFL27" s="12">
        <f>AFC27*BlendedPriceEssMonthly*AEO27+AFD27*BlendedPricePremMonthly*AEO27+AFE27*BlendedPriceEliteMonthly*AEO27</f>
        <v/>
      </c>
      <c r="AFM27" s="12">
        <f>AEZ27*BlendedPriceEssAnnual*AEO27+AFA27*BlendedPricePremAnnual*AEO27+AFB27*BlendedPriceEliteAnnual*AEO27</f>
        <v/>
      </c>
      <c r="AFN27" s="12">
        <f>AEZ15*POWER(1-(AnnualChurn*VLOOKUP(AEL27,ChurnSeasonTable,4,FALSE)),1)*BlendedPriceEssAnnual*AEO27+AFA15*POWER(1-(AnnualChurn*VLOOKUP(AEL27,ChurnSeasonTable,4,FALSE)),1)*BlendedPricePremAnnual*AEO27+AFB15*POWER(1-(AnnualChurn*VLOOKUP(AEL27,ChurnSeasonTable,4,FALSE)),1)*BlendedPriceEliteAnnual*AEO27</f>
        <v/>
      </c>
      <c r="AFO27" s="9">
        <f>AFL27+AFM27+AFN27</f>
        <v/>
      </c>
      <c r="AFP27" s="12">
        <f>SUM(AFO16:AFO27)</f>
        <v/>
      </c>
      <c r="AFQ27" s="12">
        <f>OR(AFQ26,IF(VATAgentMode,SUM($AFO16:$AFO27)-SUM($AFV16:$AFV27)&gt;=VATThreshold,SUM($AFO16:$AFO27)&gt;=VATThreshold))</f>
        <v/>
      </c>
      <c r="AFR27" s="9">
        <f>IF(AFQ27,IF(VATAgentMode,AFO27-((AFO27-AFV27)-(AFO27-AFV27)/(1+VATRate)),AFO27/(1+VATRate)),AFO27)</f>
        <v/>
      </c>
      <c r="AFS27" s="12">
        <f>AFO27-AFR27</f>
        <v/>
      </c>
      <c r="AFT27" s="12">
        <f>IF(AFQ27=0,0,IF(AEL27=1,SUMPRODUCT(--(($AEM$5:$AEM27=$AEM27-1)*($AEL$5:$AEL27&gt;=10)*($AEL$5:$AEL27&lt;=12)),$AFS$5:$AFS27),IF(AEL27=4,SUMPRODUCT(--(($AEM$5:$AEM27=$AEM27)*($AEL$5:$AEL27&gt;=1)*($AEL$5:$AEL27&lt;=3)),$AFS$5:$AFS27),IF(AEL27=7,SUMPRODUCT(--(($AEM$5:$AEM27=$AEM27)*($AEL$5:$AEL27&gt;=4)*($AEL$5:$AEL27&lt;=6)),$AFS$5:$AFS27),IF(AEL27=10,SUMPRODUCT(--(($AEM$5:$AEM27=$AEM27)*($AEL$5:$AEL27&gt;=7)*($AEL$5:$AEL27&lt;=9)),$AFS$5:$AFS27),0)))))</f>
        <v/>
      </c>
      <c r="AFU27" s="12">
        <f>AFU26+AFS27-AFT27</f>
        <v/>
      </c>
      <c r="AFV27" s="12">
        <f>IF(ProviderDelay&gt;=1,AFC26*BlendedProvPayEss+AFD26*BlendedProvPayPrem+AFE26*BlendedProvPayElite+AFF26*BlendedProvPayEss+AFG26*BlendedProvPayPrem+AFH26*BlendedProvPayElite,AFC27*BlendedProvPayEss+AFD27*BlendedProvPayPrem+AFE27*BlendedProvPayElite+AFF27*BlendedProvPayEss+AFG27*BlendedProvPayPrem+AFH27*BlendedProvPayElite)</f>
        <v/>
      </c>
      <c r="AFW27" s="12">
        <f>AFO27*PaymentFee</f>
        <v/>
      </c>
      <c r="AFX27" s="12">
        <f>AFI27*OpsAI</f>
        <v/>
      </c>
      <c r="AFY27" s="12">
        <f>MonthlyFixed</f>
        <v/>
      </c>
      <c r="AFZ27" s="12">
        <f>AES27*ReferralReward</f>
        <v/>
      </c>
      <c r="AGA27" s="12">
        <f>AEQ27</f>
        <v/>
      </c>
      <c r="AGB27" s="9">
        <f>AFR27-AFV27-AFW27-AFX27-AFY27-AFZ27-AGA27</f>
        <v/>
      </c>
      <c r="AGC27" s="9">
        <f>AGC26+AFO27-(AFV27+AFW27+AFX27+AFY27+AFZ27+AGA27+AFT27)</f>
        <v/>
      </c>
      <c r="AGD27" s="12">
        <f>IF(AFI27&gt;0,AFJ27/AFI27,0)</f>
        <v/>
      </c>
      <c r="AGE27" s="11">
        <f>IF(AFI26&gt;0,MAX(0,(AFI26+AET27-AFI27)/AFI26),0)</f>
        <v/>
      </c>
      <c r="AGG27" s="12" t="n">
        <v>23</v>
      </c>
      <c r="AGH27" s="12">
        <f>MOD(AGG27-1+LaunchMonth-1,12)+1</f>
        <v/>
      </c>
      <c r="AGI27" s="12">
        <f>INT((AGG27-1+LaunchMonth-1)/12)+1</f>
        <v/>
      </c>
      <c r="AGJ27" s="12">
        <f>VLOOKUP(AGH27,SeasonTable,2,FALSE)</f>
        <v/>
      </c>
      <c r="AGK27" s="12">
        <f>(1+InflationRate)^INT((AGG27-1)/12)</f>
        <v/>
      </c>
      <c r="AGL27" s="11">
        <f>MonthlyChurn*VLOOKUP(AGH27,ChurnSeasonTable,4,FALSE)</f>
        <v/>
      </c>
      <c r="AGM27" s="12">
        <f>MIN(MAX(MktMin19plus,AHK26*MktPct19plus),MAX(0,AHY26-CashBuffer))</f>
        <v/>
      </c>
      <c r="AGN27" s="12">
        <f>IF(AGM27&gt;0,MAX(1,ROUND(AGM27/CAC*AGJ27,0)),0)</f>
        <v/>
      </c>
      <c r="AGO27" s="12">
        <f>IF(AGN27&gt;0,ROUND(AGN27*ReferralMix/(1-ReferralMix),0),0)</f>
        <v/>
      </c>
      <c r="AGP27" s="12">
        <f>AGN27+AGO27</f>
        <v/>
      </c>
      <c r="AGQ27" s="12">
        <f>ROUND(AGP27*(1-'Sens - Annual Mix'!$A$15),0)</f>
        <v/>
      </c>
      <c r="AGR27" s="12">
        <f>AGP27-AGQ27</f>
        <v/>
      </c>
      <c r="AGS27" s="12">
        <f>ROUND(AGQ27*EssentialMix,0)</f>
        <v/>
      </c>
      <c r="AGT27" s="12">
        <f>ROUND(AGQ27*PremiumMix,0)</f>
        <v/>
      </c>
      <c r="AGU27" s="12">
        <f>AGQ27-AGS27-AGT27</f>
        <v/>
      </c>
      <c r="AGV27" s="12">
        <f>ROUND(AGR27*EssentialMix,0)</f>
        <v/>
      </c>
      <c r="AGW27" s="12">
        <f>ROUND(AGR27*PremiumMix,0)</f>
        <v/>
      </c>
      <c r="AGX27" s="12">
        <f>AGR27-AGV27-AGW27</f>
        <v/>
      </c>
      <c r="AGY27" s="12">
        <f>AGS27+AGS26+AGS25+MAX(0,AGY26-AGS26-AGS25)*(1-AGL27)</f>
        <v/>
      </c>
      <c r="AGZ27" s="12">
        <f>AGT27+AGT26+AGT25+MAX(0,AGZ26-AGT26-AGT25)*(1-AGL27)</f>
        <v/>
      </c>
      <c r="AHA27" s="12">
        <f>AGU27+AGU26+AGU25+MAX(0,AHA26-AGU26-AGU25)*(1-AGL27)</f>
        <v/>
      </c>
      <c r="AHB27" s="12">
        <f>AHB26+AGV27-AGV15*(AnnualChurn*VLOOKUP(AGH27,ChurnSeasonTable,4,FALSE))*POWER(1-(AnnualChurn*VLOOKUP(AGH27,ChurnSeasonTable,4,FALSE)),0)</f>
        <v/>
      </c>
      <c r="AHC27" s="12">
        <f>AHC26+AGW27-AGW15*(AnnualChurn*VLOOKUP(AGH27,ChurnSeasonTable,4,FALSE))*POWER(1-(AnnualChurn*VLOOKUP(AGH27,ChurnSeasonTable,4,FALSE)),0)</f>
        <v/>
      </c>
      <c r="AHD27" s="12">
        <f>AHD26+AGX27-AGX15*(AnnualChurn*VLOOKUP(AGH27,ChurnSeasonTable,4,FALSE))*POWER(1-(AnnualChurn*VLOOKUP(AGH27,ChurnSeasonTable,4,FALSE)),0)</f>
        <v/>
      </c>
      <c r="AHE27" s="12">
        <f>AGY27+AGZ27+AHA27+AHB27+AHC27+AHD27</f>
        <v/>
      </c>
      <c r="AHF27" s="9">
        <f>AGY27*BlendedPriceEssMonthly*AGK27+AGZ27*BlendedPricePremMonthly*AGK27+AHA27*BlendedPriceEliteMonthly*AGK27+AHB27*BlendedPriceEssAnnual*AGK27/12+AHC27*BlendedPricePremAnnual*AGK27/12+AHD27*BlendedPriceEliteAnnual*AGK27/12</f>
        <v/>
      </c>
      <c r="AHG27" s="9">
        <f>AHF27*12</f>
        <v/>
      </c>
      <c r="AHH27" s="12">
        <f>AGY27*BlendedPriceEssMonthly*AGK27+AGZ27*BlendedPricePremMonthly*AGK27+AHA27*BlendedPriceEliteMonthly*AGK27</f>
        <v/>
      </c>
      <c r="AHI27" s="12">
        <f>AGV27*BlendedPriceEssAnnual*AGK27+AGW27*BlendedPricePremAnnual*AGK27+AGX27*BlendedPriceEliteAnnual*AGK27</f>
        <v/>
      </c>
      <c r="AHJ27" s="12">
        <f>AGV15*POWER(1-(AnnualChurn*VLOOKUP(AGH27,ChurnSeasonTable,4,FALSE)),1)*BlendedPriceEssAnnual*AGK27+AGW15*POWER(1-(AnnualChurn*VLOOKUP(AGH27,ChurnSeasonTable,4,FALSE)),1)*BlendedPricePremAnnual*AGK27+AGX15*POWER(1-(AnnualChurn*VLOOKUP(AGH27,ChurnSeasonTable,4,FALSE)),1)*BlendedPriceEliteAnnual*AGK27</f>
        <v/>
      </c>
      <c r="AHK27" s="9">
        <f>AHH27+AHI27+AHJ27</f>
        <v/>
      </c>
      <c r="AHL27" s="12">
        <f>SUM(AHK16:AHK27)</f>
        <v/>
      </c>
      <c r="AHM27" s="12">
        <f>OR(AHM26,IF(VATAgentMode,SUM($AHK16:$AHK27)-SUM($AHR16:$AHR27)&gt;=VATThreshold,SUM($AHK16:$AHK27)&gt;=VATThreshold))</f>
        <v/>
      </c>
      <c r="AHN27" s="9">
        <f>IF(AHM27,IF(VATAgentMode,AHK27-((AHK27-AHR27)-(AHK27-AHR27)/(1+VATRate)),AHK27/(1+VATRate)),AHK27)</f>
        <v/>
      </c>
      <c r="AHO27" s="12">
        <f>AHK27-AHN27</f>
        <v/>
      </c>
      <c r="AHP27" s="12">
        <f>IF(AHM27=0,0,IF(AGH27=1,SUMPRODUCT(--(($AGI$5:$AGI27=$AGI27-1)*($AGH$5:$AGH27&gt;=10)*($AGH$5:$AGH27&lt;=12)),$AHO$5:$AHO27),IF(AGH27=4,SUMPRODUCT(--(($AGI$5:$AGI27=$AGI27)*($AGH$5:$AGH27&gt;=1)*($AGH$5:$AGH27&lt;=3)),$AHO$5:$AHO27),IF(AGH27=7,SUMPRODUCT(--(($AGI$5:$AGI27=$AGI27)*($AGH$5:$AGH27&gt;=4)*($AGH$5:$AGH27&lt;=6)),$AHO$5:$AHO27),IF(AGH27=10,SUMPRODUCT(--(($AGI$5:$AGI27=$AGI27)*($AGH$5:$AGH27&gt;=7)*($AGH$5:$AGH27&lt;=9)),$AHO$5:$AHO27),0)))))</f>
        <v/>
      </c>
      <c r="AHQ27" s="12">
        <f>AHQ26+AHO27-AHP27</f>
        <v/>
      </c>
      <c r="AHR27" s="12">
        <f>IF(ProviderDelay&gt;=1,AGY26*BlendedProvPayEss+AGZ26*BlendedProvPayPrem+AHA26*BlendedProvPayElite+AHB26*BlendedProvPayEss+AHC26*BlendedProvPayPrem+AHD26*BlendedProvPayElite,AGY27*BlendedProvPayEss+AGZ27*BlendedProvPayPrem+AHA27*BlendedProvPayElite+AHB27*BlendedProvPayEss+AHC27*BlendedProvPayPrem+AHD27*BlendedProvPayElite)</f>
        <v/>
      </c>
      <c r="AHS27" s="12">
        <f>AHK27*PaymentFee</f>
        <v/>
      </c>
      <c r="AHT27" s="12">
        <f>AHE27*OpsAI</f>
        <v/>
      </c>
      <c r="AHU27" s="12">
        <f>MonthlyFixed</f>
        <v/>
      </c>
      <c r="AHV27" s="12">
        <f>AGO27*ReferralReward</f>
        <v/>
      </c>
      <c r="AHW27" s="12">
        <f>AGM27</f>
        <v/>
      </c>
      <c r="AHX27" s="9">
        <f>AHN27-AHR27-AHS27-AHT27-AHU27-AHV27-AHW27</f>
        <v/>
      </c>
      <c r="AHY27" s="9">
        <f>AHY26+AHK27-(AHR27+AHS27+AHT27+AHU27+AHV27+AHW27+AHP27)</f>
        <v/>
      </c>
      <c r="AHZ27" s="12">
        <f>IF(AHE27&gt;0,AHF27/AHE27,0)</f>
        <v/>
      </c>
      <c r="AIA27" s="11">
        <f>IF(AHE26&gt;0,MAX(0,(AHE26+AGP27-AHE27)/AHE26),0)</f>
        <v/>
      </c>
      <c r="AIC27" s="12" t="n">
        <v>23</v>
      </c>
      <c r="AID27" s="12">
        <f>MOD(AIC27-1+LaunchMonth-1,12)+1</f>
        <v/>
      </c>
      <c r="AIE27" s="12">
        <f>INT((AIC27-1+LaunchMonth-1)/12)+1</f>
        <v/>
      </c>
      <c r="AIF27" s="12">
        <f>VLOOKUP(AID27,SeasonTable,2,FALSE)</f>
        <v/>
      </c>
      <c r="AIG27" s="12">
        <f>(1+InflationRate)^INT((AIC27-1)/12)</f>
        <v/>
      </c>
      <c r="AIH27" s="11">
        <f>MonthlyChurn*VLOOKUP(AID27,ChurnSeasonTable,4,FALSE)</f>
        <v/>
      </c>
      <c r="AII27" s="12">
        <f>MIN(MAX(MktMin19plus,AJG26*MktPct19plus),MAX(0,AJU26-CashBuffer))</f>
        <v/>
      </c>
      <c r="AIJ27" s="12">
        <f>IF(AII27&gt;0,MAX(1,ROUND(AII27/'Sens - CAC &amp; Marketing'!$A$9*AIF27,0)),0)</f>
        <v/>
      </c>
      <c r="AIK27" s="12">
        <f>IF(AIJ27&gt;0,ROUND(AIJ27*ReferralMix/(1-ReferralMix),0),0)</f>
        <v/>
      </c>
      <c r="AIL27" s="12">
        <f>AIJ27+AIK27</f>
        <v/>
      </c>
      <c r="AIM27" s="12">
        <f>ROUND(AIL27*(1-AnnualMix),0)</f>
        <v/>
      </c>
      <c r="AIN27" s="12">
        <f>AIL27-AIM27</f>
        <v/>
      </c>
      <c r="AIO27" s="12">
        <f>ROUND(AIM27*EssentialMix,0)</f>
        <v/>
      </c>
      <c r="AIP27" s="12">
        <f>ROUND(AIM27*PremiumMix,0)</f>
        <v/>
      </c>
      <c r="AIQ27" s="12">
        <f>AIM27-AIO27-AIP27</f>
        <v/>
      </c>
      <c r="AIR27" s="12">
        <f>ROUND(AIN27*EssentialMix,0)</f>
        <v/>
      </c>
      <c r="AIS27" s="12">
        <f>ROUND(AIN27*PremiumMix,0)</f>
        <v/>
      </c>
      <c r="AIT27" s="12">
        <f>AIN27-AIR27-AIS27</f>
        <v/>
      </c>
      <c r="AIU27" s="12">
        <f>AIO27+AIO26+AIO25+MAX(0,AIU26-AIO26-AIO25)*(1-AIH27)</f>
        <v/>
      </c>
      <c r="AIV27" s="12">
        <f>AIP27+AIP26+AIP25+MAX(0,AIV26-AIP26-AIP25)*(1-AIH27)</f>
        <v/>
      </c>
      <c r="AIW27" s="12">
        <f>AIQ27+AIQ26+AIQ25+MAX(0,AIW26-AIQ26-AIQ25)*(1-AIH27)</f>
        <v/>
      </c>
      <c r="AIX27" s="12">
        <f>AIX26+AIR27-AIR15*(AnnualChurn*VLOOKUP(AID27,ChurnSeasonTable,4,FALSE))*POWER(1-(AnnualChurn*VLOOKUP(AID27,ChurnSeasonTable,4,FALSE)),0)</f>
        <v/>
      </c>
      <c r="AIY27" s="12">
        <f>AIY26+AIS27-AIS15*(AnnualChurn*VLOOKUP(AID27,ChurnSeasonTable,4,FALSE))*POWER(1-(AnnualChurn*VLOOKUP(AID27,ChurnSeasonTable,4,FALSE)),0)</f>
        <v/>
      </c>
      <c r="AIZ27" s="12">
        <f>AIZ26+AIT27-AIT15*(AnnualChurn*VLOOKUP(AID27,ChurnSeasonTable,4,FALSE))*POWER(1-(AnnualChurn*VLOOKUP(AID27,ChurnSeasonTable,4,FALSE)),0)</f>
        <v/>
      </c>
      <c r="AJA27" s="12">
        <f>AIU27+AIV27+AIW27+AIX27+AIY27+AIZ27</f>
        <v/>
      </c>
      <c r="AJB27" s="9">
        <f>AIU27*BlendedPriceEssMonthly*AIG27+AIV27*BlendedPricePremMonthly*AIG27+AIW27*BlendedPriceEliteMonthly*AIG27+AIX27*BlendedPriceEssAnnual*AIG27/12+AIY27*BlendedPricePremAnnual*AIG27/12+AIZ27*BlendedPriceEliteAnnual*AIG27/12</f>
        <v/>
      </c>
      <c r="AJC27" s="9">
        <f>AJB27*12</f>
        <v/>
      </c>
      <c r="AJD27" s="12">
        <f>AIU27*BlendedPriceEssMonthly*AIG27+AIV27*BlendedPricePremMonthly*AIG27+AIW27*BlendedPriceEliteMonthly*AIG27</f>
        <v/>
      </c>
      <c r="AJE27" s="12">
        <f>AIR27*BlendedPriceEssAnnual*AIG27+AIS27*BlendedPricePremAnnual*AIG27+AIT27*BlendedPriceEliteAnnual*AIG27</f>
        <v/>
      </c>
      <c r="AJF27" s="12">
        <f>AIR15*POWER(1-(AnnualChurn*VLOOKUP(AID27,ChurnSeasonTable,4,FALSE)),1)*BlendedPriceEssAnnual*AIG27+AIS15*POWER(1-(AnnualChurn*VLOOKUP(AID27,ChurnSeasonTable,4,FALSE)),1)*BlendedPricePremAnnual*AIG27+AIT15*POWER(1-(AnnualChurn*VLOOKUP(AID27,ChurnSeasonTable,4,FALSE)),1)*BlendedPriceEliteAnnual*AIG27</f>
        <v/>
      </c>
      <c r="AJG27" s="9">
        <f>AJD27+AJE27+AJF27</f>
        <v/>
      </c>
      <c r="AJH27" s="12">
        <f>SUM(AJG16:AJG27)</f>
        <v/>
      </c>
      <c r="AJI27" s="12">
        <f>OR(AJI26,IF(VATAgentMode,SUM($AJG16:$AJG27)-SUM($AJN16:$AJN27)&gt;=VATThreshold,SUM($AJG16:$AJG27)&gt;=VATThreshold))</f>
        <v/>
      </c>
      <c r="AJJ27" s="9">
        <f>IF(AJI27,IF(VATAgentMode,AJG27-((AJG27-AJN27)-(AJG27-AJN27)/(1+VATRate)),AJG27/(1+VATRate)),AJG27)</f>
        <v/>
      </c>
      <c r="AJK27" s="12">
        <f>AJG27-AJJ27</f>
        <v/>
      </c>
      <c r="AJL27" s="12">
        <f>IF(AJI27=0,0,IF(AID27=1,SUMPRODUCT(--(($AIE$5:$AIE27=$AIE27-1)*($AID$5:$AID27&gt;=10)*($AID$5:$AID27&lt;=12)),$AJK$5:$AJK27),IF(AID27=4,SUMPRODUCT(--(($AIE$5:$AIE27=$AIE27)*($AID$5:$AID27&gt;=1)*($AID$5:$AID27&lt;=3)),$AJK$5:$AJK27),IF(AID27=7,SUMPRODUCT(--(($AIE$5:$AIE27=$AIE27)*($AID$5:$AID27&gt;=4)*($AID$5:$AID27&lt;=6)),$AJK$5:$AJK27),IF(AID27=10,SUMPRODUCT(--(($AIE$5:$AIE27=$AIE27)*($AID$5:$AID27&gt;=7)*($AID$5:$AID27&lt;=9)),$AJK$5:$AJK27),0)))))</f>
        <v/>
      </c>
      <c r="AJM27" s="12">
        <f>AJM26+AJK27-AJL27</f>
        <v/>
      </c>
      <c r="AJN27" s="12">
        <f>IF(ProviderDelay&gt;=1,AIU26*BlendedProvPayEss+AIV26*BlendedProvPayPrem+AIW26*BlendedProvPayElite+AIX26*BlendedProvPayEss+AIY26*BlendedProvPayPrem+AIZ26*BlendedProvPayElite,AIU27*BlendedProvPayEss+AIV27*BlendedProvPayPrem+AIW27*BlendedProvPayElite+AIX27*BlendedProvPayEss+AIY27*BlendedProvPayPrem+AIZ27*BlendedProvPayElite)</f>
        <v/>
      </c>
      <c r="AJO27" s="12">
        <f>AJG27*PaymentFee</f>
        <v/>
      </c>
      <c r="AJP27" s="12">
        <f>AJA27*OpsAI</f>
        <v/>
      </c>
      <c r="AJQ27" s="12">
        <f>MonthlyFixed</f>
        <v/>
      </c>
      <c r="AJR27" s="12">
        <f>AIK27*ReferralReward</f>
        <v/>
      </c>
      <c r="AJS27" s="12">
        <f>AII27</f>
        <v/>
      </c>
      <c r="AJT27" s="9">
        <f>AJJ27-AJN27-AJO27-AJP27-AJQ27-AJR27-AJS27</f>
        <v/>
      </c>
      <c r="AJU27" s="9">
        <f>AJU26+AJG27-(AJN27+AJO27+AJP27+AJQ27+AJR27+AJS27+AJL27)</f>
        <v/>
      </c>
      <c r="AJV27" s="12">
        <f>IF(AJA27&gt;0,AJB27/AJA27,0)</f>
        <v/>
      </c>
      <c r="AJW27" s="11">
        <f>IF(AJA26&gt;0,MAX(0,(AJA26+AIL27-AJA27)/AJA26),0)</f>
        <v/>
      </c>
      <c r="AJY27" s="12" t="n">
        <v>23</v>
      </c>
      <c r="AJZ27" s="12">
        <f>MOD(AJY27-1+LaunchMonth-1,12)+1</f>
        <v/>
      </c>
      <c r="AKA27" s="12">
        <f>INT((AJY27-1+LaunchMonth-1)/12)+1</f>
        <v/>
      </c>
      <c r="AKB27" s="12">
        <f>VLOOKUP(AJZ27,SeasonTable,2,FALSE)</f>
        <v/>
      </c>
      <c r="AKC27" s="12">
        <f>(1+InflationRate)^INT((AJY27-1)/12)</f>
        <v/>
      </c>
      <c r="AKD27" s="11">
        <f>MonthlyChurn*VLOOKUP(AJZ27,ChurnSeasonTable,4,FALSE)</f>
        <v/>
      </c>
      <c r="AKE27" s="12">
        <f>MIN(MAX(MktMin19plus,ALC26*MktPct19plus),MAX(0,ALQ26-CashBuffer))</f>
        <v/>
      </c>
      <c r="AKF27" s="12">
        <f>IF(AKE27&gt;0,MAX(1,ROUND(AKE27/'Sens - CAC &amp; Marketing'!$A$10*AKB27,0)),0)</f>
        <v/>
      </c>
      <c r="AKG27" s="12">
        <f>IF(AKF27&gt;0,ROUND(AKF27*ReferralMix/(1-ReferralMix),0),0)</f>
        <v/>
      </c>
      <c r="AKH27" s="12">
        <f>AKF27+AKG27</f>
        <v/>
      </c>
      <c r="AKI27" s="12">
        <f>ROUND(AKH27*(1-AnnualMix),0)</f>
        <v/>
      </c>
      <c r="AKJ27" s="12">
        <f>AKH27-AKI27</f>
        <v/>
      </c>
      <c r="AKK27" s="12">
        <f>ROUND(AKI27*EssentialMix,0)</f>
        <v/>
      </c>
      <c r="AKL27" s="12">
        <f>ROUND(AKI27*PremiumMix,0)</f>
        <v/>
      </c>
      <c r="AKM27" s="12">
        <f>AKI27-AKK27-AKL27</f>
        <v/>
      </c>
      <c r="AKN27" s="12">
        <f>ROUND(AKJ27*EssentialMix,0)</f>
        <v/>
      </c>
      <c r="AKO27" s="12">
        <f>ROUND(AKJ27*PremiumMix,0)</f>
        <v/>
      </c>
      <c r="AKP27" s="12">
        <f>AKJ27-AKN27-AKO27</f>
        <v/>
      </c>
      <c r="AKQ27" s="12">
        <f>AKK27+AKK26+AKK25+MAX(0,AKQ26-AKK26-AKK25)*(1-AKD27)</f>
        <v/>
      </c>
      <c r="AKR27" s="12">
        <f>AKL27+AKL26+AKL25+MAX(0,AKR26-AKL26-AKL25)*(1-AKD27)</f>
        <v/>
      </c>
      <c r="AKS27" s="12">
        <f>AKM27+AKM26+AKM25+MAX(0,AKS26-AKM26-AKM25)*(1-AKD27)</f>
        <v/>
      </c>
      <c r="AKT27" s="12">
        <f>AKT26+AKN27-AKN15*(AnnualChurn*VLOOKUP(AJZ27,ChurnSeasonTable,4,FALSE))*POWER(1-(AnnualChurn*VLOOKUP(AJZ27,ChurnSeasonTable,4,FALSE)),0)</f>
        <v/>
      </c>
      <c r="AKU27" s="12">
        <f>AKU26+AKO27-AKO15*(AnnualChurn*VLOOKUP(AJZ27,ChurnSeasonTable,4,FALSE))*POWER(1-(AnnualChurn*VLOOKUP(AJZ27,ChurnSeasonTable,4,FALSE)),0)</f>
        <v/>
      </c>
      <c r="AKV27" s="12">
        <f>AKV26+AKP27-AKP15*(AnnualChurn*VLOOKUP(AJZ27,ChurnSeasonTable,4,FALSE))*POWER(1-(AnnualChurn*VLOOKUP(AJZ27,ChurnSeasonTable,4,FALSE)),0)</f>
        <v/>
      </c>
      <c r="AKW27" s="12">
        <f>AKQ27+AKR27+AKS27+AKT27+AKU27+AKV27</f>
        <v/>
      </c>
      <c r="AKX27" s="9">
        <f>AKQ27*BlendedPriceEssMonthly*AKC27+AKR27*BlendedPricePremMonthly*AKC27+AKS27*BlendedPriceEliteMonthly*AKC27+AKT27*BlendedPriceEssAnnual*AKC27/12+AKU27*BlendedPricePremAnnual*AKC27/12+AKV27*BlendedPriceEliteAnnual*AKC27/12</f>
        <v/>
      </c>
      <c r="AKY27" s="9">
        <f>AKX27*12</f>
        <v/>
      </c>
      <c r="AKZ27" s="12">
        <f>AKQ27*BlendedPriceEssMonthly*AKC27+AKR27*BlendedPricePremMonthly*AKC27+AKS27*BlendedPriceEliteMonthly*AKC27</f>
        <v/>
      </c>
      <c r="ALA27" s="12">
        <f>AKN27*BlendedPriceEssAnnual*AKC27+AKO27*BlendedPricePremAnnual*AKC27+AKP27*BlendedPriceEliteAnnual*AKC27</f>
        <v/>
      </c>
      <c r="ALB27" s="12">
        <f>AKN15*POWER(1-(AnnualChurn*VLOOKUP(AJZ27,ChurnSeasonTable,4,FALSE)),1)*BlendedPriceEssAnnual*AKC27+AKO15*POWER(1-(AnnualChurn*VLOOKUP(AJZ27,ChurnSeasonTable,4,FALSE)),1)*BlendedPricePremAnnual*AKC27+AKP15*POWER(1-(AnnualChurn*VLOOKUP(AJZ27,ChurnSeasonTable,4,FALSE)),1)*BlendedPriceEliteAnnual*AKC27</f>
        <v/>
      </c>
      <c r="ALC27" s="9">
        <f>AKZ27+ALA27+ALB27</f>
        <v/>
      </c>
      <c r="ALD27" s="12">
        <f>SUM(ALC16:ALC27)</f>
        <v/>
      </c>
      <c r="ALE27" s="12">
        <f>OR(ALE26,IF(VATAgentMode,SUM($ALC16:$ALC27)-SUM($ALJ16:$ALJ27)&gt;=VATThreshold,SUM($ALC16:$ALC27)&gt;=VATThreshold))</f>
        <v/>
      </c>
      <c r="ALF27" s="9">
        <f>IF(ALE27,IF(VATAgentMode,ALC27-((ALC27-ALJ27)-(ALC27-ALJ27)/(1+VATRate)),ALC27/(1+VATRate)),ALC27)</f>
        <v/>
      </c>
      <c r="ALG27" s="12">
        <f>ALC27-ALF27</f>
        <v/>
      </c>
      <c r="ALH27" s="12">
        <f>IF(ALE27=0,0,IF(AJZ27=1,SUMPRODUCT(--(($AKA$5:$AKA27=$AKA27-1)*($AJZ$5:$AJZ27&gt;=10)*($AJZ$5:$AJZ27&lt;=12)),$ALG$5:$ALG27),IF(AJZ27=4,SUMPRODUCT(--(($AKA$5:$AKA27=$AKA27)*($AJZ$5:$AJZ27&gt;=1)*($AJZ$5:$AJZ27&lt;=3)),$ALG$5:$ALG27),IF(AJZ27=7,SUMPRODUCT(--(($AKA$5:$AKA27=$AKA27)*($AJZ$5:$AJZ27&gt;=4)*($AJZ$5:$AJZ27&lt;=6)),$ALG$5:$ALG27),IF(AJZ27=10,SUMPRODUCT(--(($AKA$5:$AKA27=$AKA27)*($AJZ$5:$AJZ27&gt;=7)*($AJZ$5:$AJZ27&lt;=9)),$ALG$5:$ALG27),0)))))</f>
        <v/>
      </c>
      <c r="ALI27" s="12">
        <f>ALI26+ALG27-ALH27</f>
        <v/>
      </c>
      <c r="ALJ27" s="12">
        <f>IF(ProviderDelay&gt;=1,AKQ26*BlendedProvPayEss+AKR26*BlendedProvPayPrem+AKS26*BlendedProvPayElite+AKT26*BlendedProvPayEss+AKU26*BlendedProvPayPrem+AKV26*BlendedProvPayElite,AKQ27*BlendedProvPayEss+AKR27*BlendedProvPayPrem+AKS27*BlendedProvPayElite+AKT27*BlendedProvPayEss+AKU27*BlendedProvPayPrem+AKV27*BlendedProvPayElite)</f>
        <v/>
      </c>
      <c r="ALK27" s="12">
        <f>ALC27*PaymentFee</f>
        <v/>
      </c>
      <c r="ALL27" s="12">
        <f>AKW27*OpsAI</f>
        <v/>
      </c>
      <c r="ALM27" s="12">
        <f>MonthlyFixed</f>
        <v/>
      </c>
      <c r="ALN27" s="12">
        <f>AKG27*ReferralReward</f>
        <v/>
      </c>
      <c r="ALO27" s="12">
        <f>AKE27</f>
        <v/>
      </c>
      <c r="ALP27" s="9">
        <f>ALF27-ALJ27-ALK27-ALL27-ALM27-ALN27-ALO27</f>
        <v/>
      </c>
      <c r="ALQ27" s="9">
        <f>ALQ26+ALC27-(ALJ27+ALK27+ALL27+ALM27+ALN27+ALO27+ALH27)</f>
        <v/>
      </c>
      <c r="ALR27" s="12">
        <f>IF(AKW27&gt;0,AKX27/AKW27,0)</f>
        <v/>
      </c>
      <c r="ALS27" s="11">
        <f>IF(AKW26&gt;0,MAX(0,(AKW26+AKH27-AKW27)/AKW26),0)</f>
        <v/>
      </c>
      <c r="ALU27" s="12" t="n">
        <v>23</v>
      </c>
      <c r="ALV27" s="12">
        <f>MOD(ALU27-1+LaunchMonth-1,12)+1</f>
        <v/>
      </c>
      <c r="ALW27" s="12">
        <f>INT((ALU27-1+LaunchMonth-1)/12)+1</f>
        <v/>
      </c>
      <c r="ALX27" s="12">
        <f>VLOOKUP(ALV27,SeasonTable,2,FALSE)</f>
        <v/>
      </c>
      <c r="ALY27" s="12">
        <f>(1+InflationRate)^INT((ALU27-1)/12)</f>
        <v/>
      </c>
      <c r="ALZ27" s="11">
        <f>MonthlyChurn*VLOOKUP(ALV27,ChurnSeasonTable,4,FALSE)</f>
        <v/>
      </c>
      <c r="AMA27" s="12">
        <f>MIN(MAX(MktMin19plus,AMY26*MktPct19plus),MAX(0,ANM26-CashBuffer))</f>
        <v/>
      </c>
      <c r="AMB27" s="12">
        <f>IF(AMA27&gt;0,MAX(1,ROUND(AMA27/'Sens - CAC &amp; Marketing'!$A$11*ALX27,0)),0)</f>
        <v/>
      </c>
      <c r="AMC27" s="12">
        <f>IF(AMB27&gt;0,ROUND(AMB27*ReferralMix/(1-ReferralMix),0),0)</f>
        <v/>
      </c>
      <c r="AMD27" s="12">
        <f>AMB27+AMC27</f>
        <v/>
      </c>
      <c r="AME27" s="12">
        <f>ROUND(AMD27*(1-AnnualMix),0)</f>
        <v/>
      </c>
      <c r="AMF27" s="12">
        <f>AMD27-AME27</f>
        <v/>
      </c>
      <c r="AMG27" s="12">
        <f>ROUND(AME27*EssentialMix,0)</f>
        <v/>
      </c>
      <c r="AMH27" s="12">
        <f>ROUND(AME27*PremiumMix,0)</f>
        <v/>
      </c>
      <c r="AMI27" s="12">
        <f>AME27-AMG27-AMH27</f>
        <v/>
      </c>
      <c r="AMJ27" s="12">
        <f>ROUND(AMF27*EssentialMix,0)</f>
        <v/>
      </c>
      <c r="AMK27" s="12">
        <f>ROUND(AMF27*PremiumMix,0)</f>
        <v/>
      </c>
      <c r="AML27" s="12">
        <f>AMF27-AMJ27-AMK27</f>
        <v/>
      </c>
      <c r="AMM27" s="12">
        <f>AMG27+AMG26+AMG25+MAX(0,AMM26-AMG26-AMG25)*(1-ALZ27)</f>
        <v/>
      </c>
      <c r="AMN27" s="12">
        <f>AMH27+AMH26+AMH25+MAX(0,AMN26-AMH26-AMH25)*(1-ALZ27)</f>
        <v/>
      </c>
      <c r="AMO27" s="12">
        <f>AMI27+AMI26+AMI25+MAX(0,AMO26-AMI26-AMI25)*(1-ALZ27)</f>
        <v/>
      </c>
      <c r="AMP27" s="12">
        <f>AMP26+AMJ27-AMJ15*(AnnualChurn*VLOOKUP(ALV27,ChurnSeasonTable,4,FALSE))*POWER(1-(AnnualChurn*VLOOKUP(ALV27,ChurnSeasonTable,4,FALSE)),0)</f>
        <v/>
      </c>
      <c r="AMQ27" s="12">
        <f>AMQ26+AMK27-AMK15*(AnnualChurn*VLOOKUP(ALV27,ChurnSeasonTable,4,FALSE))*POWER(1-(AnnualChurn*VLOOKUP(ALV27,ChurnSeasonTable,4,FALSE)),0)</f>
        <v/>
      </c>
      <c r="AMR27" s="12">
        <f>AMR26+AML27-AML15*(AnnualChurn*VLOOKUP(ALV27,ChurnSeasonTable,4,FALSE))*POWER(1-(AnnualChurn*VLOOKUP(ALV27,ChurnSeasonTable,4,FALSE)),0)</f>
        <v/>
      </c>
      <c r="AMS27" s="12">
        <f>AMM27+AMN27+AMO27+AMP27+AMQ27+AMR27</f>
        <v/>
      </c>
      <c r="AMT27" s="9">
        <f>AMM27*BlendedPriceEssMonthly*ALY27+AMN27*BlendedPricePremMonthly*ALY27+AMO27*BlendedPriceEliteMonthly*ALY27+AMP27*BlendedPriceEssAnnual*ALY27/12+AMQ27*BlendedPricePremAnnual*ALY27/12+AMR27*BlendedPriceEliteAnnual*ALY27/12</f>
        <v/>
      </c>
      <c r="AMU27" s="9">
        <f>AMT27*12</f>
        <v/>
      </c>
      <c r="AMV27" s="12">
        <f>AMM27*BlendedPriceEssMonthly*ALY27+AMN27*BlendedPricePremMonthly*ALY27+AMO27*BlendedPriceEliteMonthly*ALY27</f>
        <v/>
      </c>
      <c r="AMW27" s="12">
        <f>AMJ27*BlendedPriceEssAnnual*ALY27+AMK27*BlendedPricePremAnnual*ALY27+AML27*BlendedPriceEliteAnnual*ALY27</f>
        <v/>
      </c>
      <c r="AMX27" s="12">
        <f>AMJ15*POWER(1-(AnnualChurn*VLOOKUP(ALV27,ChurnSeasonTable,4,FALSE)),1)*BlendedPriceEssAnnual*ALY27+AMK15*POWER(1-(AnnualChurn*VLOOKUP(ALV27,ChurnSeasonTable,4,FALSE)),1)*BlendedPricePremAnnual*ALY27+AML15*POWER(1-(AnnualChurn*VLOOKUP(ALV27,ChurnSeasonTable,4,FALSE)),1)*BlendedPriceEliteAnnual*ALY27</f>
        <v/>
      </c>
      <c r="AMY27" s="9">
        <f>AMV27+AMW27+AMX27</f>
        <v/>
      </c>
      <c r="AMZ27" s="12">
        <f>SUM(AMY16:AMY27)</f>
        <v/>
      </c>
      <c r="ANA27" s="12">
        <f>OR(ANA26,IF(VATAgentMode,SUM($AMY16:$AMY27)-SUM($ANF16:$ANF27)&gt;=VATThreshold,SUM($AMY16:$AMY27)&gt;=VATThreshold))</f>
        <v/>
      </c>
      <c r="ANB27" s="9">
        <f>IF(ANA27,IF(VATAgentMode,AMY27-((AMY27-ANF27)-(AMY27-ANF27)/(1+VATRate)),AMY27/(1+VATRate)),AMY27)</f>
        <v/>
      </c>
      <c r="ANC27" s="12">
        <f>AMY27-ANB27</f>
        <v/>
      </c>
      <c r="AND27" s="12">
        <f>IF(ANA27=0,0,IF(ALV27=1,SUMPRODUCT(--(($ALW$5:$ALW27=$ALW27-1)*($ALV$5:$ALV27&gt;=10)*($ALV$5:$ALV27&lt;=12)),$ANC$5:$ANC27),IF(ALV27=4,SUMPRODUCT(--(($ALW$5:$ALW27=$ALW27)*($ALV$5:$ALV27&gt;=1)*($ALV$5:$ALV27&lt;=3)),$ANC$5:$ANC27),IF(ALV27=7,SUMPRODUCT(--(($ALW$5:$ALW27=$ALW27)*($ALV$5:$ALV27&gt;=4)*($ALV$5:$ALV27&lt;=6)),$ANC$5:$ANC27),IF(ALV27=10,SUMPRODUCT(--(($ALW$5:$ALW27=$ALW27)*($ALV$5:$ALV27&gt;=7)*($ALV$5:$ALV27&lt;=9)),$ANC$5:$ANC27),0)))))</f>
        <v/>
      </c>
      <c r="ANE27" s="12">
        <f>ANE26+ANC27-AND27</f>
        <v/>
      </c>
      <c r="ANF27" s="12">
        <f>IF(ProviderDelay&gt;=1,AMM26*BlendedProvPayEss+AMN26*BlendedProvPayPrem+AMO26*BlendedProvPayElite+AMP26*BlendedProvPayEss+AMQ26*BlendedProvPayPrem+AMR26*BlendedProvPayElite,AMM27*BlendedProvPayEss+AMN27*BlendedProvPayPrem+AMO27*BlendedProvPayElite+AMP27*BlendedProvPayEss+AMQ27*BlendedProvPayPrem+AMR27*BlendedProvPayElite)</f>
        <v/>
      </c>
      <c r="ANG27" s="12">
        <f>AMY27*PaymentFee</f>
        <v/>
      </c>
      <c r="ANH27" s="12">
        <f>AMS27*OpsAI</f>
        <v/>
      </c>
      <c r="ANI27" s="12">
        <f>MonthlyFixed</f>
        <v/>
      </c>
      <c r="ANJ27" s="12">
        <f>AMC27*ReferralReward</f>
        <v/>
      </c>
      <c r="ANK27" s="12">
        <f>AMA27</f>
        <v/>
      </c>
      <c r="ANL27" s="9">
        <f>ANB27-ANF27-ANG27-ANH27-ANI27-ANJ27-ANK27</f>
        <v/>
      </c>
      <c r="ANM27" s="9">
        <f>ANM26+AMY27-(ANF27+ANG27+ANH27+ANI27+ANJ27+ANK27+AND27)</f>
        <v/>
      </c>
      <c r="ANN27" s="12">
        <f>IF(AMS27&gt;0,AMT27/AMS27,0)</f>
        <v/>
      </c>
      <c r="ANO27" s="11">
        <f>IF(AMS26&gt;0,MAX(0,(AMS26+AMD27-AMS27)/AMS26),0)</f>
        <v/>
      </c>
      <c r="ANQ27" s="12" t="n">
        <v>23</v>
      </c>
      <c r="ANR27" s="12">
        <f>MOD(ANQ27-1+LaunchMonth-1,12)+1</f>
        <v/>
      </c>
      <c r="ANS27" s="12">
        <f>INT((ANQ27-1+LaunchMonth-1)/12)+1</f>
        <v/>
      </c>
      <c r="ANT27" s="12">
        <f>VLOOKUP(ANR27,SeasonTable,2,FALSE)</f>
        <v/>
      </c>
      <c r="ANU27" s="12">
        <f>(1+InflationRate)^INT((ANQ27-1)/12)</f>
        <v/>
      </c>
      <c r="ANV27" s="11">
        <f>MonthlyChurn*VLOOKUP(ANR27,ChurnSeasonTable,4,FALSE)</f>
        <v/>
      </c>
      <c r="ANW27" s="12">
        <f>MIN(MAX(MktMin19plus,AOU26*MktPct19plus),MAX(0,API26-CashBuffer))</f>
        <v/>
      </c>
      <c r="ANX27" s="12">
        <f>IF(ANW27&gt;0,MAX(1,ROUND(ANW27/'Sens - CAC &amp; Marketing'!$A$12*ANT27,0)),0)</f>
        <v/>
      </c>
      <c r="ANY27" s="12">
        <f>IF(ANX27&gt;0,ROUND(ANX27*ReferralMix/(1-ReferralMix),0),0)</f>
        <v/>
      </c>
      <c r="ANZ27" s="12">
        <f>ANX27+ANY27</f>
        <v/>
      </c>
      <c r="AOA27" s="12">
        <f>ROUND(ANZ27*(1-AnnualMix),0)</f>
        <v/>
      </c>
      <c r="AOB27" s="12">
        <f>ANZ27-AOA27</f>
        <v/>
      </c>
      <c r="AOC27" s="12">
        <f>ROUND(AOA27*EssentialMix,0)</f>
        <v/>
      </c>
      <c r="AOD27" s="12">
        <f>ROUND(AOA27*PremiumMix,0)</f>
        <v/>
      </c>
      <c r="AOE27" s="12">
        <f>AOA27-AOC27-AOD27</f>
        <v/>
      </c>
      <c r="AOF27" s="12">
        <f>ROUND(AOB27*EssentialMix,0)</f>
        <v/>
      </c>
      <c r="AOG27" s="12">
        <f>ROUND(AOB27*PremiumMix,0)</f>
        <v/>
      </c>
      <c r="AOH27" s="12">
        <f>AOB27-AOF27-AOG27</f>
        <v/>
      </c>
      <c r="AOI27" s="12">
        <f>AOC27+AOC26+AOC25+MAX(0,AOI26-AOC26-AOC25)*(1-ANV27)</f>
        <v/>
      </c>
      <c r="AOJ27" s="12">
        <f>AOD27+AOD26+AOD25+MAX(0,AOJ26-AOD26-AOD25)*(1-ANV27)</f>
        <v/>
      </c>
      <c r="AOK27" s="12">
        <f>AOE27+AOE26+AOE25+MAX(0,AOK26-AOE26-AOE25)*(1-ANV27)</f>
        <v/>
      </c>
      <c r="AOL27" s="12">
        <f>AOL26+AOF27-AOF15*(AnnualChurn*VLOOKUP(ANR27,ChurnSeasonTable,4,FALSE))*POWER(1-(AnnualChurn*VLOOKUP(ANR27,ChurnSeasonTable,4,FALSE)),0)</f>
        <v/>
      </c>
      <c r="AOM27" s="12">
        <f>AOM26+AOG27-AOG15*(AnnualChurn*VLOOKUP(ANR27,ChurnSeasonTable,4,FALSE))*POWER(1-(AnnualChurn*VLOOKUP(ANR27,ChurnSeasonTable,4,FALSE)),0)</f>
        <v/>
      </c>
      <c r="AON27" s="12">
        <f>AON26+AOH27-AOH15*(AnnualChurn*VLOOKUP(ANR27,ChurnSeasonTable,4,FALSE))*POWER(1-(AnnualChurn*VLOOKUP(ANR27,ChurnSeasonTable,4,FALSE)),0)</f>
        <v/>
      </c>
      <c r="AOO27" s="12">
        <f>AOI27+AOJ27+AOK27+AOL27+AOM27+AON27</f>
        <v/>
      </c>
      <c r="AOP27" s="9">
        <f>AOI27*BlendedPriceEssMonthly*ANU27+AOJ27*BlendedPricePremMonthly*ANU27+AOK27*BlendedPriceEliteMonthly*ANU27+AOL27*BlendedPriceEssAnnual*ANU27/12+AOM27*BlendedPricePremAnnual*ANU27/12+AON27*BlendedPriceEliteAnnual*ANU27/12</f>
        <v/>
      </c>
      <c r="AOQ27" s="9">
        <f>AOP27*12</f>
        <v/>
      </c>
      <c r="AOR27" s="12">
        <f>AOI27*BlendedPriceEssMonthly*ANU27+AOJ27*BlendedPricePremMonthly*ANU27+AOK27*BlendedPriceEliteMonthly*ANU27</f>
        <v/>
      </c>
      <c r="AOS27" s="12">
        <f>AOF27*BlendedPriceEssAnnual*ANU27+AOG27*BlendedPricePremAnnual*ANU27+AOH27*BlendedPriceEliteAnnual*ANU27</f>
        <v/>
      </c>
      <c r="AOT27" s="12">
        <f>AOF15*POWER(1-(AnnualChurn*VLOOKUP(ANR27,ChurnSeasonTable,4,FALSE)),1)*BlendedPriceEssAnnual*ANU27+AOG15*POWER(1-(AnnualChurn*VLOOKUP(ANR27,ChurnSeasonTable,4,FALSE)),1)*BlendedPricePremAnnual*ANU27+AOH15*POWER(1-(AnnualChurn*VLOOKUP(ANR27,ChurnSeasonTable,4,FALSE)),1)*BlendedPriceEliteAnnual*ANU27</f>
        <v/>
      </c>
      <c r="AOU27" s="9">
        <f>AOR27+AOS27+AOT27</f>
        <v/>
      </c>
      <c r="AOV27" s="12">
        <f>SUM(AOU16:AOU27)</f>
        <v/>
      </c>
      <c r="AOW27" s="12">
        <f>OR(AOW26,IF(VATAgentMode,SUM($AOU16:$AOU27)-SUM($APB16:$APB27)&gt;=VATThreshold,SUM($AOU16:$AOU27)&gt;=VATThreshold))</f>
        <v/>
      </c>
      <c r="AOX27" s="9">
        <f>IF(AOW27,IF(VATAgentMode,AOU27-((AOU27-APB27)-(AOU27-APB27)/(1+VATRate)),AOU27/(1+VATRate)),AOU27)</f>
        <v/>
      </c>
      <c r="AOY27" s="12">
        <f>AOU27-AOX27</f>
        <v/>
      </c>
      <c r="AOZ27" s="12">
        <f>IF(AOW27=0,0,IF(ANR27=1,SUMPRODUCT(--(($ANS$5:$ANS27=$ANS27-1)*($ANR$5:$ANR27&gt;=10)*($ANR$5:$ANR27&lt;=12)),$AOY$5:$AOY27),IF(ANR27=4,SUMPRODUCT(--(($ANS$5:$ANS27=$ANS27)*($ANR$5:$ANR27&gt;=1)*($ANR$5:$ANR27&lt;=3)),$AOY$5:$AOY27),IF(ANR27=7,SUMPRODUCT(--(($ANS$5:$ANS27=$ANS27)*($ANR$5:$ANR27&gt;=4)*($ANR$5:$ANR27&lt;=6)),$AOY$5:$AOY27),IF(ANR27=10,SUMPRODUCT(--(($ANS$5:$ANS27=$ANS27)*($ANR$5:$ANR27&gt;=7)*($ANR$5:$ANR27&lt;=9)),$AOY$5:$AOY27),0)))))</f>
        <v/>
      </c>
      <c r="APA27" s="12">
        <f>APA26+AOY27-AOZ27</f>
        <v/>
      </c>
      <c r="APB27" s="12">
        <f>IF(ProviderDelay&gt;=1,AOI26*BlendedProvPayEss+AOJ26*BlendedProvPayPrem+AOK26*BlendedProvPayElite+AOL26*BlendedProvPayEss+AOM26*BlendedProvPayPrem+AON26*BlendedProvPayElite,AOI27*BlendedProvPayEss+AOJ27*BlendedProvPayPrem+AOK27*BlendedProvPayElite+AOL27*BlendedProvPayEss+AOM27*BlendedProvPayPrem+AON27*BlendedProvPayElite)</f>
        <v/>
      </c>
      <c r="APC27" s="12">
        <f>AOU27*PaymentFee</f>
        <v/>
      </c>
      <c r="APD27" s="12">
        <f>AOO27*OpsAI</f>
        <v/>
      </c>
      <c r="APE27" s="12">
        <f>MonthlyFixed</f>
        <v/>
      </c>
      <c r="APF27" s="12">
        <f>ANY27*ReferralReward</f>
        <v/>
      </c>
      <c r="APG27" s="12">
        <f>ANW27</f>
        <v/>
      </c>
      <c r="APH27" s="9">
        <f>AOX27-APB27-APC27-APD27-APE27-APF27-APG27</f>
        <v/>
      </c>
      <c r="API27" s="9">
        <f>API26+AOU27-(APB27+APC27+APD27+APE27+APF27+APG27+AOZ27)</f>
        <v/>
      </c>
      <c r="APJ27" s="12">
        <f>IF(AOO27&gt;0,AOP27/AOO27,0)</f>
        <v/>
      </c>
      <c r="APK27" s="11">
        <f>IF(AOO26&gt;0,MAX(0,(AOO26+ANZ27-AOO27)/AOO26),0)</f>
        <v/>
      </c>
      <c r="APM27" s="12" t="n">
        <v>23</v>
      </c>
      <c r="APN27" s="12">
        <f>MOD(APM27-1+LaunchMonth-1,12)+1</f>
        <v/>
      </c>
      <c r="APO27" s="12">
        <f>INT((APM27-1+LaunchMonth-1)/12)+1</f>
        <v/>
      </c>
      <c r="APP27" s="12">
        <f>VLOOKUP(APN27,SeasonTable,2,FALSE)</f>
        <v/>
      </c>
      <c r="APQ27" s="12">
        <f>(1+InflationRate)^INT((APM27-1)/12)</f>
        <v/>
      </c>
      <c r="APR27" s="11">
        <f>MonthlyChurn*VLOOKUP(APN27,ChurnSeasonTable,4,FALSE)</f>
        <v/>
      </c>
      <c r="APS27" s="12">
        <f>MIN(MAX(MktMin19plus,AQQ26*MktPct19plus),MAX(0,ARE26-CashBuffer))</f>
        <v/>
      </c>
      <c r="APT27" s="12">
        <f>IF(APS27&gt;0,MAX(1,ROUND(APS27/'Sens - CAC &amp; Marketing'!$A$13*APP27,0)),0)</f>
        <v/>
      </c>
      <c r="APU27" s="12">
        <f>IF(APT27&gt;0,ROUND(APT27*ReferralMix/(1-ReferralMix),0),0)</f>
        <v/>
      </c>
      <c r="APV27" s="12">
        <f>APT27+APU27</f>
        <v/>
      </c>
      <c r="APW27" s="12">
        <f>ROUND(APV27*(1-AnnualMix),0)</f>
        <v/>
      </c>
      <c r="APX27" s="12">
        <f>APV27-APW27</f>
        <v/>
      </c>
      <c r="APY27" s="12">
        <f>ROUND(APW27*EssentialMix,0)</f>
        <v/>
      </c>
      <c r="APZ27" s="12">
        <f>ROUND(APW27*PremiumMix,0)</f>
        <v/>
      </c>
      <c r="AQA27" s="12">
        <f>APW27-APY27-APZ27</f>
        <v/>
      </c>
      <c r="AQB27" s="12">
        <f>ROUND(APX27*EssentialMix,0)</f>
        <v/>
      </c>
      <c r="AQC27" s="12">
        <f>ROUND(APX27*PremiumMix,0)</f>
        <v/>
      </c>
      <c r="AQD27" s="12">
        <f>APX27-AQB27-AQC27</f>
        <v/>
      </c>
      <c r="AQE27" s="12">
        <f>APY27+APY26+APY25+MAX(0,AQE26-APY26-APY25)*(1-APR27)</f>
        <v/>
      </c>
      <c r="AQF27" s="12">
        <f>APZ27+APZ26+APZ25+MAX(0,AQF26-APZ26-APZ25)*(1-APR27)</f>
        <v/>
      </c>
      <c r="AQG27" s="12">
        <f>AQA27+AQA26+AQA25+MAX(0,AQG26-AQA26-AQA25)*(1-APR27)</f>
        <v/>
      </c>
      <c r="AQH27" s="12">
        <f>AQH26+AQB27-AQB15*(AnnualChurn*VLOOKUP(APN27,ChurnSeasonTable,4,FALSE))*POWER(1-(AnnualChurn*VLOOKUP(APN27,ChurnSeasonTable,4,FALSE)),0)</f>
        <v/>
      </c>
      <c r="AQI27" s="12">
        <f>AQI26+AQC27-AQC15*(AnnualChurn*VLOOKUP(APN27,ChurnSeasonTable,4,FALSE))*POWER(1-(AnnualChurn*VLOOKUP(APN27,ChurnSeasonTable,4,FALSE)),0)</f>
        <v/>
      </c>
      <c r="AQJ27" s="12">
        <f>AQJ26+AQD27-AQD15*(AnnualChurn*VLOOKUP(APN27,ChurnSeasonTable,4,FALSE))*POWER(1-(AnnualChurn*VLOOKUP(APN27,ChurnSeasonTable,4,FALSE)),0)</f>
        <v/>
      </c>
      <c r="AQK27" s="12">
        <f>AQE27+AQF27+AQG27+AQH27+AQI27+AQJ27</f>
        <v/>
      </c>
      <c r="AQL27" s="9">
        <f>AQE27*BlendedPriceEssMonthly*APQ27+AQF27*BlendedPricePremMonthly*APQ27+AQG27*BlendedPriceEliteMonthly*APQ27+AQH27*BlendedPriceEssAnnual*APQ27/12+AQI27*BlendedPricePremAnnual*APQ27/12+AQJ27*BlendedPriceEliteAnnual*APQ27/12</f>
        <v/>
      </c>
      <c r="AQM27" s="9">
        <f>AQL27*12</f>
        <v/>
      </c>
      <c r="AQN27" s="12">
        <f>AQE27*BlendedPriceEssMonthly*APQ27+AQF27*BlendedPricePremMonthly*APQ27+AQG27*BlendedPriceEliteMonthly*APQ27</f>
        <v/>
      </c>
      <c r="AQO27" s="12">
        <f>AQB27*BlendedPriceEssAnnual*APQ27+AQC27*BlendedPricePremAnnual*APQ27+AQD27*BlendedPriceEliteAnnual*APQ27</f>
        <v/>
      </c>
      <c r="AQP27" s="12">
        <f>AQB15*POWER(1-(AnnualChurn*VLOOKUP(APN27,ChurnSeasonTable,4,FALSE)),1)*BlendedPriceEssAnnual*APQ27+AQC15*POWER(1-(AnnualChurn*VLOOKUP(APN27,ChurnSeasonTable,4,FALSE)),1)*BlendedPricePremAnnual*APQ27+AQD15*POWER(1-(AnnualChurn*VLOOKUP(APN27,ChurnSeasonTable,4,FALSE)),1)*BlendedPriceEliteAnnual*APQ27</f>
        <v/>
      </c>
      <c r="AQQ27" s="9">
        <f>AQN27+AQO27+AQP27</f>
        <v/>
      </c>
      <c r="AQR27" s="12">
        <f>SUM(AQQ16:AQQ27)</f>
        <v/>
      </c>
      <c r="AQS27" s="12">
        <f>OR(AQS26,IF(VATAgentMode,SUM($AQQ16:$AQQ27)-SUM($AQX16:$AQX27)&gt;=VATThreshold,SUM($AQQ16:$AQQ27)&gt;=VATThreshold))</f>
        <v/>
      </c>
      <c r="AQT27" s="9">
        <f>IF(AQS27,IF(VATAgentMode,AQQ27-((AQQ27-AQX27)-(AQQ27-AQX27)/(1+VATRate)),AQQ27/(1+VATRate)),AQQ27)</f>
        <v/>
      </c>
      <c r="AQU27" s="12">
        <f>AQQ27-AQT27</f>
        <v/>
      </c>
      <c r="AQV27" s="12">
        <f>IF(AQS27=0,0,IF(APN27=1,SUMPRODUCT(--(($APO$5:$APO27=$APO27-1)*($APN$5:$APN27&gt;=10)*($APN$5:$APN27&lt;=12)),$AQU$5:$AQU27),IF(APN27=4,SUMPRODUCT(--(($APO$5:$APO27=$APO27)*($APN$5:$APN27&gt;=1)*($APN$5:$APN27&lt;=3)),$AQU$5:$AQU27),IF(APN27=7,SUMPRODUCT(--(($APO$5:$APO27=$APO27)*($APN$5:$APN27&gt;=4)*($APN$5:$APN27&lt;=6)),$AQU$5:$AQU27),IF(APN27=10,SUMPRODUCT(--(($APO$5:$APO27=$APO27)*($APN$5:$APN27&gt;=7)*($APN$5:$APN27&lt;=9)),$AQU$5:$AQU27),0)))))</f>
        <v/>
      </c>
      <c r="AQW27" s="12">
        <f>AQW26+AQU27-AQV27</f>
        <v/>
      </c>
      <c r="AQX27" s="12">
        <f>IF(ProviderDelay&gt;=1,AQE26*BlendedProvPayEss+AQF26*BlendedProvPayPrem+AQG26*BlendedProvPayElite+AQH26*BlendedProvPayEss+AQI26*BlendedProvPayPrem+AQJ26*BlendedProvPayElite,AQE27*BlendedProvPayEss+AQF27*BlendedProvPayPrem+AQG27*BlendedProvPayElite+AQH27*BlendedProvPayEss+AQI27*BlendedProvPayPrem+AQJ27*BlendedProvPayElite)</f>
        <v/>
      </c>
      <c r="AQY27" s="12">
        <f>AQQ27*PaymentFee</f>
        <v/>
      </c>
      <c r="AQZ27" s="12">
        <f>AQK27*OpsAI</f>
        <v/>
      </c>
      <c r="ARA27" s="12">
        <f>MonthlyFixed</f>
        <v/>
      </c>
      <c r="ARB27" s="12">
        <f>APU27*ReferralReward</f>
        <v/>
      </c>
      <c r="ARC27" s="12">
        <f>APS27</f>
        <v/>
      </c>
      <c r="ARD27" s="9">
        <f>AQT27-AQX27-AQY27-AQZ27-ARA27-ARB27-ARC27</f>
        <v/>
      </c>
      <c r="ARE27" s="9">
        <f>ARE26+AQQ27-(AQX27+AQY27+AQZ27+ARA27+ARB27+ARC27+AQV27)</f>
        <v/>
      </c>
      <c r="ARF27" s="12">
        <f>IF(AQK27&gt;0,AQL27/AQK27,0)</f>
        <v/>
      </c>
      <c r="ARG27" s="11">
        <f>IF(AQK26&gt;0,MAX(0,(AQK26+APV27-AQK27)/AQK26),0)</f>
        <v/>
      </c>
      <c r="ARI27" s="12" t="n">
        <v>23</v>
      </c>
      <c r="ARJ27" s="12">
        <f>MOD(ARI27-1+LaunchMonth-1,12)+1</f>
        <v/>
      </c>
      <c r="ARK27" s="12">
        <f>INT((ARI27-1+LaunchMonth-1)/12)+1</f>
        <v/>
      </c>
      <c r="ARL27" s="12">
        <f>VLOOKUP(ARJ27,SeasonTable,2,FALSE)</f>
        <v/>
      </c>
      <c r="ARM27" s="12">
        <f>(1+InflationRate)^INT((ARI27-1)/12)</f>
        <v/>
      </c>
      <c r="ARN27" s="11">
        <f>MonthlyChurn*VLOOKUP(ARJ27,ChurnSeasonTable,4,FALSE)</f>
        <v/>
      </c>
      <c r="ARO27" s="12">
        <f>MIN(MAX(MktMin19plus,ASM26*MktPct19plus),MAX(0,ATA26-CashBuffer))</f>
        <v/>
      </c>
      <c r="ARP27" s="12">
        <f>IF(ARO27&gt;0,MAX(1,ROUND(ARO27/'Sens - CAC &amp; Marketing'!$A$14*ARL27,0)),0)</f>
        <v/>
      </c>
      <c r="ARQ27" s="12">
        <f>IF(ARP27&gt;0,ROUND(ARP27*ReferralMix/(1-ReferralMix),0),0)</f>
        <v/>
      </c>
      <c r="ARR27" s="12">
        <f>ARP27+ARQ27</f>
        <v/>
      </c>
      <c r="ARS27" s="12">
        <f>ROUND(ARR27*(1-AnnualMix),0)</f>
        <v/>
      </c>
      <c r="ART27" s="12">
        <f>ARR27-ARS27</f>
        <v/>
      </c>
      <c r="ARU27" s="12">
        <f>ROUND(ARS27*EssentialMix,0)</f>
        <v/>
      </c>
      <c r="ARV27" s="12">
        <f>ROUND(ARS27*PremiumMix,0)</f>
        <v/>
      </c>
      <c r="ARW27" s="12">
        <f>ARS27-ARU27-ARV27</f>
        <v/>
      </c>
      <c r="ARX27" s="12">
        <f>ROUND(ART27*EssentialMix,0)</f>
        <v/>
      </c>
      <c r="ARY27" s="12">
        <f>ROUND(ART27*PremiumMix,0)</f>
        <v/>
      </c>
      <c r="ARZ27" s="12">
        <f>ART27-ARX27-ARY27</f>
        <v/>
      </c>
      <c r="ASA27" s="12">
        <f>ARU27+ARU26+ARU25+MAX(0,ASA26-ARU26-ARU25)*(1-ARN27)</f>
        <v/>
      </c>
      <c r="ASB27" s="12">
        <f>ARV27+ARV26+ARV25+MAX(0,ASB26-ARV26-ARV25)*(1-ARN27)</f>
        <v/>
      </c>
      <c r="ASC27" s="12">
        <f>ARW27+ARW26+ARW25+MAX(0,ASC26-ARW26-ARW25)*(1-ARN27)</f>
        <v/>
      </c>
      <c r="ASD27" s="12">
        <f>ASD26+ARX27-ARX15*(AnnualChurn*VLOOKUP(ARJ27,ChurnSeasonTable,4,FALSE))*POWER(1-(AnnualChurn*VLOOKUP(ARJ27,ChurnSeasonTable,4,FALSE)),0)</f>
        <v/>
      </c>
      <c r="ASE27" s="12">
        <f>ASE26+ARY27-ARY15*(AnnualChurn*VLOOKUP(ARJ27,ChurnSeasonTable,4,FALSE))*POWER(1-(AnnualChurn*VLOOKUP(ARJ27,ChurnSeasonTable,4,FALSE)),0)</f>
        <v/>
      </c>
      <c r="ASF27" s="12">
        <f>ASF26+ARZ27-ARZ15*(AnnualChurn*VLOOKUP(ARJ27,ChurnSeasonTable,4,FALSE))*POWER(1-(AnnualChurn*VLOOKUP(ARJ27,ChurnSeasonTable,4,FALSE)),0)</f>
        <v/>
      </c>
      <c r="ASG27" s="12">
        <f>ASA27+ASB27+ASC27+ASD27+ASE27+ASF27</f>
        <v/>
      </c>
      <c r="ASH27" s="9">
        <f>ASA27*BlendedPriceEssMonthly*ARM27+ASB27*BlendedPricePremMonthly*ARM27+ASC27*BlendedPriceEliteMonthly*ARM27+ASD27*BlendedPriceEssAnnual*ARM27/12+ASE27*BlendedPricePremAnnual*ARM27/12+ASF27*BlendedPriceEliteAnnual*ARM27/12</f>
        <v/>
      </c>
      <c r="ASI27" s="9">
        <f>ASH27*12</f>
        <v/>
      </c>
      <c r="ASJ27" s="12">
        <f>ASA27*BlendedPriceEssMonthly*ARM27+ASB27*BlendedPricePremMonthly*ARM27+ASC27*BlendedPriceEliteMonthly*ARM27</f>
        <v/>
      </c>
      <c r="ASK27" s="12">
        <f>ARX27*BlendedPriceEssAnnual*ARM27+ARY27*BlendedPricePremAnnual*ARM27+ARZ27*BlendedPriceEliteAnnual*ARM27</f>
        <v/>
      </c>
      <c r="ASL27" s="12">
        <f>ARX15*POWER(1-(AnnualChurn*VLOOKUP(ARJ27,ChurnSeasonTable,4,FALSE)),1)*BlendedPriceEssAnnual*ARM27+ARY15*POWER(1-(AnnualChurn*VLOOKUP(ARJ27,ChurnSeasonTable,4,FALSE)),1)*BlendedPricePremAnnual*ARM27+ARZ15*POWER(1-(AnnualChurn*VLOOKUP(ARJ27,ChurnSeasonTable,4,FALSE)),1)*BlendedPriceEliteAnnual*ARM27</f>
        <v/>
      </c>
      <c r="ASM27" s="9">
        <f>ASJ27+ASK27+ASL27</f>
        <v/>
      </c>
      <c r="ASN27" s="12">
        <f>SUM(ASM16:ASM27)</f>
        <v/>
      </c>
      <c r="ASO27" s="12">
        <f>OR(ASO26,IF(VATAgentMode,SUM($ASM16:$ASM27)-SUM($AST16:$AST27)&gt;=VATThreshold,SUM($ASM16:$ASM27)&gt;=VATThreshold))</f>
        <v/>
      </c>
      <c r="ASP27" s="9">
        <f>IF(ASO27,IF(VATAgentMode,ASM27-((ASM27-AST27)-(ASM27-AST27)/(1+VATRate)),ASM27/(1+VATRate)),ASM27)</f>
        <v/>
      </c>
      <c r="ASQ27" s="12">
        <f>ASM27-ASP27</f>
        <v/>
      </c>
      <c r="ASR27" s="12">
        <f>IF(ASO27=0,0,IF(ARJ27=1,SUMPRODUCT(--(($ARK$5:$ARK27=$ARK27-1)*($ARJ$5:$ARJ27&gt;=10)*($ARJ$5:$ARJ27&lt;=12)),$ASQ$5:$ASQ27),IF(ARJ27=4,SUMPRODUCT(--(($ARK$5:$ARK27=$ARK27)*($ARJ$5:$ARJ27&gt;=1)*($ARJ$5:$ARJ27&lt;=3)),$ASQ$5:$ASQ27),IF(ARJ27=7,SUMPRODUCT(--(($ARK$5:$ARK27=$ARK27)*($ARJ$5:$ARJ27&gt;=4)*($ARJ$5:$ARJ27&lt;=6)),$ASQ$5:$ASQ27),IF(ARJ27=10,SUMPRODUCT(--(($ARK$5:$ARK27=$ARK27)*($ARJ$5:$ARJ27&gt;=7)*($ARJ$5:$ARJ27&lt;=9)),$ASQ$5:$ASQ27),0)))))</f>
        <v/>
      </c>
      <c r="ASS27" s="12">
        <f>ASS26+ASQ27-ASR27</f>
        <v/>
      </c>
      <c r="AST27" s="12">
        <f>IF(ProviderDelay&gt;=1,ASA26*BlendedProvPayEss+ASB26*BlendedProvPayPrem+ASC26*BlendedProvPayElite+ASD26*BlendedProvPayEss+ASE26*BlendedProvPayPrem+ASF26*BlendedProvPayElite,ASA27*BlendedProvPayEss+ASB27*BlendedProvPayPrem+ASC27*BlendedProvPayElite+ASD27*BlendedProvPayEss+ASE27*BlendedProvPayPrem+ASF27*BlendedProvPayElite)</f>
        <v/>
      </c>
      <c r="ASU27" s="12">
        <f>ASM27*PaymentFee</f>
        <v/>
      </c>
      <c r="ASV27" s="12">
        <f>ASG27*OpsAI</f>
        <v/>
      </c>
      <c r="ASW27" s="12">
        <f>MonthlyFixed</f>
        <v/>
      </c>
      <c r="ASX27" s="12">
        <f>ARQ27*ReferralReward</f>
        <v/>
      </c>
      <c r="ASY27" s="12">
        <f>ARO27</f>
        <v/>
      </c>
      <c r="ASZ27" s="9">
        <f>ASP27-AST27-ASU27-ASV27-ASW27-ASX27-ASY27</f>
        <v/>
      </c>
      <c r="ATA27" s="9">
        <f>ATA26+ASM27-(AST27+ASU27+ASV27+ASW27+ASX27+ASY27+ASR27)</f>
        <v/>
      </c>
      <c r="ATB27" s="12">
        <f>IF(ASG27&gt;0,ASH27/ASG27,0)</f>
        <v/>
      </c>
      <c r="ATC27" s="11">
        <f>IF(ASG26&gt;0,MAX(0,(ASG26+ARR27-ASG27)/ASG26),0)</f>
        <v/>
      </c>
      <c r="ATE27" s="12" t="n">
        <v>23</v>
      </c>
      <c r="ATF27" s="12">
        <f>MOD(ATE27-1+LaunchMonth-1,12)+1</f>
        <v/>
      </c>
      <c r="ATG27" s="12">
        <f>INT((ATE27-1+LaunchMonth-1)/12)+1</f>
        <v/>
      </c>
      <c r="ATH27" s="12">
        <f>VLOOKUP(ATF27,SeasonTable,2,FALSE)</f>
        <v/>
      </c>
      <c r="ATI27" s="12">
        <f>(1+InflationRate)^INT((ATE27-1)/12)</f>
        <v/>
      </c>
      <c r="ATJ27" s="11">
        <f>MonthlyChurn*VLOOKUP(ATF27,ChurnSeasonTable,4,FALSE)</f>
        <v/>
      </c>
      <c r="ATK27" s="12">
        <f>MIN(MAX(MktMin19plus,AUI26*MktPct19plus),MAX(0,AUW26-CashBuffer))</f>
        <v/>
      </c>
      <c r="ATL27" s="12">
        <f>IF(ATK27&gt;0,MAX(1,ROUND(ATK27/'Sens - CAC &amp; Marketing'!$A$15*ATH27,0)),0)</f>
        <v/>
      </c>
      <c r="ATM27" s="12">
        <f>IF(ATL27&gt;0,ROUND(ATL27*ReferralMix/(1-ReferralMix),0),0)</f>
        <v/>
      </c>
      <c r="ATN27" s="12">
        <f>ATL27+ATM27</f>
        <v/>
      </c>
      <c r="ATO27" s="12">
        <f>ROUND(ATN27*(1-AnnualMix),0)</f>
        <v/>
      </c>
      <c r="ATP27" s="12">
        <f>ATN27-ATO27</f>
        <v/>
      </c>
      <c r="ATQ27" s="12">
        <f>ROUND(ATO27*EssentialMix,0)</f>
        <v/>
      </c>
      <c r="ATR27" s="12">
        <f>ROUND(ATO27*PremiumMix,0)</f>
        <v/>
      </c>
      <c r="ATS27" s="12">
        <f>ATO27-ATQ27-ATR27</f>
        <v/>
      </c>
      <c r="ATT27" s="12">
        <f>ROUND(ATP27*EssentialMix,0)</f>
        <v/>
      </c>
      <c r="ATU27" s="12">
        <f>ROUND(ATP27*PremiumMix,0)</f>
        <v/>
      </c>
      <c r="ATV27" s="12">
        <f>ATP27-ATT27-ATU27</f>
        <v/>
      </c>
      <c r="ATW27" s="12">
        <f>ATQ27+ATQ26+ATQ25+MAX(0,ATW26-ATQ26-ATQ25)*(1-ATJ27)</f>
        <v/>
      </c>
      <c r="ATX27" s="12">
        <f>ATR27+ATR26+ATR25+MAX(0,ATX26-ATR26-ATR25)*(1-ATJ27)</f>
        <v/>
      </c>
      <c r="ATY27" s="12">
        <f>ATS27+ATS26+ATS25+MAX(0,ATY26-ATS26-ATS25)*(1-ATJ27)</f>
        <v/>
      </c>
      <c r="ATZ27" s="12">
        <f>ATZ26+ATT27-ATT15*(AnnualChurn*VLOOKUP(ATF27,ChurnSeasonTable,4,FALSE))*POWER(1-(AnnualChurn*VLOOKUP(ATF27,ChurnSeasonTable,4,FALSE)),0)</f>
        <v/>
      </c>
      <c r="AUA27" s="12">
        <f>AUA26+ATU27-ATU15*(AnnualChurn*VLOOKUP(ATF27,ChurnSeasonTable,4,FALSE))*POWER(1-(AnnualChurn*VLOOKUP(ATF27,ChurnSeasonTable,4,FALSE)),0)</f>
        <v/>
      </c>
      <c r="AUB27" s="12">
        <f>AUB26+ATV27-ATV15*(AnnualChurn*VLOOKUP(ATF27,ChurnSeasonTable,4,FALSE))*POWER(1-(AnnualChurn*VLOOKUP(ATF27,ChurnSeasonTable,4,FALSE)),0)</f>
        <v/>
      </c>
      <c r="AUC27" s="12">
        <f>ATW27+ATX27+ATY27+ATZ27+AUA27+AUB27</f>
        <v/>
      </c>
      <c r="AUD27" s="9">
        <f>ATW27*BlendedPriceEssMonthly*ATI27+ATX27*BlendedPricePremMonthly*ATI27+ATY27*BlendedPriceEliteMonthly*ATI27+ATZ27*BlendedPriceEssAnnual*ATI27/12+AUA27*BlendedPricePremAnnual*ATI27/12+AUB27*BlendedPriceEliteAnnual*ATI27/12</f>
        <v/>
      </c>
      <c r="AUE27" s="9">
        <f>AUD27*12</f>
        <v/>
      </c>
      <c r="AUF27" s="12">
        <f>ATW27*BlendedPriceEssMonthly*ATI27+ATX27*BlendedPricePremMonthly*ATI27+ATY27*BlendedPriceEliteMonthly*ATI27</f>
        <v/>
      </c>
      <c r="AUG27" s="12">
        <f>ATT27*BlendedPriceEssAnnual*ATI27+ATU27*BlendedPricePremAnnual*ATI27+ATV27*BlendedPriceEliteAnnual*ATI27</f>
        <v/>
      </c>
      <c r="AUH27" s="12">
        <f>ATT15*POWER(1-(AnnualChurn*VLOOKUP(ATF27,ChurnSeasonTable,4,FALSE)),1)*BlendedPriceEssAnnual*ATI27+ATU15*POWER(1-(AnnualChurn*VLOOKUP(ATF27,ChurnSeasonTable,4,FALSE)),1)*BlendedPricePremAnnual*ATI27+ATV15*POWER(1-(AnnualChurn*VLOOKUP(ATF27,ChurnSeasonTable,4,FALSE)),1)*BlendedPriceEliteAnnual*ATI27</f>
        <v/>
      </c>
      <c r="AUI27" s="9">
        <f>AUF27+AUG27+AUH27</f>
        <v/>
      </c>
      <c r="AUJ27" s="12">
        <f>SUM(AUI16:AUI27)</f>
        <v/>
      </c>
      <c r="AUK27" s="12">
        <f>OR(AUK26,IF(VATAgentMode,SUM($AUI16:$AUI27)-SUM($AUP16:$AUP27)&gt;=VATThreshold,SUM($AUI16:$AUI27)&gt;=VATThreshold))</f>
        <v/>
      </c>
      <c r="AUL27" s="9">
        <f>IF(AUK27,IF(VATAgentMode,AUI27-((AUI27-AUP27)-(AUI27-AUP27)/(1+VATRate)),AUI27/(1+VATRate)),AUI27)</f>
        <v/>
      </c>
      <c r="AUM27" s="12">
        <f>AUI27-AUL27</f>
        <v/>
      </c>
      <c r="AUN27" s="12">
        <f>IF(AUK27=0,0,IF(ATF27=1,SUMPRODUCT(--(($ATG$5:$ATG27=$ATG27-1)*($ATF$5:$ATF27&gt;=10)*($ATF$5:$ATF27&lt;=12)),$AUM$5:$AUM27),IF(ATF27=4,SUMPRODUCT(--(($ATG$5:$ATG27=$ATG27)*($ATF$5:$ATF27&gt;=1)*($ATF$5:$ATF27&lt;=3)),$AUM$5:$AUM27),IF(ATF27=7,SUMPRODUCT(--(($ATG$5:$ATG27=$ATG27)*($ATF$5:$ATF27&gt;=4)*($ATF$5:$ATF27&lt;=6)),$AUM$5:$AUM27),IF(ATF27=10,SUMPRODUCT(--(($ATG$5:$ATG27=$ATG27)*($ATF$5:$ATF27&gt;=7)*($ATF$5:$ATF27&lt;=9)),$AUM$5:$AUM27),0)))))</f>
        <v/>
      </c>
      <c r="AUO27" s="12">
        <f>AUO26+AUM27-AUN27</f>
        <v/>
      </c>
      <c r="AUP27" s="12">
        <f>IF(ProviderDelay&gt;=1,ATW26*BlendedProvPayEss+ATX26*BlendedProvPayPrem+ATY26*BlendedProvPayElite+ATZ26*BlendedProvPayEss+AUA26*BlendedProvPayPrem+AUB26*BlendedProvPayElite,ATW27*BlendedProvPayEss+ATX27*BlendedProvPayPrem+ATY27*BlendedProvPayElite+ATZ27*BlendedProvPayEss+AUA27*BlendedProvPayPrem+AUB27*BlendedProvPayElite)</f>
        <v/>
      </c>
      <c r="AUQ27" s="12">
        <f>AUI27*PaymentFee</f>
        <v/>
      </c>
      <c r="AUR27" s="12">
        <f>AUC27*OpsAI</f>
        <v/>
      </c>
      <c r="AUS27" s="12">
        <f>MonthlyFixed</f>
        <v/>
      </c>
      <c r="AUT27" s="12">
        <f>ATM27*ReferralReward</f>
        <v/>
      </c>
      <c r="AUU27" s="12">
        <f>ATK27</f>
        <v/>
      </c>
      <c r="AUV27" s="9">
        <f>AUL27-AUP27-AUQ27-AUR27-AUS27-AUT27-AUU27</f>
        <v/>
      </c>
      <c r="AUW27" s="9">
        <f>AUW26+AUI27-(AUP27+AUQ27+AUR27+AUS27+AUT27+AUU27+AUN27)</f>
        <v/>
      </c>
      <c r="AUX27" s="12">
        <f>IF(AUC27&gt;0,AUD27/AUC27,0)</f>
        <v/>
      </c>
      <c r="AUY27" s="11">
        <f>IF(AUC26&gt;0,MAX(0,(AUC26+ATN27-AUC27)/AUC26),0)</f>
        <v/>
      </c>
      <c r="AVA27" s="12" t="n">
        <v>23</v>
      </c>
      <c r="AVB27" s="12">
        <f>MOD(AVA27-1+LaunchMonth-1,12)+1</f>
        <v/>
      </c>
      <c r="AVC27" s="12">
        <f>INT((AVA27-1+LaunchMonth-1)/12)+1</f>
        <v/>
      </c>
      <c r="AVD27" s="12">
        <f>VLOOKUP(AVB27,WinterPivotSeasonTable,5,FALSE)</f>
        <v/>
      </c>
      <c r="AVE27" s="12">
        <f>(1+InflationRate)^INT((AVA27-1)/12)</f>
        <v/>
      </c>
      <c r="AVF27" s="11">
        <f>MonthlyChurn*VLOOKUP(AVB27,WinterPivotChurnTable,6,FALSE)</f>
        <v/>
      </c>
      <c r="AVG27" s="12">
        <f>MIN(MAX(MktMin19plus,AWE26*MktPct19plus),MAX(0,AWS26-CashBuffer))</f>
        <v/>
      </c>
      <c r="AVH27" s="12">
        <f>IF(AVG27&gt;0,MAX(1,ROUND(AVG27/CAC*AVD27,0)),0)</f>
        <v/>
      </c>
      <c r="AVI27" s="12">
        <f>IF(AVH27&gt;0,ROUND(AVH27*ReferralMix/(1-ReferralMix),0),0)</f>
        <v/>
      </c>
      <c r="AVJ27" s="12">
        <f>AVH27+AVI27</f>
        <v/>
      </c>
      <c r="AVK27" s="12">
        <f>ROUND(AVJ27*(1-AnnualMix),0)</f>
        <v/>
      </c>
      <c r="AVL27" s="12">
        <f>AVJ27-AVK27</f>
        <v/>
      </c>
      <c r="AVM27" s="12">
        <f>ROUND(AVK27*'Sens - Winter Pivot'!$B$6,0)</f>
        <v/>
      </c>
      <c r="AVN27" s="12">
        <f>ROUND(AVK27*PremiumMix,0)</f>
        <v/>
      </c>
      <c r="AVO27" s="12">
        <f>AVK27-AVM27-AVN27</f>
        <v/>
      </c>
      <c r="AVP27" s="12">
        <f>ROUND(AVL27*'Sens - Winter Pivot'!$B$6,0)</f>
        <v/>
      </c>
      <c r="AVQ27" s="12">
        <f>ROUND(AVL27*PremiumMix,0)</f>
        <v/>
      </c>
      <c r="AVR27" s="12">
        <f>AVL27-AVP27-AVQ27</f>
        <v/>
      </c>
      <c r="AVS27" s="12">
        <f>AVM27+AVM26+AVM25+MAX(0,AVS26-AVM26-AVM25)*(1-AVF27)</f>
        <v/>
      </c>
      <c r="AVT27" s="12">
        <f>AVN27+AVN26+AVN25+MAX(0,AVT26-AVN26-AVN25)*(1-AVF27)</f>
        <v/>
      </c>
      <c r="AVU27" s="12">
        <f>AVO27+AVO26+AVO25+MAX(0,AVU26-AVO26-AVO25)*(1-AVF27)</f>
        <v/>
      </c>
      <c r="AVV27" s="12">
        <f>AVV26+AVP27-AVP15*(AnnualChurn*VLOOKUP(AVB27,ChurnSeasonTable,4,FALSE))*POWER(1-(AnnualChurn*VLOOKUP(AVB27,ChurnSeasonTable,4,FALSE)),0)</f>
        <v/>
      </c>
      <c r="AVW27" s="12">
        <f>AVW26+AVQ27-AVQ15*(AnnualChurn*VLOOKUP(AVB27,ChurnSeasonTable,4,FALSE))*POWER(1-(AnnualChurn*VLOOKUP(AVB27,ChurnSeasonTable,4,FALSE)),0)</f>
        <v/>
      </c>
      <c r="AVX27" s="12">
        <f>AVX26+AVR27-AVR15*(AnnualChurn*VLOOKUP(AVB27,ChurnSeasonTable,4,FALSE))*POWER(1-(AnnualChurn*VLOOKUP(AVB27,ChurnSeasonTable,4,FALSE)),0)</f>
        <v/>
      </c>
      <c r="AVY27" s="12">
        <f>AVS27+AVT27+AVU27+AVV27+AVW27+AVX27</f>
        <v/>
      </c>
      <c r="AVZ27" s="9">
        <f>AVS27*BlendedPriceEssMonthly*AVE27+AVT27*(BlendedPricePremMonthly+'Sens - Winter Pivot'!$B$7)*AVE27+AVU27*BlendedPriceEliteMonthly*AVE27+AVV27*BlendedPriceEssAnnual*AVE27/12+AVW27*(BlendedPricePremAnnual+'Sens - Winter Pivot'!$B$7*12)*AVE27/12+AVX27*BlendedPriceEliteAnnual*AVE27/12</f>
        <v/>
      </c>
      <c r="AWA27" s="9">
        <f>AVZ27*12</f>
        <v/>
      </c>
      <c r="AWB27" s="12">
        <f>AVS27*BlendedPriceEssMonthly*AVE27+AVT27*(BlendedPricePremMonthly+'Sens - Winter Pivot'!$B$7)*AVE27+AVU27*BlendedPriceEliteMonthly*AVE27</f>
        <v/>
      </c>
      <c r="AWC27" s="12">
        <f>AVP27*BlendedPriceEssAnnual*AVE27+AVQ27*(BlendedPricePremAnnual+'Sens - Winter Pivot'!$B$7*12)*AVE27+AVR27*BlendedPriceEliteAnnual*AVE27</f>
        <v/>
      </c>
      <c r="AWD27" s="12">
        <f>AVP15*POWER(1-(AnnualChurn*VLOOKUP(AVB27,ChurnSeasonTable,4,FALSE)),1)*BlendedPriceEssAnnual*AVE27+AVQ15*POWER(1-(AnnualChurn*VLOOKUP(AVB27,ChurnSeasonTable,4,FALSE)),1)*BlendedPricePremAnnual*AVE27+AVR15*POWER(1-(AnnualChurn*VLOOKUP(AVB27,ChurnSeasonTable,4,FALSE)),1)*BlendedPriceEliteAnnual*AVE27</f>
        <v/>
      </c>
      <c r="AWE27" s="9">
        <f>AWB27+AWC27+AWD27</f>
        <v/>
      </c>
      <c r="AWF27" s="12">
        <f>SUM(AWE16:AWE27)</f>
        <v/>
      </c>
      <c r="AWG27" s="12">
        <f>OR(AWG26,IF(VATAgentMode,SUM($AWE16:$AWE27)-SUM($AWL16:$AWL27)&gt;=VATThreshold,SUM($AWE16:$AWE27)&gt;=VATThreshold))</f>
        <v/>
      </c>
      <c r="AWH27" s="9">
        <f>IF(AWG27,IF(VATAgentMode,AWE27-((AWE27-AWL27)-(AWE27-AWL27)/(1+VATRate)),AWE27/(1+VATRate)),AWE27)</f>
        <v/>
      </c>
      <c r="AWI27" s="12">
        <f>AWE27-AWH27</f>
        <v/>
      </c>
      <c r="AWJ27" s="12">
        <f>IF(AWG27=0,0,IF(AVB27=1,SUMPRODUCT(--(($AVC$5:$AVC27=$AVC27-1)*($AVB$5:$AVB27&gt;=10)*($AVB$5:$AVB27&lt;=12)),$AWI$5:$AWI27),IF(AVB27=4,SUMPRODUCT(--(($AVC$5:$AVC27=$AVC27)*($AVB$5:$AVB27&gt;=1)*($AVB$5:$AVB27&lt;=3)),$AWI$5:$AWI27),IF(AVB27=7,SUMPRODUCT(--(($AVC$5:$AVC27=$AVC27)*($AVB$5:$AVB27&gt;=4)*($AVB$5:$AVB27&lt;=6)),$AWI$5:$AWI27),IF(AVB27=10,SUMPRODUCT(--(($AVC$5:$AVC27=$AVC27)*($AVB$5:$AVB27&gt;=7)*($AVB$5:$AVB27&lt;=9)),$AWI$5:$AWI27),0)))))</f>
        <v/>
      </c>
      <c r="AWK27" s="12">
        <f>AWK26+AWI27-AWJ27</f>
        <v/>
      </c>
      <c r="AWL27" s="12">
        <f>IF(ProviderDelay&gt;=1,AVS26*BlendedProvPayEss+AVT26*BlendedProvPayPrem+AVU26*BlendedProvPayElite+AVV26*BlendedProvPayEss+AVW26*BlendedProvPayPrem+AVX26*BlendedProvPayElite,AVS27*BlendedProvPayEss+AVT27*BlendedProvPayPrem+AVU27*BlendedProvPayElite+AVV27*BlendedProvPayEss+AVW27*BlendedProvPayPrem+AVX27*BlendedProvPayElite)</f>
        <v/>
      </c>
      <c r="AWM27" s="12">
        <f>AWE27*PaymentFee</f>
        <v/>
      </c>
      <c r="AWN27" s="12">
        <f>AVY27*OpsAI</f>
        <v/>
      </c>
      <c r="AWO27" s="12">
        <f>MonthlyFixed</f>
        <v/>
      </c>
      <c r="AWP27" s="12">
        <f>AVI27*ReferralReward</f>
        <v/>
      </c>
      <c r="AWQ27" s="12">
        <f>AVG27</f>
        <v/>
      </c>
      <c r="AWR27" s="9">
        <f>AWH27-AWL27-AWM27-AWN27-AWO27-AWP27-AWQ27</f>
        <v/>
      </c>
      <c r="AWS27" s="9">
        <f>AWS26+AWE27-(AWL27+AWM27+AWN27+AWO27+AWP27+AWQ27+AWJ27)</f>
        <v/>
      </c>
      <c r="AWT27" s="12">
        <f>IF(AVY27&gt;0,AVZ27/AVY27,0)</f>
        <v/>
      </c>
      <c r="AWU27" s="11">
        <f>IF(AVY26&gt;0,MAX(0,(AVY26+AVJ27-AVY27)/AVY26),0)</f>
        <v/>
      </c>
    </row>
    <row r="28">
      <c r="A28" s="12" t="n">
        <v>24</v>
      </c>
      <c r="B28" s="12">
        <f>MOD(A28-1+LaunchMonth-1,12)+1</f>
        <v/>
      </c>
      <c r="C28" s="12">
        <f>INT((A28-1+LaunchMonth-1)/12)+1</f>
        <v/>
      </c>
      <c r="D28" s="12">
        <f>VLOOKUP(B28,SeasonTable,2,FALSE)</f>
        <v/>
      </c>
      <c r="E28" s="12">
        <f>(1+InflationRate)^INT((A28-1)/12)</f>
        <v/>
      </c>
      <c r="F28" s="11">
        <f>'Sens - Scenarios'!$B$5*VLOOKUP(B28,ChurnSeasonTable,4,FALSE)</f>
        <v/>
      </c>
      <c r="G28" s="12">
        <f>MIN(MAX(MktMin19plus,AE27*MktPct19plus),MAX(0,AS27-CashBuffer))</f>
        <v/>
      </c>
      <c r="H28" s="12">
        <f>IF(G28&gt;0,MAX(1,ROUND(G28/'Sens - Scenarios'!$B$8*D28,0)),0)</f>
        <v/>
      </c>
      <c r="I28" s="12">
        <f>IF(H28&gt;0,ROUND(H28*ReferralMix/(1-ReferralMix),0),0)</f>
        <v/>
      </c>
      <c r="J28" s="12">
        <f>H28+I28</f>
        <v/>
      </c>
      <c r="K28" s="12">
        <f>ROUND(J28*(1-'Sens - Scenarios'!$B$7),0)</f>
        <v/>
      </c>
      <c r="L28" s="12">
        <f>J28-K28</f>
        <v/>
      </c>
      <c r="M28" s="12">
        <f>ROUND(K28*EssentialMix,0)</f>
        <v/>
      </c>
      <c r="N28" s="12">
        <f>ROUND(K28*PremiumMix,0)</f>
        <v/>
      </c>
      <c r="O28" s="12">
        <f>K28-M28-N28</f>
        <v/>
      </c>
      <c r="P28" s="12">
        <f>ROUND(L28*EssentialMix,0)</f>
        <v/>
      </c>
      <c r="Q28" s="12">
        <f>ROUND(L28*PremiumMix,0)</f>
        <v/>
      </c>
      <c r="R28" s="12">
        <f>L28-P28-Q28</f>
        <v/>
      </c>
      <c r="S28" s="12">
        <f>M28+M27+M26+MAX(0,S27-M27-M26)*(1-F28)</f>
        <v/>
      </c>
      <c r="T28" s="12">
        <f>N28+N27+N26+MAX(0,T27-N27-N26)*(1-F28)</f>
        <v/>
      </c>
      <c r="U28" s="12">
        <f>O28+O27+O26+MAX(0,U27-O27-O26)*(1-F28)</f>
        <v/>
      </c>
      <c r="V28" s="12">
        <f>V27+P28-P16*('Sens - Scenarios'!$B$6*VLOOKUP(B28,ChurnSeasonTable,4,FALSE))*POWER(1-('Sens - Scenarios'!$B$6*VLOOKUP(B28,ChurnSeasonTable,4,FALSE)),0)</f>
        <v/>
      </c>
      <c r="W28" s="12">
        <f>W27+Q28-Q16*('Sens - Scenarios'!$B$6*VLOOKUP(B28,ChurnSeasonTable,4,FALSE))*POWER(1-('Sens - Scenarios'!$B$6*VLOOKUP(B28,ChurnSeasonTable,4,FALSE)),0)</f>
        <v/>
      </c>
      <c r="X28" s="12">
        <f>X27+R28-R16*('Sens - Scenarios'!$B$6*VLOOKUP(B28,ChurnSeasonTable,4,FALSE))*POWER(1-('Sens - Scenarios'!$B$6*VLOOKUP(B28,ChurnSeasonTable,4,FALSE)),0)</f>
        <v/>
      </c>
      <c r="Y28" s="12">
        <f>S28+T28+U28+V28+W28+X28</f>
        <v/>
      </c>
      <c r="Z28" s="9">
        <f>S28*BlendedPriceEssMonthly*E28+T28*BlendedPricePremMonthly*E28+U28*BlendedPriceEliteMonthly*E28+V28*BlendedPriceEssAnnual*E28/12+W28*BlendedPricePremAnnual*E28/12+X28*BlendedPriceEliteAnnual*E28/12</f>
        <v/>
      </c>
      <c r="AA28" s="9">
        <f>Z28*12</f>
        <v/>
      </c>
      <c r="AB28" s="12">
        <f>S28*BlendedPriceEssMonthly*E28+T28*BlendedPricePremMonthly*E28+U28*BlendedPriceEliteMonthly*E28</f>
        <v/>
      </c>
      <c r="AC28" s="12">
        <f>P28*BlendedPriceEssAnnual*E28+Q28*BlendedPricePremAnnual*E28+R28*BlendedPriceEliteAnnual*E28</f>
        <v/>
      </c>
      <c r="AD28" s="12">
        <f>P16*POWER(1-('Sens - Scenarios'!$B$6*VLOOKUP(B28,ChurnSeasonTable,4,FALSE)),1)*BlendedPriceEssAnnual*E28+Q16*POWER(1-('Sens - Scenarios'!$B$6*VLOOKUP(B28,ChurnSeasonTable,4,FALSE)),1)*BlendedPricePremAnnual*E28+R16*POWER(1-('Sens - Scenarios'!$B$6*VLOOKUP(B28,ChurnSeasonTable,4,FALSE)),1)*BlendedPriceEliteAnnual*E28</f>
        <v/>
      </c>
      <c r="AE28" s="9">
        <f>AB28+AC28+AD28</f>
        <v/>
      </c>
      <c r="AF28" s="12">
        <f>SUM(AE17:AE28)</f>
        <v/>
      </c>
      <c r="AG28" s="12">
        <f>OR(AG27,IF(VATAgentMode,SUM($AE17:$AE28)-SUM($AL17:$AL28)&gt;=VATThreshold,SUM($AE17:$AE28)&gt;=VATThreshold))</f>
        <v/>
      </c>
      <c r="AH28" s="9">
        <f>IF(AG28,IF(VATAgentMode,AE28-((AE28-AL28)-(AE28-AL28)/(1+VATRate)),AE28/(1+VATRate)),AE28)</f>
        <v/>
      </c>
      <c r="AI28" s="12">
        <f>AE28-AH28</f>
        <v/>
      </c>
      <c r="AJ28" s="12">
        <f>IF(AG28=0,0,IF(B28=1,SUMPRODUCT(--(($C$5:$C28=$C28-1)*($B$5:$B28&gt;=10)*($B$5:$B28&lt;=12)),$AI$5:$AI28),IF(B28=4,SUMPRODUCT(--(($C$5:$C28=$C28)*($B$5:$B28&gt;=1)*($B$5:$B28&lt;=3)),$AI$5:$AI28),IF(B28=7,SUMPRODUCT(--(($C$5:$C28=$C28)*($B$5:$B28&gt;=4)*($B$5:$B28&lt;=6)),$AI$5:$AI28),IF(B28=10,SUMPRODUCT(--(($C$5:$C28=$C28)*($B$5:$B28&gt;=7)*($B$5:$B28&lt;=9)),$AI$5:$AI28),0)))))</f>
        <v/>
      </c>
      <c r="AK28" s="12">
        <f>AK27+AI28-AJ28</f>
        <v/>
      </c>
      <c r="AL28" s="12">
        <f>IF(ProviderDelay&gt;=1,S27*BlendedProvPayEss+T27*BlendedProvPayPrem+U27*BlendedProvPayElite+V27*BlendedProvPayEss+W27*BlendedProvPayPrem+X27*BlendedProvPayElite,S28*BlendedProvPayEss+T28*BlendedProvPayPrem+U28*BlendedProvPayElite+V28*BlendedProvPayEss+W28*BlendedProvPayPrem+X28*BlendedProvPayElite)</f>
        <v/>
      </c>
      <c r="AM28" s="12">
        <f>AE28*PaymentFee</f>
        <v/>
      </c>
      <c r="AN28" s="12">
        <f>Y28*OpsAI</f>
        <v/>
      </c>
      <c r="AO28" s="12">
        <f>MonthlyFixed</f>
        <v/>
      </c>
      <c r="AP28" s="12">
        <f>I28*ReferralReward</f>
        <v/>
      </c>
      <c r="AQ28" s="12">
        <f>G28</f>
        <v/>
      </c>
      <c r="AR28" s="9">
        <f>AH28-AL28-AM28-AN28-AO28-AP28-AQ28</f>
        <v/>
      </c>
      <c r="AS28" s="9">
        <f>AS27+AE28-(AL28+AM28+AN28+AO28+AP28+AQ28+AJ28)</f>
        <v/>
      </c>
      <c r="AT28" s="12">
        <f>IF(Y28&gt;0,Z28/Y28,0)</f>
        <v/>
      </c>
      <c r="AU28" s="11">
        <f>IF(Y27&gt;0,MAX(0,(Y27+J28-Y28)/Y27),0)</f>
        <v/>
      </c>
      <c r="AW28" s="12" t="n">
        <v>24</v>
      </c>
      <c r="AX28" s="12">
        <f>MOD(AW28-1+LaunchMonth-1,12)+1</f>
        <v/>
      </c>
      <c r="AY28" s="12">
        <f>INT((AW28-1+LaunchMonth-1)/12)+1</f>
        <v/>
      </c>
      <c r="AZ28" s="12">
        <f>VLOOKUP(AX28,SeasonTable,2,FALSE)</f>
        <v/>
      </c>
      <c r="BA28" s="12">
        <f>(1+InflationRate)^INT((AW28-1)/12)</f>
        <v/>
      </c>
      <c r="BB28" s="11">
        <f>MonthlyChurn*VLOOKUP(AX28,ChurnSeasonTable,4,FALSE)</f>
        <v/>
      </c>
      <c r="BC28" s="12">
        <f>MIN(MAX(MktMin19plus,CA27*MktPct19plus),MAX(0,CO27-CashBuffer))</f>
        <v/>
      </c>
      <c r="BD28" s="12">
        <f>IF(BC28&gt;0,MAX(1,ROUND(BC28/CAC*AZ28,0)),0)</f>
        <v/>
      </c>
      <c r="BE28" s="12">
        <f>IF(BD28&gt;0,ROUND(BD28*ReferralMix/(1-ReferralMix),0),0)</f>
        <v/>
      </c>
      <c r="BF28" s="12">
        <f>BD28+BE28</f>
        <v/>
      </c>
      <c r="BG28" s="12">
        <f>ROUND(BF28*(1-AnnualMix),0)</f>
        <v/>
      </c>
      <c r="BH28" s="12">
        <f>BF28-BG28</f>
        <v/>
      </c>
      <c r="BI28" s="12">
        <f>ROUND(BG28*EssentialMix,0)</f>
        <v/>
      </c>
      <c r="BJ28" s="12">
        <f>ROUND(BG28*PremiumMix,0)</f>
        <v/>
      </c>
      <c r="BK28" s="12">
        <f>BG28-BI28-BJ28</f>
        <v/>
      </c>
      <c r="BL28" s="12">
        <f>ROUND(BH28*EssentialMix,0)</f>
        <v/>
      </c>
      <c r="BM28" s="12">
        <f>ROUND(BH28*PremiumMix,0)</f>
        <v/>
      </c>
      <c r="BN28" s="12">
        <f>BH28-BL28-BM28</f>
        <v/>
      </c>
      <c r="BO28" s="12">
        <f>BI28+BI27+BI26+MAX(0,BO27-BI27-BI26)*(1-BB28)</f>
        <v/>
      </c>
      <c r="BP28" s="12">
        <f>BJ28+BJ27+BJ26+MAX(0,BP27-BJ27-BJ26)*(1-BB28)</f>
        <v/>
      </c>
      <c r="BQ28" s="12">
        <f>BK28+BK27+BK26+MAX(0,BQ27-BK27-BK26)*(1-BB28)</f>
        <v/>
      </c>
      <c r="BR28" s="12">
        <f>BR27+BL28-BL16*(AnnualChurn*VLOOKUP(AX28,ChurnSeasonTable,4,FALSE))*POWER(1-(AnnualChurn*VLOOKUP(AX28,ChurnSeasonTable,4,FALSE)),0)</f>
        <v/>
      </c>
      <c r="BS28" s="12">
        <f>BS27+BM28-BM16*(AnnualChurn*VLOOKUP(AX28,ChurnSeasonTable,4,FALSE))*POWER(1-(AnnualChurn*VLOOKUP(AX28,ChurnSeasonTable,4,FALSE)),0)</f>
        <v/>
      </c>
      <c r="BT28" s="12">
        <f>BT27+BN28-BN16*(AnnualChurn*VLOOKUP(AX28,ChurnSeasonTable,4,FALSE))*POWER(1-(AnnualChurn*VLOOKUP(AX28,ChurnSeasonTable,4,FALSE)),0)</f>
        <v/>
      </c>
      <c r="BU28" s="12">
        <f>BO28+BP28+BQ28+BR28+BS28+BT28</f>
        <v/>
      </c>
      <c r="BV28" s="9">
        <f>BO28*BlendedPriceEssMonthly*BA28+BP28*BlendedPricePremMonthly*BA28+BQ28*BlendedPriceEliteMonthly*BA28+BR28*BlendedPriceEssAnnual*BA28/12+BS28*BlendedPricePremAnnual*BA28/12+BT28*BlendedPriceEliteAnnual*BA28/12</f>
        <v/>
      </c>
      <c r="BW28" s="9">
        <f>BV28*12</f>
        <v/>
      </c>
      <c r="BX28" s="12">
        <f>BO28*BlendedPriceEssMonthly*BA28+BP28*BlendedPricePremMonthly*BA28+BQ28*BlendedPriceEliteMonthly*BA28</f>
        <v/>
      </c>
      <c r="BY28" s="12">
        <f>BL28*BlendedPriceEssAnnual*BA28+BM28*BlendedPricePremAnnual*BA28+BN28*BlendedPriceEliteAnnual*BA28</f>
        <v/>
      </c>
      <c r="BZ28" s="12">
        <f>BL16*POWER(1-(AnnualChurn*VLOOKUP(AX28,ChurnSeasonTable,4,FALSE)),1)*BlendedPriceEssAnnual*BA28+BM16*POWER(1-(AnnualChurn*VLOOKUP(AX28,ChurnSeasonTable,4,FALSE)),1)*BlendedPricePremAnnual*BA28+BN16*POWER(1-(AnnualChurn*VLOOKUP(AX28,ChurnSeasonTable,4,FALSE)),1)*BlendedPriceEliteAnnual*BA28</f>
        <v/>
      </c>
      <c r="CA28" s="9">
        <f>BX28+BY28+BZ28</f>
        <v/>
      </c>
      <c r="CB28" s="12">
        <f>SUM(CA17:CA28)</f>
        <v/>
      </c>
      <c r="CC28" s="12">
        <f>OR(CC27,IF(VATAgentMode,SUM($CA17:$CA28)-SUM($CH17:$CH28)&gt;=VATThreshold,SUM($CA17:$CA28)&gt;=VATThreshold))</f>
        <v/>
      </c>
      <c r="CD28" s="9">
        <f>IF(CC28,IF(VATAgentMode,CA28-((CA28-CH28)-(CA28-CH28)/(1+VATRate)),CA28/(1+VATRate)),CA28)</f>
        <v/>
      </c>
      <c r="CE28" s="12">
        <f>CA28-CD28</f>
        <v/>
      </c>
      <c r="CF28" s="12">
        <f>IF(CC28=0,0,IF(AX28=1,SUMPRODUCT(--(($AY$5:$AY28=$AY28-1)*($AX$5:$AX28&gt;=10)*($AX$5:$AX28&lt;=12)),$CE$5:$CE28),IF(AX28=4,SUMPRODUCT(--(($AY$5:$AY28=$AY28)*($AX$5:$AX28&gt;=1)*($AX$5:$AX28&lt;=3)),$CE$5:$CE28),IF(AX28=7,SUMPRODUCT(--(($AY$5:$AY28=$AY28)*($AX$5:$AX28&gt;=4)*($AX$5:$AX28&lt;=6)),$CE$5:$CE28),IF(AX28=10,SUMPRODUCT(--(($AY$5:$AY28=$AY28)*($AX$5:$AX28&gt;=7)*($AX$5:$AX28&lt;=9)),$CE$5:$CE28),0)))))</f>
        <v/>
      </c>
      <c r="CG28" s="12">
        <f>CG27+CE28-CF28</f>
        <v/>
      </c>
      <c r="CH28" s="12">
        <f>IF(ProviderDelay&gt;=1,BO27*BlendedProvPayEss+BP27*BlendedProvPayPrem+BQ27*BlendedProvPayElite+BR27*BlendedProvPayEss+BS27*BlendedProvPayPrem+BT27*BlendedProvPayElite,BO28*BlendedProvPayEss+BP28*BlendedProvPayPrem+BQ28*BlendedProvPayElite+BR28*BlendedProvPayEss+BS28*BlendedProvPayPrem+BT28*BlendedProvPayElite)</f>
        <v/>
      </c>
      <c r="CI28" s="12">
        <f>CA28*PaymentFee</f>
        <v/>
      </c>
      <c r="CJ28" s="12">
        <f>BU28*OpsAI</f>
        <v/>
      </c>
      <c r="CK28" s="12">
        <f>MonthlyFixed</f>
        <v/>
      </c>
      <c r="CL28" s="12">
        <f>BE28*ReferralReward</f>
        <v/>
      </c>
      <c r="CM28" s="12">
        <f>BC28</f>
        <v/>
      </c>
      <c r="CN28" s="9">
        <f>CD28-CH28-CI28-CJ28-CK28-CL28-CM28</f>
        <v/>
      </c>
      <c r="CO28" s="9">
        <f>CO27+CA28-(CH28+CI28+CJ28+CK28+CL28+CM28+CF28)</f>
        <v/>
      </c>
      <c r="CP28" s="12">
        <f>IF(BU28&gt;0,BV28/BU28,0)</f>
        <v/>
      </c>
      <c r="CQ28" s="11">
        <f>IF(BU27&gt;0,MAX(0,(BU27+BF28-BU28)/BU27),0)</f>
        <v/>
      </c>
      <c r="CS28" s="12" t="n">
        <v>24</v>
      </c>
      <c r="CT28" s="12">
        <f>MOD(CS28-1+LaunchMonth-1,12)+1</f>
        <v/>
      </c>
      <c r="CU28" s="12">
        <f>INT((CS28-1+LaunchMonth-1)/12)+1</f>
        <v/>
      </c>
      <c r="CV28" s="12">
        <f>VLOOKUP(CT28,SeasonTable,2,FALSE)</f>
        <v/>
      </c>
      <c r="CW28" s="12">
        <f>(1+InflationRate)^INT((CS28-1)/12)</f>
        <v/>
      </c>
      <c r="CX28" s="11">
        <f>'Sens - Scenarios'!$D$5*VLOOKUP(CT28,ChurnSeasonTable,4,FALSE)</f>
        <v/>
      </c>
      <c r="CY28" s="12">
        <f>MIN(MAX(MktMin19plus,DW27*MktPct19plus),MAX(0,EK27-CashBuffer))</f>
        <v/>
      </c>
      <c r="CZ28" s="12">
        <f>IF(CY28&gt;0,MAX(1,ROUND(CY28/'Sens - Scenarios'!$D$8*CV28,0)),0)</f>
        <v/>
      </c>
      <c r="DA28" s="12">
        <f>IF(CZ28&gt;0,ROUND(CZ28*ReferralMix/(1-ReferralMix),0),0)</f>
        <v/>
      </c>
      <c r="DB28" s="12">
        <f>CZ28+DA28</f>
        <v/>
      </c>
      <c r="DC28" s="12">
        <f>ROUND(DB28*(1-'Sens - Scenarios'!$D$7),0)</f>
        <v/>
      </c>
      <c r="DD28" s="12">
        <f>DB28-DC28</f>
        <v/>
      </c>
      <c r="DE28" s="12">
        <f>ROUND(DC28*EssentialMix,0)</f>
        <v/>
      </c>
      <c r="DF28" s="12">
        <f>ROUND(DC28*PremiumMix,0)</f>
        <v/>
      </c>
      <c r="DG28" s="12">
        <f>DC28-DE28-DF28</f>
        <v/>
      </c>
      <c r="DH28" s="12">
        <f>ROUND(DD28*EssentialMix,0)</f>
        <v/>
      </c>
      <c r="DI28" s="12">
        <f>ROUND(DD28*PremiumMix,0)</f>
        <v/>
      </c>
      <c r="DJ28" s="12">
        <f>DD28-DH28-DI28</f>
        <v/>
      </c>
      <c r="DK28" s="12">
        <f>DE28+DE27+DE26+MAX(0,DK27-DE27-DE26)*(1-CX28)</f>
        <v/>
      </c>
      <c r="DL28" s="12">
        <f>DF28+DF27+DF26+MAX(0,DL27-DF27-DF26)*(1-CX28)</f>
        <v/>
      </c>
      <c r="DM28" s="12">
        <f>DG28+DG27+DG26+MAX(0,DM27-DG27-DG26)*(1-CX28)</f>
        <v/>
      </c>
      <c r="DN28" s="12">
        <f>DN27+DH28-DH16*('Sens - Scenarios'!$D$6*VLOOKUP(CT28,ChurnSeasonTable,4,FALSE))*POWER(1-('Sens - Scenarios'!$D$6*VLOOKUP(CT28,ChurnSeasonTable,4,FALSE)),0)</f>
        <v/>
      </c>
      <c r="DO28" s="12">
        <f>DO27+DI28-DI16*('Sens - Scenarios'!$D$6*VLOOKUP(CT28,ChurnSeasonTable,4,FALSE))*POWER(1-('Sens - Scenarios'!$D$6*VLOOKUP(CT28,ChurnSeasonTable,4,FALSE)),0)</f>
        <v/>
      </c>
      <c r="DP28" s="12">
        <f>DP27+DJ28-DJ16*('Sens - Scenarios'!$D$6*VLOOKUP(CT28,ChurnSeasonTable,4,FALSE))*POWER(1-('Sens - Scenarios'!$D$6*VLOOKUP(CT28,ChurnSeasonTable,4,FALSE)),0)</f>
        <v/>
      </c>
      <c r="DQ28" s="12">
        <f>DK28+DL28+DM28+DN28+DO28+DP28</f>
        <v/>
      </c>
      <c r="DR28" s="9">
        <f>DK28*BlendedPriceEssMonthly*CW28+DL28*BlendedPricePremMonthly*CW28+DM28*BlendedPriceEliteMonthly*CW28+DN28*BlendedPriceEssAnnual*CW28/12+DO28*BlendedPricePremAnnual*CW28/12+DP28*BlendedPriceEliteAnnual*CW28/12</f>
        <v/>
      </c>
      <c r="DS28" s="9">
        <f>DR28*12</f>
        <v/>
      </c>
      <c r="DT28" s="12">
        <f>DK28*BlendedPriceEssMonthly*CW28+DL28*BlendedPricePremMonthly*CW28+DM28*BlendedPriceEliteMonthly*CW28</f>
        <v/>
      </c>
      <c r="DU28" s="12">
        <f>DH28*BlendedPriceEssAnnual*CW28+DI28*BlendedPricePremAnnual*CW28+DJ28*BlendedPriceEliteAnnual*CW28</f>
        <v/>
      </c>
      <c r="DV28" s="12">
        <f>DH16*POWER(1-('Sens - Scenarios'!$D$6*VLOOKUP(CT28,ChurnSeasonTable,4,FALSE)),1)*BlendedPriceEssAnnual*CW28+DI16*POWER(1-('Sens - Scenarios'!$D$6*VLOOKUP(CT28,ChurnSeasonTable,4,FALSE)),1)*BlendedPricePremAnnual*CW28+DJ16*POWER(1-('Sens - Scenarios'!$D$6*VLOOKUP(CT28,ChurnSeasonTable,4,FALSE)),1)*BlendedPriceEliteAnnual*CW28</f>
        <v/>
      </c>
      <c r="DW28" s="9">
        <f>DT28+DU28+DV28</f>
        <v/>
      </c>
      <c r="DX28" s="12">
        <f>SUM(DW17:DW28)</f>
        <v/>
      </c>
      <c r="DY28" s="12">
        <f>OR(DY27,IF(VATAgentMode,SUM($DW17:$DW28)-SUM($ED17:$ED28)&gt;=VATThreshold,SUM($DW17:$DW28)&gt;=VATThreshold))</f>
        <v/>
      </c>
      <c r="DZ28" s="9">
        <f>IF(DY28,IF(VATAgentMode,DW28-((DW28-ED28)-(DW28-ED28)/(1+VATRate)),DW28/(1+VATRate)),DW28)</f>
        <v/>
      </c>
      <c r="EA28" s="12">
        <f>DW28-DZ28</f>
        <v/>
      </c>
      <c r="EB28" s="12">
        <f>IF(DY28=0,0,IF(CT28=1,SUMPRODUCT(--(($CU$5:$CU28=$CU28-1)*($CT$5:$CT28&gt;=10)*($CT$5:$CT28&lt;=12)),$EA$5:$EA28),IF(CT28=4,SUMPRODUCT(--(($CU$5:$CU28=$CU28)*($CT$5:$CT28&gt;=1)*($CT$5:$CT28&lt;=3)),$EA$5:$EA28),IF(CT28=7,SUMPRODUCT(--(($CU$5:$CU28=$CU28)*($CT$5:$CT28&gt;=4)*($CT$5:$CT28&lt;=6)),$EA$5:$EA28),IF(CT28=10,SUMPRODUCT(--(($CU$5:$CU28=$CU28)*($CT$5:$CT28&gt;=7)*($CT$5:$CT28&lt;=9)),$EA$5:$EA28),0)))))</f>
        <v/>
      </c>
      <c r="EC28" s="12">
        <f>EC27+EA28-EB28</f>
        <v/>
      </c>
      <c r="ED28" s="12">
        <f>IF(ProviderDelay&gt;=1,DK27*BlendedProvPayEss+DL27*BlendedProvPayPrem+DM27*BlendedProvPayElite+DN27*BlendedProvPayEss+DO27*BlendedProvPayPrem+DP27*BlendedProvPayElite,DK28*BlendedProvPayEss+DL28*BlendedProvPayPrem+DM28*BlendedProvPayElite+DN28*BlendedProvPayEss+DO28*BlendedProvPayPrem+DP28*BlendedProvPayElite)</f>
        <v/>
      </c>
      <c r="EE28" s="12">
        <f>DW28*PaymentFee</f>
        <v/>
      </c>
      <c r="EF28" s="12">
        <f>DQ28*OpsAI</f>
        <v/>
      </c>
      <c r="EG28" s="12">
        <f>MonthlyFixed</f>
        <v/>
      </c>
      <c r="EH28" s="12">
        <f>DA28*ReferralReward</f>
        <v/>
      </c>
      <c r="EI28" s="12">
        <f>CY28</f>
        <v/>
      </c>
      <c r="EJ28" s="9">
        <f>DZ28-ED28-EE28-EF28-EG28-EH28-EI28</f>
        <v/>
      </c>
      <c r="EK28" s="9">
        <f>EK27+DW28-(ED28+EE28+EF28+EG28+EH28+EI28+EB28)</f>
        <v/>
      </c>
      <c r="EL28" s="12">
        <f>IF(DQ28&gt;0,DR28/DQ28,0)</f>
        <v/>
      </c>
      <c r="EM28" s="11">
        <f>IF(DQ27&gt;0,MAX(0,(DQ27+DB28-DQ28)/DQ27),0)</f>
        <v/>
      </c>
      <c r="EO28" s="12" t="n">
        <v>24</v>
      </c>
      <c r="EP28" s="12">
        <f>MOD(EO28-1+LaunchMonth-1,12)+1</f>
        <v/>
      </c>
      <c r="EQ28" s="12">
        <f>INT((EO28-1+LaunchMonth-1)/12)+1</f>
        <v/>
      </c>
      <c r="ER28" s="12">
        <f>VLOOKUP(EP28,SeasonTable,2,FALSE)</f>
        <v/>
      </c>
      <c r="ES28" s="12">
        <f>(1+InflationRate)^INT((EO28-1)/12)</f>
        <v/>
      </c>
      <c r="ET28" s="11">
        <f>'Sens - Churn'!$A$13*VLOOKUP(EP28,ChurnSeasonTable,4,FALSE)</f>
        <v/>
      </c>
      <c r="EU28" s="12">
        <f>MIN(MAX(MktMin19plus,FS27*MktPct19plus),MAX(0,GG27-CashBuffer))</f>
        <v/>
      </c>
      <c r="EV28" s="12">
        <f>IF(EU28&gt;0,MAX(1,ROUND(EU28/CAC*ER28,0)),0)</f>
        <v/>
      </c>
      <c r="EW28" s="12">
        <f>IF(EV28&gt;0,ROUND(EV28*ReferralMix/(1-ReferralMix),0),0)</f>
        <v/>
      </c>
      <c r="EX28" s="12">
        <f>EV28+EW28</f>
        <v/>
      </c>
      <c r="EY28" s="12">
        <f>ROUND(EX28*(1-AnnualMix),0)</f>
        <v/>
      </c>
      <c r="EZ28" s="12">
        <f>EX28-EY28</f>
        <v/>
      </c>
      <c r="FA28" s="12">
        <f>ROUND(EY28*EssentialMix,0)</f>
        <v/>
      </c>
      <c r="FB28" s="12">
        <f>ROUND(EY28*PremiumMix,0)</f>
        <v/>
      </c>
      <c r="FC28" s="12">
        <f>EY28-FA28-FB28</f>
        <v/>
      </c>
      <c r="FD28" s="12">
        <f>ROUND(EZ28*EssentialMix,0)</f>
        <v/>
      </c>
      <c r="FE28" s="12">
        <f>ROUND(EZ28*PremiumMix,0)</f>
        <v/>
      </c>
      <c r="FF28" s="12">
        <f>EZ28-FD28-FE28</f>
        <v/>
      </c>
      <c r="FG28" s="12">
        <f>FA28+FA27+FA26+MAX(0,FG27-FA27-FA26)*(1-ET28)</f>
        <v/>
      </c>
      <c r="FH28" s="12">
        <f>FB28+FB27+FB26+MAX(0,FH27-FB27-FB26)*(1-ET28)</f>
        <v/>
      </c>
      <c r="FI28" s="12">
        <f>FC28+FC27+FC26+MAX(0,FI27-FC27-FC26)*(1-ET28)</f>
        <v/>
      </c>
      <c r="FJ28" s="12">
        <f>FJ27+FD28-FD16*(AnnualChurn*VLOOKUP(EP28,ChurnSeasonTable,4,FALSE))*POWER(1-(AnnualChurn*VLOOKUP(EP28,ChurnSeasonTable,4,FALSE)),0)</f>
        <v/>
      </c>
      <c r="FK28" s="12">
        <f>FK27+FE28-FE16*(AnnualChurn*VLOOKUP(EP28,ChurnSeasonTable,4,FALSE))*POWER(1-(AnnualChurn*VLOOKUP(EP28,ChurnSeasonTable,4,FALSE)),0)</f>
        <v/>
      </c>
      <c r="FL28" s="12">
        <f>FL27+FF28-FF16*(AnnualChurn*VLOOKUP(EP28,ChurnSeasonTable,4,FALSE))*POWER(1-(AnnualChurn*VLOOKUP(EP28,ChurnSeasonTable,4,FALSE)),0)</f>
        <v/>
      </c>
      <c r="FM28" s="12">
        <f>FG28+FH28+FI28+FJ28+FK28+FL28</f>
        <v/>
      </c>
      <c r="FN28" s="9">
        <f>FG28*BlendedPriceEssMonthly*ES28+FH28*BlendedPricePremMonthly*ES28+FI28*BlendedPriceEliteMonthly*ES28+FJ28*BlendedPriceEssAnnual*ES28/12+FK28*BlendedPricePremAnnual*ES28/12+FL28*BlendedPriceEliteAnnual*ES28/12</f>
        <v/>
      </c>
      <c r="FO28" s="9">
        <f>FN28*12</f>
        <v/>
      </c>
      <c r="FP28" s="12">
        <f>FG28*BlendedPriceEssMonthly*ES28+FH28*BlendedPricePremMonthly*ES28+FI28*BlendedPriceEliteMonthly*ES28</f>
        <v/>
      </c>
      <c r="FQ28" s="12">
        <f>FD28*BlendedPriceEssAnnual*ES28+FE28*BlendedPricePremAnnual*ES28+FF28*BlendedPriceEliteAnnual*ES28</f>
        <v/>
      </c>
      <c r="FR28" s="12">
        <f>FD16*POWER(1-(AnnualChurn*VLOOKUP(EP28,ChurnSeasonTable,4,FALSE)),1)*BlendedPriceEssAnnual*ES28+FE16*POWER(1-(AnnualChurn*VLOOKUP(EP28,ChurnSeasonTable,4,FALSE)),1)*BlendedPricePremAnnual*ES28+FF16*POWER(1-(AnnualChurn*VLOOKUP(EP28,ChurnSeasonTable,4,FALSE)),1)*BlendedPriceEliteAnnual*ES28</f>
        <v/>
      </c>
      <c r="FS28" s="9">
        <f>FP28+FQ28+FR28</f>
        <v/>
      </c>
      <c r="FT28" s="12">
        <f>SUM(FS17:FS28)</f>
        <v/>
      </c>
      <c r="FU28" s="12">
        <f>OR(FU27,IF(VATAgentMode,SUM($FS17:$FS28)-SUM($FZ17:$FZ28)&gt;=VATThreshold,SUM($FS17:$FS28)&gt;=VATThreshold))</f>
        <v/>
      </c>
      <c r="FV28" s="9">
        <f>IF(FU28,IF(VATAgentMode,FS28-((FS28-FZ28)-(FS28-FZ28)/(1+VATRate)),FS28/(1+VATRate)),FS28)</f>
        <v/>
      </c>
      <c r="FW28" s="12">
        <f>FS28-FV28</f>
        <v/>
      </c>
      <c r="FX28" s="12">
        <f>IF(FU28=0,0,IF(EP28=1,SUMPRODUCT(--(($EQ$5:$EQ28=$EQ28-1)*($EP$5:$EP28&gt;=10)*($EP$5:$EP28&lt;=12)),$FW$5:$FW28),IF(EP28=4,SUMPRODUCT(--(($EQ$5:$EQ28=$EQ28)*($EP$5:$EP28&gt;=1)*($EP$5:$EP28&lt;=3)),$FW$5:$FW28),IF(EP28=7,SUMPRODUCT(--(($EQ$5:$EQ28=$EQ28)*($EP$5:$EP28&gt;=4)*($EP$5:$EP28&lt;=6)),$FW$5:$FW28),IF(EP28=10,SUMPRODUCT(--(($EQ$5:$EQ28=$EQ28)*($EP$5:$EP28&gt;=7)*($EP$5:$EP28&lt;=9)),$FW$5:$FW28),0)))))</f>
        <v/>
      </c>
      <c r="FY28" s="12">
        <f>FY27+FW28-FX28</f>
        <v/>
      </c>
      <c r="FZ28" s="12">
        <f>IF(ProviderDelay&gt;=1,FG27*BlendedProvPayEss+FH27*BlendedProvPayPrem+FI27*BlendedProvPayElite+FJ27*BlendedProvPayEss+FK27*BlendedProvPayPrem+FL27*BlendedProvPayElite,FG28*BlendedProvPayEss+FH28*BlendedProvPayPrem+FI28*BlendedProvPayElite+FJ28*BlendedProvPayEss+FK28*BlendedProvPayPrem+FL28*BlendedProvPayElite)</f>
        <v/>
      </c>
      <c r="GA28" s="12">
        <f>FS28*PaymentFee</f>
        <v/>
      </c>
      <c r="GB28" s="12">
        <f>FM28*OpsAI</f>
        <v/>
      </c>
      <c r="GC28" s="12">
        <f>MonthlyFixed</f>
        <v/>
      </c>
      <c r="GD28" s="12">
        <f>EW28*ReferralReward</f>
        <v/>
      </c>
      <c r="GE28" s="12">
        <f>EU28</f>
        <v/>
      </c>
      <c r="GF28" s="9">
        <f>FV28-FZ28-GA28-GB28-GC28-GD28-GE28</f>
        <v/>
      </c>
      <c r="GG28" s="9">
        <f>GG27+FS28-(FZ28+GA28+GB28+GC28+GD28+GE28+FX28)</f>
        <v/>
      </c>
      <c r="GH28" s="12">
        <f>IF(FM28&gt;0,FN28/FM28,0)</f>
        <v/>
      </c>
      <c r="GI28" s="11">
        <f>IF(FM27&gt;0,MAX(0,(FM27+EX28-FM28)/FM27),0)</f>
        <v/>
      </c>
      <c r="GK28" s="12" t="n">
        <v>24</v>
      </c>
      <c r="GL28" s="12">
        <f>MOD(GK28-1+LaunchMonth-1,12)+1</f>
        <v/>
      </c>
      <c r="GM28" s="12">
        <f>INT((GK28-1+LaunchMonth-1)/12)+1</f>
        <v/>
      </c>
      <c r="GN28" s="12">
        <f>VLOOKUP(GL28,SeasonTable,2,FALSE)</f>
        <v/>
      </c>
      <c r="GO28" s="12">
        <f>(1+InflationRate)^INT((GK28-1)/12)</f>
        <v/>
      </c>
      <c r="GP28" s="11">
        <f>'Sens - Churn'!$A$14*VLOOKUP(GL28,ChurnSeasonTable,4,FALSE)</f>
        <v/>
      </c>
      <c r="GQ28" s="12">
        <f>MIN(MAX(MktMin19plus,HO27*MktPct19plus),MAX(0,IC27-CashBuffer))</f>
        <v/>
      </c>
      <c r="GR28" s="12">
        <f>IF(GQ28&gt;0,MAX(1,ROUND(GQ28/CAC*GN28,0)),0)</f>
        <v/>
      </c>
      <c r="GS28" s="12">
        <f>IF(GR28&gt;0,ROUND(GR28*ReferralMix/(1-ReferralMix),0),0)</f>
        <v/>
      </c>
      <c r="GT28" s="12">
        <f>GR28+GS28</f>
        <v/>
      </c>
      <c r="GU28" s="12">
        <f>ROUND(GT28*(1-AnnualMix),0)</f>
        <v/>
      </c>
      <c r="GV28" s="12">
        <f>GT28-GU28</f>
        <v/>
      </c>
      <c r="GW28" s="12">
        <f>ROUND(GU28*EssentialMix,0)</f>
        <v/>
      </c>
      <c r="GX28" s="12">
        <f>ROUND(GU28*PremiumMix,0)</f>
        <v/>
      </c>
      <c r="GY28" s="12">
        <f>GU28-GW28-GX28</f>
        <v/>
      </c>
      <c r="GZ28" s="12">
        <f>ROUND(GV28*EssentialMix,0)</f>
        <v/>
      </c>
      <c r="HA28" s="12">
        <f>ROUND(GV28*PremiumMix,0)</f>
        <v/>
      </c>
      <c r="HB28" s="12">
        <f>GV28-GZ28-HA28</f>
        <v/>
      </c>
      <c r="HC28" s="12">
        <f>GW28+GW27+GW26+MAX(0,HC27-GW27-GW26)*(1-GP28)</f>
        <v/>
      </c>
      <c r="HD28" s="12">
        <f>GX28+GX27+GX26+MAX(0,HD27-GX27-GX26)*(1-GP28)</f>
        <v/>
      </c>
      <c r="HE28" s="12">
        <f>GY28+GY27+GY26+MAX(0,HE27-GY27-GY26)*(1-GP28)</f>
        <v/>
      </c>
      <c r="HF28" s="12">
        <f>HF27+GZ28-GZ16*(AnnualChurn*VLOOKUP(GL28,ChurnSeasonTable,4,FALSE))*POWER(1-(AnnualChurn*VLOOKUP(GL28,ChurnSeasonTable,4,FALSE)),0)</f>
        <v/>
      </c>
      <c r="HG28" s="12">
        <f>HG27+HA28-HA16*(AnnualChurn*VLOOKUP(GL28,ChurnSeasonTable,4,FALSE))*POWER(1-(AnnualChurn*VLOOKUP(GL28,ChurnSeasonTable,4,FALSE)),0)</f>
        <v/>
      </c>
      <c r="HH28" s="12">
        <f>HH27+HB28-HB16*(AnnualChurn*VLOOKUP(GL28,ChurnSeasonTable,4,FALSE))*POWER(1-(AnnualChurn*VLOOKUP(GL28,ChurnSeasonTable,4,FALSE)),0)</f>
        <v/>
      </c>
      <c r="HI28" s="12">
        <f>HC28+HD28+HE28+HF28+HG28+HH28</f>
        <v/>
      </c>
      <c r="HJ28" s="9">
        <f>HC28*BlendedPriceEssMonthly*GO28+HD28*BlendedPricePremMonthly*GO28+HE28*BlendedPriceEliteMonthly*GO28+HF28*BlendedPriceEssAnnual*GO28/12+HG28*BlendedPricePremAnnual*GO28/12+HH28*BlendedPriceEliteAnnual*GO28/12</f>
        <v/>
      </c>
      <c r="HK28" s="9">
        <f>HJ28*12</f>
        <v/>
      </c>
      <c r="HL28" s="12">
        <f>HC28*BlendedPriceEssMonthly*GO28+HD28*BlendedPricePremMonthly*GO28+HE28*BlendedPriceEliteMonthly*GO28</f>
        <v/>
      </c>
      <c r="HM28" s="12">
        <f>GZ28*BlendedPriceEssAnnual*GO28+HA28*BlendedPricePremAnnual*GO28+HB28*BlendedPriceEliteAnnual*GO28</f>
        <v/>
      </c>
      <c r="HN28" s="12">
        <f>GZ16*POWER(1-(AnnualChurn*VLOOKUP(GL28,ChurnSeasonTable,4,FALSE)),1)*BlendedPriceEssAnnual*GO28+HA16*POWER(1-(AnnualChurn*VLOOKUP(GL28,ChurnSeasonTable,4,FALSE)),1)*BlendedPricePremAnnual*GO28+HB16*POWER(1-(AnnualChurn*VLOOKUP(GL28,ChurnSeasonTable,4,FALSE)),1)*BlendedPriceEliteAnnual*GO28</f>
        <v/>
      </c>
      <c r="HO28" s="9">
        <f>HL28+HM28+HN28</f>
        <v/>
      </c>
      <c r="HP28" s="12">
        <f>SUM(HO17:HO28)</f>
        <v/>
      </c>
      <c r="HQ28" s="12">
        <f>OR(HQ27,IF(VATAgentMode,SUM($HO17:$HO28)-SUM($HV17:$HV28)&gt;=VATThreshold,SUM($HO17:$HO28)&gt;=VATThreshold))</f>
        <v/>
      </c>
      <c r="HR28" s="9">
        <f>IF(HQ28,IF(VATAgentMode,HO28-((HO28-HV28)-(HO28-HV28)/(1+VATRate)),HO28/(1+VATRate)),HO28)</f>
        <v/>
      </c>
      <c r="HS28" s="12">
        <f>HO28-HR28</f>
        <v/>
      </c>
      <c r="HT28" s="12">
        <f>IF(HQ28=0,0,IF(GL28=1,SUMPRODUCT(--(($GM$5:$GM28=$GM28-1)*($GL$5:$GL28&gt;=10)*($GL$5:$GL28&lt;=12)),$HS$5:$HS28),IF(GL28=4,SUMPRODUCT(--(($GM$5:$GM28=$GM28)*($GL$5:$GL28&gt;=1)*($GL$5:$GL28&lt;=3)),$HS$5:$HS28),IF(GL28=7,SUMPRODUCT(--(($GM$5:$GM28=$GM28)*($GL$5:$GL28&gt;=4)*($GL$5:$GL28&lt;=6)),$HS$5:$HS28),IF(GL28=10,SUMPRODUCT(--(($GM$5:$GM28=$GM28)*($GL$5:$GL28&gt;=7)*($GL$5:$GL28&lt;=9)),$HS$5:$HS28),0)))))</f>
        <v/>
      </c>
      <c r="HU28" s="12">
        <f>HU27+HS28-HT28</f>
        <v/>
      </c>
      <c r="HV28" s="12">
        <f>IF(ProviderDelay&gt;=1,HC27*BlendedProvPayEss+HD27*BlendedProvPayPrem+HE27*BlendedProvPayElite+HF27*BlendedProvPayEss+HG27*BlendedProvPayPrem+HH27*BlendedProvPayElite,HC28*BlendedProvPayEss+HD28*BlendedProvPayPrem+HE28*BlendedProvPayElite+HF28*BlendedProvPayEss+HG28*BlendedProvPayPrem+HH28*BlendedProvPayElite)</f>
        <v/>
      </c>
      <c r="HW28" s="12">
        <f>HO28*PaymentFee</f>
        <v/>
      </c>
      <c r="HX28" s="12">
        <f>HI28*OpsAI</f>
        <v/>
      </c>
      <c r="HY28" s="12">
        <f>MonthlyFixed</f>
        <v/>
      </c>
      <c r="HZ28" s="12">
        <f>GS28*ReferralReward</f>
        <v/>
      </c>
      <c r="IA28" s="12">
        <f>GQ28</f>
        <v/>
      </c>
      <c r="IB28" s="9">
        <f>HR28-HV28-HW28-HX28-HY28-HZ28-IA28</f>
        <v/>
      </c>
      <c r="IC28" s="9">
        <f>IC27+HO28-(HV28+HW28+HX28+HY28+HZ28+IA28+HT28)</f>
        <v/>
      </c>
      <c r="ID28" s="12">
        <f>IF(HI28&gt;0,HJ28/HI28,0)</f>
        <v/>
      </c>
      <c r="IE28" s="11">
        <f>IF(HI27&gt;0,MAX(0,(HI27+GT28-HI28)/HI27),0)</f>
        <v/>
      </c>
      <c r="IG28" s="12" t="n">
        <v>24</v>
      </c>
      <c r="IH28" s="12">
        <f>MOD(IG28-1+LaunchMonth-1,12)+1</f>
        <v/>
      </c>
      <c r="II28" s="12">
        <f>INT((IG28-1+LaunchMonth-1)/12)+1</f>
        <v/>
      </c>
      <c r="IJ28" s="12">
        <f>VLOOKUP(IH28,SeasonTable,2,FALSE)</f>
        <v/>
      </c>
      <c r="IK28" s="12">
        <f>(1+InflationRate)^INT((IG28-1)/12)</f>
        <v/>
      </c>
      <c r="IL28" s="11">
        <f>'Sens - Churn'!$A$15*VLOOKUP(IH28,ChurnSeasonTable,4,FALSE)</f>
        <v/>
      </c>
      <c r="IM28" s="12">
        <f>MIN(MAX(MktMin19plus,JK27*MktPct19plus),MAX(0,JY27-CashBuffer))</f>
        <v/>
      </c>
      <c r="IN28" s="12">
        <f>IF(IM28&gt;0,MAX(1,ROUND(IM28/CAC*IJ28,0)),0)</f>
        <v/>
      </c>
      <c r="IO28" s="12">
        <f>IF(IN28&gt;0,ROUND(IN28*ReferralMix/(1-ReferralMix),0),0)</f>
        <v/>
      </c>
      <c r="IP28" s="12">
        <f>IN28+IO28</f>
        <v/>
      </c>
      <c r="IQ28" s="12">
        <f>ROUND(IP28*(1-AnnualMix),0)</f>
        <v/>
      </c>
      <c r="IR28" s="12">
        <f>IP28-IQ28</f>
        <v/>
      </c>
      <c r="IS28" s="12">
        <f>ROUND(IQ28*EssentialMix,0)</f>
        <v/>
      </c>
      <c r="IT28" s="12">
        <f>ROUND(IQ28*PremiumMix,0)</f>
        <v/>
      </c>
      <c r="IU28" s="12">
        <f>IQ28-IS28-IT28</f>
        <v/>
      </c>
      <c r="IV28" s="12">
        <f>ROUND(IR28*EssentialMix,0)</f>
        <v/>
      </c>
      <c r="IW28" s="12">
        <f>ROUND(IR28*PremiumMix,0)</f>
        <v/>
      </c>
      <c r="IX28" s="12">
        <f>IR28-IV28-IW28</f>
        <v/>
      </c>
      <c r="IY28" s="12">
        <f>IS28+IS27+IS26+MAX(0,IY27-IS27-IS26)*(1-IL28)</f>
        <v/>
      </c>
      <c r="IZ28" s="12">
        <f>IT28+IT27+IT26+MAX(0,IZ27-IT27-IT26)*(1-IL28)</f>
        <v/>
      </c>
      <c r="JA28" s="12">
        <f>IU28+IU27+IU26+MAX(0,JA27-IU27-IU26)*(1-IL28)</f>
        <v/>
      </c>
      <c r="JB28" s="12">
        <f>JB27+IV28-IV16*(AnnualChurn*VLOOKUP(IH28,ChurnSeasonTable,4,FALSE))*POWER(1-(AnnualChurn*VLOOKUP(IH28,ChurnSeasonTable,4,FALSE)),0)</f>
        <v/>
      </c>
      <c r="JC28" s="12">
        <f>JC27+IW28-IW16*(AnnualChurn*VLOOKUP(IH28,ChurnSeasonTable,4,FALSE))*POWER(1-(AnnualChurn*VLOOKUP(IH28,ChurnSeasonTable,4,FALSE)),0)</f>
        <v/>
      </c>
      <c r="JD28" s="12">
        <f>JD27+IX28-IX16*(AnnualChurn*VLOOKUP(IH28,ChurnSeasonTable,4,FALSE))*POWER(1-(AnnualChurn*VLOOKUP(IH28,ChurnSeasonTable,4,FALSE)),0)</f>
        <v/>
      </c>
      <c r="JE28" s="12">
        <f>IY28+IZ28+JA28+JB28+JC28+JD28</f>
        <v/>
      </c>
      <c r="JF28" s="9">
        <f>IY28*BlendedPriceEssMonthly*IK28+IZ28*BlendedPricePremMonthly*IK28+JA28*BlendedPriceEliteMonthly*IK28+JB28*BlendedPriceEssAnnual*IK28/12+JC28*BlendedPricePremAnnual*IK28/12+JD28*BlendedPriceEliteAnnual*IK28/12</f>
        <v/>
      </c>
      <c r="JG28" s="9">
        <f>JF28*12</f>
        <v/>
      </c>
      <c r="JH28" s="12">
        <f>IY28*BlendedPriceEssMonthly*IK28+IZ28*BlendedPricePremMonthly*IK28+JA28*BlendedPriceEliteMonthly*IK28</f>
        <v/>
      </c>
      <c r="JI28" s="12">
        <f>IV28*BlendedPriceEssAnnual*IK28+IW28*BlendedPricePremAnnual*IK28+IX28*BlendedPriceEliteAnnual*IK28</f>
        <v/>
      </c>
      <c r="JJ28" s="12">
        <f>IV16*POWER(1-(AnnualChurn*VLOOKUP(IH28,ChurnSeasonTable,4,FALSE)),1)*BlendedPriceEssAnnual*IK28+IW16*POWER(1-(AnnualChurn*VLOOKUP(IH28,ChurnSeasonTable,4,FALSE)),1)*BlendedPricePremAnnual*IK28+IX16*POWER(1-(AnnualChurn*VLOOKUP(IH28,ChurnSeasonTable,4,FALSE)),1)*BlendedPriceEliteAnnual*IK28</f>
        <v/>
      </c>
      <c r="JK28" s="9">
        <f>JH28+JI28+JJ28</f>
        <v/>
      </c>
      <c r="JL28" s="12">
        <f>SUM(JK17:JK28)</f>
        <v/>
      </c>
      <c r="JM28" s="12">
        <f>OR(JM27,IF(VATAgentMode,SUM($JK17:$JK28)-SUM($JR17:$JR28)&gt;=VATThreshold,SUM($JK17:$JK28)&gt;=VATThreshold))</f>
        <v/>
      </c>
      <c r="JN28" s="9">
        <f>IF(JM28,IF(VATAgentMode,JK28-((JK28-JR28)-(JK28-JR28)/(1+VATRate)),JK28/(1+VATRate)),JK28)</f>
        <v/>
      </c>
      <c r="JO28" s="12">
        <f>JK28-JN28</f>
        <v/>
      </c>
      <c r="JP28" s="12">
        <f>IF(JM28=0,0,IF(IH28=1,SUMPRODUCT(--(($II$5:$II28=$II28-1)*($IH$5:$IH28&gt;=10)*($IH$5:$IH28&lt;=12)),$JO$5:$JO28),IF(IH28=4,SUMPRODUCT(--(($II$5:$II28=$II28)*($IH$5:$IH28&gt;=1)*($IH$5:$IH28&lt;=3)),$JO$5:$JO28),IF(IH28=7,SUMPRODUCT(--(($II$5:$II28=$II28)*($IH$5:$IH28&gt;=4)*($IH$5:$IH28&lt;=6)),$JO$5:$JO28),IF(IH28=10,SUMPRODUCT(--(($II$5:$II28=$II28)*($IH$5:$IH28&gt;=7)*($IH$5:$IH28&lt;=9)),$JO$5:$JO28),0)))))</f>
        <v/>
      </c>
      <c r="JQ28" s="12">
        <f>JQ27+JO28-JP28</f>
        <v/>
      </c>
      <c r="JR28" s="12">
        <f>IF(ProviderDelay&gt;=1,IY27*BlendedProvPayEss+IZ27*BlendedProvPayPrem+JA27*BlendedProvPayElite+JB27*BlendedProvPayEss+JC27*BlendedProvPayPrem+JD27*BlendedProvPayElite,IY28*BlendedProvPayEss+IZ28*BlendedProvPayPrem+JA28*BlendedProvPayElite+JB28*BlendedProvPayEss+JC28*BlendedProvPayPrem+JD28*BlendedProvPayElite)</f>
        <v/>
      </c>
      <c r="JS28" s="12">
        <f>JK28*PaymentFee</f>
        <v/>
      </c>
      <c r="JT28" s="12">
        <f>JE28*OpsAI</f>
        <v/>
      </c>
      <c r="JU28" s="12">
        <f>MonthlyFixed</f>
        <v/>
      </c>
      <c r="JV28" s="12">
        <f>IO28*ReferralReward</f>
        <v/>
      </c>
      <c r="JW28" s="12">
        <f>IM28</f>
        <v/>
      </c>
      <c r="JX28" s="9">
        <f>JN28-JR28-JS28-JT28-JU28-JV28-JW28</f>
        <v/>
      </c>
      <c r="JY28" s="9">
        <f>JY27+JK28-(JR28+JS28+JT28+JU28+JV28+JW28+JP28)</f>
        <v/>
      </c>
      <c r="JZ28" s="12">
        <f>IF(JE28&gt;0,JF28/JE28,0)</f>
        <v/>
      </c>
      <c r="KA28" s="11">
        <f>IF(JE27&gt;0,MAX(0,(JE27+IP28-JE28)/JE27),0)</f>
        <v/>
      </c>
      <c r="KC28" s="12" t="n">
        <v>24</v>
      </c>
      <c r="KD28" s="12">
        <f>MOD(KC28-1+LaunchMonth-1,12)+1</f>
        <v/>
      </c>
      <c r="KE28" s="12">
        <f>INT((KC28-1+LaunchMonth-1)/12)+1</f>
        <v/>
      </c>
      <c r="KF28" s="12">
        <f>VLOOKUP(KD28,SeasonTable,2,FALSE)</f>
        <v/>
      </c>
      <c r="KG28" s="12">
        <f>(1+InflationRate)^INT((KC28-1)/12)</f>
        <v/>
      </c>
      <c r="KH28" s="11">
        <f>'Sens - Churn'!$A$16*VLOOKUP(KD28,ChurnSeasonTable,4,FALSE)</f>
        <v/>
      </c>
      <c r="KI28" s="12">
        <f>MIN(MAX(MktMin19plus,LG27*MktPct19plus),MAX(0,LU27-CashBuffer))</f>
        <v/>
      </c>
      <c r="KJ28" s="12">
        <f>IF(KI28&gt;0,MAX(1,ROUND(KI28/CAC*KF28,0)),0)</f>
        <v/>
      </c>
      <c r="KK28" s="12">
        <f>IF(KJ28&gt;0,ROUND(KJ28*ReferralMix/(1-ReferralMix),0),0)</f>
        <v/>
      </c>
      <c r="KL28" s="12">
        <f>KJ28+KK28</f>
        <v/>
      </c>
      <c r="KM28" s="12">
        <f>ROUND(KL28*(1-AnnualMix),0)</f>
        <v/>
      </c>
      <c r="KN28" s="12">
        <f>KL28-KM28</f>
        <v/>
      </c>
      <c r="KO28" s="12">
        <f>ROUND(KM28*EssentialMix,0)</f>
        <v/>
      </c>
      <c r="KP28" s="12">
        <f>ROUND(KM28*PremiumMix,0)</f>
        <v/>
      </c>
      <c r="KQ28" s="12">
        <f>KM28-KO28-KP28</f>
        <v/>
      </c>
      <c r="KR28" s="12">
        <f>ROUND(KN28*EssentialMix,0)</f>
        <v/>
      </c>
      <c r="KS28" s="12">
        <f>ROUND(KN28*PremiumMix,0)</f>
        <v/>
      </c>
      <c r="KT28" s="12">
        <f>KN28-KR28-KS28</f>
        <v/>
      </c>
      <c r="KU28" s="12">
        <f>KO28+KO27+KO26+MAX(0,KU27-KO27-KO26)*(1-KH28)</f>
        <v/>
      </c>
      <c r="KV28" s="12">
        <f>KP28+KP27+KP26+MAX(0,KV27-KP27-KP26)*(1-KH28)</f>
        <v/>
      </c>
      <c r="KW28" s="12">
        <f>KQ28+KQ27+KQ26+MAX(0,KW27-KQ27-KQ26)*(1-KH28)</f>
        <v/>
      </c>
      <c r="KX28" s="12">
        <f>KX27+KR28-KR16*(AnnualChurn*VLOOKUP(KD28,ChurnSeasonTable,4,FALSE))*POWER(1-(AnnualChurn*VLOOKUP(KD28,ChurnSeasonTable,4,FALSE)),0)</f>
        <v/>
      </c>
      <c r="KY28" s="12">
        <f>KY27+KS28-KS16*(AnnualChurn*VLOOKUP(KD28,ChurnSeasonTable,4,FALSE))*POWER(1-(AnnualChurn*VLOOKUP(KD28,ChurnSeasonTable,4,FALSE)),0)</f>
        <v/>
      </c>
      <c r="KZ28" s="12">
        <f>KZ27+KT28-KT16*(AnnualChurn*VLOOKUP(KD28,ChurnSeasonTable,4,FALSE))*POWER(1-(AnnualChurn*VLOOKUP(KD28,ChurnSeasonTable,4,FALSE)),0)</f>
        <v/>
      </c>
      <c r="LA28" s="12">
        <f>KU28+KV28+KW28+KX28+KY28+KZ28</f>
        <v/>
      </c>
      <c r="LB28" s="9">
        <f>KU28*BlendedPriceEssMonthly*KG28+KV28*BlendedPricePremMonthly*KG28+KW28*BlendedPriceEliteMonthly*KG28+KX28*BlendedPriceEssAnnual*KG28/12+KY28*BlendedPricePremAnnual*KG28/12+KZ28*BlendedPriceEliteAnnual*KG28/12</f>
        <v/>
      </c>
      <c r="LC28" s="9">
        <f>LB28*12</f>
        <v/>
      </c>
      <c r="LD28" s="12">
        <f>KU28*BlendedPriceEssMonthly*KG28+KV28*BlendedPricePremMonthly*KG28+KW28*BlendedPriceEliteMonthly*KG28</f>
        <v/>
      </c>
      <c r="LE28" s="12">
        <f>KR28*BlendedPriceEssAnnual*KG28+KS28*BlendedPricePremAnnual*KG28+KT28*BlendedPriceEliteAnnual*KG28</f>
        <v/>
      </c>
      <c r="LF28" s="12">
        <f>KR16*POWER(1-(AnnualChurn*VLOOKUP(KD28,ChurnSeasonTable,4,FALSE)),1)*BlendedPriceEssAnnual*KG28+KS16*POWER(1-(AnnualChurn*VLOOKUP(KD28,ChurnSeasonTable,4,FALSE)),1)*BlendedPricePremAnnual*KG28+KT16*POWER(1-(AnnualChurn*VLOOKUP(KD28,ChurnSeasonTable,4,FALSE)),1)*BlendedPriceEliteAnnual*KG28</f>
        <v/>
      </c>
      <c r="LG28" s="9">
        <f>LD28+LE28+LF28</f>
        <v/>
      </c>
      <c r="LH28" s="12">
        <f>SUM(LG17:LG28)</f>
        <v/>
      </c>
      <c r="LI28" s="12">
        <f>OR(LI27,IF(VATAgentMode,SUM($LG17:$LG28)-SUM($LN17:$LN28)&gt;=VATThreshold,SUM($LG17:$LG28)&gt;=VATThreshold))</f>
        <v/>
      </c>
      <c r="LJ28" s="9">
        <f>IF(LI28,IF(VATAgentMode,LG28-((LG28-LN28)-(LG28-LN28)/(1+VATRate)),LG28/(1+VATRate)),LG28)</f>
        <v/>
      </c>
      <c r="LK28" s="12">
        <f>LG28-LJ28</f>
        <v/>
      </c>
      <c r="LL28" s="12">
        <f>IF(LI28=0,0,IF(KD28=1,SUMPRODUCT(--(($KE$5:$KE28=$KE28-1)*($KD$5:$KD28&gt;=10)*($KD$5:$KD28&lt;=12)),$LK$5:$LK28),IF(KD28=4,SUMPRODUCT(--(($KE$5:$KE28=$KE28)*($KD$5:$KD28&gt;=1)*($KD$5:$KD28&lt;=3)),$LK$5:$LK28),IF(KD28=7,SUMPRODUCT(--(($KE$5:$KE28=$KE28)*($KD$5:$KD28&gt;=4)*($KD$5:$KD28&lt;=6)),$LK$5:$LK28),IF(KD28=10,SUMPRODUCT(--(($KE$5:$KE28=$KE28)*($KD$5:$KD28&gt;=7)*($KD$5:$KD28&lt;=9)),$LK$5:$LK28),0)))))</f>
        <v/>
      </c>
      <c r="LM28" s="12">
        <f>LM27+LK28-LL28</f>
        <v/>
      </c>
      <c r="LN28" s="12">
        <f>IF(ProviderDelay&gt;=1,KU27*BlendedProvPayEss+KV27*BlendedProvPayPrem+KW27*BlendedProvPayElite+KX27*BlendedProvPayEss+KY27*BlendedProvPayPrem+KZ27*BlendedProvPayElite,KU28*BlendedProvPayEss+KV28*BlendedProvPayPrem+KW28*BlendedProvPayElite+KX28*BlendedProvPayEss+KY28*BlendedProvPayPrem+KZ28*BlendedProvPayElite)</f>
        <v/>
      </c>
      <c r="LO28" s="12">
        <f>LG28*PaymentFee</f>
        <v/>
      </c>
      <c r="LP28" s="12">
        <f>LA28*OpsAI</f>
        <v/>
      </c>
      <c r="LQ28" s="12">
        <f>MonthlyFixed</f>
        <v/>
      </c>
      <c r="LR28" s="12">
        <f>KK28*ReferralReward</f>
        <v/>
      </c>
      <c r="LS28" s="12">
        <f>KI28</f>
        <v/>
      </c>
      <c r="LT28" s="9">
        <f>LJ28-LN28-LO28-LP28-LQ28-LR28-LS28</f>
        <v/>
      </c>
      <c r="LU28" s="9">
        <f>LU27+LG28-(LN28+LO28+LP28+LQ28+LR28+LS28+LL28)</f>
        <v/>
      </c>
      <c r="LV28" s="12">
        <f>IF(LA28&gt;0,LB28/LA28,0)</f>
        <v/>
      </c>
      <c r="LW28" s="11">
        <f>IF(LA27&gt;0,MAX(0,(LA27+KL28-LA28)/LA27),0)</f>
        <v/>
      </c>
      <c r="LY28" s="12" t="n">
        <v>24</v>
      </c>
      <c r="LZ28" s="12">
        <f>MOD(LY28-1+LaunchMonth-1,12)+1</f>
        <v/>
      </c>
      <c r="MA28" s="12">
        <f>INT((LY28-1+LaunchMonth-1)/12)+1</f>
        <v/>
      </c>
      <c r="MB28" s="12">
        <f>VLOOKUP(LZ28,SeasonTable,2,FALSE)</f>
        <v/>
      </c>
      <c r="MC28" s="12">
        <f>(1+InflationRate)^INT((LY28-1)/12)</f>
        <v/>
      </c>
      <c r="MD28" s="11">
        <f>'Sens - Churn'!$A$17*VLOOKUP(LZ28,ChurnSeasonTable,4,FALSE)</f>
        <v/>
      </c>
      <c r="ME28" s="12">
        <f>MIN(MAX(MktMin19plus,NC27*MktPct19plus),MAX(0,NQ27-CashBuffer))</f>
        <v/>
      </c>
      <c r="MF28" s="12">
        <f>IF(ME28&gt;0,MAX(1,ROUND(ME28/CAC*MB28,0)),0)</f>
        <v/>
      </c>
      <c r="MG28" s="12">
        <f>IF(MF28&gt;0,ROUND(MF28*ReferralMix/(1-ReferralMix),0),0)</f>
        <v/>
      </c>
      <c r="MH28" s="12">
        <f>MF28+MG28</f>
        <v/>
      </c>
      <c r="MI28" s="12">
        <f>ROUND(MH28*(1-AnnualMix),0)</f>
        <v/>
      </c>
      <c r="MJ28" s="12">
        <f>MH28-MI28</f>
        <v/>
      </c>
      <c r="MK28" s="12">
        <f>ROUND(MI28*EssentialMix,0)</f>
        <v/>
      </c>
      <c r="ML28" s="12">
        <f>ROUND(MI28*PremiumMix,0)</f>
        <v/>
      </c>
      <c r="MM28" s="12">
        <f>MI28-MK28-ML28</f>
        <v/>
      </c>
      <c r="MN28" s="12">
        <f>ROUND(MJ28*EssentialMix,0)</f>
        <v/>
      </c>
      <c r="MO28" s="12">
        <f>ROUND(MJ28*PremiumMix,0)</f>
        <v/>
      </c>
      <c r="MP28" s="12">
        <f>MJ28-MN28-MO28</f>
        <v/>
      </c>
      <c r="MQ28" s="12">
        <f>MK28+MK27+MK26+MAX(0,MQ27-MK27-MK26)*(1-MD28)</f>
        <v/>
      </c>
      <c r="MR28" s="12">
        <f>ML28+ML27+ML26+MAX(0,MR27-ML27-ML26)*(1-MD28)</f>
        <v/>
      </c>
      <c r="MS28" s="12">
        <f>MM28+MM27+MM26+MAX(0,MS27-MM27-MM26)*(1-MD28)</f>
        <v/>
      </c>
      <c r="MT28" s="12">
        <f>MT27+MN28-MN16*(AnnualChurn*VLOOKUP(LZ28,ChurnSeasonTable,4,FALSE))*POWER(1-(AnnualChurn*VLOOKUP(LZ28,ChurnSeasonTable,4,FALSE)),0)</f>
        <v/>
      </c>
      <c r="MU28" s="12">
        <f>MU27+MO28-MO16*(AnnualChurn*VLOOKUP(LZ28,ChurnSeasonTable,4,FALSE))*POWER(1-(AnnualChurn*VLOOKUP(LZ28,ChurnSeasonTable,4,FALSE)),0)</f>
        <v/>
      </c>
      <c r="MV28" s="12">
        <f>MV27+MP28-MP16*(AnnualChurn*VLOOKUP(LZ28,ChurnSeasonTable,4,FALSE))*POWER(1-(AnnualChurn*VLOOKUP(LZ28,ChurnSeasonTable,4,FALSE)),0)</f>
        <v/>
      </c>
      <c r="MW28" s="12">
        <f>MQ28+MR28+MS28+MT28+MU28+MV28</f>
        <v/>
      </c>
      <c r="MX28" s="9">
        <f>MQ28*BlendedPriceEssMonthly*MC28+MR28*BlendedPricePremMonthly*MC28+MS28*BlendedPriceEliteMonthly*MC28+MT28*BlendedPriceEssAnnual*MC28/12+MU28*BlendedPricePremAnnual*MC28/12+MV28*BlendedPriceEliteAnnual*MC28/12</f>
        <v/>
      </c>
      <c r="MY28" s="9">
        <f>MX28*12</f>
        <v/>
      </c>
      <c r="MZ28" s="12">
        <f>MQ28*BlendedPriceEssMonthly*MC28+MR28*BlendedPricePremMonthly*MC28+MS28*BlendedPriceEliteMonthly*MC28</f>
        <v/>
      </c>
      <c r="NA28" s="12">
        <f>MN28*BlendedPriceEssAnnual*MC28+MO28*BlendedPricePremAnnual*MC28+MP28*BlendedPriceEliteAnnual*MC28</f>
        <v/>
      </c>
      <c r="NB28" s="12">
        <f>MN16*POWER(1-(AnnualChurn*VLOOKUP(LZ28,ChurnSeasonTable,4,FALSE)),1)*BlendedPriceEssAnnual*MC28+MO16*POWER(1-(AnnualChurn*VLOOKUP(LZ28,ChurnSeasonTable,4,FALSE)),1)*BlendedPricePremAnnual*MC28+MP16*POWER(1-(AnnualChurn*VLOOKUP(LZ28,ChurnSeasonTable,4,FALSE)),1)*BlendedPriceEliteAnnual*MC28</f>
        <v/>
      </c>
      <c r="NC28" s="9">
        <f>MZ28+NA28+NB28</f>
        <v/>
      </c>
      <c r="ND28" s="12">
        <f>SUM(NC17:NC28)</f>
        <v/>
      </c>
      <c r="NE28" s="12">
        <f>OR(NE27,IF(VATAgentMode,SUM($NC17:$NC28)-SUM($NJ17:$NJ28)&gt;=VATThreshold,SUM($NC17:$NC28)&gt;=VATThreshold))</f>
        <v/>
      </c>
      <c r="NF28" s="9">
        <f>IF(NE28,IF(VATAgentMode,NC28-((NC28-NJ28)-(NC28-NJ28)/(1+VATRate)),NC28/(1+VATRate)),NC28)</f>
        <v/>
      </c>
      <c r="NG28" s="12">
        <f>NC28-NF28</f>
        <v/>
      </c>
      <c r="NH28" s="12">
        <f>IF(NE28=0,0,IF(LZ28=1,SUMPRODUCT(--(($MA$5:$MA28=$MA28-1)*($LZ$5:$LZ28&gt;=10)*($LZ$5:$LZ28&lt;=12)),$NG$5:$NG28),IF(LZ28=4,SUMPRODUCT(--(($MA$5:$MA28=$MA28)*($LZ$5:$LZ28&gt;=1)*($LZ$5:$LZ28&lt;=3)),$NG$5:$NG28),IF(LZ28=7,SUMPRODUCT(--(($MA$5:$MA28=$MA28)*($LZ$5:$LZ28&gt;=4)*($LZ$5:$LZ28&lt;=6)),$NG$5:$NG28),IF(LZ28=10,SUMPRODUCT(--(($MA$5:$MA28=$MA28)*($LZ$5:$LZ28&gt;=7)*($LZ$5:$LZ28&lt;=9)),$NG$5:$NG28),0)))))</f>
        <v/>
      </c>
      <c r="NI28" s="12">
        <f>NI27+NG28-NH28</f>
        <v/>
      </c>
      <c r="NJ28" s="12">
        <f>IF(ProviderDelay&gt;=1,MQ27*BlendedProvPayEss+MR27*BlendedProvPayPrem+MS27*BlendedProvPayElite+MT27*BlendedProvPayEss+MU27*BlendedProvPayPrem+MV27*BlendedProvPayElite,MQ28*BlendedProvPayEss+MR28*BlendedProvPayPrem+MS28*BlendedProvPayElite+MT28*BlendedProvPayEss+MU28*BlendedProvPayPrem+MV28*BlendedProvPayElite)</f>
        <v/>
      </c>
      <c r="NK28" s="12">
        <f>NC28*PaymentFee</f>
        <v/>
      </c>
      <c r="NL28" s="12">
        <f>MW28*OpsAI</f>
        <v/>
      </c>
      <c r="NM28" s="12">
        <f>MonthlyFixed</f>
        <v/>
      </c>
      <c r="NN28" s="12">
        <f>MG28*ReferralReward</f>
        <v/>
      </c>
      <c r="NO28" s="12">
        <f>ME28</f>
        <v/>
      </c>
      <c r="NP28" s="9">
        <f>NF28-NJ28-NK28-NL28-NM28-NN28-NO28</f>
        <v/>
      </c>
      <c r="NQ28" s="9">
        <f>NQ27+NC28-(NJ28+NK28+NL28+NM28+NN28+NO28+NH28)</f>
        <v/>
      </c>
      <c r="NR28" s="12">
        <f>IF(MW28&gt;0,MX28/MW28,0)</f>
        <v/>
      </c>
      <c r="NS28" s="11">
        <f>IF(MW27&gt;0,MAX(0,(MW27+MH28-MW28)/MW27),0)</f>
        <v/>
      </c>
      <c r="NU28" s="12" t="n">
        <v>24</v>
      </c>
      <c r="NV28" s="12">
        <f>MOD(NU28-1+LaunchMonth-1,12)+1</f>
        <v/>
      </c>
      <c r="NW28" s="12">
        <f>INT((NU28-1+LaunchMonth-1)/12)+1</f>
        <v/>
      </c>
      <c r="NX28" s="12">
        <f>VLOOKUP(NV28,SeasonTable,2,FALSE)</f>
        <v/>
      </c>
      <c r="NY28" s="12">
        <f>(1+InflationRate)^INT((NU28-1)/12)</f>
        <v/>
      </c>
      <c r="NZ28" s="11">
        <f>'Sens - Churn'!$A$18*VLOOKUP(NV28,ChurnSeasonTable,4,FALSE)</f>
        <v/>
      </c>
      <c r="OA28" s="12">
        <f>MIN(MAX(MktMin19plus,OY27*MktPct19plus),MAX(0,PM27-CashBuffer))</f>
        <v/>
      </c>
      <c r="OB28" s="12">
        <f>IF(OA28&gt;0,MAX(1,ROUND(OA28/CAC*NX28,0)),0)</f>
        <v/>
      </c>
      <c r="OC28" s="12">
        <f>IF(OB28&gt;0,ROUND(OB28*ReferralMix/(1-ReferralMix),0),0)</f>
        <v/>
      </c>
      <c r="OD28" s="12">
        <f>OB28+OC28</f>
        <v/>
      </c>
      <c r="OE28" s="12">
        <f>ROUND(OD28*(1-AnnualMix),0)</f>
        <v/>
      </c>
      <c r="OF28" s="12">
        <f>OD28-OE28</f>
        <v/>
      </c>
      <c r="OG28" s="12">
        <f>ROUND(OE28*EssentialMix,0)</f>
        <v/>
      </c>
      <c r="OH28" s="12">
        <f>ROUND(OE28*PremiumMix,0)</f>
        <v/>
      </c>
      <c r="OI28" s="12">
        <f>OE28-OG28-OH28</f>
        <v/>
      </c>
      <c r="OJ28" s="12">
        <f>ROUND(OF28*EssentialMix,0)</f>
        <v/>
      </c>
      <c r="OK28" s="12">
        <f>ROUND(OF28*PremiumMix,0)</f>
        <v/>
      </c>
      <c r="OL28" s="12">
        <f>OF28-OJ28-OK28</f>
        <v/>
      </c>
      <c r="OM28" s="12">
        <f>OG28+OG27+OG26+MAX(0,OM27-OG27-OG26)*(1-NZ28)</f>
        <v/>
      </c>
      <c r="ON28" s="12">
        <f>OH28+OH27+OH26+MAX(0,ON27-OH27-OH26)*(1-NZ28)</f>
        <v/>
      </c>
      <c r="OO28" s="12">
        <f>OI28+OI27+OI26+MAX(0,OO27-OI27-OI26)*(1-NZ28)</f>
        <v/>
      </c>
      <c r="OP28" s="12">
        <f>OP27+OJ28-OJ16*(AnnualChurn*VLOOKUP(NV28,ChurnSeasonTable,4,FALSE))*POWER(1-(AnnualChurn*VLOOKUP(NV28,ChurnSeasonTable,4,FALSE)),0)</f>
        <v/>
      </c>
      <c r="OQ28" s="12">
        <f>OQ27+OK28-OK16*(AnnualChurn*VLOOKUP(NV28,ChurnSeasonTable,4,FALSE))*POWER(1-(AnnualChurn*VLOOKUP(NV28,ChurnSeasonTable,4,FALSE)),0)</f>
        <v/>
      </c>
      <c r="OR28" s="12">
        <f>OR27+OL28-OL16*(AnnualChurn*VLOOKUP(NV28,ChurnSeasonTable,4,FALSE))*POWER(1-(AnnualChurn*VLOOKUP(NV28,ChurnSeasonTable,4,FALSE)),0)</f>
        <v/>
      </c>
      <c r="OS28" s="12">
        <f>OM28+ON28+OO28+OP28+OQ28+OR28</f>
        <v/>
      </c>
      <c r="OT28" s="9">
        <f>OM28*BlendedPriceEssMonthly*NY28+ON28*BlendedPricePremMonthly*NY28+OO28*BlendedPriceEliteMonthly*NY28+OP28*BlendedPriceEssAnnual*NY28/12+OQ28*BlendedPricePremAnnual*NY28/12+OR28*BlendedPriceEliteAnnual*NY28/12</f>
        <v/>
      </c>
      <c r="OU28" s="9">
        <f>OT28*12</f>
        <v/>
      </c>
      <c r="OV28" s="12">
        <f>OM28*BlendedPriceEssMonthly*NY28+ON28*BlendedPricePremMonthly*NY28+OO28*BlendedPriceEliteMonthly*NY28</f>
        <v/>
      </c>
      <c r="OW28" s="12">
        <f>OJ28*BlendedPriceEssAnnual*NY28+OK28*BlendedPricePremAnnual*NY28+OL28*BlendedPriceEliteAnnual*NY28</f>
        <v/>
      </c>
      <c r="OX28" s="12">
        <f>OJ16*POWER(1-(AnnualChurn*VLOOKUP(NV28,ChurnSeasonTable,4,FALSE)),1)*BlendedPriceEssAnnual*NY28+OK16*POWER(1-(AnnualChurn*VLOOKUP(NV28,ChurnSeasonTable,4,FALSE)),1)*BlendedPricePremAnnual*NY28+OL16*POWER(1-(AnnualChurn*VLOOKUP(NV28,ChurnSeasonTable,4,FALSE)),1)*BlendedPriceEliteAnnual*NY28</f>
        <v/>
      </c>
      <c r="OY28" s="9">
        <f>OV28+OW28+OX28</f>
        <v/>
      </c>
      <c r="OZ28" s="12">
        <f>SUM(OY17:OY28)</f>
        <v/>
      </c>
      <c r="PA28" s="12">
        <f>OR(PA27,IF(VATAgentMode,SUM($OY17:$OY28)-SUM($PF17:$PF28)&gt;=VATThreshold,SUM($OY17:$OY28)&gt;=VATThreshold))</f>
        <v/>
      </c>
      <c r="PB28" s="9">
        <f>IF(PA28,IF(VATAgentMode,OY28-((OY28-PF28)-(OY28-PF28)/(1+VATRate)),OY28/(1+VATRate)),OY28)</f>
        <v/>
      </c>
      <c r="PC28" s="12">
        <f>OY28-PB28</f>
        <v/>
      </c>
      <c r="PD28" s="12">
        <f>IF(PA28=0,0,IF(NV28=1,SUMPRODUCT(--(($NW$5:$NW28=$NW28-1)*($NV$5:$NV28&gt;=10)*($NV$5:$NV28&lt;=12)),$PC$5:$PC28),IF(NV28=4,SUMPRODUCT(--(($NW$5:$NW28=$NW28)*($NV$5:$NV28&gt;=1)*($NV$5:$NV28&lt;=3)),$PC$5:$PC28),IF(NV28=7,SUMPRODUCT(--(($NW$5:$NW28=$NW28)*($NV$5:$NV28&gt;=4)*($NV$5:$NV28&lt;=6)),$PC$5:$PC28),IF(NV28=10,SUMPRODUCT(--(($NW$5:$NW28=$NW28)*($NV$5:$NV28&gt;=7)*($NV$5:$NV28&lt;=9)),$PC$5:$PC28),0)))))</f>
        <v/>
      </c>
      <c r="PE28" s="12">
        <f>PE27+PC28-PD28</f>
        <v/>
      </c>
      <c r="PF28" s="12">
        <f>IF(ProviderDelay&gt;=1,OM27*BlendedProvPayEss+ON27*BlendedProvPayPrem+OO27*BlendedProvPayElite+OP27*BlendedProvPayEss+OQ27*BlendedProvPayPrem+OR27*BlendedProvPayElite,OM28*BlendedProvPayEss+ON28*BlendedProvPayPrem+OO28*BlendedProvPayElite+OP28*BlendedProvPayEss+OQ28*BlendedProvPayPrem+OR28*BlendedProvPayElite)</f>
        <v/>
      </c>
      <c r="PG28" s="12">
        <f>OY28*PaymentFee</f>
        <v/>
      </c>
      <c r="PH28" s="12">
        <f>OS28*OpsAI</f>
        <v/>
      </c>
      <c r="PI28" s="12">
        <f>MonthlyFixed</f>
        <v/>
      </c>
      <c r="PJ28" s="12">
        <f>OC28*ReferralReward</f>
        <v/>
      </c>
      <c r="PK28" s="12">
        <f>OA28</f>
        <v/>
      </c>
      <c r="PL28" s="9">
        <f>PB28-PF28-PG28-PH28-PI28-PJ28-PK28</f>
        <v/>
      </c>
      <c r="PM28" s="9">
        <f>PM27+OY28-(PF28+PG28+PH28+PI28+PJ28+PK28+PD28)</f>
        <v/>
      </c>
      <c r="PN28" s="12">
        <f>IF(OS28&gt;0,OT28/OS28,0)</f>
        <v/>
      </c>
      <c r="PO28" s="11">
        <f>IF(OS27&gt;0,MAX(0,(OS27+OD28-OS28)/OS27),0)</f>
        <v/>
      </c>
      <c r="PQ28" s="12" t="n">
        <v>24</v>
      </c>
      <c r="PR28" s="12">
        <f>MOD(PQ28-1+LaunchMonth-1,12)+1</f>
        <v/>
      </c>
      <c r="PS28" s="12">
        <f>INT((PQ28-1+LaunchMonth-1)/12)+1</f>
        <v/>
      </c>
      <c r="PT28" s="12">
        <f>VLOOKUP(PR28,SeasonTable,2,FALSE)</f>
        <v/>
      </c>
      <c r="PU28" s="12">
        <f>(1+InflationRate)^INT((PQ28-1)/12)</f>
        <v/>
      </c>
      <c r="PV28" s="11">
        <f>'Sens - Churn'!$A$19*VLOOKUP(PR28,ChurnSeasonTable,4,FALSE)</f>
        <v/>
      </c>
      <c r="PW28" s="12">
        <f>MIN(MAX(MktMin19plus,QU27*MktPct19plus),MAX(0,RI27-CashBuffer))</f>
        <v/>
      </c>
      <c r="PX28" s="12">
        <f>IF(PW28&gt;0,MAX(1,ROUND(PW28/CAC*PT28,0)),0)</f>
        <v/>
      </c>
      <c r="PY28" s="12">
        <f>IF(PX28&gt;0,ROUND(PX28*ReferralMix/(1-ReferralMix),0),0)</f>
        <v/>
      </c>
      <c r="PZ28" s="12">
        <f>PX28+PY28</f>
        <v/>
      </c>
      <c r="QA28" s="12">
        <f>ROUND(PZ28*(1-AnnualMix),0)</f>
        <v/>
      </c>
      <c r="QB28" s="12">
        <f>PZ28-QA28</f>
        <v/>
      </c>
      <c r="QC28" s="12">
        <f>ROUND(QA28*EssentialMix,0)</f>
        <v/>
      </c>
      <c r="QD28" s="12">
        <f>ROUND(QA28*PremiumMix,0)</f>
        <v/>
      </c>
      <c r="QE28" s="12">
        <f>QA28-QC28-QD28</f>
        <v/>
      </c>
      <c r="QF28" s="12">
        <f>ROUND(QB28*EssentialMix,0)</f>
        <v/>
      </c>
      <c r="QG28" s="12">
        <f>ROUND(QB28*PremiumMix,0)</f>
        <v/>
      </c>
      <c r="QH28" s="12">
        <f>QB28-QF28-QG28</f>
        <v/>
      </c>
      <c r="QI28" s="12">
        <f>QC28+QC27+QC26+MAX(0,QI27-QC27-QC26)*(1-PV28)</f>
        <v/>
      </c>
      <c r="QJ28" s="12">
        <f>QD28+QD27+QD26+MAX(0,QJ27-QD27-QD26)*(1-PV28)</f>
        <v/>
      </c>
      <c r="QK28" s="12">
        <f>QE28+QE27+QE26+MAX(0,QK27-QE27-QE26)*(1-PV28)</f>
        <v/>
      </c>
      <c r="QL28" s="12">
        <f>QL27+QF28-QF16*(AnnualChurn*VLOOKUP(PR28,ChurnSeasonTable,4,FALSE))*POWER(1-(AnnualChurn*VLOOKUP(PR28,ChurnSeasonTable,4,FALSE)),0)</f>
        <v/>
      </c>
      <c r="QM28" s="12">
        <f>QM27+QG28-QG16*(AnnualChurn*VLOOKUP(PR28,ChurnSeasonTable,4,FALSE))*POWER(1-(AnnualChurn*VLOOKUP(PR28,ChurnSeasonTable,4,FALSE)),0)</f>
        <v/>
      </c>
      <c r="QN28" s="12">
        <f>QN27+QH28-QH16*(AnnualChurn*VLOOKUP(PR28,ChurnSeasonTable,4,FALSE))*POWER(1-(AnnualChurn*VLOOKUP(PR28,ChurnSeasonTable,4,FALSE)),0)</f>
        <v/>
      </c>
      <c r="QO28" s="12">
        <f>QI28+QJ28+QK28+QL28+QM28+QN28</f>
        <v/>
      </c>
      <c r="QP28" s="9">
        <f>QI28*BlendedPriceEssMonthly*PU28+QJ28*BlendedPricePremMonthly*PU28+QK28*BlendedPriceEliteMonthly*PU28+QL28*BlendedPriceEssAnnual*PU28/12+QM28*BlendedPricePremAnnual*PU28/12+QN28*BlendedPriceEliteAnnual*PU28/12</f>
        <v/>
      </c>
      <c r="QQ28" s="9">
        <f>QP28*12</f>
        <v/>
      </c>
      <c r="QR28" s="12">
        <f>QI28*BlendedPriceEssMonthly*PU28+QJ28*BlendedPricePremMonthly*PU28+QK28*BlendedPriceEliteMonthly*PU28</f>
        <v/>
      </c>
      <c r="QS28" s="12">
        <f>QF28*BlendedPriceEssAnnual*PU28+QG28*BlendedPricePremAnnual*PU28+QH28*BlendedPriceEliteAnnual*PU28</f>
        <v/>
      </c>
      <c r="QT28" s="12">
        <f>QF16*POWER(1-(AnnualChurn*VLOOKUP(PR28,ChurnSeasonTable,4,FALSE)),1)*BlendedPriceEssAnnual*PU28+QG16*POWER(1-(AnnualChurn*VLOOKUP(PR28,ChurnSeasonTable,4,FALSE)),1)*BlendedPricePremAnnual*PU28+QH16*POWER(1-(AnnualChurn*VLOOKUP(PR28,ChurnSeasonTable,4,FALSE)),1)*BlendedPriceEliteAnnual*PU28</f>
        <v/>
      </c>
      <c r="QU28" s="9">
        <f>QR28+QS28+QT28</f>
        <v/>
      </c>
      <c r="QV28" s="12">
        <f>SUM(QU17:QU28)</f>
        <v/>
      </c>
      <c r="QW28" s="12">
        <f>OR(QW27,IF(VATAgentMode,SUM($QU17:$QU28)-SUM($RB17:$RB28)&gt;=VATThreshold,SUM($QU17:$QU28)&gt;=VATThreshold))</f>
        <v/>
      </c>
      <c r="QX28" s="9">
        <f>IF(QW28,IF(VATAgentMode,QU28-((QU28-RB28)-(QU28-RB28)/(1+VATRate)),QU28/(1+VATRate)),QU28)</f>
        <v/>
      </c>
      <c r="QY28" s="12">
        <f>QU28-QX28</f>
        <v/>
      </c>
      <c r="QZ28" s="12">
        <f>IF(QW28=0,0,IF(PR28=1,SUMPRODUCT(--(($PS$5:$PS28=$PS28-1)*($PR$5:$PR28&gt;=10)*($PR$5:$PR28&lt;=12)),$QY$5:$QY28),IF(PR28=4,SUMPRODUCT(--(($PS$5:$PS28=$PS28)*($PR$5:$PR28&gt;=1)*($PR$5:$PR28&lt;=3)),$QY$5:$QY28),IF(PR28=7,SUMPRODUCT(--(($PS$5:$PS28=$PS28)*($PR$5:$PR28&gt;=4)*($PR$5:$PR28&lt;=6)),$QY$5:$QY28),IF(PR28=10,SUMPRODUCT(--(($PS$5:$PS28=$PS28)*($PR$5:$PR28&gt;=7)*($PR$5:$PR28&lt;=9)),$QY$5:$QY28),0)))))</f>
        <v/>
      </c>
      <c r="RA28" s="12">
        <f>RA27+QY28-QZ28</f>
        <v/>
      </c>
      <c r="RB28" s="12">
        <f>IF(ProviderDelay&gt;=1,QI27*BlendedProvPayEss+QJ27*BlendedProvPayPrem+QK27*BlendedProvPayElite+QL27*BlendedProvPayEss+QM27*BlendedProvPayPrem+QN27*BlendedProvPayElite,QI28*BlendedProvPayEss+QJ28*BlendedProvPayPrem+QK28*BlendedProvPayElite+QL28*BlendedProvPayEss+QM28*BlendedProvPayPrem+QN28*BlendedProvPayElite)</f>
        <v/>
      </c>
      <c r="RC28" s="12">
        <f>QU28*PaymentFee</f>
        <v/>
      </c>
      <c r="RD28" s="12">
        <f>QO28*OpsAI</f>
        <v/>
      </c>
      <c r="RE28" s="12">
        <f>MonthlyFixed</f>
        <v/>
      </c>
      <c r="RF28" s="12">
        <f>PY28*ReferralReward</f>
        <v/>
      </c>
      <c r="RG28" s="12">
        <f>PW28</f>
        <v/>
      </c>
      <c r="RH28" s="9">
        <f>QX28-RB28-RC28-RD28-RE28-RF28-RG28</f>
        <v/>
      </c>
      <c r="RI28" s="9">
        <f>RI27+QU28-(RB28+RC28+RD28+RE28+RF28+RG28+QZ28)</f>
        <v/>
      </c>
      <c r="RJ28" s="12">
        <f>IF(QO28&gt;0,QP28/QO28,0)</f>
        <v/>
      </c>
      <c r="RK28" s="11">
        <f>IF(QO27&gt;0,MAX(0,(QO27+PZ28-QO28)/QO27),0)</f>
        <v/>
      </c>
      <c r="RM28" s="12" t="n">
        <v>24</v>
      </c>
      <c r="RN28" s="12">
        <f>MOD(RM28-1+LaunchMonth-1,12)+1</f>
        <v/>
      </c>
      <c r="RO28" s="12">
        <f>INT((RM28-1+LaunchMonth-1)/12)+1</f>
        <v/>
      </c>
      <c r="RP28" s="12">
        <f>VLOOKUP(RN28,SeasonTable,2,FALSE)</f>
        <v/>
      </c>
      <c r="RQ28" s="12">
        <f>(1+InflationRate)^INT((RM28-1)/12)</f>
        <v/>
      </c>
      <c r="RR28" s="11">
        <f>'Sens - Churn'!$A$20*VLOOKUP(RN28,ChurnSeasonTable,4,FALSE)</f>
        <v/>
      </c>
      <c r="RS28" s="12">
        <f>MIN(MAX(MktMin19plus,SQ27*MktPct19plus),MAX(0,TE27-CashBuffer))</f>
        <v/>
      </c>
      <c r="RT28" s="12">
        <f>IF(RS28&gt;0,MAX(1,ROUND(RS28/CAC*RP28,0)),0)</f>
        <v/>
      </c>
      <c r="RU28" s="12">
        <f>IF(RT28&gt;0,ROUND(RT28*ReferralMix/(1-ReferralMix),0),0)</f>
        <v/>
      </c>
      <c r="RV28" s="12">
        <f>RT28+RU28</f>
        <v/>
      </c>
      <c r="RW28" s="12">
        <f>ROUND(RV28*(1-AnnualMix),0)</f>
        <v/>
      </c>
      <c r="RX28" s="12">
        <f>RV28-RW28</f>
        <v/>
      </c>
      <c r="RY28" s="12">
        <f>ROUND(RW28*EssentialMix,0)</f>
        <v/>
      </c>
      <c r="RZ28" s="12">
        <f>ROUND(RW28*PremiumMix,0)</f>
        <v/>
      </c>
      <c r="SA28" s="12">
        <f>RW28-RY28-RZ28</f>
        <v/>
      </c>
      <c r="SB28" s="12">
        <f>ROUND(RX28*EssentialMix,0)</f>
        <v/>
      </c>
      <c r="SC28" s="12">
        <f>ROUND(RX28*PremiumMix,0)</f>
        <v/>
      </c>
      <c r="SD28" s="12">
        <f>RX28-SB28-SC28</f>
        <v/>
      </c>
      <c r="SE28" s="12">
        <f>RY28+RY27+RY26+MAX(0,SE27-RY27-RY26)*(1-RR28)</f>
        <v/>
      </c>
      <c r="SF28" s="12">
        <f>RZ28+RZ27+RZ26+MAX(0,SF27-RZ27-RZ26)*(1-RR28)</f>
        <v/>
      </c>
      <c r="SG28" s="12">
        <f>SA28+SA27+SA26+MAX(0,SG27-SA27-SA26)*(1-RR28)</f>
        <v/>
      </c>
      <c r="SH28" s="12">
        <f>SH27+SB28-SB16*(AnnualChurn*VLOOKUP(RN28,ChurnSeasonTable,4,FALSE))*POWER(1-(AnnualChurn*VLOOKUP(RN28,ChurnSeasonTable,4,FALSE)),0)</f>
        <v/>
      </c>
      <c r="SI28" s="12">
        <f>SI27+SC28-SC16*(AnnualChurn*VLOOKUP(RN28,ChurnSeasonTable,4,FALSE))*POWER(1-(AnnualChurn*VLOOKUP(RN28,ChurnSeasonTable,4,FALSE)),0)</f>
        <v/>
      </c>
      <c r="SJ28" s="12">
        <f>SJ27+SD28-SD16*(AnnualChurn*VLOOKUP(RN28,ChurnSeasonTable,4,FALSE))*POWER(1-(AnnualChurn*VLOOKUP(RN28,ChurnSeasonTable,4,FALSE)),0)</f>
        <v/>
      </c>
      <c r="SK28" s="12">
        <f>SE28+SF28+SG28+SH28+SI28+SJ28</f>
        <v/>
      </c>
      <c r="SL28" s="9">
        <f>SE28*BlendedPriceEssMonthly*RQ28+SF28*BlendedPricePremMonthly*RQ28+SG28*BlendedPriceEliteMonthly*RQ28+SH28*BlendedPriceEssAnnual*RQ28/12+SI28*BlendedPricePremAnnual*RQ28/12+SJ28*BlendedPriceEliteAnnual*RQ28/12</f>
        <v/>
      </c>
      <c r="SM28" s="9">
        <f>SL28*12</f>
        <v/>
      </c>
      <c r="SN28" s="12">
        <f>SE28*BlendedPriceEssMonthly*RQ28+SF28*BlendedPricePremMonthly*RQ28+SG28*BlendedPriceEliteMonthly*RQ28</f>
        <v/>
      </c>
      <c r="SO28" s="12">
        <f>SB28*BlendedPriceEssAnnual*RQ28+SC28*BlendedPricePremAnnual*RQ28+SD28*BlendedPriceEliteAnnual*RQ28</f>
        <v/>
      </c>
      <c r="SP28" s="12">
        <f>SB16*POWER(1-(AnnualChurn*VLOOKUP(RN28,ChurnSeasonTable,4,FALSE)),1)*BlendedPriceEssAnnual*RQ28+SC16*POWER(1-(AnnualChurn*VLOOKUP(RN28,ChurnSeasonTable,4,FALSE)),1)*BlendedPricePremAnnual*RQ28+SD16*POWER(1-(AnnualChurn*VLOOKUP(RN28,ChurnSeasonTable,4,FALSE)),1)*BlendedPriceEliteAnnual*RQ28</f>
        <v/>
      </c>
      <c r="SQ28" s="9">
        <f>SN28+SO28+SP28</f>
        <v/>
      </c>
      <c r="SR28" s="12">
        <f>SUM(SQ17:SQ28)</f>
        <v/>
      </c>
      <c r="SS28" s="12">
        <f>OR(SS27,IF(VATAgentMode,SUM($SQ17:$SQ28)-SUM($SX17:$SX28)&gt;=VATThreshold,SUM($SQ17:$SQ28)&gt;=VATThreshold))</f>
        <v/>
      </c>
      <c r="ST28" s="9">
        <f>IF(SS28,IF(VATAgentMode,SQ28-((SQ28-SX28)-(SQ28-SX28)/(1+VATRate)),SQ28/(1+VATRate)),SQ28)</f>
        <v/>
      </c>
      <c r="SU28" s="12">
        <f>SQ28-ST28</f>
        <v/>
      </c>
      <c r="SV28" s="12">
        <f>IF(SS28=0,0,IF(RN28=1,SUMPRODUCT(--(($RO$5:$RO28=$RO28-1)*($RN$5:$RN28&gt;=10)*($RN$5:$RN28&lt;=12)),$SU$5:$SU28),IF(RN28=4,SUMPRODUCT(--(($RO$5:$RO28=$RO28)*($RN$5:$RN28&gt;=1)*($RN$5:$RN28&lt;=3)),$SU$5:$SU28),IF(RN28=7,SUMPRODUCT(--(($RO$5:$RO28=$RO28)*($RN$5:$RN28&gt;=4)*($RN$5:$RN28&lt;=6)),$SU$5:$SU28),IF(RN28=10,SUMPRODUCT(--(($RO$5:$RO28=$RO28)*($RN$5:$RN28&gt;=7)*($RN$5:$RN28&lt;=9)),$SU$5:$SU28),0)))))</f>
        <v/>
      </c>
      <c r="SW28" s="12">
        <f>SW27+SU28-SV28</f>
        <v/>
      </c>
      <c r="SX28" s="12">
        <f>IF(ProviderDelay&gt;=1,SE27*BlendedProvPayEss+SF27*BlendedProvPayPrem+SG27*BlendedProvPayElite+SH27*BlendedProvPayEss+SI27*BlendedProvPayPrem+SJ27*BlendedProvPayElite,SE28*BlendedProvPayEss+SF28*BlendedProvPayPrem+SG28*BlendedProvPayElite+SH28*BlendedProvPayEss+SI28*BlendedProvPayPrem+SJ28*BlendedProvPayElite)</f>
        <v/>
      </c>
      <c r="SY28" s="12">
        <f>SQ28*PaymentFee</f>
        <v/>
      </c>
      <c r="SZ28" s="12">
        <f>SK28*OpsAI</f>
        <v/>
      </c>
      <c r="TA28" s="12">
        <f>MonthlyFixed</f>
        <v/>
      </c>
      <c r="TB28" s="12">
        <f>RU28*ReferralReward</f>
        <v/>
      </c>
      <c r="TC28" s="12">
        <f>RS28</f>
        <v/>
      </c>
      <c r="TD28" s="9">
        <f>ST28-SX28-SY28-SZ28-TA28-TB28-TC28</f>
        <v/>
      </c>
      <c r="TE28" s="9">
        <f>TE27+SQ28-(SX28+SY28+SZ28+TA28+TB28+TC28+SV28)</f>
        <v/>
      </c>
      <c r="TF28" s="12">
        <f>IF(SK28&gt;0,SL28/SK28,0)</f>
        <v/>
      </c>
      <c r="TG28" s="11">
        <f>IF(SK27&gt;0,MAX(0,(SK27+RV28-SK28)/SK27),0)</f>
        <v/>
      </c>
      <c r="TI28" s="12" t="n">
        <v>24</v>
      </c>
      <c r="TJ28" s="12">
        <f>MOD(TI28-1+LaunchMonth-1,12)+1</f>
        <v/>
      </c>
      <c r="TK28" s="12">
        <f>INT((TI28-1+LaunchMonth-1)/12)+1</f>
        <v/>
      </c>
      <c r="TL28" s="12">
        <f>VLOOKUP(TJ28,SeasonTable,2,FALSE)</f>
        <v/>
      </c>
      <c r="TM28" s="12">
        <f>(1+InflationRate)^INT((TI28-1)/12)</f>
        <v/>
      </c>
      <c r="TN28" s="11">
        <f>'Sens - Churn'!$A$21*VLOOKUP(TJ28,ChurnSeasonTable,4,FALSE)</f>
        <v/>
      </c>
      <c r="TO28" s="12">
        <f>MIN(MAX(MktMin19plus,UM27*MktPct19plus),MAX(0,VA27-CashBuffer))</f>
        <v/>
      </c>
      <c r="TP28" s="12">
        <f>IF(TO28&gt;0,MAX(1,ROUND(TO28/CAC*TL28,0)),0)</f>
        <v/>
      </c>
      <c r="TQ28" s="12">
        <f>IF(TP28&gt;0,ROUND(TP28*ReferralMix/(1-ReferralMix),0),0)</f>
        <v/>
      </c>
      <c r="TR28" s="12">
        <f>TP28+TQ28</f>
        <v/>
      </c>
      <c r="TS28" s="12">
        <f>ROUND(TR28*(1-AnnualMix),0)</f>
        <v/>
      </c>
      <c r="TT28" s="12">
        <f>TR28-TS28</f>
        <v/>
      </c>
      <c r="TU28" s="12">
        <f>ROUND(TS28*EssentialMix,0)</f>
        <v/>
      </c>
      <c r="TV28" s="12">
        <f>ROUND(TS28*PremiumMix,0)</f>
        <v/>
      </c>
      <c r="TW28" s="12">
        <f>TS28-TU28-TV28</f>
        <v/>
      </c>
      <c r="TX28" s="12">
        <f>ROUND(TT28*EssentialMix,0)</f>
        <v/>
      </c>
      <c r="TY28" s="12">
        <f>ROUND(TT28*PremiumMix,0)</f>
        <v/>
      </c>
      <c r="TZ28" s="12">
        <f>TT28-TX28-TY28</f>
        <v/>
      </c>
      <c r="UA28" s="12">
        <f>TU28+TU27+TU26+MAX(0,UA27-TU27-TU26)*(1-TN28)</f>
        <v/>
      </c>
      <c r="UB28" s="12">
        <f>TV28+TV27+TV26+MAX(0,UB27-TV27-TV26)*(1-TN28)</f>
        <v/>
      </c>
      <c r="UC28" s="12">
        <f>TW28+TW27+TW26+MAX(0,UC27-TW27-TW26)*(1-TN28)</f>
        <v/>
      </c>
      <c r="UD28" s="12">
        <f>UD27+TX28-TX16*(AnnualChurn*VLOOKUP(TJ28,ChurnSeasonTable,4,FALSE))*POWER(1-(AnnualChurn*VLOOKUP(TJ28,ChurnSeasonTable,4,FALSE)),0)</f>
        <v/>
      </c>
      <c r="UE28" s="12">
        <f>UE27+TY28-TY16*(AnnualChurn*VLOOKUP(TJ28,ChurnSeasonTable,4,FALSE))*POWER(1-(AnnualChurn*VLOOKUP(TJ28,ChurnSeasonTable,4,FALSE)),0)</f>
        <v/>
      </c>
      <c r="UF28" s="12">
        <f>UF27+TZ28-TZ16*(AnnualChurn*VLOOKUP(TJ28,ChurnSeasonTable,4,FALSE))*POWER(1-(AnnualChurn*VLOOKUP(TJ28,ChurnSeasonTable,4,FALSE)),0)</f>
        <v/>
      </c>
      <c r="UG28" s="12">
        <f>UA28+UB28+UC28+UD28+UE28+UF28</f>
        <v/>
      </c>
      <c r="UH28" s="9">
        <f>UA28*BlendedPriceEssMonthly*TM28+UB28*BlendedPricePremMonthly*TM28+UC28*BlendedPriceEliteMonthly*TM28+UD28*BlendedPriceEssAnnual*TM28/12+UE28*BlendedPricePremAnnual*TM28/12+UF28*BlendedPriceEliteAnnual*TM28/12</f>
        <v/>
      </c>
      <c r="UI28" s="9">
        <f>UH28*12</f>
        <v/>
      </c>
      <c r="UJ28" s="12">
        <f>UA28*BlendedPriceEssMonthly*TM28+UB28*BlendedPricePremMonthly*TM28+UC28*BlendedPriceEliteMonthly*TM28</f>
        <v/>
      </c>
      <c r="UK28" s="12">
        <f>TX28*BlendedPriceEssAnnual*TM28+TY28*BlendedPricePremAnnual*TM28+TZ28*BlendedPriceEliteAnnual*TM28</f>
        <v/>
      </c>
      <c r="UL28" s="12">
        <f>TX16*POWER(1-(AnnualChurn*VLOOKUP(TJ28,ChurnSeasonTable,4,FALSE)),1)*BlendedPriceEssAnnual*TM28+TY16*POWER(1-(AnnualChurn*VLOOKUP(TJ28,ChurnSeasonTable,4,FALSE)),1)*BlendedPricePremAnnual*TM28+TZ16*POWER(1-(AnnualChurn*VLOOKUP(TJ28,ChurnSeasonTable,4,FALSE)),1)*BlendedPriceEliteAnnual*TM28</f>
        <v/>
      </c>
      <c r="UM28" s="9">
        <f>UJ28+UK28+UL28</f>
        <v/>
      </c>
      <c r="UN28" s="12">
        <f>SUM(UM17:UM28)</f>
        <v/>
      </c>
      <c r="UO28" s="12">
        <f>OR(UO27,IF(VATAgentMode,SUM($UM17:$UM28)-SUM($UT17:$UT28)&gt;=VATThreshold,SUM($UM17:$UM28)&gt;=VATThreshold))</f>
        <v/>
      </c>
      <c r="UP28" s="9">
        <f>IF(UO28,IF(VATAgentMode,UM28-((UM28-UT28)-(UM28-UT28)/(1+VATRate)),UM28/(1+VATRate)),UM28)</f>
        <v/>
      </c>
      <c r="UQ28" s="12">
        <f>UM28-UP28</f>
        <v/>
      </c>
      <c r="UR28" s="12">
        <f>IF(UO28=0,0,IF(TJ28=1,SUMPRODUCT(--(($TK$5:$TK28=$TK28-1)*($TJ$5:$TJ28&gt;=10)*($TJ$5:$TJ28&lt;=12)),$UQ$5:$UQ28),IF(TJ28=4,SUMPRODUCT(--(($TK$5:$TK28=$TK28)*($TJ$5:$TJ28&gt;=1)*($TJ$5:$TJ28&lt;=3)),$UQ$5:$UQ28),IF(TJ28=7,SUMPRODUCT(--(($TK$5:$TK28=$TK28)*($TJ$5:$TJ28&gt;=4)*($TJ$5:$TJ28&lt;=6)),$UQ$5:$UQ28),IF(TJ28=10,SUMPRODUCT(--(($TK$5:$TK28=$TK28)*($TJ$5:$TJ28&gt;=7)*($TJ$5:$TJ28&lt;=9)),$UQ$5:$UQ28),0)))))</f>
        <v/>
      </c>
      <c r="US28" s="12">
        <f>US27+UQ28-UR28</f>
        <v/>
      </c>
      <c r="UT28" s="12">
        <f>IF(ProviderDelay&gt;=1,UA27*BlendedProvPayEss+UB27*BlendedProvPayPrem+UC27*BlendedProvPayElite+UD27*BlendedProvPayEss+UE27*BlendedProvPayPrem+UF27*BlendedProvPayElite,UA28*BlendedProvPayEss+UB28*BlendedProvPayPrem+UC28*BlendedProvPayElite+UD28*BlendedProvPayEss+UE28*BlendedProvPayPrem+UF28*BlendedProvPayElite)</f>
        <v/>
      </c>
      <c r="UU28" s="12">
        <f>UM28*PaymentFee</f>
        <v/>
      </c>
      <c r="UV28" s="12">
        <f>UG28*OpsAI</f>
        <v/>
      </c>
      <c r="UW28" s="12">
        <f>MonthlyFixed</f>
        <v/>
      </c>
      <c r="UX28" s="12">
        <f>TQ28*ReferralReward</f>
        <v/>
      </c>
      <c r="UY28" s="12">
        <f>TO28</f>
        <v/>
      </c>
      <c r="UZ28" s="9">
        <f>UP28-UT28-UU28-UV28-UW28-UX28-UY28</f>
        <v/>
      </c>
      <c r="VA28" s="9">
        <f>VA27+UM28-(UT28+UU28+UV28+UW28+UX28+UY28+UR28)</f>
        <v/>
      </c>
      <c r="VB28" s="12">
        <f>IF(UG28&gt;0,UH28/UG28,0)</f>
        <v/>
      </c>
      <c r="VC28" s="11">
        <f>IF(UG27&gt;0,MAX(0,(UG27+TR28-UG28)/UG27),0)</f>
        <v/>
      </c>
      <c r="VE28" s="12" t="n">
        <v>24</v>
      </c>
      <c r="VF28" s="12">
        <f>MOD(VE28-1+LaunchMonth-1,12)+1</f>
        <v/>
      </c>
      <c r="VG28" s="12">
        <f>INT((VE28-1+LaunchMonth-1)/12)+1</f>
        <v/>
      </c>
      <c r="VH28" s="12">
        <f>VLOOKUP(VF28,SeasonTable,2,FALSE)</f>
        <v/>
      </c>
      <c r="VI28" s="12">
        <f>(1+InflationRate)^INT((VE28-1)/12)</f>
        <v/>
      </c>
      <c r="VJ28" s="11">
        <f>MonthlyChurn*VLOOKUP(VF28,ChurnSeasonTable,4,FALSE)</f>
        <v/>
      </c>
      <c r="VK28" s="12">
        <f>MIN(MAX(MktMin19plus,WI27*MktPct19plus),MAX(0,WW27-CashBuffer))</f>
        <v/>
      </c>
      <c r="VL28" s="12">
        <f>IF(VK28&gt;0,MAX(1,ROUND(VK28/CAC*VH28,0)),0)</f>
        <v/>
      </c>
      <c r="VM28" s="12">
        <f>IF(VL28&gt;0,ROUND(VL28*ReferralMix/(1-ReferralMix),0),0)</f>
        <v/>
      </c>
      <c r="VN28" s="12">
        <f>VL28+VM28</f>
        <v/>
      </c>
      <c r="VO28" s="12">
        <f>ROUND(VN28*(1-'Sens - Annual Mix'!$A$9),0)</f>
        <v/>
      </c>
      <c r="VP28" s="12">
        <f>VN28-VO28</f>
        <v/>
      </c>
      <c r="VQ28" s="12">
        <f>ROUND(VO28*EssentialMix,0)</f>
        <v/>
      </c>
      <c r="VR28" s="12">
        <f>ROUND(VO28*PremiumMix,0)</f>
        <v/>
      </c>
      <c r="VS28" s="12">
        <f>VO28-VQ28-VR28</f>
        <v/>
      </c>
      <c r="VT28" s="12">
        <f>ROUND(VP28*EssentialMix,0)</f>
        <v/>
      </c>
      <c r="VU28" s="12">
        <f>ROUND(VP28*PremiumMix,0)</f>
        <v/>
      </c>
      <c r="VV28" s="12">
        <f>VP28-VT28-VU28</f>
        <v/>
      </c>
      <c r="VW28" s="12">
        <f>VQ28+VQ27+VQ26+MAX(0,VW27-VQ27-VQ26)*(1-VJ28)</f>
        <v/>
      </c>
      <c r="VX28" s="12">
        <f>VR28+VR27+VR26+MAX(0,VX27-VR27-VR26)*(1-VJ28)</f>
        <v/>
      </c>
      <c r="VY28" s="12">
        <f>VS28+VS27+VS26+MAX(0,VY27-VS27-VS26)*(1-VJ28)</f>
        <v/>
      </c>
      <c r="VZ28" s="12">
        <f>VZ27+VT28-VT16*(AnnualChurn*VLOOKUP(VF28,ChurnSeasonTable,4,FALSE))*POWER(1-(AnnualChurn*VLOOKUP(VF28,ChurnSeasonTable,4,FALSE)),0)</f>
        <v/>
      </c>
      <c r="WA28" s="12">
        <f>WA27+VU28-VU16*(AnnualChurn*VLOOKUP(VF28,ChurnSeasonTable,4,FALSE))*POWER(1-(AnnualChurn*VLOOKUP(VF28,ChurnSeasonTable,4,FALSE)),0)</f>
        <v/>
      </c>
      <c r="WB28" s="12">
        <f>WB27+VV28-VV16*(AnnualChurn*VLOOKUP(VF28,ChurnSeasonTable,4,FALSE))*POWER(1-(AnnualChurn*VLOOKUP(VF28,ChurnSeasonTable,4,FALSE)),0)</f>
        <v/>
      </c>
      <c r="WC28" s="12">
        <f>VW28+VX28+VY28+VZ28+WA28+WB28</f>
        <v/>
      </c>
      <c r="WD28" s="9">
        <f>VW28*BlendedPriceEssMonthly*VI28+VX28*BlendedPricePremMonthly*VI28+VY28*BlendedPriceEliteMonthly*VI28+VZ28*BlendedPriceEssAnnual*VI28/12+WA28*BlendedPricePremAnnual*VI28/12+WB28*BlendedPriceEliteAnnual*VI28/12</f>
        <v/>
      </c>
      <c r="WE28" s="9">
        <f>WD28*12</f>
        <v/>
      </c>
      <c r="WF28" s="12">
        <f>VW28*BlendedPriceEssMonthly*VI28+VX28*BlendedPricePremMonthly*VI28+VY28*BlendedPriceEliteMonthly*VI28</f>
        <v/>
      </c>
      <c r="WG28" s="12">
        <f>VT28*BlendedPriceEssAnnual*VI28+VU28*BlendedPricePremAnnual*VI28+VV28*BlendedPriceEliteAnnual*VI28</f>
        <v/>
      </c>
      <c r="WH28" s="12">
        <f>VT16*POWER(1-(AnnualChurn*VLOOKUP(VF28,ChurnSeasonTable,4,FALSE)),1)*BlendedPriceEssAnnual*VI28+VU16*POWER(1-(AnnualChurn*VLOOKUP(VF28,ChurnSeasonTable,4,FALSE)),1)*BlendedPricePremAnnual*VI28+VV16*POWER(1-(AnnualChurn*VLOOKUP(VF28,ChurnSeasonTable,4,FALSE)),1)*BlendedPriceEliteAnnual*VI28</f>
        <v/>
      </c>
      <c r="WI28" s="9">
        <f>WF28+WG28+WH28</f>
        <v/>
      </c>
      <c r="WJ28" s="12">
        <f>SUM(WI17:WI28)</f>
        <v/>
      </c>
      <c r="WK28" s="12">
        <f>OR(WK27,IF(VATAgentMode,SUM($WI17:$WI28)-SUM($WP17:$WP28)&gt;=VATThreshold,SUM($WI17:$WI28)&gt;=VATThreshold))</f>
        <v/>
      </c>
      <c r="WL28" s="9">
        <f>IF(WK28,IF(VATAgentMode,WI28-((WI28-WP28)-(WI28-WP28)/(1+VATRate)),WI28/(1+VATRate)),WI28)</f>
        <v/>
      </c>
      <c r="WM28" s="12">
        <f>WI28-WL28</f>
        <v/>
      </c>
      <c r="WN28" s="12">
        <f>IF(WK28=0,0,IF(VF28=1,SUMPRODUCT(--(($VG$5:$VG28=$VG28-1)*($VF$5:$VF28&gt;=10)*($VF$5:$VF28&lt;=12)),$WM$5:$WM28),IF(VF28=4,SUMPRODUCT(--(($VG$5:$VG28=$VG28)*($VF$5:$VF28&gt;=1)*($VF$5:$VF28&lt;=3)),$WM$5:$WM28),IF(VF28=7,SUMPRODUCT(--(($VG$5:$VG28=$VG28)*($VF$5:$VF28&gt;=4)*($VF$5:$VF28&lt;=6)),$WM$5:$WM28),IF(VF28=10,SUMPRODUCT(--(($VG$5:$VG28=$VG28)*($VF$5:$VF28&gt;=7)*($VF$5:$VF28&lt;=9)),$WM$5:$WM28),0)))))</f>
        <v/>
      </c>
      <c r="WO28" s="12">
        <f>WO27+WM28-WN28</f>
        <v/>
      </c>
      <c r="WP28" s="12">
        <f>IF(ProviderDelay&gt;=1,VW27*BlendedProvPayEss+VX27*BlendedProvPayPrem+VY27*BlendedProvPayElite+VZ27*BlendedProvPayEss+WA27*BlendedProvPayPrem+WB27*BlendedProvPayElite,VW28*BlendedProvPayEss+VX28*BlendedProvPayPrem+VY28*BlendedProvPayElite+VZ28*BlendedProvPayEss+WA28*BlendedProvPayPrem+WB28*BlendedProvPayElite)</f>
        <v/>
      </c>
      <c r="WQ28" s="12">
        <f>WI28*PaymentFee</f>
        <v/>
      </c>
      <c r="WR28" s="12">
        <f>WC28*OpsAI</f>
        <v/>
      </c>
      <c r="WS28" s="12">
        <f>MonthlyFixed</f>
        <v/>
      </c>
      <c r="WT28" s="12">
        <f>VM28*ReferralReward</f>
        <v/>
      </c>
      <c r="WU28" s="12">
        <f>VK28</f>
        <v/>
      </c>
      <c r="WV28" s="9">
        <f>WL28-WP28-WQ28-WR28-WS28-WT28-WU28</f>
        <v/>
      </c>
      <c r="WW28" s="9">
        <f>WW27+WI28-(WP28+WQ28+WR28+WS28+WT28+WU28+WN28)</f>
        <v/>
      </c>
      <c r="WX28" s="12">
        <f>IF(WC28&gt;0,WD28/WC28,0)</f>
        <v/>
      </c>
      <c r="WY28" s="11">
        <f>IF(WC27&gt;0,MAX(0,(WC27+VN28-WC28)/WC27),0)</f>
        <v/>
      </c>
      <c r="XA28" s="12" t="n">
        <v>24</v>
      </c>
      <c r="XB28" s="12">
        <f>MOD(XA28-1+LaunchMonth-1,12)+1</f>
        <v/>
      </c>
      <c r="XC28" s="12">
        <f>INT((XA28-1+LaunchMonth-1)/12)+1</f>
        <v/>
      </c>
      <c r="XD28" s="12">
        <f>VLOOKUP(XB28,SeasonTable,2,FALSE)</f>
        <v/>
      </c>
      <c r="XE28" s="12">
        <f>(1+InflationRate)^INT((XA28-1)/12)</f>
        <v/>
      </c>
      <c r="XF28" s="11">
        <f>MonthlyChurn*VLOOKUP(XB28,ChurnSeasonTable,4,FALSE)</f>
        <v/>
      </c>
      <c r="XG28" s="12">
        <f>MIN(MAX(MktMin19plus,YE27*MktPct19plus),MAX(0,YS27-CashBuffer))</f>
        <v/>
      </c>
      <c r="XH28" s="12">
        <f>IF(XG28&gt;0,MAX(1,ROUND(XG28/CAC*XD28,0)),0)</f>
        <v/>
      </c>
      <c r="XI28" s="12">
        <f>IF(XH28&gt;0,ROUND(XH28*ReferralMix/(1-ReferralMix),0),0)</f>
        <v/>
      </c>
      <c r="XJ28" s="12">
        <f>XH28+XI28</f>
        <v/>
      </c>
      <c r="XK28" s="12">
        <f>ROUND(XJ28*(1-'Sens - Annual Mix'!$A$10),0)</f>
        <v/>
      </c>
      <c r="XL28" s="12">
        <f>XJ28-XK28</f>
        <v/>
      </c>
      <c r="XM28" s="12">
        <f>ROUND(XK28*EssentialMix,0)</f>
        <v/>
      </c>
      <c r="XN28" s="12">
        <f>ROUND(XK28*PremiumMix,0)</f>
        <v/>
      </c>
      <c r="XO28" s="12">
        <f>XK28-XM28-XN28</f>
        <v/>
      </c>
      <c r="XP28" s="12">
        <f>ROUND(XL28*EssentialMix,0)</f>
        <v/>
      </c>
      <c r="XQ28" s="12">
        <f>ROUND(XL28*PremiumMix,0)</f>
        <v/>
      </c>
      <c r="XR28" s="12">
        <f>XL28-XP28-XQ28</f>
        <v/>
      </c>
      <c r="XS28" s="12">
        <f>XM28+XM27+XM26+MAX(0,XS27-XM27-XM26)*(1-XF28)</f>
        <v/>
      </c>
      <c r="XT28" s="12">
        <f>XN28+XN27+XN26+MAX(0,XT27-XN27-XN26)*(1-XF28)</f>
        <v/>
      </c>
      <c r="XU28" s="12">
        <f>XO28+XO27+XO26+MAX(0,XU27-XO27-XO26)*(1-XF28)</f>
        <v/>
      </c>
      <c r="XV28" s="12">
        <f>XV27+XP28-XP16*(AnnualChurn*VLOOKUP(XB28,ChurnSeasonTable,4,FALSE))*POWER(1-(AnnualChurn*VLOOKUP(XB28,ChurnSeasonTable,4,FALSE)),0)</f>
        <v/>
      </c>
      <c r="XW28" s="12">
        <f>XW27+XQ28-XQ16*(AnnualChurn*VLOOKUP(XB28,ChurnSeasonTable,4,FALSE))*POWER(1-(AnnualChurn*VLOOKUP(XB28,ChurnSeasonTable,4,FALSE)),0)</f>
        <v/>
      </c>
      <c r="XX28" s="12">
        <f>XX27+XR28-XR16*(AnnualChurn*VLOOKUP(XB28,ChurnSeasonTable,4,FALSE))*POWER(1-(AnnualChurn*VLOOKUP(XB28,ChurnSeasonTable,4,FALSE)),0)</f>
        <v/>
      </c>
      <c r="XY28" s="12">
        <f>XS28+XT28+XU28+XV28+XW28+XX28</f>
        <v/>
      </c>
      <c r="XZ28" s="9">
        <f>XS28*BlendedPriceEssMonthly*XE28+XT28*BlendedPricePremMonthly*XE28+XU28*BlendedPriceEliteMonthly*XE28+XV28*BlendedPriceEssAnnual*XE28/12+XW28*BlendedPricePremAnnual*XE28/12+XX28*BlendedPriceEliteAnnual*XE28/12</f>
        <v/>
      </c>
      <c r="YA28" s="9">
        <f>XZ28*12</f>
        <v/>
      </c>
      <c r="YB28" s="12">
        <f>XS28*BlendedPriceEssMonthly*XE28+XT28*BlendedPricePremMonthly*XE28+XU28*BlendedPriceEliteMonthly*XE28</f>
        <v/>
      </c>
      <c r="YC28" s="12">
        <f>XP28*BlendedPriceEssAnnual*XE28+XQ28*BlendedPricePremAnnual*XE28+XR28*BlendedPriceEliteAnnual*XE28</f>
        <v/>
      </c>
      <c r="YD28" s="12">
        <f>XP16*POWER(1-(AnnualChurn*VLOOKUP(XB28,ChurnSeasonTable,4,FALSE)),1)*BlendedPriceEssAnnual*XE28+XQ16*POWER(1-(AnnualChurn*VLOOKUP(XB28,ChurnSeasonTable,4,FALSE)),1)*BlendedPricePremAnnual*XE28+XR16*POWER(1-(AnnualChurn*VLOOKUP(XB28,ChurnSeasonTable,4,FALSE)),1)*BlendedPriceEliteAnnual*XE28</f>
        <v/>
      </c>
      <c r="YE28" s="9">
        <f>YB28+YC28+YD28</f>
        <v/>
      </c>
      <c r="YF28" s="12">
        <f>SUM(YE17:YE28)</f>
        <v/>
      </c>
      <c r="YG28" s="12">
        <f>OR(YG27,IF(VATAgentMode,SUM($YE17:$YE28)-SUM($YL17:$YL28)&gt;=VATThreshold,SUM($YE17:$YE28)&gt;=VATThreshold))</f>
        <v/>
      </c>
      <c r="YH28" s="9">
        <f>IF(YG28,IF(VATAgentMode,YE28-((YE28-YL28)-(YE28-YL28)/(1+VATRate)),YE28/(1+VATRate)),YE28)</f>
        <v/>
      </c>
      <c r="YI28" s="12">
        <f>YE28-YH28</f>
        <v/>
      </c>
      <c r="YJ28" s="12">
        <f>IF(YG28=0,0,IF(XB28=1,SUMPRODUCT(--(($XC$5:$XC28=$XC28-1)*($XB$5:$XB28&gt;=10)*($XB$5:$XB28&lt;=12)),$YI$5:$YI28),IF(XB28=4,SUMPRODUCT(--(($XC$5:$XC28=$XC28)*($XB$5:$XB28&gt;=1)*($XB$5:$XB28&lt;=3)),$YI$5:$YI28),IF(XB28=7,SUMPRODUCT(--(($XC$5:$XC28=$XC28)*($XB$5:$XB28&gt;=4)*($XB$5:$XB28&lt;=6)),$YI$5:$YI28),IF(XB28=10,SUMPRODUCT(--(($XC$5:$XC28=$XC28)*($XB$5:$XB28&gt;=7)*($XB$5:$XB28&lt;=9)),$YI$5:$YI28),0)))))</f>
        <v/>
      </c>
      <c r="YK28" s="12">
        <f>YK27+YI28-YJ28</f>
        <v/>
      </c>
      <c r="YL28" s="12">
        <f>IF(ProviderDelay&gt;=1,XS27*BlendedProvPayEss+XT27*BlendedProvPayPrem+XU27*BlendedProvPayElite+XV27*BlendedProvPayEss+XW27*BlendedProvPayPrem+XX27*BlendedProvPayElite,XS28*BlendedProvPayEss+XT28*BlendedProvPayPrem+XU28*BlendedProvPayElite+XV28*BlendedProvPayEss+XW28*BlendedProvPayPrem+XX28*BlendedProvPayElite)</f>
        <v/>
      </c>
      <c r="YM28" s="12">
        <f>YE28*PaymentFee</f>
        <v/>
      </c>
      <c r="YN28" s="12">
        <f>XY28*OpsAI</f>
        <v/>
      </c>
      <c r="YO28" s="12">
        <f>MonthlyFixed</f>
        <v/>
      </c>
      <c r="YP28" s="12">
        <f>XI28*ReferralReward</f>
        <v/>
      </c>
      <c r="YQ28" s="12">
        <f>XG28</f>
        <v/>
      </c>
      <c r="YR28" s="9">
        <f>YH28-YL28-YM28-YN28-YO28-YP28-YQ28</f>
        <v/>
      </c>
      <c r="YS28" s="9">
        <f>YS27+YE28-(YL28+YM28+YN28+YO28+YP28+YQ28+YJ28)</f>
        <v/>
      </c>
      <c r="YT28" s="12">
        <f>IF(XY28&gt;0,XZ28/XY28,0)</f>
        <v/>
      </c>
      <c r="YU28" s="11">
        <f>IF(XY27&gt;0,MAX(0,(XY27+XJ28-XY28)/XY27),0)</f>
        <v/>
      </c>
      <c r="YW28" s="12" t="n">
        <v>24</v>
      </c>
      <c r="YX28" s="12">
        <f>MOD(YW28-1+LaunchMonth-1,12)+1</f>
        <v/>
      </c>
      <c r="YY28" s="12">
        <f>INT((YW28-1+LaunchMonth-1)/12)+1</f>
        <v/>
      </c>
      <c r="YZ28" s="12">
        <f>VLOOKUP(YX28,SeasonTable,2,FALSE)</f>
        <v/>
      </c>
      <c r="ZA28" s="12">
        <f>(1+InflationRate)^INT((YW28-1)/12)</f>
        <v/>
      </c>
      <c r="ZB28" s="11">
        <f>MonthlyChurn*VLOOKUP(YX28,ChurnSeasonTable,4,FALSE)</f>
        <v/>
      </c>
      <c r="ZC28" s="12">
        <f>MIN(MAX(MktMin19plus,AAA27*MktPct19plus),MAX(0,AAO27-CashBuffer))</f>
        <v/>
      </c>
      <c r="ZD28" s="12">
        <f>IF(ZC28&gt;0,MAX(1,ROUND(ZC28/CAC*YZ28,0)),0)</f>
        <v/>
      </c>
      <c r="ZE28" s="12">
        <f>IF(ZD28&gt;0,ROUND(ZD28*ReferralMix/(1-ReferralMix),0),0)</f>
        <v/>
      </c>
      <c r="ZF28" s="12">
        <f>ZD28+ZE28</f>
        <v/>
      </c>
      <c r="ZG28" s="12">
        <f>ROUND(ZF28*(1-'Sens - Annual Mix'!$A$11),0)</f>
        <v/>
      </c>
      <c r="ZH28" s="12">
        <f>ZF28-ZG28</f>
        <v/>
      </c>
      <c r="ZI28" s="12">
        <f>ROUND(ZG28*EssentialMix,0)</f>
        <v/>
      </c>
      <c r="ZJ28" s="12">
        <f>ROUND(ZG28*PremiumMix,0)</f>
        <v/>
      </c>
      <c r="ZK28" s="12">
        <f>ZG28-ZI28-ZJ28</f>
        <v/>
      </c>
      <c r="ZL28" s="12">
        <f>ROUND(ZH28*EssentialMix,0)</f>
        <v/>
      </c>
      <c r="ZM28" s="12">
        <f>ROUND(ZH28*PremiumMix,0)</f>
        <v/>
      </c>
      <c r="ZN28" s="12">
        <f>ZH28-ZL28-ZM28</f>
        <v/>
      </c>
      <c r="ZO28" s="12">
        <f>ZI28+ZI27+ZI26+MAX(0,ZO27-ZI27-ZI26)*(1-ZB28)</f>
        <v/>
      </c>
      <c r="ZP28" s="12">
        <f>ZJ28+ZJ27+ZJ26+MAX(0,ZP27-ZJ27-ZJ26)*(1-ZB28)</f>
        <v/>
      </c>
      <c r="ZQ28" s="12">
        <f>ZK28+ZK27+ZK26+MAX(0,ZQ27-ZK27-ZK26)*(1-ZB28)</f>
        <v/>
      </c>
      <c r="ZR28" s="12">
        <f>ZR27+ZL28-ZL16*(AnnualChurn*VLOOKUP(YX28,ChurnSeasonTable,4,FALSE))*POWER(1-(AnnualChurn*VLOOKUP(YX28,ChurnSeasonTable,4,FALSE)),0)</f>
        <v/>
      </c>
      <c r="ZS28" s="12">
        <f>ZS27+ZM28-ZM16*(AnnualChurn*VLOOKUP(YX28,ChurnSeasonTable,4,FALSE))*POWER(1-(AnnualChurn*VLOOKUP(YX28,ChurnSeasonTable,4,FALSE)),0)</f>
        <v/>
      </c>
      <c r="ZT28" s="12">
        <f>ZT27+ZN28-ZN16*(AnnualChurn*VLOOKUP(YX28,ChurnSeasonTable,4,FALSE))*POWER(1-(AnnualChurn*VLOOKUP(YX28,ChurnSeasonTable,4,FALSE)),0)</f>
        <v/>
      </c>
      <c r="ZU28" s="12">
        <f>ZO28+ZP28+ZQ28+ZR28+ZS28+ZT28</f>
        <v/>
      </c>
      <c r="ZV28" s="9">
        <f>ZO28*BlendedPriceEssMonthly*ZA28+ZP28*BlendedPricePremMonthly*ZA28+ZQ28*BlendedPriceEliteMonthly*ZA28+ZR28*BlendedPriceEssAnnual*ZA28/12+ZS28*BlendedPricePremAnnual*ZA28/12+ZT28*BlendedPriceEliteAnnual*ZA28/12</f>
        <v/>
      </c>
      <c r="ZW28" s="9">
        <f>ZV28*12</f>
        <v/>
      </c>
      <c r="ZX28" s="12">
        <f>ZO28*BlendedPriceEssMonthly*ZA28+ZP28*BlendedPricePremMonthly*ZA28+ZQ28*BlendedPriceEliteMonthly*ZA28</f>
        <v/>
      </c>
      <c r="ZY28" s="12">
        <f>ZL28*BlendedPriceEssAnnual*ZA28+ZM28*BlendedPricePremAnnual*ZA28+ZN28*BlendedPriceEliteAnnual*ZA28</f>
        <v/>
      </c>
      <c r="ZZ28" s="12">
        <f>ZL16*POWER(1-(AnnualChurn*VLOOKUP(YX28,ChurnSeasonTable,4,FALSE)),1)*BlendedPriceEssAnnual*ZA28+ZM16*POWER(1-(AnnualChurn*VLOOKUP(YX28,ChurnSeasonTable,4,FALSE)),1)*BlendedPricePremAnnual*ZA28+ZN16*POWER(1-(AnnualChurn*VLOOKUP(YX28,ChurnSeasonTable,4,FALSE)),1)*BlendedPriceEliteAnnual*ZA28</f>
        <v/>
      </c>
      <c r="AAA28" s="9">
        <f>ZX28+ZY28+ZZ28</f>
        <v/>
      </c>
      <c r="AAB28" s="12">
        <f>SUM(AAA17:AAA28)</f>
        <v/>
      </c>
      <c r="AAC28" s="12">
        <f>OR(AAC27,IF(VATAgentMode,SUM($AAA17:$AAA28)-SUM($AAH17:$AAH28)&gt;=VATThreshold,SUM($AAA17:$AAA28)&gt;=VATThreshold))</f>
        <v/>
      </c>
      <c r="AAD28" s="9">
        <f>IF(AAC28,IF(VATAgentMode,AAA28-((AAA28-AAH28)-(AAA28-AAH28)/(1+VATRate)),AAA28/(1+VATRate)),AAA28)</f>
        <v/>
      </c>
      <c r="AAE28" s="12">
        <f>AAA28-AAD28</f>
        <v/>
      </c>
      <c r="AAF28" s="12">
        <f>IF(AAC28=0,0,IF(YX28=1,SUMPRODUCT(--(($YY$5:$YY28=$YY28-1)*($YX$5:$YX28&gt;=10)*($YX$5:$YX28&lt;=12)),$AAE$5:$AAE28),IF(YX28=4,SUMPRODUCT(--(($YY$5:$YY28=$YY28)*($YX$5:$YX28&gt;=1)*($YX$5:$YX28&lt;=3)),$AAE$5:$AAE28),IF(YX28=7,SUMPRODUCT(--(($YY$5:$YY28=$YY28)*($YX$5:$YX28&gt;=4)*($YX$5:$YX28&lt;=6)),$AAE$5:$AAE28),IF(YX28=10,SUMPRODUCT(--(($YY$5:$YY28=$YY28)*($YX$5:$YX28&gt;=7)*($YX$5:$YX28&lt;=9)),$AAE$5:$AAE28),0)))))</f>
        <v/>
      </c>
      <c r="AAG28" s="12">
        <f>AAG27+AAE28-AAF28</f>
        <v/>
      </c>
      <c r="AAH28" s="12">
        <f>IF(ProviderDelay&gt;=1,ZO27*BlendedProvPayEss+ZP27*BlendedProvPayPrem+ZQ27*BlendedProvPayElite+ZR27*BlendedProvPayEss+ZS27*BlendedProvPayPrem+ZT27*BlendedProvPayElite,ZO28*BlendedProvPayEss+ZP28*BlendedProvPayPrem+ZQ28*BlendedProvPayElite+ZR28*BlendedProvPayEss+ZS28*BlendedProvPayPrem+ZT28*BlendedProvPayElite)</f>
        <v/>
      </c>
      <c r="AAI28" s="12">
        <f>AAA28*PaymentFee</f>
        <v/>
      </c>
      <c r="AAJ28" s="12">
        <f>ZU28*OpsAI</f>
        <v/>
      </c>
      <c r="AAK28" s="12">
        <f>MonthlyFixed</f>
        <v/>
      </c>
      <c r="AAL28" s="12">
        <f>ZE28*ReferralReward</f>
        <v/>
      </c>
      <c r="AAM28" s="12">
        <f>ZC28</f>
        <v/>
      </c>
      <c r="AAN28" s="9">
        <f>AAD28-AAH28-AAI28-AAJ28-AAK28-AAL28-AAM28</f>
        <v/>
      </c>
      <c r="AAO28" s="9">
        <f>AAO27+AAA28-(AAH28+AAI28+AAJ28+AAK28+AAL28+AAM28+AAF28)</f>
        <v/>
      </c>
      <c r="AAP28" s="12">
        <f>IF(ZU28&gt;0,ZV28/ZU28,0)</f>
        <v/>
      </c>
      <c r="AAQ28" s="11">
        <f>IF(ZU27&gt;0,MAX(0,(ZU27+ZF28-ZU28)/ZU27),0)</f>
        <v/>
      </c>
      <c r="AAS28" s="12" t="n">
        <v>24</v>
      </c>
      <c r="AAT28" s="12">
        <f>MOD(AAS28-1+LaunchMonth-1,12)+1</f>
        <v/>
      </c>
      <c r="AAU28" s="12">
        <f>INT((AAS28-1+LaunchMonth-1)/12)+1</f>
        <v/>
      </c>
      <c r="AAV28" s="12">
        <f>VLOOKUP(AAT28,SeasonTable,2,FALSE)</f>
        <v/>
      </c>
      <c r="AAW28" s="12">
        <f>(1+InflationRate)^INT((AAS28-1)/12)</f>
        <v/>
      </c>
      <c r="AAX28" s="11">
        <f>MonthlyChurn*VLOOKUP(AAT28,ChurnSeasonTable,4,FALSE)</f>
        <v/>
      </c>
      <c r="AAY28" s="12">
        <f>MIN(MAX(MktMin19plus,ABW27*MktPct19plus),MAX(0,ACK27-CashBuffer))</f>
        <v/>
      </c>
      <c r="AAZ28" s="12">
        <f>IF(AAY28&gt;0,MAX(1,ROUND(AAY28/CAC*AAV28,0)),0)</f>
        <v/>
      </c>
      <c r="ABA28" s="12">
        <f>IF(AAZ28&gt;0,ROUND(AAZ28*ReferralMix/(1-ReferralMix),0),0)</f>
        <v/>
      </c>
      <c r="ABB28" s="12">
        <f>AAZ28+ABA28</f>
        <v/>
      </c>
      <c r="ABC28" s="12">
        <f>ROUND(ABB28*(1-'Sens - Annual Mix'!$A$12),0)</f>
        <v/>
      </c>
      <c r="ABD28" s="12">
        <f>ABB28-ABC28</f>
        <v/>
      </c>
      <c r="ABE28" s="12">
        <f>ROUND(ABC28*EssentialMix,0)</f>
        <v/>
      </c>
      <c r="ABF28" s="12">
        <f>ROUND(ABC28*PremiumMix,0)</f>
        <v/>
      </c>
      <c r="ABG28" s="12">
        <f>ABC28-ABE28-ABF28</f>
        <v/>
      </c>
      <c r="ABH28" s="12">
        <f>ROUND(ABD28*EssentialMix,0)</f>
        <v/>
      </c>
      <c r="ABI28" s="12">
        <f>ROUND(ABD28*PremiumMix,0)</f>
        <v/>
      </c>
      <c r="ABJ28" s="12">
        <f>ABD28-ABH28-ABI28</f>
        <v/>
      </c>
      <c r="ABK28" s="12">
        <f>ABE28+ABE27+ABE26+MAX(0,ABK27-ABE27-ABE26)*(1-AAX28)</f>
        <v/>
      </c>
      <c r="ABL28" s="12">
        <f>ABF28+ABF27+ABF26+MAX(0,ABL27-ABF27-ABF26)*(1-AAX28)</f>
        <v/>
      </c>
      <c r="ABM28" s="12">
        <f>ABG28+ABG27+ABG26+MAX(0,ABM27-ABG27-ABG26)*(1-AAX28)</f>
        <v/>
      </c>
      <c r="ABN28" s="12">
        <f>ABN27+ABH28-ABH16*(AnnualChurn*VLOOKUP(AAT28,ChurnSeasonTable,4,FALSE))*POWER(1-(AnnualChurn*VLOOKUP(AAT28,ChurnSeasonTable,4,FALSE)),0)</f>
        <v/>
      </c>
      <c r="ABO28" s="12">
        <f>ABO27+ABI28-ABI16*(AnnualChurn*VLOOKUP(AAT28,ChurnSeasonTable,4,FALSE))*POWER(1-(AnnualChurn*VLOOKUP(AAT28,ChurnSeasonTable,4,FALSE)),0)</f>
        <v/>
      </c>
      <c r="ABP28" s="12">
        <f>ABP27+ABJ28-ABJ16*(AnnualChurn*VLOOKUP(AAT28,ChurnSeasonTable,4,FALSE))*POWER(1-(AnnualChurn*VLOOKUP(AAT28,ChurnSeasonTable,4,FALSE)),0)</f>
        <v/>
      </c>
      <c r="ABQ28" s="12">
        <f>ABK28+ABL28+ABM28+ABN28+ABO28+ABP28</f>
        <v/>
      </c>
      <c r="ABR28" s="9">
        <f>ABK28*BlendedPriceEssMonthly*AAW28+ABL28*BlendedPricePremMonthly*AAW28+ABM28*BlendedPriceEliteMonthly*AAW28+ABN28*BlendedPriceEssAnnual*AAW28/12+ABO28*BlendedPricePremAnnual*AAW28/12+ABP28*BlendedPriceEliteAnnual*AAW28/12</f>
        <v/>
      </c>
      <c r="ABS28" s="9">
        <f>ABR28*12</f>
        <v/>
      </c>
      <c r="ABT28" s="12">
        <f>ABK28*BlendedPriceEssMonthly*AAW28+ABL28*BlendedPricePremMonthly*AAW28+ABM28*BlendedPriceEliteMonthly*AAW28</f>
        <v/>
      </c>
      <c r="ABU28" s="12">
        <f>ABH28*BlendedPriceEssAnnual*AAW28+ABI28*BlendedPricePremAnnual*AAW28+ABJ28*BlendedPriceEliteAnnual*AAW28</f>
        <v/>
      </c>
      <c r="ABV28" s="12">
        <f>ABH16*POWER(1-(AnnualChurn*VLOOKUP(AAT28,ChurnSeasonTable,4,FALSE)),1)*BlendedPriceEssAnnual*AAW28+ABI16*POWER(1-(AnnualChurn*VLOOKUP(AAT28,ChurnSeasonTable,4,FALSE)),1)*BlendedPricePremAnnual*AAW28+ABJ16*POWER(1-(AnnualChurn*VLOOKUP(AAT28,ChurnSeasonTable,4,FALSE)),1)*BlendedPriceEliteAnnual*AAW28</f>
        <v/>
      </c>
      <c r="ABW28" s="9">
        <f>ABT28+ABU28+ABV28</f>
        <v/>
      </c>
      <c r="ABX28" s="12">
        <f>SUM(ABW17:ABW28)</f>
        <v/>
      </c>
      <c r="ABY28" s="12">
        <f>OR(ABY27,IF(VATAgentMode,SUM($ABW17:$ABW28)-SUM($ACD17:$ACD28)&gt;=VATThreshold,SUM($ABW17:$ABW28)&gt;=VATThreshold))</f>
        <v/>
      </c>
      <c r="ABZ28" s="9">
        <f>IF(ABY28,IF(VATAgentMode,ABW28-((ABW28-ACD28)-(ABW28-ACD28)/(1+VATRate)),ABW28/(1+VATRate)),ABW28)</f>
        <v/>
      </c>
      <c r="ACA28" s="12">
        <f>ABW28-ABZ28</f>
        <v/>
      </c>
      <c r="ACB28" s="12">
        <f>IF(ABY28=0,0,IF(AAT28=1,SUMPRODUCT(--(($AAU$5:$AAU28=$AAU28-1)*($AAT$5:$AAT28&gt;=10)*($AAT$5:$AAT28&lt;=12)),$ACA$5:$ACA28),IF(AAT28=4,SUMPRODUCT(--(($AAU$5:$AAU28=$AAU28)*($AAT$5:$AAT28&gt;=1)*($AAT$5:$AAT28&lt;=3)),$ACA$5:$ACA28),IF(AAT28=7,SUMPRODUCT(--(($AAU$5:$AAU28=$AAU28)*($AAT$5:$AAT28&gt;=4)*($AAT$5:$AAT28&lt;=6)),$ACA$5:$ACA28),IF(AAT28=10,SUMPRODUCT(--(($AAU$5:$AAU28=$AAU28)*($AAT$5:$AAT28&gt;=7)*($AAT$5:$AAT28&lt;=9)),$ACA$5:$ACA28),0)))))</f>
        <v/>
      </c>
      <c r="ACC28" s="12">
        <f>ACC27+ACA28-ACB28</f>
        <v/>
      </c>
      <c r="ACD28" s="12">
        <f>IF(ProviderDelay&gt;=1,ABK27*BlendedProvPayEss+ABL27*BlendedProvPayPrem+ABM27*BlendedProvPayElite+ABN27*BlendedProvPayEss+ABO27*BlendedProvPayPrem+ABP27*BlendedProvPayElite,ABK28*BlendedProvPayEss+ABL28*BlendedProvPayPrem+ABM28*BlendedProvPayElite+ABN28*BlendedProvPayEss+ABO28*BlendedProvPayPrem+ABP28*BlendedProvPayElite)</f>
        <v/>
      </c>
      <c r="ACE28" s="12">
        <f>ABW28*PaymentFee</f>
        <v/>
      </c>
      <c r="ACF28" s="12">
        <f>ABQ28*OpsAI</f>
        <v/>
      </c>
      <c r="ACG28" s="12">
        <f>MonthlyFixed</f>
        <v/>
      </c>
      <c r="ACH28" s="12">
        <f>ABA28*ReferralReward</f>
        <v/>
      </c>
      <c r="ACI28" s="12">
        <f>AAY28</f>
        <v/>
      </c>
      <c r="ACJ28" s="9">
        <f>ABZ28-ACD28-ACE28-ACF28-ACG28-ACH28-ACI28</f>
        <v/>
      </c>
      <c r="ACK28" s="9">
        <f>ACK27+ABW28-(ACD28+ACE28+ACF28+ACG28+ACH28+ACI28+ACB28)</f>
        <v/>
      </c>
      <c r="ACL28" s="12">
        <f>IF(ABQ28&gt;0,ABR28/ABQ28,0)</f>
        <v/>
      </c>
      <c r="ACM28" s="11">
        <f>IF(ABQ27&gt;0,MAX(0,(ABQ27+ABB28-ABQ28)/ABQ27),0)</f>
        <v/>
      </c>
      <c r="ACO28" s="12" t="n">
        <v>24</v>
      </c>
      <c r="ACP28" s="12">
        <f>MOD(ACO28-1+LaunchMonth-1,12)+1</f>
        <v/>
      </c>
      <c r="ACQ28" s="12">
        <f>INT((ACO28-1+LaunchMonth-1)/12)+1</f>
        <v/>
      </c>
      <c r="ACR28" s="12">
        <f>VLOOKUP(ACP28,SeasonTable,2,FALSE)</f>
        <v/>
      </c>
      <c r="ACS28" s="12">
        <f>(1+InflationRate)^INT((ACO28-1)/12)</f>
        <v/>
      </c>
      <c r="ACT28" s="11">
        <f>MonthlyChurn*VLOOKUP(ACP28,ChurnSeasonTable,4,FALSE)</f>
        <v/>
      </c>
      <c r="ACU28" s="12">
        <f>MIN(MAX(MktMin19plus,ADS27*MktPct19plus),MAX(0,AEG27-CashBuffer))</f>
        <v/>
      </c>
      <c r="ACV28" s="12">
        <f>IF(ACU28&gt;0,MAX(1,ROUND(ACU28/CAC*ACR28,0)),0)</f>
        <v/>
      </c>
      <c r="ACW28" s="12">
        <f>IF(ACV28&gt;0,ROUND(ACV28*ReferralMix/(1-ReferralMix),0),0)</f>
        <v/>
      </c>
      <c r="ACX28" s="12">
        <f>ACV28+ACW28</f>
        <v/>
      </c>
      <c r="ACY28" s="12">
        <f>ROUND(ACX28*(1-'Sens - Annual Mix'!$A$13),0)</f>
        <v/>
      </c>
      <c r="ACZ28" s="12">
        <f>ACX28-ACY28</f>
        <v/>
      </c>
      <c r="ADA28" s="12">
        <f>ROUND(ACY28*EssentialMix,0)</f>
        <v/>
      </c>
      <c r="ADB28" s="12">
        <f>ROUND(ACY28*PremiumMix,0)</f>
        <v/>
      </c>
      <c r="ADC28" s="12">
        <f>ACY28-ADA28-ADB28</f>
        <v/>
      </c>
      <c r="ADD28" s="12">
        <f>ROUND(ACZ28*EssentialMix,0)</f>
        <v/>
      </c>
      <c r="ADE28" s="12">
        <f>ROUND(ACZ28*PremiumMix,0)</f>
        <v/>
      </c>
      <c r="ADF28" s="12">
        <f>ACZ28-ADD28-ADE28</f>
        <v/>
      </c>
      <c r="ADG28" s="12">
        <f>ADA28+ADA27+ADA26+MAX(0,ADG27-ADA27-ADA26)*(1-ACT28)</f>
        <v/>
      </c>
      <c r="ADH28" s="12">
        <f>ADB28+ADB27+ADB26+MAX(0,ADH27-ADB27-ADB26)*(1-ACT28)</f>
        <v/>
      </c>
      <c r="ADI28" s="12">
        <f>ADC28+ADC27+ADC26+MAX(0,ADI27-ADC27-ADC26)*(1-ACT28)</f>
        <v/>
      </c>
      <c r="ADJ28" s="12">
        <f>ADJ27+ADD28-ADD16*(AnnualChurn*VLOOKUP(ACP28,ChurnSeasonTable,4,FALSE))*POWER(1-(AnnualChurn*VLOOKUP(ACP28,ChurnSeasonTable,4,FALSE)),0)</f>
        <v/>
      </c>
      <c r="ADK28" s="12">
        <f>ADK27+ADE28-ADE16*(AnnualChurn*VLOOKUP(ACP28,ChurnSeasonTable,4,FALSE))*POWER(1-(AnnualChurn*VLOOKUP(ACP28,ChurnSeasonTable,4,FALSE)),0)</f>
        <v/>
      </c>
      <c r="ADL28" s="12">
        <f>ADL27+ADF28-ADF16*(AnnualChurn*VLOOKUP(ACP28,ChurnSeasonTable,4,FALSE))*POWER(1-(AnnualChurn*VLOOKUP(ACP28,ChurnSeasonTable,4,FALSE)),0)</f>
        <v/>
      </c>
      <c r="ADM28" s="12">
        <f>ADG28+ADH28+ADI28+ADJ28+ADK28+ADL28</f>
        <v/>
      </c>
      <c r="ADN28" s="9">
        <f>ADG28*BlendedPriceEssMonthly*ACS28+ADH28*BlendedPricePremMonthly*ACS28+ADI28*BlendedPriceEliteMonthly*ACS28+ADJ28*BlendedPriceEssAnnual*ACS28/12+ADK28*BlendedPricePremAnnual*ACS28/12+ADL28*BlendedPriceEliteAnnual*ACS28/12</f>
        <v/>
      </c>
      <c r="ADO28" s="9">
        <f>ADN28*12</f>
        <v/>
      </c>
      <c r="ADP28" s="12">
        <f>ADG28*BlendedPriceEssMonthly*ACS28+ADH28*BlendedPricePremMonthly*ACS28+ADI28*BlendedPriceEliteMonthly*ACS28</f>
        <v/>
      </c>
      <c r="ADQ28" s="12">
        <f>ADD28*BlendedPriceEssAnnual*ACS28+ADE28*BlendedPricePremAnnual*ACS28+ADF28*BlendedPriceEliteAnnual*ACS28</f>
        <v/>
      </c>
      <c r="ADR28" s="12">
        <f>ADD16*POWER(1-(AnnualChurn*VLOOKUP(ACP28,ChurnSeasonTable,4,FALSE)),1)*BlendedPriceEssAnnual*ACS28+ADE16*POWER(1-(AnnualChurn*VLOOKUP(ACP28,ChurnSeasonTable,4,FALSE)),1)*BlendedPricePremAnnual*ACS28+ADF16*POWER(1-(AnnualChurn*VLOOKUP(ACP28,ChurnSeasonTable,4,FALSE)),1)*BlendedPriceEliteAnnual*ACS28</f>
        <v/>
      </c>
      <c r="ADS28" s="9">
        <f>ADP28+ADQ28+ADR28</f>
        <v/>
      </c>
      <c r="ADT28" s="12">
        <f>SUM(ADS17:ADS28)</f>
        <v/>
      </c>
      <c r="ADU28" s="12">
        <f>OR(ADU27,IF(VATAgentMode,SUM($ADS17:$ADS28)-SUM($ADZ17:$ADZ28)&gt;=VATThreshold,SUM($ADS17:$ADS28)&gt;=VATThreshold))</f>
        <v/>
      </c>
      <c r="ADV28" s="9">
        <f>IF(ADU28,IF(VATAgentMode,ADS28-((ADS28-ADZ28)-(ADS28-ADZ28)/(1+VATRate)),ADS28/(1+VATRate)),ADS28)</f>
        <v/>
      </c>
      <c r="ADW28" s="12">
        <f>ADS28-ADV28</f>
        <v/>
      </c>
      <c r="ADX28" s="12">
        <f>IF(ADU28=0,0,IF(ACP28=1,SUMPRODUCT(--(($ACQ$5:$ACQ28=$ACQ28-1)*($ACP$5:$ACP28&gt;=10)*($ACP$5:$ACP28&lt;=12)),$ADW$5:$ADW28),IF(ACP28=4,SUMPRODUCT(--(($ACQ$5:$ACQ28=$ACQ28)*($ACP$5:$ACP28&gt;=1)*($ACP$5:$ACP28&lt;=3)),$ADW$5:$ADW28),IF(ACP28=7,SUMPRODUCT(--(($ACQ$5:$ACQ28=$ACQ28)*($ACP$5:$ACP28&gt;=4)*($ACP$5:$ACP28&lt;=6)),$ADW$5:$ADW28),IF(ACP28=10,SUMPRODUCT(--(($ACQ$5:$ACQ28=$ACQ28)*($ACP$5:$ACP28&gt;=7)*($ACP$5:$ACP28&lt;=9)),$ADW$5:$ADW28),0)))))</f>
        <v/>
      </c>
      <c r="ADY28" s="12">
        <f>ADY27+ADW28-ADX28</f>
        <v/>
      </c>
      <c r="ADZ28" s="12">
        <f>IF(ProviderDelay&gt;=1,ADG27*BlendedProvPayEss+ADH27*BlendedProvPayPrem+ADI27*BlendedProvPayElite+ADJ27*BlendedProvPayEss+ADK27*BlendedProvPayPrem+ADL27*BlendedProvPayElite,ADG28*BlendedProvPayEss+ADH28*BlendedProvPayPrem+ADI28*BlendedProvPayElite+ADJ28*BlendedProvPayEss+ADK28*BlendedProvPayPrem+ADL28*BlendedProvPayElite)</f>
        <v/>
      </c>
      <c r="AEA28" s="12">
        <f>ADS28*PaymentFee</f>
        <v/>
      </c>
      <c r="AEB28" s="12">
        <f>ADM28*OpsAI</f>
        <v/>
      </c>
      <c r="AEC28" s="12">
        <f>MonthlyFixed</f>
        <v/>
      </c>
      <c r="AED28" s="12">
        <f>ACW28*ReferralReward</f>
        <v/>
      </c>
      <c r="AEE28" s="12">
        <f>ACU28</f>
        <v/>
      </c>
      <c r="AEF28" s="9">
        <f>ADV28-ADZ28-AEA28-AEB28-AEC28-AED28-AEE28</f>
        <v/>
      </c>
      <c r="AEG28" s="9">
        <f>AEG27+ADS28-(ADZ28+AEA28+AEB28+AEC28+AED28+AEE28+ADX28)</f>
        <v/>
      </c>
      <c r="AEH28" s="12">
        <f>IF(ADM28&gt;0,ADN28/ADM28,0)</f>
        <v/>
      </c>
      <c r="AEI28" s="11">
        <f>IF(ADM27&gt;0,MAX(0,(ADM27+ACX28-ADM28)/ADM27),0)</f>
        <v/>
      </c>
      <c r="AEK28" s="12" t="n">
        <v>24</v>
      </c>
      <c r="AEL28" s="12">
        <f>MOD(AEK28-1+LaunchMonth-1,12)+1</f>
        <v/>
      </c>
      <c r="AEM28" s="12">
        <f>INT((AEK28-1+LaunchMonth-1)/12)+1</f>
        <v/>
      </c>
      <c r="AEN28" s="12">
        <f>VLOOKUP(AEL28,SeasonTable,2,FALSE)</f>
        <v/>
      </c>
      <c r="AEO28" s="12">
        <f>(1+InflationRate)^INT((AEK28-1)/12)</f>
        <v/>
      </c>
      <c r="AEP28" s="11">
        <f>MonthlyChurn*VLOOKUP(AEL28,ChurnSeasonTable,4,FALSE)</f>
        <v/>
      </c>
      <c r="AEQ28" s="12">
        <f>MIN(MAX(MktMin19plus,AFO27*MktPct19plus),MAX(0,AGC27-CashBuffer))</f>
        <v/>
      </c>
      <c r="AER28" s="12">
        <f>IF(AEQ28&gt;0,MAX(1,ROUND(AEQ28/CAC*AEN28,0)),0)</f>
        <v/>
      </c>
      <c r="AES28" s="12">
        <f>IF(AER28&gt;0,ROUND(AER28*ReferralMix/(1-ReferralMix),0),0)</f>
        <v/>
      </c>
      <c r="AET28" s="12">
        <f>AER28+AES28</f>
        <v/>
      </c>
      <c r="AEU28" s="12">
        <f>ROUND(AET28*(1-'Sens - Annual Mix'!$A$14),0)</f>
        <v/>
      </c>
      <c r="AEV28" s="12">
        <f>AET28-AEU28</f>
        <v/>
      </c>
      <c r="AEW28" s="12">
        <f>ROUND(AEU28*EssentialMix,0)</f>
        <v/>
      </c>
      <c r="AEX28" s="12">
        <f>ROUND(AEU28*PremiumMix,0)</f>
        <v/>
      </c>
      <c r="AEY28" s="12">
        <f>AEU28-AEW28-AEX28</f>
        <v/>
      </c>
      <c r="AEZ28" s="12">
        <f>ROUND(AEV28*EssentialMix,0)</f>
        <v/>
      </c>
      <c r="AFA28" s="12">
        <f>ROUND(AEV28*PremiumMix,0)</f>
        <v/>
      </c>
      <c r="AFB28" s="12">
        <f>AEV28-AEZ28-AFA28</f>
        <v/>
      </c>
      <c r="AFC28" s="12">
        <f>AEW28+AEW27+AEW26+MAX(0,AFC27-AEW27-AEW26)*(1-AEP28)</f>
        <v/>
      </c>
      <c r="AFD28" s="12">
        <f>AEX28+AEX27+AEX26+MAX(0,AFD27-AEX27-AEX26)*(1-AEP28)</f>
        <v/>
      </c>
      <c r="AFE28" s="12">
        <f>AEY28+AEY27+AEY26+MAX(0,AFE27-AEY27-AEY26)*(1-AEP28)</f>
        <v/>
      </c>
      <c r="AFF28" s="12">
        <f>AFF27+AEZ28-AEZ16*(AnnualChurn*VLOOKUP(AEL28,ChurnSeasonTable,4,FALSE))*POWER(1-(AnnualChurn*VLOOKUP(AEL28,ChurnSeasonTable,4,FALSE)),0)</f>
        <v/>
      </c>
      <c r="AFG28" s="12">
        <f>AFG27+AFA28-AFA16*(AnnualChurn*VLOOKUP(AEL28,ChurnSeasonTable,4,FALSE))*POWER(1-(AnnualChurn*VLOOKUP(AEL28,ChurnSeasonTable,4,FALSE)),0)</f>
        <v/>
      </c>
      <c r="AFH28" s="12">
        <f>AFH27+AFB28-AFB16*(AnnualChurn*VLOOKUP(AEL28,ChurnSeasonTable,4,FALSE))*POWER(1-(AnnualChurn*VLOOKUP(AEL28,ChurnSeasonTable,4,FALSE)),0)</f>
        <v/>
      </c>
      <c r="AFI28" s="12">
        <f>AFC28+AFD28+AFE28+AFF28+AFG28+AFH28</f>
        <v/>
      </c>
      <c r="AFJ28" s="9">
        <f>AFC28*BlendedPriceEssMonthly*AEO28+AFD28*BlendedPricePremMonthly*AEO28+AFE28*BlendedPriceEliteMonthly*AEO28+AFF28*BlendedPriceEssAnnual*AEO28/12+AFG28*BlendedPricePremAnnual*AEO28/12+AFH28*BlendedPriceEliteAnnual*AEO28/12</f>
        <v/>
      </c>
      <c r="AFK28" s="9">
        <f>AFJ28*12</f>
        <v/>
      </c>
      <c r="AFL28" s="12">
        <f>AFC28*BlendedPriceEssMonthly*AEO28+AFD28*BlendedPricePremMonthly*AEO28+AFE28*BlendedPriceEliteMonthly*AEO28</f>
        <v/>
      </c>
      <c r="AFM28" s="12">
        <f>AEZ28*BlendedPriceEssAnnual*AEO28+AFA28*BlendedPricePremAnnual*AEO28+AFB28*BlendedPriceEliteAnnual*AEO28</f>
        <v/>
      </c>
      <c r="AFN28" s="12">
        <f>AEZ16*POWER(1-(AnnualChurn*VLOOKUP(AEL28,ChurnSeasonTable,4,FALSE)),1)*BlendedPriceEssAnnual*AEO28+AFA16*POWER(1-(AnnualChurn*VLOOKUP(AEL28,ChurnSeasonTable,4,FALSE)),1)*BlendedPricePremAnnual*AEO28+AFB16*POWER(1-(AnnualChurn*VLOOKUP(AEL28,ChurnSeasonTable,4,FALSE)),1)*BlendedPriceEliteAnnual*AEO28</f>
        <v/>
      </c>
      <c r="AFO28" s="9">
        <f>AFL28+AFM28+AFN28</f>
        <v/>
      </c>
      <c r="AFP28" s="12">
        <f>SUM(AFO17:AFO28)</f>
        <v/>
      </c>
      <c r="AFQ28" s="12">
        <f>OR(AFQ27,IF(VATAgentMode,SUM($AFO17:$AFO28)-SUM($AFV17:$AFV28)&gt;=VATThreshold,SUM($AFO17:$AFO28)&gt;=VATThreshold))</f>
        <v/>
      </c>
      <c r="AFR28" s="9">
        <f>IF(AFQ28,IF(VATAgentMode,AFO28-((AFO28-AFV28)-(AFO28-AFV28)/(1+VATRate)),AFO28/(1+VATRate)),AFO28)</f>
        <v/>
      </c>
      <c r="AFS28" s="12">
        <f>AFO28-AFR28</f>
        <v/>
      </c>
      <c r="AFT28" s="12">
        <f>IF(AFQ28=0,0,IF(AEL28=1,SUMPRODUCT(--(($AEM$5:$AEM28=$AEM28-1)*($AEL$5:$AEL28&gt;=10)*($AEL$5:$AEL28&lt;=12)),$AFS$5:$AFS28),IF(AEL28=4,SUMPRODUCT(--(($AEM$5:$AEM28=$AEM28)*($AEL$5:$AEL28&gt;=1)*($AEL$5:$AEL28&lt;=3)),$AFS$5:$AFS28),IF(AEL28=7,SUMPRODUCT(--(($AEM$5:$AEM28=$AEM28)*($AEL$5:$AEL28&gt;=4)*($AEL$5:$AEL28&lt;=6)),$AFS$5:$AFS28),IF(AEL28=10,SUMPRODUCT(--(($AEM$5:$AEM28=$AEM28)*($AEL$5:$AEL28&gt;=7)*($AEL$5:$AEL28&lt;=9)),$AFS$5:$AFS28),0)))))</f>
        <v/>
      </c>
      <c r="AFU28" s="12">
        <f>AFU27+AFS28-AFT28</f>
        <v/>
      </c>
      <c r="AFV28" s="12">
        <f>IF(ProviderDelay&gt;=1,AFC27*BlendedProvPayEss+AFD27*BlendedProvPayPrem+AFE27*BlendedProvPayElite+AFF27*BlendedProvPayEss+AFG27*BlendedProvPayPrem+AFH27*BlendedProvPayElite,AFC28*BlendedProvPayEss+AFD28*BlendedProvPayPrem+AFE28*BlendedProvPayElite+AFF28*BlendedProvPayEss+AFG28*BlendedProvPayPrem+AFH28*BlendedProvPayElite)</f>
        <v/>
      </c>
      <c r="AFW28" s="12">
        <f>AFO28*PaymentFee</f>
        <v/>
      </c>
      <c r="AFX28" s="12">
        <f>AFI28*OpsAI</f>
        <v/>
      </c>
      <c r="AFY28" s="12">
        <f>MonthlyFixed</f>
        <v/>
      </c>
      <c r="AFZ28" s="12">
        <f>AES28*ReferralReward</f>
        <v/>
      </c>
      <c r="AGA28" s="12">
        <f>AEQ28</f>
        <v/>
      </c>
      <c r="AGB28" s="9">
        <f>AFR28-AFV28-AFW28-AFX28-AFY28-AFZ28-AGA28</f>
        <v/>
      </c>
      <c r="AGC28" s="9">
        <f>AGC27+AFO28-(AFV28+AFW28+AFX28+AFY28+AFZ28+AGA28+AFT28)</f>
        <v/>
      </c>
      <c r="AGD28" s="12">
        <f>IF(AFI28&gt;0,AFJ28/AFI28,0)</f>
        <v/>
      </c>
      <c r="AGE28" s="11">
        <f>IF(AFI27&gt;0,MAX(0,(AFI27+AET28-AFI28)/AFI27),0)</f>
        <v/>
      </c>
      <c r="AGG28" s="12" t="n">
        <v>24</v>
      </c>
      <c r="AGH28" s="12">
        <f>MOD(AGG28-1+LaunchMonth-1,12)+1</f>
        <v/>
      </c>
      <c r="AGI28" s="12">
        <f>INT((AGG28-1+LaunchMonth-1)/12)+1</f>
        <v/>
      </c>
      <c r="AGJ28" s="12">
        <f>VLOOKUP(AGH28,SeasonTable,2,FALSE)</f>
        <v/>
      </c>
      <c r="AGK28" s="12">
        <f>(1+InflationRate)^INT((AGG28-1)/12)</f>
        <v/>
      </c>
      <c r="AGL28" s="11">
        <f>MonthlyChurn*VLOOKUP(AGH28,ChurnSeasonTable,4,FALSE)</f>
        <v/>
      </c>
      <c r="AGM28" s="12">
        <f>MIN(MAX(MktMin19plus,AHK27*MktPct19plus),MAX(0,AHY27-CashBuffer))</f>
        <v/>
      </c>
      <c r="AGN28" s="12">
        <f>IF(AGM28&gt;0,MAX(1,ROUND(AGM28/CAC*AGJ28,0)),0)</f>
        <v/>
      </c>
      <c r="AGO28" s="12">
        <f>IF(AGN28&gt;0,ROUND(AGN28*ReferralMix/(1-ReferralMix),0),0)</f>
        <v/>
      </c>
      <c r="AGP28" s="12">
        <f>AGN28+AGO28</f>
        <v/>
      </c>
      <c r="AGQ28" s="12">
        <f>ROUND(AGP28*(1-'Sens - Annual Mix'!$A$15),0)</f>
        <v/>
      </c>
      <c r="AGR28" s="12">
        <f>AGP28-AGQ28</f>
        <v/>
      </c>
      <c r="AGS28" s="12">
        <f>ROUND(AGQ28*EssentialMix,0)</f>
        <v/>
      </c>
      <c r="AGT28" s="12">
        <f>ROUND(AGQ28*PremiumMix,0)</f>
        <v/>
      </c>
      <c r="AGU28" s="12">
        <f>AGQ28-AGS28-AGT28</f>
        <v/>
      </c>
      <c r="AGV28" s="12">
        <f>ROUND(AGR28*EssentialMix,0)</f>
        <v/>
      </c>
      <c r="AGW28" s="12">
        <f>ROUND(AGR28*PremiumMix,0)</f>
        <v/>
      </c>
      <c r="AGX28" s="12">
        <f>AGR28-AGV28-AGW28</f>
        <v/>
      </c>
      <c r="AGY28" s="12">
        <f>AGS28+AGS27+AGS26+MAX(0,AGY27-AGS27-AGS26)*(1-AGL28)</f>
        <v/>
      </c>
      <c r="AGZ28" s="12">
        <f>AGT28+AGT27+AGT26+MAX(0,AGZ27-AGT27-AGT26)*(1-AGL28)</f>
        <v/>
      </c>
      <c r="AHA28" s="12">
        <f>AGU28+AGU27+AGU26+MAX(0,AHA27-AGU27-AGU26)*(1-AGL28)</f>
        <v/>
      </c>
      <c r="AHB28" s="12">
        <f>AHB27+AGV28-AGV16*(AnnualChurn*VLOOKUP(AGH28,ChurnSeasonTable,4,FALSE))*POWER(1-(AnnualChurn*VLOOKUP(AGH28,ChurnSeasonTable,4,FALSE)),0)</f>
        <v/>
      </c>
      <c r="AHC28" s="12">
        <f>AHC27+AGW28-AGW16*(AnnualChurn*VLOOKUP(AGH28,ChurnSeasonTable,4,FALSE))*POWER(1-(AnnualChurn*VLOOKUP(AGH28,ChurnSeasonTable,4,FALSE)),0)</f>
        <v/>
      </c>
      <c r="AHD28" s="12">
        <f>AHD27+AGX28-AGX16*(AnnualChurn*VLOOKUP(AGH28,ChurnSeasonTable,4,FALSE))*POWER(1-(AnnualChurn*VLOOKUP(AGH28,ChurnSeasonTable,4,FALSE)),0)</f>
        <v/>
      </c>
      <c r="AHE28" s="12">
        <f>AGY28+AGZ28+AHA28+AHB28+AHC28+AHD28</f>
        <v/>
      </c>
      <c r="AHF28" s="9">
        <f>AGY28*BlendedPriceEssMonthly*AGK28+AGZ28*BlendedPricePremMonthly*AGK28+AHA28*BlendedPriceEliteMonthly*AGK28+AHB28*BlendedPriceEssAnnual*AGK28/12+AHC28*BlendedPricePremAnnual*AGK28/12+AHD28*BlendedPriceEliteAnnual*AGK28/12</f>
        <v/>
      </c>
      <c r="AHG28" s="9">
        <f>AHF28*12</f>
        <v/>
      </c>
      <c r="AHH28" s="12">
        <f>AGY28*BlendedPriceEssMonthly*AGK28+AGZ28*BlendedPricePremMonthly*AGK28+AHA28*BlendedPriceEliteMonthly*AGK28</f>
        <v/>
      </c>
      <c r="AHI28" s="12">
        <f>AGV28*BlendedPriceEssAnnual*AGK28+AGW28*BlendedPricePremAnnual*AGK28+AGX28*BlendedPriceEliteAnnual*AGK28</f>
        <v/>
      </c>
      <c r="AHJ28" s="12">
        <f>AGV16*POWER(1-(AnnualChurn*VLOOKUP(AGH28,ChurnSeasonTable,4,FALSE)),1)*BlendedPriceEssAnnual*AGK28+AGW16*POWER(1-(AnnualChurn*VLOOKUP(AGH28,ChurnSeasonTable,4,FALSE)),1)*BlendedPricePremAnnual*AGK28+AGX16*POWER(1-(AnnualChurn*VLOOKUP(AGH28,ChurnSeasonTable,4,FALSE)),1)*BlendedPriceEliteAnnual*AGK28</f>
        <v/>
      </c>
      <c r="AHK28" s="9">
        <f>AHH28+AHI28+AHJ28</f>
        <v/>
      </c>
      <c r="AHL28" s="12">
        <f>SUM(AHK17:AHK28)</f>
        <v/>
      </c>
      <c r="AHM28" s="12">
        <f>OR(AHM27,IF(VATAgentMode,SUM($AHK17:$AHK28)-SUM($AHR17:$AHR28)&gt;=VATThreshold,SUM($AHK17:$AHK28)&gt;=VATThreshold))</f>
        <v/>
      </c>
      <c r="AHN28" s="9">
        <f>IF(AHM28,IF(VATAgentMode,AHK28-((AHK28-AHR28)-(AHK28-AHR28)/(1+VATRate)),AHK28/(1+VATRate)),AHK28)</f>
        <v/>
      </c>
      <c r="AHO28" s="12">
        <f>AHK28-AHN28</f>
        <v/>
      </c>
      <c r="AHP28" s="12">
        <f>IF(AHM28=0,0,IF(AGH28=1,SUMPRODUCT(--(($AGI$5:$AGI28=$AGI28-1)*($AGH$5:$AGH28&gt;=10)*($AGH$5:$AGH28&lt;=12)),$AHO$5:$AHO28),IF(AGH28=4,SUMPRODUCT(--(($AGI$5:$AGI28=$AGI28)*($AGH$5:$AGH28&gt;=1)*($AGH$5:$AGH28&lt;=3)),$AHO$5:$AHO28),IF(AGH28=7,SUMPRODUCT(--(($AGI$5:$AGI28=$AGI28)*($AGH$5:$AGH28&gt;=4)*($AGH$5:$AGH28&lt;=6)),$AHO$5:$AHO28),IF(AGH28=10,SUMPRODUCT(--(($AGI$5:$AGI28=$AGI28)*($AGH$5:$AGH28&gt;=7)*($AGH$5:$AGH28&lt;=9)),$AHO$5:$AHO28),0)))))</f>
        <v/>
      </c>
      <c r="AHQ28" s="12">
        <f>AHQ27+AHO28-AHP28</f>
        <v/>
      </c>
      <c r="AHR28" s="12">
        <f>IF(ProviderDelay&gt;=1,AGY27*BlendedProvPayEss+AGZ27*BlendedProvPayPrem+AHA27*BlendedProvPayElite+AHB27*BlendedProvPayEss+AHC27*BlendedProvPayPrem+AHD27*BlendedProvPayElite,AGY28*BlendedProvPayEss+AGZ28*BlendedProvPayPrem+AHA28*BlendedProvPayElite+AHB28*BlendedProvPayEss+AHC28*BlendedProvPayPrem+AHD28*BlendedProvPayElite)</f>
        <v/>
      </c>
      <c r="AHS28" s="12">
        <f>AHK28*PaymentFee</f>
        <v/>
      </c>
      <c r="AHT28" s="12">
        <f>AHE28*OpsAI</f>
        <v/>
      </c>
      <c r="AHU28" s="12">
        <f>MonthlyFixed</f>
        <v/>
      </c>
      <c r="AHV28" s="12">
        <f>AGO28*ReferralReward</f>
        <v/>
      </c>
      <c r="AHW28" s="12">
        <f>AGM28</f>
        <v/>
      </c>
      <c r="AHX28" s="9">
        <f>AHN28-AHR28-AHS28-AHT28-AHU28-AHV28-AHW28</f>
        <v/>
      </c>
      <c r="AHY28" s="9">
        <f>AHY27+AHK28-(AHR28+AHS28+AHT28+AHU28+AHV28+AHW28+AHP28)</f>
        <v/>
      </c>
      <c r="AHZ28" s="12">
        <f>IF(AHE28&gt;0,AHF28/AHE28,0)</f>
        <v/>
      </c>
      <c r="AIA28" s="11">
        <f>IF(AHE27&gt;0,MAX(0,(AHE27+AGP28-AHE28)/AHE27),0)</f>
        <v/>
      </c>
      <c r="AIC28" s="12" t="n">
        <v>24</v>
      </c>
      <c r="AID28" s="12">
        <f>MOD(AIC28-1+LaunchMonth-1,12)+1</f>
        <v/>
      </c>
      <c r="AIE28" s="12">
        <f>INT((AIC28-1+LaunchMonth-1)/12)+1</f>
        <v/>
      </c>
      <c r="AIF28" s="12">
        <f>VLOOKUP(AID28,SeasonTable,2,FALSE)</f>
        <v/>
      </c>
      <c r="AIG28" s="12">
        <f>(1+InflationRate)^INT((AIC28-1)/12)</f>
        <v/>
      </c>
      <c r="AIH28" s="11">
        <f>MonthlyChurn*VLOOKUP(AID28,ChurnSeasonTable,4,FALSE)</f>
        <v/>
      </c>
      <c r="AII28" s="12">
        <f>MIN(MAX(MktMin19plus,AJG27*MktPct19plus),MAX(0,AJU27-CashBuffer))</f>
        <v/>
      </c>
      <c r="AIJ28" s="12">
        <f>IF(AII28&gt;0,MAX(1,ROUND(AII28/'Sens - CAC &amp; Marketing'!$A$9*AIF28,0)),0)</f>
        <v/>
      </c>
      <c r="AIK28" s="12">
        <f>IF(AIJ28&gt;0,ROUND(AIJ28*ReferralMix/(1-ReferralMix),0),0)</f>
        <v/>
      </c>
      <c r="AIL28" s="12">
        <f>AIJ28+AIK28</f>
        <v/>
      </c>
      <c r="AIM28" s="12">
        <f>ROUND(AIL28*(1-AnnualMix),0)</f>
        <v/>
      </c>
      <c r="AIN28" s="12">
        <f>AIL28-AIM28</f>
        <v/>
      </c>
      <c r="AIO28" s="12">
        <f>ROUND(AIM28*EssentialMix,0)</f>
        <v/>
      </c>
      <c r="AIP28" s="12">
        <f>ROUND(AIM28*PremiumMix,0)</f>
        <v/>
      </c>
      <c r="AIQ28" s="12">
        <f>AIM28-AIO28-AIP28</f>
        <v/>
      </c>
      <c r="AIR28" s="12">
        <f>ROUND(AIN28*EssentialMix,0)</f>
        <v/>
      </c>
      <c r="AIS28" s="12">
        <f>ROUND(AIN28*PremiumMix,0)</f>
        <v/>
      </c>
      <c r="AIT28" s="12">
        <f>AIN28-AIR28-AIS28</f>
        <v/>
      </c>
      <c r="AIU28" s="12">
        <f>AIO28+AIO27+AIO26+MAX(0,AIU27-AIO27-AIO26)*(1-AIH28)</f>
        <v/>
      </c>
      <c r="AIV28" s="12">
        <f>AIP28+AIP27+AIP26+MAX(0,AIV27-AIP27-AIP26)*(1-AIH28)</f>
        <v/>
      </c>
      <c r="AIW28" s="12">
        <f>AIQ28+AIQ27+AIQ26+MAX(0,AIW27-AIQ27-AIQ26)*(1-AIH28)</f>
        <v/>
      </c>
      <c r="AIX28" s="12">
        <f>AIX27+AIR28-AIR16*(AnnualChurn*VLOOKUP(AID28,ChurnSeasonTable,4,FALSE))*POWER(1-(AnnualChurn*VLOOKUP(AID28,ChurnSeasonTable,4,FALSE)),0)</f>
        <v/>
      </c>
      <c r="AIY28" s="12">
        <f>AIY27+AIS28-AIS16*(AnnualChurn*VLOOKUP(AID28,ChurnSeasonTable,4,FALSE))*POWER(1-(AnnualChurn*VLOOKUP(AID28,ChurnSeasonTable,4,FALSE)),0)</f>
        <v/>
      </c>
      <c r="AIZ28" s="12">
        <f>AIZ27+AIT28-AIT16*(AnnualChurn*VLOOKUP(AID28,ChurnSeasonTable,4,FALSE))*POWER(1-(AnnualChurn*VLOOKUP(AID28,ChurnSeasonTable,4,FALSE)),0)</f>
        <v/>
      </c>
      <c r="AJA28" s="12">
        <f>AIU28+AIV28+AIW28+AIX28+AIY28+AIZ28</f>
        <v/>
      </c>
      <c r="AJB28" s="9">
        <f>AIU28*BlendedPriceEssMonthly*AIG28+AIV28*BlendedPricePremMonthly*AIG28+AIW28*BlendedPriceEliteMonthly*AIG28+AIX28*BlendedPriceEssAnnual*AIG28/12+AIY28*BlendedPricePremAnnual*AIG28/12+AIZ28*BlendedPriceEliteAnnual*AIG28/12</f>
        <v/>
      </c>
      <c r="AJC28" s="9">
        <f>AJB28*12</f>
        <v/>
      </c>
      <c r="AJD28" s="12">
        <f>AIU28*BlendedPriceEssMonthly*AIG28+AIV28*BlendedPricePremMonthly*AIG28+AIW28*BlendedPriceEliteMonthly*AIG28</f>
        <v/>
      </c>
      <c r="AJE28" s="12">
        <f>AIR28*BlendedPriceEssAnnual*AIG28+AIS28*BlendedPricePremAnnual*AIG28+AIT28*BlendedPriceEliteAnnual*AIG28</f>
        <v/>
      </c>
      <c r="AJF28" s="12">
        <f>AIR16*POWER(1-(AnnualChurn*VLOOKUP(AID28,ChurnSeasonTable,4,FALSE)),1)*BlendedPriceEssAnnual*AIG28+AIS16*POWER(1-(AnnualChurn*VLOOKUP(AID28,ChurnSeasonTable,4,FALSE)),1)*BlendedPricePremAnnual*AIG28+AIT16*POWER(1-(AnnualChurn*VLOOKUP(AID28,ChurnSeasonTable,4,FALSE)),1)*BlendedPriceEliteAnnual*AIG28</f>
        <v/>
      </c>
      <c r="AJG28" s="9">
        <f>AJD28+AJE28+AJF28</f>
        <v/>
      </c>
      <c r="AJH28" s="12">
        <f>SUM(AJG17:AJG28)</f>
        <v/>
      </c>
      <c r="AJI28" s="12">
        <f>OR(AJI27,IF(VATAgentMode,SUM($AJG17:$AJG28)-SUM($AJN17:$AJN28)&gt;=VATThreshold,SUM($AJG17:$AJG28)&gt;=VATThreshold))</f>
        <v/>
      </c>
      <c r="AJJ28" s="9">
        <f>IF(AJI28,IF(VATAgentMode,AJG28-((AJG28-AJN28)-(AJG28-AJN28)/(1+VATRate)),AJG28/(1+VATRate)),AJG28)</f>
        <v/>
      </c>
      <c r="AJK28" s="12">
        <f>AJG28-AJJ28</f>
        <v/>
      </c>
      <c r="AJL28" s="12">
        <f>IF(AJI28=0,0,IF(AID28=1,SUMPRODUCT(--(($AIE$5:$AIE28=$AIE28-1)*($AID$5:$AID28&gt;=10)*($AID$5:$AID28&lt;=12)),$AJK$5:$AJK28),IF(AID28=4,SUMPRODUCT(--(($AIE$5:$AIE28=$AIE28)*($AID$5:$AID28&gt;=1)*($AID$5:$AID28&lt;=3)),$AJK$5:$AJK28),IF(AID28=7,SUMPRODUCT(--(($AIE$5:$AIE28=$AIE28)*($AID$5:$AID28&gt;=4)*($AID$5:$AID28&lt;=6)),$AJK$5:$AJK28),IF(AID28=10,SUMPRODUCT(--(($AIE$5:$AIE28=$AIE28)*($AID$5:$AID28&gt;=7)*($AID$5:$AID28&lt;=9)),$AJK$5:$AJK28),0)))))</f>
        <v/>
      </c>
      <c r="AJM28" s="12">
        <f>AJM27+AJK28-AJL28</f>
        <v/>
      </c>
      <c r="AJN28" s="12">
        <f>IF(ProviderDelay&gt;=1,AIU27*BlendedProvPayEss+AIV27*BlendedProvPayPrem+AIW27*BlendedProvPayElite+AIX27*BlendedProvPayEss+AIY27*BlendedProvPayPrem+AIZ27*BlendedProvPayElite,AIU28*BlendedProvPayEss+AIV28*BlendedProvPayPrem+AIW28*BlendedProvPayElite+AIX28*BlendedProvPayEss+AIY28*BlendedProvPayPrem+AIZ28*BlendedProvPayElite)</f>
        <v/>
      </c>
      <c r="AJO28" s="12">
        <f>AJG28*PaymentFee</f>
        <v/>
      </c>
      <c r="AJP28" s="12">
        <f>AJA28*OpsAI</f>
        <v/>
      </c>
      <c r="AJQ28" s="12">
        <f>MonthlyFixed</f>
        <v/>
      </c>
      <c r="AJR28" s="12">
        <f>AIK28*ReferralReward</f>
        <v/>
      </c>
      <c r="AJS28" s="12">
        <f>AII28</f>
        <v/>
      </c>
      <c r="AJT28" s="9">
        <f>AJJ28-AJN28-AJO28-AJP28-AJQ28-AJR28-AJS28</f>
        <v/>
      </c>
      <c r="AJU28" s="9">
        <f>AJU27+AJG28-(AJN28+AJO28+AJP28+AJQ28+AJR28+AJS28+AJL28)</f>
        <v/>
      </c>
      <c r="AJV28" s="12">
        <f>IF(AJA28&gt;0,AJB28/AJA28,0)</f>
        <v/>
      </c>
      <c r="AJW28" s="11">
        <f>IF(AJA27&gt;0,MAX(0,(AJA27+AIL28-AJA28)/AJA27),0)</f>
        <v/>
      </c>
      <c r="AJY28" s="12" t="n">
        <v>24</v>
      </c>
      <c r="AJZ28" s="12">
        <f>MOD(AJY28-1+LaunchMonth-1,12)+1</f>
        <v/>
      </c>
      <c r="AKA28" s="12">
        <f>INT((AJY28-1+LaunchMonth-1)/12)+1</f>
        <v/>
      </c>
      <c r="AKB28" s="12">
        <f>VLOOKUP(AJZ28,SeasonTable,2,FALSE)</f>
        <v/>
      </c>
      <c r="AKC28" s="12">
        <f>(1+InflationRate)^INT((AJY28-1)/12)</f>
        <v/>
      </c>
      <c r="AKD28" s="11">
        <f>MonthlyChurn*VLOOKUP(AJZ28,ChurnSeasonTable,4,FALSE)</f>
        <v/>
      </c>
      <c r="AKE28" s="12">
        <f>MIN(MAX(MktMin19plus,ALC27*MktPct19plus),MAX(0,ALQ27-CashBuffer))</f>
        <v/>
      </c>
      <c r="AKF28" s="12">
        <f>IF(AKE28&gt;0,MAX(1,ROUND(AKE28/'Sens - CAC &amp; Marketing'!$A$10*AKB28,0)),0)</f>
        <v/>
      </c>
      <c r="AKG28" s="12">
        <f>IF(AKF28&gt;0,ROUND(AKF28*ReferralMix/(1-ReferralMix),0),0)</f>
        <v/>
      </c>
      <c r="AKH28" s="12">
        <f>AKF28+AKG28</f>
        <v/>
      </c>
      <c r="AKI28" s="12">
        <f>ROUND(AKH28*(1-AnnualMix),0)</f>
        <v/>
      </c>
      <c r="AKJ28" s="12">
        <f>AKH28-AKI28</f>
        <v/>
      </c>
      <c r="AKK28" s="12">
        <f>ROUND(AKI28*EssentialMix,0)</f>
        <v/>
      </c>
      <c r="AKL28" s="12">
        <f>ROUND(AKI28*PremiumMix,0)</f>
        <v/>
      </c>
      <c r="AKM28" s="12">
        <f>AKI28-AKK28-AKL28</f>
        <v/>
      </c>
      <c r="AKN28" s="12">
        <f>ROUND(AKJ28*EssentialMix,0)</f>
        <v/>
      </c>
      <c r="AKO28" s="12">
        <f>ROUND(AKJ28*PremiumMix,0)</f>
        <v/>
      </c>
      <c r="AKP28" s="12">
        <f>AKJ28-AKN28-AKO28</f>
        <v/>
      </c>
      <c r="AKQ28" s="12">
        <f>AKK28+AKK27+AKK26+MAX(0,AKQ27-AKK27-AKK26)*(1-AKD28)</f>
        <v/>
      </c>
      <c r="AKR28" s="12">
        <f>AKL28+AKL27+AKL26+MAX(0,AKR27-AKL27-AKL26)*(1-AKD28)</f>
        <v/>
      </c>
      <c r="AKS28" s="12">
        <f>AKM28+AKM27+AKM26+MAX(0,AKS27-AKM27-AKM26)*(1-AKD28)</f>
        <v/>
      </c>
      <c r="AKT28" s="12">
        <f>AKT27+AKN28-AKN16*(AnnualChurn*VLOOKUP(AJZ28,ChurnSeasonTable,4,FALSE))*POWER(1-(AnnualChurn*VLOOKUP(AJZ28,ChurnSeasonTable,4,FALSE)),0)</f>
        <v/>
      </c>
      <c r="AKU28" s="12">
        <f>AKU27+AKO28-AKO16*(AnnualChurn*VLOOKUP(AJZ28,ChurnSeasonTable,4,FALSE))*POWER(1-(AnnualChurn*VLOOKUP(AJZ28,ChurnSeasonTable,4,FALSE)),0)</f>
        <v/>
      </c>
      <c r="AKV28" s="12">
        <f>AKV27+AKP28-AKP16*(AnnualChurn*VLOOKUP(AJZ28,ChurnSeasonTable,4,FALSE))*POWER(1-(AnnualChurn*VLOOKUP(AJZ28,ChurnSeasonTable,4,FALSE)),0)</f>
        <v/>
      </c>
      <c r="AKW28" s="12">
        <f>AKQ28+AKR28+AKS28+AKT28+AKU28+AKV28</f>
        <v/>
      </c>
      <c r="AKX28" s="9">
        <f>AKQ28*BlendedPriceEssMonthly*AKC28+AKR28*BlendedPricePremMonthly*AKC28+AKS28*BlendedPriceEliteMonthly*AKC28+AKT28*BlendedPriceEssAnnual*AKC28/12+AKU28*BlendedPricePremAnnual*AKC28/12+AKV28*BlendedPriceEliteAnnual*AKC28/12</f>
        <v/>
      </c>
      <c r="AKY28" s="9">
        <f>AKX28*12</f>
        <v/>
      </c>
      <c r="AKZ28" s="12">
        <f>AKQ28*BlendedPriceEssMonthly*AKC28+AKR28*BlendedPricePremMonthly*AKC28+AKS28*BlendedPriceEliteMonthly*AKC28</f>
        <v/>
      </c>
      <c r="ALA28" s="12">
        <f>AKN28*BlendedPriceEssAnnual*AKC28+AKO28*BlendedPricePremAnnual*AKC28+AKP28*BlendedPriceEliteAnnual*AKC28</f>
        <v/>
      </c>
      <c r="ALB28" s="12">
        <f>AKN16*POWER(1-(AnnualChurn*VLOOKUP(AJZ28,ChurnSeasonTable,4,FALSE)),1)*BlendedPriceEssAnnual*AKC28+AKO16*POWER(1-(AnnualChurn*VLOOKUP(AJZ28,ChurnSeasonTable,4,FALSE)),1)*BlendedPricePremAnnual*AKC28+AKP16*POWER(1-(AnnualChurn*VLOOKUP(AJZ28,ChurnSeasonTable,4,FALSE)),1)*BlendedPriceEliteAnnual*AKC28</f>
        <v/>
      </c>
      <c r="ALC28" s="9">
        <f>AKZ28+ALA28+ALB28</f>
        <v/>
      </c>
      <c r="ALD28" s="12">
        <f>SUM(ALC17:ALC28)</f>
        <v/>
      </c>
      <c r="ALE28" s="12">
        <f>OR(ALE27,IF(VATAgentMode,SUM($ALC17:$ALC28)-SUM($ALJ17:$ALJ28)&gt;=VATThreshold,SUM($ALC17:$ALC28)&gt;=VATThreshold))</f>
        <v/>
      </c>
      <c r="ALF28" s="9">
        <f>IF(ALE28,IF(VATAgentMode,ALC28-((ALC28-ALJ28)-(ALC28-ALJ28)/(1+VATRate)),ALC28/(1+VATRate)),ALC28)</f>
        <v/>
      </c>
      <c r="ALG28" s="12">
        <f>ALC28-ALF28</f>
        <v/>
      </c>
      <c r="ALH28" s="12">
        <f>IF(ALE28=0,0,IF(AJZ28=1,SUMPRODUCT(--(($AKA$5:$AKA28=$AKA28-1)*($AJZ$5:$AJZ28&gt;=10)*($AJZ$5:$AJZ28&lt;=12)),$ALG$5:$ALG28),IF(AJZ28=4,SUMPRODUCT(--(($AKA$5:$AKA28=$AKA28)*($AJZ$5:$AJZ28&gt;=1)*($AJZ$5:$AJZ28&lt;=3)),$ALG$5:$ALG28),IF(AJZ28=7,SUMPRODUCT(--(($AKA$5:$AKA28=$AKA28)*($AJZ$5:$AJZ28&gt;=4)*($AJZ$5:$AJZ28&lt;=6)),$ALG$5:$ALG28),IF(AJZ28=10,SUMPRODUCT(--(($AKA$5:$AKA28=$AKA28)*($AJZ$5:$AJZ28&gt;=7)*($AJZ$5:$AJZ28&lt;=9)),$ALG$5:$ALG28),0)))))</f>
        <v/>
      </c>
      <c r="ALI28" s="12">
        <f>ALI27+ALG28-ALH28</f>
        <v/>
      </c>
      <c r="ALJ28" s="12">
        <f>IF(ProviderDelay&gt;=1,AKQ27*BlendedProvPayEss+AKR27*BlendedProvPayPrem+AKS27*BlendedProvPayElite+AKT27*BlendedProvPayEss+AKU27*BlendedProvPayPrem+AKV27*BlendedProvPayElite,AKQ28*BlendedProvPayEss+AKR28*BlendedProvPayPrem+AKS28*BlendedProvPayElite+AKT28*BlendedProvPayEss+AKU28*BlendedProvPayPrem+AKV28*BlendedProvPayElite)</f>
        <v/>
      </c>
      <c r="ALK28" s="12">
        <f>ALC28*PaymentFee</f>
        <v/>
      </c>
      <c r="ALL28" s="12">
        <f>AKW28*OpsAI</f>
        <v/>
      </c>
      <c r="ALM28" s="12">
        <f>MonthlyFixed</f>
        <v/>
      </c>
      <c r="ALN28" s="12">
        <f>AKG28*ReferralReward</f>
        <v/>
      </c>
      <c r="ALO28" s="12">
        <f>AKE28</f>
        <v/>
      </c>
      <c r="ALP28" s="9">
        <f>ALF28-ALJ28-ALK28-ALL28-ALM28-ALN28-ALO28</f>
        <v/>
      </c>
      <c r="ALQ28" s="9">
        <f>ALQ27+ALC28-(ALJ28+ALK28+ALL28+ALM28+ALN28+ALO28+ALH28)</f>
        <v/>
      </c>
      <c r="ALR28" s="12">
        <f>IF(AKW28&gt;0,AKX28/AKW28,0)</f>
        <v/>
      </c>
      <c r="ALS28" s="11">
        <f>IF(AKW27&gt;0,MAX(0,(AKW27+AKH28-AKW28)/AKW27),0)</f>
        <v/>
      </c>
      <c r="ALU28" s="12" t="n">
        <v>24</v>
      </c>
      <c r="ALV28" s="12">
        <f>MOD(ALU28-1+LaunchMonth-1,12)+1</f>
        <v/>
      </c>
      <c r="ALW28" s="12">
        <f>INT((ALU28-1+LaunchMonth-1)/12)+1</f>
        <v/>
      </c>
      <c r="ALX28" s="12">
        <f>VLOOKUP(ALV28,SeasonTable,2,FALSE)</f>
        <v/>
      </c>
      <c r="ALY28" s="12">
        <f>(1+InflationRate)^INT((ALU28-1)/12)</f>
        <v/>
      </c>
      <c r="ALZ28" s="11">
        <f>MonthlyChurn*VLOOKUP(ALV28,ChurnSeasonTable,4,FALSE)</f>
        <v/>
      </c>
      <c r="AMA28" s="12">
        <f>MIN(MAX(MktMin19plus,AMY27*MktPct19plus),MAX(0,ANM27-CashBuffer))</f>
        <v/>
      </c>
      <c r="AMB28" s="12">
        <f>IF(AMA28&gt;0,MAX(1,ROUND(AMA28/'Sens - CAC &amp; Marketing'!$A$11*ALX28,0)),0)</f>
        <v/>
      </c>
      <c r="AMC28" s="12">
        <f>IF(AMB28&gt;0,ROUND(AMB28*ReferralMix/(1-ReferralMix),0),0)</f>
        <v/>
      </c>
      <c r="AMD28" s="12">
        <f>AMB28+AMC28</f>
        <v/>
      </c>
      <c r="AME28" s="12">
        <f>ROUND(AMD28*(1-AnnualMix),0)</f>
        <v/>
      </c>
      <c r="AMF28" s="12">
        <f>AMD28-AME28</f>
        <v/>
      </c>
      <c r="AMG28" s="12">
        <f>ROUND(AME28*EssentialMix,0)</f>
        <v/>
      </c>
      <c r="AMH28" s="12">
        <f>ROUND(AME28*PremiumMix,0)</f>
        <v/>
      </c>
      <c r="AMI28" s="12">
        <f>AME28-AMG28-AMH28</f>
        <v/>
      </c>
      <c r="AMJ28" s="12">
        <f>ROUND(AMF28*EssentialMix,0)</f>
        <v/>
      </c>
      <c r="AMK28" s="12">
        <f>ROUND(AMF28*PremiumMix,0)</f>
        <v/>
      </c>
      <c r="AML28" s="12">
        <f>AMF28-AMJ28-AMK28</f>
        <v/>
      </c>
      <c r="AMM28" s="12">
        <f>AMG28+AMG27+AMG26+MAX(0,AMM27-AMG27-AMG26)*(1-ALZ28)</f>
        <v/>
      </c>
      <c r="AMN28" s="12">
        <f>AMH28+AMH27+AMH26+MAX(0,AMN27-AMH27-AMH26)*(1-ALZ28)</f>
        <v/>
      </c>
      <c r="AMO28" s="12">
        <f>AMI28+AMI27+AMI26+MAX(0,AMO27-AMI27-AMI26)*(1-ALZ28)</f>
        <v/>
      </c>
      <c r="AMP28" s="12">
        <f>AMP27+AMJ28-AMJ16*(AnnualChurn*VLOOKUP(ALV28,ChurnSeasonTable,4,FALSE))*POWER(1-(AnnualChurn*VLOOKUP(ALV28,ChurnSeasonTable,4,FALSE)),0)</f>
        <v/>
      </c>
      <c r="AMQ28" s="12">
        <f>AMQ27+AMK28-AMK16*(AnnualChurn*VLOOKUP(ALV28,ChurnSeasonTable,4,FALSE))*POWER(1-(AnnualChurn*VLOOKUP(ALV28,ChurnSeasonTable,4,FALSE)),0)</f>
        <v/>
      </c>
      <c r="AMR28" s="12">
        <f>AMR27+AML28-AML16*(AnnualChurn*VLOOKUP(ALV28,ChurnSeasonTable,4,FALSE))*POWER(1-(AnnualChurn*VLOOKUP(ALV28,ChurnSeasonTable,4,FALSE)),0)</f>
        <v/>
      </c>
      <c r="AMS28" s="12">
        <f>AMM28+AMN28+AMO28+AMP28+AMQ28+AMR28</f>
        <v/>
      </c>
      <c r="AMT28" s="9">
        <f>AMM28*BlendedPriceEssMonthly*ALY28+AMN28*BlendedPricePremMonthly*ALY28+AMO28*BlendedPriceEliteMonthly*ALY28+AMP28*BlendedPriceEssAnnual*ALY28/12+AMQ28*BlendedPricePremAnnual*ALY28/12+AMR28*BlendedPriceEliteAnnual*ALY28/12</f>
        <v/>
      </c>
      <c r="AMU28" s="9">
        <f>AMT28*12</f>
        <v/>
      </c>
      <c r="AMV28" s="12">
        <f>AMM28*BlendedPriceEssMonthly*ALY28+AMN28*BlendedPricePremMonthly*ALY28+AMO28*BlendedPriceEliteMonthly*ALY28</f>
        <v/>
      </c>
      <c r="AMW28" s="12">
        <f>AMJ28*BlendedPriceEssAnnual*ALY28+AMK28*BlendedPricePremAnnual*ALY28+AML28*BlendedPriceEliteAnnual*ALY28</f>
        <v/>
      </c>
      <c r="AMX28" s="12">
        <f>AMJ16*POWER(1-(AnnualChurn*VLOOKUP(ALV28,ChurnSeasonTable,4,FALSE)),1)*BlendedPriceEssAnnual*ALY28+AMK16*POWER(1-(AnnualChurn*VLOOKUP(ALV28,ChurnSeasonTable,4,FALSE)),1)*BlendedPricePremAnnual*ALY28+AML16*POWER(1-(AnnualChurn*VLOOKUP(ALV28,ChurnSeasonTable,4,FALSE)),1)*BlendedPriceEliteAnnual*ALY28</f>
        <v/>
      </c>
      <c r="AMY28" s="9">
        <f>AMV28+AMW28+AMX28</f>
        <v/>
      </c>
      <c r="AMZ28" s="12">
        <f>SUM(AMY17:AMY28)</f>
        <v/>
      </c>
      <c r="ANA28" s="12">
        <f>OR(ANA27,IF(VATAgentMode,SUM($AMY17:$AMY28)-SUM($ANF17:$ANF28)&gt;=VATThreshold,SUM($AMY17:$AMY28)&gt;=VATThreshold))</f>
        <v/>
      </c>
      <c r="ANB28" s="9">
        <f>IF(ANA28,IF(VATAgentMode,AMY28-((AMY28-ANF28)-(AMY28-ANF28)/(1+VATRate)),AMY28/(1+VATRate)),AMY28)</f>
        <v/>
      </c>
      <c r="ANC28" s="12">
        <f>AMY28-ANB28</f>
        <v/>
      </c>
      <c r="AND28" s="12">
        <f>IF(ANA28=0,0,IF(ALV28=1,SUMPRODUCT(--(($ALW$5:$ALW28=$ALW28-1)*($ALV$5:$ALV28&gt;=10)*($ALV$5:$ALV28&lt;=12)),$ANC$5:$ANC28),IF(ALV28=4,SUMPRODUCT(--(($ALW$5:$ALW28=$ALW28)*($ALV$5:$ALV28&gt;=1)*($ALV$5:$ALV28&lt;=3)),$ANC$5:$ANC28),IF(ALV28=7,SUMPRODUCT(--(($ALW$5:$ALW28=$ALW28)*($ALV$5:$ALV28&gt;=4)*($ALV$5:$ALV28&lt;=6)),$ANC$5:$ANC28),IF(ALV28=10,SUMPRODUCT(--(($ALW$5:$ALW28=$ALW28)*($ALV$5:$ALV28&gt;=7)*($ALV$5:$ALV28&lt;=9)),$ANC$5:$ANC28),0)))))</f>
        <v/>
      </c>
      <c r="ANE28" s="12">
        <f>ANE27+ANC28-AND28</f>
        <v/>
      </c>
      <c r="ANF28" s="12">
        <f>IF(ProviderDelay&gt;=1,AMM27*BlendedProvPayEss+AMN27*BlendedProvPayPrem+AMO27*BlendedProvPayElite+AMP27*BlendedProvPayEss+AMQ27*BlendedProvPayPrem+AMR27*BlendedProvPayElite,AMM28*BlendedProvPayEss+AMN28*BlendedProvPayPrem+AMO28*BlendedProvPayElite+AMP28*BlendedProvPayEss+AMQ28*BlendedProvPayPrem+AMR28*BlendedProvPayElite)</f>
        <v/>
      </c>
      <c r="ANG28" s="12">
        <f>AMY28*PaymentFee</f>
        <v/>
      </c>
      <c r="ANH28" s="12">
        <f>AMS28*OpsAI</f>
        <v/>
      </c>
      <c r="ANI28" s="12">
        <f>MonthlyFixed</f>
        <v/>
      </c>
      <c r="ANJ28" s="12">
        <f>AMC28*ReferralReward</f>
        <v/>
      </c>
      <c r="ANK28" s="12">
        <f>AMA28</f>
        <v/>
      </c>
      <c r="ANL28" s="9">
        <f>ANB28-ANF28-ANG28-ANH28-ANI28-ANJ28-ANK28</f>
        <v/>
      </c>
      <c r="ANM28" s="9">
        <f>ANM27+AMY28-(ANF28+ANG28+ANH28+ANI28+ANJ28+ANK28+AND28)</f>
        <v/>
      </c>
      <c r="ANN28" s="12">
        <f>IF(AMS28&gt;0,AMT28/AMS28,0)</f>
        <v/>
      </c>
      <c r="ANO28" s="11">
        <f>IF(AMS27&gt;0,MAX(0,(AMS27+AMD28-AMS28)/AMS27),0)</f>
        <v/>
      </c>
      <c r="ANQ28" s="12" t="n">
        <v>24</v>
      </c>
      <c r="ANR28" s="12">
        <f>MOD(ANQ28-1+LaunchMonth-1,12)+1</f>
        <v/>
      </c>
      <c r="ANS28" s="12">
        <f>INT((ANQ28-1+LaunchMonth-1)/12)+1</f>
        <v/>
      </c>
      <c r="ANT28" s="12">
        <f>VLOOKUP(ANR28,SeasonTable,2,FALSE)</f>
        <v/>
      </c>
      <c r="ANU28" s="12">
        <f>(1+InflationRate)^INT((ANQ28-1)/12)</f>
        <v/>
      </c>
      <c r="ANV28" s="11">
        <f>MonthlyChurn*VLOOKUP(ANR28,ChurnSeasonTable,4,FALSE)</f>
        <v/>
      </c>
      <c r="ANW28" s="12">
        <f>MIN(MAX(MktMin19plus,AOU27*MktPct19plus),MAX(0,API27-CashBuffer))</f>
        <v/>
      </c>
      <c r="ANX28" s="12">
        <f>IF(ANW28&gt;0,MAX(1,ROUND(ANW28/'Sens - CAC &amp; Marketing'!$A$12*ANT28,0)),0)</f>
        <v/>
      </c>
      <c r="ANY28" s="12">
        <f>IF(ANX28&gt;0,ROUND(ANX28*ReferralMix/(1-ReferralMix),0),0)</f>
        <v/>
      </c>
      <c r="ANZ28" s="12">
        <f>ANX28+ANY28</f>
        <v/>
      </c>
      <c r="AOA28" s="12">
        <f>ROUND(ANZ28*(1-AnnualMix),0)</f>
        <v/>
      </c>
      <c r="AOB28" s="12">
        <f>ANZ28-AOA28</f>
        <v/>
      </c>
      <c r="AOC28" s="12">
        <f>ROUND(AOA28*EssentialMix,0)</f>
        <v/>
      </c>
      <c r="AOD28" s="12">
        <f>ROUND(AOA28*PremiumMix,0)</f>
        <v/>
      </c>
      <c r="AOE28" s="12">
        <f>AOA28-AOC28-AOD28</f>
        <v/>
      </c>
      <c r="AOF28" s="12">
        <f>ROUND(AOB28*EssentialMix,0)</f>
        <v/>
      </c>
      <c r="AOG28" s="12">
        <f>ROUND(AOB28*PremiumMix,0)</f>
        <v/>
      </c>
      <c r="AOH28" s="12">
        <f>AOB28-AOF28-AOG28</f>
        <v/>
      </c>
      <c r="AOI28" s="12">
        <f>AOC28+AOC27+AOC26+MAX(0,AOI27-AOC27-AOC26)*(1-ANV28)</f>
        <v/>
      </c>
      <c r="AOJ28" s="12">
        <f>AOD28+AOD27+AOD26+MAX(0,AOJ27-AOD27-AOD26)*(1-ANV28)</f>
        <v/>
      </c>
      <c r="AOK28" s="12">
        <f>AOE28+AOE27+AOE26+MAX(0,AOK27-AOE27-AOE26)*(1-ANV28)</f>
        <v/>
      </c>
      <c r="AOL28" s="12">
        <f>AOL27+AOF28-AOF16*(AnnualChurn*VLOOKUP(ANR28,ChurnSeasonTable,4,FALSE))*POWER(1-(AnnualChurn*VLOOKUP(ANR28,ChurnSeasonTable,4,FALSE)),0)</f>
        <v/>
      </c>
      <c r="AOM28" s="12">
        <f>AOM27+AOG28-AOG16*(AnnualChurn*VLOOKUP(ANR28,ChurnSeasonTable,4,FALSE))*POWER(1-(AnnualChurn*VLOOKUP(ANR28,ChurnSeasonTable,4,FALSE)),0)</f>
        <v/>
      </c>
      <c r="AON28" s="12">
        <f>AON27+AOH28-AOH16*(AnnualChurn*VLOOKUP(ANR28,ChurnSeasonTable,4,FALSE))*POWER(1-(AnnualChurn*VLOOKUP(ANR28,ChurnSeasonTable,4,FALSE)),0)</f>
        <v/>
      </c>
      <c r="AOO28" s="12">
        <f>AOI28+AOJ28+AOK28+AOL28+AOM28+AON28</f>
        <v/>
      </c>
      <c r="AOP28" s="9">
        <f>AOI28*BlendedPriceEssMonthly*ANU28+AOJ28*BlendedPricePremMonthly*ANU28+AOK28*BlendedPriceEliteMonthly*ANU28+AOL28*BlendedPriceEssAnnual*ANU28/12+AOM28*BlendedPricePremAnnual*ANU28/12+AON28*BlendedPriceEliteAnnual*ANU28/12</f>
        <v/>
      </c>
      <c r="AOQ28" s="9">
        <f>AOP28*12</f>
        <v/>
      </c>
      <c r="AOR28" s="12">
        <f>AOI28*BlendedPriceEssMonthly*ANU28+AOJ28*BlendedPricePremMonthly*ANU28+AOK28*BlendedPriceEliteMonthly*ANU28</f>
        <v/>
      </c>
      <c r="AOS28" s="12">
        <f>AOF28*BlendedPriceEssAnnual*ANU28+AOG28*BlendedPricePremAnnual*ANU28+AOH28*BlendedPriceEliteAnnual*ANU28</f>
        <v/>
      </c>
      <c r="AOT28" s="12">
        <f>AOF16*POWER(1-(AnnualChurn*VLOOKUP(ANR28,ChurnSeasonTable,4,FALSE)),1)*BlendedPriceEssAnnual*ANU28+AOG16*POWER(1-(AnnualChurn*VLOOKUP(ANR28,ChurnSeasonTable,4,FALSE)),1)*BlendedPricePremAnnual*ANU28+AOH16*POWER(1-(AnnualChurn*VLOOKUP(ANR28,ChurnSeasonTable,4,FALSE)),1)*BlendedPriceEliteAnnual*ANU28</f>
        <v/>
      </c>
      <c r="AOU28" s="9">
        <f>AOR28+AOS28+AOT28</f>
        <v/>
      </c>
      <c r="AOV28" s="12">
        <f>SUM(AOU17:AOU28)</f>
        <v/>
      </c>
      <c r="AOW28" s="12">
        <f>OR(AOW27,IF(VATAgentMode,SUM($AOU17:$AOU28)-SUM($APB17:$APB28)&gt;=VATThreshold,SUM($AOU17:$AOU28)&gt;=VATThreshold))</f>
        <v/>
      </c>
      <c r="AOX28" s="9">
        <f>IF(AOW28,IF(VATAgentMode,AOU28-((AOU28-APB28)-(AOU28-APB28)/(1+VATRate)),AOU28/(1+VATRate)),AOU28)</f>
        <v/>
      </c>
      <c r="AOY28" s="12">
        <f>AOU28-AOX28</f>
        <v/>
      </c>
      <c r="AOZ28" s="12">
        <f>IF(AOW28=0,0,IF(ANR28=1,SUMPRODUCT(--(($ANS$5:$ANS28=$ANS28-1)*($ANR$5:$ANR28&gt;=10)*($ANR$5:$ANR28&lt;=12)),$AOY$5:$AOY28),IF(ANR28=4,SUMPRODUCT(--(($ANS$5:$ANS28=$ANS28)*($ANR$5:$ANR28&gt;=1)*($ANR$5:$ANR28&lt;=3)),$AOY$5:$AOY28),IF(ANR28=7,SUMPRODUCT(--(($ANS$5:$ANS28=$ANS28)*($ANR$5:$ANR28&gt;=4)*($ANR$5:$ANR28&lt;=6)),$AOY$5:$AOY28),IF(ANR28=10,SUMPRODUCT(--(($ANS$5:$ANS28=$ANS28)*($ANR$5:$ANR28&gt;=7)*($ANR$5:$ANR28&lt;=9)),$AOY$5:$AOY28),0)))))</f>
        <v/>
      </c>
      <c r="APA28" s="12">
        <f>APA27+AOY28-AOZ28</f>
        <v/>
      </c>
      <c r="APB28" s="12">
        <f>IF(ProviderDelay&gt;=1,AOI27*BlendedProvPayEss+AOJ27*BlendedProvPayPrem+AOK27*BlendedProvPayElite+AOL27*BlendedProvPayEss+AOM27*BlendedProvPayPrem+AON27*BlendedProvPayElite,AOI28*BlendedProvPayEss+AOJ28*BlendedProvPayPrem+AOK28*BlendedProvPayElite+AOL28*BlendedProvPayEss+AOM28*BlendedProvPayPrem+AON28*BlendedProvPayElite)</f>
        <v/>
      </c>
      <c r="APC28" s="12">
        <f>AOU28*PaymentFee</f>
        <v/>
      </c>
      <c r="APD28" s="12">
        <f>AOO28*OpsAI</f>
        <v/>
      </c>
      <c r="APE28" s="12">
        <f>MonthlyFixed</f>
        <v/>
      </c>
      <c r="APF28" s="12">
        <f>ANY28*ReferralReward</f>
        <v/>
      </c>
      <c r="APG28" s="12">
        <f>ANW28</f>
        <v/>
      </c>
      <c r="APH28" s="9">
        <f>AOX28-APB28-APC28-APD28-APE28-APF28-APG28</f>
        <v/>
      </c>
      <c r="API28" s="9">
        <f>API27+AOU28-(APB28+APC28+APD28+APE28+APF28+APG28+AOZ28)</f>
        <v/>
      </c>
      <c r="APJ28" s="12">
        <f>IF(AOO28&gt;0,AOP28/AOO28,0)</f>
        <v/>
      </c>
      <c r="APK28" s="11">
        <f>IF(AOO27&gt;0,MAX(0,(AOO27+ANZ28-AOO28)/AOO27),0)</f>
        <v/>
      </c>
      <c r="APM28" s="12" t="n">
        <v>24</v>
      </c>
      <c r="APN28" s="12">
        <f>MOD(APM28-1+LaunchMonth-1,12)+1</f>
        <v/>
      </c>
      <c r="APO28" s="12">
        <f>INT((APM28-1+LaunchMonth-1)/12)+1</f>
        <v/>
      </c>
      <c r="APP28" s="12">
        <f>VLOOKUP(APN28,SeasonTable,2,FALSE)</f>
        <v/>
      </c>
      <c r="APQ28" s="12">
        <f>(1+InflationRate)^INT((APM28-1)/12)</f>
        <v/>
      </c>
      <c r="APR28" s="11">
        <f>MonthlyChurn*VLOOKUP(APN28,ChurnSeasonTable,4,FALSE)</f>
        <v/>
      </c>
      <c r="APS28" s="12">
        <f>MIN(MAX(MktMin19plus,AQQ27*MktPct19plus),MAX(0,ARE27-CashBuffer))</f>
        <v/>
      </c>
      <c r="APT28" s="12">
        <f>IF(APS28&gt;0,MAX(1,ROUND(APS28/'Sens - CAC &amp; Marketing'!$A$13*APP28,0)),0)</f>
        <v/>
      </c>
      <c r="APU28" s="12">
        <f>IF(APT28&gt;0,ROUND(APT28*ReferralMix/(1-ReferralMix),0),0)</f>
        <v/>
      </c>
      <c r="APV28" s="12">
        <f>APT28+APU28</f>
        <v/>
      </c>
      <c r="APW28" s="12">
        <f>ROUND(APV28*(1-AnnualMix),0)</f>
        <v/>
      </c>
      <c r="APX28" s="12">
        <f>APV28-APW28</f>
        <v/>
      </c>
      <c r="APY28" s="12">
        <f>ROUND(APW28*EssentialMix,0)</f>
        <v/>
      </c>
      <c r="APZ28" s="12">
        <f>ROUND(APW28*PremiumMix,0)</f>
        <v/>
      </c>
      <c r="AQA28" s="12">
        <f>APW28-APY28-APZ28</f>
        <v/>
      </c>
      <c r="AQB28" s="12">
        <f>ROUND(APX28*EssentialMix,0)</f>
        <v/>
      </c>
      <c r="AQC28" s="12">
        <f>ROUND(APX28*PremiumMix,0)</f>
        <v/>
      </c>
      <c r="AQD28" s="12">
        <f>APX28-AQB28-AQC28</f>
        <v/>
      </c>
      <c r="AQE28" s="12">
        <f>APY28+APY27+APY26+MAX(0,AQE27-APY27-APY26)*(1-APR28)</f>
        <v/>
      </c>
      <c r="AQF28" s="12">
        <f>APZ28+APZ27+APZ26+MAX(0,AQF27-APZ27-APZ26)*(1-APR28)</f>
        <v/>
      </c>
      <c r="AQG28" s="12">
        <f>AQA28+AQA27+AQA26+MAX(0,AQG27-AQA27-AQA26)*(1-APR28)</f>
        <v/>
      </c>
      <c r="AQH28" s="12">
        <f>AQH27+AQB28-AQB16*(AnnualChurn*VLOOKUP(APN28,ChurnSeasonTable,4,FALSE))*POWER(1-(AnnualChurn*VLOOKUP(APN28,ChurnSeasonTable,4,FALSE)),0)</f>
        <v/>
      </c>
      <c r="AQI28" s="12">
        <f>AQI27+AQC28-AQC16*(AnnualChurn*VLOOKUP(APN28,ChurnSeasonTable,4,FALSE))*POWER(1-(AnnualChurn*VLOOKUP(APN28,ChurnSeasonTable,4,FALSE)),0)</f>
        <v/>
      </c>
      <c r="AQJ28" s="12">
        <f>AQJ27+AQD28-AQD16*(AnnualChurn*VLOOKUP(APN28,ChurnSeasonTable,4,FALSE))*POWER(1-(AnnualChurn*VLOOKUP(APN28,ChurnSeasonTable,4,FALSE)),0)</f>
        <v/>
      </c>
      <c r="AQK28" s="12">
        <f>AQE28+AQF28+AQG28+AQH28+AQI28+AQJ28</f>
        <v/>
      </c>
      <c r="AQL28" s="9">
        <f>AQE28*BlendedPriceEssMonthly*APQ28+AQF28*BlendedPricePremMonthly*APQ28+AQG28*BlendedPriceEliteMonthly*APQ28+AQH28*BlendedPriceEssAnnual*APQ28/12+AQI28*BlendedPricePremAnnual*APQ28/12+AQJ28*BlendedPriceEliteAnnual*APQ28/12</f>
        <v/>
      </c>
      <c r="AQM28" s="9">
        <f>AQL28*12</f>
        <v/>
      </c>
      <c r="AQN28" s="12">
        <f>AQE28*BlendedPriceEssMonthly*APQ28+AQF28*BlendedPricePremMonthly*APQ28+AQG28*BlendedPriceEliteMonthly*APQ28</f>
        <v/>
      </c>
      <c r="AQO28" s="12">
        <f>AQB28*BlendedPriceEssAnnual*APQ28+AQC28*BlendedPricePremAnnual*APQ28+AQD28*BlendedPriceEliteAnnual*APQ28</f>
        <v/>
      </c>
      <c r="AQP28" s="12">
        <f>AQB16*POWER(1-(AnnualChurn*VLOOKUP(APN28,ChurnSeasonTable,4,FALSE)),1)*BlendedPriceEssAnnual*APQ28+AQC16*POWER(1-(AnnualChurn*VLOOKUP(APN28,ChurnSeasonTable,4,FALSE)),1)*BlendedPricePremAnnual*APQ28+AQD16*POWER(1-(AnnualChurn*VLOOKUP(APN28,ChurnSeasonTable,4,FALSE)),1)*BlendedPriceEliteAnnual*APQ28</f>
        <v/>
      </c>
      <c r="AQQ28" s="9">
        <f>AQN28+AQO28+AQP28</f>
        <v/>
      </c>
      <c r="AQR28" s="12">
        <f>SUM(AQQ17:AQQ28)</f>
        <v/>
      </c>
      <c r="AQS28" s="12">
        <f>OR(AQS27,IF(VATAgentMode,SUM($AQQ17:$AQQ28)-SUM($AQX17:$AQX28)&gt;=VATThreshold,SUM($AQQ17:$AQQ28)&gt;=VATThreshold))</f>
        <v/>
      </c>
      <c r="AQT28" s="9">
        <f>IF(AQS28,IF(VATAgentMode,AQQ28-((AQQ28-AQX28)-(AQQ28-AQX28)/(1+VATRate)),AQQ28/(1+VATRate)),AQQ28)</f>
        <v/>
      </c>
      <c r="AQU28" s="12">
        <f>AQQ28-AQT28</f>
        <v/>
      </c>
      <c r="AQV28" s="12">
        <f>IF(AQS28=0,0,IF(APN28=1,SUMPRODUCT(--(($APO$5:$APO28=$APO28-1)*($APN$5:$APN28&gt;=10)*($APN$5:$APN28&lt;=12)),$AQU$5:$AQU28),IF(APN28=4,SUMPRODUCT(--(($APO$5:$APO28=$APO28)*($APN$5:$APN28&gt;=1)*($APN$5:$APN28&lt;=3)),$AQU$5:$AQU28),IF(APN28=7,SUMPRODUCT(--(($APO$5:$APO28=$APO28)*($APN$5:$APN28&gt;=4)*($APN$5:$APN28&lt;=6)),$AQU$5:$AQU28),IF(APN28=10,SUMPRODUCT(--(($APO$5:$APO28=$APO28)*($APN$5:$APN28&gt;=7)*($APN$5:$APN28&lt;=9)),$AQU$5:$AQU28),0)))))</f>
        <v/>
      </c>
      <c r="AQW28" s="12">
        <f>AQW27+AQU28-AQV28</f>
        <v/>
      </c>
      <c r="AQX28" s="12">
        <f>IF(ProviderDelay&gt;=1,AQE27*BlendedProvPayEss+AQF27*BlendedProvPayPrem+AQG27*BlendedProvPayElite+AQH27*BlendedProvPayEss+AQI27*BlendedProvPayPrem+AQJ27*BlendedProvPayElite,AQE28*BlendedProvPayEss+AQF28*BlendedProvPayPrem+AQG28*BlendedProvPayElite+AQH28*BlendedProvPayEss+AQI28*BlendedProvPayPrem+AQJ28*BlendedProvPayElite)</f>
        <v/>
      </c>
      <c r="AQY28" s="12">
        <f>AQQ28*PaymentFee</f>
        <v/>
      </c>
      <c r="AQZ28" s="12">
        <f>AQK28*OpsAI</f>
        <v/>
      </c>
      <c r="ARA28" s="12">
        <f>MonthlyFixed</f>
        <v/>
      </c>
      <c r="ARB28" s="12">
        <f>APU28*ReferralReward</f>
        <v/>
      </c>
      <c r="ARC28" s="12">
        <f>APS28</f>
        <v/>
      </c>
      <c r="ARD28" s="9">
        <f>AQT28-AQX28-AQY28-AQZ28-ARA28-ARB28-ARC28</f>
        <v/>
      </c>
      <c r="ARE28" s="9">
        <f>ARE27+AQQ28-(AQX28+AQY28+AQZ28+ARA28+ARB28+ARC28+AQV28)</f>
        <v/>
      </c>
      <c r="ARF28" s="12">
        <f>IF(AQK28&gt;0,AQL28/AQK28,0)</f>
        <v/>
      </c>
      <c r="ARG28" s="11">
        <f>IF(AQK27&gt;0,MAX(0,(AQK27+APV28-AQK28)/AQK27),0)</f>
        <v/>
      </c>
      <c r="ARI28" s="12" t="n">
        <v>24</v>
      </c>
      <c r="ARJ28" s="12">
        <f>MOD(ARI28-1+LaunchMonth-1,12)+1</f>
        <v/>
      </c>
      <c r="ARK28" s="12">
        <f>INT((ARI28-1+LaunchMonth-1)/12)+1</f>
        <v/>
      </c>
      <c r="ARL28" s="12">
        <f>VLOOKUP(ARJ28,SeasonTable,2,FALSE)</f>
        <v/>
      </c>
      <c r="ARM28" s="12">
        <f>(1+InflationRate)^INT((ARI28-1)/12)</f>
        <v/>
      </c>
      <c r="ARN28" s="11">
        <f>MonthlyChurn*VLOOKUP(ARJ28,ChurnSeasonTable,4,FALSE)</f>
        <v/>
      </c>
      <c r="ARO28" s="12">
        <f>MIN(MAX(MktMin19plus,ASM27*MktPct19plus),MAX(0,ATA27-CashBuffer))</f>
        <v/>
      </c>
      <c r="ARP28" s="12">
        <f>IF(ARO28&gt;0,MAX(1,ROUND(ARO28/'Sens - CAC &amp; Marketing'!$A$14*ARL28,0)),0)</f>
        <v/>
      </c>
      <c r="ARQ28" s="12">
        <f>IF(ARP28&gt;0,ROUND(ARP28*ReferralMix/(1-ReferralMix),0),0)</f>
        <v/>
      </c>
      <c r="ARR28" s="12">
        <f>ARP28+ARQ28</f>
        <v/>
      </c>
      <c r="ARS28" s="12">
        <f>ROUND(ARR28*(1-AnnualMix),0)</f>
        <v/>
      </c>
      <c r="ART28" s="12">
        <f>ARR28-ARS28</f>
        <v/>
      </c>
      <c r="ARU28" s="12">
        <f>ROUND(ARS28*EssentialMix,0)</f>
        <v/>
      </c>
      <c r="ARV28" s="12">
        <f>ROUND(ARS28*PremiumMix,0)</f>
        <v/>
      </c>
      <c r="ARW28" s="12">
        <f>ARS28-ARU28-ARV28</f>
        <v/>
      </c>
      <c r="ARX28" s="12">
        <f>ROUND(ART28*EssentialMix,0)</f>
        <v/>
      </c>
      <c r="ARY28" s="12">
        <f>ROUND(ART28*PremiumMix,0)</f>
        <v/>
      </c>
      <c r="ARZ28" s="12">
        <f>ART28-ARX28-ARY28</f>
        <v/>
      </c>
      <c r="ASA28" s="12">
        <f>ARU28+ARU27+ARU26+MAX(0,ASA27-ARU27-ARU26)*(1-ARN28)</f>
        <v/>
      </c>
      <c r="ASB28" s="12">
        <f>ARV28+ARV27+ARV26+MAX(0,ASB27-ARV27-ARV26)*(1-ARN28)</f>
        <v/>
      </c>
      <c r="ASC28" s="12">
        <f>ARW28+ARW27+ARW26+MAX(0,ASC27-ARW27-ARW26)*(1-ARN28)</f>
        <v/>
      </c>
      <c r="ASD28" s="12">
        <f>ASD27+ARX28-ARX16*(AnnualChurn*VLOOKUP(ARJ28,ChurnSeasonTable,4,FALSE))*POWER(1-(AnnualChurn*VLOOKUP(ARJ28,ChurnSeasonTable,4,FALSE)),0)</f>
        <v/>
      </c>
      <c r="ASE28" s="12">
        <f>ASE27+ARY28-ARY16*(AnnualChurn*VLOOKUP(ARJ28,ChurnSeasonTable,4,FALSE))*POWER(1-(AnnualChurn*VLOOKUP(ARJ28,ChurnSeasonTable,4,FALSE)),0)</f>
        <v/>
      </c>
      <c r="ASF28" s="12">
        <f>ASF27+ARZ28-ARZ16*(AnnualChurn*VLOOKUP(ARJ28,ChurnSeasonTable,4,FALSE))*POWER(1-(AnnualChurn*VLOOKUP(ARJ28,ChurnSeasonTable,4,FALSE)),0)</f>
        <v/>
      </c>
      <c r="ASG28" s="12">
        <f>ASA28+ASB28+ASC28+ASD28+ASE28+ASF28</f>
        <v/>
      </c>
      <c r="ASH28" s="9">
        <f>ASA28*BlendedPriceEssMonthly*ARM28+ASB28*BlendedPricePremMonthly*ARM28+ASC28*BlendedPriceEliteMonthly*ARM28+ASD28*BlendedPriceEssAnnual*ARM28/12+ASE28*BlendedPricePremAnnual*ARM28/12+ASF28*BlendedPriceEliteAnnual*ARM28/12</f>
        <v/>
      </c>
      <c r="ASI28" s="9">
        <f>ASH28*12</f>
        <v/>
      </c>
      <c r="ASJ28" s="12">
        <f>ASA28*BlendedPriceEssMonthly*ARM28+ASB28*BlendedPricePremMonthly*ARM28+ASC28*BlendedPriceEliteMonthly*ARM28</f>
        <v/>
      </c>
      <c r="ASK28" s="12">
        <f>ARX28*BlendedPriceEssAnnual*ARM28+ARY28*BlendedPricePremAnnual*ARM28+ARZ28*BlendedPriceEliteAnnual*ARM28</f>
        <v/>
      </c>
      <c r="ASL28" s="12">
        <f>ARX16*POWER(1-(AnnualChurn*VLOOKUP(ARJ28,ChurnSeasonTable,4,FALSE)),1)*BlendedPriceEssAnnual*ARM28+ARY16*POWER(1-(AnnualChurn*VLOOKUP(ARJ28,ChurnSeasonTable,4,FALSE)),1)*BlendedPricePremAnnual*ARM28+ARZ16*POWER(1-(AnnualChurn*VLOOKUP(ARJ28,ChurnSeasonTable,4,FALSE)),1)*BlendedPriceEliteAnnual*ARM28</f>
        <v/>
      </c>
      <c r="ASM28" s="9">
        <f>ASJ28+ASK28+ASL28</f>
        <v/>
      </c>
      <c r="ASN28" s="12">
        <f>SUM(ASM17:ASM28)</f>
        <v/>
      </c>
      <c r="ASO28" s="12">
        <f>OR(ASO27,IF(VATAgentMode,SUM($ASM17:$ASM28)-SUM($AST17:$AST28)&gt;=VATThreshold,SUM($ASM17:$ASM28)&gt;=VATThreshold))</f>
        <v/>
      </c>
      <c r="ASP28" s="9">
        <f>IF(ASO28,IF(VATAgentMode,ASM28-((ASM28-AST28)-(ASM28-AST28)/(1+VATRate)),ASM28/(1+VATRate)),ASM28)</f>
        <v/>
      </c>
      <c r="ASQ28" s="12">
        <f>ASM28-ASP28</f>
        <v/>
      </c>
      <c r="ASR28" s="12">
        <f>IF(ASO28=0,0,IF(ARJ28=1,SUMPRODUCT(--(($ARK$5:$ARK28=$ARK28-1)*($ARJ$5:$ARJ28&gt;=10)*($ARJ$5:$ARJ28&lt;=12)),$ASQ$5:$ASQ28),IF(ARJ28=4,SUMPRODUCT(--(($ARK$5:$ARK28=$ARK28)*($ARJ$5:$ARJ28&gt;=1)*($ARJ$5:$ARJ28&lt;=3)),$ASQ$5:$ASQ28),IF(ARJ28=7,SUMPRODUCT(--(($ARK$5:$ARK28=$ARK28)*($ARJ$5:$ARJ28&gt;=4)*($ARJ$5:$ARJ28&lt;=6)),$ASQ$5:$ASQ28),IF(ARJ28=10,SUMPRODUCT(--(($ARK$5:$ARK28=$ARK28)*($ARJ$5:$ARJ28&gt;=7)*($ARJ$5:$ARJ28&lt;=9)),$ASQ$5:$ASQ28),0)))))</f>
        <v/>
      </c>
      <c r="ASS28" s="12">
        <f>ASS27+ASQ28-ASR28</f>
        <v/>
      </c>
      <c r="AST28" s="12">
        <f>IF(ProviderDelay&gt;=1,ASA27*BlendedProvPayEss+ASB27*BlendedProvPayPrem+ASC27*BlendedProvPayElite+ASD27*BlendedProvPayEss+ASE27*BlendedProvPayPrem+ASF27*BlendedProvPayElite,ASA28*BlendedProvPayEss+ASB28*BlendedProvPayPrem+ASC28*BlendedProvPayElite+ASD28*BlendedProvPayEss+ASE28*BlendedProvPayPrem+ASF28*BlendedProvPayElite)</f>
        <v/>
      </c>
      <c r="ASU28" s="12">
        <f>ASM28*PaymentFee</f>
        <v/>
      </c>
      <c r="ASV28" s="12">
        <f>ASG28*OpsAI</f>
        <v/>
      </c>
      <c r="ASW28" s="12">
        <f>MonthlyFixed</f>
        <v/>
      </c>
      <c r="ASX28" s="12">
        <f>ARQ28*ReferralReward</f>
        <v/>
      </c>
      <c r="ASY28" s="12">
        <f>ARO28</f>
        <v/>
      </c>
      <c r="ASZ28" s="9">
        <f>ASP28-AST28-ASU28-ASV28-ASW28-ASX28-ASY28</f>
        <v/>
      </c>
      <c r="ATA28" s="9">
        <f>ATA27+ASM28-(AST28+ASU28+ASV28+ASW28+ASX28+ASY28+ASR28)</f>
        <v/>
      </c>
      <c r="ATB28" s="12">
        <f>IF(ASG28&gt;0,ASH28/ASG28,0)</f>
        <v/>
      </c>
      <c r="ATC28" s="11">
        <f>IF(ASG27&gt;0,MAX(0,(ASG27+ARR28-ASG28)/ASG27),0)</f>
        <v/>
      </c>
      <c r="ATE28" s="12" t="n">
        <v>24</v>
      </c>
      <c r="ATF28" s="12">
        <f>MOD(ATE28-1+LaunchMonth-1,12)+1</f>
        <v/>
      </c>
      <c r="ATG28" s="12">
        <f>INT((ATE28-1+LaunchMonth-1)/12)+1</f>
        <v/>
      </c>
      <c r="ATH28" s="12">
        <f>VLOOKUP(ATF28,SeasonTable,2,FALSE)</f>
        <v/>
      </c>
      <c r="ATI28" s="12">
        <f>(1+InflationRate)^INT((ATE28-1)/12)</f>
        <v/>
      </c>
      <c r="ATJ28" s="11">
        <f>MonthlyChurn*VLOOKUP(ATF28,ChurnSeasonTable,4,FALSE)</f>
        <v/>
      </c>
      <c r="ATK28" s="12">
        <f>MIN(MAX(MktMin19plus,AUI27*MktPct19plus),MAX(0,AUW27-CashBuffer))</f>
        <v/>
      </c>
      <c r="ATL28" s="12">
        <f>IF(ATK28&gt;0,MAX(1,ROUND(ATK28/'Sens - CAC &amp; Marketing'!$A$15*ATH28,0)),0)</f>
        <v/>
      </c>
      <c r="ATM28" s="12">
        <f>IF(ATL28&gt;0,ROUND(ATL28*ReferralMix/(1-ReferralMix),0),0)</f>
        <v/>
      </c>
      <c r="ATN28" s="12">
        <f>ATL28+ATM28</f>
        <v/>
      </c>
      <c r="ATO28" s="12">
        <f>ROUND(ATN28*(1-AnnualMix),0)</f>
        <v/>
      </c>
      <c r="ATP28" s="12">
        <f>ATN28-ATO28</f>
        <v/>
      </c>
      <c r="ATQ28" s="12">
        <f>ROUND(ATO28*EssentialMix,0)</f>
        <v/>
      </c>
      <c r="ATR28" s="12">
        <f>ROUND(ATO28*PremiumMix,0)</f>
        <v/>
      </c>
      <c r="ATS28" s="12">
        <f>ATO28-ATQ28-ATR28</f>
        <v/>
      </c>
      <c r="ATT28" s="12">
        <f>ROUND(ATP28*EssentialMix,0)</f>
        <v/>
      </c>
      <c r="ATU28" s="12">
        <f>ROUND(ATP28*PremiumMix,0)</f>
        <v/>
      </c>
      <c r="ATV28" s="12">
        <f>ATP28-ATT28-ATU28</f>
        <v/>
      </c>
      <c r="ATW28" s="12">
        <f>ATQ28+ATQ27+ATQ26+MAX(0,ATW27-ATQ27-ATQ26)*(1-ATJ28)</f>
        <v/>
      </c>
      <c r="ATX28" s="12">
        <f>ATR28+ATR27+ATR26+MAX(0,ATX27-ATR27-ATR26)*(1-ATJ28)</f>
        <v/>
      </c>
      <c r="ATY28" s="12">
        <f>ATS28+ATS27+ATS26+MAX(0,ATY27-ATS27-ATS26)*(1-ATJ28)</f>
        <v/>
      </c>
      <c r="ATZ28" s="12">
        <f>ATZ27+ATT28-ATT16*(AnnualChurn*VLOOKUP(ATF28,ChurnSeasonTable,4,FALSE))*POWER(1-(AnnualChurn*VLOOKUP(ATF28,ChurnSeasonTable,4,FALSE)),0)</f>
        <v/>
      </c>
      <c r="AUA28" s="12">
        <f>AUA27+ATU28-ATU16*(AnnualChurn*VLOOKUP(ATF28,ChurnSeasonTable,4,FALSE))*POWER(1-(AnnualChurn*VLOOKUP(ATF28,ChurnSeasonTable,4,FALSE)),0)</f>
        <v/>
      </c>
      <c r="AUB28" s="12">
        <f>AUB27+ATV28-ATV16*(AnnualChurn*VLOOKUP(ATF28,ChurnSeasonTable,4,FALSE))*POWER(1-(AnnualChurn*VLOOKUP(ATF28,ChurnSeasonTable,4,FALSE)),0)</f>
        <v/>
      </c>
      <c r="AUC28" s="12">
        <f>ATW28+ATX28+ATY28+ATZ28+AUA28+AUB28</f>
        <v/>
      </c>
      <c r="AUD28" s="9">
        <f>ATW28*BlendedPriceEssMonthly*ATI28+ATX28*BlendedPricePremMonthly*ATI28+ATY28*BlendedPriceEliteMonthly*ATI28+ATZ28*BlendedPriceEssAnnual*ATI28/12+AUA28*BlendedPricePremAnnual*ATI28/12+AUB28*BlendedPriceEliteAnnual*ATI28/12</f>
        <v/>
      </c>
      <c r="AUE28" s="9">
        <f>AUD28*12</f>
        <v/>
      </c>
      <c r="AUF28" s="12">
        <f>ATW28*BlendedPriceEssMonthly*ATI28+ATX28*BlendedPricePremMonthly*ATI28+ATY28*BlendedPriceEliteMonthly*ATI28</f>
        <v/>
      </c>
      <c r="AUG28" s="12">
        <f>ATT28*BlendedPriceEssAnnual*ATI28+ATU28*BlendedPricePremAnnual*ATI28+ATV28*BlendedPriceEliteAnnual*ATI28</f>
        <v/>
      </c>
      <c r="AUH28" s="12">
        <f>ATT16*POWER(1-(AnnualChurn*VLOOKUP(ATF28,ChurnSeasonTable,4,FALSE)),1)*BlendedPriceEssAnnual*ATI28+ATU16*POWER(1-(AnnualChurn*VLOOKUP(ATF28,ChurnSeasonTable,4,FALSE)),1)*BlendedPricePremAnnual*ATI28+ATV16*POWER(1-(AnnualChurn*VLOOKUP(ATF28,ChurnSeasonTable,4,FALSE)),1)*BlendedPriceEliteAnnual*ATI28</f>
        <v/>
      </c>
      <c r="AUI28" s="9">
        <f>AUF28+AUG28+AUH28</f>
        <v/>
      </c>
      <c r="AUJ28" s="12">
        <f>SUM(AUI17:AUI28)</f>
        <v/>
      </c>
      <c r="AUK28" s="12">
        <f>OR(AUK27,IF(VATAgentMode,SUM($AUI17:$AUI28)-SUM($AUP17:$AUP28)&gt;=VATThreshold,SUM($AUI17:$AUI28)&gt;=VATThreshold))</f>
        <v/>
      </c>
      <c r="AUL28" s="9">
        <f>IF(AUK28,IF(VATAgentMode,AUI28-((AUI28-AUP28)-(AUI28-AUP28)/(1+VATRate)),AUI28/(1+VATRate)),AUI28)</f>
        <v/>
      </c>
      <c r="AUM28" s="12">
        <f>AUI28-AUL28</f>
        <v/>
      </c>
      <c r="AUN28" s="12">
        <f>IF(AUK28=0,0,IF(ATF28=1,SUMPRODUCT(--(($ATG$5:$ATG28=$ATG28-1)*($ATF$5:$ATF28&gt;=10)*($ATF$5:$ATF28&lt;=12)),$AUM$5:$AUM28),IF(ATF28=4,SUMPRODUCT(--(($ATG$5:$ATG28=$ATG28)*($ATF$5:$ATF28&gt;=1)*($ATF$5:$ATF28&lt;=3)),$AUM$5:$AUM28),IF(ATF28=7,SUMPRODUCT(--(($ATG$5:$ATG28=$ATG28)*($ATF$5:$ATF28&gt;=4)*($ATF$5:$ATF28&lt;=6)),$AUM$5:$AUM28),IF(ATF28=10,SUMPRODUCT(--(($ATG$5:$ATG28=$ATG28)*($ATF$5:$ATF28&gt;=7)*($ATF$5:$ATF28&lt;=9)),$AUM$5:$AUM28),0)))))</f>
        <v/>
      </c>
      <c r="AUO28" s="12">
        <f>AUO27+AUM28-AUN28</f>
        <v/>
      </c>
      <c r="AUP28" s="12">
        <f>IF(ProviderDelay&gt;=1,ATW27*BlendedProvPayEss+ATX27*BlendedProvPayPrem+ATY27*BlendedProvPayElite+ATZ27*BlendedProvPayEss+AUA27*BlendedProvPayPrem+AUB27*BlendedProvPayElite,ATW28*BlendedProvPayEss+ATX28*BlendedProvPayPrem+ATY28*BlendedProvPayElite+ATZ28*BlendedProvPayEss+AUA28*BlendedProvPayPrem+AUB28*BlendedProvPayElite)</f>
        <v/>
      </c>
      <c r="AUQ28" s="12">
        <f>AUI28*PaymentFee</f>
        <v/>
      </c>
      <c r="AUR28" s="12">
        <f>AUC28*OpsAI</f>
        <v/>
      </c>
      <c r="AUS28" s="12">
        <f>MonthlyFixed</f>
        <v/>
      </c>
      <c r="AUT28" s="12">
        <f>ATM28*ReferralReward</f>
        <v/>
      </c>
      <c r="AUU28" s="12">
        <f>ATK28</f>
        <v/>
      </c>
      <c r="AUV28" s="9">
        <f>AUL28-AUP28-AUQ28-AUR28-AUS28-AUT28-AUU28</f>
        <v/>
      </c>
      <c r="AUW28" s="9">
        <f>AUW27+AUI28-(AUP28+AUQ28+AUR28+AUS28+AUT28+AUU28+AUN28)</f>
        <v/>
      </c>
      <c r="AUX28" s="12">
        <f>IF(AUC28&gt;0,AUD28/AUC28,0)</f>
        <v/>
      </c>
      <c r="AUY28" s="11">
        <f>IF(AUC27&gt;0,MAX(0,(AUC27+ATN28-AUC28)/AUC27),0)</f>
        <v/>
      </c>
      <c r="AVA28" s="12" t="n">
        <v>24</v>
      </c>
      <c r="AVB28" s="12">
        <f>MOD(AVA28-1+LaunchMonth-1,12)+1</f>
        <v/>
      </c>
      <c r="AVC28" s="12">
        <f>INT((AVA28-1+LaunchMonth-1)/12)+1</f>
        <v/>
      </c>
      <c r="AVD28" s="12">
        <f>VLOOKUP(AVB28,WinterPivotSeasonTable,5,FALSE)</f>
        <v/>
      </c>
      <c r="AVE28" s="12">
        <f>(1+InflationRate)^INT((AVA28-1)/12)</f>
        <v/>
      </c>
      <c r="AVF28" s="11">
        <f>MonthlyChurn*VLOOKUP(AVB28,WinterPivotChurnTable,6,FALSE)</f>
        <v/>
      </c>
      <c r="AVG28" s="12">
        <f>MIN(MAX(MktMin19plus,AWE27*MktPct19plus),MAX(0,AWS27-CashBuffer))</f>
        <v/>
      </c>
      <c r="AVH28" s="12">
        <f>IF(AVG28&gt;0,MAX(1,ROUND(AVG28/CAC*AVD28,0)),0)</f>
        <v/>
      </c>
      <c r="AVI28" s="12">
        <f>IF(AVH28&gt;0,ROUND(AVH28*ReferralMix/(1-ReferralMix),0),0)</f>
        <v/>
      </c>
      <c r="AVJ28" s="12">
        <f>AVH28+AVI28</f>
        <v/>
      </c>
      <c r="AVK28" s="12">
        <f>ROUND(AVJ28*(1-AnnualMix),0)</f>
        <v/>
      </c>
      <c r="AVL28" s="12">
        <f>AVJ28-AVK28</f>
        <v/>
      </c>
      <c r="AVM28" s="12">
        <f>ROUND(AVK28*'Sens - Winter Pivot'!$B$6,0)</f>
        <v/>
      </c>
      <c r="AVN28" s="12">
        <f>ROUND(AVK28*PremiumMix,0)</f>
        <v/>
      </c>
      <c r="AVO28" s="12">
        <f>AVK28-AVM28-AVN28</f>
        <v/>
      </c>
      <c r="AVP28" s="12">
        <f>ROUND(AVL28*'Sens - Winter Pivot'!$B$6,0)</f>
        <v/>
      </c>
      <c r="AVQ28" s="12">
        <f>ROUND(AVL28*PremiumMix,0)</f>
        <v/>
      </c>
      <c r="AVR28" s="12">
        <f>AVL28-AVP28-AVQ28</f>
        <v/>
      </c>
      <c r="AVS28" s="12">
        <f>AVM28+AVM27+AVM26+MAX(0,AVS27-AVM27-AVM26)*(1-AVF28)</f>
        <v/>
      </c>
      <c r="AVT28" s="12">
        <f>AVN28+AVN27+AVN26+MAX(0,AVT27-AVN27-AVN26)*(1-AVF28)</f>
        <v/>
      </c>
      <c r="AVU28" s="12">
        <f>AVO28+AVO27+AVO26+MAX(0,AVU27-AVO27-AVO26)*(1-AVF28)</f>
        <v/>
      </c>
      <c r="AVV28" s="12">
        <f>AVV27+AVP28-AVP16*(AnnualChurn*VLOOKUP(AVB28,ChurnSeasonTable,4,FALSE))*POWER(1-(AnnualChurn*VLOOKUP(AVB28,ChurnSeasonTable,4,FALSE)),0)</f>
        <v/>
      </c>
      <c r="AVW28" s="12">
        <f>AVW27+AVQ28-AVQ16*(AnnualChurn*VLOOKUP(AVB28,ChurnSeasonTable,4,FALSE))*POWER(1-(AnnualChurn*VLOOKUP(AVB28,ChurnSeasonTable,4,FALSE)),0)</f>
        <v/>
      </c>
      <c r="AVX28" s="12">
        <f>AVX27+AVR28-AVR16*(AnnualChurn*VLOOKUP(AVB28,ChurnSeasonTable,4,FALSE))*POWER(1-(AnnualChurn*VLOOKUP(AVB28,ChurnSeasonTable,4,FALSE)),0)</f>
        <v/>
      </c>
      <c r="AVY28" s="12">
        <f>AVS28+AVT28+AVU28+AVV28+AVW28+AVX28</f>
        <v/>
      </c>
      <c r="AVZ28" s="9">
        <f>AVS28*BlendedPriceEssMonthly*AVE28+AVT28*(BlendedPricePremMonthly+'Sens - Winter Pivot'!$B$7)*AVE28+AVU28*BlendedPriceEliteMonthly*AVE28+AVV28*BlendedPriceEssAnnual*AVE28/12+AVW28*(BlendedPricePremAnnual+'Sens - Winter Pivot'!$B$7*12)*AVE28/12+AVX28*BlendedPriceEliteAnnual*AVE28/12</f>
        <v/>
      </c>
      <c r="AWA28" s="9">
        <f>AVZ28*12</f>
        <v/>
      </c>
      <c r="AWB28" s="12">
        <f>AVS28*BlendedPriceEssMonthly*AVE28+AVT28*(BlendedPricePremMonthly+'Sens - Winter Pivot'!$B$7)*AVE28+AVU28*BlendedPriceEliteMonthly*AVE28</f>
        <v/>
      </c>
      <c r="AWC28" s="12">
        <f>AVP28*BlendedPriceEssAnnual*AVE28+AVQ28*(BlendedPricePremAnnual+'Sens - Winter Pivot'!$B$7*12)*AVE28+AVR28*BlendedPriceEliteAnnual*AVE28</f>
        <v/>
      </c>
      <c r="AWD28" s="12">
        <f>AVP16*POWER(1-(AnnualChurn*VLOOKUP(AVB28,ChurnSeasonTable,4,FALSE)),1)*BlendedPriceEssAnnual*AVE28+AVQ16*POWER(1-(AnnualChurn*VLOOKUP(AVB28,ChurnSeasonTable,4,FALSE)),1)*BlendedPricePremAnnual*AVE28+AVR16*POWER(1-(AnnualChurn*VLOOKUP(AVB28,ChurnSeasonTable,4,FALSE)),1)*BlendedPriceEliteAnnual*AVE28</f>
        <v/>
      </c>
      <c r="AWE28" s="9">
        <f>AWB28+AWC28+AWD28</f>
        <v/>
      </c>
      <c r="AWF28" s="12">
        <f>SUM(AWE17:AWE28)</f>
        <v/>
      </c>
      <c r="AWG28" s="12">
        <f>OR(AWG27,IF(VATAgentMode,SUM($AWE17:$AWE28)-SUM($AWL17:$AWL28)&gt;=VATThreshold,SUM($AWE17:$AWE28)&gt;=VATThreshold))</f>
        <v/>
      </c>
      <c r="AWH28" s="9">
        <f>IF(AWG28,IF(VATAgentMode,AWE28-((AWE28-AWL28)-(AWE28-AWL28)/(1+VATRate)),AWE28/(1+VATRate)),AWE28)</f>
        <v/>
      </c>
      <c r="AWI28" s="12">
        <f>AWE28-AWH28</f>
        <v/>
      </c>
      <c r="AWJ28" s="12">
        <f>IF(AWG28=0,0,IF(AVB28=1,SUMPRODUCT(--(($AVC$5:$AVC28=$AVC28-1)*($AVB$5:$AVB28&gt;=10)*($AVB$5:$AVB28&lt;=12)),$AWI$5:$AWI28),IF(AVB28=4,SUMPRODUCT(--(($AVC$5:$AVC28=$AVC28)*($AVB$5:$AVB28&gt;=1)*($AVB$5:$AVB28&lt;=3)),$AWI$5:$AWI28),IF(AVB28=7,SUMPRODUCT(--(($AVC$5:$AVC28=$AVC28)*($AVB$5:$AVB28&gt;=4)*($AVB$5:$AVB28&lt;=6)),$AWI$5:$AWI28),IF(AVB28=10,SUMPRODUCT(--(($AVC$5:$AVC28=$AVC28)*($AVB$5:$AVB28&gt;=7)*($AVB$5:$AVB28&lt;=9)),$AWI$5:$AWI28),0)))))</f>
        <v/>
      </c>
      <c r="AWK28" s="12">
        <f>AWK27+AWI28-AWJ28</f>
        <v/>
      </c>
      <c r="AWL28" s="12">
        <f>IF(ProviderDelay&gt;=1,AVS27*BlendedProvPayEss+AVT27*BlendedProvPayPrem+AVU27*BlendedProvPayElite+AVV27*BlendedProvPayEss+AVW27*BlendedProvPayPrem+AVX27*BlendedProvPayElite,AVS28*BlendedProvPayEss+AVT28*BlendedProvPayPrem+AVU28*BlendedProvPayElite+AVV28*BlendedProvPayEss+AVW28*BlendedProvPayPrem+AVX28*BlendedProvPayElite)</f>
        <v/>
      </c>
      <c r="AWM28" s="12">
        <f>AWE28*PaymentFee</f>
        <v/>
      </c>
      <c r="AWN28" s="12">
        <f>AVY28*OpsAI</f>
        <v/>
      </c>
      <c r="AWO28" s="12">
        <f>MonthlyFixed</f>
        <v/>
      </c>
      <c r="AWP28" s="12">
        <f>AVI28*ReferralReward</f>
        <v/>
      </c>
      <c r="AWQ28" s="12">
        <f>AVG28</f>
        <v/>
      </c>
      <c r="AWR28" s="9">
        <f>AWH28-AWL28-AWM28-AWN28-AWO28-AWP28-AWQ28</f>
        <v/>
      </c>
      <c r="AWS28" s="9">
        <f>AWS27+AWE28-(AWL28+AWM28+AWN28+AWO28+AWP28+AWQ28+AWJ28)</f>
        <v/>
      </c>
      <c r="AWT28" s="12">
        <f>IF(AVY28&gt;0,AVZ28/AVY28,0)</f>
        <v/>
      </c>
      <c r="AWU28" s="11">
        <f>IF(AVY27&gt;0,MAX(0,(AVY27+AVJ28-AVY28)/AVY27),0)</f>
        <v/>
      </c>
    </row>
    <row r="29">
      <c r="A29" s="12" t="n">
        <v>25</v>
      </c>
      <c r="B29" s="12">
        <f>MOD(A29-1+LaunchMonth-1,12)+1</f>
        <v/>
      </c>
      <c r="C29" s="12">
        <f>INT((A29-1+LaunchMonth-1)/12)+1</f>
        <v/>
      </c>
      <c r="D29" s="12">
        <f>VLOOKUP(B29,SeasonTable,2,FALSE)</f>
        <v/>
      </c>
      <c r="E29" s="12">
        <f>(1+InflationRate)^INT((A29-1)/12)</f>
        <v/>
      </c>
      <c r="F29" s="11">
        <f>'Sens - Scenarios'!$B$5*VLOOKUP(B29,ChurnSeasonTable,4,FALSE)</f>
        <v/>
      </c>
      <c r="G29" s="12">
        <f>MIN(MAX(MktMin19plus,AE28*MktPct19plus),MAX(0,AS28-CashBuffer))</f>
        <v/>
      </c>
      <c r="H29" s="12">
        <f>IF(G29&gt;0,MAX(1,ROUND(G29/'Sens - Scenarios'!$B$8*D29,0)),0)</f>
        <v/>
      </c>
      <c r="I29" s="12">
        <f>IF(H29&gt;0,ROUND(H29*ReferralMix/(1-ReferralMix),0),0)</f>
        <v/>
      </c>
      <c r="J29" s="12">
        <f>H29+I29</f>
        <v/>
      </c>
      <c r="K29" s="12">
        <f>ROUND(J29*(1-'Sens - Scenarios'!$B$7),0)</f>
        <v/>
      </c>
      <c r="L29" s="12">
        <f>J29-K29</f>
        <v/>
      </c>
      <c r="M29" s="12">
        <f>ROUND(K29*EssentialMix,0)</f>
        <v/>
      </c>
      <c r="N29" s="12">
        <f>ROUND(K29*PremiumMix,0)</f>
        <v/>
      </c>
      <c r="O29" s="12">
        <f>K29-M29-N29</f>
        <v/>
      </c>
      <c r="P29" s="12">
        <f>ROUND(L29*EssentialMix,0)</f>
        <v/>
      </c>
      <c r="Q29" s="12">
        <f>ROUND(L29*PremiumMix,0)</f>
        <v/>
      </c>
      <c r="R29" s="12">
        <f>L29-P29-Q29</f>
        <v/>
      </c>
      <c r="S29" s="12">
        <f>M29+M28+M27+MAX(0,S28-M28-M27)*(1-F29)</f>
        <v/>
      </c>
      <c r="T29" s="12">
        <f>N29+N28+N27+MAX(0,T28-N28-N27)*(1-F29)</f>
        <v/>
      </c>
      <c r="U29" s="12">
        <f>O29+O28+O27+MAX(0,U28-O28-O27)*(1-F29)</f>
        <v/>
      </c>
      <c r="V29" s="12">
        <f>V28+P29-P17*('Sens - Scenarios'!$B$6*VLOOKUP(B29,ChurnSeasonTable,4,FALSE))*POWER(1-('Sens - Scenarios'!$B$6*VLOOKUP(B29,ChurnSeasonTable,4,FALSE)),0)+P5*('Sens - Scenarios'!$B$6*VLOOKUP(B29,ChurnSeasonTable,4,FALSE))*POWER(1-('Sens - Scenarios'!$B$6*VLOOKUP(B29,ChurnSeasonTable,4,FALSE)),1)</f>
        <v/>
      </c>
      <c r="W29" s="12">
        <f>W28+Q29-Q17*('Sens - Scenarios'!$B$6*VLOOKUP(B29,ChurnSeasonTable,4,FALSE))*POWER(1-('Sens - Scenarios'!$B$6*VLOOKUP(B29,ChurnSeasonTable,4,FALSE)),0)+Q5*('Sens - Scenarios'!$B$6*VLOOKUP(B29,ChurnSeasonTable,4,FALSE))*POWER(1-('Sens - Scenarios'!$B$6*VLOOKUP(B29,ChurnSeasonTable,4,FALSE)),1)</f>
        <v/>
      </c>
      <c r="X29" s="12">
        <f>X28+R29-R17*('Sens - Scenarios'!$B$6*VLOOKUP(B29,ChurnSeasonTable,4,FALSE))*POWER(1-('Sens - Scenarios'!$B$6*VLOOKUP(B29,ChurnSeasonTable,4,FALSE)),0)+R5*('Sens - Scenarios'!$B$6*VLOOKUP(B29,ChurnSeasonTable,4,FALSE))*POWER(1-('Sens - Scenarios'!$B$6*VLOOKUP(B29,ChurnSeasonTable,4,FALSE)),1)</f>
        <v/>
      </c>
      <c r="Y29" s="12">
        <f>S29+T29+U29+V29+W29+X29</f>
        <v/>
      </c>
      <c r="Z29" s="9">
        <f>S29*BlendedPriceEssMonthly*E29+T29*BlendedPricePremMonthly*E29+U29*BlendedPriceEliteMonthly*E29+V29*BlendedPriceEssAnnual*E29/12+W29*BlendedPricePremAnnual*E29/12+X29*BlendedPriceEliteAnnual*E29/12</f>
        <v/>
      </c>
      <c r="AA29" s="9">
        <f>Z29*12</f>
        <v/>
      </c>
      <c r="AB29" s="12">
        <f>S29*BlendedPriceEssMonthly*E29+T29*BlendedPricePremMonthly*E29+U29*BlendedPriceEliteMonthly*E29</f>
        <v/>
      </c>
      <c r="AC29" s="12">
        <f>P29*BlendedPriceEssAnnual*E29+Q29*BlendedPricePremAnnual*E29+R29*BlendedPriceEliteAnnual*E29</f>
        <v/>
      </c>
      <c r="AD29" s="12">
        <f>P17*POWER(1-('Sens - Scenarios'!$B$6*VLOOKUP(B29,ChurnSeasonTable,4,FALSE)),1)*BlendedPriceEssAnnual*E29+P5*POWER(1-('Sens - Scenarios'!$B$6*VLOOKUP(B29,ChurnSeasonTable,4,FALSE)),2)*BlendedPriceEssAnnual*E29+Q17*POWER(1-('Sens - Scenarios'!$B$6*VLOOKUP(B29,ChurnSeasonTable,4,FALSE)),1)*BlendedPricePremAnnual*E29+Q5*POWER(1-('Sens - Scenarios'!$B$6*VLOOKUP(B29,ChurnSeasonTable,4,FALSE)),2)*BlendedPricePremAnnual*E29+R17*POWER(1-('Sens - Scenarios'!$B$6*VLOOKUP(B29,ChurnSeasonTable,4,FALSE)),1)*BlendedPriceEliteAnnual*E29+R5*POWER(1-('Sens - Scenarios'!$B$6*VLOOKUP(B29,ChurnSeasonTable,4,FALSE)),2)*BlendedPriceEliteAnnual*E29</f>
        <v/>
      </c>
      <c r="AE29" s="9">
        <f>AB29+AC29+AD29</f>
        <v/>
      </c>
      <c r="AF29" s="12">
        <f>SUM(AE18:AE29)</f>
        <v/>
      </c>
      <c r="AG29" s="12">
        <f>OR(AG28,IF(VATAgentMode,SUM($AE18:$AE29)-SUM($AL18:$AL29)&gt;=VATThreshold,SUM($AE18:$AE29)&gt;=VATThreshold))</f>
        <v/>
      </c>
      <c r="AH29" s="9">
        <f>IF(AG29,IF(VATAgentMode,AE29-((AE29-AL29)-(AE29-AL29)/(1+VATRate)),AE29/(1+VATRate)),AE29)</f>
        <v/>
      </c>
      <c r="AI29" s="12">
        <f>AE29-AH29</f>
        <v/>
      </c>
      <c r="AJ29" s="12">
        <f>IF(AG29=0,0,IF(B29=1,SUMPRODUCT(--(($C$5:$C29=$C29-1)*($B$5:$B29&gt;=10)*($B$5:$B29&lt;=12)),$AI$5:$AI29),IF(B29=4,SUMPRODUCT(--(($C$5:$C29=$C29)*($B$5:$B29&gt;=1)*($B$5:$B29&lt;=3)),$AI$5:$AI29),IF(B29=7,SUMPRODUCT(--(($C$5:$C29=$C29)*($B$5:$B29&gt;=4)*($B$5:$B29&lt;=6)),$AI$5:$AI29),IF(B29=10,SUMPRODUCT(--(($C$5:$C29=$C29)*($B$5:$B29&gt;=7)*($B$5:$B29&lt;=9)),$AI$5:$AI29),0)))))</f>
        <v/>
      </c>
      <c r="AK29" s="12">
        <f>AK28+AI29-AJ29</f>
        <v/>
      </c>
      <c r="AL29" s="12">
        <f>IF(ProviderDelay&gt;=1,S28*BlendedProvPayEss+T28*BlendedProvPayPrem+U28*BlendedProvPayElite+V28*BlendedProvPayEss+W28*BlendedProvPayPrem+X28*BlendedProvPayElite,S29*BlendedProvPayEss+T29*BlendedProvPayPrem+U29*BlendedProvPayElite+V29*BlendedProvPayEss+W29*BlendedProvPayPrem+X29*BlendedProvPayElite)</f>
        <v/>
      </c>
      <c r="AM29" s="12">
        <f>AE29*PaymentFee</f>
        <v/>
      </c>
      <c r="AN29" s="12">
        <f>Y29*OpsAI</f>
        <v/>
      </c>
      <c r="AO29" s="12">
        <f>MonthlyFixed</f>
        <v/>
      </c>
      <c r="AP29" s="12">
        <f>I29*ReferralReward</f>
        <v/>
      </c>
      <c r="AQ29" s="12">
        <f>G29</f>
        <v/>
      </c>
      <c r="AR29" s="9">
        <f>AH29-AL29-AM29-AN29-AO29-AP29-AQ29</f>
        <v/>
      </c>
      <c r="AS29" s="9">
        <f>AS28+AE29-(AL29+AM29+AN29+AO29+AP29+AQ29+AJ29)</f>
        <v/>
      </c>
      <c r="AT29" s="12">
        <f>IF(Y29&gt;0,Z29/Y29,0)</f>
        <v/>
      </c>
      <c r="AU29" s="11">
        <f>IF(Y28&gt;0,MAX(0,(Y28+J29-Y29)/Y28),0)</f>
        <v/>
      </c>
      <c r="AW29" s="12" t="n">
        <v>25</v>
      </c>
      <c r="AX29" s="12">
        <f>MOD(AW29-1+LaunchMonth-1,12)+1</f>
        <v/>
      </c>
      <c r="AY29" s="12">
        <f>INT((AW29-1+LaunchMonth-1)/12)+1</f>
        <v/>
      </c>
      <c r="AZ29" s="12">
        <f>VLOOKUP(AX29,SeasonTable,2,FALSE)</f>
        <v/>
      </c>
      <c r="BA29" s="12">
        <f>(1+InflationRate)^INT((AW29-1)/12)</f>
        <v/>
      </c>
      <c r="BB29" s="11">
        <f>MonthlyChurn*VLOOKUP(AX29,ChurnSeasonTable,4,FALSE)</f>
        <v/>
      </c>
      <c r="BC29" s="12">
        <f>MIN(MAX(MktMin19plus,CA28*MktPct19plus),MAX(0,CO28-CashBuffer))</f>
        <v/>
      </c>
      <c r="BD29" s="12">
        <f>IF(BC29&gt;0,MAX(1,ROUND(BC29/CAC*AZ29,0)),0)</f>
        <v/>
      </c>
      <c r="BE29" s="12">
        <f>IF(BD29&gt;0,ROUND(BD29*ReferralMix/(1-ReferralMix),0),0)</f>
        <v/>
      </c>
      <c r="BF29" s="12">
        <f>BD29+BE29</f>
        <v/>
      </c>
      <c r="BG29" s="12">
        <f>ROUND(BF29*(1-AnnualMix),0)</f>
        <v/>
      </c>
      <c r="BH29" s="12">
        <f>BF29-BG29</f>
        <v/>
      </c>
      <c r="BI29" s="12">
        <f>ROUND(BG29*EssentialMix,0)</f>
        <v/>
      </c>
      <c r="BJ29" s="12">
        <f>ROUND(BG29*PremiumMix,0)</f>
        <v/>
      </c>
      <c r="BK29" s="12">
        <f>BG29-BI29-BJ29</f>
        <v/>
      </c>
      <c r="BL29" s="12">
        <f>ROUND(BH29*EssentialMix,0)</f>
        <v/>
      </c>
      <c r="BM29" s="12">
        <f>ROUND(BH29*PremiumMix,0)</f>
        <v/>
      </c>
      <c r="BN29" s="12">
        <f>BH29-BL29-BM29</f>
        <v/>
      </c>
      <c r="BO29" s="12">
        <f>BI29+BI28+BI27+MAX(0,BO28-BI28-BI27)*(1-BB29)</f>
        <v/>
      </c>
      <c r="BP29" s="12">
        <f>BJ29+BJ28+BJ27+MAX(0,BP28-BJ28-BJ27)*(1-BB29)</f>
        <v/>
      </c>
      <c r="BQ29" s="12">
        <f>BK29+BK28+BK27+MAX(0,BQ28-BK28-BK27)*(1-BB29)</f>
        <v/>
      </c>
      <c r="BR29" s="12">
        <f>BR28+BL29-BL17*(AnnualChurn*VLOOKUP(AX29,ChurnSeasonTable,4,FALSE))*POWER(1-(AnnualChurn*VLOOKUP(AX29,ChurnSeasonTable,4,FALSE)),0)+BL5*(AnnualChurn*VLOOKUP(AX29,ChurnSeasonTable,4,FALSE))*POWER(1-(AnnualChurn*VLOOKUP(AX29,ChurnSeasonTable,4,FALSE)),1)</f>
        <v/>
      </c>
      <c r="BS29" s="12">
        <f>BS28+BM29-BM17*(AnnualChurn*VLOOKUP(AX29,ChurnSeasonTable,4,FALSE))*POWER(1-(AnnualChurn*VLOOKUP(AX29,ChurnSeasonTable,4,FALSE)),0)+BM5*(AnnualChurn*VLOOKUP(AX29,ChurnSeasonTable,4,FALSE))*POWER(1-(AnnualChurn*VLOOKUP(AX29,ChurnSeasonTable,4,FALSE)),1)</f>
        <v/>
      </c>
      <c r="BT29" s="12">
        <f>BT28+BN29-BN17*(AnnualChurn*VLOOKUP(AX29,ChurnSeasonTable,4,FALSE))*POWER(1-(AnnualChurn*VLOOKUP(AX29,ChurnSeasonTable,4,FALSE)),0)+BN5*(AnnualChurn*VLOOKUP(AX29,ChurnSeasonTable,4,FALSE))*POWER(1-(AnnualChurn*VLOOKUP(AX29,ChurnSeasonTable,4,FALSE)),1)</f>
        <v/>
      </c>
      <c r="BU29" s="12">
        <f>BO29+BP29+BQ29+BR29+BS29+BT29</f>
        <v/>
      </c>
      <c r="BV29" s="9">
        <f>BO29*BlendedPriceEssMonthly*BA29+BP29*BlendedPricePremMonthly*BA29+BQ29*BlendedPriceEliteMonthly*BA29+BR29*BlendedPriceEssAnnual*BA29/12+BS29*BlendedPricePremAnnual*BA29/12+BT29*BlendedPriceEliteAnnual*BA29/12</f>
        <v/>
      </c>
      <c r="BW29" s="9">
        <f>BV29*12</f>
        <v/>
      </c>
      <c r="BX29" s="12">
        <f>BO29*BlendedPriceEssMonthly*BA29+BP29*BlendedPricePremMonthly*BA29+BQ29*BlendedPriceEliteMonthly*BA29</f>
        <v/>
      </c>
      <c r="BY29" s="12">
        <f>BL29*BlendedPriceEssAnnual*BA29+BM29*BlendedPricePremAnnual*BA29+BN29*BlendedPriceEliteAnnual*BA29</f>
        <v/>
      </c>
      <c r="BZ29" s="12">
        <f>BL17*POWER(1-(AnnualChurn*VLOOKUP(AX29,ChurnSeasonTable,4,FALSE)),1)*BlendedPriceEssAnnual*BA29+BL5*POWER(1-(AnnualChurn*VLOOKUP(AX29,ChurnSeasonTable,4,FALSE)),2)*BlendedPriceEssAnnual*BA29+BM17*POWER(1-(AnnualChurn*VLOOKUP(AX29,ChurnSeasonTable,4,FALSE)),1)*BlendedPricePremAnnual*BA29+BM5*POWER(1-(AnnualChurn*VLOOKUP(AX29,ChurnSeasonTable,4,FALSE)),2)*BlendedPricePremAnnual*BA29+BN17*POWER(1-(AnnualChurn*VLOOKUP(AX29,ChurnSeasonTable,4,FALSE)),1)*BlendedPriceEliteAnnual*BA29+BN5*POWER(1-(AnnualChurn*VLOOKUP(AX29,ChurnSeasonTable,4,FALSE)),2)*BlendedPriceEliteAnnual*BA29</f>
        <v/>
      </c>
      <c r="CA29" s="9">
        <f>BX29+BY29+BZ29</f>
        <v/>
      </c>
      <c r="CB29" s="12">
        <f>SUM(CA18:CA29)</f>
        <v/>
      </c>
      <c r="CC29" s="12">
        <f>OR(CC28,IF(VATAgentMode,SUM($CA18:$CA29)-SUM($CH18:$CH29)&gt;=VATThreshold,SUM($CA18:$CA29)&gt;=VATThreshold))</f>
        <v/>
      </c>
      <c r="CD29" s="9">
        <f>IF(CC29,IF(VATAgentMode,CA29-((CA29-CH29)-(CA29-CH29)/(1+VATRate)),CA29/(1+VATRate)),CA29)</f>
        <v/>
      </c>
      <c r="CE29" s="12">
        <f>CA29-CD29</f>
        <v/>
      </c>
      <c r="CF29" s="12">
        <f>IF(CC29=0,0,IF(AX29=1,SUMPRODUCT(--(($AY$5:$AY29=$AY29-1)*($AX$5:$AX29&gt;=10)*($AX$5:$AX29&lt;=12)),$CE$5:$CE29),IF(AX29=4,SUMPRODUCT(--(($AY$5:$AY29=$AY29)*($AX$5:$AX29&gt;=1)*($AX$5:$AX29&lt;=3)),$CE$5:$CE29),IF(AX29=7,SUMPRODUCT(--(($AY$5:$AY29=$AY29)*($AX$5:$AX29&gt;=4)*($AX$5:$AX29&lt;=6)),$CE$5:$CE29),IF(AX29=10,SUMPRODUCT(--(($AY$5:$AY29=$AY29)*($AX$5:$AX29&gt;=7)*($AX$5:$AX29&lt;=9)),$CE$5:$CE29),0)))))</f>
        <v/>
      </c>
      <c r="CG29" s="12">
        <f>CG28+CE29-CF29</f>
        <v/>
      </c>
      <c r="CH29" s="12">
        <f>IF(ProviderDelay&gt;=1,BO28*BlendedProvPayEss+BP28*BlendedProvPayPrem+BQ28*BlendedProvPayElite+BR28*BlendedProvPayEss+BS28*BlendedProvPayPrem+BT28*BlendedProvPayElite,BO29*BlendedProvPayEss+BP29*BlendedProvPayPrem+BQ29*BlendedProvPayElite+BR29*BlendedProvPayEss+BS29*BlendedProvPayPrem+BT29*BlendedProvPayElite)</f>
        <v/>
      </c>
      <c r="CI29" s="12">
        <f>CA29*PaymentFee</f>
        <v/>
      </c>
      <c r="CJ29" s="12">
        <f>BU29*OpsAI</f>
        <v/>
      </c>
      <c r="CK29" s="12">
        <f>MonthlyFixed</f>
        <v/>
      </c>
      <c r="CL29" s="12">
        <f>BE29*ReferralReward</f>
        <v/>
      </c>
      <c r="CM29" s="12">
        <f>BC29</f>
        <v/>
      </c>
      <c r="CN29" s="9">
        <f>CD29-CH29-CI29-CJ29-CK29-CL29-CM29</f>
        <v/>
      </c>
      <c r="CO29" s="9">
        <f>CO28+CA29-(CH29+CI29+CJ29+CK29+CL29+CM29+CF29)</f>
        <v/>
      </c>
      <c r="CP29" s="12">
        <f>IF(BU29&gt;0,BV29/BU29,0)</f>
        <v/>
      </c>
      <c r="CQ29" s="11">
        <f>IF(BU28&gt;0,MAX(0,(BU28+BF29-BU29)/BU28),0)</f>
        <v/>
      </c>
      <c r="CS29" s="12" t="n">
        <v>25</v>
      </c>
      <c r="CT29" s="12">
        <f>MOD(CS29-1+LaunchMonth-1,12)+1</f>
        <v/>
      </c>
      <c r="CU29" s="12">
        <f>INT((CS29-1+LaunchMonth-1)/12)+1</f>
        <v/>
      </c>
      <c r="CV29" s="12">
        <f>VLOOKUP(CT29,SeasonTable,2,FALSE)</f>
        <v/>
      </c>
      <c r="CW29" s="12">
        <f>(1+InflationRate)^INT((CS29-1)/12)</f>
        <v/>
      </c>
      <c r="CX29" s="11">
        <f>'Sens - Scenarios'!$D$5*VLOOKUP(CT29,ChurnSeasonTable,4,FALSE)</f>
        <v/>
      </c>
      <c r="CY29" s="12">
        <f>MIN(MAX(MktMin19plus,DW28*MktPct19plus),MAX(0,EK28-CashBuffer))</f>
        <v/>
      </c>
      <c r="CZ29" s="12">
        <f>IF(CY29&gt;0,MAX(1,ROUND(CY29/'Sens - Scenarios'!$D$8*CV29,0)),0)</f>
        <v/>
      </c>
      <c r="DA29" s="12">
        <f>IF(CZ29&gt;0,ROUND(CZ29*ReferralMix/(1-ReferralMix),0),0)</f>
        <v/>
      </c>
      <c r="DB29" s="12">
        <f>CZ29+DA29</f>
        <v/>
      </c>
      <c r="DC29" s="12">
        <f>ROUND(DB29*(1-'Sens - Scenarios'!$D$7),0)</f>
        <v/>
      </c>
      <c r="DD29" s="12">
        <f>DB29-DC29</f>
        <v/>
      </c>
      <c r="DE29" s="12">
        <f>ROUND(DC29*EssentialMix,0)</f>
        <v/>
      </c>
      <c r="DF29" s="12">
        <f>ROUND(DC29*PremiumMix,0)</f>
        <v/>
      </c>
      <c r="DG29" s="12">
        <f>DC29-DE29-DF29</f>
        <v/>
      </c>
      <c r="DH29" s="12">
        <f>ROUND(DD29*EssentialMix,0)</f>
        <v/>
      </c>
      <c r="DI29" s="12">
        <f>ROUND(DD29*PremiumMix,0)</f>
        <v/>
      </c>
      <c r="DJ29" s="12">
        <f>DD29-DH29-DI29</f>
        <v/>
      </c>
      <c r="DK29" s="12">
        <f>DE29+DE28+DE27+MAX(0,DK28-DE28-DE27)*(1-CX29)</f>
        <v/>
      </c>
      <c r="DL29" s="12">
        <f>DF29+DF28+DF27+MAX(0,DL28-DF28-DF27)*(1-CX29)</f>
        <v/>
      </c>
      <c r="DM29" s="12">
        <f>DG29+DG28+DG27+MAX(0,DM28-DG28-DG27)*(1-CX29)</f>
        <v/>
      </c>
      <c r="DN29" s="12">
        <f>DN28+DH29-DH17*('Sens - Scenarios'!$D$6*VLOOKUP(CT29,ChurnSeasonTable,4,FALSE))*POWER(1-('Sens - Scenarios'!$D$6*VLOOKUP(CT29,ChurnSeasonTable,4,FALSE)),0)+DH5*('Sens - Scenarios'!$D$6*VLOOKUP(CT29,ChurnSeasonTable,4,FALSE))*POWER(1-('Sens - Scenarios'!$D$6*VLOOKUP(CT29,ChurnSeasonTable,4,FALSE)),1)</f>
        <v/>
      </c>
      <c r="DO29" s="12">
        <f>DO28+DI29-DI17*('Sens - Scenarios'!$D$6*VLOOKUP(CT29,ChurnSeasonTable,4,FALSE))*POWER(1-('Sens - Scenarios'!$D$6*VLOOKUP(CT29,ChurnSeasonTable,4,FALSE)),0)+DI5*('Sens - Scenarios'!$D$6*VLOOKUP(CT29,ChurnSeasonTable,4,FALSE))*POWER(1-('Sens - Scenarios'!$D$6*VLOOKUP(CT29,ChurnSeasonTable,4,FALSE)),1)</f>
        <v/>
      </c>
      <c r="DP29" s="12">
        <f>DP28+DJ29-DJ17*('Sens - Scenarios'!$D$6*VLOOKUP(CT29,ChurnSeasonTable,4,FALSE))*POWER(1-('Sens - Scenarios'!$D$6*VLOOKUP(CT29,ChurnSeasonTable,4,FALSE)),0)+DJ5*('Sens - Scenarios'!$D$6*VLOOKUP(CT29,ChurnSeasonTable,4,FALSE))*POWER(1-('Sens - Scenarios'!$D$6*VLOOKUP(CT29,ChurnSeasonTable,4,FALSE)),1)</f>
        <v/>
      </c>
      <c r="DQ29" s="12">
        <f>DK29+DL29+DM29+DN29+DO29+DP29</f>
        <v/>
      </c>
      <c r="DR29" s="9">
        <f>DK29*BlendedPriceEssMonthly*CW29+DL29*BlendedPricePremMonthly*CW29+DM29*BlendedPriceEliteMonthly*CW29+DN29*BlendedPriceEssAnnual*CW29/12+DO29*BlendedPricePremAnnual*CW29/12+DP29*BlendedPriceEliteAnnual*CW29/12</f>
        <v/>
      </c>
      <c r="DS29" s="9">
        <f>DR29*12</f>
        <v/>
      </c>
      <c r="DT29" s="12">
        <f>DK29*BlendedPriceEssMonthly*CW29+DL29*BlendedPricePremMonthly*CW29+DM29*BlendedPriceEliteMonthly*CW29</f>
        <v/>
      </c>
      <c r="DU29" s="12">
        <f>DH29*BlendedPriceEssAnnual*CW29+DI29*BlendedPricePremAnnual*CW29+DJ29*BlendedPriceEliteAnnual*CW29</f>
        <v/>
      </c>
      <c r="DV29" s="12">
        <f>DH17*POWER(1-('Sens - Scenarios'!$D$6*VLOOKUP(CT29,ChurnSeasonTable,4,FALSE)),1)*BlendedPriceEssAnnual*CW29+DH5*POWER(1-('Sens - Scenarios'!$D$6*VLOOKUP(CT29,ChurnSeasonTable,4,FALSE)),2)*BlendedPriceEssAnnual*CW29+DI17*POWER(1-('Sens - Scenarios'!$D$6*VLOOKUP(CT29,ChurnSeasonTable,4,FALSE)),1)*BlendedPricePremAnnual*CW29+DI5*POWER(1-('Sens - Scenarios'!$D$6*VLOOKUP(CT29,ChurnSeasonTable,4,FALSE)),2)*BlendedPricePremAnnual*CW29+DJ17*POWER(1-('Sens - Scenarios'!$D$6*VLOOKUP(CT29,ChurnSeasonTable,4,FALSE)),1)*BlendedPriceEliteAnnual*CW29+DJ5*POWER(1-('Sens - Scenarios'!$D$6*VLOOKUP(CT29,ChurnSeasonTable,4,FALSE)),2)*BlendedPriceEliteAnnual*CW29</f>
        <v/>
      </c>
      <c r="DW29" s="9">
        <f>DT29+DU29+DV29</f>
        <v/>
      </c>
      <c r="DX29" s="12">
        <f>SUM(DW18:DW29)</f>
        <v/>
      </c>
      <c r="DY29" s="12">
        <f>OR(DY28,IF(VATAgentMode,SUM($DW18:$DW29)-SUM($ED18:$ED29)&gt;=VATThreshold,SUM($DW18:$DW29)&gt;=VATThreshold))</f>
        <v/>
      </c>
      <c r="DZ29" s="9">
        <f>IF(DY29,IF(VATAgentMode,DW29-((DW29-ED29)-(DW29-ED29)/(1+VATRate)),DW29/(1+VATRate)),DW29)</f>
        <v/>
      </c>
      <c r="EA29" s="12">
        <f>DW29-DZ29</f>
        <v/>
      </c>
      <c r="EB29" s="12">
        <f>IF(DY29=0,0,IF(CT29=1,SUMPRODUCT(--(($CU$5:$CU29=$CU29-1)*($CT$5:$CT29&gt;=10)*($CT$5:$CT29&lt;=12)),$EA$5:$EA29),IF(CT29=4,SUMPRODUCT(--(($CU$5:$CU29=$CU29)*($CT$5:$CT29&gt;=1)*($CT$5:$CT29&lt;=3)),$EA$5:$EA29),IF(CT29=7,SUMPRODUCT(--(($CU$5:$CU29=$CU29)*($CT$5:$CT29&gt;=4)*($CT$5:$CT29&lt;=6)),$EA$5:$EA29),IF(CT29=10,SUMPRODUCT(--(($CU$5:$CU29=$CU29)*($CT$5:$CT29&gt;=7)*($CT$5:$CT29&lt;=9)),$EA$5:$EA29),0)))))</f>
        <v/>
      </c>
      <c r="EC29" s="12">
        <f>EC28+EA29-EB29</f>
        <v/>
      </c>
      <c r="ED29" s="12">
        <f>IF(ProviderDelay&gt;=1,DK28*BlendedProvPayEss+DL28*BlendedProvPayPrem+DM28*BlendedProvPayElite+DN28*BlendedProvPayEss+DO28*BlendedProvPayPrem+DP28*BlendedProvPayElite,DK29*BlendedProvPayEss+DL29*BlendedProvPayPrem+DM29*BlendedProvPayElite+DN29*BlendedProvPayEss+DO29*BlendedProvPayPrem+DP29*BlendedProvPayElite)</f>
        <v/>
      </c>
      <c r="EE29" s="12">
        <f>DW29*PaymentFee</f>
        <v/>
      </c>
      <c r="EF29" s="12">
        <f>DQ29*OpsAI</f>
        <v/>
      </c>
      <c r="EG29" s="12">
        <f>MonthlyFixed</f>
        <v/>
      </c>
      <c r="EH29" s="12">
        <f>DA29*ReferralReward</f>
        <v/>
      </c>
      <c r="EI29" s="12">
        <f>CY29</f>
        <v/>
      </c>
      <c r="EJ29" s="9">
        <f>DZ29-ED29-EE29-EF29-EG29-EH29-EI29</f>
        <v/>
      </c>
      <c r="EK29" s="9">
        <f>EK28+DW29-(ED29+EE29+EF29+EG29+EH29+EI29+EB29)</f>
        <v/>
      </c>
      <c r="EL29" s="12">
        <f>IF(DQ29&gt;0,DR29/DQ29,0)</f>
        <v/>
      </c>
      <c r="EM29" s="11">
        <f>IF(DQ28&gt;0,MAX(0,(DQ28+DB29-DQ29)/DQ28),0)</f>
        <v/>
      </c>
      <c r="EO29" s="12" t="n">
        <v>25</v>
      </c>
      <c r="EP29" s="12">
        <f>MOD(EO29-1+LaunchMonth-1,12)+1</f>
        <v/>
      </c>
      <c r="EQ29" s="12">
        <f>INT((EO29-1+LaunchMonth-1)/12)+1</f>
        <v/>
      </c>
      <c r="ER29" s="12">
        <f>VLOOKUP(EP29,SeasonTable,2,FALSE)</f>
        <v/>
      </c>
      <c r="ES29" s="12">
        <f>(1+InflationRate)^INT((EO29-1)/12)</f>
        <v/>
      </c>
      <c r="ET29" s="11">
        <f>'Sens - Churn'!$A$13*VLOOKUP(EP29,ChurnSeasonTable,4,FALSE)</f>
        <v/>
      </c>
      <c r="EU29" s="12">
        <f>MIN(MAX(MktMin19plus,FS28*MktPct19plus),MAX(0,GG28-CashBuffer))</f>
        <v/>
      </c>
      <c r="EV29" s="12">
        <f>IF(EU29&gt;0,MAX(1,ROUND(EU29/CAC*ER29,0)),0)</f>
        <v/>
      </c>
      <c r="EW29" s="12">
        <f>IF(EV29&gt;0,ROUND(EV29*ReferralMix/(1-ReferralMix),0),0)</f>
        <v/>
      </c>
      <c r="EX29" s="12">
        <f>EV29+EW29</f>
        <v/>
      </c>
      <c r="EY29" s="12">
        <f>ROUND(EX29*(1-AnnualMix),0)</f>
        <v/>
      </c>
      <c r="EZ29" s="12">
        <f>EX29-EY29</f>
        <v/>
      </c>
      <c r="FA29" s="12">
        <f>ROUND(EY29*EssentialMix,0)</f>
        <v/>
      </c>
      <c r="FB29" s="12">
        <f>ROUND(EY29*PremiumMix,0)</f>
        <v/>
      </c>
      <c r="FC29" s="12">
        <f>EY29-FA29-FB29</f>
        <v/>
      </c>
      <c r="FD29" s="12">
        <f>ROUND(EZ29*EssentialMix,0)</f>
        <v/>
      </c>
      <c r="FE29" s="12">
        <f>ROUND(EZ29*PremiumMix,0)</f>
        <v/>
      </c>
      <c r="FF29" s="12">
        <f>EZ29-FD29-FE29</f>
        <v/>
      </c>
      <c r="FG29" s="12">
        <f>FA29+FA28+FA27+MAX(0,FG28-FA28-FA27)*(1-ET29)</f>
        <v/>
      </c>
      <c r="FH29" s="12">
        <f>FB29+FB28+FB27+MAX(0,FH28-FB28-FB27)*(1-ET29)</f>
        <v/>
      </c>
      <c r="FI29" s="12">
        <f>FC29+FC28+FC27+MAX(0,FI28-FC28-FC27)*(1-ET29)</f>
        <v/>
      </c>
      <c r="FJ29" s="12">
        <f>FJ28+FD29-FD17*(AnnualChurn*VLOOKUP(EP29,ChurnSeasonTable,4,FALSE))*POWER(1-(AnnualChurn*VLOOKUP(EP29,ChurnSeasonTable,4,FALSE)),0)+FD5*(AnnualChurn*VLOOKUP(EP29,ChurnSeasonTable,4,FALSE))*POWER(1-(AnnualChurn*VLOOKUP(EP29,ChurnSeasonTable,4,FALSE)),1)</f>
        <v/>
      </c>
      <c r="FK29" s="12">
        <f>FK28+FE29-FE17*(AnnualChurn*VLOOKUP(EP29,ChurnSeasonTable,4,FALSE))*POWER(1-(AnnualChurn*VLOOKUP(EP29,ChurnSeasonTable,4,FALSE)),0)+FE5*(AnnualChurn*VLOOKUP(EP29,ChurnSeasonTable,4,FALSE))*POWER(1-(AnnualChurn*VLOOKUP(EP29,ChurnSeasonTable,4,FALSE)),1)</f>
        <v/>
      </c>
      <c r="FL29" s="12">
        <f>FL28+FF29-FF17*(AnnualChurn*VLOOKUP(EP29,ChurnSeasonTable,4,FALSE))*POWER(1-(AnnualChurn*VLOOKUP(EP29,ChurnSeasonTable,4,FALSE)),0)+FF5*(AnnualChurn*VLOOKUP(EP29,ChurnSeasonTable,4,FALSE))*POWER(1-(AnnualChurn*VLOOKUP(EP29,ChurnSeasonTable,4,FALSE)),1)</f>
        <v/>
      </c>
      <c r="FM29" s="12">
        <f>FG29+FH29+FI29+FJ29+FK29+FL29</f>
        <v/>
      </c>
      <c r="FN29" s="9">
        <f>FG29*BlendedPriceEssMonthly*ES29+FH29*BlendedPricePremMonthly*ES29+FI29*BlendedPriceEliteMonthly*ES29+FJ29*BlendedPriceEssAnnual*ES29/12+FK29*BlendedPricePremAnnual*ES29/12+FL29*BlendedPriceEliteAnnual*ES29/12</f>
        <v/>
      </c>
      <c r="FO29" s="9">
        <f>FN29*12</f>
        <v/>
      </c>
      <c r="FP29" s="12">
        <f>FG29*BlendedPriceEssMonthly*ES29+FH29*BlendedPricePremMonthly*ES29+FI29*BlendedPriceEliteMonthly*ES29</f>
        <v/>
      </c>
      <c r="FQ29" s="12">
        <f>FD29*BlendedPriceEssAnnual*ES29+FE29*BlendedPricePremAnnual*ES29+FF29*BlendedPriceEliteAnnual*ES29</f>
        <v/>
      </c>
      <c r="FR29" s="12">
        <f>FD17*POWER(1-(AnnualChurn*VLOOKUP(EP29,ChurnSeasonTable,4,FALSE)),1)*BlendedPriceEssAnnual*ES29+FD5*POWER(1-(AnnualChurn*VLOOKUP(EP29,ChurnSeasonTable,4,FALSE)),2)*BlendedPriceEssAnnual*ES29+FE17*POWER(1-(AnnualChurn*VLOOKUP(EP29,ChurnSeasonTable,4,FALSE)),1)*BlendedPricePremAnnual*ES29+FE5*POWER(1-(AnnualChurn*VLOOKUP(EP29,ChurnSeasonTable,4,FALSE)),2)*BlendedPricePremAnnual*ES29+FF17*POWER(1-(AnnualChurn*VLOOKUP(EP29,ChurnSeasonTable,4,FALSE)),1)*BlendedPriceEliteAnnual*ES29+FF5*POWER(1-(AnnualChurn*VLOOKUP(EP29,ChurnSeasonTable,4,FALSE)),2)*BlendedPriceEliteAnnual*ES29</f>
        <v/>
      </c>
      <c r="FS29" s="9">
        <f>FP29+FQ29+FR29</f>
        <v/>
      </c>
      <c r="FT29" s="12">
        <f>SUM(FS18:FS29)</f>
        <v/>
      </c>
      <c r="FU29" s="12">
        <f>OR(FU28,IF(VATAgentMode,SUM($FS18:$FS29)-SUM($FZ18:$FZ29)&gt;=VATThreshold,SUM($FS18:$FS29)&gt;=VATThreshold))</f>
        <v/>
      </c>
      <c r="FV29" s="9">
        <f>IF(FU29,IF(VATAgentMode,FS29-((FS29-FZ29)-(FS29-FZ29)/(1+VATRate)),FS29/(1+VATRate)),FS29)</f>
        <v/>
      </c>
      <c r="FW29" s="12">
        <f>FS29-FV29</f>
        <v/>
      </c>
      <c r="FX29" s="12">
        <f>IF(FU29=0,0,IF(EP29=1,SUMPRODUCT(--(($EQ$5:$EQ29=$EQ29-1)*($EP$5:$EP29&gt;=10)*($EP$5:$EP29&lt;=12)),$FW$5:$FW29),IF(EP29=4,SUMPRODUCT(--(($EQ$5:$EQ29=$EQ29)*($EP$5:$EP29&gt;=1)*($EP$5:$EP29&lt;=3)),$FW$5:$FW29),IF(EP29=7,SUMPRODUCT(--(($EQ$5:$EQ29=$EQ29)*($EP$5:$EP29&gt;=4)*($EP$5:$EP29&lt;=6)),$FW$5:$FW29),IF(EP29=10,SUMPRODUCT(--(($EQ$5:$EQ29=$EQ29)*($EP$5:$EP29&gt;=7)*($EP$5:$EP29&lt;=9)),$FW$5:$FW29),0)))))</f>
        <v/>
      </c>
      <c r="FY29" s="12">
        <f>FY28+FW29-FX29</f>
        <v/>
      </c>
      <c r="FZ29" s="12">
        <f>IF(ProviderDelay&gt;=1,FG28*BlendedProvPayEss+FH28*BlendedProvPayPrem+FI28*BlendedProvPayElite+FJ28*BlendedProvPayEss+FK28*BlendedProvPayPrem+FL28*BlendedProvPayElite,FG29*BlendedProvPayEss+FH29*BlendedProvPayPrem+FI29*BlendedProvPayElite+FJ29*BlendedProvPayEss+FK29*BlendedProvPayPrem+FL29*BlendedProvPayElite)</f>
        <v/>
      </c>
      <c r="GA29" s="12">
        <f>FS29*PaymentFee</f>
        <v/>
      </c>
      <c r="GB29" s="12">
        <f>FM29*OpsAI</f>
        <v/>
      </c>
      <c r="GC29" s="12">
        <f>MonthlyFixed</f>
        <v/>
      </c>
      <c r="GD29" s="12">
        <f>EW29*ReferralReward</f>
        <v/>
      </c>
      <c r="GE29" s="12">
        <f>EU29</f>
        <v/>
      </c>
      <c r="GF29" s="9">
        <f>FV29-FZ29-GA29-GB29-GC29-GD29-GE29</f>
        <v/>
      </c>
      <c r="GG29" s="9">
        <f>GG28+FS29-(FZ29+GA29+GB29+GC29+GD29+GE29+FX29)</f>
        <v/>
      </c>
      <c r="GH29" s="12">
        <f>IF(FM29&gt;0,FN29/FM29,0)</f>
        <v/>
      </c>
      <c r="GI29" s="11">
        <f>IF(FM28&gt;0,MAX(0,(FM28+EX29-FM29)/FM28),0)</f>
        <v/>
      </c>
      <c r="GK29" s="12" t="n">
        <v>25</v>
      </c>
      <c r="GL29" s="12">
        <f>MOD(GK29-1+LaunchMonth-1,12)+1</f>
        <v/>
      </c>
      <c r="GM29" s="12">
        <f>INT((GK29-1+LaunchMonth-1)/12)+1</f>
        <v/>
      </c>
      <c r="GN29" s="12">
        <f>VLOOKUP(GL29,SeasonTable,2,FALSE)</f>
        <v/>
      </c>
      <c r="GO29" s="12">
        <f>(1+InflationRate)^INT((GK29-1)/12)</f>
        <v/>
      </c>
      <c r="GP29" s="11">
        <f>'Sens - Churn'!$A$14*VLOOKUP(GL29,ChurnSeasonTable,4,FALSE)</f>
        <v/>
      </c>
      <c r="GQ29" s="12">
        <f>MIN(MAX(MktMin19plus,HO28*MktPct19plus),MAX(0,IC28-CashBuffer))</f>
        <v/>
      </c>
      <c r="GR29" s="12">
        <f>IF(GQ29&gt;0,MAX(1,ROUND(GQ29/CAC*GN29,0)),0)</f>
        <v/>
      </c>
      <c r="GS29" s="12">
        <f>IF(GR29&gt;0,ROUND(GR29*ReferralMix/(1-ReferralMix),0),0)</f>
        <v/>
      </c>
      <c r="GT29" s="12">
        <f>GR29+GS29</f>
        <v/>
      </c>
      <c r="GU29" s="12">
        <f>ROUND(GT29*(1-AnnualMix),0)</f>
        <v/>
      </c>
      <c r="GV29" s="12">
        <f>GT29-GU29</f>
        <v/>
      </c>
      <c r="GW29" s="12">
        <f>ROUND(GU29*EssentialMix,0)</f>
        <v/>
      </c>
      <c r="GX29" s="12">
        <f>ROUND(GU29*PremiumMix,0)</f>
        <v/>
      </c>
      <c r="GY29" s="12">
        <f>GU29-GW29-GX29</f>
        <v/>
      </c>
      <c r="GZ29" s="12">
        <f>ROUND(GV29*EssentialMix,0)</f>
        <v/>
      </c>
      <c r="HA29" s="12">
        <f>ROUND(GV29*PremiumMix,0)</f>
        <v/>
      </c>
      <c r="HB29" s="12">
        <f>GV29-GZ29-HA29</f>
        <v/>
      </c>
      <c r="HC29" s="12">
        <f>GW29+GW28+GW27+MAX(0,HC28-GW28-GW27)*(1-GP29)</f>
        <v/>
      </c>
      <c r="HD29" s="12">
        <f>GX29+GX28+GX27+MAX(0,HD28-GX28-GX27)*(1-GP29)</f>
        <v/>
      </c>
      <c r="HE29" s="12">
        <f>GY29+GY28+GY27+MAX(0,HE28-GY28-GY27)*(1-GP29)</f>
        <v/>
      </c>
      <c r="HF29" s="12">
        <f>HF28+GZ29-GZ17*(AnnualChurn*VLOOKUP(GL29,ChurnSeasonTable,4,FALSE))*POWER(1-(AnnualChurn*VLOOKUP(GL29,ChurnSeasonTable,4,FALSE)),0)+GZ5*(AnnualChurn*VLOOKUP(GL29,ChurnSeasonTable,4,FALSE))*POWER(1-(AnnualChurn*VLOOKUP(GL29,ChurnSeasonTable,4,FALSE)),1)</f>
        <v/>
      </c>
      <c r="HG29" s="12">
        <f>HG28+HA29-HA17*(AnnualChurn*VLOOKUP(GL29,ChurnSeasonTable,4,FALSE))*POWER(1-(AnnualChurn*VLOOKUP(GL29,ChurnSeasonTable,4,FALSE)),0)+HA5*(AnnualChurn*VLOOKUP(GL29,ChurnSeasonTable,4,FALSE))*POWER(1-(AnnualChurn*VLOOKUP(GL29,ChurnSeasonTable,4,FALSE)),1)</f>
        <v/>
      </c>
      <c r="HH29" s="12">
        <f>HH28+HB29-HB17*(AnnualChurn*VLOOKUP(GL29,ChurnSeasonTable,4,FALSE))*POWER(1-(AnnualChurn*VLOOKUP(GL29,ChurnSeasonTable,4,FALSE)),0)+HB5*(AnnualChurn*VLOOKUP(GL29,ChurnSeasonTable,4,FALSE))*POWER(1-(AnnualChurn*VLOOKUP(GL29,ChurnSeasonTable,4,FALSE)),1)</f>
        <v/>
      </c>
      <c r="HI29" s="12">
        <f>HC29+HD29+HE29+HF29+HG29+HH29</f>
        <v/>
      </c>
      <c r="HJ29" s="9">
        <f>HC29*BlendedPriceEssMonthly*GO29+HD29*BlendedPricePremMonthly*GO29+HE29*BlendedPriceEliteMonthly*GO29+HF29*BlendedPriceEssAnnual*GO29/12+HG29*BlendedPricePremAnnual*GO29/12+HH29*BlendedPriceEliteAnnual*GO29/12</f>
        <v/>
      </c>
      <c r="HK29" s="9">
        <f>HJ29*12</f>
        <v/>
      </c>
      <c r="HL29" s="12">
        <f>HC29*BlendedPriceEssMonthly*GO29+HD29*BlendedPricePremMonthly*GO29+HE29*BlendedPriceEliteMonthly*GO29</f>
        <v/>
      </c>
      <c r="HM29" s="12">
        <f>GZ29*BlendedPriceEssAnnual*GO29+HA29*BlendedPricePremAnnual*GO29+HB29*BlendedPriceEliteAnnual*GO29</f>
        <v/>
      </c>
      <c r="HN29" s="12">
        <f>GZ17*POWER(1-(AnnualChurn*VLOOKUP(GL29,ChurnSeasonTable,4,FALSE)),1)*BlendedPriceEssAnnual*GO29+GZ5*POWER(1-(AnnualChurn*VLOOKUP(GL29,ChurnSeasonTable,4,FALSE)),2)*BlendedPriceEssAnnual*GO29+HA17*POWER(1-(AnnualChurn*VLOOKUP(GL29,ChurnSeasonTable,4,FALSE)),1)*BlendedPricePremAnnual*GO29+HA5*POWER(1-(AnnualChurn*VLOOKUP(GL29,ChurnSeasonTable,4,FALSE)),2)*BlendedPricePremAnnual*GO29+HB17*POWER(1-(AnnualChurn*VLOOKUP(GL29,ChurnSeasonTable,4,FALSE)),1)*BlendedPriceEliteAnnual*GO29+HB5*POWER(1-(AnnualChurn*VLOOKUP(GL29,ChurnSeasonTable,4,FALSE)),2)*BlendedPriceEliteAnnual*GO29</f>
        <v/>
      </c>
      <c r="HO29" s="9">
        <f>HL29+HM29+HN29</f>
        <v/>
      </c>
      <c r="HP29" s="12">
        <f>SUM(HO18:HO29)</f>
        <v/>
      </c>
      <c r="HQ29" s="12">
        <f>OR(HQ28,IF(VATAgentMode,SUM($HO18:$HO29)-SUM($HV18:$HV29)&gt;=VATThreshold,SUM($HO18:$HO29)&gt;=VATThreshold))</f>
        <v/>
      </c>
      <c r="HR29" s="9">
        <f>IF(HQ29,IF(VATAgentMode,HO29-((HO29-HV29)-(HO29-HV29)/(1+VATRate)),HO29/(1+VATRate)),HO29)</f>
        <v/>
      </c>
      <c r="HS29" s="12">
        <f>HO29-HR29</f>
        <v/>
      </c>
      <c r="HT29" s="12">
        <f>IF(HQ29=0,0,IF(GL29=1,SUMPRODUCT(--(($GM$5:$GM29=$GM29-1)*($GL$5:$GL29&gt;=10)*($GL$5:$GL29&lt;=12)),$HS$5:$HS29),IF(GL29=4,SUMPRODUCT(--(($GM$5:$GM29=$GM29)*($GL$5:$GL29&gt;=1)*($GL$5:$GL29&lt;=3)),$HS$5:$HS29),IF(GL29=7,SUMPRODUCT(--(($GM$5:$GM29=$GM29)*($GL$5:$GL29&gt;=4)*($GL$5:$GL29&lt;=6)),$HS$5:$HS29),IF(GL29=10,SUMPRODUCT(--(($GM$5:$GM29=$GM29)*($GL$5:$GL29&gt;=7)*($GL$5:$GL29&lt;=9)),$HS$5:$HS29),0)))))</f>
        <v/>
      </c>
      <c r="HU29" s="12">
        <f>HU28+HS29-HT29</f>
        <v/>
      </c>
      <c r="HV29" s="12">
        <f>IF(ProviderDelay&gt;=1,HC28*BlendedProvPayEss+HD28*BlendedProvPayPrem+HE28*BlendedProvPayElite+HF28*BlendedProvPayEss+HG28*BlendedProvPayPrem+HH28*BlendedProvPayElite,HC29*BlendedProvPayEss+HD29*BlendedProvPayPrem+HE29*BlendedProvPayElite+HF29*BlendedProvPayEss+HG29*BlendedProvPayPrem+HH29*BlendedProvPayElite)</f>
        <v/>
      </c>
      <c r="HW29" s="12">
        <f>HO29*PaymentFee</f>
        <v/>
      </c>
      <c r="HX29" s="12">
        <f>HI29*OpsAI</f>
        <v/>
      </c>
      <c r="HY29" s="12">
        <f>MonthlyFixed</f>
        <v/>
      </c>
      <c r="HZ29" s="12">
        <f>GS29*ReferralReward</f>
        <v/>
      </c>
      <c r="IA29" s="12">
        <f>GQ29</f>
        <v/>
      </c>
      <c r="IB29" s="9">
        <f>HR29-HV29-HW29-HX29-HY29-HZ29-IA29</f>
        <v/>
      </c>
      <c r="IC29" s="9">
        <f>IC28+HO29-(HV29+HW29+HX29+HY29+HZ29+IA29+HT29)</f>
        <v/>
      </c>
      <c r="ID29" s="12">
        <f>IF(HI29&gt;0,HJ29/HI29,0)</f>
        <v/>
      </c>
      <c r="IE29" s="11">
        <f>IF(HI28&gt;0,MAX(0,(HI28+GT29-HI29)/HI28),0)</f>
        <v/>
      </c>
      <c r="IG29" s="12" t="n">
        <v>25</v>
      </c>
      <c r="IH29" s="12">
        <f>MOD(IG29-1+LaunchMonth-1,12)+1</f>
        <v/>
      </c>
      <c r="II29" s="12">
        <f>INT((IG29-1+LaunchMonth-1)/12)+1</f>
        <v/>
      </c>
      <c r="IJ29" s="12">
        <f>VLOOKUP(IH29,SeasonTable,2,FALSE)</f>
        <v/>
      </c>
      <c r="IK29" s="12">
        <f>(1+InflationRate)^INT((IG29-1)/12)</f>
        <v/>
      </c>
      <c r="IL29" s="11">
        <f>'Sens - Churn'!$A$15*VLOOKUP(IH29,ChurnSeasonTable,4,FALSE)</f>
        <v/>
      </c>
      <c r="IM29" s="12">
        <f>MIN(MAX(MktMin19plus,JK28*MktPct19plus),MAX(0,JY28-CashBuffer))</f>
        <v/>
      </c>
      <c r="IN29" s="12">
        <f>IF(IM29&gt;0,MAX(1,ROUND(IM29/CAC*IJ29,0)),0)</f>
        <v/>
      </c>
      <c r="IO29" s="12">
        <f>IF(IN29&gt;0,ROUND(IN29*ReferralMix/(1-ReferralMix),0),0)</f>
        <v/>
      </c>
      <c r="IP29" s="12">
        <f>IN29+IO29</f>
        <v/>
      </c>
      <c r="IQ29" s="12">
        <f>ROUND(IP29*(1-AnnualMix),0)</f>
        <v/>
      </c>
      <c r="IR29" s="12">
        <f>IP29-IQ29</f>
        <v/>
      </c>
      <c r="IS29" s="12">
        <f>ROUND(IQ29*EssentialMix,0)</f>
        <v/>
      </c>
      <c r="IT29" s="12">
        <f>ROUND(IQ29*PremiumMix,0)</f>
        <v/>
      </c>
      <c r="IU29" s="12">
        <f>IQ29-IS29-IT29</f>
        <v/>
      </c>
      <c r="IV29" s="12">
        <f>ROUND(IR29*EssentialMix,0)</f>
        <v/>
      </c>
      <c r="IW29" s="12">
        <f>ROUND(IR29*PremiumMix,0)</f>
        <v/>
      </c>
      <c r="IX29" s="12">
        <f>IR29-IV29-IW29</f>
        <v/>
      </c>
      <c r="IY29" s="12">
        <f>IS29+IS28+IS27+MAX(0,IY28-IS28-IS27)*(1-IL29)</f>
        <v/>
      </c>
      <c r="IZ29" s="12">
        <f>IT29+IT28+IT27+MAX(0,IZ28-IT28-IT27)*(1-IL29)</f>
        <v/>
      </c>
      <c r="JA29" s="12">
        <f>IU29+IU28+IU27+MAX(0,JA28-IU28-IU27)*(1-IL29)</f>
        <v/>
      </c>
      <c r="JB29" s="12">
        <f>JB28+IV29-IV17*(AnnualChurn*VLOOKUP(IH29,ChurnSeasonTable,4,FALSE))*POWER(1-(AnnualChurn*VLOOKUP(IH29,ChurnSeasonTable,4,FALSE)),0)+IV5*(AnnualChurn*VLOOKUP(IH29,ChurnSeasonTable,4,FALSE))*POWER(1-(AnnualChurn*VLOOKUP(IH29,ChurnSeasonTable,4,FALSE)),1)</f>
        <v/>
      </c>
      <c r="JC29" s="12">
        <f>JC28+IW29-IW17*(AnnualChurn*VLOOKUP(IH29,ChurnSeasonTable,4,FALSE))*POWER(1-(AnnualChurn*VLOOKUP(IH29,ChurnSeasonTable,4,FALSE)),0)+IW5*(AnnualChurn*VLOOKUP(IH29,ChurnSeasonTable,4,FALSE))*POWER(1-(AnnualChurn*VLOOKUP(IH29,ChurnSeasonTable,4,FALSE)),1)</f>
        <v/>
      </c>
      <c r="JD29" s="12">
        <f>JD28+IX29-IX17*(AnnualChurn*VLOOKUP(IH29,ChurnSeasonTable,4,FALSE))*POWER(1-(AnnualChurn*VLOOKUP(IH29,ChurnSeasonTable,4,FALSE)),0)+IX5*(AnnualChurn*VLOOKUP(IH29,ChurnSeasonTable,4,FALSE))*POWER(1-(AnnualChurn*VLOOKUP(IH29,ChurnSeasonTable,4,FALSE)),1)</f>
        <v/>
      </c>
      <c r="JE29" s="12">
        <f>IY29+IZ29+JA29+JB29+JC29+JD29</f>
        <v/>
      </c>
      <c r="JF29" s="9">
        <f>IY29*BlendedPriceEssMonthly*IK29+IZ29*BlendedPricePremMonthly*IK29+JA29*BlendedPriceEliteMonthly*IK29+JB29*BlendedPriceEssAnnual*IK29/12+JC29*BlendedPricePremAnnual*IK29/12+JD29*BlendedPriceEliteAnnual*IK29/12</f>
        <v/>
      </c>
      <c r="JG29" s="9">
        <f>JF29*12</f>
        <v/>
      </c>
      <c r="JH29" s="12">
        <f>IY29*BlendedPriceEssMonthly*IK29+IZ29*BlendedPricePremMonthly*IK29+JA29*BlendedPriceEliteMonthly*IK29</f>
        <v/>
      </c>
      <c r="JI29" s="12">
        <f>IV29*BlendedPriceEssAnnual*IK29+IW29*BlendedPricePremAnnual*IK29+IX29*BlendedPriceEliteAnnual*IK29</f>
        <v/>
      </c>
      <c r="JJ29" s="12">
        <f>IV17*POWER(1-(AnnualChurn*VLOOKUP(IH29,ChurnSeasonTable,4,FALSE)),1)*BlendedPriceEssAnnual*IK29+IV5*POWER(1-(AnnualChurn*VLOOKUP(IH29,ChurnSeasonTable,4,FALSE)),2)*BlendedPriceEssAnnual*IK29+IW17*POWER(1-(AnnualChurn*VLOOKUP(IH29,ChurnSeasonTable,4,FALSE)),1)*BlendedPricePremAnnual*IK29+IW5*POWER(1-(AnnualChurn*VLOOKUP(IH29,ChurnSeasonTable,4,FALSE)),2)*BlendedPricePremAnnual*IK29+IX17*POWER(1-(AnnualChurn*VLOOKUP(IH29,ChurnSeasonTable,4,FALSE)),1)*BlendedPriceEliteAnnual*IK29+IX5*POWER(1-(AnnualChurn*VLOOKUP(IH29,ChurnSeasonTable,4,FALSE)),2)*BlendedPriceEliteAnnual*IK29</f>
        <v/>
      </c>
      <c r="JK29" s="9">
        <f>JH29+JI29+JJ29</f>
        <v/>
      </c>
      <c r="JL29" s="12">
        <f>SUM(JK18:JK29)</f>
        <v/>
      </c>
      <c r="JM29" s="12">
        <f>OR(JM28,IF(VATAgentMode,SUM($JK18:$JK29)-SUM($JR18:$JR29)&gt;=VATThreshold,SUM($JK18:$JK29)&gt;=VATThreshold))</f>
        <v/>
      </c>
      <c r="JN29" s="9">
        <f>IF(JM29,IF(VATAgentMode,JK29-((JK29-JR29)-(JK29-JR29)/(1+VATRate)),JK29/(1+VATRate)),JK29)</f>
        <v/>
      </c>
      <c r="JO29" s="12">
        <f>JK29-JN29</f>
        <v/>
      </c>
      <c r="JP29" s="12">
        <f>IF(JM29=0,0,IF(IH29=1,SUMPRODUCT(--(($II$5:$II29=$II29-1)*($IH$5:$IH29&gt;=10)*($IH$5:$IH29&lt;=12)),$JO$5:$JO29),IF(IH29=4,SUMPRODUCT(--(($II$5:$II29=$II29)*($IH$5:$IH29&gt;=1)*($IH$5:$IH29&lt;=3)),$JO$5:$JO29),IF(IH29=7,SUMPRODUCT(--(($II$5:$II29=$II29)*($IH$5:$IH29&gt;=4)*($IH$5:$IH29&lt;=6)),$JO$5:$JO29),IF(IH29=10,SUMPRODUCT(--(($II$5:$II29=$II29)*($IH$5:$IH29&gt;=7)*($IH$5:$IH29&lt;=9)),$JO$5:$JO29),0)))))</f>
        <v/>
      </c>
      <c r="JQ29" s="12">
        <f>JQ28+JO29-JP29</f>
        <v/>
      </c>
      <c r="JR29" s="12">
        <f>IF(ProviderDelay&gt;=1,IY28*BlendedProvPayEss+IZ28*BlendedProvPayPrem+JA28*BlendedProvPayElite+JB28*BlendedProvPayEss+JC28*BlendedProvPayPrem+JD28*BlendedProvPayElite,IY29*BlendedProvPayEss+IZ29*BlendedProvPayPrem+JA29*BlendedProvPayElite+JB29*BlendedProvPayEss+JC29*BlendedProvPayPrem+JD29*BlendedProvPayElite)</f>
        <v/>
      </c>
      <c r="JS29" s="12">
        <f>JK29*PaymentFee</f>
        <v/>
      </c>
      <c r="JT29" s="12">
        <f>JE29*OpsAI</f>
        <v/>
      </c>
      <c r="JU29" s="12">
        <f>MonthlyFixed</f>
        <v/>
      </c>
      <c r="JV29" s="12">
        <f>IO29*ReferralReward</f>
        <v/>
      </c>
      <c r="JW29" s="12">
        <f>IM29</f>
        <v/>
      </c>
      <c r="JX29" s="9">
        <f>JN29-JR29-JS29-JT29-JU29-JV29-JW29</f>
        <v/>
      </c>
      <c r="JY29" s="9">
        <f>JY28+JK29-(JR29+JS29+JT29+JU29+JV29+JW29+JP29)</f>
        <v/>
      </c>
      <c r="JZ29" s="12">
        <f>IF(JE29&gt;0,JF29/JE29,0)</f>
        <v/>
      </c>
      <c r="KA29" s="11">
        <f>IF(JE28&gt;0,MAX(0,(JE28+IP29-JE29)/JE28),0)</f>
        <v/>
      </c>
      <c r="KC29" s="12" t="n">
        <v>25</v>
      </c>
      <c r="KD29" s="12">
        <f>MOD(KC29-1+LaunchMonth-1,12)+1</f>
        <v/>
      </c>
      <c r="KE29" s="12">
        <f>INT((KC29-1+LaunchMonth-1)/12)+1</f>
        <v/>
      </c>
      <c r="KF29" s="12">
        <f>VLOOKUP(KD29,SeasonTable,2,FALSE)</f>
        <v/>
      </c>
      <c r="KG29" s="12">
        <f>(1+InflationRate)^INT((KC29-1)/12)</f>
        <v/>
      </c>
      <c r="KH29" s="11">
        <f>'Sens - Churn'!$A$16*VLOOKUP(KD29,ChurnSeasonTable,4,FALSE)</f>
        <v/>
      </c>
      <c r="KI29" s="12">
        <f>MIN(MAX(MktMin19plus,LG28*MktPct19plus),MAX(0,LU28-CashBuffer))</f>
        <v/>
      </c>
      <c r="KJ29" s="12">
        <f>IF(KI29&gt;0,MAX(1,ROUND(KI29/CAC*KF29,0)),0)</f>
        <v/>
      </c>
      <c r="KK29" s="12">
        <f>IF(KJ29&gt;0,ROUND(KJ29*ReferralMix/(1-ReferralMix),0),0)</f>
        <v/>
      </c>
      <c r="KL29" s="12">
        <f>KJ29+KK29</f>
        <v/>
      </c>
      <c r="KM29" s="12">
        <f>ROUND(KL29*(1-AnnualMix),0)</f>
        <v/>
      </c>
      <c r="KN29" s="12">
        <f>KL29-KM29</f>
        <v/>
      </c>
      <c r="KO29" s="12">
        <f>ROUND(KM29*EssentialMix,0)</f>
        <v/>
      </c>
      <c r="KP29" s="12">
        <f>ROUND(KM29*PremiumMix,0)</f>
        <v/>
      </c>
      <c r="KQ29" s="12">
        <f>KM29-KO29-KP29</f>
        <v/>
      </c>
      <c r="KR29" s="12">
        <f>ROUND(KN29*EssentialMix,0)</f>
        <v/>
      </c>
      <c r="KS29" s="12">
        <f>ROUND(KN29*PremiumMix,0)</f>
        <v/>
      </c>
      <c r="KT29" s="12">
        <f>KN29-KR29-KS29</f>
        <v/>
      </c>
      <c r="KU29" s="12">
        <f>KO29+KO28+KO27+MAX(0,KU28-KO28-KO27)*(1-KH29)</f>
        <v/>
      </c>
      <c r="KV29" s="12">
        <f>KP29+KP28+KP27+MAX(0,KV28-KP28-KP27)*(1-KH29)</f>
        <v/>
      </c>
      <c r="KW29" s="12">
        <f>KQ29+KQ28+KQ27+MAX(0,KW28-KQ28-KQ27)*(1-KH29)</f>
        <v/>
      </c>
      <c r="KX29" s="12">
        <f>KX28+KR29-KR17*(AnnualChurn*VLOOKUP(KD29,ChurnSeasonTable,4,FALSE))*POWER(1-(AnnualChurn*VLOOKUP(KD29,ChurnSeasonTable,4,FALSE)),0)+KR5*(AnnualChurn*VLOOKUP(KD29,ChurnSeasonTable,4,FALSE))*POWER(1-(AnnualChurn*VLOOKUP(KD29,ChurnSeasonTable,4,FALSE)),1)</f>
        <v/>
      </c>
      <c r="KY29" s="12">
        <f>KY28+KS29-KS17*(AnnualChurn*VLOOKUP(KD29,ChurnSeasonTable,4,FALSE))*POWER(1-(AnnualChurn*VLOOKUP(KD29,ChurnSeasonTable,4,FALSE)),0)+KS5*(AnnualChurn*VLOOKUP(KD29,ChurnSeasonTable,4,FALSE))*POWER(1-(AnnualChurn*VLOOKUP(KD29,ChurnSeasonTable,4,FALSE)),1)</f>
        <v/>
      </c>
      <c r="KZ29" s="12">
        <f>KZ28+KT29-KT17*(AnnualChurn*VLOOKUP(KD29,ChurnSeasonTable,4,FALSE))*POWER(1-(AnnualChurn*VLOOKUP(KD29,ChurnSeasonTable,4,FALSE)),0)+KT5*(AnnualChurn*VLOOKUP(KD29,ChurnSeasonTable,4,FALSE))*POWER(1-(AnnualChurn*VLOOKUP(KD29,ChurnSeasonTable,4,FALSE)),1)</f>
        <v/>
      </c>
      <c r="LA29" s="12">
        <f>KU29+KV29+KW29+KX29+KY29+KZ29</f>
        <v/>
      </c>
      <c r="LB29" s="9">
        <f>KU29*BlendedPriceEssMonthly*KG29+KV29*BlendedPricePremMonthly*KG29+KW29*BlendedPriceEliteMonthly*KG29+KX29*BlendedPriceEssAnnual*KG29/12+KY29*BlendedPricePremAnnual*KG29/12+KZ29*BlendedPriceEliteAnnual*KG29/12</f>
        <v/>
      </c>
      <c r="LC29" s="9">
        <f>LB29*12</f>
        <v/>
      </c>
      <c r="LD29" s="12">
        <f>KU29*BlendedPriceEssMonthly*KG29+KV29*BlendedPricePremMonthly*KG29+KW29*BlendedPriceEliteMonthly*KG29</f>
        <v/>
      </c>
      <c r="LE29" s="12">
        <f>KR29*BlendedPriceEssAnnual*KG29+KS29*BlendedPricePremAnnual*KG29+KT29*BlendedPriceEliteAnnual*KG29</f>
        <v/>
      </c>
      <c r="LF29" s="12">
        <f>KR17*POWER(1-(AnnualChurn*VLOOKUP(KD29,ChurnSeasonTable,4,FALSE)),1)*BlendedPriceEssAnnual*KG29+KR5*POWER(1-(AnnualChurn*VLOOKUP(KD29,ChurnSeasonTable,4,FALSE)),2)*BlendedPriceEssAnnual*KG29+KS17*POWER(1-(AnnualChurn*VLOOKUP(KD29,ChurnSeasonTable,4,FALSE)),1)*BlendedPricePremAnnual*KG29+KS5*POWER(1-(AnnualChurn*VLOOKUP(KD29,ChurnSeasonTable,4,FALSE)),2)*BlendedPricePremAnnual*KG29+KT17*POWER(1-(AnnualChurn*VLOOKUP(KD29,ChurnSeasonTable,4,FALSE)),1)*BlendedPriceEliteAnnual*KG29+KT5*POWER(1-(AnnualChurn*VLOOKUP(KD29,ChurnSeasonTable,4,FALSE)),2)*BlendedPriceEliteAnnual*KG29</f>
        <v/>
      </c>
      <c r="LG29" s="9">
        <f>LD29+LE29+LF29</f>
        <v/>
      </c>
      <c r="LH29" s="12">
        <f>SUM(LG18:LG29)</f>
        <v/>
      </c>
      <c r="LI29" s="12">
        <f>OR(LI28,IF(VATAgentMode,SUM($LG18:$LG29)-SUM($LN18:$LN29)&gt;=VATThreshold,SUM($LG18:$LG29)&gt;=VATThreshold))</f>
        <v/>
      </c>
      <c r="LJ29" s="9">
        <f>IF(LI29,IF(VATAgentMode,LG29-((LG29-LN29)-(LG29-LN29)/(1+VATRate)),LG29/(1+VATRate)),LG29)</f>
        <v/>
      </c>
      <c r="LK29" s="12">
        <f>LG29-LJ29</f>
        <v/>
      </c>
      <c r="LL29" s="12">
        <f>IF(LI29=0,0,IF(KD29=1,SUMPRODUCT(--(($KE$5:$KE29=$KE29-1)*($KD$5:$KD29&gt;=10)*($KD$5:$KD29&lt;=12)),$LK$5:$LK29),IF(KD29=4,SUMPRODUCT(--(($KE$5:$KE29=$KE29)*($KD$5:$KD29&gt;=1)*($KD$5:$KD29&lt;=3)),$LK$5:$LK29),IF(KD29=7,SUMPRODUCT(--(($KE$5:$KE29=$KE29)*($KD$5:$KD29&gt;=4)*($KD$5:$KD29&lt;=6)),$LK$5:$LK29),IF(KD29=10,SUMPRODUCT(--(($KE$5:$KE29=$KE29)*($KD$5:$KD29&gt;=7)*($KD$5:$KD29&lt;=9)),$LK$5:$LK29),0)))))</f>
        <v/>
      </c>
      <c r="LM29" s="12">
        <f>LM28+LK29-LL29</f>
        <v/>
      </c>
      <c r="LN29" s="12">
        <f>IF(ProviderDelay&gt;=1,KU28*BlendedProvPayEss+KV28*BlendedProvPayPrem+KW28*BlendedProvPayElite+KX28*BlendedProvPayEss+KY28*BlendedProvPayPrem+KZ28*BlendedProvPayElite,KU29*BlendedProvPayEss+KV29*BlendedProvPayPrem+KW29*BlendedProvPayElite+KX29*BlendedProvPayEss+KY29*BlendedProvPayPrem+KZ29*BlendedProvPayElite)</f>
        <v/>
      </c>
      <c r="LO29" s="12">
        <f>LG29*PaymentFee</f>
        <v/>
      </c>
      <c r="LP29" s="12">
        <f>LA29*OpsAI</f>
        <v/>
      </c>
      <c r="LQ29" s="12">
        <f>MonthlyFixed</f>
        <v/>
      </c>
      <c r="LR29" s="12">
        <f>KK29*ReferralReward</f>
        <v/>
      </c>
      <c r="LS29" s="12">
        <f>KI29</f>
        <v/>
      </c>
      <c r="LT29" s="9">
        <f>LJ29-LN29-LO29-LP29-LQ29-LR29-LS29</f>
        <v/>
      </c>
      <c r="LU29" s="9">
        <f>LU28+LG29-(LN29+LO29+LP29+LQ29+LR29+LS29+LL29)</f>
        <v/>
      </c>
      <c r="LV29" s="12">
        <f>IF(LA29&gt;0,LB29/LA29,0)</f>
        <v/>
      </c>
      <c r="LW29" s="11">
        <f>IF(LA28&gt;0,MAX(0,(LA28+KL29-LA29)/LA28),0)</f>
        <v/>
      </c>
      <c r="LY29" s="12" t="n">
        <v>25</v>
      </c>
      <c r="LZ29" s="12">
        <f>MOD(LY29-1+LaunchMonth-1,12)+1</f>
        <v/>
      </c>
      <c r="MA29" s="12">
        <f>INT((LY29-1+LaunchMonth-1)/12)+1</f>
        <v/>
      </c>
      <c r="MB29" s="12">
        <f>VLOOKUP(LZ29,SeasonTable,2,FALSE)</f>
        <v/>
      </c>
      <c r="MC29" s="12">
        <f>(1+InflationRate)^INT((LY29-1)/12)</f>
        <v/>
      </c>
      <c r="MD29" s="11">
        <f>'Sens - Churn'!$A$17*VLOOKUP(LZ29,ChurnSeasonTable,4,FALSE)</f>
        <v/>
      </c>
      <c r="ME29" s="12">
        <f>MIN(MAX(MktMin19plus,NC28*MktPct19plus),MAX(0,NQ28-CashBuffer))</f>
        <v/>
      </c>
      <c r="MF29" s="12">
        <f>IF(ME29&gt;0,MAX(1,ROUND(ME29/CAC*MB29,0)),0)</f>
        <v/>
      </c>
      <c r="MG29" s="12">
        <f>IF(MF29&gt;0,ROUND(MF29*ReferralMix/(1-ReferralMix),0),0)</f>
        <v/>
      </c>
      <c r="MH29" s="12">
        <f>MF29+MG29</f>
        <v/>
      </c>
      <c r="MI29" s="12">
        <f>ROUND(MH29*(1-AnnualMix),0)</f>
        <v/>
      </c>
      <c r="MJ29" s="12">
        <f>MH29-MI29</f>
        <v/>
      </c>
      <c r="MK29" s="12">
        <f>ROUND(MI29*EssentialMix,0)</f>
        <v/>
      </c>
      <c r="ML29" s="12">
        <f>ROUND(MI29*PremiumMix,0)</f>
        <v/>
      </c>
      <c r="MM29" s="12">
        <f>MI29-MK29-ML29</f>
        <v/>
      </c>
      <c r="MN29" s="12">
        <f>ROUND(MJ29*EssentialMix,0)</f>
        <v/>
      </c>
      <c r="MO29" s="12">
        <f>ROUND(MJ29*PremiumMix,0)</f>
        <v/>
      </c>
      <c r="MP29" s="12">
        <f>MJ29-MN29-MO29</f>
        <v/>
      </c>
      <c r="MQ29" s="12">
        <f>MK29+MK28+MK27+MAX(0,MQ28-MK28-MK27)*(1-MD29)</f>
        <v/>
      </c>
      <c r="MR29" s="12">
        <f>ML29+ML28+ML27+MAX(0,MR28-ML28-ML27)*(1-MD29)</f>
        <v/>
      </c>
      <c r="MS29" s="12">
        <f>MM29+MM28+MM27+MAX(0,MS28-MM28-MM27)*(1-MD29)</f>
        <v/>
      </c>
      <c r="MT29" s="12">
        <f>MT28+MN29-MN17*(AnnualChurn*VLOOKUP(LZ29,ChurnSeasonTable,4,FALSE))*POWER(1-(AnnualChurn*VLOOKUP(LZ29,ChurnSeasonTable,4,FALSE)),0)+MN5*(AnnualChurn*VLOOKUP(LZ29,ChurnSeasonTable,4,FALSE))*POWER(1-(AnnualChurn*VLOOKUP(LZ29,ChurnSeasonTable,4,FALSE)),1)</f>
        <v/>
      </c>
      <c r="MU29" s="12">
        <f>MU28+MO29-MO17*(AnnualChurn*VLOOKUP(LZ29,ChurnSeasonTable,4,FALSE))*POWER(1-(AnnualChurn*VLOOKUP(LZ29,ChurnSeasonTable,4,FALSE)),0)+MO5*(AnnualChurn*VLOOKUP(LZ29,ChurnSeasonTable,4,FALSE))*POWER(1-(AnnualChurn*VLOOKUP(LZ29,ChurnSeasonTable,4,FALSE)),1)</f>
        <v/>
      </c>
      <c r="MV29" s="12">
        <f>MV28+MP29-MP17*(AnnualChurn*VLOOKUP(LZ29,ChurnSeasonTable,4,FALSE))*POWER(1-(AnnualChurn*VLOOKUP(LZ29,ChurnSeasonTable,4,FALSE)),0)+MP5*(AnnualChurn*VLOOKUP(LZ29,ChurnSeasonTable,4,FALSE))*POWER(1-(AnnualChurn*VLOOKUP(LZ29,ChurnSeasonTable,4,FALSE)),1)</f>
        <v/>
      </c>
      <c r="MW29" s="12">
        <f>MQ29+MR29+MS29+MT29+MU29+MV29</f>
        <v/>
      </c>
      <c r="MX29" s="9">
        <f>MQ29*BlendedPriceEssMonthly*MC29+MR29*BlendedPricePremMonthly*MC29+MS29*BlendedPriceEliteMonthly*MC29+MT29*BlendedPriceEssAnnual*MC29/12+MU29*BlendedPricePremAnnual*MC29/12+MV29*BlendedPriceEliteAnnual*MC29/12</f>
        <v/>
      </c>
      <c r="MY29" s="9">
        <f>MX29*12</f>
        <v/>
      </c>
      <c r="MZ29" s="12">
        <f>MQ29*BlendedPriceEssMonthly*MC29+MR29*BlendedPricePremMonthly*MC29+MS29*BlendedPriceEliteMonthly*MC29</f>
        <v/>
      </c>
      <c r="NA29" s="12">
        <f>MN29*BlendedPriceEssAnnual*MC29+MO29*BlendedPricePremAnnual*MC29+MP29*BlendedPriceEliteAnnual*MC29</f>
        <v/>
      </c>
      <c r="NB29" s="12">
        <f>MN17*POWER(1-(AnnualChurn*VLOOKUP(LZ29,ChurnSeasonTable,4,FALSE)),1)*BlendedPriceEssAnnual*MC29+MN5*POWER(1-(AnnualChurn*VLOOKUP(LZ29,ChurnSeasonTable,4,FALSE)),2)*BlendedPriceEssAnnual*MC29+MO17*POWER(1-(AnnualChurn*VLOOKUP(LZ29,ChurnSeasonTable,4,FALSE)),1)*BlendedPricePremAnnual*MC29+MO5*POWER(1-(AnnualChurn*VLOOKUP(LZ29,ChurnSeasonTable,4,FALSE)),2)*BlendedPricePremAnnual*MC29+MP17*POWER(1-(AnnualChurn*VLOOKUP(LZ29,ChurnSeasonTable,4,FALSE)),1)*BlendedPriceEliteAnnual*MC29+MP5*POWER(1-(AnnualChurn*VLOOKUP(LZ29,ChurnSeasonTable,4,FALSE)),2)*BlendedPriceEliteAnnual*MC29</f>
        <v/>
      </c>
      <c r="NC29" s="9">
        <f>MZ29+NA29+NB29</f>
        <v/>
      </c>
      <c r="ND29" s="12">
        <f>SUM(NC18:NC29)</f>
        <v/>
      </c>
      <c r="NE29" s="12">
        <f>OR(NE28,IF(VATAgentMode,SUM($NC18:$NC29)-SUM($NJ18:$NJ29)&gt;=VATThreshold,SUM($NC18:$NC29)&gt;=VATThreshold))</f>
        <v/>
      </c>
      <c r="NF29" s="9">
        <f>IF(NE29,IF(VATAgentMode,NC29-((NC29-NJ29)-(NC29-NJ29)/(1+VATRate)),NC29/(1+VATRate)),NC29)</f>
        <v/>
      </c>
      <c r="NG29" s="12">
        <f>NC29-NF29</f>
        <v/>
      </c>
      <c r="NH29" s="12">
        <f>IF(NE29=0,0,IF(LZ29=1,SUMPRODUCT(--(($MA$5:$MA29=$MA29-1)*($LZ$5:$LZ29&gt;=10)*($LZ$5:$LZ29&lt;=12)),$NG$5:$NG29),IF(LZ29=4,SUMPRODUCT(--(($MA$5:$MA29=$MA29)*($LZ$5:$LZ29&gt;=1)*($LZ$5:$LZ29&lt;=3)),$NG$5:$NG29),IF(LZ29=7,SUMPRODUCT(--(($MA$5:$MA29=$MA29)*($LZ$5:$LZ29&gt;=4)*($LZ$5:$LZ29&lt;=6)),$NG$5:$NG29),IF(LZ29=10,SUMPRODUCT(--(($MA$5:$MA29=$MA29)*($LZ$5:$LZ29&gt;=7)*($LZ$5:$LZ29&lt;=9)),$NG$5:$NG29),0)))))</f>
        <v/>
      </c>
      <c r="NI29" s="12">
        <f>NI28+NG29-NH29</f>
        <v/>
      </c>
      <c r="NJ29" s="12">
        <f>IF(ProviderDelay&gt;=1,MQ28*BlendedProvPayEss+MR28*BlendedProvPayPrem+MS28*BlendedProvPayElite+MT28*BlendedProvPayEss+MU28*BlendedProvPayPrem+MV28*BlendedProvPayElite,MQ29*BlendedProvPayEss+MR29*BlendedProvPayPrem+MS29*BlendedProvPayElite+MT29*BlendedProvPayEss+MU29*BlendedProvPayPrem+MV29*BlendedProvPayElite)</f>
        <v/>
      </c>
      <c r="NK29" s="12">
        <f>NC29*PaymentFee</f>
        <v/>
      </c>
      <c r="NL29" s="12">
        <f>MW29*OpsAI</f>
        <v/>
      </c>
      <c r="NM29" s="12">
        <f>MonthlyFixed</f>
        <v/>
      </c>
      <c r="NN29" s="12">
        <f>MG29*ReferralReward</f>
        <v/>
      </c>
      <c r="NO29" s="12">
        <f>ME29</f>
        <v/>
      </c>
      <c r="NP29" s="9">
        <f>NF29-NJ29-NK29-NL29-NM29-NN29-NO29</f>
        <v/>
      </c>
      <c r="NQ29" s="9">
        <f>NQ28+NC29-(NJ29+NK29+NL29+NM29+NN29+NO29+NH29)</f>
        <v/>
      </c>
      <c r="NR29" s="12">
        <f>IF(MW29&gt;0,MX29/MW29,0)</f>
        <v/>
      </c>
      <c r="NS29" s="11">
        <f>IF(MW28&gt;0,MAX(0,(MW28+MH29-MW29)/MW28),0)</f>
        <v/>
      </c>
      <c r="NU29" s="12" t="n">
        <v>25</v>
      </c>
      <c r="NV29" s="12">
        <f>MOD(NU29-1+LaunchMonth-1,12)+1</f>
        <v/>
      </c>
      <c r="NW29" s="12">
        <f>INT((NU29-1+LaunchMonth-1)/12)+1</f>
        <v/>
      </c>
      <c r="NX29" s="12">
        <f>VLOOKUP(NV29,SeasonTable,2,FALSE)</f>
        <v/>
      </c>
      <c r="NY29" s="12">
        <f>(1+InflationRate)^INT((NU29-1)/12)</f>
        <v/>
      </c>
      <c r="NZ29" s="11">
        <f>'Sens - Churn'!$A$18*VLOOKUP(NV29,ChurnSeasonTable,4,FALSE)</f>
        <v/>
      </c>
      <c r="OA29" s="12">
        <f>MIN(MAX(MktMin19plus,OY28*MktPct19plus),MAX(0,PM28-CashBuffer))</f>
        <v/>
      </c>
      <c r="OB29" s="12">
        <f>IF(OA29&gt;0,MAX(1,ROUND(OA29/CAC*NX29,0)),0)</f>
        <v/>
      </c>
      <c r="OC29" s="12">
        <f>IF(OB29&gt;0,ROUND(OB29*ReferralMix/(1-ReferralMix),0),0)</f>
        <v/>
      </c>
      <c r="OD29" s="12">
        <f>OB29+OC29</f>
        <v/>
      </c>
      <c r="OE29" s="12">
        <f>ROUND(OD29*(1-AnnualMix),0)</f>
        <v/>
      </c>
      <c r="OF29" s="12">
        <f>OD29-OE29</f>
        <v/>
      </c>
      <c r="OG29" s="12">
        <f>ROUND(OE29*EssentialMix,0)</f>
        <v/>
      </c>
      <c r="OH29" s="12">
        <f>ROUND(OE29*PremiumMix,0)</f>
        <v/>
      </c>
      <c r="OI29" s="12">
        <f>OE29-OG29-OH29</f>
        <v/>
      </c>
      <c r="OJ29" s="12">
        <f>ROUND(OF29*EssentialMix,0)</f>
        <v/>
      </c>
      <c r="OK29" s="12">
        <f>ROUND(OF29*PremiumMix,0)</f>
        <v/>
      </c>
      <c r="OL29" s="12">
        <f>OF29-OJ29-OK29</f>
        <v/>
      </c>
      <c r="OM29" s="12">
        <f>OG29+OG28+OG27+MAX(0,OM28-OG28-OG27)*(1-NZ29)</f>
        <v/>
      </c>
      <c r="ON29" s="12">
        <f>OH29+OH28+OH27+MAX(0,ON28-OH28-OH27)*(1-NZ29)</f>
        <v/>
      </c>
      <c r="OO29" s="12">
        <f>OI29+OI28+OI27+MAX(0,OO28-OI28-OI27)*(1-NZ29)</f>
        <v/>
      </c>
      <c r="OP29" s="12">
        <f>OP28+OJ29-OJ17*(AnnualChurn*VLOOKUP(NV29,ChurnSeasonTable,4,FALSE))*POWER(1-(AnnualChurn*VLOOKUP(NV29,ChurnSeasonTable,4,FALSE)),0)+OJ5*(AnnualChurn*VLOOKUP(NV29,ChurnSeasonTable,4,FALSE))*POWER(1-(AnnualChurn*VLOOKUP(NV29,ChurnSeasonTable,4,FALSE)),1)</f>
        <v/>
      </c>
      <c r="OQ29" s="12">
        <f>OQ28+OK29-OK17*(AnnualChurn*VLOOKUP(NV29,ChurnSeasonTable,4,FALSE))*POWER(1-(AnnualChurn*VLOOKUP(NV29,ChurnSeasonTable,4,FALSE)),0)+OK5*(AnnualChurn*VLOOKUP(NV29,ChurnSeasonTable,4,FALSE))*POWER(1-(AnnualChurn*VLOOKUP(NV29,ChurnSeasonTable,4,FALSE)),1)</f>
        <v/>
      </c>
      <c r="OR29" s="12">
        <f>OR28+OL29-OL17*(AnnualChurn*VLOOKUP(NV29,ChurnSeasonTable,4,FALSE))*POWER(1-(AnnualChurn*VLOOKUP(NV29,ChurnSeasonTable,4,FALSE)),0)+OL5*(AnnualChurn*VLOOKUP(NV29,ChurnSeasonTable,4,FALSE))*POWER(1-(AnnualChurn*VLOOKUP(NV29,ChurnSeasonTable,4,FALSE)),1)</f>
        <v/>
      </c>
      <c r="OS29" s="12">
        <f>OM29+ON29+OO29+OP29+OQ29+OR29</f>
        <v/>
      </c>
      <c r="OT29" s="9">
        <f>OM29*BlendedPriceEssMonthly*NY29+ON29*BlendedPricePremMonthly*NY29+OO29*BlendedPriceEliteMonthly*NY29+OP29*BlendedPriceEssAnnual*NY29/12+OQ29*BlendedPricePremAnnual*NY29/12+OR29*BlendedPriceEliteAnnual*NY29/12</f>
        <v/>
      </c>
      <c r="OU29" s="9">
        <f>OT29*12</f>
        <v/>
      </c>
      <c r="OV29" s="12">
        <f>OM29*BlendedPriceEssMonthly*NY29+ON29*BlendedPricePremMonthly*NY29+OO29*BlendedPriceEliteMonthly*NY29</f>
        <v/>
      </c>
      <c r="OW29" s="12">
        <f>OJ29*BlendedPriceEssAnnual*NY29+OK29*BlendedPricePremAnnual*NY29+OL29*BlendedPriceEliteAnnual*NY29</f>
        <v/>
      </c>
      <c r="OX29" s="12">
        <f>OJ17*POWER(1-(AnnualChurn*VLOOKUP(NV29,ChurnSeasonTable,4,FALSE)),1)*BlendedPriceEssAnnual*NY29+OJ5*POWER(1-(AnnualChurn*VLOOKUP(NV29,ChurnSeasonTable,4,FALSE)),2)*BlendedPriceEssAnnual*NY29+OK17*POWER(1-(AnnualChurn*VLOOKUP(NV29,ChurnSeasonTable,4,FALSE)),1)*BlendedPricePremAnnual*NY29+OK5*POWER(1-(AnnualChurn*VLOOKUP(NV29,ChurnSeasonTable,4,FALSE)),2)*BlendedPricePremAnnual*NY29+OL17*POWER(1-(AnnualChurn*VLOOKUP(NV29,ChurnSeasonTable,4,FALSE)),1)*BlendedPriceEliteAnnual*NY29+OL5*POWER(1-(AnnualChurn*VLOOKUP(NV29,ChurnSeasonTable,4,FALSE)),2)*BlendedPriceEliteAnnual*NY29</f>
        <v/>
      </c>
      <c r="OY29" s="9">
        <f>OV29+OW29+OX29</f>
        <v/>
      </c>
      <c r="OZ29" s="12">
        <f>SUM(OY18:OY29)</f>
        <v/>
      </c>
      <c r="PA29" s="12">
        <f>OR(PA28,IF(VATAgentMode,SUM($OY18:$OY29)-SUM($PF18:$PF29)&gt;=VATThreshold,SUM($OY18:$OY29)&gt;=VATThreshold))</f>
        <v/>
      </c>
      <c r="PB29" s="9">
        <f>IF(PA29,IF(VATAgentMode,OY29-((OY29-PF29)-(OY29-PF29)/(1+VATRate)),OY29/(1+VATRate)),OY29)</f>
        <v/>
      </c>
      <c r="PC29" s="12">
        <f>OY29-PB29</f>
        <v/>
      </c>
      <c r="PD29" s="12">
        <f>IF(PA29=0,0,IF(NV29=1,SUMPRODUCT(--(($NW$5:$NW29=$NW29-1)*($NV$5:$NV29&gt;=10)*($NV$5:$NV29&lt;=12)),$PC$5:$PC29),IF(NV29=4,SUMPRODUCT(--(($NW$5:$NW29=$NW29)*($NV$5:$NV29&gt;=1)*($NV$5:$NV29&lt;=3)),$PC$5:$PC29),IF(NV29=7,SUMPRODUCT(--(($NW$5:$NW29=$NW29)*($NV$5:$NV29&gt;=4)*($NV$5:$NV29&lt;=6)),$PC$5:$PC29),IF(NV29=10,SUMPRODUCT(--(($NW$5:$NW29=$NW29)*($NV$5:$NV29&gt;=7)*($NV$5:$NV29&lt;=9)),$PC$5:$PC29),0)))))</f>
        <v/>
      </c>
      <c r="PE29" s="12">
        <f>PE28+PC29-PD29</f>
        <v/>
      </c>
      <c r="PF29" s="12">
        <f>IF(ProviderDelay&gt;=1,OM28*BlendedProvPayEss+ON28*BlendedProvPayPrem+OO28*BlendedProvPayElite+OP28*BlendedProvPayEss+OQ28*BlendedProvPayPrem+OR28*BlendedProvPayElite,OM29*BlendedProvPayEss+ON29*BlendedProvPayPrem+OO29*BlendedProvPayElite+OP29*BlendedProvPayEss+OQ29*BlendedProvPayPrem+OR29*BlendedProvPayElite)</f>
        <v/>
      </c>
      <c r="PG29" s="12">
        <f>OY29*PaymentFee</f>
        <v/>
      </c>
      <c r="PH29" s="12">
        <f>OS29*OpsAI</f>
        <v/>
      </c>
      <c r="PI29" s="12">
        <f>MonthlyFixed</f>
        <v/>
      </c>
      <c r="PJ29" s="12">
        <f>OC29*ReferralReward</f>
        <v/>
      </c>
      <c r="PK29" s="12">
        <f>OA29</f>
        <v/>
      </c>
      <c r="PL29" s="9">
        <f>PB29-PF29-PG29-PH29-PI29-PJ29-PK29</f>
        <v/>
      </c>
      <c r="PM29" s="9">
        <f>PM28+OY29-(PF29+PG29+PH29+PI29+PJ29+PK29+PD29)</f>
        <v/>
      </c>
      <c r="PN29" s="12">
        <f>IF(OS29&gt;0,OT29/OS29,0)</f>
        <v/>
      </c>
      <c r="PO29" s="11">
        <f>IF(OS28&gt;0,MAX(0,(OS28+OD29-OS29)/OS28),0)</f>
        <v/>
      </c>
      <c r="PQ29" s="12" t="n">
        <v>25</v>
      </c>
      <c r="PR29" s="12">
        <f>MOD(PQ29-1+LaunchMonth-1,12)+1</f>
        <v/>
      </c>
      <c r="PS29" s="12">
        <f>INT((PQ29-1+LaunchMonth-1)/12)+1</f>
        <v/>
      </c>
      <c r="PT29" s="12">
        <f>VLOOKUP(PR29,SeasonTable,2,FALSE)</f>
        <v/>
      </c>
      <c r="PU29" s="12">
        <f>(1+InflationRate)^INT((PQ29-1)/12)</f>
        <v/>
      </c>
      <c r="PV29" s="11">
        <f>'Sens - Churn'!$A$19*VLOOKUP(PR29,ChurnSeasonTable,4,FALSE)</f>
        <v/>
      </c>
      <c r="PW29" s="12">
        <f>MIN(MAX(MktMin19plus,QU28*MktPct19plus),MAX(0,RI28-CashBuffer))</f>
        <v/>
      </c>
      <c r="PX29" s="12">
        <f>IF(PW29&gt;0,MAX(1,ROUND(PW29/CAC*PT29,0)),0)</f>
        <v/>
      </c>
      <c r="PY29" s="12">
        <f>IF(PX29&gt;0,ROUND(PX29*ReferralMix/(1-ReferralMix),0),0)</f>
        <v/>
      </c>
      <c r="PZ29" s="12">
        <f>PX29+PY29</f>
        <v/>
      </c>
      <c r="QA29" s="12">
        <f>ROUND(PZ29*(1-AnnualMix),0)</f>
        <v/>
      </c>
      <c r="QB29" s="12">
        <f>PZ29-QA29</f>
        <v/>
      </c>
      <c r="QC29" s="12">
        <f>ROUND(QA29*EssentialMix,0)</f>
        <v/>
      </c>
      <c r="QD29" s="12">
        <f>ROUND(QA29*PremiumMix,0)</f>
        <v/>
      </c>
      <c r="QE29" s="12">
        <f>QA29-QC29-QD29</f>
        <v/>
      </c>
      <c r="QF29" s="12">
        <f>ROUND(QB29*EssentialMix,0)</f>
        <v/>
      </c>
      <c r="QG29" s="12">
        <f>ROUND(QB29*PremiumMix,0)</f>
        <v/>
      </c>
      <c r="QH29" s="12">
        <f>QB29-QF29-QG29</f>
        <v/>
      </c>
      <c r="QI29" s="12">
        <f>QC29+QC28+QC27+MAX(0,QI28-QC28-QC27)*(1-PV29)</f>
        <v/>
      </c>
      <c r="QJ29" s="12">
        <f>QD29+QD28+QD27+MAX(0,QJ28-QD28-QD27)*(1-PV29)</f>
        <v/>
      </c>
      <c r="QK29" s="12">
        <f>QE29+QE28+QE27+MAX(0,QK28-QE28-QE27)*(1-PV29)</f>
        <v/>
      </c>
      <c r="QL29" s="12">
        <f>QL28+QF29-QF17*(AnnualChurn*VLOOKUP(PR29,ChurnSeasonTable,4,FALSE))*POWER(1-(AnnualChurn*VLOOKUP(PR29,ChurnSeasonTable,4,FALSE)),0)+QF5*(AnnualChurn*VLOOKUP(PR29,ChurnSeasonTable,4,FALSE))*POWER(1-(AnnualChurn*VLOOKUP(PR29,ChurnSeasonTable,4,FALSE)),1)</f>
        <v/>
      </c>
      <c r="QM29" s="12">
        <f>QM28+QG29-QG17*(AnnualChurn*VLOOKUP(PR29,ChurnSeasonTable,4,FALSE))*POWER(1-(AnnualChurn*VLOOKUP(PR29,ChurnSeasonTable,4,FALSE)),0)+QG5*(AnnualChurn*VLOOKUP(PR29,ChurnSeasonTable,4,FALSE))*POWER(1-(AnnualChurn*VLOOKUP(PR29,ChurnSeasonTable,4,FALSE)),1)</f>
        <v/>
      </c>
      <c r="QN29" s="12">
        <f>QN28+QH29-QH17*(AnnualChurn*VLOOKUP(PR29,ChurnSeasonTable,4,FALSE))*POWER(1-(AnnualChurn*VLOOKUP(PR29,ChurnSeasonTable,4,FALSE)),0)+QH5*(AnnualChurn*VLOOKUP(PR29,ChurnSeasonTable,4,FALSE))*POWER(1-(AnnualChurn*VLOOKUP(PR29,ChurnSeasonTable,4,FALSE)),1)</f>
        <v/>
      </c>
      <c r="QO29" s="12">
        <f>QI29+QJ29+QK29+QL29+QM29+QN29</f>
        <v/>
      </c>
      <c r="QP29" s="9">
        <f>QI29*BlendedPriceEssMonthly*PU29+QJ29*BlendedPricePremMonthly*PU29+QK29*BlendedPriceEliteMonthly*PU29+QL29*BlendedPriceEssAnnual*PU29/12+QM29*BlendedPricePremAnnual*PU29/12+QN29*BlendedPriceEliteAnnual*PU29/12</f>
        <v/>
      </c>
      <c r="QQ29" s="9">
        <f>QP29*12</f>
        <v/>
      </c>
      <c r="QR29" s="12">
        <f>QI29*BlendedPriceEssMonthly*PU29+QJ29*BlendedPricePremMonthly*PU29+QK29*BlendedPriceEliteMonthly*PU29</f>
        <v/>
      </c>
      <c r="QS29" s="12">
        <f>QF29*BlendedPriceEssAnnual*PU29+QG29*BlendedPricePremAnnual*PU29+QH29*BlendedPriceEliteAnnual*PU29</f>
        <v/>
      </c>
      <c r="QT29" s="12">
        <f>QF17*POWER(1-(AnnualChurn*VLOOKUP(PR29,ChurnSeasonTable,4,FALSE)),1)*BlendedPriceEssAnnual*PU29+QF5*POWER(1-(AnnualChurn*VLOOKUP(PR29,ChurnSeasonTable,4,FALSE)),2)*BlendedPriceEssAnnual*PU29+QG17*POWER(1-(AnnualChurn*VLOOKUP(PR29,ChurnSeasonTable,4,FALSE)),1)*BlendedPricePremAnnual*PU29+QG5*POWER(1-(AnnualChurn*VLOOKUP(PR29,ChurnSeasonTable,4,FALSE)),2)*BlendedPricePremAnnual*PU29+QH17*POWER(1-(AnnualChurn*VLOOKUP(PR29,ChurnSeasonTable,4,FALSE)),1)*BlendedPriceEliteAnnual*PU29+QH5*POWER(1-(AnnualChurn*VLOOKUP(PR29,ChurnSeasonTable,4,FALSE)),2)*BlendedPriceEliteAnnual*PU29</f>
        <v/>
      </c>
      <c r="QU29" s="9">
        <f>QR29+QS29+QT29</f>
        <v/>
      </c>
      <c r="QV29" s="12">
        <f>SUM(QU18:QU29)</f>
        <v/>
      </c>
      <c r="QW29" s="12">
        <f>OR(QW28,IF(VATAgentMode,SUM($QU18:$QU29)-SUM($RB18:$RB29)&gt;=VATThreshold,SUM($QU18:$QU29)&gt;=VATThreshold))</f>
        <v/>
      </c>
      <c r="QX29" s="9">
        <f>IF(QW29,IF(VATAgentMode,QU29-((QU29-RB29)-(QU29-RB29)/(1+VATRate)),QU29/(1+VATRate)),QU29)</f>
        <v/>
      </c>
      <c r="QY29" s="12">
        <f>QU29-QX29</f>
        <v/>
      </c>
      <c r="QZ29" s="12">
        <f>IF(QW29=0,0,IF(PR29=1,SUMPRODUCT(--(($PS$5:$PS29=$PS29-1)*($PR$5:$PR29&gt;=10)*($PR$5:$PR29&lt;=12)),$QY$5:$QY29),IF(PR29=4,SUMPRODUCT(--(($PS$5:$PS29=$PS29)*($PR$5:$PR29&gt;=1)*($PR$5:$PR29&lt;=3)),$QY$5:$QY29),IF(PR29=7,SUMPRODUCT(--(($PS$5:$PS29=$PS29)*($PR$5:$PR29&gt;=4)*($PR$5:$PR29&lt;=6)),$QY$5:$QY29),IF(PR29=10,SUMPRODUCT(--(($PS$5:$PS29=$PS29)*($PR$5:$PR29&gt;=7)*($PR$5:$PR29&lt;=9)),$QY$5:$QY29),0)))))</f>
        <v/>
      </c>
      <c r="RA29" s="12">
        <f>RA28+QY29-QZ29</f>
        <v/>
      </c>
      <c r="RB29" s="12">
        <f>IF(ProviderDelay&gt;=1,QI28*BlendedProvPayEss+QJ28*BlendedProvPayPrem+QK28*BlendedProvPayElite+QL28*BlendedProvPayEss+QM28*BlendedProvPayPrem+QN28*BlendedProvPayElite,QI29*BlendedProvPayEss+QJ29*BlendedProvPayPrem+QK29*BlendedProvPayElite+QL29*BlendedProvPayEss+QM29*BlendedProvPayPrem+QN29*BlendedProvPayElite)</f>
        <v/>
      </c>
      <c r="RC29" s="12">
        <f>QU29*PaymentFee</f>
        <v/>
      </c>
      <c r="RD29" s="12">
        <f>QO29*OpsAI</f>
        <v/>
      </c>
      <c r="RE29" s="12">
        <f>MonthlyFixed</f>
        <v/>
      </c>
      <c r="RF29" s="12">
        <f>PY29*ReferralReward</f>
        <v/>
      </c>
      <c r="RG29" s="12">
        <f>PW29</f>
        <v/>
      </c>
      <c r="RH29" s="9">
        <f>QX29-RB29-RC29-RD29-RE29-RF29-RG29</f>
        <v/>
      </c>
      <c r="RI29" s="9">
        <f>RI28+QU29-(RB29+RC29+RD29+RE29+RF29+RG29+QZ29)</f>
        <v/>
      </c>
      <c r="RJ29" s="12">
        <f>IF(QO29&gt;0,QP29/QO29,0)</f>
        <v/>
      </c>
      <c r="RK29" s="11">
        <f>IF(QO28&gt;0,MAX(0,(QO28+PZ29-QO29)/QO28),0)</f>
        <v/>
      </c>
      <c r="RM29" s="12" t="n">
        <v>25</v>
      </c>
      <c r="RN29" s="12">
        <f>MOD(RM29-1+LaunchMonth-1,12)+1</f>
        <v/>
      </c>
      <c r="RO29" s="12">
        <f>INT((RM29-1+LaunchMonth-1)/12)+1</f>
        <v/>
      </c>
      <c r="RP29" s="12">
        <f>VLOOKUP(RN29,SeasonTable,2,FALSE)</f>
        <v/>
      </c>
      <c r="RQ29" s="12">
        <f>(1+InflationRate)^INT((RM29-1)/12)</f>
        <v/>
      </c>
      <c r="RR29" s="11">
        <f>'Sens - Churn'!$A$20*VLOOKUP(RN29,ChurnSeasonTable,4,FALSE)</f>
        <v/>
      </c>
      <c r="RS29" s="12">
        <f>MIN(MAX(MktMin19plus,SQ28*MktPct19plus),MAX(0,TE28-CashBuffer))</f>
        <v/>
      </c>
      <c r="RT29" s="12">
        <f>IF(RS29&gt;0,MAX(1,ROUND(RS29/CAC*RP29,0)),0)</f>
        <v/>
      </c>
      <c r="RU29" s="12">
        <f>IF(RT29&gt;0,ROUND(RT29*ReferralMix/(1-ReferralMix),0),0)</f>
        <v/>
      </c>
      <c r="RV29" s="12">
        <f>RT29+RU29</f>
        <v/>
      </c>
      <c r="RW29" s="12">
        <f>ROUND(RV29*(1-AnnualMix),0)</f>
        <v/>
      </c>
      <c r="RX29" s="12">
        <f>RV29-RW29</f>
        <v/>
      </c>
      <c r="RY29" s="12">
        <f>ROUND(RW29*EssentialMix,0)</f>
        <v/>
      </c>
      <c r="RZ29" s="12">
        <f>ROUND(RW29*PremiumMix,0)</f>
        <v/>
      </c>
      <c r="SA29" s="12">
        <f>RW29-RY29-RZ29</f>
        <v/>
      </c>
      <c r="SB29" s="12">
        <f>ROUND(RX29*EssentialMix,0)</f>
        <v/>
      </c>
      <c r="SC29" s="12">
        <f>ROUND(RX29*PremiumMix,0)</f>
        <v/>
      </c>
      <c r="SD29" s="12">
        <f>RX29-SB29-SC29</f>
        <v/>
      </c>
      <c r="SE29" s="12">
        <f>RY29+RY28+RY27+MAX(0,SE28-RY28-RY27)*(1-RR29)</f>
        <v/>
      </c>
      <c r="SF29" s="12">
        <f>RZ29+RZ28+RZ27+MAX(0,SF28-RZ28-RZ27)*(1-RR29)</f>
        <v/>
      </c>
      <c r="SG29" s="12">
        <f>SA29+SA28+SA27+MAX(0,SG28-SA28-SA27)*(1-RR29)</f>
        <v/>
      </c>
      <c r="SH29" s="12">
        <f>SH28+SB29-SB17*(AnnualChurn*VLOOKUP(RN29,ChurnSeasonTable,4,FALSE))*POWER(1-(AnnualChurn*VLOOKUP(RN29,ChurnSeasonTable,4,FALSE)),0)+SB5*(AnnualChurn*VLOOKUP(RN29,ChurnSeasonTable,4,FALSE))*POWER(1-(AnnualChurn*VLOOKUP(RN29,ChurnSeasonTable,4,FALSE)),1)</f>
        <v/>
      </c>
      <c r="SI29" s="12">
        <f>SI28+SC29-SC17*(AnnualChurn*VLOOKUP(RN29,ChurnSeasonTable,4,FALSE))*POWER(1-(AnnualChurn*VLOOKUP(RN29,ChurnSeasonTable,4,FALSE)),0)+SC5*(AnnualChurn*VLOOKUP(RN29,ChurnSeasonTable,4,FALSE))*POWER(1-(AnnualChurn*VLOOKUP(RN29,ChurnSeasonTable,4,FALSE)),1)</f>
        <v/>
      </c>
      <c r="SJ29" s="12">
        <f>SJ28+SD29-SD17*(AnnualChurn*VLOOKUP(RN29,ChurnSeasonTable,4,FALSE))*POWER(1-(AnnualChurn*VLOOKUP(RN29,ChurnSeasonTable,4,FALSE)),0)+SD5*(AnnualChurn*VLOOKUP(RN29,ChurnSeasonTable,4,FALSE))*POWER(1-(AnnualChurn*VLOOKUP(RN29,ChurnSeasonTable,4,FALSE)),1)</f>
        <v/>
      </c>
      <c r="SK29" s="12">
        <f>SE29+SF29+SG29+SH29+SI29+SJ29</f>
        <v/>
      </c>
      <c r="SL29" s="9">
        <f>SE29*BlendedPriceEssMonthly*RQ29+SF29*BlendedPricePremMonthly*RQ29+SG29*BlendedPriceEliteMonthly*RQ29+SH29*BlendedPriceEssAnnual*RQ29/12+SI29*BlendedPricePremAnnual*RQ29/12+SJ29*BlendedPriceEliteAnnual*RQ29/12</f>
        <v/>
      </c>
      <c r="SM29" s="9">
        <f>SL29*12</f>
        <v/>
      </c>
      <c r="SN29" s="12">
        <f>SE29*BlendedPriceEssMonthly*RQ29+SF29*BlendedPricePremMonthly*RQ29+SG29*BlendedPriceEliteMonthly*RQ29</f>
        <v/>
      </c>
      <c r="SO29" s="12">
        <f>SB29*BlendedPriceEssAnnual*RQ29+SC29*BlendedPricePremAnnual*RQ29+SD29*BlendedPriceEliteAnnual*RQ29</f>
        <v/>
      </c>
      <c r="SP29" s="12">
        <f>SB17*POWER(1-(AnnualChurn*VLOOKUP(RN29,ChurnSeasonTable,4,FALSE)),1)*BlendedPriceEssAnnual*RQ29+SB5*POWER(1-(AnnualChurn*VLOOKUP(RN29,ChurnSeasonTable,4,FALSE)),2)*BlendedPriceEssAnnual*RQ29+SC17*POWER(1-(AnnualChurn*VLOOKUP(RN29,ChurnSeasonTable,4,FALSE)),1)*BlendedPricePremAnnual*RQ29+SC5*POWER(1-(AnnualChurn*VLOOKUP(RN29,ChurnSeasonTable,4,FALSE)),2)*BlendedPricePremAnnual*RQ29+SD17*POWER(1-(AnnualChurn*VLOOKUP(RN29,ChurnSeasonTable,4,FALSE)),1)*BlendedPriceEliteAnnual*RQ29+SD5*POWER(1-(AnnualChurn*VLOOKUP(RN29,ChurnSeasonTable,4,FALSE)),2)*BlendedPriceEliteAnnual*RQ29</f>
        <v/>
      </c>
      <c r="SQ29" s="9">
        <f>SN29+SO29+SP29</f>
        <v/>
      </c>
      <c r="SR29" s="12">
        <f>SUM(SQ18:SQ29)</f>
        <v/>
      </c>
      <c r="SS29" s="12">
        <f>OR(SS28,IF(VATAgentMode,SUM($SQ18:$SQ29)-SUM($SX18:$SX29)&gt;=VATThreshold,SUM($SQ18:$SQ29)&gt;=VATThreshold))</f>
        <v/>
      </c>
      <c r="ST29" s="9">
        <f>IF(SS29,IF(VATAgentMode,SQ29-((SQ29-SX29)-(SQ29-SX29)/(1+VATRate)),SQ29/(1+VATRate)),SQ29)</f>
        <v/>
      </c>
      <c r="SU29" s="12">
        <f>SQ29-ST29</f>
        <v/>
      </c>
      <c r="SV29" s="12">
        <f>IF(SS29=0,0,IF(RN29=1,SUMPRODUCT(--(($RO$5:$RO29=$RO29-1)*($RN$5:$RN29&gt;=10)*($RN$5:$RN29&lt;=12)),$SU$5:$SU29),IF(RN29=4,SUMPRODUCT(--(($RO$5:$RO29=$RO29)*($RN$5:$RN29&gt;=1)*($RN$5:$RN29&lt;=3)),$SU$5:$SU29),IF(RN29=7,SUMPRODUCT(--(($RO$5:$RO29=$RO29)*($RN$5:$RN29&gt;=4)*($RN$5:$RN29&lt;=6)),$SU$5:$SU29),IF(RN29=10,SUMPRODUCT(--(($RO$5:$RO29=$RO29)*($RN$5:$RN29&gt;=7)*($RN$5:$RN29&lt;=9)),$SU$5:$SU29),0)))))</f>
        <v/>
      </c>
      <c r="SW29" s="12">
        <f>SW28+SU29-SV29</f>
        <v/>
      </c>
      <c r="SX29" s="12">
        <f>IF(ProviderDelay&gt;=1,SE28*BlendedProvPayEss+SF28*BlendedProvPayPrem+SG28*BlendedProvPayElite+SH28*BlendedProvPayEss+SI28*BlendedProvPayPrem+SJ28*BlendedProvPayElite,SE29*BlendedProvPayEss+SF29*BlendedProvPayPrem+SG29*BlendedProvPayElite+SH29*BlendedProvPayEss+SI29*BlendedProvPayPrem+SJ29*BlendedProvPayElite)</f>
        <v/>
      </c>
      <c r="SY29" s="12">
        <f>SQ29*PaymentFee</f>
        <v/>
      </c>
      <c r="SZ29" s="12">
        <f>SK29*OpsAI</f>
        <v/>
      </c>
      <c r="TA29" s="12">
        <f>MonthlyFixed</f>
        <v/>
      </c>
      <c r="TB29" s="12">
        <f>RU29*ReferralReward</f>
        <v/>
      </c>
      <c r="TC29" s="12">
        <f>RS29</f>
        <v/>
      </c>
      <c r="TD29" s="9">
        <f>ST29-SX29-SY29-SZ29-TA29-TB29-TC29</f>
        <v/>
      </c>
      <c r="TE29" s="9">
        <f>TE28+SQ29-(SX29+SY29+SZ29+TA29+TB29+TC29+SV29)</f>
        <v/>
      </c>
      <c r="TF29" s="12">
        <f>IF(SK29&gt;0,SL29/SK29,0)</f>
        <v/>
      </c>
      <c r="TG29" s="11">
        <f>IF(SK28&gt;0,MAX(0,(SK28+RV29-SK29)/SK28),0)</f>
        <v/>
      </c>
      <c r="TI29" s="12" t="n">
        <v>25</v>
      </c>
      <c r="TJ29" s="12">
        <f>MOD(TI29-1+LaunchMonth-1,12)+1</f>
        <v/>
      </c>
      <c r="TK29" s="12">
        <f>INT((TI29-1+LaunchMonth-1)/12)+1</f>
        <v/>
      </c>
      <c r="TL29" s="12">
        <f>VLOOKUP(TJ29,SeasonTable,2,FALSE)</f>
        <v/>
      </c>
      <c r="TM29" s="12">
        <f>(1+InflationRate)^INT((TI29-1)/12)</f>
        <v/>
      </c>
      <c r="TN29" s="11">
        <f>'Sens - Churn'!$A$21*VLOOKUP(TJ29,ChurnSeasonTable,4,FALSE)</f>
        <v/>
      </c>
      <c r="TO29" s="12">
        <f>MIN(MAX(MktMin19plus,UM28*MktPct19plus),MAX(0,VA28-CashBuffer))</f>
        <v/>
      </c>
      <c r="TP29" s="12">
        <f>IF(TO29&gt;0,MAX(1,ROUND(TO29/CAC*TL29,0)),0)</f>
        <v/>
      </c>
      <c r="TQ29" s="12">
        <f>IF(TP29&gt;0,ROUND(TP29*ReferralMix/(1-ReferralMix),0),0)</f>
        <v/>
      </c>
      <c r="TR29" s="12">
        <f>TP29+TQ29</f>
        <v/>
      </c>
      <c r="TS29" s="12">
        <f>ROUND(TR29*(1-AnnualMix),0)</f>
        <v/>
      </c>
      <c r="TT29" s="12">
        <f>TR29-TS29</f>
        <v/>
      </c>
      <c r="TU29" s="12">
        <f>ROUND(TS29*EssentialMix,0)</f>
        <v/>
      </c>
      <c r="TV29" s="12">
        <f>ROUND(TS29*PremiumMix,0)</f>
        <v/>
      </c>
      <c r="TW29" s="12">
        <f>TS29-TU29-TV29</f>
        <v/>
      </c>
      <c r="TX29" s="12">
        <f>ROUND(TT29*EssentialMix,0)</f>
        <v/>
      </c>
      <c r="TY29" s="12">
        <f>ROUND(TT29*PremiumMix,0)</f>
        <v/>
      </c>
      <c r="TZ29" s="12">
        <f>TT29-TX29-TY29</f>
        <v/>
      </c>
      <c r="UA29" s="12">
        <f>TU29+TU28+TU27+MAX(0,UA28-TU28-TU27)*(1-TN29)</f>
        <v/>
      </c>
      <c r="UB29" s="12">
        <f>TV29+TV28+TV27+MAX(0,UB28-TV28-TV27)*(1-TN29)</f>
        <v/>
      </c>
      <c r="UC29" s="12">
        <f>TW29+TW28+TW27+MAX(0,UC28-TW28-TW27)*(1-TN29)</f>
        <v/>
      </c>
      <c r="UD29" s="12">
        <f>UD28+TX29-TX17*(AnnualChurn*VLOOKUP(TJ29,ChurnSeasonTable,4,FALSE))*POWER(1-(AnnualChurn*VLOOKUP(TJ29,ChurnSeasonTable,4,FALSE)),0)+TX5*(AnnualChurn*VLOOKUP(TJ29,ChurnSeasonTable,4,FALSE))*POWER(1-(AnnualChurn*VLOOKUP(TJ29,ChurnSeasonTable,4,FALSE)),1)</f>
        <v/>
      </c>
      <c r="UE29" s="12">
        <f>UE28+TY29-TY17*(AnnualChurn*VLOOKUP(TJ29,ChurnSeasonTable,4,FALSE))*POWER(1-(AnnualChurn*VLOOKUP(TJ29,ChurnSeasonTable,4,FALSE)),0)+TY5*(AnnualChurn*VLOOKUP(TJ29,ChurnSeasonTable,4,FALSE))*POWER(1-(AnnualChurn*VLOOKUP(TJ29,ChurnSeasonTable,4,FALSE)),1)</f>
        <v/>
      </c>
      <c r="UF29" s="12">
        <f>UF28+TZ29-TZ17*(AnnualChurn*VLOOKUP(TJ29,ChurnSeasonTable,4,FALSE))*POWER(1-(AnnualChurn*VLOOKUP(TJ29,ChurnSeasonTable,4,FALSE)),0)+TZ5*(AnnualChurn*VLOOKUP(TJ29,ChurnSeasonTable,4,FALSE))*POWER(1-(AnnualChurn*VLOOKUP(TJ29,ChurnSeasonTable,4,FALSE)),1)</f>
        <v/>
      </c>
      <c r="UG29" s="12">
        <f>UA29+UB29+UC29+UD29+UE29+UF29</f>
        <v/>
      </c>
      <c r="UH29" s="9">
        <f>UA29*BlendedPriceEssMonthly*TM29+UB29*BlendedPricePremMonthly*TM29+UC29*BlendedPriceEliteMonthly*TM29+UD29*BlendedPriceEssAnnual*TM29/12+UE29*BlendedPricePremAnnual*TM29/12+UF29*BlendedPriceEliteAnnual*TM29/12</f>
        <v/>
      </c>
      <c r="UI29" s="9">
        <f>UH29*12</f>
        <v/>
      </c>
      <c r="UJ29" s="12">
        <f>UA29*BlendedPriceEssMonthly*TM29+UB29*BlendedPricePremMonthly*TM29+UC29*BlendedPriceEliteMonthly*TM29</f>
        <v/>
      </c>
      <c r="UK29" s="12">
        <f>TX29*BlendedPriceEssAnnual*TM29+TY29*BlendedPricePremAnnual*TM29+TZ29*BlendedPriceEliteAnnual*TM29</f>
        <v/>
      </c>
      <c r="UL29" s="12">
        <f>TX17*POWER(1-(AnnualChurn*VLOOKUP(TJ29,ChurnSeasonTable,4,FALSE)),1)*BlendedPriceEssAnnual*TM29+TX5*POWER(1-(AnnualChurn*VLOOKUP(TJ29,ChurnSeasonTable,4,FALSE)),2)*BlendedPriceEssAnnual*TM29+TY17*POWER(1-(AnnualChurn*VLOOKUP(TJ29,ChurnSeasonTable,4,FALSE)),1)*BlendedPricePremAnnual*TM29+TY5*POWER(1-(AnnualChurn*VLOOKUP(TJ29,ChurnSeasonTable,4,FALSE)),2)*BlendedPricePremAnnual*TM29+TZ17*POWER(1-(AnnualChurn*VLOOKUP(TJ29,ChurnSeasonTable,4,FALSE)),1)*BlendedPriceEliteAnnual*TM29+TZ5*POWER(1-(AnnualChurn*VLOOKUP(TJ29,ChurnSeasonTable,4,FALSE)),2)*BlendedPriceEliteAnnual*TM29</f>
        <v/>
      </c>
      <c r="UM29" s="9">
        <f>UJ29+UK29+UL29</f>
        <v/>
      </c>
      <c r="UN29" s="12">
        <f>SUM(UM18:UM29)</f>
        <v/>
      </c>
      <c r="UO29" s="12">
        <f>OR(UO28,IF(VATAgentMode,SUM($UM18:$UM29)-SUM($UT18:$UT29)&gt;=VATThreshold,SUM($UM18:$UM29)&gt;=VATThreshold))</f>
        <v/>
      </c>
      <c r="UP29" s="9">
        <f>IF(UO29,IF(VATAgentMode,UM29-((UM29-UT29)-(UM29-UT29)/(1+VATRate)),UM29/(1+VATRate)),UM29)</f>
        <v/>
      </c>
      <c r="UQ29" s="12">
        <f>UM29-UP29</f>
        <v/>
      </c>
      <c r="UR29" s="12">
        <f>IF(UO29=0,0,IF(TJ29=1,SUMPRODUCT(--(($TK$5:$TK29=$TK29-1)*($TJ$5:$TJ29&gt;=10)*($TJ$5:$TJ29&lt;=12)),$UQ$5:$UQ29),IF(TJ29=4,SUMPRODUCT(--(($TK$5:$TK29=$TK29)*($TJ$5:$TJ29&gt;=1)*($TJ$5:$TJ29&lt;=3)),$UQ$5:$UQ29),IF(TJ29=7,SUMPRODUCT(--(($TK$5:$TK29=$TK29)*($TJ$5:$TJ29&gt;=4)*($TJ$5:$TJ29&lt;=6)),$UQ$5:$UQ29),IF(TJ29=10,SUMPRODUCT(--(($TK$5:$TK29=$TK29)*($TJ$5:$TJ29&gt;=7)*($TJ$5:$TJ29&lt;=9)),$UQ$5:$UQ29),0)))))</f>
        <v/>
      </c>
      <c r="US29" s="12">
        <f>US28+UQ29-UR29</f>
        <v/>
      </c>
      <c r="UT29" s="12">
        <f>IF(ProviderDelay&gt;=1,UA28*BlendedProvPayEss+UB28*BlendedProvPayPrem+UC28*BlendedProvPayElite+UD28*BlendedProvPayEss+UE28*BlendedProvPayPrem+UF28*BlendedProvPayElite,UA29*BlendedProvPayEss+UB29*BlendedProvPayPrem+UC29*BlendedProvPayElite+UD29*BlendedProvPayEss+UE29*BlendedProvPayPrem+UF29*BlendedProvPayElite)</f>
        <v/>
      </c>
      <c r="UU29" s="12">
        <f>UM29*PaymentFee</f>
        <v/>
      </c>
      <c r="UV29" s="12">
        <f>UG29*OpsAI</f>
        <v/>
      </c>
      <c r="UW29" s="12">
        <f>MonthlyFixed</f>
        <v/>
      </c>
      <c r="UX29" s="12">
        <f>TQ29*ReferralReward</f>
        <v/>
      </c>
      <c r="UY29" s="12">
        <f>TO29</f>
        <v/>
      </c>
      <c r="UZ29" s="9">
        <f>UP29-UT29-UU29-UV29-UW29-UX29-UY29</f>
        <v/>
      </c>
      <c r="VA29" s="9">
        <f>VA28+UM29-(UT29+UU29+UV29+UW29+UX29+UY29+UR29)</f>
        <v/>
      </c>
      <c r="VB29" s="12">
        <f>IF(UG29&gt;0,UH29/UG29,0)</f>
        <v/>
      </c>
      <c r="VC29" s="11">
        <f>IF(UG28&gt;0,MAX(0,(UG28+TR29-UG29)/UG28),0)</f>
        <v/>
      </c>
      <c r="VE29" s="12" t="n">
        <v>25</v>
      </c>
      <c r="VF29" s="12">
        <f>MOD(VE29-1+LaunchMonth-1,12)+1</f>
        <v/>
      </c>
      <c r="VG29" s="12">
        <f>INT((VE29-1+LaunchMonth-1)/12)+1</f>
        <v/>
      </c>
      <c r="VH29" s="12">
        <f>VLOOKUP(VF29,SeasonTable,2,FALSE)</f>
        <v/>
      </c>
      <c r="VI29" s="12">
        <f>(1+InflationRate)^INT((VE29-1)/12)</f>
        <v/>
      </c>
      <c r="VJ29" s="11">
        <f>MonthlyChurn*VLOOKUP(VF29,ChurnSeasonTable,4,FALSE)</f>
        <v/>
      </c>
      <c r="VK29" s="12">
        <f>MIN(MAX(MktMin19plus,WI28*MktPct19plus),MAX(0,WW28-CashBuffer))</f>
        <v/>
      </c>
      <c r="VL29" s="12">
        <f>IF(VK29&gt;0,MAX(1,ROUND(VK29/CAC*VH29,0)),0)</f>
        <v/>
      </c>
      <c r="VM29" s="12">
        <f>IF(VL29&gt;0,ROUND(VL29*ReferralMix/(1-ReferralMix),0),0)</f>
        <v/>
      </c>
      <c r="VN29" s="12">
        <f>VL29+VM29</f>
        <v/>
      </c>
      <c r="VO29" s="12">
        <f>ROUND(VN29*(1-'Sens - Annual Mix'!$A$9),0)</f>
        <v/>
      </c>
      <c r="VP29" s="12">
        <f>VN29-VO29</f>
        <v/>
      </c>
      <c r="VQ29" s="12">
        <f>ROUND(VO29*EssentialMix,0)</f>
        <v/>
      </c>
      <c r="VR29" s="12">
        <f>ROUND(VO29*PremiumMix,0)</f>
        <v/>
      </c>
      <c r="VS29" s="12">
        <f>VO29-VQ29-VR29</f>
        <v/>
      </c>
      <c r="VT29" s="12">
        <f>ROUND(VP29*EssentialMix,0)</f>
        <v/>
      </c>
      <c r="VU29" s="12">
        <f>ROUND(VP29*PremiumMix,0)</f>
        <v/>
      </c>
      <c r="VV29" s="12">
        <f>VP29-VT29-VU29</f>
        <v/>
      </c>
      <c r="VW29" s="12">
        <f>VQ29+VQ28+VQ27+MAX(0,VW28-VQ28-VQ27)*(1-VJ29)</f>
        <v/>
      </c>
      <c r="VX29" s="12">
        <f>VR29+VR28+VR27+MAX(0,VX28-VR28-VR27)*(1-VJ29)</f>
        <v/>
      </c>
      <c r="VY29" s="12">
        <f>VS29+VS28+VS27+MAX(0,VY28-VS28-VS27)*(1-VJ29)</f>
        <v/>
      </c>
      <c r="VZ29" s="12">
        <f>VZ28+VT29-VT17*(AnnualChurn*VLOOKUP(VF29,ChurnSeasonTable,4,FALSE))*POWER(1-(AnnualChurn*VLOOKUP(VF29,ChurnSeasonTable,4,FALSE)),0)+VT5*(AnnualChurn*VLOOKUP(VF29,ChurnSeasonTable,4,FALSE))*POWER(1-(AnnualChurn*VLOOKUP(VF29,ChurnSeasonTable,4,FALSE)),1)</f>
        <v/>
      </c>
      <c r="WA29" s="12">
        <f>WA28+VU29-VU17*(AnnualChurn*VLOOKUP(VF29,ChurnSeasonTable,4,FALSE))*POWER(1-(AnnualChurn*VLOOKUP(VF29,ChurnSeasonTable,4,FALSE)),0)+VU5*(AnnualChurn*VLOOKUP(VF29,ChurnSeasonTable,4,FALSE))*POWER(1-(AnnualChurn*VLOOKUP(VF29,ChurnSeasonTable,4,FALSE)),1)</f>
        <v/>
      </c>
      <c r="WB29" s="12">
        <f>WB28+VV29-VV17*(AnnualChurn*VLOOKUP(VF29,ChurnSeasonTable,4,FALSE))*POWER(1-(AnnualChurn*VLOOKUP(VF29,ChurnSeasonTable,4,FALSE)),0)+VV5*(AnnualChurn*VLOOKUP(VF29,ChurnSeasonTable,4,FALSE))*POWER(1-(AnnualChurn*VLOOKUP(VF29,ChurnSeasonTable,4,FALSE)),1)</f>
        <v/>
      </c>
      <c r="WC29" s="12">
        <f>VW29+VX29+VY29+VZ29+WA29+WB29</f>
        <v/>
      </c>
      <c r="WD29" s="9">
        <f>VW29*BlendedPriceEssMonthly*VI29+VX29*BlendedPricePremMonthly*VI29+VY29*BlendedPriceEliteMonthly*VI29+VZ29*BlendedPriceEssAnnual*VI29/12+WA29*BlendedPricePremAnnual*VI29/12+WB29*BlendedPriceEliteAnnual*VI29/12</f>
        <v/>
      </c>
      <c r="WE29" s="9">
        <f>WD29*12</f>
        <v/>
      </c>
      <c r="WF29" s="12">
        <f>VW29*BlendedPriceEssMonthly*VI29+VX29*BlendedPricePremMonthly*VI29+VY29*BlendedPriceEliteMonthly*VI29</f>
        <v/>
      </c>
      <c r="WG29" s="12">
        <f>VT29*BlendedPriceEssAnnual*VI29+VU29*BlendedPricePremAnnual*VI29+VV29*BlendedPriceEliteAnnual*VI29</f>
        <v/>
      </c>
      <c r="WH29" s="12">
        <f>VT17*POWER(1-(AnnualChurn*VLOOKUP(VF29,ChurnSeasonTable,4,FALSE)),1)*BlendedPriceEssAnnual*VI29+VT5*POWER(1-(AnnualChurn*VLOOKUP(VF29,ChurnSeasonTable,4,FALSE)),2)*BlendedPriceEssAnnual*VI29+VU17*POWER(1-(AnnualChurn*VLOOKUP(VF29,ChurnSeasonTable,4,FALSE)),1)*BlendedPricePremAnnual*VI29+VU5*POWER(1-(AnnualChurn*VLOOKUP(VF29,ChurnSeasonTable,4,FALSE)),2)*BlendedPricePremAnnual*VI29+VV17*POWER(1-(AnnualChurn*VLOOKUP(VF29,ChurnSeasonTable,4,FALSE)),1)*BlendedPriceEliteAnnual*VI29+VV5*POWER(1-(AnnualChurn*VLOOKUP(VF29,ChurnSeasonTable,4,FALSE)),2)*BlendedPriceEliteAnnual*VI29</f>
        <v/>
      </c>
      <c r="WI29" s="9">
        <f>WF29+WG29+WH29</f>
        <v/>
      </c>
      <c r="WJ29" s="12">
        <f>SUM(WI18:WI29)</f>
        <v/>
      </c>
      <c r="WK29" s="12">
        <f>OR(WK28,IF(VATAgentMode,SUM($WI18:$WI29)-SUM($WP18:$WP29)&gt;=VATThreshold,SUM($WI18:$WI29)&gt;=VATThreshold))</f>
        <v/>
      </c>
      <c r="WL29" s="9">
        <f>IF(WK29,IF(VATAgentMode,WI29-((WI29-WP29)-(WI29-WP29)/(1+VATRate)),WI29/(1+VATRate)),WI29)</f>
        <v/>
      </c>
      <c r="WM29" s="12">
        <f>WI29-WL29</f>
        <v/>
      </c>
      <c r="WN29" s="12">
        <f>IF(WK29=0,0,IF(VF29=1,SUMPRODUCT(--(($VG$5:$VG29=$VG29-1)*($VF$5:$VF29&gt;=10)*($VF$5:$VF29&lt;=12)),$WM$5:$WM29),IF(VF29=4,SUMPRODUCT(--(($VG$5:$VG29=$VG29)*($VF$5:$VF29&gt;=1)*($VF$5:$VF29&lt;=3)),$WM$5:$WM29),IF(VF29=7,SUMPRODUCT(--(($VG$5:$VG29=$VG29)*($VF$5:$VF29&gt;=4)*($VF$5:$VF29&lt;=6)),$WM$5:$WM29),IF(VF29=10,SUMPRODUCT(--(($VG$5:$VG29=$VG29)*($VF$5:$VF29&gt;=7)*($VF$5:$VF29&lt;=9)),$WM$5:$WM29),0)))))</f>
        <v/>
      </c>
      <c r="WO29" s="12">
        <f>WO28+WM29-WN29</f>
        <v/>
      </c>
      <c r="WP29" s="12">
        <f>IF(ProviderDelay&gt;=1,VW28*BlendedProvPayEss+VX28*BlendedProvPayPrem+VY28*BlendedProvPayElite+VZ28*BlendedProvPayEss+WA28*BlendedProvPayPrem+WB28*BlendedProvPayElite,VW29*BlendedProvPayEss+VX29*BlendedProvPayPrem+VY29*BlendedProvPayElite+VZ29*BlendedProvPayEss+WA29*BlendedProvPayPrem+WB29*BlendedProvPayElite)</f>
        <v/>
      </c>
      <c r="WQ29" s="12">
        <f>WI29*PaymentFee</f>
        <v/>
      </c>
      <c r="WR29" s="12">
        <f>WC29*OpsAI</f>
        <v/>
      </c>
      <c r="WS29" s="12">
        <f>MonthlyFixed</f>
        <v/>
      </c>
      <c r="WT29" s="12">
        <f>VM29*ReferralReward</f>
        <v/>
      </c>
      <c r="WU29" s="12">
        <f>VK29</f>
        <v/>
      </c>
      <c r="WV29" s="9">
        <f>WL29-WP29-WQ29-WR29-WS29-WT29-WU29</f>
        <v/>
      </c>
      <c r="WW29" s="9">
        <f>WW28+WI29-(WP29+WQ29+WR29+WS29+WT29+WU29+WN29)</f>
        <v/>
      </c>
      <c r="WX29" s="12">
        <f>IF(WC29&gt;0,WD29/WC29,0)</f>
        <v/>
      </c>
      <c r="WY29" s="11">
        <f>IF(WC28&gt;0,MAX(0,(WC28+VN29-WC29)/WC28),0)</f>
        <v/>
      </c>
      <c r="XA29" s="12" t="n">
        <v>25</v>
      </c>
      <c r="XB29" s="12">
        <f>MOD(XA29-1+LaunchMonth-1,12)+1</f>
        <v/>
      </c>
      <c r="XC29" s="12">
        <f>INT((XA29-1+LaunchMonth-1)/12)+1</f>
        <v/>
      </c>
      <c r="XD29" s="12">
        <f>VLOOKUP(XB29,SeasonTable,2,FALSE)</f>
        <v/>
      </c>
      <c r="XE29" s="12">
        <f>(1+InflationRate)^INT((XA29-1)/12)</f>
        <v/>
      </c>
      <c r="XF29" s="11">
        <f>MonthlyChurn*VLOOKUP(XB29,ChurnSeasonTable,4,FALSE)</f>
        <v/>
      </c>
      <c r="XG29" s="12">
        <f>MIN(MAX(MktMin19plus,YE28*MktPct19plus),MAX(0,YS28-CashBuffer))</f>
        <v/>
      </c>
      <c r="XH29" s="12">
        <f>IF(XG29&gt;0,MAX(1,ROUND(XG29/CAC*XD29,0)),0)</f>
        <v/>
      </c>
      <c r="XI29" s="12">
        <f>IF(XH29&gt;0,ROUND(XH29*ReferralMix/(1-ReferralMix),0),0)</f>
        <v/>
      </c>
      <c r="XJ29" s="12">
        <f>XH29+XI29</f>
        <v/>
      </c>
      <c r="XK29" s="12">
        <f>ROUND(XJ29*(1-'Sens - Annual Mix'!$A$10),0)</f>
        <v/>
      </c>
      <c r="XL29" s="12">
        <f>XJ29-XK29</f>
        <v/>
      </c>
      <c r="XM29" s="12">
        <f>ROUND(XK29*EssentialMix,0)</f>
        <v/>
      </c>
      <c r="XN29" s="12">
        <f>ROUND(XK29*PremiumMix,0)</f>
        <v/>
      </c>
      <c r="XO29" s="12">
        <f>XK29-XM29-XN29</f>
        <v/>
      </c>
      <c r="XP29" s="12">
        <f>ROUND(XL29*EssentialMix,0)</f>
        <v/>
      </c>
      <c r="XQ29" s="12">
        <f>ROUND(XL29*PremiumMix,0)</f>
        <v/>
      </c>
      <c r="XR29" s="12">
        <f>XL29-XP29-XQ29</f>
        <v/>
      </c>
      <c r="XS29" s="12">
        <f>XM29+XM28+XM27+MAX(0,XS28-XM28-XM27)*(1-XF29)</f>
        <v/>
      </c>
      <c r="XT29" s="12">
        <f>XN29+XN28+XN27+MAX(0,XT28-XN28-XN27)*(1-XF29)</f>
        <v/>
      </c>
      <c r="XU29" s="12">
        <f>XO29+XO28+XO27+MAX(0,XU28-XO28-XO27)*(1-XF29)</f>
        <v/>
      </c>
      <c r="XV29" s="12">
        <f>XV28+XP29-XP17*(AnnualChurn*VLOOKUP(XB29,ChurnSeasonTable,4,FALSE))*POWER(1-(AnnualChurn*VLOOKUP(XB29,ChurnSeasonTable,4,FALSE)),0)+XP5*(AnnualChurn*VLOOKUP(XB29,ChurnSeasonTable,4,FALSE))*POWER(1-(AnnualChurn*VLOOKUP(XB29,ChurnSeasonTable,4,FALSE)),1)</f>
        <v/>
      </c>
      <c r="XW29" s="12">
        <f>XW28+XQ29-XQ17*(AnnualChurn*VLOOKUP(XB29,ChurnSeasonTable,4,FALSE))*POWER(1-(AnnualChurn*VLOOKUP(XB29,ChurnSeasonTable,4,FALSE)),0)+XQ5*(AnnualChurn*VLOOKUP(XB29,ChurnSeasonTable,4,FALSE))*POWER(1-(AnnualChurn*VLOOKUP(XB29,ChurnSeasonTable,4,FALSE)),1)</f>
        <v/>
      </c>
      <c r="XX29" s="12">
        <f>XX28+XR29-XR17*(AnnualChurn*VLOOKUP(XB29,ChurnSeasonTable,4,FALSE))*POWER(1-(AnnualChurn*VLOOKUP(XB29,ChurnSeasonTable,4,FALSE)),0)+XR5*(AnnualChurn*VLOOKUP(XB29,ChurnSeasonTable,4,FALSE))*POWER(1-(AnnualChurn*VLOOKUP(XB29,ChurnSeasonTable,4,FALSE)),1)</f>
        <v/>
      </c>
      <c r="XY29" s="12">
        <f>XS29+XT29+XU29+XV29+XW29+XX29</f>
        <v/>
      </c>
      <c r="XZ29" s="9">
        <f>XS29*BlendedPriceEssMonthly*XE29+XT29*BlendedPricePremMonthly*XE29+XU29*BlendedPriceEliteMonthly*XE29+XV29*BlendedPriceEssAnnual*XE29/12+XW29*BlendedPricePremAnnual*XE29/12+XX29*BlendedPriceEliteAnnual*XE29/12</f>
        <v/>
      </c>
      <c r="YA29" s="9">
        <f>XZ29*12</f>
        <v/>
      </c>
      <c r="YB29" s="12">
        <f>XS29*BlendedPriceEssMonthly*XE29+XT29*BlendedPricePremMonthly*XE29+XU29*BlendedPriceEliteMonthly*XE29</f>
        <v/>
      </c>
      <c r="YC29" s="12">
        <f>XP29*BlendedPriceEssAnnual*XE29+XQ29*BlendedPricePremAnnual*XE29+XR29*BlendedPriceEliteAnnual*XE29</f>
        <v/>
      </c>
      <c r="YD29" s="12">
        <f>XP17*POWER(1-(AnnualChurn*VLOOKUP(XB29,ChurnSeasonTable,4,FALSE)),1)*BlendedPriceEssAnnual*XE29+XP5*POWER(1-(AnnualChurn*VLOOKUP(XB29,ChurnSeasonTable,4,FALSE)),2)*BlendedPriceEssAnnual*XE29+XQ17*POWER(1-(AnnualChurn*VLOOKUP(XB29,ChurnSeasonTable,4,FALSE)),1)*BlendedPricePremAnnual*XE29+XQ5*POWER(1-(AnnualChurn*VLOOKUP(XB29,ChurnSeasonTable,4,FALSE)),2)*BlendedPricePremAnnual*XE29+XR17*POWER(1-(AnnualChurn*VLOOKUP(XB29,ChurnSeasonTable,4,FALSE)),1)*BlendedPriceEliteAnnual*XE29+XR5*POWER(1-(AnnualChurn*VLOOKUP(XB29,ChurnSeasonTable,4,FALSE)),2)*BlendedPriceEliteAnnual*XE29</f>
        <v/>
      </c>
      <c r="YE29" s="9">
        <f>YB29+YC29+YD29</f>
        <v/>
      </c>
      <c r="YF29" s="12">
        <f>SUM(YE18:YE29)</f>
        <v/>
      </c>
      <c r="YG29" s="12">
        <f>OR(YG28,IF(VATAgentMode,SUM($YE18:$YE29)-SUM($YL18:$YL29)&gt;=VATThreshold,SUM($YE18:$YE29)&gt;=VATThreshold))</f>
        <v/>
      </c>
      <c r="YH29" s="9">
        <f>IF(YG29,IF(VATAgentMode,YE29-((YE29-YL29)-(YE29-YL29)/(1+VATRate)),YE29/(1+VATRate)),YE29)</f>
        <v/>
      </c>
      <c r="YI29" s="12">
        <f>YE29-YH29</f>
        <v/>
      </c>
      <c r="YJ29" s="12">
        <f>IF(YG29=0,0,IF(XB29=1,SUMPRODUCT(--(($XC$5:$XC29=$XC29-1)*($XB$5:$XB29&gt;=10)*($XB$5:$XB29&lt;=12)),$YI$5:$YI29),IF(XB29=4,SUMPRODUCT(--(($XC$5:$XC29=$XC29)*($XB$5:$XB29&gt;=1)*($XB$5:$XB29&lt;=3)),$YI$5:$YI29),IF(XB29=7,SUMPRODUCT(--(($XC$5:$XC29=$XC29)*($XB$5:$XB29&gt;=4)*($XB$5:$XB29&lt;=6)),$YI$5:$YI29),IF(XB29=10,SUMPRODUCT(--(($XC$5:$XC29=$XC29)*($XB$5:$XB29&gt;=7)*($XB$5:$XB29&lt;=9)),$YI$5:$YI29),0)))))</f>
        <v/>
      </c>
      <c r="YK29" s="12">
        <f>YK28+YI29-YJ29</f>
        <v/>
      </c>
      <c r="YL29" s="12">
        <f>IF(ProviderDelay&gt;=1,XS28*BlendedProvPayEss+XT28*BlendedProvPayPrem+XU28*BlendedProvPayElite+XV28*BlendedProvPayEss+XW28*BlendedProvPayPrem+XX28*BlendedProvPayElite,XS29*BlendedProvPayEss+XT29*BlendedProvPayPrem+XU29*BlendedProvPayElite+XV29*BlendedProvPayEss+XW29*BlendedProvPayPrem+XX29*BlendedProvPayElite)</f>
        <v/>
      </c>
      <c r="YM29" s="12">
        <f>YE29*PaymentFee</f>
        <v/>
      </c>
      <c r="YN29" s="12">
        <f>XY29*OpsAI</f>
        <v/>
      </c>
      <c r="YO29" s="12">
        <f>MonthlyFixed</f>
        <v/>
      </c>
      <c r="YP29" s="12">
        <f>XI29*ReferralReward</f>
        <v/>
      </c>
      <c r="YQ29" s="12">
        <f>XG29</f>
        <v/>
      </c>
      <c r="YR29" s="9">
        <f>YH29-YL29-YM29-YN29-YO29-YP29-YQ29</f>
        <v/>
      </c>
      <c r="YS29" s="9">
        <f>YS28+YE29-(YL29+YM29+YN29+YO29+YP29+YQ29+YJ29)</f>
        <v/>
      </c>
      <c r="YT29" s="12">
        <f>IF(XY29&gt;0,XZ29/XY29,0)</f>
        <v/>
      </c>
      <c r="YU29" s="11">
        <f>IF(XY28&gt;0,MAX(0,(XY28+XJ29-XY29)/XY28),0)</f>
        <v/>
      </c>
      <c r="YW29" s="12" t="n">
        <v>25</v>
      </c>
      <c r="YX29" s="12">
        <f>MOD(YW29-1+LaunchMonth-1,12)+1</f>
        <v/>
      </c>
      <c r="YY29" s="12">
        <f>INT((YW29-1+LaunchMonth-1)/12)+1</f>
        <v/>
      </c>
      <c r="YZ29" s="12">
        <f>VLOOKUP(YX29,SeasonTable,2,FALSE)</f>
        <v/>
      </c>
      <c r="ZA29" s="12">
        <f>(1+InflationRate)^INT((YW29-1)/12)</f>
        <v/>
      </c>
      <c r="ZB29" s="11">
        <f>MonthlyChurn*VLOOKUP(YX29,ChurnSeasonTable,4,FALSE)</f>
        <v/>
      </c>
      <c r="ZC29" s="12">
        <f>MIN(MAX(MktMin19plus,AAA28*MktPct19plus),MAX(0,AAO28-CashBuffer))</f>
        <v/>
      </c>
      <c r="ZD29" s="12">
        <f>IF(ZC29&gt;0,MAX(1,ROUND(ZC29/CAC*YZ29,0)),0)</f>
        <v/>
      </c>
      <c r="ZE29" s="12">
        <f>IF(ZD29&gt;0,ROUND(ZD29*ReferralMix/(1-ReferralMix),0),0)</f>
        <v/>
      </c>
      <c r="ZF29" s="12">
        <f>ZD29+ZE29</f>
        <v/>
      </c>
      <c r="ZG29" s="12">
        <f>ROUND(ZF29*(1-'Sens - Annual Mix'!$A$11),0)</f>
        <v/>
      </c>
      <c r="ZH29" s="12">
        <f>ZF29-ZG29</f>
        <v/>
      </c>
      <c r="ZI29" s="12">
        <f>ROUND(ZG29*EssentialMix,0)</f>
        <v/>
      </c>
      <c r="ZJ29" s="12">
        <f>ROUND(ZG29*PremiumMix,0)</f>
        <v/>
      </c>
      <c r="ZK29" s="12">
        <f>ZG29-ZI29-ZJ29</f>
        <v/>
      </c>
      <c r="ZL29" s="12">
        <f>ROUND(ZH29*EssentialMix,0)</f>
        <v/>
      </c>
      <c r="ZM29" s="12">
        <f>ROUND(ZH29*PremiumMix,0)</f>
        <v/>
      </c>
      <c r="ZN29" s="12">
        <f>ZH29-ZL29-ZM29</f>
        <v/>
      </c>
      <c r="ZO29" s="12">
        <f>ZI29+ZI28+ZI27+MAX(0,ZO28-ZI28-ZI27)*(1-ZB29)</f>
        <v/>
      </c>
      <c r="ZP29" s="12">
        <f>ZJ29+ZJ28+ZJ27+MAX(0,ZP28-ZJ28-ZJ27)*(1-ZB29)</f>
        <v/>
      </c>
      <c r="ZQ29" s="12">
        <f>ZK29+ZK28+ZK27+MAX(0,ZQ28-ZK28-ZK27)*(1-ZB29)</f>
        <v/>
      </c>
      <c r="ZR29" s="12">
        <f>ZR28+ZL29-ZL17*(AnnualChurn*VLOOKUP(YX29,ChurnSeasonTable,4,FALSE))*POWER(1-(AnnualChurn*VLOOKUP(YX29,ChurnSeasonTable,4,FALSE)),0)+ZL5*(AnnualChurn*VLOOKUP(YX29,ChurnSeasonTable,4,FALSE))*POWER(1-(AnnualChurn*VLOOKUP(YX29,ChurnSeasonTable,4,FALSE)),1)</f>
        <v/>
      </c>
      <c r="ZS29" s="12">
        <f>ZS28+ZM29-ZM17*(AnnualChurn*VLOOKUP(YX29,ChurnSeasonTable,4,FALSE))*POWER(1-(AnnualChurn*VLOOKUP(YX29,ChurnSeasonTable,4,FALSE)),0)+ZM5*(AnnualChurn*VLOOKUP(YX29,ChurnSeasonTable,4,FALSE))*POWER(1-(AnnualChurn*VLOOKUP(YX29,ChurnSeasonTable,4,FALSE)),1)</f>
        <v/>
      </c>
      <c r="ZT29" s="12">
        <f>ZT28+ZN29-ZN17*(AnnualChurn*VLOOKUP(YX29,ChurnSeasonTable,4,FALSE))*POWER(1-(AnnualChurn*VLOOKUP(YX29,ChurnSeasonTable,4,FALSE)),0)+ZN5*(AnnualChurn*VLOOKUP(YX29,ChurnSeasonTable,4,FALSE))*POWER(1-(AnnualChurn*VLOOKUP(YX29,ChurnSeasonTable,4,FALSE)),1)</f>
        <v/>
      </c>
      <c r="ZU29" s="12">
        <f>ZO29+ZP29+ZQ29+ZR29+ZS29+ZT29</f>
        <v/>
      </c>
      <c r="ZV29" s="9">
        <f>ZO29*BlendedPriceEssMonthly*ZA29+ZP29*BlendedPricePremMonthly*ZA29+ZQ29*BlendedPriceEliteMonthly*ZA29+ZR29*BlendedPriceEssAnnual*ZA29/12+ZS29*BlendedPricePremAnnual*ZA29/12+ZT29*BlendedPriceEliteAnnual*ZA29/12</f>
        <v/>
      </c>
      <c r="ZW29" s="9">
        <f>ZV29*12</f>
        <v/>
      </c>
      <c r="ZX29" s="12">
        <f>ZO29*BlendedPriceEssMonthly*ZA29+ZP29*BlendedPricePremMonthly*ZA29+ZQ29*BlendedPriceEliteMonthly*ZA29</f>
        <v/>
      </c>
      <c r="ZY29" s="12">
        <f>ZL29*BlendedPriceEssAnnual*ZA29+ZM29*BlendedPricePremAnnual*ZA29+ZN29*BlendedPriceEliteAnnual*ZA29</f>
        <v/>
      </c>
      <c r="ZZ29" s="12">
        <f>ZL17*POWER(1-(AnnualChurn*VLOOKUP(YX29,ChurnSeasonTable,4,FALSE)),1)*BlendedPriceEssAnnual*ZA29+ZL5*POWER(1-(AnnualChurn*VLOOKUP(YX29,ChurnSeasonTable,4,FALSE)),2)*BlendedPriceEssAnnual*ZA29+ZM17*POWER(1-(AnnualChurn*VLOOKUP(YX29,ChurnSeasonTable,4,FALSE)),1)*BlendedPricePremAnnual*ZA29+ZM5*POWER(1-(AnnualChurn*VLOOKUP(YX29,ChurnSeasonTable,4,FALSE)),2)*BlendedPricePremAnnual*ZA29+ZN17*POWER(1-(AnnualChurn*VLOOKUP(YX29,ChurnSeasonTable,4,FALSE)),1)*BlendedPriceEliteAnnual*ZA29+ZN5*POWER(1-(AnnualChurn*VLOOKUP(YX29,ChurnSeasonTable,4,FALSE)),2)*BlendedPriceEliteAnnual*ZA29</f>
        <v/>
      </c>
      <c r="AAA29" s="9">
        <f>ZX29+ZY29+ZZ29</f>
        <v/>
      </c>
      <c r="AAB29" s="12">
        <f>SUM(AAA18:AAA29)</f>
        <v/>
      </c>
      <c r="AAC29" s="12">
        <f>OR(AAC28,IF(VATAgentMode,SUM($AAA18:$AAA29)-SUM($AAH18:$AAH29)&gt;=VATThreshold,SUM($AAA18:$AAA29)&gt;=VATThreshold))</f>
        <v/>
      </c>
      <c r="AAD29" s="9">
        <f>IF(AAC29,IF(VATAgentMode,AAA29-((AAA29-AAH29)-(AAA29-AAH29)/(1+VATRate)),AAA29/(1+VATRate)),AAA29)</f>
        <v/>
      </c>
      <c r="AAE29" s="12">
        <f>AAA29-AAD29</f>
        <v/>
      </c>
      <c r="AAF29" s="12">
        <f>IF(AAC29=0,0,IF(YX29=1,SUMPRODUCT(--(($YY$5:$YY29=$YY29-1)*($YX$5:$YX29&gt;=10)*($YX$5:$YX29&lt;=12)),$AAE$5:$AAE29),IF(YX29=4,SUMPRODUCT(--(($YY$5:$YY29=$YY29)*($YX$5:$YX29&gt;=1)*($YX$5:$YX29&lt;=3)),$AAE$5:$AAE29),IF(YX29=7,SUMPRODUCT(--(($YY$5:$YY29=$YY29)*($YX$5:$YX29&gt;=4)*($YX$5:$YX29&lt;=6)),$AAE$5:$AAE29),IF(YX29=10,SUMPRODUCT(--(($YY$5:$YY29=$YY29)*($YX$5:$YX29&gt;=7)*($YX$5:$YX29&lt;=9)),$AAE$5:$AAE29),0)))))</f>
        <v/>
      </c>
      <c r="AAG29" s="12">
        <f>AAG28+AAE29-AAF29</f>
        <v/>
      </c>
      <c r="AAH29" s="12">
        <f>IF(ProviderDelay&gt;=1,ZO28*BlendedProvPayEss+ZP28*BlendedProvPayPrem+ZQ28*BlendedProvPayElite+ZR28*BlendedProvPayEss+ZS28*BlendedProvPayPrem+ZT28*BlendedProvPayElite,ZO29*BlendedProvPayEss+ZP29*BlendedProvPayPrem+ZQ29*BlendedProvPayElite+ZR29*BlendedProvPayEss+ZS29*BlendedProvPayPrem+ZT29*BlendedProvPayElite)</f>
        <v/>
      </c>
      <c r="AAI29" s="12">
        <f>AAA29*PaymentFee</f>
        <v/>
      </c>
      <c r="AAJ29" s="12">
        <f>ZU29*OpsAI</f>
        <v/>
      </c>
      <c r="AAK29" s="12">
        <f>MonthlyFixed</f>
        <v/>
      </c>
      <c r="AAL29" s="12">
        <f>ZE29*ReferralReward</f>
        <v/>
      </c>
      <c r="AAM29" s="12">
        <f>ZC29</f>
        <v/>
      </c>
      <c r="AAN29" s="9">
        <f>AAD29-AAH29-AAI29-AAJ29-AAK29-AAL29-AAM29</f>
        <v/>
      </c>
      <c r="AAO29" s="9">
        <f>AAO28+AAA29-(AAH29+AAI29+AAJ29+AAK29+AAL29+AAM29+AAF29)</f>
        <v/>
      </c>
      <c r="AAP29" s="12">
        <f>IF(ZU29&gt;0,ZV29/ZU29,0)</f>
        <v/>
      </c>
      <c r="AAQ29" s="11">
        <f>IF(ZU28&gt;0,MAX(0,(ZU28+ZF29-ZU29)/ZU28),0)</f>
        <v/>
      </c>
      <c r="AAS29" s="12" t="n">
        <v>25</v>
      </c>
      <c r="AAT29" s="12">
        <f>MOD(AAS29-1+LaunchMonth-1,12)+1</f>
        <v/>
      </c>
      <c r="AAU29" s="12">
        <f>INT((AAS29-1+LaunchMonth-1)/12)+1</f>
        <v/>
      </c>
      <c r="AAV29" s="12">
        <f>VLOOKUP(AAT29,SeasonTable,2,FALSE)</f>
        <v/>
      </c>
      <c r="AAW29" s="12">
        <f>(1+InflationRate)^INT((AAS29-1)/12)</f>
        <v/>
      </c>
      <c r="AAX29" s="11">
        <f>MonthlyChurn*VLOOKUP(AAT29,ChurnSeasonTable,4,FALSE)</f>
        <v/>
      </c>
      <c r="AAY29" s="12">
        <f>MIN(MAX(MktMin19plus,ABW28*MktPct19plus),MAX(0,ACK28-CashBuffer))</f>
        <v/>
      </c>
      <c r="AAZ29" s="12">
        <f>IF(AAY29&gt;0,MAX(1,ROUND(AAY29/CAC*AAV29,0)),0)</f>
        <v/>
      </c>
      <c r="ABA29" s="12">
        <f>IF(AAZ29&gt;0,ROUND(AAZ29*ReferralMix/(1-ReferralMix),0),0)</f>
        <v/>
      </c>
      <c r="ABB29" s="12">
        <f>AAZ29+ABA29</f>
        <v/>
      </c>
      <c r="ABC29" s="12">
        <f>ROUND(ABB29*(1-'Sens - Annual Mix'!$A$12),0)</f>
        <v/>
      </c>
      <c r="ABD29" s="12">
        <f>ABB29-ABC29</f>
        <v/>
      </c>
      <c r="ABE29" s="12">
        <f>ROUND(ABC29*EssentialMix,0)</f>
        <v/>
      </c>
      <c r="ABF29" s="12">
        <f>ROUND(ABC29*PremiumMix,0)</f>
        <v/>
      </c>
      <c r="ABG29" s="12">
        <f>ABC29-ABE29-ABF29</f>
        <v/>
      </c>
      <c r="ABH29" s="12">
        <f>ROUND(ABD29*EssentialMix,0)</f>
        <v/>
      </c>
      <c r="ABI29" s="12">
        <f>ROUND(ABD29*PremiumMix,0)</f>
        <v/>
      </c>
      <c r="ABJ29" s="12">
        <f>ABD29-ABH29-ABI29</f>
        <v/>
      </c>
      <c r="ABK29" s="12">
        <f>ABE29+ABE28+ABE27+MAX(0,ABK28-ABE28-ABE27)*(1-AAX29)</f>
        <v/>
      </c>
      <c r="ABL29" s="12">
        <f>ABF29+ABF28+ABF27+MAX(0,ABL28-ABF28-ABF27)*(1-AAX29)</f>
        <v/>
      </c>
      <c r="ABM29" s="12">
        <f>ABG29+ABG28+ABG27+MAX(0,ABM28-ABG28-ABG27)*(1-AAX29)</f>
        <v/>
      </c>
      <c r="ABN29" s="12">
        <f>ABN28+ABH29-ABH17*(AnnualChurn*VLOOKUP(AAT29,ChurnSeasonTable,4,FALSE))*POWER(1-(AnnualChurn*VLOOKUP(AAT29,ChurnSeasonTable,4,FALSE)),0)+ABH5*(AnnualChurn*VLOOKUP(AAT29,ChurnSeasonTable,4,FALSE))*POWER(1-(AnnualChurn*VLOOKUP(AAT29,ChurnSeasonTable,4,FALSE)),1)</f>
        <v/>
      </c>
      <c r="ABO29" s="12">
        <f>ABO28+ABI29-ABI17*(AnnualChurn*VLOOKUP(AAT29,ChurnSeasonTable,4,FALSE))*POWER(1-(AnnualChurn*VLOOKUP(AAT29,ChurnSeasonTable,4,FALSE)),0)+ABI5*(AnnualChurn*VLOOKUP(AAT29,ChurnSeasonTable,4,FALSE))*POWER(1-(AnnualChurn*VLOOKUP(AAT29,ChurnSeasonTable,4,FALSE)),1)</f>
        <v/>
      </c>
      <c r="ABP29" s="12">
        <f>ABP28+ABJ29-ABJ17*(AnnualChurn*VLOOKUP(AAT29,ChurnSeasonTable,4,FALSE))*POWER(1-(AnnualChurn*VLOOKUP(AAT29,ChurnSeasonTable,4,FALSE)),0)+ABJ5*(AnnualChurn*VLOOKUP(AAT29,ChurnSeasonTable,4,FALSE))*POWER(1-(AnnualChurn*VLOOKUP(AAT29,ChurnSeasonTable,4,FALSE)),1)</f>
        <v/>
      </c>
      <c r="ABQ29" s="12">
        <f>ABK29+ABL29+ABM29+ABN29+ABO29+ABP29</f>
        <v/>
      </c>
      <c r="ABR29" s="9">
        <f>ABK29*BlendedPriceEssMonthly*AAW29+ABL29*BlendedPricePremMonthly*AAW29+ABM29*BlendedPriceEliteMonthly*AAW29+ABN29*BlendedPriceEssAnnual*AAW29/12+ABO29*BlendedPricePremAnnual*AAW29/12+ABP29*BlendedPriceEliteAnnual*AAW29/12</f>
        <v/>
      </c>
      <c r="ABS29" s="9">
        <f>ABR29*12</f>
        <v/>
      </c>
      <c r="ABT29" s="12">
        <f>ABK29*BlendedPriceEssMonthly*AAW29+ABL29*BlendedPricePremMonthly*AAW29+ABM29*BlendedPriceEliteMonthly*AAW29</f>
        <v/>
      </c>
      <c r="ABU29" s="12">
        <f>ABH29*BlendedPriceEssAnnual*AAW29+ABI29*BlendedPricePremAnnual*AAW29+ABJ29*BlendedPriceEliteAnnual*AAW29</f>
        <v/>
      </c>
      <c r="ABV29" s="12">
        <f>ABH17*POWER(1-(AnnualChurn*VLOOKUP(AAT29,ChurnSeasonTable,4,FALSE)),1)*BlendedPriceEssAnnual*AAW29+ABH5*POWER(1-(AnnualChurn*VLOOKUP(AAT29,ChurnSeasonTable,4,FALSE)),2)*BlendedPriceEssAnnual*AAW29+ABI17*POWER(1-(AnnualChurn*VLOOKUP(AAT29,ChurnSeasonTable,4,FALSE)),1)*BlendedPricePremAnnual*AAW29+ABI5*POWER(1-(AnnualChurn*VLOOKUP(AAT29,ChurnSeasonTable,4,FALSE)),2)*BlendedPricePremAnnual*AAW29+ABJ17*POWER(1-(AnnualChurn*VLOOKUP(AAT29,ChurnSeasonTable,4,FALSE)),1)*BlendedPriceEliteAnnual*AAW29+ABJ5*POWER(1-(AnnualChurn*VLOOKUP(AAT29,ChurnSeasonTable,4,FALSE)),2)*BlendedPriceEliteAnnual*AAW29</f>
        <v/>
      </c>
      <c r="ABW29" s="9">
        <f>ABT29+ABU29+ABV29</f>
        <v/>
      </c>
      <c r="ABX29" s="12">
        <f>SUM(ABW18:ABW29)</f>
        <v/>
      </c>
      <c r="ABY29" s="12">
        <f>OR(ABY28,IF(VATAgentMode,SUM($ABW18:$ABW29)-SUM($ACD18:$ACD29)&gt;=VATThreshold,SUM($ABW18:$ABW29)&gt;=VATThreshold))</f>
        <v/>
      </c>
      <c r="ABZ29" s="9">
        <f>IF(ABY29,IF(VATAgentMode,ABW29-((ABW29-ACD29)-(ABW29-ACD29)/(1+VATRate)),ABW29/(1+VATRate)),ABW29)</f>
        <v/>
      </c>
      <c r="ACA29" s="12">
        <f>ABW29-ABZ29</f>
        <v/>
      </c>
      <c r="ACB29" s="12">
        <f>IF(ABY29=0,0,IF(AAT29=1,SUMPRODUCT(--(($AAU$5:$AAU29=$AAU29-1)*($AAT$5:$AAT29&gt;=10)*($AAT$5:$AAT29&lt;=12)),$ACA$5:$ACA29),IF(AAT29=4,SUMPRODUCT(--(($AAU$5:$AAU29=$AAU29)*($AAT$5:$AAT29&gt;=1)*($AAT$5:$AAT29&lt;=3)),$ACA$5:$ACA29),IF(AAT29=7,SUMPRODUCT(--(($AAU$5:$AAU29=$AAU29)*($AAT$5:$AAT29&gt;=4)*($AAT$5:$AAT29&lt;=6)),$ACA$5:$ACA29),IF(AAT29=10,SUMPRODUCT(--(($AAU$5:$AAU29=$AAU29)*($AAT$5:$AAT29&gt;=7)*($AAT$5:$AAT29&lt;=9)),$ACA$5:$ACA29),0)))))</f>
        <v/>
      </c>
      <c r="ACC29" s="12">
        <f>ACC28+ACA29-ACB29</f>
        <v/>
      </c>
      <c r="ACD29" s="12">
        <f>IF(ProviderDelay&gt;=1,ABK28*BlendedProvPayEss+ABL28*BlendedProvPayPrem+ABM28*BlendedProvPayElite+ABN28*BlendedProvPayEss+ABO28*BlendedProvPayPrem+ABP28*BlendedProvPayElite,ABK29*BlendedProvPayEss+ABL29*BlendedProvPayPrem+ABM29*BlendedProvPayElite+ABN29*BlendedProvPayEss+ABO29*BlendedProvPayPrem+ABP29*BlendedProvPayElite)</f>
        <v/>
      </c>
      <c r="ACE29" s="12">
        <f>ABW29*PaymentFee</f>
        <v/>
      </c>
      <c r="ACF29" s="12">
        <f>ABQ29*OpsAI</f>
        <v/>
      </c>
      <c r="ACG29" s="12">
        <f>MonthlyFixed</f>
        <v/>
      </c>
      <c r="ACH29" s="12">
        <f>ABA29*ReferralReward</f>
        <v/>
      </c>
      <c r="ACI29" s="12">
        <f>AAY29</f>
        <v/>
      </c>
      <c r="ACJ29" s="9">
        <f>ABZ29-ACD29-ACE29-ACF29-ACG29-ACH29-ACI29</f>
        <v/>
      </c>
      <c r="ACK29" s="9">
        <f>ACK28+ABW29-(ACD29+ACE29+ACF29+ACG29+ACH29+ACI29+ACB29)</f>
        <v/>
      </c>
      <c r="ACL29" s="12">
        <f>IF(ABQ29&gt;0,ABR29/ABQ29,0)</f>
        <v/>
      </c>
      <c r="ACM29" s="11">
        <f>IF(ABQ28&gt;0,MAX(0,(ABQ28+ABB29-ABQ29)/ABQ28),0)</f>
        <v/>
      </c>
      <c r="ACO29" s="12" t="n">
        <v>25</v>
      </c>
      <c r="ACP29" s="12">
        <f>MOD(ACO29-1+LaunchMonth-1,12)+1</f>
        <v/>
      </c>
      <c r="ACQ29" s="12">
        <f>INT((ACO29-1+LaunchMonth-1)/12)+1</f>
        <v/>
      </c>
      <c r="ACR29" s="12">
        <f>VLOOKUP(ACP29,SeasonTable,2,FALSE)</f>
        <v/>
      </c>
      <c r="ACS29" s="12">
        <f>(1+InflationRate)^INT((ACO29-1)/12)</f>
        <v/>
      </c>
      <c r="ACT29" s="11">
        <f>MonthlyChurn*VLOOKUP(ACP29,ChurnSeasonTable,4,FALSE)</f>
        <v/>
      </c>
      <c r="ACU29" s="12">
        <f>MIN(MAX(MktMin19plus,ADS28*MktPct19plus),MAX(0,AEG28-CashBuffer))</f>
        <v/>
      </c>
      <c r="ACV29" s="12">
        <f>IF(ACU29&gt;0,MAX(1,ROUND(ACU29/CAC*ACR29,0)),0)</f>
        <v/>
      </c>
      <c r="ACW29" s="12">
        <f>IF(ACV29&gt;0,ROUND(ACV29*ReferralMix/(1-ReferralMix),0),0)</f>
        <v/>
      </c>
      <c r="ACX29" s="12">
        <f>ACV29+ACW29</f>
        <v/>
      </c>
      <c r="ACY29" s="12">
        <f>ROUND(ACX29*(1-'Sens - Annual Mix'!$A$13),0)</f>
        <v/>
      </c>
      <c r="ACZ29" s="12">
        <f>ACX29-ACY29</f>
        <v/>
      </c>
      <c r="ADA29" s="12">
        <f>ROUND(ACY29*EssentialMix,0)</f>
        <v/>
      </c>
      <c r="ADB29" s="12">
        <f>ROUND(ACY29*PremiumMix,0)</f>
        <v/>
      </c>
      <c r="ADC29" s="12">
        <f>ACY29-ADA29-ADB29</f>
        <v/>
      </c>
      <c r="ADD29" s="12">
        <f>ROUND(ACZ29*EssentialMix,0)</f>
        <v/>
      </c>
      <c r="ADE29" s="12">
        <f>ROUND(ACZ29*PremiumMix,0)</f>
        <v/>
      </c>
      <c r="ADF29" s="12">
        <f>ACZ29-ADD29-ADE29</f>
        <v/>
      </c>
      <c r="ADG29" s="12">
        <f>ADA29+ADA28+ADA27+MAX(0,ADG28-ADA28-ADA27)*(1-ACT29)</f>
        <v/>
      </c>
      <c r="ADH29" s="12">
        <f>ADB29+ADB28+ADB27+MAX(0,ADH28-ADB28-ADB27)*(1-ACT29)</f>
        <v/>
      </c>
      <c r="ADI29" s="12">
        <f>ADC29+ADC28+ADC27+MAX(0,ADI28-ADC28-ADC27)*(1-ACT29)</f>
        <v/>
      </c>
      <c r="ADJ29" s="12">
        <f>ADJ28+ADD29-ADD17*(AnnualChurn*VLOOKUP(ACP29,ChurnSeasonTable,4,FALSE))*POWER(1-(AnnualChurn*VLOOKUP(ACP29,ChurnSeasonTable,4,FALSE)),0)+ADD5*(AnnualChurn*VLOOKUP(ACP29,ChurnSeasonTable,4,FALSE))*POWER(1-(AnnualChurn*VLOOKUP(ACP29,ChurnSeasonTable,4,FALSE)),1)</f>
        <v/>
      </c>
      <c r="ADK29" s="12">
        <f>ADK28+ADE29-ADE17*(AnnualChurn*VLOOKUP(ACP29,ChurnSeasonTable,4,FALSE))*POWER(1-(AnnualChurn*VLOOKUP(ACP29,ChurnSeasonTable,4,FALSE)),0)+ADE5*(AnnualChurn*VLOOKUP(ACP29,ChurnSeasonTable,4,FALSE))*POWER(1-(AnnualChurn*VLOOKUP(ACP29,ChurnSeasonTable,4,FALSE)),1)</f>
        <v/>
      </c>
      <c r="ADL29" s="12">
        <f>ADL28+ADF29-ADF17*(AnnualChurn*VLOOKUP(ACP29,ChurnSeasonTable,4,FALSE))*POWER(1-(AnnualChurn*VLOOKUP(ACP29,ChurnSeasonTable,4,FALSE)),0)+ADF5*(AnnualChurn*VLOOKUP(ACP29,ChurnSeasonTable,4,FALSE))*POWER(1-(AnnualChurn*VLOOKUP(ACP29,ChurnSeasonTable,4,FALSE)),1)</f>
        <v/>
      </c>
      <c r="ADM29" s="12">
        <f>ADG29+ADH29+ADI29+ADJ29+ADK29+ADL29</f>
        <v/>
      </c>
      <c r="ADN29" s="9">
        <f>ADG29*BlendedPriceEssMonthly*ACS29+ADH29*BlendedPricePremMonthly*ACS29+ADI29*BlendedPriceEliteMonthly*ACS29+ADJ29*BlendedPriceEssAnnual*ACS29/12+ADK29*BlendedPricePremAnnual*ACS29/12+ADL29*BlendedPriceEliteAnnual*ACS29/12</f>
        <v/>
      </c>
      <c r="ADO29" s="9">
        <f>ADN29*12</f>
        <v/>
      </c>
      <c r="ADP29" s="12">
        <f>ADG29*BlendedPriceEssMonthly*ACS29+ADH29*BlendedPricePremMonthly*ACS29+ADI29*BlendedPriceEliteMonthly*ACS29</f>
        <v/>
      </c>
      <c r="ADQ29" s="12">
        <f>ADD29*BlendedPriceEssAnnual*ACS29+ADE29*BlendedPricePremAnnual*ACS29+ADF29*BlendedPriceEliteAnnual*ACS29</f>
        <v/>
      </c>
      <c r="ADR29" s="12">
        <f>ADD17*POWER(1-(AnnualChurn*VLOOKUP(ACP29,ChurnSeasonTable,4,FALSE)),1)*BlendedPriceEssAnnual*ACS29+ADD5*POWER(1-(AnnualChurn*VLOOKUP(ACP29,ChurnSeasonTable,4,FALSE)),2)*BlendedPriceEssAnnual*ACS29+ADE17*POWER(1-(AnnualChurn*VLOOKUP(ACP29,ChurnSeasonTable,4,FALSE)),1)*BlendedPricePremAnnual*ACS29+ADE5*POWER(1-(AnnualChurn*VLOOKUP(ACP29,ChurnSeasonTable,4,FALSE)),2)*BlendedPricePremAnnual*ACS29+ADF17*POWER(1-(AnnualChurn*VLOOKUP(ACP29,ChurnSeasonTable,4,FALSE)),1)*BlendedPriceEliteAnnual*ACS29+ADF5*POWER(1-(AnnualChurn*VLOOKUP(ACP29,ChurnSeasonTable,4,FALSE)),2)*BlendedPriceEliteAnnual*ACS29</f>
        <v/>
      </c>
      <c r="ADS29" s="9">
        <f>ADP29+ADQ29+ADR29</f>
        <v/>
      </c>
      <c r="ADT29" s="12">
        <f>SUM(ADS18:ADS29)</f>
        <v/>
      </c>
      <c r="ADU29" s="12">
        <f>OR(ADU28,IF(VATAgentMode,SUM($ADS18:$ADS29)-SUM($ADZ18:$ADZ29)&gt;=VATThreshold,SUM($ADS18:$ADS29)&gt;=VATThreshold))</f>
        <v/>
      </c>
      <c r="ADV29" s="9">
        <f>IF(ADU29,IF(VATAgentMode,ADS29-((ADS29-ADZ29)-(ADS29-ADZ29)/(1+VATRate)),ADS29/(1+VATRate)),ADS29)</f>
        <v/>
      </c>
      <c r="ADW29" s="12">
        <f>ADS29-ADV29</f>
        <v/>
      </c>
      <c r="ADX29" s="12">
        <f>IF(ADU29=0,0,IF(ACP29=1,SUMPRODUCT(--(($ACQ$5:$ACQ29=$ACQ29-1)*($ACP$5:$ACP29&gt;=10)*($ACP$5:$ACP29&lt;=12)),$ADW$5:$ADW29),IF(ACP29=4,SUMPRODUCT(--(($ACQ$5:$ACQ29=$ACQ29)*($ACP$5:$ACP29&gt;=1)*($ACP$5:$ACP29&lt;=3)),$ADW$5:$ADW29),IF(ACP29=7,SUMPRODUCT(--(($ACQ$5:$ACQ29=$ACQ29)*($ACP$5:$ACP29&gt;=4)*($ACP$5:$ACP29&lt;=6)),$ADW$5:$ADW29),IF(ACP29=10,SUMPRODUCT(--(($ACQ$5:$ACQ29=$ACQ29)*($ACP$5:$ACP29&gt;=7)*($ACP$5:$ACP29&lt;=9)),$ADW$5:$ADW29),0)))))</f>
        <v/>
      </c>
      <c r="ADY29" s="12">
        <f>ADY28+ADW29-ADX29</f>
        <v/>
      </c>
      <c r="ADZ29" s="12">
        <f>IF(ProviderDelay&gt;=1,ADG28*BlendedProvPayEss+ADH28*BlendedProvPayPrem+ADI28*BlendedProvPayElite+ADJ28*BlendedProvPayEss+ADK28*BlendedProvPayPrem+ADL28*BlendedProvPayElite,ADG29*BlendedProvPayEss+ADH29*BlendedProvPayPrem+ADI29*BlendedProvPayElite+ADJ29*BlendedProvPayEss+ADK29*BlendedProvPayPrem+ADL29*BlendedProvPayElite)</f>
        <v/>
      </c>
      <c r="AEA29" s="12">
        <f>ADS29*PaymentFee</f>
        <v/>
      </c>
      <c r="AEB29" s="12">
        <f>ADM29*OpsAI</f>
        <v/>
      </c>
      <c r="AEC29" s="12">
        <f>MonthlyFixed</f>
        <v/>
      </c>
      <c r="AED29" s="12">
        <f>ACW29*ReferralReward</f>
        <v/>
      </c>
      <c r="AEE29" s="12">
        <f>ACU29</f>
        <v/>
      </c>
      <c r="AEF29" s="9">
        <f>ADV29-ADZ29-AEA29-AEB29-AEC29-AED29-AEE29</f>
        <v/>
      </c>
      <c r="AEG29" s="9">
        <f>AEG28+ADS29-(ADZ29+AEA29+AEB29+AEC29+AED29+AEE29+ADX29)</f>
        <v/>
      </c>
      <c r="AEH29" s="12">
        <f>IF(ADM29&gt;0,ADN29/ADM29,0)</f>
        <v/>
      </c>
      <c r="AEI29" s="11">
        <f>IF(ADM28&gt;0,MAX(0,(ADM28+ACX29-ADM29)/ADM28),0)</f>
        <v/>
      </c>
      <c r="AEK29" s="12" t="n">
        <v>25</v>
      </c>
      <c r="AEL29" s="12">
        <f>MOD(AEK29-1+LaunchMonth-1,12)+1</f>
        <v/>
      </c>
      <c r="AEM29" s="12">
        <f>INT((AEK29-1+LaunchMonth-1)/12)+1</f>
        <v/>
      </c>
      <c r="AEN29" s="12">
        <f>VLOOKUP(AEL29,SeasonTable,2,FALSE)</f>
        <v/>
      </c>
      <c r="AEO29" s="12">
        <f>(1+InflationRate)^INT((AEK29-1)/12)</f>
        <v/>
      </c>
      <c r="AEP29" s="11">
        <f>MonthlyChurn*VLOOKUP(AEL29,ChurnSeasonTable,4,FALSE)</f>
        <v/>
      </c>
      <c r="AEQ29" s="12">
        <f>MIN(MAX(MktMin19plus,AFO28*MktPct19plus),MAX(0,AGC28-CashBuffer))</f>
        <v/>
      </c>
      <c r="AER29" s="12">
        <f>IF(AEQ29&gt;0,MAX(1,ROUND(AEQ29/CAC*AEN29,0)),0)</f>
        <v/>
      </c>
      <c r="AES29" s="12">
        <f>IF(AER29&gt;0,ROUND(AER29*ReferralMix/(1-ReferralMix),0),0)</f>
        <v/>
      </c>
      <c r="AET29" s="12">
        <f>AER29+AES29</f>
        <v/>
      </c>
      <c r="AEU29" s="12">
        <f>ROUND(AET29*(1-'Sens - Annual Mix'!$A$14),0)</f>
        <v/>
      </c>
      <c r="AEV29" s="12">
        <f>AET29-AEU29</f>
        <v/>
      </c>
      <c r="AEW29" s="12">
        <f>ROUND(AEU29*EssentialMix,0)</f>
        <v/>
      </c>
      <c r="AEX29" s="12">
        <f>ROUND(AEU29*PremiumMix,0)</f>
        <v/>
      </c>
      <c r="AEY29" s="12">
        <f>AEU29-AEW29-AEX29</f>
        <v/>
      </c>
      <c r="AEZ29" s="12">
        <f>ROUND(AEV29*EssentialMix,0)</f>
        <v/>
      </c>
      <c r="AFA29" s="12">
        <f>ROUND(AEV29*PremiumMix,0)</f>
        <v/>
      </c>
      <c r="AFB29" s="12">
        <f>AEV29-AEZ29-AFA29</f>
        <v/>
      </c>
      <c r="AFC29" s="12">
        <f>AEW29+AEW28+AEW27+MAX(0,AFC28-AEW28-AEW27)*(1-AEP29)</f>
        <v/>
      </c>
      <c r="AFD29" s="12">
        <f>AEX29+AEX28+AEX27+MAX(0,AFD28-AEX28-AEX27)*(1-AEP29)</f>
        <v/>
      </c>
      <c r="AFE29" s="12">
        <f>AEY29+AEY28+AEY27+MAX(0,AFE28-AEY28-AEY27)*(1-AEP29)</f>
        <v/>
      </c>
      <c r="AFF29" s="12">
        <f>AFF28+AEZ29-AEZ17*(AnnualChurn*VLOOKUP(AEL29,ChurnSeasonTable,4,FALSE))*POWER(1-(AnnualChurn*VLOOKUP(AEL29,ChurnSeasonTable,4,FALSE)),0)+AEZ5*(AnnualChurn*VLOOKUP(AEL29,ChurnSeasonTable,4,FALSE))*POWER(1-(AnnualChurn*VLOOKUP(AEL29,ChurnSeasonTable,4,FALSE)),1)</f>
        <v/>
      </c>
      <c r="AFG29" s="12">
        <f>AFG28+AFA29-AFA17*(AnnualChurn*VLOOKUP(AEL29,ChurnSeasonTable,4,FALSE))*POWER(1-(AnnualChurn*VLOOKUP(AEL29,ChurnSeasonTable,4,FALSE)),0)+AFA5*(AnnualChurn*VLOOKUP(AEL29,ChurnSeasonTable,4,FALSE))*POWER(1-(AnnualChurn*VLOOKUP(AEL29,ChurnSeasonTable,4,FALSE)),1)</f>
        <v/>
      </c>
      <c r="AFH29" s="12">
        <f>AFH28+AFB29-AFB17*(AnnualChurn*VLOOKUP(AEL29,ChurnSeasonTable,4,FALSE))*POWER(1-(AnnualChurn*VLOOKUP(AEL29,ChurnSeasonTable,4,FALSE)),0)+AFB5*(AnnualChurn*VLOOKUP(AEL29,ChurnSeasonTable,4,FALSE))*POWER(1-(AnnualChurn*VLOOKUP(AEL29,ChurnSeasonTable,4,FALSE)),1)</f>
        <v/>
      </c>
      <c r="AFI29" s="12">
        <f>AFC29+AFD29+AFE29+AFF29+AFG29+AFH29</f>
        <v/>
      </c>
      <c r="AFJ29" s="9">
        <f>AFC29*BlendedPriceEssMonthly*AEO29+AFD29*BlendedPricePremMonthly*AEO29+AFE29*BlendedPriceEliteMonthly*AEO29+AFF29*BlendedPriceEssAnnual*AEO29/12+AFG29*BlendedPricePremAnnual*AEO29/12+AFH29*BlendedPriceEliteAnnual*AEO29/12</f>
        <v/>
      </c>
      <c r="AFK29" s="9">
        <f>AFJ29*12</f>
        <v/>
      </c>
      <c r="AFL29" s="12">
        <f>AFC29*BlendedPriceEssMonthly*AEO29+AFD29*BlendedPricePremMonthly*AEO29+AFE29*BlendedPriceEliteMonthly*AEO29</f>
        <v/>
      </c>
      <c r="AFM29" s="12">
        <f>AEZ29*BlendedPriceEssAnnual*AEO29+AFA29*BlendedPricePremAnnual*AEO29+AFB29*BlendedPriceEliteAnnual*AEO29</f>
        <v/>
      </c>
      <c r="AFN29" s="12">
        <f>AEZ17*POWER(1-(AnnualChurn*VLOOKUP(AEL29,ChurnSeasonTable,4,FALSE)),1)*BlendedPriceEssAnnual*AEO29+AEZ5*POWER(1-(AnnualChurn*VLOOKUP(AEL29,ChurnSeasonTable,4,FALSE)),2)*BlendedPriceEssAnnual*AEO29+AFA17*POWER(1-(AnnualChurn*VLOOKUP(AEL29,ChurnSeasonTable,4,FALSE)),1)*BlendedPricePremAnnual*AEO29+AFA5*POWER(1-(AnnualChurn*VLOOKUP(AEL29,ChurnSeasonTable,4,FALSE)),2)*BlendedPricePremAnnual*AEO29+AFB17*POWER(1-(AnnualChurn*VLOOKUP(AEL29,ChurnSeasonTable,4,FALSE)),1)*BlendedPriceEliteAnnual*AEO29+AFB5*POWER(1-(AnnualChurn*VLOOKUP(AEL29,ChurnSeasonTable,4,FALSE)),2)*BlendedPriceEliteAnnual*AEO29</f>
        <v/>
      </c>
      <c r="AFO29" s="9">
        <f>AFL29+AFM29+AFN29</f>
        <v/>
      </c>
      <c r="AFP29" s="12">
        <f>SUM(AFO18:AFO29)</f>
        <v/>
      </c>
      <c r="AFQ29" s="12">
        <f>OR(AFQ28,IF(VATAgentMode,SUM($AFO18:$AFO29)-SUM($AFV18:$AFV29)&gt;=VATThreshold,SUM($AFO18:$AFO29)&gt;=VATThreshold))</f>
        <v/>
      </c>
      <c r="AFR29" s="9">
        <f>IF(AFQ29,IF(VATAgentMode,AFO29-((AFO29-AFV29)-(AFO29-AFV29)/(1+VATRate)),AFO29/(1+VATRate)),AFO29)</f>
        <v/>
      </c>
      <c r="AFS29" s="12">
        <f>AFO29-AFR29</f>
        <v/>
      </c>
      <c r="AFT29" s="12">
        <f>IF(AFQ29=0,0,IF(AEL29=1,SUMPRODUCT(--(($AEM$5:$AEM29=$AEM29-1)*($AEL$5:$AEL29&gt;=10)*($AEL$5:$AEL29&lt;=12)),$AFS$5:$AFS29),IF(AEL29=4,SUMPRODUCT(--(($AEM$5:$AEM29=$AEM29)*($AEL$5:$AEL29&gt;=1)*($AEL$5:$AEL29&lt;=3)),$AFS$5:$AFS29),IF(AEL29=7,SUMPRODUCT(--(($AEM$5:$AEM29=$AEM29)*($AEL$5:$AEL29&gt;=4)*($AEL$5:$AEL29&lt;=6)),$AFS$5:$AFS29),IF(AEL29=10,SUMPRODUCT(--(($AEM$5:$AEM29=$AEM29)*($AEL$5:$AEL29&gt;=7)*($AEL$5:$AEL29&lt;=9)),$AFS$5:$AFS29),0)))))</f>
        <v/>
      </c>
      <c r="AFU29" s="12">
        <f>AFU28+AFS29-AFT29</f>
        <v/>
      </c>
      <c r="AFV29" s="12">
        <f>IF(ProviderDelay&gt;=1,AFC28*BlendedProvPayEss+AFD28*BlendedProvPayPrem+AFE28*BlendedProvPayElite+AFF28*BlendedProvPayEss+AFG28*BlendedProvPayPrem+AFH28*BlendedProvPayElite,AFC29*BlendedProvPayEss+AFD29*BlendedProvPayPrem+AFE29*BlendedProvPayElite+AFF29*BlendedProvPayEss+AFG29*BlendedProvPayPrem+AFH29*BlendedProvPayElite)</f>
        <v/>
      </c>
      <c r="AFW29" s="12">
        <f>AFO29*PaymentFee</f>
        <v/>
      </c>
      <c r="AFX29" s="12">
        <f>AFI29*OpsAI</f>
        <v/>
      </c>
      <c r="AFY29" s="12">
        <f>MonthlyFixed</f>
        <v/>
      </c>
      <c r="AFZ29" s="12">
        <f>AES29*ReferralReward</f>
        <v/>
      </c>
      <c r="AGA29" s="12">
        <f>AEQ29</f>
        <v/>
      </c>
      <c r="AGB29" s="9">
        <f>AFR29-AFV29-AFW29-AFX29-AFY29-AFZ29-AGA29</f>
        <v/>
      </c>
      <c r="AGC29" s="9">
        <f>AGC28+AFO29-(AFV29+AFW29+AFX29+AFY29+AFZ29+AGA29+AFT29)</f>
        <v/>
      </c>
      <c r="AGD29" s="12">
        <f>IF(AFI29&gt;0,AFJ29/AFI29,0)</f>
        <v/>
      </c>
      <c r="AGE29" s="11">
        <f>IF(AFI28&gt;0,MAX(0,(AFI28+AET29-AFI29)/AFI28),0)</f>
        <v/>
      </c>
      <c r="AGG29" s="12" t="n">
        <v>25</v>
      </c>
      <c r="AGH29" s="12">
        <f>MOD(AGG29-1+LaunchMonth-1,12)+1</f>
        <v/>
      </c>
      <c r="AGI29" s="12">
        <f>INT((AGG29-1+LaunchMonth-1)/12)+1</f>
        <v/>
      </c>
      <c r="AGJ29" s="12">
        <f>VLOOKUP(AGH29,SeasonTable,2,FALSE)</f>
        <v/>
      </c>
      <c r="AGK29" s="12">
        <f>(1+InflationRate)^INT((AGG29-1)/12)</f>
        <v/>
      </c>
      <c r="AGL29" s="11">
        <f>MonthlyChurn*VLOOKUP(AGH29,ChurnSeasonTable,4,FALSE)</f>
        <v/>
      </c>
      <c r="AGM29" s="12">
        <f>MIN(MAX(MktMin19plus,AHK28*MktPct19plus),MAX(0,AHY28-CashBuffer))</f>
        <v/>
      </c>
      <c r="AGN29" s="12">
        <f>IF(AGM29&gt;0,MAX(1,ROUND(AGM29/CAC*AGJ29,0)),0)</f>
        <v/>
      </c>
      <c r="AGO29" s="12">
        <f>IF(AGN29&gt;0,ROUND(AGN29*ReferralMix/(1-ReferralMix),0),0)</f>
        <v/>
      </c>
      <c r="AGP29" s="12">
        <f>AGN29+AGO29</f>
        <v/>
      </c>
      <c r="AGQ29" s="12">
        <f>ROUND(AGP29*(1-'Sens - Annual Mix'!$A$15),0)</f>
        <v/>
      </c>
      <c r="AGR29" s="12">
        <f>AGP29-AGQ29</f>
        <v/>
      </c>
      <c r="AGS29" s="12">
        <f>ROUND(AGQ29*EssentialMix,0)</f>
        <v/>
      </c>
      <c r="AGT29" s="12">
        <f>ROUND(AGQ29*PremiumMix,0)</f>
        <v/>
      </c>
      <c r="AGU29" s="12">
        <f>AGQ29-AGS29-AGT29</f>
        <v/>
      </c>
      <c r="AGV29" s="12">
        <f>ROUND(AGR29*EssentialMix,0)</f>
        <v/>
      </c>
      <c r="AGW29" s="12">
        <f>ROUND(AGR29*PremiumMix,0)</f>
        <v/>
      </c>
      <c r="AGX29" s="12">
        <f>AGR29-AGV29-AGW29</f>
        <v/>
      </c>
      <c r="AGY29" s="12">
        <f>AGS29+AGS28+AGS27+MAX(0,AGY28-AGS28-AGS27)*(1-AGL29)</f>
        <v/>
      </c>
      <c r="AGZ29" s="12">
        <f>AGT29+AGT28+AGT27+MAX(0,AGZ28-AGT28-AGT27)*(1-AGL29)</f>
        <v/>
      </c>
      <c r="AHA29" s="12">
        <f>AGU29+AGU28+AGU27+MAX(0,AHA28-AGU28-AGU27)*(1-AGL29)</f>
        <v/>
      </c>
      <c r="AHB29" s="12">
        <f>AHB28+AGV29-AGV17*(AnnualChurn*VLOOKUP(AGH29,ChurnSeasonTable,4,FALSE))*POWER(1-(AnnualChurn*VLOOKUP(AGH29,ChurnSeasonTable,4,FALSE)),0)+AGV5*(AnnualChurn*VLOOKUP(AGH29,ChurnSeasonTable,4,FALSE))*POWER(1-(AnnualChurn*VLOOKUP(AGH29,ChurnSeasonTable,4,FALSE)),1)</f>
        <v/>
      </c>
      <c r="AHC29" s="12">
        <f>AHC28+AGW29-AGW17*(AnnualChurn*VLOOKUP(AGH29,ChurnSeasonTable,4,FALSE))*POWER(1-(AnnualChurn*VLOOKUP(AGH29,ChurnSeasonTable,4,FALSE)),0)+AGW5*(AnnualChurn*VLOOKUP(AGH29,ChurnSeasonTable,4,FALSE))*POWER(1-(AnnualChurn*VLOOKUP(AGH29,ChurnSeasonTable,4,FALSE)),1)</f>
        <v/>
      </c>
      <c r="AHD29" s="12">
        <f>AHD28+AGX29-AGX17*(AnnualChurn*VLOOKUP(AGH29,ChurnSeasonTable,4,FALSE))*POWER(1-(AnnualChurn*VLOOKUP(AGH29,ChurnSeasonTable,4,FALSE)),0)+AGX5*(AnnualChurn*VLOOKUP(AGH29,ChurnSeasonTable,4,FALSE))*POWER(1-(AnnualChurn*VLOOKUP(AGH29,ChurnSeasonTable,4,FALSE)),1)</f>
        <v/>
      </c>
      <c r="AHE29" s="12">
        <f>AGY29+AGZ29+AHA29+AHB29+AHC29+AHD29</f>
        <v/>
      </c>
      <c r="AHF29" s="9">
        <f>AGY29*BlendedPriceEssMonthly*AGK29+AGZ29*BlendedPricePremMonthly*AGK29+AHA29*BlendedPriceEliteMonthly*AGK29+AHB29*BlendedPriceEssAnnual*AGK29/12+AHC29*BlendedPricePremAnnual*AGK29/12+AHD29*BlendedPriceEliteAnnual*AGK29/12</f>
        <v/>
      </c>
      <c r="AHG29" s="9">
        <f>AHF29*12</f>
        <v/>
      </c>
      <c r="AHH29" s="12">
        <f>AGY29*BlendedPriceEssMonthly*AGK29+AGZ29*BlendedPricePremMonthly*AGK29+AHA29*BlendedPriceEliteMonthly*AGK29</f>
        <v/>
      </c>
      <c r="AHI29" s="12">
        <f>AGV29*BlendedPriceEssAnnual*AGK29+AGW29*BlendedPricePremAnnual*AGK29+AGX29*BlendedPriceEliteAnnual*AGK29</f>
        <v/>
      </c>
      <c r="AHJ29" s="12">
        <f>AGV17*POWER(1-(AnnualChurn*VLOOKUP(AGH29,ChurnSeasonTable,4,FALSE)),1)*BlendedPriceEssAnnual*AGK29+AGV5*POWER(1-(AnnualChurn*VLOOKUP(AGH29,ChurnSeasonTable,4,FALSE)),2)*BlendedPriceEssAnnual*AGK29+AGW17*POWER(1-(AnnualChurn*VLOOKUP(AGH29,ChurnSeasonTable,4,FALSE)),1)*BlendedPricePremAnnual*AGK29+AGW5*POWER(1-(AnnualChurn*VLOOKUP(AGH29,ChurnSeasonTable,4,FALSE)),2)*BlendedPricePremAnnual*AGK29+AGX17*POWER(1-(AnnualChurn*VLOOKUP(AGH29,ChurnSeasonTable,4,FALSE)),1)*BlendedPriceEliteAnnual*AGK29+AGX5*POWER(1-(AnnualChurn*VLOOKUP(AGH29,ChurnSeasonTable,4,FALSE)),2)*BlendedPriceEliteAnnual*AGK29</f>
        <v/>
      </c>
      <c r="AHK29" s="9">
        <f>AHH29+AHI29+AHJ29</f>
        <v/>
      </c>
      <c r="AHL29" s="12">
        <f>SUM(AHK18:AHK29)</f>
        <v/>
      </c>
      <c r="AHM29" s="12">
        <f>OR(AHM28,IF(VATAgentMode,SUM($AHK18:$AHK29)-SUM($AHR18:$AHR29)&gt;=VATThreshold,SUM($AHK18:$AHK29)&gt;=VATThreshold))</f>
        <v/>
      </c>
      <c r="AHN29" s="9">
        <f>IF(AHM29,IF(VATAgentMode,AHK29-((AHK29-AHR29)-(AHK29-AHR29)/(1+VATRate)),AHK29/(1+VATRate)),AHK29)</f>
        <v/>
      </c>
      <c r="AHO29" s="12">
        <f>AHK29-AHN29</f>
        <v/>
      </c>
      <c r="AHP29" s="12">
        <f>IF(AHM29=0,0,IF(AGH29=1,SUMPRODUCT(--(($AGI$5:$AGI29=$AGI29-1)*($AGH$5:$AGH29&gt;=10)*($AGH$5:$AGH29&lt;=12)),$AHO$5:$AHO29),IF(AGH29=4,SUMPRODUCT(--(($AGI$5:$AGI29=$AGI29)*($AGH$5:$AGH29&gt;=1)*($AGH$5:$AGH29&lt;=3)),$AHO$5:$AHO29),IF(AGH29=7,SUMPRODUCT(--(($AGI$5:$AGI29=$AGI29)*($AGH$5:$AGH29&gt;=4)*($AGH$5:$AGH29&lt;=6)),$AHO$5:$AHO29),IF(AGH29=10,SUMPRODUCT(--(($AGI$5:$AGI29=$AGI29)*($AGH$5:$AGH29&gt;=7)*($AGH$5:$AGH29&lt;=9)),$AHO$5:$AHO29),0)))))</f>
        <v/>
      </c>
      <c r="AHQ29" s="12">
        <f>AHQ28+AHO29-AHP29</f>
        <v/>
      </c>
      <c r="AHR29" s="12">
        <f>IF(ProviderDelay&gt;=1,AGY28*BlendedProvPayEss+AGZ28*BlendedProvPayPrem+AHA28*BlendedProvPayElite+AHB28*BlendedProvPayEss+AHC28*BlendedProvPayPrem+AHD28*BlendedProvPayElite,AGY29*BlendedProvPayEss+AGZ29*BlendedProvPayPrem+AHA29*BlendedProvPayElite+AHB29*BlendedProvPayEss+AHC29*BlendedProvPayPrem+AHD29*BlendedProvPayElite)</f>
        <v/>
      </c>
      <c r="AHS29" s="12">
        <f>AHK29*PaymentFee</f>
        <v/>
      </c>
      <c r="AHT29" s="12">
        <f>AHE29*OpsAI</f>
        <v/>
      </c>
      <c r="AHU29" s="12">
        <f>MonthlyFixed</f>
        <v/>
      </c>
      <c r="AHV29" s="12">
        <f>AGO29*ReferralReward</f>
        <v/>
      </c>
      <c r="AHW29" s="12">
        <f>AGM29</f>
        <v/>
      </c>
      <c r="AHX29" s="9">
        <f>AHN29-AHR29-AHS29-AHT29-AHU29-AHV29-AHW29</f>
        <v/>
      </c>
      <c r="AHY29" s="9">
        <f>AHY28+AHK29-(AHR29+AHS29+AHT29+AHU29+AHV29+AHW29+AHP29)</f>
        <v/>
      </c>
      <c r="AHZ29" s="12">
        <f>IF(AHE29&gt;0,AHF29/AHE29,0)</f>
        <v/>
      </c>
      <c r="AIA29" s="11">
        <f>IF(AHE28&gt;0,MAX(0,(AHE28+AGP29-AHE29)/AHE28),0)</f>
        <v/>
      </c>
      <c r="AIC29" s="12" t="n">
        <v>25</v>
      </c>
      <c r="AID29" s="12">
        <f>MOD(AIC29-1+LaunchMonth-1,12)+1</f>
        <v/>
      </c>
      <c r="AIE29" s="12">
        <f>INT((AIC29-1+LaunchMonth-1)/12)+1</f>
        <v/>
      </c>
      <c r="AIF29" s="12">
        <f>VLOOKUP(AID29,SeasonTable,2,FALSE)</f>
        <v/>
      </c>
      <c r="AIG29" s="12">
        <f>(1+InflationRate)^INT((AIC29-1)/12)</f>
        <v/>
      </c>
      <c r="AIH29" s="11">
        <f>MonthlyChurn*VLOOKUP(AID29,ChurnSeasonTable,4,FALSE)</f>
        <v/>
      </c>
      <c r="AII29" s="12">
        <f>MIN(MAX(MktMin19plus,AJG28*MktPct19plus),MAX(0,AJU28-CashBuffer))</f>
        <v/>
      </c>
      <c r="AIJ29" s="12">
        <f>IF(AII29&gt;0,MAX(1,ROUND(AII29/'Sens - CAC &amp; Marketing'!$A$9*AIF29,0)),0)</f>
        <v/>
      </c>
      <c r="AIK29" s="12">
        <f>IF(AIJ29&gt;0,ROUND(AIJ29*ReferralMix/(1-ReferralMix),0),0)</f>
        <v/>
      </c>
      <c r="AIL29" s="12">
        <f>AIJ29+AIK29</f>
        <v/>
      </c>
      <c r="AIM29" s="12">
        <f>ROUND(AIL29*(1-AnnualMix),0)</f>
        <v/>
      </c>
      <c r="AIN29" s="12">
        <f>AIL29-AIM29</f>
        <v/>
      </c>
      <c r="AIO29" s="12">
        <f>ROUND(AIM29*EssentialMix,0)</f>
        <v/>
      </c>
      <c r="AIP29" s="12">
        <f>ROUND(AIM29*PremiumMix,0)</f>
        <v/>
      </c>
      <c r="AIQ29" s="12">
        <f>AIM29-AIO29-AIP29</f>
        <v/>
      </c>
      <c r="AIR29" s="12">
        <f>ROUND(AIN29*EssentialMix,0)</f>
        <v/>
      </c>
      <c r="AIS29" s="12">
        <f>ROUND(AIN29*PremiumMix,0)</f>
        <v/>
      </c>
      <c r="AIT29" s="12">
        <f>AIN29-AIR29-AIS29</f>
        <v/>
      </c>
      <c r="AIU29" s="12">
        <f>AIO29+AIO28+AIO27+MAX(0,AIU28-AIO28-AIO27)*(1-AIH29)</f>
        <v/>
      </c>
      <c r="AIV29" s="12">
        <f>AIP29+AIP28+AIP27+MAX(0,AIV28-AIP28-AIP27)*(1-AIH29)</f>
        <v/>
      </c>
      <c r="AIW29" s="12">
        <f>AIQ29+AIQ28+AIQ27+MAX(0,AIW28-AIQ28-AIQ27)*(1-AIH29)</f>
        <v/>
      </c>
      <c r="AIX29" s="12">
        <f>AIX28+AIR29-AIR17*(AnnualChurn*VLOOKUP(AID29,ChurnSeasonTable,4,FALSE))*POWER(1-(AnnualChurn*VLOOKUP(AID29,ChurnSeasonTable,4,FALSE)),0)+AIR5*(AnnualChurn*VLOOKUP(AID29,ChurnSeasonTable,4,FALSE))*POWER(1-(AnnualChurn*VLOOKUP(AID29,ChurnSeasonTable,4,FALSE)),1)</f>
        <v/>
      </c>
      <c r="AIY29" s="12">
        <f>AIY28+AIS29-AIS17*(AnnualChurn*VLOOKUP(AID29,ChurnSeasonTable,4,FALSE))*POWER(1-(AnnualChurn*VLOOKUP(AID29,ChurnSeasonTable,4,FALSE)),0)+AIS5*(AnnualChurn*VLOOKUP(AID29,ChurnSeasonTable,4,FALSE))*POWER(1-(AnnualChurn*VLOOKUP(AID29,ChurnSeasonTable,4,FALSE)),1)</f>
        <v/>
      </c>
      <c r="AIZ29" s="12">
        <f>AIZ28+AIT29-AIT17*(AnnualChurn*VLOOKUP(AID29,ChurnSeasonTable,4,FALSE))*POWER(1-(AnnualChurn*VLOOKUP(AID29,ChurnSeasonTable,4,FALSE)),0)+AIT5*(AnnualChurn*VLOOKUP(AID29,ChurnSeasonTable,4,FALSE))*POWER(1-(AnnualChurn*VLOOKUP(AID29,ChurnSeasonTable,4,FALSE)),1)</f>
        <v/>
      </c>
      <c r="AJA29" s="12">
        <f>AIU29+AIV29+AIW29+AIX29+AIY29+AIZ29</f>
        <v/>
      </c>
      <c r="AJB29" s="9">
        <f>AIU29*BlendedPriceEssMonthly*AIG29+AIV29*BlendedPricePremMonthly*AIG29+AIW29*BlendedPriceEliteMonthly*AIG29+AIX29*BlendedPriceEssAnnual*AIG29/12+AIY29*BlendedPricePremAnnual*AIG29/12+AIZ29*BlendedPriceEliteAnnual*AIG29/12</f>
        <v/>
      </c>
      <c r="AJC29" s="9">
        <f>AJB29*12</f>
        <v/>
      </c>
      <c r="AJD29" s="12">
        <f>AIU29*BlendedPriceEssMonthly*AIG29+AIV29*BlendedPricePremMonthly*AIG29+AIW29*BlendedPriceEliteMonthly*AIG29</f>
        <v/>
      </c>
      <c r="AJE29" s="12">
        <f>AIR29*BlendedPriceEssAnnual*AIG29+AIS29*BlendedPricePremAnnual*AIG29+AIT29*BlendedPriceEliteAnnual*AIG29</f>
        <v/>
      </c>
      <c r="AJF29" s="12">
        <f>AIR17*POWER(1-(AnnualChurn*VLOOKUP(AID29,ChurnSeasonTable,4,FALSE)),1)*BlendedPriceEssAnnual*AIG29+AIR5*POWER(1-(AnnualChurn*VLOOKUP(AID29,ChurnSeasonTable,4,FALSE)),2)*BlendedPriceEssAnnual*AIG29+AIS17*POWER(1-(AnnualChurn*VLOOKUP(AID29,ChurnSeasonTable,4,FALSE)),1)*BlendedPricePremAnnual*AIG29+AIS5*POWER(1-(AnnualChurn*VLOOKUP(AID29,ChurnSeasonTable,4,FALSE)),2)*BlendedPricePremAnnual*AIG29+AIT17*POWER(1-(AnnualChurn*VLOOKUP(AID29,ChurnSeasonTable,4,FALSE)),1)*BlendedPriceEliteAnnual*AIG29+AIT5*POWER(1-(AnnualChurn*VLOOKUP(AID29,ChurnSeasonTable,4,FALSE)),2)*BlendedPriceEliteAnnual*AIG29</f>
        <v/>
      </c>
      <c r="AJG29" s="9">
        <f>AJD29+AJE29+AJF29</f>
        <v/>
      </c>
      <c r="AJH29" s="12">
        <f>SUM(AJG18:AJG29)</f>
        <v/>
      </c>
      <c r="AJI29" s="12">
        <f>OR(AJI28,IF(VATAgentMode,SUM($AJG18:$AJG29)-SUM($AJN18:$AJN29)&gt;=VATThreshold,SUM($AJG18:$AJG29)&gt;=VATThreshold))</f>
        <v/>
      </c>
      <c r="AJJ29" s="9">
        <f>IF(AJI29,IF(VATAgentMode,AJG29-((AJG29-AJN29)-(AJG29-AJN29)/(1+VATRate)),AJG29/(1+VATRate)),AJG29)</f>
        <v/>
      </c>
      <c r="AJK29" s="12">
        <f>AJG29-AJJ29</f>
        <v/>
      </c>
      <c r="AJL29" s="12">
        <f>IF(AJI29=0,0,IF(AID29=1,SUMPRODUCT(--(($AIE$5:$AIE29=$AIE29-1)*($AID$5:$AID29&gt;=10)*($AID$5:$AID29&lt;=12)),$AJK$5:$AJK29),IF(AID29=4,SUMPRODUCT(--(($AIE$5:$AIE29=$AIE29)*($AID$5:$AID29&gt;=1)*($AID$5:$AID29&lt;=3)),$AJK$5:$AJK29),IF(AID29=7,SUMPRODUCT(--(($AIE$5:$AIE29=$AIE29)*($AID$5:$AID29&gt;=4)*($AID$5:$AID29&lt;=6)),$AJK$5:$AJK29),IF(AID29=10,SUMPRODUCT(--(($AIE$5:$AIE29=$AIE29)*($AID$5:$AID29&gt;=7)*($AID$5:$AID29&lt;=9)),$AJK$5:$AJK29),0)))))</f>
        <v/>
      </c>
      <c r="AJM29" s="12">
        <f>AJM28+AJK29-AJL29</f>
        <v/>
      </c>
      <c r="AJN29" s="12">
        <f>IF(ProviderDelay&gt;=1,AIU28*BlendedProvPayEss+AIV28*BlendedProvPayPrem+AIW28*BlendedProvPayElite+AIX28*BlendedProvPayEss+AIY28*BlendedProvPayPrem+AIZ28*BlendedProvPayElite,AIU29*BlendedProvPayEss+AIV29*BlendedProvPayPrem+AIW29*BlendedProvPayElite+AIX29*BlendedProvPayEss+AIY29*BlendedProvPayPrem+AIZ29*BlendedProvPayElite)</f>
        <v/>
      </c>
      <c r="AJO29" s="12">
        <f>AJG29*PaymentFee</f>
        <v/>
      </c>
      <c r="AJP29" s="12">
        <f>AJA29*OpsAI</f>
        <v/>
      </c>
      <c r="AJQ29" s="12">
        <f>MonthlyFixed</f>
        <v/>
      </c>
      <c r="AJR29" s="12">
        <f>AIK29*ReferralReward</f>
        <v/>
      </c>
      <c r="AJS29" s="12">
        <f>AII29</f>
        <v/>
      </c>
      <c r="AJT29" s="9">
        <f>AJJ29-AJN29-AJO29-AJP29-AJQ29-AJR29-AJS29</f>
        <v/>
      </c>
      <c r="AJU29" s="9">
        <f>AJU28+AJG29-(AJN29+AJO29+AJP29+AJQ29+AJR29+AJS29+AJL29)</f>
        <v/>
      </c>
      <c r="AJV29" s="12">
        <f>IF(AJA29&gt;0,AJB29/AJA29,0)</f>
        <v/>
      </c>
      <c r="AJW29" s="11">
        <f>IF(AJA28&gt;0,MAX(0,(AJA28+AIL29-AJA29)/AJA28),0)</f>
        <v/>
      </c>
      <c r="AJY29" s="12" t="n">
        <v>25</v>
      </c>
      <c r="AJZ29" s="12">
        <f>MOD(AJY29-1+LaunchMonth-1,12)+1</f>
        <v/>
      </c>
      <c r="AKA29" s="12">
        <f>INT((AJY29-1+LaunchMonth-1)/12)+1</f>
        <v/>
      </c>
      <c r="AKB29" s="12">
        <f>VLOOKUP(AJZ29,SeasonTable,2,FALSE)</f>
        <v/>
      </c>
      <c r="AKC29" s="12">
        <f>(1+InflationRate)^INT((AJY29-1)/12)</f>
        <v/>
      </c>
      <c r="AKD29" s="11">
        <f>MonthlyChurn*VLOOKUP(AJZ29,ChurnSeasonTable,4,FALSE)</f>
        <v/>
      </c>
      <c r="AKE29" s="12">
        <f>MIN(MAX(MktMin19plus,ALC28*MktPct19plus),MAX(0,ALQ28-CashBuffer))</f>
        <v/>
      </c>
      <c r="AKF29" s="12">
        <f>IF(AKE29&gt;0,MAX(1,ROUND(AKE29/'Sens - CAC &amp; Marketing'!$A$10*AKB29,0)),0)</f>
        <v/>
      </c>
      <c r="AKG29" s="12">
        <f>IF(AKF29&gt;0,ROUND(AKF29*ReferralMix/(1-ReferralMix),0),0)</f>
        <v/>
      </c>
      <c r="AKH29" s="12">
        <f>AKF29+AKG29</f>
        <v/>
      </c>
      <c r="AKI29" s="12">
        <f>ROUND(AKH29*(1-AnnualMix),0)</f>
        <v/>
      </c>
      <c r="AKJ29" s="12">
        <f>AKH29-AKI29</f>
        <v/>
      </c>
      <c r="AKK29" s="12">
        <f>ROUND(AKI29*EssentialMix,0)</f>
        <v/>
      </c>
      <c r="AKL29" s="12">
        <f>ROUND(AKI29*PremiumMix,0)</f>
        <v/>
      </c>
      <c r="AKM29" s="12">
        <f>AKI29-AKK29-AKL29</f>
        <v/>
      </c>
      <c r="AKN29" s="12">
        <f>ROUND(AKJ29*EssentialMix,0)</f>
        <v/>
      </c>
      <c r="AKO29" s="12">
        <f>ROUND(AKJ29*PremiumMix,0)</f>
        <v/>
      </c>
      <c r="AKP29" s="12">
        <f>AKJ29-AKN29-AKO29</f>
        <v/>
      </c>
      <c r="AKQ29" s="12">
        <f>AKK29+AKK28+AKK27+MAX(0,AKQ28-AKK28-AKK27)*(1-AKD29)</f>
        <v/>
      </c>
      <c r="AKR29" s="12">
        <f>AKL29+AKL28+AKL27+MAX(0,AKR28-AKL28-AKL27)*(1-AKD29)</f>
        <v/>
      </c>
      <c r="AKS29" s="12">
        <f>AKM29+AKM28+AKM27+MAX(0,AKS28-AKM28-AKM27)*(1-AKD29)</f>
        <v/>
      </c>
      <c r="AKT29" s="12">
        <f>AKT28+AKN29-AKN17*(AnnualChurn*VLOOKUP(AJZ29,ChurnSeasonTable,4,FALSE))*POWER(1-(AnnualChurn*VLOOKUP(AJZ29,ChurnSeasonTable,4,FALSE)),0)+AKN5*(AnnualChurn*VLOOKUP(AJZ29,ChurnSeasonTable,4,FALSE))*POWER(1-(AnnualChurn*VLOOKUP(AJZ29,ChurnSeasonTable,4,FALSE)),1)</f>
        <v/>
      </c>
      <c r="AKU29" s="12">
        <f>AKU28+AKO29-AKO17*(AnnualChurn*VLOOKUP(AJZ29,ChurnSeasonTable,4,FALSE))*POWER(1-(AnnualChurn*VLOOKUP(AJZ29,ChurnSeasonTable,4,FALSE)),0)+AKO5*(AnnualChurn*VLOOKUP(AJZ29,ChurnSeasonTable,4,FALSE))*POWER(1-(AnnualChurn*VLOOKUP(AJZ29,ChurnSeasonTable,4,FALSE)),1)</f>
        <v/>
      </c>
      <c r="AKV29" s="12">
        <f>AKV28+AKP29-AKP17*(AnnualChurn*VLOOKUP(AJZ29,ChurnSeasonTable,4,FALSE))*POWER(1-(AnnualChurn*VLOOKUP(AJZ29,ChurnSeasonTable,4,FALSE)),0)+AKP5*(AnnualChurn*VLOOKUP(AJZ29,ChurnSeasonTable,4,FALSE))*POWER(1-(AnnualChurn*VLOOKUP(AJZ29,ChurnSeasonTable,4,FALSE)),1)</f>
        <v/>
      </c>
      <c r="AKW29" s="12">
        <f>AKQ29+AKR29+AKS29+AKT29+AKU29+AKV29</f>
        <v/>
      </c>
      <c r="AKX29" s="9">
        <f>AKQ29*BlendedPriceEssMonthly*AKC29+AKR29*BlendedPricePremMonthly*AKC29+AKS29*BlendedPriceEliteMonthly*AKC29+AKT29*BlendedPriceEssAnnual*AKC29/12+AKU29*BlendedPricePremAnnual*AKC29/12+AKV29*BlendedPriceEliteAnnual*AKC29/12</f>
        <v/>
      </c>
      <c r="AKY29" s="9">
        <f>AKX29*12</f>
        <v/>
      </c>
      <c r="AKZ29" s="12">
        <f>AKQ29*BlendedPriceEssMonthly*AKC29+AKR29*BlendedPricePremMonthly*AKC29+AKS29*BlendedPriceEliteMonthly*AKC29</f>
        <v/>
      </c>
      <c r="ALA29" s="12">
        <f>AKN29*BlendedPriceEssAnnual*AKC29+AKO29*BlendedPricePremAnnual*AKC29+AKP29*BlendedPriceEliteAnnual*AKC29</f>
        <v/>
      </c>
      <c r="ALB29" s="12">
        <f>AKN17*POWER(1-(AnnualChurn*VLOOKUP(AJZ29,ChurnSeasonTable,4,FALSE)),1)*BlendedPriceEssAnnual*AKC29+AKN5*POWER(1-(AnnualChurn*VLOOKUP(AJZ29,ChurnSeasonTable,4,FALSE)),2)*BlendedPriceEssAnnual*AKC29+AKO17*POWER(1-(AnnualChurn*VLOOKUP(AJZ29,ChurnSeasonTable,4,FALSE)),1)*BlendedPricePremAnnual*AKC29+AKO5*POWER(1-(AnnualChurn*VLOOKUP(AJZ29,ChurnSeasonTable,4,FALSE)),2)*BlendedPricePremAnnual*AKC29+AKP17*POWER(1-(AnnualChurn*VLOOKUP(AJZ29,ChurnSeasonTable,4,FALSE)),1)*BlendedPriceEliteAnnual*AKC29+AKP5*POWER(1-(AnnualChurn*VLOOKUP(AJZ29,ChurnSeasonTable,4,FALSE)),2)*BlendedPriceEliteAnnual*AKC29</f>
        <v/>
      </c>
      <c r="ALC29" s="9">
        <f>AKZ29+ALA29+ALB29</f>
        <v/>
      </c>
      <c r="ALD29" s="12">
        <f>SUM(ALC18:ALC29)</f>
        <v/>
      </c>
      <c r="ALE29" s="12">
        <f>OR(ALE28,IF(VATAgentMode,SUM($ALC18:$ALC29)-SUM($ALJ18:$ALJ29)&gt;=VATThreshold,SUM($ALC18:$ALC29)&gt;=VATThreshold))</f>
        <v/>
      </c>
      <c r="ALF29" s="9">
        <f>IF(ALE29,IF(VATAgentMode,ALC29-((ALC29-ALJ29)-(ALC29-ALJ29)/(1+VATRate)),ALC29/(1+VATRate)),ALC29)</f>
        <v/>
      </c>
      <c r="ALG29" s="12">
        <f>ALC29-ALF29</f>
        <v/>
      </c>
      <c r="ALH29" s="12">
        <f>IF(ALE29=0,0,IF(AJZ29=1,SUMPRODUCT(--(($AKA$5:$AKA29=$AKA29-1)*($AJZ$5:$AJZ29&gt;=10)*($AJZ$5:$AJZ29&lt;=12)),$ALG$5:$ALG29),IF(AJZ29=4,SUMPRODUCT(--(($AKA$5:$AKA29=$AKA29)*($AJZ$5:$AJZ29&gt;=1)*($AJZ$5:$AJZ29&lt;=3)),$ALG$5:$ALG29),IF(AJZ29=7,SUMPRODUCT(--(($AKA$5:$AKA29=$AKA29)*($AJZ$5:$AJZ29&gt;=4)*($AJZ$5:$AJZ29&lt;=6)),$ALG$5:$ALG29),IF(AJZ29=10,SUMPRODUCT(--(($AKA$5:$AKA29=$AKA29)*($AJZ$5:$AJZ29&gt;=7)*($AJZ$5:$AJZ29&lt;=9)),$ALG$5:$ALG29),0)))))</f>
        <v/>
      </c>
      <c r="ALI29" s="12">
        <f>ALI28+ALG29-ALH29</f>
        <v/>
      </c>
      <c r="ALJ29" s="12">
        <f>IF(ProviderDelay&gt;=1,AKQ28*BlendedProvPayEss+AKR28*BlendedProvPayPrem+AKS28*BlendedProvPayElite+AKT28*BlendedProvPayEss+AKU28*BlendedProvPayPrem+AKV28*BlendedProvPayElite,AKQ29*BlendedProvPayEss+AKR29*BlendedProvPayPrem+AKS29*BlendedProvPayElite+AKT29*BlendedProvPayEss+AKU29*BlendedProvPayPrem+AKV29*BlendedProvPayElite)</f>
        <v/>
      </c>
      <c r="ALK29" s="12">
        <f>ALC29*PaymentFee</f>
        <v/>
      </c>
      <c r="ALL29" s="12">
        <f>AKW29*OpsAI</f>
        <v/>
      </c>
      <c r="ALM29" s="12">
        <f>MonthlyFixed</f>
        <v/>
      </c>
      <c r="ALN29" s="12">
        <f>AKG29*ReferralReward</f>
        <v/>
      </c>
      <c r="ALO29" s="12">
        <f>AKE29</f>
        <v/>
      </c>
      <c r="ALP29" s="9">
        <f>ALF29-ALJ29-ALK29-ALL29-ALM29-ALN29-ALO29</f>
        <v/>
      </c>
      <c r="ALQ29" s="9">
        <f>ALQ28+ALC29-(ALJ29+ALK29+ALL29+ALM29+ALN29+ALO29+ALH29)</f>
        <v/>
      </c>
      <c r="ALR29" s="12">
        <f>IF(AKW29&gt;0,AKX29/AKW29,0)</f>
        <v/>
      </c>
      <c r="ALS29" s="11">
        <f>IF(AKW28&gt;0,MAX(0,(AKW28+AKH29-AKW29)/AKW28),0)</f>
        <v/>
      </c>
      <c r="ALU29" s="12" t="n">
        <v>25</v>
      </c>
      <c r="ALV29" s="12">
        <f>MOD(ALU29-1+LaunchMonth-1,12)+1</f>
        <v/>
      </c>
      <c r="ALW29" s="12">
        <f>INT((ALU29-1+LaunchMonth-1)/12)+1</f>
        <v/>
      </c>
      <c r="ALX29" s="12">
        <f>VLOOKUP(ALV29,SeasonTable,2,FALSE)</f>
        <v/>
      </c>
      <c r="ALY29" s="12">
        <f>(1+InflationRate)^INT((ALU29-1)/12)</f>
        <v/>
      </c>
      <c r="ALZ29" s="11">
        <f>MonthlyChurn*VLOOKUP(ALV29,ChurnSeasonTable,4,FALSE)</f>
        <v/>
      </c>
      <c r="AMA29" s="12">
        <f>MIN(MAX(MktMin19plus,AMY28*MktPct19plus),MAX(0,ANM28-CashBuffer))</f>
        <v/>
      </c>
      <c r="AMB29" s="12">
        <f>IF(AMA29&gt;0,MAX(1,ROUND(AMA29/'Sens - CAC &amp; Marketing'!$A$11*ALX29,0)),0)</f>
        <v/>
      </c>
      <c r="AMC29" s="12">
        <f>IF(AMB29&gt;0,ROUND(AMB29*ReferralMix/(1-ReferralMix),0),0)</f>
        <v/>
      </c>
      <c r="AMD29" s="12">
        <f>AMB29+AMC29</f>
        <v/>
      </c>
      <c r="AME29" s="12">
        <f>ROUND(AMD29*(1-AnnualMix),0)</f>
        <v/>
      </c>
      <c r="AMF29" s="12">
        <f>AMD29-AME29</f>
        <v/>
      </c>
      <c r="AMG29" s="12">
        <f>ROUND(AME29*EssentialMix,0)</f>
        <v/>
      </c>
      <c r="AMH29" s="12">
        <f>ROUND(AME29*PremiumMix,0)</f>
        <v/>
      </c>
      <c r="AMI29" s="12">
        <f>AME29-AMG29-AMH29</f>
        <v/>
      </c>
      <c r="AMJ29" s="12">
        <f>ROUND(AMF29*EssentialMix,0)</f>
        <v/>
      </c>
      <c r="AMK29" s="12">
        <f>ROUND(AMF29*PremiumMix,0)</f>
        <v/>
      </c>
      <c r="AML29" s="12">
        <f>AMF29-AMJ29-AMK29</f>
        <v/>
      </c>
      <c r="AMM29" s="12">
        <f>AMG29+AMG28+AMG27+MAX(0,AMM28-AMG28-AMG27)*(1-ALZ29)</f>
        <v/>
      </c>
      <c r="AMN29" s="12">
        <f>AMH29+AMH28+AMH27+MAX(0,AMN28-AMH28-AMH27)*(1-ALZ29)</f>
        <v/>
      </c>
      <c r="AMO29" s="12">
        <f>AMI29+AMI28+AMI27+MAX(0,AMO28-AMI28-AMI27)*(1-ALZ29)</f>
        <v/>
      </c>
      <c r="AMP29" s="12">
        <f>AMP28+AMJ29-AMJ17*(AnnualChurn*VLOOKUP(ALV29,ChurnSeasonTable,4,FALSE))*POWER(1-(AnnualChurn*VLOOKUP(ALV29,ChurnSeasonTable,4,FALSE)),0)+AMJ5*(AnnualChurn*VLOOKUP(ALV29,ChurnSeasonTable,4,FALSE))*POWER(1-(AnnualChurn*VLOOKUP(ALV29,ChurnSeasonTable,4,FALSE)),1)</f>
        <v/>
      </c>
      <c r="AMQ29" s="12">
        <f>AMQ28+AMK29-AMK17*(AnnualChurn*VLOOKUP(ALV29,ChurnSeasonTable,4,FALSE))*POWER(1-(AnnualChurn*VLOOKUP(ALV29,ChurnSeasonTable,4,FALSE)),0)+AMK5*(AnnualChurn*VLOOKUP(ALV29,ChurnSeasonTable,4,FALSE))*POWER(1-(AnnualChurn*VLOOKUP(ALV29,ChurnSeasonTable,4,FALSE)),1)</f>
        <v/>
      </c>
      <c r="AMR29" s="12">
        <f>AMR28+AML29-AML17*(AnnualChurn*VLOOKUP(ALV29,ChurnSeasonTable,4,FALSE))*POWER(1-(AnnualChurn*VLOOKUP(ALV29,ChurnSeasonTable,4,FALSE)),0)+AML5*(AnnualChurn*VLOOKUP(ALV29,ChurnSeasonTable,4,FALSE))*POWER(1-(AnnualChurn*VLOOKUP(ALV29,ChurnSeasonTable,4,FALSE)),1)</f>
        <v/>
      </c>
      <c r="AMS29" s="12">
        <f>AMM29+AMN29+AMO29+AMP29+AMQ29+AMR29</f>
        <v/>
      </c>
      <c r="AMT29" s="9">
        <f>AMM29*BlendedPriceEssMonthly*ALY29+AMN29*BlendedPricePremMonthly*ALY29+AMO29*BlendedPriceEliteMonthly*ALY29+AMP29*BlendedPriceEssAnnual*ALY29/12+AMQ29*BlendedPricePremAnnual*ALY29/12+AMR29*BlendedPriceEliteAnnual*ALY29/12</f>
        <v/>
      </c>
      <c r="AMU29" s="9">
        <f>AMT29*12</f>
        <v/>
      </c>
      <c r="AMV29" s="12">
        <f>AMM29*BlendedPriceEssMonthly*ALY29+AMN29*BlendedPricePremMonthly*ALY29+AMO29*BlendedPriceEliteMonthly*ALY29</f>
        <v/>
      </c>
      <c r="AMW29" s="12">
        <f>AMJ29*BlendedPriceEssAnnual*ALY29+AMK29*BlendedPricePremAnnual*ALY29+AML29*BlendedPriceEliteAnnual*ALY29</f>
        <v/>
      </c>
      <c r="AMX29" s="12">
        <f>AMJ17*POWER(1-(AnnualChurn*VLOOKUP(ALV29,ChurnSeasonTable,4,FALSE)),1)*BlendedPriceEssAnnual*ALY29+AMJ5*POWER(1-(AnnualChurn*VLOOKUP(ALV29,ChurnSeasonTable,4,FALSE)),2)*BlendedPriceEssAnnual*ALY29+AMK17*POWER(1-(AnnualChurn*VLOOKUP(ALV29,ChurnSeasonTable,4,FALSE)),1)*BlendedPricePremAnnual*ALY29+AMK5*POWER(1-(AnnualChurn*VLOOKUP(ALV29,ChurnSeasonTable,4,FALSE)),2)*BlendedPricePremAnnual*ALY29+AML17*POWER(1-(AnnualChurn*VLOOKUP(ALV29,ChurnSeasonTable,4,FALSE)),1)*BlendedPriceEliteAnnual*ALY29+AML5*POWER(1-(AnnualChurn*VLOOKUP(ALV29,ChurnSeasonTable,4,FALSE)),2)*BlendedPriceEliteAnnual*ALY29</f>
        <v/>
      </c>
      <c r="AMY29" s="9">
        <f>AMV29+AMW29+AMX29</f>
        <v/>
      </c>
      <c r="AMZ29" s="12">
        <f>SUM(AMY18:AMY29)</f>
        <v/>
      </c>
      <c r="ANA29" s="12">
        <f>OR(ANA28,IF(VATAgentMode,SUM($AMY18:$AMY29)-SUM($ANF18:$ANF29)&gt;=VATThreshold,SUM($AMY18:$AMY29)&gt;=VATThreshold))</f>
        <v/>
      </c>
      <c r="ANB29" s="9">
        <f>IF(ANA29,IF(VATAgentMode,AMY29-((AMY29-ANF29)-(AMY29-ANF29)/(1+VATRate)),AMY29/(1+VATRate)),AMY29)</f>
        <v/>
      </c>
      <c r="ANC29" s="12">
        <f>AMY29-ANB29</f>
        <v/>
      </c>
      <c r="AND29" s="12">
        <f>IF(ANA29=0,0,IF(ALV29=1,SUMPRODUCT(--(($ALW$5:$ALW29=$ALW29-1)*($ALV$5:$ALV29&gt;=10)*($ALV$5:$ALV29&lt;=12)),$ANC$5:$ANC29),IF(ALV29=4,SUMPRODUCT(--(($ALW$5:$ALW29=$ALW29)*($ALV$5:$ALV29&gt;=1)*($ALV$5:$ALV29&lt;=3)),$ANC$5:$ANC29),IF(ALV29=7,SUMPRODUCT(--(($ALW$5:$ALW29=$ALW29)*($ALV$5:$ALV29&gt;=4)*($ALV$5:$ALV29&lt;=6)),$ANC$5:$ANC29),IF(ALV29=10,SUMPRODUCT(--(($ALW$5:$ALW29=$ALW29)*($ALV$5:$ALV29&gt;=7)*($ALV$5:$ALV29&lt;=9)),$ANC$5:$ANC29),0)))))</f>
        <v/>
      </c>
      <c r="ANE29" s="12">
        <f>ANE28+ANC29-AND29</f>
        <v/>
      </c>
      <c r="ANF29" s="12">
        <f>IF(ProviderDelay&gt;=1,AMM28*BlendedProvPayEss+AMN28*BlendedProvPayPrem+AMO28*BlendedProvPayElite+AMP28*BlendedProvPayEss+AMQ28*BlendedProvPayPrem+AMR28*BlendedProvPayElite,AMM29*BlendedProvPayEss+AMN29*BlendedProvPayPrem+AMO29*BlendedProvPayElite+AMP29*BlendedProvPayEss+AMQ29*BlendedProvPayPrem+AMR29*BlendedProvPayElite)</f>
        <v/>
      </c>
      <c r="ANG29" s="12">
        <f>AMY29*PaymentFee</f>
        <v/>
      </c>
      <c r="ANH29" s="12">
        <f>AMS29*OpsAI</f>
        <v/>
      </c>
      <c r="ANI29" s="12">
        <f>MonthlyFixed</f>
        <v/>
      </c>
      <c r="ANJ29" s="12">
        <f>AMC29*ReferralReward</f>
        <v/>
      </c>
      <c r="ANK29" s="12">
        <f>AMA29</f>
        <v/>
      </c>
      <c r="ANL29" s="9">
        <f>ANB29-ANF29-ANG29-ANH29-ANI29-ANJ29-ANK29</f>
        <v/>
      </c>
      <c r="ANM29" s="9">
        <f>ANM28+AMY29-(ANF29+ANG29+ANH29+ANI29+ANJ29+ANK29+AND29)</f>
        <v/>
      </c>
      <c r="ANN29" s="12">
        <f>IF(AMS29&gt;0,AMT29/AMS29,0)</f>
        <v/>
      </c>
      <c r="ANO29" s="11">
        <f>IF(AMS28&gt;0,MAX(0,(AMS28+AMD29-AMS29)/AMS28),0)</f>
        <v/>
      </c>
      <c r="ANQ29" s="12" t="n">
        <v>25</v>
      </c>
      <c r="ANR29" s="12">
        <f>MOD(ANQ29-1+LaunchMonth-1,12)+1</f>
        <v/>
      </c>
      <c r="ANS29" s="12">
        <f>INT((ANQ29-1+LaunchMonth-1)/12)+1</f>
        <v/>
      </c>
      <c r="ANT29" s="12">
        <f>VLOOKUP(ANR29,SeasonTable,2,FALSE)</f>
        <v/>
      </c>
      <c r="ANU29" s="12">
        <f>(1+InflationRate)^INT((ANQ29-1)/12)</f>
        <v/>
      </c>
      <c r="ANV29" s="11">
        <f>MonthlyChurn*VLOOKUP(ANR29,ChurnSeasonTable,4,FALSE)</f>
        <v/>
      </c>
      <c r="ANW29" s="12">
        <f>MIN(MAX(MktMin19plus,AOU28*MktPct19plus),MAX(0,API28-CashBuffer))</f>
        <v/>
      </c>
      <c r="ANX29" s="12">
        <f>IF(ANW29&gt;0,MAX(1,ROUND(ANW29/'Sens - CAC &amp; Marketing'!$A$12*ANT29,0)),0)</f>
        <v/>
      </c>
      <c r="ANY29" s="12">
        <f>IF(ANX29&gt;0,ROUND(ANX29*ReferralMix/(1-ReferralMix),0),0)</f>
        <v/>
      </c>
      <c r="ANZ29" s="12">
        <f>ANX29+ANY29</f>
        <v/>
      </c>
      <c r="AOA29" s="12">
        <f>ROUND(ANZ29*(1-AnnualMix),0)</f>
        <v/>
      </c>
      <c r="AOB29" s="12">
        <f>ANZ29-AOA29</f>
        <v/>
      </c>
      <c r="AOC29" s="12">
        <f>ROUND(AOA29*EssentialMix,0)</f>
        <v/>
      </c>
      <c r="AOD29" s="12">
        <f>ROUND(AOA29*PremiumMix,0)</f>
        <v/>
      </c>
      <c r="AOE29" s="12">
        <f>AOA29-AOC29-AOD29</f>
        <v/>
      </c>
      <c r="AOF29" s="12">
        <f>ROUND(AOB29*EssentialMix,0)</f>
        <v/>
      </c>
      <c r="AOG29" s="12">
        <f>ROUND(AOB29*PremiumMix,0)</f>
        <v/>
      </c>
      <c r="AOH29" s="12">
        <f>AOB29-AOF29-AOG29</f>
        <v/>
      </c>
      <c r="AOI29" s="12">
        <f>AOC29+AOC28+AOC27+MAX(0,AOI28-AOC28-AOC27)*(1-ANV29)</f>
        <v/>
      </c>
      <c r="AOJ29" s="12">
        <f>AOD29+AOD28+AOD27+MAX(0,AOJ28-AOD28-AOD27)*(1-ANV29)</f>
        <v/>
      </c>
      <c r="AOK29" s="12">
        <f>AOE29+AOE28+AOE27+MAX(0,AOK28-AOE28-AOE27)*(1-ANV29)</f>
        <v/>
      </c>
      <c r="AOL29" s="12">
        <f>AOL28+AOF29-AOF17*(AnnualChurn*VLOOKUP(ANR29,ChurnSeasonTable,4,FALSE))*POWER(1-(AnnualChurn*VLOOKUP(ANR29,ChurnSeasonTable,4,FALSE)),0)+AOF5*(AnnualChurn*VLOOKUP(ANR29,ChurnSeasonTable,4,FALSE))*POWER(1-(AnnualChurn*VLOOKUP(ANR29,ChurnSeasonTable,4,FALSE)),1)</f>
        <v/>
      </c>
      <c r="AOM29" s="12">
        <f>AOM28+AOG29-AOG17*(AnnualChurn*VLOOKUP(ANR29,ChurnSeasonTable,4,FALSE))*POWER(1-(AnnualChurn*VLOOKUP(ANR29,ChurnSeasonTable,4,FALSE)),0)+AOG5*(AnnualChurn*VLOOKUP(ANR29,ChurnSeasonTable,4,FALSE))*POWER(1-(AnnualChurn*VLOOKUP(ANR29,ChurnSeasonTable,4,FALSE)),1)</f>
        <v/>
      </c>
      <c r="AON29" s="12">
        <f>AON28+AOH29-AOH17*(AnnualChurn*VLOOKUP(ANR29,ChurnSeasonTable,4,FALSE))*POWER(1-(AnnualChurn*VLOOKUP(ANR29,ChurnSeasonTable,4,FALSE)),0)+AOH5*(AnnualChurn*VLOOKUP(ANR29,ChurnSeasonTable,4,FALSE))*POWER(1-(AnnualChurn*VLOOKUP(ANR29,ChurnSeasonTable,4,FALSE)),1)</f>
        <v/>
      </c>
      <c r="AOO29" s="12">
        <f>AOI29+AOJ29+AOK29+AOL29+AOM29+AON29</f>
        <v/>
      </c>
      <c r="AOP29" s="9">
        <f>AOI29*BlendedPriceEssMonthly*ANU29+AOJ29*BlendedPricePremMonthly*ANU29+AOK29*BlendedPriceEliteMonthly*ANU29+AOL29*BlendedPriceEssAnnual*ANU29/12+AOM29*BlendedPricePremAnnual*ANU29/12+AON29*BlendedPriceEliteAnnual*ANU29/12</f>
        <v/>
      </c>
      <c r="AOQ29" s="9">
        <f>AOP29*12</f>
        <v/>
      </c>
      <c r="AOR29" s="12">
        <f>AOI29*BlendedPriceEssMonthly*ANU29+AOJ29*BlendedPricePremMonthly*ANU29+AOK29*BlendedPriceEliteMonthly*ANU29</f>
        <v/>
      </c>
      <c r="AOS29" s="12">
        <f>AOF29*BlendedPriceEssAnnual*ANU29+AOG29*BlendedPricePremAnnual*ANU29+AOH29*BlendedPriceEliteAnnual*ANU29</f>
        <v/>
      </c>
      <c r="AOT29" s="12">
        <f>AOF17*POWER(1-(AnnualChurn*VLOOKUP(ANR29,ChurnSeasonTable,4,FALSE)),1)*BlendedPriceEssAnnual*ANU29+AOF5*POWER(1-(AnnualChurn*VLOOKUP(ANR29,ChurnSeasonTable,4,FALSE)),2)*BlendedPriceEssAnnual*ANU29+AOG17*POWER(1-(AnnualChurn*VLOOKUP(ANR29,ChurnSeasonTable,4,FALSE)),1)*BlendedPricePremAnnual*ANU29+AOG5*POWER(1-(AnnualChurn*VLOOKUP(ANR29,ChurnSeasonTable,4,FALSE)),2)*BlendedPricePremAnnual*ANU29+AOH17*POWER(1-(AnnualChurn*VLOOKUP(ANR29,ChurnSeasonTable,4,FALSE)),1)*BlendedPriceEliteAnnual*ANU29+AOH5*POWER(1-(AnnualChurn*VLOOKUP(ANR29,ChurnSeasonTable,4,FALSE)),2)*BlendedPriceEliteAnnual*ANU29</f>
        <v/>
      </c>
      <c r="AOU29" s="9">
        <f>AOR29+AOS29+AOT29</f>
        <v/>
      </c>
      <c r="AOV29" s="12">
        <f>SUM(AOU18:AOU29)</f>
        <v/>
      </c>
      <c r="AOW29" s="12">
        <f>OR(AOW28,IF(VATAgentMode,SUM($AOU18:$AOU29)-SUM($APB18:$APB29)&gt;=VATThreshold,SUM($AOU18:$AOU29)&gt;=VATThreshold))</f>
        <v/>
      </c>
      <c r="AOX29" s="9">
        <f>IF(AOW29,IF(VATAgentMode,AOU29-((AOU29-APB29)-(AOU29-APB29)/(1+VATRate)),AOU29/(1+VATRate)),AOU29)</f>
        <v/>
      </c>
      <c r="AOY29" s="12">
        <f>AOU29-AOX29</f>
        <v/>
      </c>
      <c r="AOZ29" s="12">
        <f>IF(AOW29=0,0,IF(ANR29=1,SUMPRODUCT(--(($ANS$5:$ANS29=$ANS29-1)*($ANR$5:$ANR29&gt;=10)*($ANR$5:$ANR29&lt;=12)),$AOY$5:$AOY29),IF(ANR29=4,SUMPRODUCT(--(($ANS$5:$ANS29=$ANS29)*($ANR$5:$ANR29&gt;=1)*($ANR$5:$ANR29&lt;=3)),$AOY$5:$AOY29),IF(ANR29=7,SUMPRODUCT(--(($ANS$5:$ANS29=$ANS29)*($ANR$5:$ANR29&gt;=4)*($ANR$5:$ANR29&lt;=6)),$AOY$5:$AOY29),IF(ANR29=10,SUMPRODUCT(--(($ANS$5:$ANS29=$ANS29)*($ANR$5:$ANR29&gt;=7)*($ANR$5:$ANR29&lt;=9)),$AOY$5:$AOY29),0)))))</f>
        <v/>
      </c>
      <c r="APA29" s="12">
        <f>APA28+AOY29-AOZ29</f>
        <v/>
      </c>
      <c r="APB29" s="12">
        <f>IF(ProviderDelay&gt;=1,AOI28*BlendedProvPayEss+AOJ28*BlendedProvPayPrem+AOK28*BlendedProvPayElite+AOL28*BlendedProvPayEss+AOM28*BlendedProvPayPrem+AON28*BlendedProvPayElite,AOI29*BlendedProvPayEss+AOJ29*BlendedProvPayPrem+AOK29*BlendedProvPayElite+AOL29*BlendedProvPayEss+AOM29*BlendedProvPayPrem+AON29*BlendedProvPayElite)</f>
        <v/>
      </c>
      <c r="APC29" s="12">
        <f>AOU29*PaymentFee</f>
        <v/>
      </c>
      <c r="APD29" s="12">
        <f>AOO29*OpsAI</f>
        <v/>
      </c>
      <c r="APE29" s="12">
        <f>MonthlyFixed</f>
        <v/>
      </c>
      <c r="APF29" s="12">
        <f>ANY29*ReferralReward</f>
        <v/>
      </c>
      <c r="APG29" s="12">
        <f>ANW29</f>
        <v/>
      </c>
      <c r="APH29" s="9">
        <f>AOX29-APB29-APC29-APD29-APE29-APF29-APG29</f>
        <v/>
      </c>
      <c r="API29" s="9">
        <f>API28+AOU29-(APB29+APC29+APD29+APE29+APF29+APG29+AOZ29)</f>
        <v/>
      </c>
      <c r="APJ29" s="12">
        <f>IF(AOO29&gt;0,AOP29/AOO29,0)</f>
        <v/>
      </c>
      <c r="APK29" s="11">
        <f>IF(AOO28&gt;0,MAX(0,(AOO28+ANZ29-AOO29)/AOO28),0)</f>
        <v/>
      </c>
      <c r="APM29" s="12" t="n">
        <v>25</v>
      </c>
      <c r="APN29" s="12">
        <f>MOD(APM29-1+LaunchMonth-1,12)+1</f>
        <v/>
      </c>
      <c r="APO29" s="12">
        <f>INT((APM29-1+LaunchMonth-1)/12)+1</f>
        <v/>
      </c>
      <c r="APP29" s="12">
        <f>VLOOKUP(APN29,SeasonTable,2,FALSE)</f>
        <v/>
      </c>
      <c r="APQ29" s="12">
        <f>(1+InflationRate)^INT((APM29-1)/12)</f>
        <v/>
      </c>
      <c r="APR29" s="11">
        <f>MonthlyChurn*VLOOKUP(APN29,ChurnSeasonTable,4,FALSE)</f>
        <v/>
      </c>
      <c r="APS29" s="12">
        <f>MIN(MAX(MktMin19plus,AQQ28*MktPct19plus),MAX(0,ARE28-CashBuffer))</f>
        <v/>
      </c>
      <c r="APT29" s="12">
        <f>IF(APS29&gt;0,MAX(1,ROUND(APS29/'Sens - CAC &amp; Marketing'!$A$13*APP29,0)),0)</f>
        <v/>
      </c>
      <c r="APU29" s="12">
        <f>IF(APT29&gt;0,ROUND(APT29*ReferralMix/(1-ReferralMix),0),0)</f>
        <v/>
      </c>
      <c r="APV29" s="12">
        <f>APT29+APU29</f>
        <v/>
      </c>
      <c r="APW29" s="12">
        <f>ROUND(APV29*(1-AnnualMix),0)</f>
        <v/>
      </c>
      <c r="APX29" s="12">
        <f>APV29-APW29</f>
        <v/>
      </c>
      <c r="APY29" s="12">
        <f>ROUND(APW29*EssentialMix,0)</f>
        <v/>
      </c>
      <c r="APZ29" s="12">
        <f>ROUND(APW29*PremiumMix,0)</f>
        <v/>
      </c>
      <c r="AQA29" s="12">
        <f>APW29-APY29-APZ29</f>
        <v/>
      </c>
      <c r="AQB29" s="12">
        <f>ROUND(APX29*EssentialMix,0)</f>
        <v/>
      </c>
      <c r="AQC29" s="12">
        <f>ROUND(APX29*PremiumMix,0)</f>
        <v/>
      </c>
      <c r="AQD29" s="12">
        <f>APX29-AQB29-AQC29</f>
        <v/>
      </c>
      <c r="AQE29" s="12">
        <f>APY29+APY28+APY27+MAX(0,AQE28-APY28-APY27)*(1-APR29)</f>
        <v/>
      </c>
      <c r="AQF29" s="12">
        <f>APZ29+APZ28+APZ27+MAX(0,AQF28-APZ28-APZ27)*(1-APR29)</f>
        <v/>
      </c>
      <c r="AQG29" s="12">
        <f>AQA29+AQA28+AQA27+MAX(0,AQG28-AQA28-AQA27)*(1-APR29)</f>
        <v/>
      </c>
      <c r="AQH29" s="12">
        <f>AQH28+AQB29-AQB17*(AnnualChurn*VLOOKUP(APN29,ChurnSeasonTable,4,FALSE))*POWER(1-(AnnualChurn*VLOOKUP(APN29,ChurnSeasonTable,4,FALSE)),0)+AQB5*(AnnualChurn*VLOOKUP(APN29,ChurnSeasonTable,4,FALSE))*POWER(1-(AnnualChurn*VLOOKUP(APN29,ChurnSeasonTable,4,FALSE)),1)</f>
        <v/>
      </c>
      <c r="AQI29" s="12">
        <f>AQI28+AQC29-AQC17*(AnnualChurn*VLOOKUP(APN29,ChurnSeasonTable,4,FALSE))*POWER(1-(AnnualChurn*VLOOKUP(APN29,ChurnSeasonTable,4,FALSE)),0)+AQC5*(AnnualChurn*VLOOKUP(APN29,ChurnSeasonTable,4,FALSE))*POWER(1-(AnnualChurn*VLOOKUP(APN29,ChurnSeasonTable,4,FALSE)),1)</f>
        <v/>
      </c>
      <c r="AQJ29" s="12">
        <f>AQJ28+AQD29-AQD17*(AnnualChurn*VLOOKUP(APN29,ChurnSeasonTable,4,FALSE))*POWER(1-(AnnualChurn*VLOOKUP(APN29,ChurnSeasonTable,4,FALSE)),0)+AQD5*(AnnualChurn*VLOOKUP(APN29,ChurnSeasonTable,4,FALSE))*POWER(1-(AnnualChurn*VLOOKUP(APN29,ChurnSeasonTable,4,FALSE)),1)</f>
        <v/>
      </c>
      <c r="AQK29" s="12">
        <f>AQE29+AQF29+AQG29+AQH29+AQI29+AQJ29</f>
        <v/>
      </c>
      <c r="AQL29" s="9">
        <f>AQE29*BlendedPriceEssMonthly*APQ29+AQF29*BlendedPricePremMonthly*APQ29+AQG29*BlendedPriceEliteMonthly*APQ29+AQH29*BlendedPriceEssAnnual*APQ29/12+AQI29*BlendedPricePremAnnual*APQ29/12+AQJ29*BlendedPriceEliteAnnual*APQ29/12</f>
        <v/>
      </c>
      <c r="AQM29" s="9">
        <f>AQL29*12</f>
        <v/>
      </c>
      <c r="AQN29" s="12">
        <f>AQE29*BlendedPriceEssMonthly*APQ29+AQF29*BlendedPricePremMonthly*APQ29+AQG29*BlendedPriceEliteMonthly*APQ29</f>
        <v/>
      </c>
      <c r="AQO29" s="12">
        <f>AQB29*BlendedPriceEssAnnual*APQ29+AQC29*BlendedPricePremAnnual*APQ29+AQD29*BlendedPriceEliteAnnual*APQ29</f>
        <v/>
      </c>
      <c r="AQP29" s="12">
        <f>AQB17*POWER(1-(AnnualChurn*VLOOKUP(APN29,ChurnSeasonTable,4,FALSE)),1)*BlendedPriceEssAnnual*APQ29+AQB5*POWER(1-(AnnualChurn*VLOOKUP(APN29,ChurnSeasonTable,4,FALSE)),2)*BlendedPriceEssAnnual*APQ29+AQC17*POWER(1-(AnnualChurn*VLOOKUP(APN29,ChurnSeasonTable,4,FALSE)),1)*BlendedPricePremAnnual*APQ29+AQC5*POWER(1-(AnnualChurn*VLOOKUP(APN29,ChurnSeasonTable,4,FALSE)),2)*BlendedPricePremAnnual*APQ29+AQD17*POWER(1-(AnnualChurn*VLOOKUP(APN29,ChurnSeasonTable,4,FALSE)),1)*BlendedPriceEliteAnnual*APQ29+AQD5*POWER(1-(AnnualChurn*VLOOKUP(APN29,ChurnSeasonTable,4,FALSE)),2)*BlendedPriceEliteAnnual*APQ29</f>
        <v/>
      </c>
      <c r="AQQ29" s="9">
        <f>AQN29+AQO29+AQP29</f>
        <v/>
      </c>
      <c r="AQR29" s="12">
        <f>SUM(AQQ18:AQQ29)</f>
        <v/>
      </c>
      <c r="AQS29" s="12">
        <f>OR(AQS28,IF(VATAgentMode,SUM($AQQ18:$AQQ29)-SUM($AQX18:$AQX29)&gt;=VATThreshold,SUM($AQQ18:$AQQ29)&gt;=VATThreshold))</f>
        <v/>
      </c>
      <c r="AQT29" s="9">
        <f>IF(AQS29,IF(VATAgentMode,AQQ29-((AQQ29-AQX29)-(AQQ29-AQX29)/(1+VATRate)),AQQ29/(1+VATRate)),AQQ29)</f>
        <v/>
      </c>
      <c r="AQU29" s="12">
        <f>AQQ29-AQT29</f>
        <v/>
      </c>
      <c r="AQV29" s="12">
        <f>IF(AQS29=0,0,IF(APN29=1,SUMPRODUCT(--(($APO$5:$APO29=$APO29-1)*($APN$5:$APN29&gt;=10)*($APN$5:$APN29&lt;=12)),$AQU$5:$AQU29),IF(APN29=4,SUMPRODUCT(--(($APO$5:$APO29=$APO29)*($APN$5:$APN29&gt;=1)*($APN$5:$APN29&lt;=3)),$AQU$5:$AQU29),IF(APN29=7,SUMPRODUCT(--(($APO$5:$APO29=$APO29)*($APN$5:$APN29&gt;=4)*($APN$5:$APN29&lt;=6)),$AQU$5:$AQU29),IF(APN29=10,SUMPRODUCT(--(($APO$5:$APO29=$APO29)*($APN$5:$APN29&gt;=7)*($APN$5:$APN29&lt;=9)),$AQU$5:$AQU29),0)))))</f>
        <v/>
      </c>
      <c r="AQW29" s="12">
        <f>AQW28+AQU29-AQV29</f>
        <v/>
      </c>
      <c r="AQX29" s="12">
        <f>IF(ProviderDelay&gt;=1,AQE28*BlendedProvPayEss+AQF28*BlendedProvPayPrem+AQG28*BlendedProvPayElite+AQH28*BlendedProvPayEss+AQI28*BlendedProvPayPrem+AQJ28*BlendedProvPayElite,AQE29*BlendedProvPayEss+AQF29*BlendedProvPayPrem+AQG29*BlendedProvPayElite+AQH29*BlendedProvPayEss+AQI29*BlendedProvPayPrem+AQJ29*BlendedProvPayElite)</f>
        <v/>
      </c>
      <c r="AQY29" s="12">
        <f>AQQ29*PaymentFee</f>
        <v/>
      </c>
      <c r="AQZ29" s="12">
        <f>AQK29*OpsAI</f>
        <v/>
      </c>
      <c r="ARA29" s="12">
        <f>MonthlyFixed</f>
        <v/>
      </c>
      <c r="ARB29" s="12">
        <f>APU29*ReferralReward</f>
        <v/>
      </c>
      <c r="ARC29" s="12">
        <f>APS29</f>
        <v/>
      </c>
      <c r="ARD29" s="9">
        <f>AQT29-AQX29-AQY29-AQZ29-ARA29-ARB29-ARC29</f>
        <v/>
      </c>
      <c r="ARE29" s="9">
        <f>ARE28+AQQ29-(AQX29+AQY29+AQZ29+ARA29+ARB29+ARC29+AQV29)</f>
        <v/>
      </c>
      <c r="ARF29" s="12">
        <f>IF(AQK29&gt;0,AQL29/AQK29,0)</f>
        <v/>
      </c>
      <c r="ARG29" s="11">
        <f>IF(AQK28&gt;0,MAX(0,(AQK28+APV29-AQK29)/AQK28),0)</f>
        <v/>
      </c>
      <c r="ARI29" s="12" t="n">
        <v>25</v>
      </c>
      <c r="ARJ29" s="12">
        <f>MOD(ARI29-1+LaunchMonth-1,12)+1</f>
        <v/>
      </c>
      <c r="ARK29" s="12">
        <f>INT((ARI29-1+LaunchMonth-1)/12)+1</f>
        <v/>
      </c>
      <c r="ARL29" s="12">
        <f>VLOOKUP(ARJ29,SeasonTable,2,FALSE)</f>
        <v/>
      </c>
      <c r="ARM29" s="12">
        <f>(1+InflationRate)^INT((ARI29-1)/12)</f>
        <v/>
      </c>
      <c r="ARN29" s="11">
        <f>MonthlyChurn*VLOOKUP(ARJ29,ChurnSeasonTable,4,FALSE)</f>
        <v/>
      </c>
      <c r="ARO29" s="12">
        <f>MIN(MAX(MktMin19plus,ASM28*MktPct19plus),MAX(0,ATA28-CashBuffer))</f>
        <v/>
      </c>
      <c r="ARP29" s="12">
        <f>IF(ARO29&gt;0,MAX(1,ROUND(ARO29/'Sens - CAC &amp; Marketing'!$A$14*ARL29,0)),0)</f>
        <v/>
      </c>
      <c r="ARQ29" s="12">
        <f>IF(ARP29&gt;0,ROUND(ARP29*ReferralMix/(1-ReferralMix),0),0)</f>
        <v/>
      </c>
      <c r="ARR29" s="12">
        <f>ARP29+ARQ29</f>
        <v/>
      </c>
      <c r="ARS29" s="12">
        <f>ROUND(ARR29*(1-AnnualMix),0)</f>
        <v/>
      </c>
      <c r="ART29" s="12">
        <f>ARR29-ARS29</f>
        <v/>
      </c>
      <c r="ARU29" s="12">
        <f>ROUND(ARS29*EssentialMix,0)</f>
        <v/>
      </c>
      <c r="ARV29" s="12">
        <f>ROUND(ARS29*PremiumMix,0)</f>
        <v/>
      </c>
      <c r="ARW29" s="12">
        <f>ARS29-ARU29-ARV29</f>
        <v/>
      </c>
      <c r="ARX29" s="12">
        <f>ROUND(ART29*EssentialMix,0)</f>
        <v/>
      </c>
      <c r="ARY29" s="12">
        <f>ROUND(ART29*PremiumMix,0)</f>
        <v/>
      </c>
      <c r="ARZ29" s="12">
        <f>ART29-ARX29-ARY29</f>
        <v/>
      </c>
      <c r="ASA29" s="12">
        <f>ARU29+ARU28+ARU27+MAX(0,ASA28-ARU28-ARU27)*(1-ARN29)</f>
        <v/>
      </c>
      <c r="ASB29" s="12">
        <f>ARV29+ARV28+ARV27+MAX(0,ASB28-ARV28-ARV27)*(1-ARN29)</f>
        <v/>
      </c>
      <c r="ASC29" s="12">
        <f>ARW29+ARW28+ARW27+MAX(0,ASC28-ARW28-ARW27)*(1-ARN29)</f>
        <v/>
      </c>
      <c r="ASD29" s="12">
        <f>ASD28+ARX29-ARX17*(AnnualChurn*VLOOKUP(ARJ29,ChurnSeasonTable,4,FALSE))*POWER(1-(AnnualChurn*VLOOKUP(ARJ29,ChurnSeasonTable,4,FALSE)),0)+ARX5*(AnnualChurn*VLOOKUP(ARJ29,ChurnSeasonTable,4,FALSE))*POWER(1-(AnnualChurn*VLOOKUP(ARJ29,ChurnSeasonTable,4,FALSE)),1)</f>
        <v/>
      </c>
      <c r="ASE29" s="12">
        <f>ASE28+ARY29-ARY17*(AnnualChurn*VLOOKUP(ARJ29,ChurnSeasonTable,4,FALSE))*POWER(1-(AnnualChurn*VLOOKUP(ARJ29,ChurnSeasonTable,4,FALSE)),0)+ARY5*(AnnualChurn*VLOOKUP(ARJ29,ChurnSeasonTable,4,FALSE))*POWER(1-(AnnualChurn*VLOOKUP(ARJ29,ChurnSeasonTable,4,FALSE)),1)</f>
        <v/>
      </c>
      <c r="ASF29" s="12">
        <f>ASF28+ARZ29-ARZ17*(AnnualChurn*VLOOKUP(ARJ29,ChurnSeasonTable,4,FALSE))*POWER(1-(AnnualChurn*VLOOKUP(ARJ29,ChurnSeasonTable,4,FALSE)),0)+ARZ5*(AnnualChurn*VLOOKUP(ARJ29,ChurnSeasonTable,4,FALSE))*POWER(1-(AnnualChurn*VLOOKUP(ARJ29,ChurnSeasonTable,4,FALSE)),1)</f>
        <v/>
      </c>
      <c r="ASG29" s="12">
        <f>ASA29+ASB29+ASC29+ASD29+ASE29+ASF29</f>
        <v/>
      </c>
      <c r="ASH29" s="9">
        <f>ASA29*BlendedPriceEssMonthly*ARM29+ASB29*BlendedPricePremMonthly*ARM29+ASC29*BlendedPriceEliteMonthly*ARM29+ASD29*BlendedPriceEssAnnual*ARM29/12+ASE29*BlendedPricePremAnnual*ARM29/12+ASF29*BlendedPriceEliteAnnual*ARM29/12</f>
        <v/>
      </c>
      <c r="ASI29" s="9">
        <f>ASH29*12</f>
        <v/>
      </c>
      <c r="ASJ29" s="12">
        <f>ASA29*BlendedPriceEssMonthly*ARM29+ASB29*BlendedPricePremMonthly*ARM29+ASC29*BlendedPriceEliteMonthly*ARM29</f>
        <v/>
      </c>
      <c r="ASK29" s="12">
        <f>ARX29*BlendedPriceEssAnnual*ARM29+ARY29*BlendedPricePremAnnual*ARM29+ARZ29*BlendedPriceEliteAnnual*ARM29</f>
        <v/>
      </c>
      <c r="ASL29" s="12">
        <f>ARX17*POWER(1-(AnnualChurn*VLOOKUP(ARJ29,ChurnSeasonTable,4,FALSE)),1)*BlendedPriceEssAnnual*ARM29+ARX5*POWER(1-(AnnualChurn*VLOOKUP(ARJ29,ChurnSeasonTable,4,FALSE)),2)*BlendedPriceEssAnnual*ARM29+ARY17*POWER(1-(AnnualChurn*VLOOKUP(ARJ29,ChurnSeasonTable,4,FALSE)),1)*BlendedPricePremAnnual*ARM29+ARY5*POWER(1-(AnnualChurn*VLOOKUP(ARJ29,ChurnSeasonTable,4,FALSE)),2)*BlendedPricePremAnnual*ARM29+ARZ17*POWER(1-(AnnualChurn*VLOOKUP(ARJ29,ChurnSeasonTable,4,FALSE)),1)*BlendedPriceEliteAnnual*ARM29+ARZ5*POWER(1-(AnnualChurn*VLOOKUP(ARJ29,ChurnSeasonTable,4,FALSE)),2)*BlendedPriceEliteAnnual*ARM29</f>
        <v/>
      </c>
      <c r="ASM29" s="9">
        <f>ASJ29+ASK29+ASL29</f>
        <v/>
      </c>
      <c r="ASN29" s="12">
        <f>SUM(ASM18:ASM29)</f>
        <v/>
      </c>
      <c r="ASO29" s="12">
        <f>OR(ASO28,IF(VATAgentMode,SUM($ASM18:$ASM29)-SUM($AST18:$AST29)&gt;=VATThreshold,SUM($ASM18:$ASM29)&gt;=VATThreshold))</f>
        <v/>
      </c>
      <c r="ASP29" s="9">
        <f>IF(ASO29,IF(VATAgentMode,ASM29-((ASM29-AST29)-(ASM29-AST29)/(1+VATRate)),ASM29/(1+VATRate)),ASM29)</f>
        <v/>
      </c>
      <c r="ASQ29" s="12">
        <f>ASM29-ASP29</f>
        <v/>
      </c>
      <c r="ASR29" s="12">
        <f>IF(ASO29=0,0,IF(ARJ29=1,SUMPRODUCT(--(($ARK$5:$ARK29=$ARK29-1)*($ARJ$5:$ARJ29&gt;=10)*($ARJ$5:$ARJ29&lt;=12)),$ASQ$5:$ASQ29),IF(ARJ29=4,SUMPRODUCT(--(($ARK$5:$ARK29=$ARK29)*($ARJ$5:$ARJ29&gt;=1)*($ARJ$5:$ARJ29&lt;=3)),$ASQ$5:$ASQ29),IF(ARJ29=7,SUMPRODUCT(--(($ARK$5:$ARK29=$ARK29)*($ARJ$5:$ARJ29&gt;=4)*($ARJ$5:$ARJ29&lt;=6)),$ASQ$5:$ASQ29),IF(ARJ29=10,SUMPRODUCT(--(($ARK$5:$ARK29=$ARK29)*($ARJ$5:$ARJ29&gt;=7)*($ARJ$5:$ARJ29&lt;=9)),$ASQ$5:$ASQ29),0)))))</f>
        <v/>
      </c>
      <c r="ASS29" s="12">
        <f>ASS28+ASQ29-ASR29</f>
        <v/>
      </c>
      <c r="AST29" s="12">
        <f>IF(ProviderDelay&gt;=1,ASA28*BlendedProvPayEss+ASB28*BlendedProvPayPrem+ASC28*BlendedProvPayElite+ASD28*BlendedProvPayEss+ASE28*BlendedProvPayPrem+ASF28*BlendedProvPayElite,ASA29*BlendedProvPayEss+ASB29*BlendedProvPayPrem+ASC29*BlendedProvPayElite+ASD29*BlendedProvPayEss+ASE29*BlendedProvPayPrem+ASF29*BlendedProvPayElite)</f>
        <v/>
      </c>
      <c r="ASU29" s="12">
        <f>ASM29*PaymentFee</f>
        <v/>
      </c>
      <c r="ASV29" s="12">
        <f>ASG29*OpsAI</f>
        <v/>
      </c>
      <c r="ASW29" s="12">
        <f>MonthlyFixed</f>
        <v/>
      </c>
      <c r="ASX29" s="12">
        <f>ARQ29*ReferralReward</f>
        <v/>
      </c>
      <c r="ASY29" s="12">
        <f>ARO29</f>
        <v/>
      </c>
      <c r="ASZ29" s="9">
        <f>ASP29-AST29-ASU29-ASV29-ASW29-ASX29-ASY29</f>
        <v/>
      </c>
      <c r="ATA29" s="9">
        <f>ATA28+ASM29-(AST29+ASU29+ASV29+ASW29+ASX29+ASY29+ASR29)</f>
        <v/>
      </c>
      <c r="ATB29" s="12">
        <f>IF(ASG29&gt;0,ASH29/ASG29,0)</f>
        <v/>
      </c>
      <c r="ATC29" s="11">
        <f>IF(ASG28&gt;0,MAX(0,(ASG28+ARR29-ASG29)/ASG28),0)</f>
        <v/>
      </c>
      <c r="ATE29" s="12" t="n">
        <v>25</v>
      </c>
      <c r="ATF29" s="12">
        <f>MOD(ATE29-1+LaunchMonth-1,12)+1</f>
        <v/>
      </c>
      <c r="ATG29" s="12">
        <f>INT((ATE29-1+LaunchMonth-1)/12)+1</f>
        <v/>
      </c>
      <c r="ATH29" s="12">
        <f>VLOOKUP(ATF29,SeasonTable,2,FALSE)</f>
        <v/>
      </c>
      <c r="ATI29" s="12">
        <f>(1+InflationRate)^INT((ATE29-1)/12)</f>
        <v/>
      </c>
      <c r="ATJ29" s="11">
        <f>MonthlyChurn*VLOOKUP(ATF29,ChurnSeasonTable,4,FALSE)</f>
        <v/>
      </c>
      <c r="ATK29" s="12">
        <f>MIN(MAX(MktMin19plus,AUI28*MktPct19plus),MAX(0,AUW28-CashBuffer))</f>
        <v/>
      </c>
      <c r="ATL29" s="12">
        <f>IF(ATK29&gt;0,MAX(1,ROUND(ATK29/'Sens - CAC &amp; Marketing'!$A$15*ATH29,0)),0)</f>
        <v/>
      </c>
      <c r="ATM29" s="12">
        <f>IF(ATL29&gt;0,ROUND(ATL29*ReferralMix/(1-ReferralMix),0),0)</f>
        <v/>
      </c>
      <c r="ATN29" s="12">
        <f>ATL29+ATM29</f>
        <v/>
      </c>
      <c r="ATO29" s="12">
        <f>ROUND(ATN29*(1-AnnualMix),0)</f>
        <v/>
      </c>
      <c r="ATP29" s="12">
        <f>ATN29-ATO29</f>
        <v/>
      </c>
      <c r="ATQ29" s="12">
        <f>ROUND(ATO29*EssentialMix,0)</f>
        <v/>
      </c>
      <c r="ATR29" s="12">
        <f>ROUND(ATO29*PremiumMix,0)</f>
        <v/>
      </c>
      <c r="ATS29" s="12">
        <f>ATO29-ATQ29-ATR29</f>
        <v/>
      </c>
      <c r="ATT29" s="12">
        <f>ROUND(ATP29*EssentialMix,0)</f>
        <v/>
      </c>
      <c r="ATU29" s="12">
        <f>ROUND(ATP29*PremiumMix,0)</f>
        <v/>
      </c>
      <c r="ATV29" s="12">
        <f>ATP29-ATT29-ATU29</f>
        <v/>
      </c>
      <c r="ATW29" s="12">
        <f>ATQ29+ATQ28+ATQ27+MAX(0,ATW28-ATQ28-ATQ27)*(1-ATJ29)</f>
        <v/>
      </c>
      <c r="ATX29" s="12">
        <f>ATR29+ATR28+ATR27+MAX(0,ATX28-ATR28-ATR27)*(1-ATJ29)</f>
        <v/>
      </c>
      <c r="ATY29" s="12">
        <f>ATS29+ATS28+ATS27+MAX(0,ATY28-ATS28-ATS27)*(1-ATJ29)</f>
        <v/>
      </c>
      <c r="ATZ29" s="12">
        <f>ATZ28+ATT29-ATT17*(AnnualChurn*VLOOKUP(ATF29,ChurnSeasonTable,4,FALSE))*POWER(1-(AnnualChurn*VLOOKUP(ATF29,ChurnSeasonTable,4,FALSE)),0)+ATT5*(AnnualChurn*VLOOKUP(ATF29,ChurnSeasonTable,4,FALSE))*POWER(1-(AnnualChurn*VLOOKUP(ATF29,ChurnSeasonTable,4,FALSE)),1)</f>
        <v/>
      </c>
      <c r="AUA29" s="12">
        <f>AUA28+ATU29-ATU17*(AnnualChurn*VLOOKUP(ATF29,ChurnSeasonTable,4,FALSE))*POWER(1-(AnnualChurn*VLOOKUP(ATF29,ChurnSeasonTable,4,FALSE)),0)+ATU5*(AnnualChurn*VLOOKUP(ATF29,ChurnSeasonTable,4,FALSE))*POWER(1-(AnnualChurn*VLOOKUP(ATF29,ChurnSeasonTable,4,FALSE)),1)</f>
        <v/>
      </c>
      <c r="AUB29" s="12">
        <f>AUB28+ATV29-ATV17*(AnnualChurn*VLOOKUP(ATF29,ChurnSeasonTable,4,FALSE))*POWER(1-(AnnualChurn*VLOOKUP(ATF29,ChurnSeasonTable,4,FALSE)),0)+ATV5*(AnnualChurn*VLOOKUP(ATF29,ChurnSeasonTable,4,FALSE))*POWER(1-(AnnualChurn*VLOOKUP(ATF29,ChurnSeasonTable,4,FALSE)),1)</f>
        <v/>
      </c>
      <c r="AUC29" s="12">
        <f>ATW29+ATX29+ATY29+ATZ29+AUA29+AUB29</f>
        <v/>
      </c>
      <c r="AUD29" s="9">
        <f>ATW29*BlendedPriceEssMonthly*ATI29+ATX29*BlendedPricePremMonthly*ATI29+ATY29*BlendedPriceEliteMonthly*ATI29+ATZ29*BlendedPriceEssAnnual*ATI29/12+AUA29*BlendedPricePremAnnual*ATI29/12+AUB29*BlendedPriceEliteAnnual*ATI29/12</f>
        <v/>
      </c>
      <c r="AUE29" s="9">
        <f>AUD29*12</f>
        <v/>
      </c>
      <c r="AUF29" s="12">
        <f>ATW29*BlendedPriceEssMonthly*ATI29+ATX29*BlendedPricePremMonthly*ATI29+ATY29*BlendedPriceEliteMonthly*ATI29</f>
        <v/>
      </c>
      <c r="AUG29" s="12">
        <f>ATT29*BlendedPriceEssAnnual*ATI29+ATU29*BlendedPricePremAnnual*ATI29+ATV29*BlendedPriceEliteAnnual*ATI29</f>
        <v/>
      </c>
      <c r="AUH29" s="12">
        <f>ATT17*POWER(1-(AnnualChurn*VLOOKUP(ATF29,ChurnSeasonTable,4,FALSE)),1)*BlendedPriceEssAnnual*ATI29+ATT5*POWER(1-(AnnualChurn*VLOOKUP(ATF29,ChurnSeasonTable,4,FALSE)),2)*BlendedPriceEssAnnual*ATI29+ATU17*POWER(1-(AnnualChurn*VLOOKUP(ATF29,ChurnSeasonTable,4,FALSE)),1)*BlendedPricePremAnnual*ATI29+ATU5*POWER(1-(AnnualChurn*VLOOKUP(ATF29,ChurnSeasonTable,4,FALSE)),2)*BlendedPricePremAnnual*ATI29+ATV17*POWER(1-(AnnualChurn*VLOOKUP(ATF29,ChurnSeasonTable,4,FALSE)),1)*BlendedPriceEliteAnnual*ATI29+ATV5*POWER(1-(AnnualChurn*VLOOKUP(ATF29,ChurnSeasonTable,4,FALSE)),2)*BlendedPriceEliteAnnual*ATI29</f>
        <v/>
      </c>
      <c r="AUI29" s="9">
        <f>AUF29+AUG29+AUH29</f>
        <v/>
      </c>
      <c r="AUJ29" s="12">
        <f>SUM(AUI18:AUI29)</f>
        <v/>
      </c>
      <c r="AUK29" s="12">
        <f>OR(AUK28,IF(VATAgentMode,SUM($AUI18:$AUI29)-SUM($AUP18:$AUP29)&gt;=VATThreshold,SUM($AUI18:$AUI29)&gt;=VATThreshold))</f>
        <v/>
      </c>
      <c r="AUL29" s="9">
        <f>IF(AUK29,IF(VATAgentMode,AUI29-((AUI29-AUP29)-(AUI29-AUP29)/(1+VATRate)),AUI29/(1+VATRate)),AUI29)</f>
        <v/>
      </c>
      <c r="AUM29" s="12">
        <f>AUI29-AUL29</f>
        <v/>
      </c>
      <c r="AUN29" s="12">
        <f>IF(AUK29=0,0,IF(ATF29=1,SUMPRODUCT(--(($ATG$5:$ATG29=$ATG29-1)*($ATF$5:$ATF29&gt;=10)*($ATF$5:$ATF29&lt;=12)),$AUM$5:$AUM29),IF(ATF29=4,SUMPRODUCT(--(($ATG$5:$ATG29=$ATG29)*($ATF$5:$ATF29&gt;=1)*($ATF$5:$ATF29&lt;=3)),$AUM$5:$AUM29),IF(ATF29=7,SUMPRODUCT(--(($ATG$5:$ATG29=$ATG29)*($ATF$5:$ATF29&gt;=4)*($ATF$5:$ATF29&lt;=6)),$AUM$5:$AUM29),IF(ATF29=10,SUMPRODUCT(--(($ATG$5:$ATG29=$ATG29)*($ATF$5:$ATF29&gt;=7)*($ATF$5:$ATF29&lt;=9)),$AUM$5:$AUM29),0)))))</f>
        <v/>
      </c>
      <c r="AUO29" s="12">
        <f>AUO28+AUM29-AUN29</f>
        <v/>
      </c>
      <c r="AUP29" s="12">
        <f>IF(ProviderDelay&gt;=1,ATW28*BlendedProvPayEss+ATX28*BlendedProvPayPrem+ATY28*BlendedProvPayElite+ATZ28*BlendedProvPayEss+AUA28*BlendedProvPayPrem+AUB28*BlendedProvPayElite,ATW29*BlendedProvPayEss+ATX29*BlendedProvPayPrem+ATY29*BlendedProvPayElite+ATZ29*BlendedProvPayEss+AUA29*BlendedProvPayPrem+AUB29*BlendedProvPayElite)</f>
        <v/>
      </c>
      <c r="AUQ29" s="12">
        <f>AUI29*PaymentFee</f>
        <v/>
      </c>
      <c r="AUR29" s="12">
        <f>AUC29*OpsAI</f>
        <v/>
      </c>
      <c r="AUS29" s="12">
        <f>MonthlyFixed</f>
        <v/>
      </c>
      <c r="AUT29" s="12">
        <f>ATM29*ReferralReward</f>
        <v/>
      </c>
      <c r="AUU29" s="12">
        <f>ATK29</f>
        <v/>
      </c>
      <c r="AUV29" s="9">
        <f>AUL29-AUP29-AUQ29-AUR29-AUS29-AUT29-AUU29</f>
        <v/>
      </c>
      <c r="AUW29" s="9">
        <f>AUW28+AUI29-(AUP29+AUQ29+AUR29+AUS29+AUT29+AUU29+AUN29)</f>
        <v/>
      </c>
      <c r="AUX29" s="12">
        <f>IF(AUC29&gt;0,AUD29/AUC29,0)</f>
        <v/>
      </c>
      <c r="AUY29" s="11">
        <f>IF(AUC28&gt;0,MAX(0,(AUC28+ATN29-AUC29)/AUC28),0)</f>
        <v/>
      </c>
      <c r="AVA29" s="12" t="n">
        <v>25</v>
      </c>
      <c r="AVB29" s="12">
        <f>MOD(AVA29-1+LaunchMonth-1,12)+1</f>
        <v/>
      </c>
      <c r="AVC29" s="12">
        <f>INT((AVA29-1+LaunchMonth-1)/12)+1</f>
        <v/>
      </c>
      <c r="AVD29" s="12">
        <f>VLOOKUP(AVB29,WinterPivotSeasonTable,5,FALSE)</f>
        <v/>
      </c>
      <c r="AVE29" s="12">
        <f>(1+InflationRate)^INT((AVA29-1)/12)</f>
        <v/>
      </c>
      <c r="AVF29" s="11">
        <f>MonthlyChurn*VLOOKUP(AVB29,WinterPivotChurnTable,6,FALSE)</f>
        <v/>
      </c>
      <c r="AVG29" s="12">
        <f>MIN(MAX(MktMin19plus,AWE28*MktPct19plus),MAX(0,AWS28-CashBuffer))</f>
        <v/>
      </c>
      <c r="AVH29" s="12">
        <f>IF(AVG29&gt;0,MAX(1,ROUND(AVG29/CAC*AVD29,0)),0)</f>
        <v/>
      </c>
      <c r="AVI29" s="12">
        <f>IF(AVH29&gt;0,ROUND(AVH29*ReferralMix/(1-ReferralMix),0),0)</f>
        <v/>
      </c>
      <c r="AVJ29" s="12">
        <f>AVH29+AVI29</f>
        <v/>
      </c>
      <c r="AVK29" s="12">
        <f>ROUND(AVJ29*(1-AnnualMix),0)</f>
        <v/>
      </c>
      <c r="AVL29" s="12">
        <f>AVJ29-AVK29</f>
        <v/>
      </c>
      <c r="AVM29" s="12">
        <f>ROUND(AVK29*'Sens - Winter Pivot'!$B$6,0)</f>
        <v/>
      </c>
      <c r="AVN29" s="12">
        <f>ROUND(AVK29*PremiumMix,0)</f>
        <v/>
      </c>
      <c r="AVO29" s="12">
        <f>AVK29-AVM29-AVN29</f>
        <v/>
      </c>
      <c r="AVP29" s="12">
        <f>ROUND(AVL29*'Sens - Winter Pivot'!$B$6,0)</f>
        <v/>
      </c>
      <c r="AVQ29" s="12">
        <f>ROUND(AVL29*PremiumMix,0)</f>
        <v/>
      </c>
      <c r="AVR29" s="12">
        <f>AVL29-AVP29-AVQ29</f>
        <v/>
      </c>
      <c r="AVS29" s="12">
        <f>AVM29+AVM28+AVM27+MAX(0,AVS28-AVM28-AVM27)*(1-AVF29)</f>
        <v/>
      </c>
      <c r="AVT29" s="12">
        <f>AVN29+AVN28+AVN27+MAX(0,AVT28-AVN28-AVN27)*(1-AVF29)</f>
        <v/>
      </c>
      <c r="AVU29" s="12">
        <f>AVO29+AVO28+AVO27+MAX(0,AVU28-AVO28-AVO27)*(1-AVF29)</f>
        <v/>
      </c>
      <c r="AVV29" s="12">
        <f>AVV28+AVP29-AVP17*(AnnualChurn*VLOOKUP(AVB29,ChurnSeasonTable,4,FALSE))*POWER(1-(AnnualChurn*VLOOKUP(AVB29,ChurnSeasonTable,4,FALSE)),0)+AVP5*(AnnualChurn*VLOOKUP(AVB29,ChurnSeasonTable,4,FALSE))*POWER(1-(AnnualChurn*VLOOKUP(AVB29,ChurnSeasonTable,4,FALSE)),1)</f>
        <v/>
      </c>
      <c r="AVW29" s="12">
        <f>AVW28+AVQ29-AVQ17*(AnnualChurn*VLOOKUP(AVB29,ChurnSeasonTable,4,FALSE))*POWER(1-(AnnualChurn*VLOOKUP(AVB29,ChurnSeasonTable,4,FALSE)),0)+AVQ5*(AnnualChurn*VLOOKUP(AVB29,ChurnSeasonTable,4,FALSE))*POWER(1-(AnnualChurn*VLOOKUP(AVB29,ChurnSeasonTable,4,FALSE)),1)</f>
        <v/>
      </c>
      <c r="AVX29" s="12">
        <f>AVX28+AVR29-AVR17*(AnnualChurn*VLOOKUP(AVB29,ChurnSeasonTable,4,FALSE))*POWER(1-(AnnualChurn*VLOOKUP(AVB29,ChurnSeasonTable,4,FALSE)),0)+AVR5*(AnnualChurn*VLOOKUP(AVB29,ChurnSeasonTable,4,FALSE))*POWER(1-(AnnualChurn*VLOOKUP(AVB29,ChurnSeasonTable,4,FALSE)),1)</f>
        <v/>
      </c>
      <c r="AVY29" s="12">
        <f>AVS29+AVT29+AVU29+AVV29+AVW29+AVX29</f>
        <v/>
      </c>
      <c r="AVZ29" s="9">
        <f>AVS29*BlendedPriceEssMonthly*AVE29+AVT29*(BlendedPricePremMonthly+'Sens - Winter Pivot'!$B$7)*AVE29+AVU29*BlendedPriceEliteMonthly*AVE29+AVV29*BlendedPriceEssAnnual*AVE29/12+AVW29*(BlendedPricePremAnnual+'Sens - Winter Pivot'!$B$7*12)*AVE29/12+AVX29*BlendedPriceEliteAnnual*AVE29/12</f>
        <v/>
      </c>
      <c r="AWA29" s="9">
        <f>AVZ29*12</f>
        <v/>
      </c>
      <c r="AWB29" s="12">
        <f>AVS29*BlendedPriceEssMonthly*AVE29+AVT29*(BlendedPricePremMonthly+'Sens - Winter Pivot'!$B$7)*AVE29+AVU29*BlendedPriceEliteMonthly*AVE29</f>
        <v/>
      </c>
      <c r="AWC29" s="12">
        <f>AVP29*BlendedPriceEssAnnual*AVE29+AVQ29*(BlendedPricePremAnnual+'Sens - Winter Pivot'!$B$7*12)*AVE29+AVR29*BlendedPriceEliteAnnual*AVE29</f>
        <v/>
      </c>
      <c r="AWD29" s="12">
        <f>AVP17*POWER(1-(AnnualChurn*VLOOKUP(AVB29,ChurnSeasonTable,4,FALSE)),1)*BlendedPriceEssAnnual*AVE29+AVP5*POWER(1-(AnnualChurn*VLOOKUP(AVB29,ChurnSeasonTable,4,FALSE)),2)*BlendedPriceEssAnnual*AVE29+AVQ17*POWER(1-(AnnualChurn*VLOOKUP(AVB29,ChurnSeasonTable,4,FALSE)),1)*BlendedPricePremAnnual*AVE29+AVQ5*POWER(1-(AnnualChurn*VLOOKUP(AVB29,ChurnSeasonTable,4,FALSE)),2)*BlendedPricePremAnnual*AVE29+AVR17*POWER(1-(AnnualChurn*VLOOKUP(AVB29,ChurnSeasonTable,4,FALSE)),1)*BlendedPriceEliteAnnual*AVE29+AVR5*POWER(1-(AnnualChurn*VLOOKUP(AVB29,ChurnSeasonTable,4,FALSE)),2)*BlendedPriceEliteAnnual*AVE29</f>
        <v/>
      </c>
      <c r="AWE29" s="9">
        <f>AWB29+AWC29+AWD29</f>
        <v/>
      </c>
      <c r="AWF29" s="12">
        <f>SUM(AWE18:AWE29)</f>
        <v/>
      </c>
      <c r="AWG29" s="12">
        <f>OR(AWG28,IF(VATAgentMode,SUM($AWE18:$AWE29)-SUM($AWL18:$AWL29)&gt;=VATThreshold,SUM($AWE18:$AWE29)&gt;=VATThreshold))</f>
        <v/>
      </c>
      <c r="AWH29" s="9">
        <f>IF(AWG29,IF(VATAgentMode,AWE29-((AWE29-AWL29)-(AWE29-AWL29)/(1+VATRate)),AWE29/(1+VATRate)),AWE29)</f>
        <v/>
      </c>
      <c r="AWI29" s="12">
        <f>AWE29-AWH29</f>
        <v/>
      </c>
      <c r="AWJ29" s="12">
        <f>IF(AWG29=0,0,IF(AVB29=1,SUMPRODUCT(--(($AVC$5:$AVC29=$AVC29-1)*($AVB$5:$AVB29&gt;=10)*($AVB$5:$AVB29&lt;=12)),$AWI$5:$AWI29),IF(AVB29=4,SUMPRODUCT(--(($AVC$5:$AVC29=$AVC29)*($AVB$5:$AVB29&gt;=1)*($AVB$5:$AVB29&lt;=3)),$AWI$5:$AWI29),IF(AVB29=7,SUMPRODUCT(--(($AVC$5:$AVC29=$AVC29)*($AVB$5:$AVB29&gt;=4)*($AVB$5:$AVB29&lt;=6)),$AWI$5:$AWI29),IF(AVB29=10,SUMPRODUCT(--(($AVC$5:$AVC29=$AVC29)*($AVB$5:$AVB29&gt;=7)*($AVB$5:$AVB29&lt;=9)),$AWI$5:$AWI29),0)))))</f>
        <v/>
      </c>
      <c r="AWK29" s="12">
        <f>AWK28+AWI29-AWJ29</f>
        <v/>
      </c>
      <c r="AWL29" s="12">
        <f>IF(ProviderDelay&gt;=1,AVS28*BlendedProvPayEss+AVT28*BlendedProvPayPrem+AVU28*BlendedProvPayElite+AVV28*BlendedProvPayEss+AVW28*BlendedProvPayPrem+AVX28*BlendedProvPayElite,AVS29*BlendedProvPayEss+AVT29*BlendedProvPayPrem+AVU29*BlendedProvPayElite+AVV29*BlendedProvPayEss+AVW29*BlendedProvPayPrem+AVX29*BlendedProvPayElite)</f>
        <v/>
      </c>
      <c r="AWM29" s="12">
        <f>AWE29*PaymentFee</f>
        <v/>
      </c>
      <c r="AWN29" s="12">
        <f>AVY29*OpsAI</f>
        <v/>
      </c>
      <c r="AWO29" s="12">
        <f>MonthlyFixed</f>
        <v/>
      </c>
      <c r="AWP29" s="12">
        <f>AVI29*ReferralReward</f>
        <v/>
      </c>
      <c r="AWQ29" s="12">
        <f>AVG29</f>
        <v/>
      </c>
      <c r="AWR29" s="9">
        <f>AWH29-AWL29-AWM29-AWN29-AWO29-AWP29-AWQ29</f>
        <v/>
      </c>
      <c r="AWS29" s="9">
        <f>AWS28+AWE29-(AWL29+AWM29+AWN29+AWO29+AWP29+AWQ29+AWJ29)</f>
        <v/>
      </c>
      <c r="AWT29" s="12">
        <f>IF(AVY29&gt;0,AVZ29/AVY29,0)</f>
        <v/>
      </c>
      <c r="AWU29" s="11">
        <f>IF(AVY28&gt;0,MAX(0,(AVY28+AVJ29-AVY29)/AVY28),0)</f>
        <v/>
      </c>
    </row>
    <row r="30">
      <c r="A30" s="12" t="n">
        <v>26</v>
      </c>
      <c r="B30" s="12">
        <f>MOD(A30-1+LaunchMonth-1,12)+1</f>
        <v/>
      </c>
      <c r="C30" s="12">
        <f>INT((A30-1+LaunchMonth-1)/12)+1</f>
        <v/>
      </c>
      <c r="D30" s="12">
        <f>VLOOKUP(B30,SeasonTable,2,FALSE)</f>
        <v/>
      </c>
      <c r="E30" s="12">
        <f>(1+InflationRate)^INT((A30-1)/12)</f>
        <v/>
      </c>
      <c r="F30" s="11">
        <f>'Sens - Scenarios'!$B$5*VLOOKUP(B30,ChurnSeasonTable,4,FALSE)</f>
        <v/>
      </c>
      <c r="G30" s="12">
        <f>MIN(MAX(MktMin19plus,AE29*MktPct19plus),MAX(0,AS29-CashBuffer))</f>
        <v/>
      </c>
      <c r="H30" s="12">
        <f>IF(G30&gt;0,MAX(1,ROUND(G30/'Sens - Scenarios'!$B$8*D30,0)),0)</f>
        <v/>
      </c>
      <c r="I30" s="12">
        <f>IF(H30&gt;0,ROUND(H30*ReferralMix/(1-ReferralMix),0),0)</f>
        <v/>
      </c>
      <c r="J30" s="12">
        <f>H30+I30</f>
        <v/>
      </c>
      <c r="K30" s="12">
        <f>ROUND(J30*(1-'Sens - Scenarios'!$B$7),0)</f>
        <v/>
      </c>
      <c r="L30" s="12">
        <f>J30-K30</f>
        <v/>
      </c>
      <c r="M30" s="12">
        <f>ROUND(K30*EssentialMix,0)</f>
        <v/>
      </c>
      <c r="N30" s="12">
        <f>ROUND(K30*PremiumMix,0)</f>
        <v/>
      </c>
      <c r="O30" s="12">
        <f>K30-M30-N30</f>
        <v/>
      </c>
      <c r="P30" s="12">
        <f>ROUND(L30*EssentialMix,0)</f>
        <v/>
      </c>
      <c r="Q30" s="12">
        <f>ROUND(L30*PremiumMix,0)</f>
        <v/>
      </c>
      <c r="R30" s="12">
        <f>L30-P30-Q30</f>
        <v/>
      </c>
      <c r="S30" s="12">
        <f>M30+M29+M28+MAX(0,S29-M29-M28)*(1-F30)</f>
        <v/>
      </c>
      <c r="T30" s="12">
        <f>N30+N29+N28+MAX(0,T29-N29-N28)*(1-F30)</f>
        <v/>
      </c>
      <c r="U30" s="12">
        <f>O30+O29+O28+MAX(0,U29-O29-O28)*(1-F30)</f>
        <v/>
      </c>
      <c r="V30" s="12">
        <f>V29+P30-P18*('Sens - Scenarios'!$B$6*VLOOKUP(B30,ChurnSeasonTable,4,FALSE))*POWER(1-('Sens - Scenarios'!$B$6*VLOOKUP(B30,ChurnSeasonTable,4,FALSE)),0)+P6*('Sens - Scenarios'!$B$6*VLOOKUP(B30,ChurnSeasonTable,4,FALSE))*POWER(1-('Sens - Scenarios'!$B$6*VLOOKUP(B30,ChurnSeasonTable,4,FALSE)),1)</f>
        <v/>
      </c>
      <c r="W30" s="12">
        <f>W29+Q30-Q18*('Sens - Scenarios'!$B$6*VLOOKUP(B30,ChurnSeasonTable,4,FALSE))*POWER(1-('Sens - Scenarios'!$B$6*VLOOKUP(B30,ChurnSeasonTable,4,FALSE)),0)+Q6*('Sens - Scenarios'!$B$6*VLOOKUP(B30,ChurnSeasonTable,4,FALSE))*POWER(1-('Sens - Scenarios'!$B$6*VLOOKUP(B30,ChurnSeasonTable,4,FALSE)),1)</f>
        <v/>
      </c>
      <c r="X30" s="12">
        <f>X29+R30-R18*('Sens - Scenarios'!$B$6*VLOOKUP(B30,ChurnSeasonTable,4,FALSE))*POWER(1-('Sens - Scenarios'!$B$6*VLOOKUP(B30,ChurnSeasonTable,4,FALSE)),0)+R6*('Sens - Scenarios'!$B$6*VLOOKUP(B30,ChurnSeasonTable,4,FALSE))*POWER(1-('Sens - Scenarios'!$B$6*VLOOKUP(B30,ChurnSeasonTable,4,FALSE)),1)</f>
        <v/>
      </c>
      <c r="Y30" s="12">
        <f>S30+T30+U30+V30+W30+X30</f>
        <v/>
      </c>
      <c r="Z30" s="9">
        <f>S30*BlendedPriceEssMonthly*E30+T30*BlendedPricePremMonthly*E30+U30*BlendedPriceEliteMonthly*E30+V30*BlendedPriceEssAnnual*E30/12+W30*BlendedPricePremAnnual*E30/12+X30*BlendedPriceEliteAnnual*E30/12</f>
        <v/>
      </c>
      <c r="AA30" s="9">
        <f>Z30*12</f>
        <v/>
      </c>
      <c r="AB30" s="12">
        <f>S30*BlendedPriceEssMonthly*E30+T30*BlendedPricePremMonthly*E30+U30*BlendedPriceEliteMonthly*E30</f>
        <v/>
      </c>
      <c r="AC30" s="12">
        <f>P30*BlendedPriceEssAnnual*E30+Q30*BlendedPricePremAnnual*E30+R30*BlendedPriceEliteAnnual*E30</f>
        <v/>
      </c>
      <c r="AD30" s="12">
        <f>P18*POWER(1-('Sens - Scenarios'!$B$6*VLOOKUP(B30,ChurnSeasonTable,4,FALSE)),1)*BlendedPriceEssAnnual*E30+P6*POWER(1-('Sens - Scenarios'!$B$6*VLOOKUP(B30,ChurnSeasonTable,4,FALSE)),2)*BlendedPriceEssAnnual*E30+Q18*POWER(1-('Sens - Scenarios'!$B$6*VLOOKUP(B30,ChurnSeasonTable,4,FALSE)),1)*BlendedPricePremAnnual*E30+Q6*POWER(1-('Sens - Scenarios'!$B$6*VLOOKUP(B30,ChurnSeasonTable,4,FALSE)),2)*BlendedPricePremAnnual*E30+R18*POWER(1-('Sens - Scenarios'!$B$6*VLOOKUP(B30,ChurnSeasonTable,4,FALSE)),1)*BlendedPriceEliteAnnual*E30+R6*POWER(1-('Sens - Scenarios'!$B$6*VLOOKUP(B30,ChurnSeasonTable,4,FALSE)),2)*BlendedPriceEliteAnnual*E30</f>
        <v/>
      </c>
      <c r="AE30" s="9">
        <f>AB30+AC30+AD30</f>
        <v/>
      </c>
      <c r="AF30" s="12">
        <f>SUM(AE19:AE30)</f>
        <v/>
      </c>
      <c r="AG30" s="12">
        <f>OR(AG29,IF(VATAgentMode,SUM($AE19:$AE30)-SUM($AL19:$AL30)&gt;=VATThreshold,SUM($AE19:$AE30)&gt;=VATThreshold))</f>
        <v/>
      </c>
      <c r="AH30" s="9">
        <f>IF(AG30,IF(VATAgentMode,AE30-((AE30-AL30)-(AE30-AL30)/(1+VATRate)),AE30/(1+VATRate)),AE30)</f>
        <v/>
      </c>
      <c r="AI30" s="12">
        <f>AE30-AH30</f>
        <v/>
      </c>
      <c r="AJ30" s="12">
        <f>IF(AG30=0,0,IF(B30=1,SUMPRODUCT(--(($C$5:$C30=$C30-1)*($B$5:$B30&gt;=10)*($B$5:$B30&lt;=12)),$AI$5:$AI30),IF(B30=4,SUMPRODUCT(--(($C$5:$C30=$C30)*($B$5:$B30&gt;=1)*($B$5:$B30&lt;=3)),$AI$5:$AI30),IF(B30=7,SUMPRODUCT(--(($C$5:$C30=$C30)*($B$5:$B30&gt;=4)*($B$5:$B30&lt;=6)),$AI$5:$AI30),IF(B30=10,SUMPRODUCT(--(($C$5:$C30=$C30)*($B$5:$B30&gt;=7)*($B$5:$B30&lt;=9)),$AI$5:$AI30),0)))))</f>
        <v/>
      </c>
      <c r="AK30" s="12">
        <f>AK29+AI30-AJ30</f>
        <v/>
      </c>
      <c r="AL30" s="12">
        <f>IF(ProviderDelay&gt;=1,S29*BlendedProvPayEss+T29*BlendedProvPayPrem+U29*BlendedProvPayElite+V29*BlendedProvPayEss+W29*BlendedProvPayPrem+X29*BlendedProvPayElite,S30*BlendedProvPayEss+T30*BlendedProvPayPrem+U30*BlendedProvPayElite+V30*BlendedProvPayEss+W30*BlendedProvPayPrem+X30*BlendedProvPayElite)</f>
        <v/>
      </c>
      <c r="AM30" s="12">
        <f>AE30*PaymentFee</f>
        <v/>
      </c>
      <c r="AN30" s="12">
        <f>Y30*OpsAI</f>
        <v/>
      </c>
      <c r="AO30" s="12">
        <f>MonthlyFixed</f>
        <v/>
      </c>
      <c r="AP30" s="12">
        <f>I30*ReferralReward</f>
        <v/>
      </c>
      <c r="AQ30" s="12">
        <f>G30</f>
        <v/>
      </c>
      <c r="AR30" s="9">
        <f>AH30-AL30-AM30-AN30-AO30-AP30-AQ30</f>
        <v/>
      </c>
      <c r="AS30" s="9">
        <f>AS29+AE30-(AL30+AM30+AN30+AO30+AP30+AQ30+AJ30)</f>
        <v/>
      </c>
      <c r="AT30" s="12">
        <f>IF(Y30&gt;0,Z30/Y30,0)</f>
        <v/>
      </c>
      <c r="AU30" s="11">
        <f>IF(Y29&gt;0,MAX(0,(Y29+J30-Y30)/Y29),0)</f>
        <v/>
      </c>
      <c r="AW30" s="12" t="n">
        <v>26</v>
      </c>
      <c r="AX30" s="12">
        <f>MOD(AW30-1+LaunchMonth-1,12)+1</f>
        <v/>
      </c>
      <c r="AY30" s="12">
        <f>INT((AW30-1+LaunchMonth-1)/12)+1</f>
        <v/>
      </c>
      <c r="AZ30" s="12">
        <f>VLOOKUP(AX30,SeasonTable,2,FALSE)</f>
        <v/>
      </c>
      <c r="BA30" s="12">
        <f>(1+InflationRate)^INT((AW30-1)/12)</f>
        <v/>
      </c>
      <c r="BB30" s="11">
        <f>MonthlyChurn*VLOOKUP(AX30,ChurnSeasonTable,4,FALSE)</f>
        <v/>
      </c>
      <c r="BC30" s="12">
        <f>MIN(MAX(MktMin19plus,CA29*MktPct19plus),MAX(0,CO29-CashBuffer))</f>
        <v/>
      </c>
      <c r="BD30" s="12">
        <f>IF(BC30&gt;0,MAX(1,ROUND(BC30/CAC*AZ30,0)),0)</f>
        <v/>
      </c>
      <c r="BE30" s="12">
        <f>IF(BD30&gt;0,ROUND(BD30*ReferralMix/(1-ReferralMix),0),0)</f>
        <v/>
      </c>
      <c r="BF30" s="12">
        <f>BD30+BE30</f>
        <v/>
      </c>
      <c r="BG30" s="12">
        <f>ROUND(BF30*(1-AnnualMix),0)</f>
        <v/>
      </c>
      <c r="BH30" s="12">
        <f>BF30-BG30</f>
        <v/>
      </c>
      <c r="BI30" s="12">
        <f>ROUND(BG30*EssentialMix,0)</f>
        <v/>
      </c>
      <c r="BJ30" s="12">
        <f>ROUND(BG30*PremiumMix,0)</f>
        <v/>
      </c>
      <c r="BK30" s="12">
        <f>BG30-BI30-BJ30</f>
        <v/>
      </c>
      <c r="BL30" s="12">
        <f>ROUND(BH30*EssentialMix,0)</f>
        <v/>
      </c>
      <c r="BM30" s="12">
        <f>ROUND(BH30*PremiumMix,0)</f>
        <v/>
      </c>
      <c r="BN30" s="12">
        <f>BH30-BL30-BM30</f>
        <v/>
      </c>
      <c r="BO30" s="12">
        <f>BI30+BI29+BI28+MAX(0,BO29-BI29-BI28)*(1-BB30)</f>
        <v/>
      </c>
      <c r="BP30" s="12">
        <f>BJ30+BJ29+BJ28+MAX(0,BP29-BJ29-BJ28)*(1-BB30)</f>
        <v/>
      </c>
      <c r="BQ30" s="12">
        <f>BK30+BK29+BK28+MAX(0,BQ29-BK29-BK28)*(1-BB30)</f>
        <v/>
      </c>
      <c r="BR30" s="12">
        <f>BR29+BL30-BL18*(AnnualChurn*VLOOKUP(AX30,ChurnSeasonTable,4,FALSE))*POWER(1-(AnnualChurn*VLOOKUP(AX30,ChurnSeasonTable,4,FALSE)),0)+BL6*(AnnualChurn*VLOOKUP(AX30,ChurnSeasonTable,4,FALSE))*POWER(1-(AnnualChurn*VLOOKUP(AX30,ChurnSeasonTable,4,FALSE)),1)</f>
        <v/>
      </c>
      <c r="BS30" s="12">
        <f>BS29+BM30-BM18*(AnnualChurn*VLOOKUP(AX30,ChurnSeasonTable,4,FALSE))*POWER(1-(AnnualChurn*VLOOKUP(AX30,ChurnSeasonTable,4,FALSE)),0)+BM6*(AnnualChurn*VLOOKUP(AX30,ChurnSeasonTable,4,FALSE))*POWER(1-(AnnualChurn*VLOOKUP(AX30,ChurnSeasonTable,4,FALSE)),1)</f>
        <v/>
      </c>
      <c r="BT30" s="12">
        <f>BT29+BN30-BN18*(AnnualChurn*VLOOKUP(AX30,ChurnSeasonTable,4,FALSE))*POWER(1-(AnnualChurn*VLOOKUP(AX30,ChurnSeasonTable,4,FALSE)),0)+BN6*(AnnualChurn*VLOOKUP(AX30,ChurnSeasonTable,4,FALSE))*POWER(1-(AnnualChurn*VLOOKUP(AX30,ChurnSeasonTable,4,FALSE)),1)</f>
        <v/>
      </c>
      <c r="BU30" s="12">
        <f>BO30+BP30+BQ30+BR30+BS30+BT30</f>
        <v/>
      </c>
      <c r="BV30" s="9">
        <f>BO30*BlendedPriceEssMonthly*BA30+BP30*BlendedPricePremMonthly*BA30+BQ30*BlendedPriceEliteMonthly*BA30+BR30*BlendedPriceEssAnnual*BA30/12+BS30*BlendedPricePremAnnual*BA30/12+BT30*BlendedPriceEliteAnnual*BA30/12</f>
        <v/>
      </c>
      <c r="BW30" s="9">
        <f>BV30*12</f>
        <v/>
      </c>
      <c r="BX30" s="12">
        <f>BO30*BlendedPriceEssMonthly*BA30+BP30*BlendedPricePremMonthly*BA30+BQ30*BlendedPriceEliteMonthly*BA30</f>
        <v/>
      </c>
      <c r="BY30" s="12">
        <f>BL30*BlendedPriceEssAnnual*BA30+BM30*BlendedPricePremAnnual*BA30+BN30*BlendedPriceEliteAnnual*BA30</f>
        <v/>
      </c>
      <c r="BZ30" s="12">
        <f>BL18*POWER(1-(AnnualChurn*VLOOKUP(AX30,ChurnSeasonTable,4,FALSE)),1)*BlendedPriceEssAnnual*BA30+BL6*POWER(1-(AnnualChurn*VLOOKUP(AX30,ChurnSeasonTable,4,FALSE)),2)*BlendedPriceEssAnnual*BA30+BM18*POWER(1-(AnnualChurn*VLOOKUP(AX30,ChurnSeasonTable,4,FALSE)),1)*BlendedPricePremAnnual*BA30+BM6*POWER(1-(AnnualChurn*VLOOKUP(AX30,ChurnSeasonTable,4,FALSE)),2)*BlendedPricePremAnnual*BA30+BN18*POWER(1-(AnnualChurn*VLOOKUP(AX30,ChurnSeasonTable,4,FALSE)),1)*BlendedPriceEliteAnnual*BA30+BN6*POWER(1-(AnnualChurn*VLOOKUP(AX30,ChurnSeasonTable,4,FALSE)),2)*BlendedPriceEliteAnnual*BA30</f>
        <v/>
      </c>
      <c r="CA30" s="9">
        <f>BX30+BY30+BZ30</f>
        <v/>
      </c>
      <c r="CB30" s="12">
        <f>SUM(CA19:CA30)</f>
        <v/>
      </c>
      <c r="CC30" s="12">
        <f>OR(CC29,IF(VATAgentMode,SUM($CA19:$CA30)-SUM($CH19:$CH30)&gt;=VATThreshold,SUM($CA19:$CA30)&gt;=VATThreshold))</f>
        <v/>
      </c>
      <c r="CD30" s="9">
        <f>IF(CC30,IF(VATAgentMode,CA30-((CA30-CH30)-(CA30-CH30)/(1+VATRate)),CA30/(1+VATRate)),CA30)</f>
        <v/>
      </c>
      <c r="CE30" s="12">
        <f>CA30-CD30</f>
        <v/>
      </c>
      <c r="CF30" s="12">
        <f>IF(CC30=0,0,IF(AX30=1,SUMPRODUCT(--(($AY$5:$AY30=$AY30-1)*($AX$5:$AX30&gt;=10)*($AX$5:$AX30&lt;=12)),$CE$5:$CE30),IF(AX30=4,SUMPRODUCT(--(($AY$5:$AY30=$AY30)*($AX$5:$AX30&gt;=1)*($AX$5:$AX30&lt;=3)),$CE$5:$CE30),IF(AX30=7,SUMPRODUCT(--(($AY$5:$AY30=$AY30)*($AX$5:$AX30&gt;=4)*($AX$5:$AX30&lt;=6)),$CE$5:$CE30),IF(AX30=10,SUMPRODUCT(--(($AY$5:$AY30=$AY30)*($AX$5:$AX30&gt;=7)*($AX$5:$AX30&lt;=9)),$CE$5:$CE30),0)))))</f>
        <v/>
      </c>
      <c r="CG30" s="12">
        <f>CG29+CE30-CF30</f>
        <v/>
      </c>
      <c r="CH30" s="12">
        <f>IF(ProviderDelay&gt;=1,BO29*BlendedProvPayEss+BP29*BlendedProvPayPrem+BQ29*BlendedProvPayElite+BR29*BlendedProvPayEss+BS29*BlendedProvPayPrem+BT29*BlendedProvPayElite,BO30*BlendedProvPayEss+BP30*BlendedProvPayPrem+BQ30*BlendedProvPayElite+BR30*BlendedProvPayEss+BS30*BlendedProvPayPrem+BT30*BlendedProvPayElite)</f>
        <v/>
      </c>
      <c r="CI30" s="12">
        <f>CA30*PaymentFee</f>
        <v/>
      </c>
      <c r="CJ30" s="12">
        <f>BU30*OpsAI</f>
        <v/>
      </c>
      <c r="CK30" s="12">
        <f>MonthlyFixed</f>
        <v/>
      </c>
      <c r="CL30" s="12">
        <f>BE30*ReferralReward</f>
        <v/>
      </c>
      <c r="CM30" s="12">
        <f>BC30</f>
        <v/>
      </c>
      <c r="CN30" s="9">
        <f>CD30-CH30-CI30-CJ30-CK30-CL30-CM30</f>
        <v/>
      </c>
      <c r="CO30" s="9">
        <f>CO29+CA30-(CH30+CI30+CJ30+CK30+CL30+CM30+CF30)</f>
        <v/>
      </c>
      <c r="CP30" s="12">
        <f>IF(BU30&gt;0,BV30/BU30,0)</f>
        <v/>
      </c>
      <c r="CQ30" s="11">
        <f>IF(BU29&gt;0,MAX(0,(BU29+BF30-BU30)/BU29),0)</f>
        <v/>
      </c>
      <c r="CS30" s="12" t="n">
        <v>26</v>
      </c>
      <c r="CT30" s="12">
        <f>MOD(CS30-1+LaunchMonth-1,12)+1</f>
        <v/>
      </c>
      <c r="CU30" s="12">
        <f>INT((CS30-1+LaunchMonth-1)/12)+1</f>
        <v/>
      </c>
      <c r="CV30" s="12">
        <f>VLOOKUP(CT30,SeasonTable,2,FALSE)</f>
        <v/>
      </c>
      <c r="CW30" s="12">
        <f>(1+InflationRate)^INT((CS30-1)/12)</f>
        <v/>
      </c>
      <c r="CX30" s="11">
        <f>'Sens - Scenarios'!$D$5*VLOOKUP(CT30,ChurnSeasonTable,4,FALSE)</f>
        <v/>
      </c>
      <c r="CY30" s="12">
        <f>MIN(MAX(MktMin19plus,DW29*MktPct19plus),MAX(0,EK29-CashBuffer))</f>
        <v/>
      </c>
      <c r="CZ30" s="12">
        <f>IF(CY30&gt;0,MAX(1,ROUND(CY30/'Sens - Scenarios'!$D$8*CV30,0)),0)</f>
        <v/>
      </c>
      <c r="DA30" s="12">
        <f>IF(CZ30&gt;0,ROUND(CZ30*ReferralMix/(1-ReferralMix),0),0)</f>
        <v/>
      </c>
      <c r="DB30" s="12">
        <f>CZ30+DA30</f>
        <v/>
      </c>
      <c r="DC30" s="12">
        <f>ROUND(DB30*(1-'Sens - Scenarios'!$D$7),0)</f>
        <v/>
      </c>
      <c r="DD30" s="12">
        <f>DB30-DC30</f>
        <v/>
      </c>
      <c r="DE30" s="12">
        <f>ROUND(DC30*EssentialMix,0)</f>
        <v/>
      </c>
      <c r="DF30" s="12">
        <f>ROUND(DC30*PremiumMix,0)</f>
        <v/>
      </c>
      <c r="DG30" s="12">
        <f>DC30-DE30-DF30</f>
        <v/>
      </c>
      <c r="DH30" s="12">
        <f>ROUND(DD30*EssentialMix,0)</f>
        <v/>
      </c>
      <c r="DI30" s="12">
        <f>ROUND(DD30*PremiumMix,0)</f>
        <v/>
      </c>
      <c r="DJ30" s="12">
        <f>DD30-DH30-DI30</f>
        <v/>
      </c>
      <c r="DK30" s="12">
        <f>DE30+DE29+DE28+MAX(0,DK29-DE29-DE28)*(1-CX30)</f>
        <v/>
      </c>
      <c r="DL30" s="12">
        <f>DF30+DF29+DF28+MAX(0,DL29-DF29-DF28)*(1-CX30)</f>
        <v/>
      </c>
      <c r="DM30" s="12">
        <f>DG30+DG29+DG28+MAX(0,DM29-DG29-DG28)*(1-CX30)</f>
        <v/>
      </c>
      <c r="DN30" s="12">
        <f>DN29+DH30-DH18*('Sens - Scenarios'!$D$6*VLOOKUP(CT30,ChurnSeasonTable,4,FALSE))*POWER(1-('Sens - Scenarios'!$D$6*VLOOKUP(CT30,ChurnSeasonTable,4,FALSE)),0)+DH6*('Sens - Scenarios'!$D$6*VLOOKUP(CT30,ChurnSeasonTable,4,FALSE))*POWER(1-('Sens - Scenarios'!$D$6*VLOOKUP(CT30,ChurnSeasonTable,4,FALSE)),1)</f>
        <v/>
      </c>
      <c r="DO30" s="12">
        <f>DO29+DI30-DI18*('Sens - Scenarios'!$D$6*VLOOKUP(CT30,ChurnSeasonTable,4,FALSE))*POWER(1-('Sens - Scenarios'!$D$6*VLOOKUP(CT30,ChurnSeasonTable,4,FALSE)),0)+DI6*('Sens - Scenarios'!$D$6*VLOOKUP(CT30,ChurnSeasonTable,4,FALSE))*POWER(1-('Sens - Scenarios'!$D$6*VLOOKUP(CT30,ChurnSeasonTable,4,FALSE)),1)</f>
        <v/>
      </c>
      <c r="DP30" s="12">
        <f>DP29+DJ30-DJ18*('Sens - Scenarios'!$D$6*VLOOKUP(CT30,ChurnSeasonTable,4,FALSE))*POWER(1-('Sens - Scenarios'!$D$6*VLOOKUP(CT30,ChurnSeasonTable,4,FALSE)),0)+DJ6*('Sens - Scenarios'!$D$6*VLOOKUP(CT30,ChurnSeasonTable,4,FALSE))*POWER(1-('Sens - Scenarios'!$D$6*VLOOKUP(CT30,ChurnSeasonTable,4,FALSE)),1)</f>
        <v/>
      </c>
      <c r="DQ30" s="12">
        <f>DK30+DL30+DM30+DN30+DO30+DP30</f>
        <v/>
      </c>
      <c r="DR30" s="9">
        <f>DK30*BlendedPriceEssMonthly*CW30+DL30*BlendedPricePremMonthly*CW30+DM30*BlendedPriceEliteMonthly*CW30+DN30*BlendedPriceEssAnnual*CW30/12+DO30*BlendedPricePremAnnual*CW30/12+DP30*BlendedPriceEliteAnnual*CW30/12</f>
        <v/>
      </c>
      <c r="DS30" s="9">
        <f>DR30*12</f>
        <v/>
      </c>
      <c r="DT30" s="12">
        <f>DK30*BlendedPriceEssMonthly*CW30+DL30*BlendedPricePremMonthly*CW30+DM30*BlendedPriceEliteMonthly*CW30</f>
        <v/>
      </c>
      <c r="DU30" s="12">
        <f>DH30*BlendedPriceEssAnnual*CW30+DI30*BlendedPricePremAnnual*CW30+DJ30*BlendedPriceEliteAnnual*CW30</f>
        <v/>
      </c>
      <c r="DV30" s="12">
        <f>DH18*POWER(1-('Sens - Scenarios'!$D$6*VLOOKUP(CT30,ChurnSeasonTable,4,FALSE)),1)*BlendedPriceEssAnnual*CW30+DH6*POWER(1-('Sens - Scenarios'!$D$6*VLOOKUP(CT30,ChurnSeasonTable,4,FALSE)),2)*BlendedPriceEssAnnual*CW30+DI18*POWER(1-('Sens - Scenarios'!$D$6*VLOOKUP(CT30,ChurnSeasonTable,4,FALSE)),1)*BlendedPricePremAnnual*CW30+DI6*POWER(1-('Sens - Scenarios'!$D$6*VLOOKUP(CT30,ChurnSeasonTable,4,FALSE)),2)*BlendedPricePremAnnual*CW30+DJ18*POWER(1-('Sens - Scenarios'!$D$6*VLOOKUP(CT30,ChurnSeasonTable,4,FALSE)),1)*BlendedPriceEliteAnnual*CW30+DJ6*POWER(1-('Sens - Scenarios'!$D$6*VLOOKUP(CT30,ChurnSeasonTable,4,FALSE)),2)*BlendedPriceEliteAnnual*CW30</f>
        <v/>
      </c>
      <c r="DW30" s="9">
        <f>DT30+DU30+DV30</f>
        <v/>
      </c>
      <c r="DX30" s="12">
        <f>SUM(DW19:DW30)</f>
        <v/>
      </c>
      <c r="DY30" s="12">
        <f>OR(DY29,IF(VATAgentMode,SUM($DW19:$DW30)-SUM($ED19:$ED30)&gt;=VATThreshold,SUM($DW19:$DW30)&gt;=VATThreshold))</f>
        <v/>
      </c>
      <c r="DZ30" s="9">
        <f>IF(DY30,IF(VATAgentMode,DW30-((DW30-ED30)-(DW30-ED30)/(1+VATRate)),DW30/(1+VATRate)),DW30)</f>
        <v/>
      </c>
      <c r="EA30" s="12">
        <f>DW30-DZ30</f>
        <v/>
      </c>
      <c r="EB30" s="12">
        <f>IF(DY30=0,0,IF(CT30=1,SUMPRODUCT(--(($CU$5:$CU30=$CU30-1)*($CT$5:$CT30&gt;=10)*($CT$5:$CT30&lt;=12)),$EA$5:$EA30),IF(CT30=4,SUMPRODUCT(--(($CU$5:$CU30=$CU30)*($CT$5:$CT30&gt;=1)*($CT$5:$CT30&lt;=3)),$EA$5:$EA30),IF(CT30=7,SUMPRODUCT(--(($CU$5:$CU30=$CU30)*($CT$5:$CT30&gt;=4)*($CT$5:$CT30&lt;=6)),$EA$5:$EA30),IF(CT30=10,SUMPRODUCT(--(($CU$5:$CU30=$CU30)*($CT$5:$CT30&gt;=7)*($CT$5:$CT30&lt;=9)),$EA$5:$EA30),0)))))</f>
        <v/>
      </c>
      <c r="EC30" s="12">
        <f>EC29+EA30-EB30</f>
        <v/>
      </c>
      <c r="ED30" s="12">
        <f>IF(ProviderDelay&gt;=1,DK29*BlendedProvPayEss+DL29*BlendedProvPayPrem+DM29*BlendedProvPayElite+DN29*BlendedProvPayEss+DO29*BlendedProvPayPrem+DP29*BlendedProvPayElite,DK30*BlendedProvPayEss+DL30*BlendedProvPayPrem+DM30*BlendedProvPayElite+DN30*BlendedProvPayEss+DO30*BlendedProvPayPrem+DP30*BlendedProvPayElite)</f>
        <v/>
      </c>
      <c r="EE30" s="12">
        <f>DW30*PaymentFee</f>
        <v/>
      </c>
      <c r="EF30" s="12">
        <f>DQ30*OpsAI</f>
        <v/>
      </c>
      <c r="EG30" s="12">
        <f>MonthlyFixed</f>
        <v/>
      </c>
      <c r="EH30" s="12">
        <f>DA30*ReferralReward</f>
        <v/>
      </c>
      <c r="EI30" s="12">
        <f>CY30</f>
        <v/>
      </c>
      <c r="EJ30" s="9">
        <f>DZ30-ED30-EE30-EF30-EG30-EH30-EI30</f>
        <v/>
      </c>
      <c r="EK30" s="9">
        <f>EK29+DW30-(ED30+EE30+EF30+EG30+EH30+EI30+EB30)</f>
        <v/>
      </c>
      <c r="EL30" s="12">
        <f>IF(DQ30&gt;0,DR30/DQ30,0)</f>
        <v/>
      </c>
      <c r="EM30" s="11">
        <f>IF(DQ29&gt;0,MAX(0,(DQ29+DB30-DQ30)/DQ29),0)</f>
        <v/>
      </c>
      <c r="EO30" s="12" t="n">
        <v>26</v>
      </c>
      <c r="EP30" s="12">
        <f>MOD(EO30-1+LaunchMonth-1,12)+1</f>
        <v/>
      </c>
      <c r="EQ30" s="12">
        <f>INT((EO30-1+LaunchMonth-1)/12)+1</f>
        <v/>
      </c>
      <c r="ER30" s="12">
        <f>VLOOKUP(EP30,SeasonTable,2,FALSE)</f>
        <v/>
      </c>
      <c r="ES30" s="12">
        <f>(1+InflationRate)^INT((EO30-1)/12)</f>
        <v/>
      </c>
      <c r="ET30" s="11">
        <f>'Sens - Churn'!$A$13*VLOOKUP(EP30,ChurnSeasonTable,4,FALSE)</f>
        <v/>
      </c>
      <c r="EU30" s="12">
        <f>MIN(MAX(MktMin19plus,FS29*MktPct19plus),MAX(0,GG29-CashBuffer))</f>
        <v/>
      </c>
      <c r="EV30" s="12">
        <f>IF(EU30&gt;0,MAX(1,ROUND(EU30/CAC*ER30,0)),0)</f>
        <v/>
      </c>
      <c r="EW30" s="12">
        <f>IF(EV30&gt;0,ROUND(EV30*ReferralMix/(1-ReferralMix),0),0)</f>
        <v/>
      </c>
      <c r="EX30" s="12">
        <f>EV30+EW30</f>
        <v/>
      </c>
      <c r="EY30" s="12">
        <f>ROUND(EX30*(1-AnnualMix),0)</f>
        <v/>
      </c>
      <c r="EZ30" s="12">
        <f>EX30-EY30</f>
        <v/>
      </c>
      <c r="FA30" s="12">
        <f>ROUND(EY30*EssentialMix,0)</f>
        <v/>
      </c>
      <c r="FB30" s="12">
        <f>ROUND(EY30*PremiumMix,0)</f>
        <v/>
      </c>
      <c r="FC30" s="12">
        <f>EY30-FA30-FB30</f>
        <v/>
      </c>
      <c r="FD30" s="12">
        <f>ROUND(EZ30*EssentialMix,0)</f>
        <v/>
      </c>
      <c r="FE30" s="12">
        <f>ROUND(EZ30*PremiumMix,0)</f>
        <v/>
      </c>
      <c r="FF30" s="12">
        <f>EZ30-FD30-FE30</f>
        <v/>
      </c>
      <c r="FG30" s="12">
        <f>FA30+FA29+FA28+MAX(0,FG29-FA29-FA28)*(1-ET30)</f>
        <v/>
      </c>
      <c r="FH30" s="12">
        <f>FB30+FB29+FB28+MAX(0,FH29-FB29-FB28)*(1-ET30)</f>
        <v/>
      </c>
      <c r="FI30" s="12">
        <f>FC30+FC29+FC28+MAX(0,FI29-FC29-FC28)*(1-ET30)</f>
        <v/>
      </c>
      <c r="FJ30" s="12">
        <f>FJ29+FD30-FD18*(AnnualChurn*VLOOKUP(EP30,ChurnSeasonTable,4,FALSE))*POWER(1-(AnnualChurn*VLOOKUP(EP30,ChurnSeasonTable,4,FALSE)),0)+FD6*(AnnualChurn*VLOOKUP(EP30,ChurnSeasonTable,4,FALSE))*POWER(1-(AnnualChurn*VLOOKUP(EP30,ChurnSeasonTable,4,FALSE)),1)</f>
        <v/>
      </c>
      <c r="FK30" s="12">
        <f>FK29+FE30-FE18*(AnnualChurn*VLOOKUP(EP30,ChurnSeasonTable,4,FALSE))*POWER(1-(AnnualChurn*VLOOKUP(EP30,ChurnSeasonTable,4,FALSE)),0)+FE6*(AnnualChurn*VLOOKUP(EP30,ChurnSeasonTable,4,FALSE))*POWER(1-(AnnualChurn*VLOOKUP(EP30,ChurnSeasonTable,4,FALSE)),1)</f>
        <v/>
      </c>
      <c r="FL30" s="12">
        <f>FL29+FF30-FF18*(AnnualChurn*VLOOKUP(EP30,ChurnSeasonTable,4,FALSE))*POWER(1-(AnnualChurn*VLOOKUP(EP30,ChurnSeasonTable,4,FALSE)),0)+FF6*(AnnualChurn*VLOOKUP(EP30,ChurnSeasonTable,4,FALSE))*POWER(1-(AnnualChurn*VLOOKUP(EP30,ChurnSeasonTable,4,FALSE)),1)</f>
        <v/>
      </c>
      <c r="FM30" s="12">
        <f>FG30+FH30+FI30+FJ30+FK30+FL30</f>
        <v/>
      </c>
      <c r="FN30" s="9">
        <f>FG30*BlendedPriceEssMonthly*ES30+FH30*BlendedPricePremMonthly*ES30+FI30*BlendedPriceEliteMonthly*ES30+FJ30*BlendedPriceEssAnnual*ES30/12+FK30*BlendedPricePremAnnual*ES30/12+FL30*BlendedPriceEliteAnnual*ES30/12</f>
        <v/>
      </c>
      <c r="FO30" s="9">
        <f>FN30*12</f>
        <v/>
      </c>
      <c r="FP30" s="12">
        <f>FG30*BlendedPriceEssMonthly*ES30+FH30*BlendedPricePremMonthly*ES30+FI30*BlendedPriceEliteMonthly*ES30</f>
        <v/>
      </c>
      <c r="FQ30" s="12">
        <f>FD30*BlendedPriceEssAnnual*ES30+FE30*BlendedPricePremAnnual*ES30+FF30*BlendedPriceEliteAnnual*ES30</f>
        <v/>
      </c>
      <c r="FR30" s="12">
        <f>FD18*POWER(1-(AnnualChurn*VLOOKUP(EP30,ChurnSeasonTable,4,FALSE)),1)*BlendedPriceEssAnnual*ES30+FD6*POWER(1-(AnnualChurn*VLOOKUP(EP30,ChurnSeasonTable,4,FALSE)),2)*BlendedPriceEssAnnual*ES30+FE18*POWER(1-(AnnualChurn*VLOOKUP(EP30,ChurnSeasonTable,4,FALSE)),1)*BlendedPricePremAnnual*ES30+FE6*POWER(1-(AnnualChurn*VLOOKUP(EP30,ChurnSeasonTable,4,FALSE)),2)*BlendedPricePremAnnual*ES30+FF18*POWER(1-(AnnualChurn*VLOOKUP(EP30,ChurnSeasonTable,4,FALSE)),1)*BlendedPriceEliteAnnual*ES30+FF6*POWER(1-(AnnualChurn*VLOOKUP(EP30,ChurnSeasonTable,4,FALSE)),2)*BlendedPriceEliteAnnual*ES30</f>
        <v/>
      </c>
      <c r="FS30" s="9">
        <f>FP30+FQ30+FR30</f>
        <v/>
      </c>
      <c r="FT30" s="12">
        <f>SUM(FS19:FS30)</f>
        <v/>
      </c>
      <c r="FU30" s="12">
        <f>OR(FU29,IF(VATAgentMode,SUM($FS19:$FS30)-SUM($FZ19:$FZ30)&gt;=VATThreshold,SUM($FS19:$FS30)&gt;=VATThreshold))</f>
        <v/>
      </c>
      <c r="FV30" s="9">
        <f>IF(FU30,IF(VATAgentMode,FS30-((FS30-FZ30)-(FS30-FZ30)/(1+VATRate)),FS30/(1+VATRate)),FS30)</f>
        <v/>
      </c>
      <c r="FW30" s="12">
        <f>FS30-FV30</f>
        <v/>
      </c>
      <c r="FX30" s="12">
        <f>IF(FU30=0,0,IF(EP30=1,SUMPRODUCT(--(($EQ$5:$EQ30=$EQ30-1)*($EP$5:$EP30&gt;=10)*($EP$5:$EP30&lt;=12)),$FW$5:$FW30),IF(EP30=4,SUMPRODUCT(--(($EQ$5:$EQ30=$EQ30)*($EP$5:$EP30&gt;=1)*($EP$5:$EP30&lt;=3)),$FW$5:$FW30),IF(EP30=7,SUMPRODUCT(--(($EQ$5:$EQ30=$EQ30)*($EP$5:$EP30&gt;=4)*($EP$5:$EP30&lt;=6)),$FW$5:$FW30),IF(EP30=10,SUMPRODUCT(--(($EQ$5:$EQ30=$EQ30)*($EP$5:$EP30&gt;=7)*($EP$5:$EP30&lt;=9)),$FW$5:$FW30),0)))))</f>
        <v/>
      </c>
      <c r="FY30" s="12">
        <f>FY29+FW30-FX30</f>
        <v/>
      </c>
      <c r="FZ30" s="12">
        <f>IF(ProviderDelay&gt;=1,FG29*BlendedProvPayEss+FH29*BlendedProvPayPrem+FI29*BlendedProvPayElite+FJ29*BlendedProvPayEss+FK29*BlendedProvPayPrem+FL29*BlendedProvPayElite,FG30*BlendedProvPayEss+FH30*BlendedProvPayPrem+FI30*BlendedProvPayElite+FJ30*BlendedProvPayEss+FK30*BlendedProvPayPrem+FL30*BlendedProvPayElite)</f>
        <v/>
      </c>
      <c r="GA30" s="12">
        <f>FS30*PaymentFee</f>
        <v/>
      </c>
      <c r="GB30" s="12">
        <f>FM30*OpsAI</f>
        <v/>
      </c>
      <c r="GC30" s="12">
        <f>MonthlyFixed</f>
        <v/>
      </c>
      <c r="GD30" s="12">
        <f>EW30*ReferralReward</f>
        <v/>
      </c>
      <c r="GE30" s="12">
        <f>EU30</f>
        <v/>
      </c>
      <c r="GF30" s="9">
        <f>FV30-FZ30-GA30-GB30-GC30-GD30-GE30</f>
        <v/>
      </c>
      <c r="GG30" s="9">
        <f>GG29+FS30-(FZ30+GA30+GB30+GC30+GD30+GE30+FX30)</f>
        <v/>
      </c>
      <c r="GH30" s="12">
        <f>IF(FM30&gt;0,FN30/FM30,0)</f>
        <v/>
      </c>
      <c r="GI30" s="11">
        <f>IF(FM29&gt;0,MAX(0,(FM29+EX30-FM30)/FM29),0)</f>
        <v/>
      </c>
      <c r="GK30" s="12" t="n">
        <v>26</v>
      </c>
      <c r="GL30" s="12">
        <f>MOD(GK30-1+LaunchMonth-1,12)+1</f>
        <v/>
      </c>
      <c r="GM30" s="12">
        <f>INT((GK30-1+LaunchMonth-1)/12)+1</f>
        <v/>
      </c>
      <c r="GN30" s="12">
        <f>VLOOKUP(GL30,SeasonTable,2,FALSE)</f>
        <v/>
      </c>
      <c r="GO30" s="12">
        <f>(1+InflationRate)^INT((GK30-1)/12)</f>
        <v/>
      </c>
      <c r="GP30" s="11">
        <f>'Sens - Churn'!$A$14*VLOOKUP(GL30,ChurnSeasonTable,4,FALSE)</f>
        <v/>
      </c>
      <c r="GQ30" s="12">
        <f>MIN(MAX(MktMin19plus,HO29*MktPct19plus),MAX(0,IC29-CashBuffer))</f>
        <v/>
      </c>
      <c r="GR30" s="12">
        <f>IF(GQ30&gt;0,MAX(1,ROUND(GQ30/CAC*GN30,0)),0)</f>
        <v/>
      </c>
      <c r="GS30" s="12">
        <f>IF(GR30&gt;0,ROUND(GR30*ReferralMix/(1-ReferralMix),0),0)</f>
        <v/>
      </c>
      <c r="GT30" s="12">
        <f>GR30+GS30</f>
        <v/>
      </c>
      <c r="GU30" s="12">
        <f>ROUND(GT30*(1-AnnualMix),0)</f>
        <v/>
      </c>
      <c r="GV30" s="12">
        <f>GT30-GU30</f>
        <v/>
      </c>
      <c r="GW30" s="12">
        <f>ROUND(GU30*EssentialMix,0)</f>
        <v/>
      </c>
      <c r="GX30" s="12">
        <f>ROUND(GU30*PremiumMix,0)</f>
        <v/>
      </c>
      <c r="GY30" s="12">
        <f>GU30-GW30-GX30</f>
        <v/>
      </c>
      <c r="GZ30" s="12">
        <f>ROUND(GV30*EssentialMix,0)</f>
        <v/>
      </c>
      <c r="HA30" s="12">
        <f>ROUND(GV30*PremiumMix,0)</f>
        <v/>
      </c>
      <c r="HB30" s="12">
        <f>GV30-GZ30-HA30</f>
        <v/>
      </c>
      <c r="HC30" s="12">
        <f>GW30+GW29+GW28+MAX(0,HC29-GW29-GW28)*(1-GP30)</f>
        <v/>
      </c>
      <c r="HD30" s="12">
        <f>GX30+GX29+GX28+MAX(0,HD29-GX29-GX28)*(1-GP30)</f>
        <v/>
      </c>
      <c r="HE30" s="12">
        <f>GY30+GY29+GY28+MAX(0,HE29-GY29-GY28)*(1-GP30)</f>
        <v/>
      </c>
      <c r="HF30" s="12">
        <f>HF29+GZ30-GZ18*(AnnualChurn*VLOOKUP(GL30,ChurnSeasonTable,4,FALSE))*POWER(1-(AnnualChurn*VLOOKUP(GL30,ChurnSeasonTable,4,FALSE)),0)+GZ6*(AnnualChurn*VLOOKUP(GL30,ChurnSeasonTable,4,FALSE))*POWER(1-(AnnualChurn*VLOOKUP(GL30,ChurnSeasonTable,4,FALSE)),1)</f>
        <v/>
      </c>
      <c r="HG30" s="12">
        <f>HG29+HA30-HA18*(AnnualChurn*VLOOKUP(GL30,ChurnSeasonTable,4,FALSE))*POWER(1-(AnnualChurn*VLOOKUP(GL30,ChurnSeasonTable,4,FALSE)),0)+HA6*(AnnualChurn*VLOOKUP(GL30,ChurnSeasonTable,4,FALSE))*POWER(1-(AnnualChurn*VLOOKUP(GL30,ChurnSeasonTable,4,FALSE)),1)</f>
        <v/>
      </c>
      <c r="HH30" s="12">
        <f>HH29+HB30-HB18*(AnnualChurn*VLOOKUP(GL30,ChurnSeasonTable,4,FALSE))*POWER(1-(AnnualChurn*VLOOKUP(GL30,ChurnSeasonTable,4,FALSE)),0)+HB6*(AnnualChurn*VLOOKUP(GL30,ChurnSeasonTable,4,FALSE))*POWER(1-(AnnualChurn*VLOOKUP(GL30,ChurnSeasonTable,4,FALSE)),1)</f>
        <v/>
      </c>
      <c r="HI30" s="12">
        <f>HC30+HD30+HE30+HF30+HG30+HH30</f>
        <v/>
      </c>
      <c r="HJ30" s="9">
        <f>HC30*BlendedPriceEssMonthly*GO30+HD30*BlendedPricePremMonthly*GO30+HE30*BlendedPriceEliteMonthly*GO30+HF30*BlendedPriceEssAnnual*GO30/12+HG30*BlendedPricePremAnnual*GO30/12+HH30*BlendedPriceEliteAnnual*GO30/12</f>
        <v/>
      </c>
      <c r="HK30" s="9">
        <f>HJ30*12</f>
        <v/>
      </c>
      <c r="HL30" s="12">
        <f>HC30*BlendedPriceEssMonthly*GO30+HD30*BlendedPricePremMonthly*GO30+HE30*BlendedPriceEliteMonthly*GO30</f>
        <v/>
      </c>
      <c r="HM30" s="12">
        <f>GZ30*BlendedPriceEssAnnual*GO30+HA30*BlendedPricePremAnnual*GO30+HB30*BlendedPriceEliteAnnual*GO30</f>
        <v/>
      </c>
      <c r="HN30" s="12">
        <f>GZ18*POWER(1-(AnnualChurn*VLOOKUP(GL30,ChurnSeasonTable,4,FALSE)),1)*BlendedPriceEssAnnual*GO30+GZ6*POWER(1-(AnnualChurn*VLOOKUP(GL30,ChurnSeasonTable,4,FALSE)),2)*BlendedPriceEssAnnual*GO30+HA18*POWER(1-(AnnualChurn*VLOOKUP(GL30,ChurnSeasonTable,4,FALSE)),1)*BlendedPricePremAnnual*GO30+HA6*POWER(1-(AnnualChurn*VLOOKUP(GL30,ChurnSeasonTable,4,FALSE)),2)*BlendedPricePremAnnual*GO30+HB18*POWER(1-(AnnualChurn*VLOOKUP(GL30,ChurnSeasonTable,4,FALSE)),1)*BlendedPriceEliteAnnual*GO30+HB6*POWER(1-(AnnualChurn*VLOOKUP(GL30,ChurnSeasonTable,4,FALSE)),2)*BlendedPriceEliteAnnual*GO30</f>
        <v/>
      </c>
      <c r="HO30" s="9">
        <f>HL30+HM30+HN30</f>
        <v/>
      </c>
      <c r="HP30" s="12">
        <f>SUM(HO19:HO30)</f>
        <v/>
      </c>
      <c r="HQ30" s="12">
        <f>OR(HQ29,IF(VATAgentMode,SUM($HO19:$HO30)-SUM($HV19:$HV30)&gt;=VATThreshold,SUM($HO19:$HO30)&gt;=VATThreshold))</f>
        <v/>
      </c>
      <c r="HR30" s="9">
        <f>IF(HQ30,IF(VATAgentMode,HO30-((HO30-HV30)-(HO30-HV30)/(1+VATRate)),HO30/(1+VATRate)),HO30)</f>
        <v/>
      </c>
      <c r="HS30" s="12">
        <f>HO30-HR30</f>
        <v/>
      </c>
      <c r="HT30" s="12">
        <f>IF(HQ30=0,0,IF(GL30=1,SUMPRODUCT(--(($GM$5:$GM30=$GM30-1)*($GL$5:$GL30&gt;=10)*($GL$5:$GL30&lt;=12)),$HS$5:$HS30),IF(GL30=4,SUMPRODUCT(--(($GM$5:$GM30=$GM30)*($GL$5:$GL30&gt;=1)*($GL$5:$GL30&lt;=3)),$HS$5:$HS30),IF(GL30=7,SUMPRODUCT(--(($GM$5:$GM30=$GM30)*($GL$5:$GL30&gt;=4)*($GL$5:$GL30&lt;=6)),$HS$5:$HS30),IF(GL30=10,SUMPRODUCT(--(($GM$5:$GM30=$GM30)*($GL$5:$GL30&gt;=7)*($GL$5:$GL30&lt;=9)),$HS$5:$HS30),0)))))</f>
        <v/>
      </c>
      <c r="HU30" s="12">
        <f>HU29+HS30-HT30</f>
        <v/>
      </c>
      <c r="HV30" s="12">
        <f>IF(ProviderDelay&gt;=1,HC29*BlendedProvPayEss+HD29*BlendedProvPayPrem+HE29*BlendedProvPayElite+HF29*BlendedProvPayEss+HG29*BlendedProvPayPrem+HH29*BlendedProvPayElite,HC30*BlendedProvPayEss+HD30*BlendedProvPayPrem+HE30*BlendedProvPayElite+HF30*BlendedProvPayEss+HG30*BlendedProvPayPrem+HH30*BlendedProvPayElite)</f>
        <v/>
      </c>
      <c r="HW30" s="12">
        <f>HO30*PaymentFee</f>
        <v/>
      </c>
      <c r="HX30" s="12">
        <f>HI30*OpsAI</f>
        <v/>
      </c>
      <c r="HY30" s="12">
        <f>MonthlyFixed</f>
        <v/>
      </c>
      <c r="HZ30" s="12">
        <f>GS30*ReferralReward</f>
        <v/>
      </c>
      <c r="IA30" s="12">
        <f>GQ30</f>
        <v/>
      </c>
      <c r="IB30" s="9">
        <f>HR30-HV30-HW30-HX30-HY30-HZ30-IA30</f>
        <v/>
      </c>
      <c r="IC30" s="9">
        <f>IC29+HO30-(HV30+HW30+HX30+HY30+HZ30+IA30+HT30)</f>
        <v/>
      </c>
      <c r="ID30" s="12">
        <f>IF(HI30&gt;0,HJ30/HI30,0)</f>
        <v/>
      </c>
      <c r="IE30" s="11">
        <f>IF(HI29&gt;0,MAX(0,(HI29+GT30-HI30)/HI29),0)</f>
        <v/>
      </c>
      <c r="IG30" s="12" t="n">
        <v>26</v>
      </c>
      <c r="IH30" s="12">
        <f>MOD(IG30-1+LaunchMonth-1,12)+1</f>
        <v/>
      </c>
      <c r="II30" s="12">
        <f>INT((IG30-1+LaunchMonth-1)/12)+1</f>
        <v/>
      </c>
      <c r="IJ30" s="12">
        <f>VLOOKUP(IH30,SeasonTable,2,FALSE)</f>
        <v/>
      </c>
      <c r="IK30" s="12">
        <f>(1+InflationRate)^INT((IG30-1)/12)</f>
        <v/>
      </c>
      <c r="IL30" s="11">
        <f>'Sens - Churn'!$A$15*VLOOKUP(IH30,ChurnSeasonTable,4,FALSE)</f>
        <v/>
      </c>
      <c r="IM30" s="12">
        <f>MIN(MAX(MktMin19plus,JK29*MktPct19plus),MAX(0,JY29-CashBuffer))</f>
        <v/>
      </c>
      <c r="IN30" s="12">
        <f>IF(IM30&gt;0,MAX(1,ROUND(IM30/CAC*IJ30,0)),0)</f>
        <v/>
      </c>
      <c r="IO30" s="12">
        <f>IF(IN30&gt;0,ROUND(IN30*ReferralMix/(1-ReferralMix),0),0)</f>
        <v/>
      </c>
      <c r="IP30" s="12">
        <f>IN30+IO30</f>
        <v/>
      </c>
      <c r="IQ30" s="12">
        <f>ROUND(IP30*(1-AnnualMix),0)</f>
        <v/>
      </c>
      <c r="IR30" s="12">
        <f>IP30-IQ30</f>
        <v/>
      </c>
      <c r="IS30" s="12">
        <f>ROUND(IQ30*EssentialMix,0)</f>
        <v/>
      </c>
      <c r="IT30" s="12">
        <f>ROUND(IQ30*PremiumMix,0)</f>
        <v/>
      </c>
      <c r="IU30" s="12">
        <f>IQ30-IS30-IT30</f>
        <v/>
      </c>
      <c r="IV30" s="12">
        <f>ROUND(IR30*EssentialMix,0)</f>
        <v/>
      </c>
      <c r="IW30" s="12">
        <f>ROUND(IR30*PremiumMix,0)</f>
        <v/>
      </c>
      <c r="IX30" s="12">
        <f>IR30-IV30-IW30</f>
        <v/>
      </c>
      <c r="IY30" s="12">
        <f>IS30+IS29+IS28+MAX(0,IY29-IS29-IS28)*(1-IL30)</f>
        <v/>
      </c>
      <c r="IZ30" s="12">
        <f>IT30+IT29+IT28+MAX(0,IZ29-IT29-IT28)*(1-IL30)</f>
        <v/>
      </c>
      <c r="JA30" s="12">
        <f>IU30+IU29+IU28+MAX(0,JA29-IU29-IU28)*(1-IL30)</f>
        <v/>
      </c>
      <c r="JB30" s="12">
        <f>JB29+IV30-IV18*(AnnualChurn*VLOOKUP(IH30,ChurnSeasonTable,4,FALSE))*POWER(1-(AnnualChurn*VLOOKUP(IH30,ChurnSeasonTable,4,FALSE)),0)+IV6*(AnnualChurn*VLOOKUP(IH30,ChurnSeasonTable,4,FALSE))*POWER(1-(AnnualChurn*VLOOKUP(IH30,ChurnSeasonTable,4,FALSE)),1)</f>
        <v/>
      </c>
      <c r="JC30" s="12">
        <f>JC29+IW30-IW18*(AnnualChurn*VLOOKUP(IH30,ChurnSeasonTable,4,FALSE))*POWER(1-(AnnualChurn*VLOOKUP(IH30,ChurnSeasonTable,4,FALSE)),0)+IW6*(AnnualChurn*VLOOKUP(IH30,ChurnSeasonTable,4,FALSE))*POWER(1-(AnnualChurn*VLOOKUP(IH30,ChurnSeasonTable,4,FALSE)),1)</f>
        <v/>
      </c>
      <c r="JD30" s="12">
        <f>JD29+IX30-IX18*(AnnualChurn*VLOOKUP(IH30,ChurnSeasonTable,4,FALSE))*POWER(1-(AnnualChurn*VLOOKUP(IH30,ChurnSeasonTable,4,FALSE)),0)+IX6*(AnnualChurn*VLOOKUP(IH30,ChurnSeasonTable,4,FALSE))*POWER(1-(AnnualChurn*VLOOKUP(IH30,ChurnSeasonTable,4,FALSE)),1)</f>
        <v/>
      </c>
      <c r="JE30" s="12">
        <f>IY30+IZ30+JA30+JB30+JC30+JD30</f>
        <v/>
      </c>
      <c r="JF30" s="9">
        <f>IY30*BlendedPriceEssMonthly*IK30+IZ30*BlendedPricePremMonthly*IK30+JA30*BlendedPriceEliteMonthly*IK30+JB30*BlendedPriceEssAnnual*IK30/12+JC30*BlendedPricePremAnnual*IK30/12+JD30*BlendedPriceEliteAnnual*IK30/12</f>
        <v/>
      </c>
      <c r="JG30" s="9">
        <f>JF30*12</f>
        <v/>
      </c>
      <c r="JH30" s="12">
        <f>IY30*BlendedPriceEssMonthly*IK30+IZ30*BlendedPricePremMonthly*IK30+JA30*BlendedPriceEliteMonthly*IK30</f>
        <v/>
      </c>
      <c r="JI30" s="12">
        <f>IV30*BlendedPriceEssAnnual*IK30+IW30*BlendedPricePremAnnual*IK30+IX30*BlendedPriceEliteAnnual*IK30</f>
        <v/>
      </c>
      <c r="JJ30" s="12">
        <f>IV18*POWER(1-(AnnualChurn*VLOOKUP(IH30,ChurnSeasonTable,4,FALSE)),1)*BlendedPriceEssAnnual*IK30+IV6*POWER(1-(AnnualChurn*VLOOKUP(IH30,ChurnSeasonTable,4,FALSE)),2)*BlendedPriceEssAnnual*IK30+IW18*POWER(1-(AnnualChurn*VLOOKUP(IH30,ChurnSeasonTable,4,FALSE)),1)*BlendedPricePremAnnual*IK30+IW6*POWER(1-(AnnualChurn*VLOOKUP(IH30,ChurnSeasonTable,4,FALSE)),2)*BlendedPricePremAnnual*IK30+IX18*POWER(1-(AnnualChurn*VLOOKUP(IH30,ChurnSeasonTable,4,FALSE)),1)*BlendedPriceEliteAnnual*IK30+IX6*POWER(1-(AnnualChurn*VLOOKUP(IH30,ChurnSeasonTable,4,FALSE)),2)*BlendedPriceEliteAnnual*IK30</f>
        <v/>
      </c>
      <c r="JK30" s="9">
        <f>JH30+JI30+JJ30</f>
        <v/>
      </c>
      <c r="JL30" s="12">
        <f>SUM(JK19:JK30)</f>
        <v/>
      </c>
      <c r="JM30" s="12">
        <f>OR(JM29,IF(VATAgentMode,SUM($JK19:$JK30)-SUM($JR19:$JR30)&gt;=VATThreshold,SUM($JK19:$JK30)&gt;=VATThreshold))</f>
        <v/>
      </c>
      <c r="JN30" s="9">
        <f>IF(JM30,IF(VATAgentMode,JK30-((JK30-JR30)-(JK30-JR30)/(1+VATRate)),JK30/(1+VATRate)),JK30)</f>
        <v/>
      </c>
      <c r="JO30" s="12">
        <f>JK30-JN30</f>
        <v/>
      </c>
      <c r="JP30" s="12">
        <f>IF(JM30=0,0,IF(IH30=1,SUMPRODUCT(--(($II$5:$II30=$II30-1)*($IH$5:$IH30&gt;=10)*($IH$5:$IH30&lt;=12)),$JO$5:$JO30),IF(IH30=4,SUMPRODUCT(--(($II$5:$II30=$II30)*($IH$5:$IH30&gt;=1)*($IH$5:$IH30&lt;=3)),$JO$5:$JO30),IF(IH30=7,SUMPRODUCT(--(($II$5:$II30=$II30)*($IH$5:$IH30&gt;=4)*($IH$5:$IH30&lt;=6)),$JO$5:$JO30),IF(IH30=10,SUMPRODUCT(--(($II$5:$II30=$II30)*($IH$5:$IH30&gt;=7)*($IH$5:$IH30&lt;=9)),$JO$5:$JO30),0)))))</f>
        <v/>
      </c>
      <c r="JQ30" s="12">
        <f>JQ29+JO30-JP30</f>
        <v/>
      </c>
      <c r="JR30" s="12">
        <f>IF(ProviderDelay&gt;=1,IY29*BlendedProvPayEss+IZ29*BlendedProvPayPrem+JA29*BlendedProvPayElite+JB29*BlendedProvPayEss+JC29*BlendedProvPayPrem+JD29*BlendedProvPayElite,IY30*BlendedProvPayEss+IZ30*BlendedProvPayPrem+JA30*BlendedProvPayElite+JB30*BlendedProvPayEss+JC30*BlendedProvPayPrem+JD30*BlendedProvPayElite)</f>
        <v/>
      </c>
      <c r="JS30" s="12">
        <f>JK30*PaymentFee</f>
        <v/>
      </c>
      <c r="JT30" s="12">
        <f>JE30*OpsAI</f>
        <v/>
      </c>
      <c r="JU30" s="12">
        <f>MonthlyFixed</f>
        <v/>
      </c>
      <c r="JV30" s="12">
        <f>IO30*ReferralReward</f>
        <v/>
      </c>
      <c r="JW30" s="12">
        <f>IM30</f>
        <v/>
      </c>
      <c r="JX30" s="9">
        <f>JN30-JR30-JS30-JT30-JU30-JV30-JW30</f>
        <v/>
      </c>
      <c r="JY30" s="9">
        <f>JY29+JK30-(JR30+JS30+JT30+JU30+JV30+JW30+JP30)</f>
        <v/>
      </c>
      <c r="JZ30" s="12">
        <f>IF(JE30&gt;0,JF30/JE30,0)</f>
        <v/>
      </c>
      <c r="KA30" s="11">
        <f>IF(JE29&gt;0,MAX(0,(JE29+IP30-JE30)/JE29),0)</f>
        <v/>
      </c>
      <c r="KC30" s="12" t="n">
        <v>26</v>
      </c>
      <c r="KD30" s="12">
        <f>MOD(KC30-1+LaunchMonth-1,12)+1</f>
        <v/>
      </c>
      <c r="KE30" s="12">
        <f>INT((KC30-1+LaunchMonth-1)/12)+1</f>
        <v/>
      </c>
      <c r="KF30" s="12">
        <f>VLOOKUP(KD30,SeasonTable,2,FALSE)</f>
        <v/>
      </c>
      <c r="KG30" s="12">
        <f>(1+InflationRate)^INT((KC30-1)/12)</f>
        <v/>
      </c>
      <c r="KH30" s="11">
        <f>'Sens - Churn'!$A$16*VLOOKUP(KD30,ChurnSeasonTable,4,FALSE)</f>
        <v/>
      </c>
      <c r="KI30" s="12">
        <f>MIN(MAX(MktMin19plus,LG29*MktPct19plus),MAX(0,LU29-CashBuffer))</f>
        <v/>
      </c>
      <c r="KJ30" s="12">
        <f>IF(KI30&gt;0,MAX(1,ROUND(KI30/CAC*KF30,0)),0)</f>
        <v/>
      </c>
      <c r="KK30" s="12">
        <f>IF(KJ30&gt;0,ROUND(KJ30*ReferralMix/(1-ReferralMix),0),0)</f>
        <v/>
      </c>
      <c r="KL30" s="12">
        <f>KJ30+KK30</f>
        <v/>
      </c>
      <c r="KM30" s="12">
        <f>ROUND(KL30*(1-AnnualMix),0)</f>
        <v/>
      </c>
      <c r="KN30" s="12">
        <f>KL30-KM30</f>
        <v/>
      </c>
      <c r="KO30" s="12">
        <f>ROUND(KM30*EssentialMix,0)</f>
        <v/>
      </c>
      <c r="KP30" s="12">
        <f>ROUND(KM30*PremiumMix,0)</f>
        <v/>
      </c>
      <c r="KQ30" s="12">
        <f>KM30-KO30-KP30</f>
        <v/>
      </c>
      <c r="KR30" s="12">
        <f>ROUND(KN30*EssentialMix,0)</f>
        <v/>
      </c>
      <c r="KS30" s="12">
        <f>ROUND(KN30*PremiumMix,0)</f>
        <v/>
      </c>
      <c r="KT30" s="12">
        <f>KN30-KR30-KS30</f>
        <v/>
      </c>
      <c r="KU30" s="12">
        <f>KO30+KO29+KO28+MAX(0,KU29-KO29-KO28)*(1-KH30)</f>
        <v/>
      </c>
      <c r="KV30" s="12">
        <f>KP30+KP29+KP28+MAX(0,KV29-KP29-KP28)*(1-KH30)</f>
        <v/>
      </c>
      <c r="KW30" s="12">
        <f>KQ30+KQ29+KQ28+MAX(0,KW29-KQ29-KQ28)*(1-KH30)</f>
        <v/>
      </c>
      <c r="KX30" s="12">
        <f>KX29+KR30-KR18*(AnnualChurn*VLOOKUP(KD30,ChurnSeasonTable,4,FALSE))*POWER(1-(AnnualChurn*VLOOKUP(KD30,ChurnSeasonTable,4,FALSE)),0)+KR6*(AnnualChurn*VLOOKUP(KD30,ChurnSeasonTable,4,FALSE))*POWER(1-(AnnualChurn*VLOOKUP(KD30,ChurnSeasonTable,4,FALSE)),1)</f>
        <v/>
      </c>
      <c r="KY30" s="12">
        <f>KY29+KS30-KS18*(AnnualChurn*VLOOKUP(KD30,ChurnSeasonTable,4,FALSE))*POWER(1-(AnnualChurn*VLOOKUP(KD30,ChurnSeasonTable,4,FALSE)),0)+KS6*(AnnualChurn*VLOOKUP(KD30,ChurnSeasonTable,4,FALSE))*POWER(1-(AnnualChurn*VLOOKUP(KD30,ChurnSeasonTable,4,FALSE)),1)</f>
        <v/>
      </c>
      <c r="KZ30" s="12">
        <f>KZ29+KT30-KT18*(AnnualChurn*VLOOKUP(KD30,ChurnSeasonTable,4,FALSE))*POWER(1-(AnnualChurn*VLOOKUP(KD30,ChurnSeasonTable,4,FALSE)),0)+KT6*(AnnualChurn*VLOOKUP(KD30,ChurnSeasonTable,4,FALSE))*POWER(1-(AnnualChurn*VLOOKUP(KD30,ChurnSeasonTable,4,FALSE)),1)</f>
        <v/>
      </c>
      <c r="LA30" s="12">
        <f>KU30+KV30+KW30+KX30+KY30+KZ30</f>
        <v/>
      </c>
      <c r="LB30" s="9">
        <f>KU30*BlendedPriceEssMonthly*KG30+KV30*BlendedPricePremMonthly*KG30+KW30*BlendedPriceEliteMonthly*KG30+KX30*BlendedPriceEssAnnual*KG30/12+KY30*BlendedPricePremAnnual*KG30/12+KZ30*BlendedPriceEliteAnnual*KG30/12</f>
        <v/>
      </c>
      <c r="LC30" s="9">
        <f>LB30*12</f>
        <v/>
      </c>
      <c r="LD30" s="12">
        <f>KU30*BlendedPriceEssMonthly*KG30+KV30*BlendedPricePremMonthly*KG30+KW30*BlendedPriceEliteMonthly*KG30</f>
        <v/>
      </c>
      <c r="LE30" s="12">
        <f>KR30*BlendedPriceEssAnnual*KG30+KS30*BlendedPricePremAnnual*KG30+KT30*BlendedPriceEliteAnnual*KG30</f>
        <v/>
      </c>
      <c r="LF30" s="12">
        <f>KR18*POWER(1-(AnnualChurn*VLOOKUP(KD30,ChurnSeasonTable,4,FALSE)),1)*BlendedPriceEssAnnual*KG30+KR6*POWER(1-(AnnualChurn*VLOOKUP(KD30,ChurnSeasonTable,4,FALSE)),2)*BlendedPriceEssAnnual*KG30+KS18*POWER(1-(AnnualChurn*VLOOKUP(KD30,ChurnSeasonTable,4,FALSE)),1)*BlendedPricePremAnnual*KG30+KS6*POWER(1-(AnnualChurn*VLOOKUP(KD30,ChurnSeasonTable,4,FALSE)),2)*BlendedPricePremAnnual*KG30+KT18*POWER(1-(AnnualChurn*VLOOKUP(KD30,ChurnSeasonTable,4,FALSE)),1)*BlendedPriceEliteAnnual*KG30+KT6*POWER(1-(AnnualChurn*VLOOKUP(KD30,ChurnSeasonTable,4,FALSE)),2)*BlendedPriceEliteAnnual*KG30</f>
        <v/>
      </c>
      <c r="LG30" s="9">
        <f>LD30+LE30+LF30</f>
        <v/>
      </c>
      <c r="LH30" s="12">
        <f>SUM(LG19:LG30)</f>
        <v/>
      </c>
      <c r="LI30" s="12">
        <f>OR(LI29,IF(VATAgentMode,SUM($LG19:$LG30)-SUM($LN19:$LN30)&gt;=VATThreshold,SUM($LG19:$LG30)&gt;=VATThreshold))</f>
        <v/>
      </c>
      <c r="LJ30" s="9">
        <f>IF(LI30,IF(VATAgentMode,LG30-((LG30-LN30)-(LG30-LN30)/(1+VATRate)),LG30/(1+VATRate)),LG30)</f>
        <v/>
      </c>
      <c r="LK30" s="12">
        <f>LG30-LJ30</f>
        <v/>
      </c>
      <c r="LL30" s="12">
        <f>IF(LI30=0,0,IF(KD30=1,SUMPRODUCT(--(($KE$5:$KE30=$KE30-1)*($KD$5:$KD30&gt;=10)*($KD$5:$KD30&lt;=12)),$LK$5:$LK30),IF(KD30=4,SUMPRODUCT(--(($KE$5:$KE30=$KE30)*($KD$5:$KD30&gt;=1)*($KD$5:$KD30&lt;=3)),$LK$5:$LK30),IF(KD30=7,SUMPRODUCT(--(($KE$5:$KE30=$KE30)*($KD$5:$KD30&gt;=4)*($KD$5:$KD30&lt;=6)),$LK$5:$LK30),IF(KD30=10,SUMPRODUCT(--(($KE$5:$KE30=$KE30)*($KD$5:$KD30&gt;=7)*($KD$5:$KD30&lt;=9)),$LK$5:$LK30),0)))))</f>
        <v/>
      </c>
      <c r="LM30" s="12">
        <f>LM29+LK30-LL30</f>
        <v/>
      </c>
      <c r="LN30" s="12">
        <f>IF(ProviderDelay&gt;=1,KU29*BlendedProvPayEss+KV29*BlendedProvPayPrem+KW29*BlendedProvPayElite+KX29*BlendedProvPayEss+KY29*BlendedProvPayPrem+KZ29*BlendedProvPayElite,KU30*BlendedProvPayEss+KV30*BlendedProvPayPrem+KW30*BlendedProvPayElite+KX30*BlendedProvPayEss+KY30*BlendedProvPayPrem+KZ30*BlendedProvPayElite)</f>
        <v/>
      </c>
      <c r="LO30" s="12">
        <f>LG30*PaymentFee</f>
        <v/>
      </c>
      <c r="LP30" s="12">
        <f>LA30*OpsAI</f>
        <v/>
      </c>
      <c r="LQ30" s="12">
        <f>MonthlyFixed</f>
        <v/>
      </c>
      <c r="LR30" s="12">
        <f>KK30*ReferralReward</f>
        <v/>
      </c>
      <c r="LS30" s="12">
        <f>KI30</f>
        <v/>
      </c>
      <c r="LT30" s="9">
        <f>LJ30-LN30-LO30-LP30-LQ30-LR30-LS30</f>
        <v/>
      </c>
      <c r="LU30" s="9">
        <f>LU29+LG30-(LN30+LO30+LP30+LQ30+LR30+LS30+LL30)</f>
        <v/>
      </c>
      <c r="LV30" s="12">
        <f>IF(LA30&gt;0,LB30/LA30,0)</f>
        <v/>
      </c>
      <c r="LW30" s="11">
        <f>IF(LA29&gt;0,MAX(0,(LA29+KL30-LA30)/LA29),0)</f>
        <v/>
      </c>
      <c r="LY30" s="12" t="n">
        <v>26</v>
      </c>
      <c r="LZ30" s="12">
        <f>MOD(LY30-1+LaunchMonth-1,12)+1</f>
        <v/>
      </c>
      <c r="MA30" s="12">
        <f>INT((LY30-1+LaunchMonth-1)/12)+1</f>
        <v/>
      </c>
      <c r="MB30" s="12">
        <f>VLOOKUP(LZ30,SeasonTable,2,FALSE)</f>
        <v/>
      </c>
      <c r="MC30" s="12">
        <f>(1+InflationRate)^INT((LY30-1)/12)</f>
        <v/>
      </c>
      <c r="MD30" s="11">
        <f>'Sens - Churn'!$A$17*VLOOKUP(LZ30,ChurnSeasonTable,4,FALSE)</f>
        <v/>
      </c>
      <c r="ME30" s="12">
        <f>MIN(MAX(MktMin19plus,NC29*MktPct19plus),MAX(0,NQ29-CashBuffer))</f>
        <v/>
      </c>
      <c r="MF30" s="12">
        <f>IF(ME30&gt;0,MAX(1,ROUND(ME30/CAC*MB30,0)),0)</f>
        <v/>
      </c>
      <c r="MG30" s="12">
        <f>IF(MF30&gt;0,ROUND(MF30*ReferralMix/(1-ReferralMix),0),0)</f>
        <v/>
      </c>
      <c r="MH30" s="12">
        <f>MF30+MG30</f>
        <v/>
      </c>
      <c r="MI30" s="12">
        <f>ROUND(MH30*(1-AnnualMix),0)</f>
        <v/>
      </c>
      <c r="MJ30" s="12">
        <f>MH30-MI30</f>
        <v/>
      </c>
      <c r="MK30" s="12">
        <f>ROUND(MI30*EssentialMix,0)</f>
        <v/>
      </c>
      <c r="ML30" s="12">
        <f>ROUND(MI30*PremiumMix,0)</f>
        <v/>
      </c>
      <c r="MM30" s="12">
        <f>MI30-MK30-ML30</f>
        <v/>
      </c>
      <c r="MN30" s="12">
        <f>ROUND(MJ30*EssentialMix,0)</f>
        <v/>
      </c>
      <c r="MO30" s="12">
        <f>ROUND(MJ30*PremiumMix,0)</f>
        <v/>
      </c>
      <c r="MP30" s="12">
        <f>MJ30-MN30-MO30</f>
        <v/>
      </c>
      <c r="MQ30" s="12">
        <f>MK30+MK29+MK28+MAX(0,MQ29-MK29-MK28)*(1-MD30)</f>
        <v/>
      </c>
      <c r="MR30" s="12">
        <f>ML30+ML29+ML28+MAX(0,MR29-ML29-ML28)*(1-MD30)</f>
        <v/>
      </c>
      <c r="MS30" s="12">
        <f>MM30+MM29+MM28+MAX(0,MS29-MM29-MM28)*(1-MD30)</f>
        <v/>
      </c>
      <c r="MT30" s="12">
        <f>MT29+MN30-MN18*(AnnualChurn*VLOOKUP(LZ30,ChurnSeasonTable,4,FALSE))*POWER(1-(AnnualChurn*VLOOKUP(LZ30,ChurnSeasonTable,4,FALSE)),0)+MN6*(AnnualChurn*VLOOKUP(LZ30,ChurnSeasonTable,4,FALSE))*POWER(1-(AnnualChurn*VLOOKUP(LZ30,ChurnSeasonTable,4,FALSE)),1)</f>
        <v/>
      </c>
      <c r="MU30" s="12">
        <f>MU29+MO30-MO18*(AnnualChurn*VLOOKUP(LZ30,ChurnSeasonTable,4,FALSE))*POWER(1-(AnnualChurn*VLOOKUP(LZ30,ChurnSeasonTable,4,FALSE)),0)+MO6*(AnnualChurn*VLOOKUP(LZ30,ChurnSeasonTable,4,FALSE))*POWER(1-(AnnualChurn*VLOOKUP(LZ30,ChurnSeasonTable,4,FALSE)),1)</f>
        <v/>
      </c>
      <c r="MV30" s="12">
        <f>MV29+MP30-MP18*(AnnualChurn*VLOOKUP(LZ30,ChurnSeasonTable,4,FALSE))*POWER(1-(AnnualChurn*VLOOKUP(LZ30,ChurnSeasonTable,4,FALSE)),0)+MP6*(AnnualChurn*VLOOKUP(LZ30,ChurnSeasonTable,4,FALSE))*POWER(1-(AnnualChurn*VLOOKUP(LZ30,ChurnSeasonTable,4,FALSE)),1)</f>
        <v/>
      </c>
      <c r="MW30" s="12">
        <f>MQ30+MR30+MS30+MT30+MU30+MV30</f>
        <v/>
      </c>
      <c r="MX30" s="9">
        <f>MQ30*BlendedPriceEssMonthly*MC30+MR30*BlendedPricePremMonthly*MC30+MS30*BlendedPriceEliteMonthly*MC30+MT30*BlendedPriceEssAnnual*MC30/12+MU30*BlendedPricePremAnnual*MC30/12+MV30*BlendedPriceEliteAnnual*MC30/12</f>
        <v/>
      </c>
      <c r="MY30" s="9">
        <f>MX30*12</f>
        <v/>
      </c>
      <c r="MZ30" s="12">
        <f>MQ30*BlendedPriceEssMonthly*MC30+MR30*BlendedPricePremMonthly*MC30+MS30*BlendedPriceEliteMonthly*MC30</f>
        <v/>
      </c>
      <c r="NA30" s="12">
        <f>MN30*BlendedPriceEssAnnual*MC30+MO30*BlendedPricePremAnnual*MC30+MP30*BlendedPriceEliteAnnual*MC30</f>
        <v/>
      </c>
      <c r="NB30" s="12">
        <f>MN18*POWER(1-(AnnualChurn*VLOOKUP(LZ30,ChurnSeasonTable,4,FALSE)),1)*BlendedPriceEssAnnual*MC30+MN6*POWER(1-(AnnualChurn*VLOOKUP(LZ30,ChurnSeasonTable,4,FALSE)),2)*BlendedPriceEssAnnual*MC30+MO18*POWER(1-(AnnualChurn*VLOOKUP(LZ30,ChurnSeasonTable,4,FALSE)),1)*BlendedPricePremAnnual*MC30+MO6*POWER(1-(AnnualChurn*VLOOKUP(LZ30,ChurnSeasonTable,4,FALSE)),2)*BlendedPricePremAnnual*MC30+MP18*POWER(1-(AnnualChurn*VLOOKUP(LZ30,ChurnSeasonTable,4,FALSE)),1)*BlendedPriceEliteAnnual*MC30+MP6*POWER(1-(AnnualChurn*VLOOKUP(LZ30,ChurnSeasonTable,4,FALSE)),2)*BlendedPriceEliteAnnual*MC30</f>
        <v/>
      </c>
      <c r="NC30" s="9">
        <f>MZ30+NA30+NB30</f>
        <v/>
      </c>
      <c r="ND30" s="12">
        <f>SUM(NC19:NC30)</f>
        <v/>
      </c>
      <c r="NE30" s="12">
        <f>OR(NE29,IF(VATAgentMode,SUM($NC19:$NC30)-SUM($NJ19:$NJ30)&gt;=VATThreshold,SUM($NC19:$NC30)&gt;=VATThreshold))</f>
        <v/>
      </c>
      <c r="NF30" s="9">
        <f>IF(NE30,IF(VATAgentMode,NC30-((NC30-NJ30)-(NC30-NJ30)/(1+VATRate)),NC30/(1+VATRate)),NC30)</f>
        <v/>
      </c>
      <c r="NG30" s="12">
        <f>NC30-NF30</f>
        <v/>
      </c>
      <c r="NH30" s="12">
        <f>IF(NE30=0,0,IF(LZ30=1,SUMPRODUCT(--(($MA$5:$MA30=$MA30-1)*($LZ$5:$LZ30&gt;=10)*($LZ$5:$LZ30&lt;=12)),$NG$5:$NG30),IF(LZ30=4,SUMPRODUCT(--(($MA$5:$MA30=$MA30)*($LZ$5:$LZ30&gt;=1)*($LZ$5:$LZ30&lt;=3)),$NG$5:$NG30),IF(LZ30=7,SUMPRODUCT(--(($MA$5:$MA30=$MA30)*($LZ$5:$LZ30&gt;=4)*($LZ$5:$LZ30&lt;=6)),$NG$5:$NG30),IF(LZ30=10,SUMPRODUCT(--(($MA$5:$MA30=$MA30)*($LZ$5:$LZ30&gt;=7)*($LZ$5:$LZ30&lt;=9)),$NG$5:$NG30),0)))))</f>
        <v/>
      </c>
      <c r="NI30" s="12">
        <f>NI29+NG30-NH30</f>
        <v/>
      </c>
      <c r="NJ30" s="12">
        <f>IF(ProviderDelay&gt;=1,MQ29*BlendedProvPayEss+MR29*BlendedProvPayPrem+MS29*BlendedProvPayElite+MT29*BlendedProvPayEss+MU29*BlendedProvPayPrem+MV29*BlendedProvPayElite,MQ30*BlendedProvPayEss+MR30*BlendedProvPayPrem+MS30*BlendedProvPayElite+MT30*BlendedProvPayEss+MU30*BlendedProvPayPrem+MV30*BlendedProvPayElite)</f>
        <v/>
      </c>
      <c r="NK30" s="12">
        <f>NC30*PaymentFee</f>
        <v/>
      </c>
      <c r="NL30" s="12">
        <f>MW30*OpsAI</f>
        <v/>
      </c>
      <c r="NM30" s="12">
        <f>MonthlyFixed</f>
        <v/>
      </c>
      <c r="NN30" s="12">
        <f>MG30*ReferralReward</f>
        <v/>
      </c>
      <c r="NO30" s="12">
        <f>ME30</f>
        <v/>
      </c>
      <c r="NP30" s="9">
        <f>NF30-NJ30-NK30-NL30-NM30-NN30-NO30</f>
        <v/>
      </c>
      <c r="NQ30" s="9">
        <f>NQ29+NC30-(NJ30+NK30+NL30+NM30+NN30+NO30+NH30)</f>
        <v/>
      </c>
      <c r="NR30" s="12">
        <f>IF(MW30&gt;0,MX30/MW30,0)</f>
        <v/>
      </c>
      <c r="NS30" s="11">
        <f>IF(MW29&gt;0,MAX(0,(MW29+MH30-MW30)/MW29),0)</f>
        <v/>
      </c>
      <c r="NU30" s="12" t="n">
        <v>26</v>
      </c>
      <c r="NV30" s="12">
        <f>MOD(NU30-1+LaunchMonth-1,12)+1</f>
        <v/>
      </c>
      <c r="NW30" s="12">
        <f>INT((NU30-1+LaunchMonth-1)/12)+1</f>
        <v/>
      </c>
      <c r="NX30" s="12">
        <f>VLOOKUP(NV30,SeasonTable,2,FALSE)</f>
        <v/>
      </c>
      <c r="NY30" s="12">
        <f>(1+InflationRate)^INT((NU30-1)/12)</f>
        <v/>
      </c>
      <c r="NZ30" s="11">
        <f>'Sens - Churn'!$A$18*VLOOKUP(NV30,ChurnSeasonTable,4,FALSE)</f>
        <v/>
      </c>
      <c r="OA30" s="12">
        <f>MIN(MAX(MktMin19plus,OY29*MktPct19plus),MAX(0,PM29-CashBuffer))</f>
        <v/>
      </c>
      <c r="OB30" s="12">
        <f>IF(OA30&gt;0,MAX(1,ROUND(OA30/CAC*NX30,0)),0)</f>
        <v/>
      </c>
      <c r="OC30" s="12">
        <f>IF(OB30&gt;0,ROUND(OB30*ReferralMix/(1-ReferralMix),0),0)</f>
        <v/>
      </c>
      <c r="OD30" s="12">
        <f>OB30+OC30</f>
        <v/>
      </c>
      <c r="OE30" s="12">
        <f>ROUND(OD30*(1-AnnualMix),0)</f>
        <v/>
      </c>
      <c r="OF30" s="12">
        <f>OD30-OE30</f>
        <v/>
      </c>
      <c r="OG30" s="12">
        <f>ROUND(OE30*EssentialMix,0)</f>
        <v/>
      </c>
      <c r="OH30" s="12">
        <f>ROUND(OE30*PremiumMix,0)</f>
        <v/>
      </c>
      <c r="OI30" s="12">
        <f>OE30-OG30-OH30</f>
        <v/>
      </c>
      <c r="OJ30" s="12">
        <f>ROUND(OF30*EssentialMix,0)</f>
        <v/>
      </c>
      <c r="OK30" s="12">
        <f>ROUND(OF30*PremiumMix,0)</f>
        <v/>
      </c>
      <c r="OL30" s="12">
        <f>OF30-OJ30-OK30</f>
        <v/>
      </c>
      <c r="OM30" s="12">
        <f>OG30+OG29+OG28+MAX(0,OM29-OG29-OG28)*(1-NZ30)</f>
        <v/>
      </c>
      <c r="ON30" s="12">
        <f>OH30+OH29+OH28+MAX(0,ON29-OH29-OH28)*(1-NZ30)</f>
        <v/>
      </c>
      <c r="OO30" s="12">
        <f>OI30+OI29+OI28+MAX(0,OO29-OI29-OI28)*(1-NZ30)</f>
        <v/>
      </c>
      <c r="OP30" s="12">
        <f>OP29+OJ30-OJ18*(AnnualChurn*VLOOKUP(NV30,ChurnSeasonTable,4,FALSE))*POWER(1-(AnnualChurn*VLOOKUP(NV30,ChurnSeasonTable,4,FALSE)),0)+OJ6*(AnnualChurn*VLOOKUP(NV30,ChurnSeasonTable,4,FALSE))*POWER(1-(AnnualChurn*VLOOKUP(NV30,ChurnSeasonTable,4,FALSE)),1)</f>
        <v/>
      </c>
      <c r="OQ30" s="12">
        <f>OQ29+OK30-OK18*(AnnualChurn*VLOOKUP(NV30,ChurnSeasonTable,4,FALSE))*POWER(1-(AnnualChurn*VLOOKUP(NV30,ChurnSeasonTable,4,FALSE)),0)+OK6*(AnnualChurn*VLOOKUP(NV30,ChurnSeasonTable,4,FALSE))*POWER(1-(AnnualChurn*VLOOKUP(NV30,ChurnSeasonTable,4,FALSE)),1)</f>
        <v/>
      </c>
      <c r="OR30" s="12">
        <f>OR29+OL30-OL18*(AnnualChurn*VLOOKUP(NV30,ChurnSeasonTable,4,FALSE))*POWER(1-(AnnualChurn*VLOOKUP(NV30,ChurnSeasonTable,4,FALSE)),0)+OL6*(AnnualChurn*VLOOKUP(NV30,ChurnSeasonTable,4,FALSE))*POWER(1-(AnnualChurn*VLOOKUP(NV30,ChurnSeasonTable,4,FALSE)),1)</f>
        <v/>
      </c>
      <c r="OS30" s="12">
        <f>OM30+ON30+OO30+OP30+OQ30+OR30</f>
        <v/>
      </c>
      <c r="OT30" s="9">
        <f>OM30*BlendedPriceEssMonthly*NY30+ON30*BlendedPricePremMonthly*NY30+OO30*BlendedPriceEliteMonthly*NY30+OP30*BlendedPriceEssAnnual*NY30/12+OQ30*BlendedPricePremAnnual*NY30/12+OR30*BlendedPriceEliteAnnual*NY30/12</f>
        <v/>
      </c>
      <c r="OU30" s="9">
        <f>OT30*12</f>
        <v/>
      </c>
      <c r="OV30" s="12">
        <f>OM30*BlendedPriceEssMonthly*NY30+ON30*BlendedPricePremMonthly*NY30+OO30*BlendedPriceEliteMonthly*NY30</f>
        <v/>
      </c>
      <c r="OW30" s="12">
        <f>OJ30*BlendedPriceEssAnnual*NY30+OK30*BlendedPricePremAnnual*NY30+OL30*BlendedPriceEliteAnnual*NY30</f>
        <v/>
      </c>
      <c r="OX30" s="12">
        <f>OJ18*POWER(1-(AnnualChurn*VLOOKUP(NV30,ChurnSeasonTable,4,FALSE)),1)*BlendedPriceEssAnnual*NY30+OJ6*POWER(1-(AnnualChurn*VLOOKUP(NV30,ChurnSeasonTable,4,FALSE)),2)*BlendedPriceEssAnnual*NY30+OK18*POWER(1-(AnnualChurn*VLOOKUP(NV30,ChurnSeasonTable,4,FALSE)),1)*BlendedPricePremAnnual*NY30+OK6*POWER(1-(AnnualChurn*VLOOKUP(NV30,ChurnSeasonTable,4,FALSE)),2)*BlendedPricePremAnnual*NY30+OL18*POWER(1-(AnnualChurn*VLOOKUP(NV30,ChurnSeasonTable,4,FALSE)),1)*BlendedPriceEliteAnnual*NY30+OL6*POWER(1-(AnnualChurn*VLOOKUP(NV30,ChurnSeasonTable,4,FALSE)),2)*BlendedPriceEliteAnnual*NY30</f>
        <v/>
      </c>
      <c r="OY30" s="9">
        <f>OV30+OW30+OX30</f>
        <v/>
      </c>
      <c r="OZ30" s="12">
        <f>SUM(OY19:OY30)</f>
        <v/>
      </c>
      <c r="PA30" s="12">
        <f>OR(PA29,IF(VATAgentMode,SUM($OY19:$OY30)-SUM($PF19:$PF30)&gt;=VATThreshold,SUM($OY19:$OY30)&gt;=VATThreshold))</f>
        <v/>
      </c>
      <c r="PB30" s="9">
        <f>IF(PA30,IF(VATAgentMode,OY30-((OY30-PF30)-(OY30-PF30)/(1+VATRate)),OY30/(1+VATRate)),OY30)</f>
        <v/>
      </c>
      <c r="PC30" s="12">
        <f>OY30-PB30</f>
        <v/>
      </c>
      <c r="PD30" s="12">
        <f>IF(PA30=0,0,IF(NV30=1,SUMPRODUCT(--(($NW$5:$NW30=$NW30-1)*($NV$5:$NV30&gt;=10)*($NV$5:$NV30&lt;=12)),$PC$5:$PC30),IF(NV30=4,SUMPRODUCT(--(($NW$5:$NW30=$NW30)*($NV$5:$NV30&gt;=1)*($NV$5:$NV30&lt;=3)),$PC$5:$PC30),IF(NV30=7,SUMPRODUCT(--(($NW$5:$NW30=$NW30)*($NV$5:$NV30&gt;=4)*($NV$5:$NV30&lt;=6)),$PC$5:$PC30),IF(NV30=10,SUMPRODUCT(--(($NW$5:$NW30=$NW30)*($NV$5:$NV30&gt;=7)*($NV$5:$NV30&lt;=9)),$PC$5:$PC30),0)))))</f>
        <v/>
      </c>
      <c r="PE30" s="12">
        <f>PE29+PC30-PD30</f>
        <v/>
      </c>
      <c r="PF30" s="12">
        <f>IF(ProviderDelay&gt;=1,OM29*BlendedProvPayEss+ON29*BlendedProvPayPrem+OO29*BlendedProvPayElite+OP29*BlendedProvPayEss+OQ29*BlendedProvPayPrem+OR29*BlendedProvPayElite,OM30*BlendedProvPayEss+ON30*BlendedProvPayPrem+OO30*BlendedProvPayElite+OP30*BlendedProvPayEss+OQ30*BlendedProvPayPrem+OR30*BlendedProvPayElite)</f>
        <v/>
      </c>
      <c r="PG30" s="12">
        <f>OY30*PaymentFee</f>
        <v/>
      </c>
      <c r="PH30" s="12">
        <f>OS30*OpsAI</f>
        <v/>
      </c>
      <c r="PI30" s="12">
        <f>MonthlyFixed</f>
        <v/>
      </c>
      <c r="PJ30" s="12">
        <f>OC30*ReferralReward</f>
        <v/>
      </c>
      <c r="PK30" s="12">
        <f>OA30</f>
        <v/>
      </c>
      <c r="PL30" s="9">
        <f>PB30-PF30-PG30-PH30-PI30-PJ30-PK30</f>
        <v/>
      </c>
      <c r="PM30" s="9">
        <f>PM29+OY30-(PF30+PG30+PH30+PI30+PJ30+PK30+PD30)</f>
        <v/>
      </c>
      <c r="PN30" s="12">
        <f>IF(OS30&gt;0,OT30/OS30,0)</f>
        <v/>
      </c>
      <c r="PO30" s="11">
        <f>IF(OS29&gt;0,MAX(0,(OS29+OD30-OS30)/OS29),0)</f>
        <v/>
      </c>
      <c r="PQ30" s="12" t="n">
        <v>26</v>
      </c>
      <c r="PR30" s="12">
        <f>MOD(PQ30-1+LaunchMonth-1,12)+1</f>
        <v/>
      </c>
      <c r="PS30" s="12">
        <f>INT((PQ30-1+LaunchMonth-1)/12)+1</f>
        <v/>
      </c>
      <c r="PT30" s="12">
        <f>VLOOKUP(PR30,SeasonTable,2,FALSE)</f>
        <v/>
      </c>
      <c r="PU30" s="12">
        <f>(1+InflationRate)^INT((PQ30-1)/12)</f>
        <v/>
      </c>
      <c r="PV30" s="11">
        <f>'Sens - Churn'!$A$19*VLOOKUP(PR30,ChurnSeasonTable,4,FALSE)</f>
        <v/>
      </c>
      <c r="PW30" s="12">
        <f>MIN(MAX(MktMin19plus,QU29*MktPct19plus),MAX(0,RI29-CashBuffer))</f>
        <v/>
      </c>
      <c r="PX30" s="12">
        <f>IF(PW30&gt;0,MAX(1,ROUND(PW30/CAC*PT30,0)),0)</f>
        <v/>
      </c>
      <c r="PY30" s="12">
        <f>IF(PX30&gt;0,ROUND(PX30*ReferralMix/(1-ReferralMix),0),0)</f>
        <v/>
      </c>
      <c r="PZ30" s="12">
        <f>PX30+PY30</f>
        <v/>
      </c>
      <c r="QA30" s="12">
        <f>ROUND(PZ30*(1-AnnualMix),0)</f>
        <v/>
      </c>
      <c r="QB30" s="12">
        <f>PZ30-QA30</f>
        <v/>
      </c>
      <c r="QC30" s="12">
        <f>ROUND(QA30*EssentialMix,0)</f>
        <v/>
      </c>
      <c r="QD30" s="12">
        <f>ROUND(QA30*PremiumMix,0)</f>
        <v/>
      </c>
      <c r="QE30" s="12">
        <f>QA30-QC30-QD30</f>
        <v/>
      </c>
      <c r="QF30" s="12">
        <f>ROUND(QB30*EssentialMix,0)</f>
        <v/>
      </c>
      <c r="QG30" s="12">
        <f>ROUND(QB30*PremiumMix,0)</f>
        <v/>
      </c>
      <c r="QH30" s="12">
        <f>QB30-QF30-QG30</f>
        <v/>
      </c>
      <c r="QI30" s="12">
        <f>QC30+QC29+QC28+MAX(0,QI29-QC29-QC28)*(1-PV30)</f>
        <v/>
      </c>
      <c r="QJ30" s="12">
        <f>QD30+QD29+QD28+MAX(0,QJ29-QD29-QD28)*(1-PV30)</f>
        <v/>
      </c>
      <c r="QK30" s="12">
        <f>QE30+QE29+QE28+MAX(0,QK29-QE29-QE28)*(1-PV30)</f>
        <v/>
      </c>
      <c r="QL30" s="12">
        <f>QL29+QF30-QF18*(AnnualChurn*VLOOKUP(PR30,ChurnSeasonTable,4,FALSE))*POWER(1-(AnnualChurn*VLOOKUP(PR30,ChurnSeasonTable,4,FALSE)),0)+QF6*(AnnualChurn*VLOOKUP(PR30,ChurnSeasonTable,4,FALSE))*POWER(1-(AnnualChurn*VLOOKUP(PR30,ChurnSeasonTable,4,FALSE)),1)</f>
        <v/>
      </c>
      <c r="QM30" s="12">
        <f>QM29+QG30-QG18*(AnnualChurn*VLOOKUP(PR30,ChurnSeasonTable,4,FALSE))*POWER(1-(AnnualChurn*VLOOKUP(PR30,ChurnSeasonTable,4,FALSE)),0)+QG6*(AnnualChurn*VLOOKUP(PR30,ChurnSeasonTable,4,FALSE))*POWER(1-(AnnualChurn*VLOOKUP(PR30,ChurnSeasonTable,4,FALSE)),1)</f>
        <v/>
      </c>
      <c r="QN30" s="12">
        <f>QN29+QH30-QH18*(AnnualChurn*VLOOKUP(PR30,ChurnSeasonTable,4,FALSE))*POWER(1-(AnnualChurn*VLOOKUP(PR30,ChurnSeasonTable,4,FALSE)),0)+QH6*(AnnualChurn*VLOOKUP(PR30,ChurnSeasonTable,4,FALSE))*POWER(1-(AnnualChurn*VLOOKUP(PR30,ChurnSeasonTable,4,FALSE)),1)</f>
        <v/>
      </c>
      <c r="QO30" s="12">
        <f>QI30+QJ30+QK30+QL30+QM30+QN30</f>
        <v/>
      </c>
      <c r="QP30" s="9">
        <f>QI30*BlendedPriceEssMonthly*PU30+QJ30*BlendedPricePremMonthly*PU30+QK30*BlendedPriceEliteMonthly*PU30+QL30*BlendedPriceEssAnnual*PU30/12+QM30*BlendedPricePremAnnual*PU30/12+QN30*BlendedPriceEliteAnnual*PU30/12</f>
        <v/>
      </c>
      <c r="QQ30" s="9">
        <f>QP30*12</f>
        <v/>
      </c>
      <c r="QR30" s="12">
        <f>QI30*BlendedPriceEssMonthly*PU30+QJ30*BlendedPricePremMonthly*PU30+QK30*BlendedPriceEliteMonthly*PU30</f>
        <v/>
      </c>
      <c r="QS30" s="12">
        <f>QF30*BlendedPriceEssAnnual*PU30+QG30*BlendedPricePremAnnual*PU30+QH30*BlendedPriceEliteAnnual*PU30</f>
        <v/>
      </c>
      <c r="QT30" s="12">
        <f>QF18*POWER(1-(AnnualChurn*VLOOKUP(PR30,ChurnSeasonTable,4,FALSE)),1)*BlendedPriceEssAnnual*PU30+QF6*POWER(1-(AnnualChurn*VLOOKUP(PR30,ChurnSeasonTable,4,FALSE)),2)*BlendedPriceEssAnnual*PU30+QG18*POWER(1-(AnnualChurn*VLOOKUP(PR30,ChurnSeasonTable,4,FALSE)),1)*BlendedPricePremAnnual*PU30+QG6*POWER(1-(AnnualChurn*VLOOKUP(PR30,ChurnSeasonTable,4,FALSE)),2)*BlendedPricePremAnnual*PU30+QH18*POWER(1-(AnnualChurn*VLOOKUP(PR30,ChurnSeasonTable,4,FALSE)),1)*BlendedPriceEliteAnnual*PU30+QH6*POWER(1-(AnnualChurn*VLOOKUP(PR30,ChurnSeasonTable,4,FALSE)),2)*BlendedPriceEliteAnnual*PU30</f>
        <v/>
      </c>
      <c r="QU30" s="9">
        <f>QR30+QS30+QT30</f>
        <v/>
      </c>
      <c r="QV30" s="12">
        <f>SUM(QU19:QU30)</f>
        <v/>
      </c>
      <c r="QW30" s="12">
        <f>OR(QW29,IF(VATAgentMode,SUM($QU19:$QU30)-SUM($RB19:$RB30)&gt;=VATThreshold,SUM($QU19:$QU30)&gt;=VATThreshold))</f>
        <v/>
      </c>
      <c r="QX30" s="9">
        <f>IF(QW30,IF(VATAgentMode,QU30-((QU30-RB30)-(QU30-RB30)/(1+VATRate)),QU30/(1+VATRate)),QU30)</f>
        <v/>
      </c>
      <c r="QY30" s="12">
        <f>QU30-QX30</f>
        <v/>
      </c>
      <c r="QZ30" s="12">
        <f>IF(QW30=0,0,IF(PR30=1,SUMPRODUCT(--(($PS$5:$PS30=$PS30-1)*($PR$5:$PR30&gt;=10)*($PR$5:$PR30&lt;=12)),$QY$5:$QY30),IF(PR30=4,SUMPRODUCT(--(($PS$5:$PS30=$PS30)*($PR$5:$PR30&gt;=1)*($PR$5:$PR30&lt;=3)),$QY$5:$QY30),IF(PR30=7,SUMPRODUCT(--(($PS$5:$PS30=$PS30)*($PR$5:$PR30&gt;=4)*($PR$5:$PR30&lt;=6)),$QY$5:$QY30),IF(PR30=10,SUMPRODUCT(--(($PS$5:$PS30=$PS30)*($PR$5:$PR30&gt;=7)*($PR$5:$PR30&lt;=9)),$QY$5:$QY30),0)))))</f>
        <v/>
      </c>
      <c r="RA30" s="12">
        <f>RA29+QY30-QZ30</f>
        <v/>
      </c>
      <c r="RB30" s="12">
        <f>IF(ProviderDelay&gt;=1,QI29*BlendedProvPayEss+QJ29*BlendedProvPayPrem+QK29*BlendedProvPayElite+QL29*BlendedProvPayEss+QM29*BlendedProvPayPrem+QN29*BlendedProvPayElite,QI30*BlendedProvPayEss+QJ30*BlendedProvPayPrem+QK30*BlendedProvPayElite+QL30*BlendedProvPayEss+QM30*BlendedProvPayPrem+QN30*BlendedProvPayElite)</f>
        <v/>
      </c>
      <c r="RC30" s="12">
        <f>QU30*PaymentFee</f>
        <v/>
      </c>
      <c r="RD30" s="12">
        <f>QO30*OpsAI</f>
        <v/>
      </c>
      <c r="RE30" s="12">
        <f>MonthlyFixed</f>
        <v/>
      </c>
      <c r="RF30" s="12">
        <f>PY30*ReferralReward</f>
        <v/>
      </c>
      <c r="RG30" s="12">
        <f>PW30</f>
        <v/>
      </c>
      <c r="RH30" s="9">
        <f>QX30-RB30-RC30-RD30-RE30-RF30-RG30</f>
        <v/>
      </c>
      <c r="RI30" s="9">
        <f>RI29+QU30-(RB30+RC30+RD30+RE30+RF30+RG30+QZ30)</f>
        <v/>
      </c>
      <c r="RJ30" s="12">
        <f>IF(QO30&gt;0,QP30/QO30,0)</f>
        <v/>
      </c>
      <c r="RK30" s="11">
        <f>IF(QO29&gt;0,MAX(0,(QO29+PZ30-QO30)/QO29),0)</f>
        <v/>
      </c>
      <c r="RM30" s="12" t="n">
        <v>26</v>
      </c>
      <c r="RN30" s="12">
        <f>MOD(RM30-1+LaunchMonth-1,12)+1</f>
        <v/>
      </c>
      <c r="RO30" s="12">
        <f>INT((RM30-1+LaunchMonth-1)/12)+1</f>
        <v/>
      </c>
      <c r="RP30" s="12">
        <f>VLOOKUP(RN30,SeasonTable,2,FALSE)</f>
        <v/>
      </c>
      <c r="RQ30" s="12">
        <f>(1+InflationRate)^INT((RM30-1)/12)</f>
        <v/>
      </c>
      <c r="RR30" s="11">
        <f>'Sens - Churn'!$A$20*VLOOKUP(RN30,ChurnSeasonTable,4,FALSE)</f>
        <v/>
      </c>
      <c r="RS30" s="12">
        <f>MIN(MAX(MktMin19plus,SQ29*MktPct19plus),MAX(0,TE29-CashBuffer))</f>
        <v/>
      </c>
      <c r="RT30" s="12">
        <f>IF(RS30&gt;0,MAX(1,ROUND(RS30/CAC*RP30,0)),0)</f>
        <v/>
      </c>
      <c r="RU30" s="12">
        <f>IF(RT30&gt;0,ROUND(RT30*ReferralMix/(1-ReferralMix),0),0)</f>
        <v/>
      </c>
      <c r="RV30" s="12">
        <f>RT30+RU30</f>
        <v/>
      </c>
      <c r="RW30" s="12">
        <f>ROUND(RV30*(1-AnnualMix),0)</f>
        <v/>
      </c>
      <c r="RX30" s="12">
        <f>RV30-RW30</f>
        <v/>
      </c>
      <c r="RY30" s="12">
        <f>ROUND(RW30*EssentialMix,0)</f>
        <v/>
      </c>
      <c r="RZ30" s="12">
        <f>ROUND(RW30*PremiumMix,0)</f>
        <v/>
      </c>
      <c r="SA30" s="12">
        <f>RW30-RY30-RZ30</f>
        <v/>
      </c>
      <c r="SB30" s="12">
        <f>ROUND(RX30*EssentialMix,0)</f>
        <v/>
      </c>
      <c r="SC30" s="12">
        <f>ROUND(RX30*PremiumMix,0)</f>
        <v/>
      </c>
      <c r="SD30" s="12">
        <f>RX30-SB30-SC30</f>
        <v/>
      </c>
      <c r="SE30" s="12">
        <f>RY30+RY29+RY28+MAX(0,SE29-RY29-RY28)*(1-RR30)</f>
        <v/>
      </c>
      <c r="SF30" s="12">
        <f>RZ30+RZ29+RZ28+MAX(0,SF29-RZ29-RZ28)*(1-RR30)</f>
        <v/>
      </c>
      <c r="SG30" s="12">
        <f>SA30+SA29+SA28+MAX(0,SG29-SA29-SA28)*(1-RR30)</f>
        <v/>
      </c>
      <c r="SH30" s="12">
        <f>SH29+SB30-SB18*(AnnualChurn*VLOOKUP(RN30,ChurnSeasonTable,4,FALSE))*POWER(1-(AnnualChurn*VLOOKUP(RN30,ChurnSeasonTable,4,FALSE)),0)+SB6*(AnnualChurn*VLOOKUP(RN30,ChurnSeasonTable,4,FALSE))*POWER(1-(AnnualChurn*VLOOKUP(RN30,ChurnSeasonTable,4,FALSE)),1)</f>
        <v/>
      </c>
      <c r="SI30" s="12">
        <f>SI29+SC30-SC18*(AnnualChurn*VLOOKUP(RN30,ChurnSeasonTable,4,FALSE))*POWER(1-(AnnualChurn*VLOOKUP(RN30,ChurnSeasonTable,4,FALSE)),0)+SC6*(AnnualChurn*VLOOKUP(RN30,ChurnSeasonTable,4,FALSE))*POWER(1-(AnnualChurn*VLOOKUP(RN30,ChurnSeasonTable,4,FALSE)),1)</f>
        <v/>
      </c>
      <c r="SJ30" s="12">
        <f>SJ29+SD30-SD18*(AnnualChurn*VLOOKUP(RN30,ChurnSeasonTable,4,FALSE))*POWER(1-(AnnualChurn*VLOOKUP(RN30,ChurnSeasonTable,4,FALSE)),0)+SD6*(AnnualChurn*VLOOKUP(RN30,ChurnSeasonTable,4,FALSE))*POWER(1-(AnnualChurn*VLOOKUP(RN30,ChurnSeasonTable,4,FALSE)),1)</f>
        <v/>
      </c>
      <c r="SK30" s="12">
        <f>SE30+SF30+SG30+SH30+SI30+SJ30</f>
        <v/>
      </c>
      <c r="SL30" s="9">
        <f>SE30*BlendedPriceEssMonthly*RQ30+SF30*BlendedPricePremMonthly*RQ30+SG30*BlendedPriceEliteMonthly*RQ30+SH30*BlendedPriceEssAnnual*RQ30/12+SI30*BlendedPricePremAnnual*RQ30/12+SJ30*BlendedPriceEliteAnnual*RQ30/12</f>
        <v/>
      </c>
      <c r="SM30" s="9">
        <f>SL30*12</f>
        <v/>
      </c>
      <c r="SN30" s="12">
        <f>SE30*BlendedPriceEssMonthly*RQ30+SF30*BlendedPricePremMonthly*RQ30+SG30*BlendedPriceEliteMonthly*RQ30</f>
        <v/>
      </c>
      <c r="SO30" s="12">
        <f>SB30*BlendedPriceEssAnnual*RQ30+SC30*BlendedPricePremAnnual*RQ30+SD30*BlendedPriceEliteAnnual*RQ30</f>
        <v/>
      </c>
      <c r="SP30" s="12">
        <f>SB18*POWER(1-(AnnualChurn*VLOOKUP(RN30,ChurnSeasonTable,4,FALSE)),1)*BlendedPriceEssAnnual*RQ30+SB6*POWER(1-(AnnualChurn*VLOOKUP(RN30,ChurnSeasonTable,4,FALSE)),2)*BlendedPriceEssAnnual*RQ30+SC18*POWER(1-(AnnualChurn*VLOOKUP(RN30,ChurnSeasonTable,4,FALSE)),1)*BlendedPricePremAnnual*RQ30+SC6*POWER(1-(AnnualChurn*VLOOKUP(RN30,ChurnSeasonTable,4,FALSE)),2)*BlendedPricePremAnnual*RQ30+SD18*POWER(1-(AnnualChurn*VLOOKUP(RN30,ChurnSeasonTable,4,FALSE)),1)*BlendedPriceEliteAnnual*RQ30+SD6*POWER(1-(AnnualChurn*VLOOKUP(RN30,ChurnSeasonTable,4,FALSE)),2)*BlendedPriceEliteAnnual*RQ30</f>
        <v/>
      </c>
      <c r="SQ30" s="9">
        <f>SN30+SO30+SP30</f>
        <v/>
      </c>
      <c r="SR30" s="12">
        <f>SUM(SQ19:SQ30)</f>
        <v/>
      </c>
      <c r="SS30" s="12">
        <f>OR(SS29,IF(VATAgentMode,SUM($SQ19:$SQ30)-SUM($SX19:$SX30)&gt;=VATThreshold,SUM($SQ19:$SQ30)&gt;=VATThreshold))</f>
        <v/>
      </c>
      <c r="ST30" s="9">
        <f>IF(SS30,IF(VATAgentMode,SQ30-((SQ30-SX30)-(SQ30-SX30)/(1+VATRate)),SQ30/(1+VATRate)),SQ30)</f>
        <v/>
      </c>
      <c r="SU30" s="12">
        <f>SQ30-ST30</f>
        <v/>
      </c>
      <c r="SV30" s="12">
        <f>IF(SS30=0,0,IF(RN30=1,SUMPRODUCT(--(($RO$5:$RO30=$RO30-1)*($RN$5:$RN30&gt;=10)*($RN$5:$RN30&lt;=12)),$SU$5:$SU30),IF(RN30=4,SUMPRODUCT(--(($RO$5:$RO30=$RO30)*($RN$5:$RN30&gt;=1)*($RN$5:$RN30&lt;=3)),$SU$5:$SU30),IF(RN30=7,SUMPRODUCT(--(($RO$5:$RO30=$RO30)*($RN$5:$RN30&gt;=4)*($RN$5:$RN30&lt;=6)),$SU$5:$SU30),IF(RN30=10,SUMPRODUCT(--(($RO$5:$RO30=$RO30)*($RN$5:$RN30&gt;=7)*($RN$5:$RN30&lt;=9)),$SU$5:$SU30),0)))))</f>
        <v/>
      </c>
      <c r="SW30" s="12">
        <f>SW29+SU30-SV30</f>
        <v/>
      </c>
      <c r="SX30" s="12">
        <f>IF(ProviderDelay&gt;=1,SE29*BlendedProvPayEss+SF29*BlendedProvPayPrem+SG29*BlendedProvPayElite+SH29*BlendedProvPayEss+SI29*BlendedProvPayPrem+SJ29*BlendedProvPayElite,SE30*BlendedProvPayEss+SF30*BlendedProvPayPrem+SG30*BlendedProvPayElite+SH30*BlendedProvPayEss+SI30*BlendedProvPayPrem+SJ30*BlendedProvPayElite)</f>
        <v/>
      </c>
      <c r="SY30" s="12">
        <f>SQ30*PaymentFee</f>
        <v/>
      </c>
      <c r="SZ30" s="12">
        <f>SK30*OpsAI</f>
        <v/>
      </c>
      <c r="TA30" s="12">
        <f>MonthlyFixed</f>
        <v/>
      </c>
      <c r="TB30" s="12">
        <f>RU30*ReferralReward</f>
        <v/>
      </c>
      <c r="TC30" s="12">
        <f>RS30</f>
        <v/>
      </c>
      <c r="TD30" s="9">
        <f>ST30-SX30-SY30-SZ30-TA30-TB30-TC30</f>
        <v/>
      </c>
      <c r="TE30" s="9">
        <f>TE29+SQ30-(SX30+SY30+SZ30+TA30+TB30+TC30+SV30)</f>
        <v/>
      </c>
      <c r="TF30" s="12">
        <f>IF(SK30&gt;0,SL30/SK30,0)</f>
        <v/>
      </c>
      <c r="TG30" s="11">
        <f>IF(SK29&gt;0,MAX(0,(SK29+RV30-SK30)/SK29),0)</f>
        <v/>
      </c>
      <c r="TI30" s="12" t="n">
        <v>26</v>
      </c>
      <c r="TJ30" s="12">
        <f>MOD(TI30-1+LaunchMonth-1,12)+1</f>
        <v/>
      </c>
      <c r="TK30" s="12">
        <f>INT((TI30-1+LaunchMonth-1)/12)+1</f>
        <v/>
      </c>
      <c r="TL30" s="12">
        <f>VLOOKUP(TJ30,SeasonTable,2,FALSE)</f>
        <v/>
      </c>
      <c r="TM30" s="12">
        <f>(1+InflationRate)^INT((TI30-1)/12)</f>
        <v/>
      </c>
      <c r="TN30" s="11">
        <f>'Sens - Churn'!$A$21*VLOOKUP(TJ30,ChurnSeasonTable,4,FALSE)</f>
        <v/>
      </c>
      <c r="TO30" s="12">
        <f>MIN(MAX(MktMin19plus,UM29*MktPct19plus),MAX(0,VA29-CashBuffer))</f>
        <v/>
      </c>
      <c r="TP30" s="12">
        <f>IF(TO30&gt;0,MAX(1,ROUND(TO30/CAC*TL30,0)),0)</f>
        <v/>
      </c>
      <c r="TQ30" s="12">
        <f>IF(TP30&gt;0,ROUND(TP30*ReferralMix/(1-ReferralMix),0),0)</f>
        <v/>
      </c>
      <c r="TR30" s="12">
        <f>TP30+TQ30</f>
        <v/>
      </c>
      <c r="TS30" s="12">
        <f>ROUND(TR30*(1-AnnualMix),0)</f>
        <v/>
      </c>
      <c r="TT30" s="12">
        <f>TR30-TS30</f>
        <v/>
      </c>
      <c r="TU30" s="12">
        <f>ROUND(TS30*EssentialMix,0)</f>
        <v/>
      </c>
      <c r="TV30" s="12">
        <f>ROUND(TS30*PremiumMix,0)</f>
        <v/>
      </c>
      <c r="TW30" s="12">
        <f>TS30-TU30-TV30</f>
        <v/>
      </c>
      <c r="TX30" s="12">
        <f>ROUND(TT30*EssentialMix,0)</f>
        <v/>
      </c>
      <c r="TY30" s="12">
        <f>ROUND(TT30*PremiumMix,0)</f>
        <v/>
      </c>
      <c r="TZ30" s="12">
        <f>TT30-TX30-TY30</f>
        <v/>
      </c>
      <c r="UA30" s="12">
        <f>TU30+TU29+TU28+MAX(0,UA29-TU29-TU28)*(1-TN30)</f>
        <v/>
      </c>
      <c r="UB30" s="12">
        <f>TV30+TV29+TV28+MAX(0,UB29-TV29-TV28)*(1-TN30)</f>
        <v/>
      </c>
      <c r="UC30" s="12">
        <f>TW30+TW29+TW28+MAX(0,UC29-TW29-TW28)*(1-TN30)</f>
        <v/>
      </c>
      <c r="UD30" s="12">
        <f>UD29+TX30-TX18*(AnnualChurn*VLOOKUP(TJ30,ChurnSeasonTable,4,FALSE))*POWER(1-(AnnualChurn*VLOOKUP(TJ30,ChurnSeasonTable,4,FALSE)),0)+TX6*(AnnualChurn*VLOOKUP(TJ30,ChurnSeasonTable,4,FALSE))*POWER(1-(AnnualChurn*VLOOKUP(TJ30,ChurnSeasonTable,4,FALSE)),1)</f>
        <v/>
      </c>
      <c r="UE30" s="12">
        <f>UE29+TY30-TY18*(AnnualChurn*VLOOKUP(TJ30,ChurnSeasonTable,4,FALSE))*POWER(1-(AnnualChurn*VLOOKUP(TJ30,ChurnSeasonTable,4,FALSE)),0)+TY6*(AnnualChurn*VLOOKUP(TJ30,ChurnSeasonTable,4,FALSE))*POWER(1-(AnnualChurn*VLOOKUP(TJ30,ChurnSeasonTable,4,FALSE)),1)</f>
        <v/>
      </c>
      <c r="UF30" s="12">
        <f>UF29+TZ30-TZ18*(AnnualChurn*VLOOKUP(TJ30,ChurnSeasonTable,4,FALSE))*POWER(1-(AnnualChurn*VLOOKUP(TJ30,ChurnSeasonTable,4,FALSE)),0)+TZ6*(AnnualChurn*VLOOKUP(TJ30,ChurnSeasonTable,4,FALSE))*POWER(1-(AnnualChurn*VLOOKUP(TJ30,ChurnSeasonTable,4,FALSE)),1)</f>
        <v/>
      </c>
      <c r="UG30" s="12">
        <f>UA30+UB30+UC30+UD30+UE30+UF30</f>
        <v/>
      </c>
      <c r="UH30" s="9">
        <f>UA30*BlendedPriceEssMonthly*TM30+UB30*BlendedPricePremMonthly*TM30+UC30*BlendedPriceEliteMonthly*TM30+UD30*BlendedPriceEssAnnual*TM30/12+UE30*BlendedPricePremAnnual*TM30/12+UF30*BlendedPriceEliteAnnual*TM30/12</f>
        <v/>
      </c>
      <c r="UI30" s="9">
        <f>UH30*12</f>
        <v/>
      </c>
      <c r="UJ30" s="12">
        <f>UA30*BlendedPriceEssMonthly*TM30+UB30*BlendedPricePremMonthly*TM30+UC30*BlendedPriceEliteMonthly*TM30</f>
        <v/>
      </c>
      <c r="UK30" s="12">
        <f>TX30*BlendedPriceEssAnnual*TM30+TY30*BlendedPricePremAnnual*TM30+TZ30*BlendedPriceEliteAnnual*TM30</f>
        <v/>
      </c>
      <c r="UL30" s="12">
        <f>TX18*POWER(1-(AnnualChurn*VLOOKUP(TJ30,ChurnSeasonTable,4,FALSE)),1)*BlendedPriceEssAnnual*TM30+TX6*POWER(1-(AnnualChurn*VLOOKUP(TJ30,ChurnSeasonTable,4,FALSE)),2)*BlendedPriceEssAnnual*TM30+TY18*POWER(1-(AnnualChurn*VLOOKUP(TJ30,ChurnSeasonTable,4,FALSE)),1)*BlendedPricePremAnnual*TM30+TY6*POWER(1-(AnnualChurn*VLOOKUP(TJ30,ChurnSeasonTable,4,FALSE)),2)*BlendedPricePremAnnual*TM30+TZ18*POWER(1-(AnnualChurn*VLOOKUP(TJ30,ChurnSeasonTable,4,FALSE)),1)*BlendedPriceEliteAnnual*TM30+TZ6*POWER(1-(AnnualChurn*VLOOKUP(TJ30,ChurnSeasonTable,4,FALSE)),2)*BlendedPriceEliteAnnual*TM30</f>
        <v/>
      </c>
      <c r="UM30" s="9">
        <f>UJ30+UK30+UL30</f>
        <v/>
      </c>
      <c r="UN30" s="12">
        <f>SUM(UM19:UM30)</f>
        <v/>
      </c>
      <c r="UO30" s="12">
        <f>OR(UO29,IF(VATAgentMode,SUM($UM19:$UM30)-SUM($UT19:$UT30)&gt;=VATThreshold,SUM($UM19:$UM30)&gt;=VATThreshold))</f>
        <v/>
      </c>
      <c r="UP30" s="9">
        <f>IF(UO30,IF(VATAgentMode,UM30-((UM30-UT30)-(UM30-UT30)/(1+VATRate)),UM30/(1+VATRate)),UM30)</f>
        <v/>
      </c>
      <c r="UQ30" s="12">
        <f>UM30-UP30</f>
        <v/>
      </c>
      <c r="UR30" s="12">
        <f>IF(UO30=0,0,IF(TJ30=1,SUMPRODUCT(--(($TK$5:$TK30=$TK30-1)*($TJ$5:$TJ30&gt;=10)*($TJ$5:$TJ30&lt;=12)),$UQ$5:$UQ30),IF(TJ30=4,SUMPRODUCT(--(($TK$5:$TK30=$TK30)*($TJ$5:$TJ30&gt;=1)*($TJ$5:$TJ30&lt;=3)),$UQ$5:$UQ30),IF(TJ30=7,SUMPRODUCT(--(($TK$5:$TK30=$TK30)*($TJ$5:$TJ30&gt;=4)*($TJ$5:$TJ30&lt;=6)),$UQ$5:$UQ30),IF(TJ30=10,SUMPRODUCT(--(($TK$5:$TK30=$TK30)*($TJ$5:$TJ30&gt;=7)*($TJ$5:$TJ30&lt;=9)),$UQ$5:$UQ30),0)))))</f>
        <v/>
      </c>
      <c r="US30" s="12">
        <f>US29+UQ30-UR30</f>
        <v/>
      </c>
      <c r="UT30" s="12">
        <f>IF(ProviderDelay&gt;=1,UA29*BlendedProvPayEss+UB29*BlendedProvPayPrem+UC29*BlendedProvPayElite+UD29*BlendedProvPayEss+UE29*BlendedProvPayPrem+UF29*BlendedProvPayElite,UA30*BlendedProvPayEss+UB30*BlendedProvPayPrem+UC30*BlendedProvPayElite+UD30*BlendedProvPayEss+UE30*BlendedProvPayPrem+UF30*BlendedProvPayElite)</f>
        <v/>
      </c>
      <c r="UU30" s="12">
        <f>UM30*PaymentFee</f>
        <v/>
      </c>
      <c r="UV30" s="12">
        <f>UG30*OpsAI</f>
        <v/>
      </c>
      <c r="UW30" s="12">
        <f>MonthlyFixed</f>
        <v/>
      </c>
      <c r="UX30" s="12">
        <f>TQ30*ReferralReward</f>
        <v/>
      </c>
      <c r="UY30" s="12">
        <f>TO30</f>
        <v/>
      </c>
      <c r="UZ30" s="9">
        <f>UP30-UT30-UU30-UV30-UW30-UX30-UY30</f>
        <v/>
      </c>
      <c r="VA30" s="9">
        <f>VA29+UM30-(UT30+UU30+UV30+UW30+UX30+UY30+UR30)</f>
        <v/>
      </c>
      <c r="VB30" s="12">
        <f>IF(UG30&gt;0,UH30/UG30,0)</f>
        <v/>
      </c>
      <c r="VC30" s="11">
        <f>IF(UG29&gt;0,MAX(0,(UG29+TR30-UG30)/UG29),0)</f>
        <v/>
      </c>
      <c r="VE30" s="12" t="n">
        <v>26</v>
      </c>
      <c r="VF30" s="12">
        <f>MOD(VE30-1+LaunchMonth-1,12)+1</f>
        <v/>
      </c>
      <c r="VG30" s="12">
        <f>INT((VE30-1+LaunchMonth-1)/12)+1</f>
        <v/>
      </c>
      <c r="VH30" s="12">
        <f>VLOOKUP(VF30,SeasonTable,2,FALSE)</f>
        <v/>
      </c>
      <c r="VI30" s="12">
        <f>(1+InflationRate)^INT((VE30-1)/12)</f>
        <v/>
      </c>
      <c r="VJ30" s="11">
        <f>MonthlyChurn*VLOOKUP(VF30,ChurnSeasonTable,4,FALSE)</f>
        <v/>
      </c>
      <c r="VK30" s="12">
        <f>MIN(MAX(MktMin19plus,WI29*MktPct19plus),MAX(0,WW29-CashBuffer))</f>
        <v/>
      </c>
      <c r="VL30" s="12">
        <f>IF(VK30&gt;0,MAX(1,ROUND(VK30/CAC*VH30,0)),0)</f>
        <v/>
      </c>
      <c r="VM30" s="12">
        <f>IF(VL30&gt;0,ROUND(VL30*ReferralMix/(1-ReferralMix),0),0)</f>
        <v/>
      </c>
      <c r="VN30" s="12">
        <f>VL30+VM30</f>
        <v/>
      </c>
      <c r="VO30" s="12">
        <f>ROUND(VN30*(1-'Sens - Annual Mix'!$A$9),0)</f>
        <v/>
      </c>
      <c r="VP30" s="12">
        <f>VN30-VO30</f>
        <v/>
      </c>
      <c r="VQ30" s="12">
        <f>ROUND(VO30*EssentialMix,0)</f>
        <v/>
      </c>
      <c r="VR30" s="12">
        <f>ROUND(VO30*PremiumMix,0)</f>
        <v/>
      </c>
      <c r="VS30" s="12">
        <f>VO30-VQ30-VR30</f>
        <v/>
      </c>
      <c r="VT30" s="12">
        <f>ROUND(VP30*EssentialMix,0)</f>
        <v/>
      </c>
      <c r="VU30" s="12">
        <f>ROUND(VP30*PremiumMix,0)</f>
        <v/>
      </c>
      <c r="VV30" s="12">
        <f>VP30-VT30-VU30</f>
        <v/>
      </c>
      <c r="VW30" s="12">
        <f>VQ30+VQ29+VQ28+MAX(0,VW29-VQ29-VQ28)*(1-VJ30)</f>
        <v/>
      </c>
      <c r="VX30" s="12">
        <f>VR30+VR29+VR28+MAX(0,VX29-VR29-VR28)*(1-VJ30)</f>
        <v/>
      </c>
      <c r="VY30" s="12">
        <f>VS30+VS29+VS28+MAX(0,VY29-VS29-VS28)*(1-VJ30)</f>
        <v/>
      </c>
      <c r="VZ30" s="12">
        <f>VZ29+VT30-VT18*(AnnualChurn*VLOOKUP(VF30,ChurnSeasonTable,4,FALSE))*POWER(1-(AnnualChurn*VLOOKUP(VF30,ChurnSeasonTable,4,FALSE)),0)+VT6*(AnnualChurn*VLOOKUP(VF30,ChurnSeasonTable,4,FALSE))*POWER(1-(AnnualChurn*VLOOKUP(VF30,ChurnSeasonTable,4,FALSE)),1)</f>
        <v/>
      </c>
      <c r="WA30" s="12">
        <f>WA29+VU30-VU18*(AnnualChurn*VLOOKUP(VF30,ChurnSeasonTable,4,FALSE))*POWER(1-(AnnualChurn*VLOOKUP(VF30,ChurnSeasonTable,4,FALSE)),0)+VU6*(AnnualChurn*VLOOKUP(VF30,ChurnSeasonTable,4,FALSE))*POWER(1-(AnnualChurn*VLOOKUP(VF30,ChurnSeasonTable,4,FALSE)),1)</f>
        <v/>
      </c>
      <c r="WB30" s="12">
        <f>WB29+VV30-VV18*(AnnualChurn*VLOOKUP(VF30,ChurnSeasonTable,4,FALSE))*POWER(1-(AnnualChurn*VLOOKUP(VF30,ChurnSeasonTable,4,FALSE)),0)+VV6*(AnnualChurn*VLOOKUP(VF30,ChurnSeasonTable,4,FALSE))*POWER(1-(AnnualChurn*VLOOKUP(VF30,ChurnSeasonTable,4,FALSE)),1)</f>
        <v/>
      </c>
      <c r="WC30" s="12">
        <f>VW30+VX30+VY30+VZ30+WA30+WB30</f>
        <v/>
      </c>
      <c r="WD30" s="9">
        <f>VW30*BlendedPriceEssMonthly*VI30+VX30*BlendedPricePremMonthly*VI30+VY30*BlendedPriceEliteMonthly*VI30+VZ30*BlendedPriceEssAnnual*VI30/12+WA30*BlendedPricePremAnnual*VI30/12+WB30*BlendedPriceEliteAnnual*VI30/12</f>
        <v/>
      </c>
      <c r="WE30" s="9">
        <f>WD30*12</f>
        <v/>
      </c>
      <c r="WF30" s="12">
        <f>VW30*BlendedPriceEssMonthly*VI30+VX30*BlendedPricePremMonthly*VI30+VY30*BlendedPriceEliteMonthly*VI30</f>
        <v/>
      </c>
      <c r="WG30" s="12">
        <f>VT30*BlendedPriceEssAnnual*VI30+VU30*BlendedPricePremAnnual*VI30+VV30*BlendedPriceEliteAnnual*VI30</f>
        <v/>
      </c>
      <c r="WH30" s="12">
        <f>VT18*POWER(1-(AnnualChurn*VLOOKUP(VF30,ChurnSeasonTable,4,FALSE)),1)*BlendedPriceEssAnnual*VI30+VT6*POWER(1-(AnnualChurn*VLOOKUP(VF30,ChurnSeasonTable,4,FALSE)),2)*BlendedPriceEssAnnual*VI30+VU18*POWER(1-(AnnualChurn*VLOOKUP(VF30,ChurnSeasonTable,4,FALSE)),1)*BlendedPricePremAnnual*VI30+VU6*POWER(1-(AnnualChurn*VLOOKUP(VF30,ChurnSeasonTable,4,FALSE)),2)*BlendedPricePremAnnual*VI30+VV18*POWER(1-(AnnualChurn*VLOOKUP(VF30,ChurnSeasonTable,4,FALSE)),1)*BlendedPriceEliteAnnual*VI30+VV6*POWER(1-(AnnualChurn*VLOOKUP(VF30,ChurnSeasonTable,4,FALSE)),2)*BlendedPriceEliteAnnual*VI30</f>
        <v/>
      </c>
      <c r="WI30" s="9">
        <f>WF30+WG30+WH30</f>
        <v/>
      </c>
      <c r="WJ30" s="12">
        <f>SUM(WI19:WI30)</f>
        <v/>
      </c>
      <c r="WK30" s="12">
        <f>OR(WK29,IF(VATAgentMode,SUM($WI19:$WI30)-SUM($WP19:$WP30)&gt;=VATThreshold,SUM($WI19:$WI30)&gt;=VATThreshold))</f>
        <v/>
      </c>
      <c r="WL30" s="9">
        <f>IF(WK30,IF(VATAgentMode,WI30-((WI30-WP30)-(WI30-WP30)/(1+VATRate)),WI30/(1+VATRate)),WI30)</f>
        <v/>
      </c>
      <c r="WM30" s="12">
        <f>WI30-WL30</f>
        <v/>
      </c>
      <c r="WN30" s="12">
        <f>IF(WK30=0,0,IF(VF30=1,SUMPRODUCT(--(($VG$5:$VG30=$VG30-1)*($VF$5:$VF30&gt;=10)*($VF$5:$VF30&lt;=12)),$WM$5:$WM30),IF(VF30=4,SUMPRODUCT(--(($VG$5:$VG30=$VG30)*($VF$5:$VF30&gt;=1)*($VF$5:$VF30&lt;=3)),$WM$5:$WM30),IF(VF30=7,SUMPRODUCT(--(($VG$5:$VG30=$VG30)*($VF$5:$VF30&gt;=4)*($VF$5:$VF30&lt;=6)),$WM$5:$WM30),IF(VF30=10,SUMPRODUCT(--(($VG$5:$VG30=$VG30)*($VF$5:$VF30&gt;=7)*($VF$5:$VF30&lt;=9)),$WM$5:$WM30),0)))))</f>
        <v/>
      </c>
      <c r="WO30" s="12">
        <f>WO29+WM30-WN30</f>
        <v/>
      </c>
      <c r="WP30" s="12">
        <f>IF(ProviderDelay&gt;=1,VW29*BlendedProvPayEss+VX29*BlendedProvPayPrem+VY29*BlendedProvPayElite+VZ29*BlendedProvPayEss+WA29*BlendedProvPayPrem+WB29*BlendedProvPayElite,VW30*BlendedProvPayEss+VX30*BlendedProvPayPrem+VY30*BlendedProvPayElite+VZ30*BlendedProvPayEss+WA30*BlendedProvPayPrem+WB30*BlendedProvPayElite)</f>
        <v/>
      </c>
      <c r="WQ30" s="12">
        <f>WI30*PaymentFee</f>
        <v/>
      </c>
      <c r="WR30" s="12">
        <f>WC30*OpsAI</f>
        <v/>
      </c>
      <c r="WS30" s="12">
        <f>MonthlyFixed</f>
        <v/>
      </c>
      <c r="WT30" s="12">
        <f>VM30*ReferralReward</f>
        <v/>
      </c>
      <c r="WU30" s="12">
        <f>VK30</f>
        <v/>
      </c>
      <c r="WV30" s="9">
        <f>WL30-WP30-WQ30-WR30-WS30-WT30-WU30</f>
        <v/>
      </c>
      <c r="WW30" s="9">
        <f>WW29+WI30-(WP30+WQ30+WR30+WS30+WT30+WU30+WN30)</f>
        <v/>
      </c>
      <c r="WX30" s="12">
        <f>IF(WC30&gt;0,WD30/WC30,0)</f>
        <v/>
      </c>
      <c r="WY30" s="11">
        <f>IF(WC29&gt;0,MAX(0,(WC29+VN30-WC30)/WC29),0)</f>
        <v/>
      </c>
      <c r="XA30" s="12" t="n">
        <v>26</v>
      </c>
      <c r="XB30" s="12">
        <f>MOD(XA30-1+LaunchMonth-1,12)+1</f>
        <v/>
      </c>
      <c r="XC30" s="12">
        <f>INT((XA30-1+LaunchMonth-1)/12)+1</f>
        <v/>
      </c>
      <c r="XD30" s="12">
        <f>VLOOKUP(XB30,SeasonTable,2,FALSE)</f>
        <v/>
      </c>
      <c r="XE30" s="12">
        <f>(1+InflationRate)^INT((XA30-1)/12)</f>
        <v/>
      </c>
      <c r="XF30" s="11">
        <f>MonthlyChurn*VLOOKUP(XB30,ChurnSeasonTable,4,FALSE)</f>
        <v/>
      </c>
      <c r="XG30" s="12">
        <f>MIN(MAX(MktMin19plus,YE29*MktPct19plus),MAX(0,YS29-CashBuffer))</f>
        <v/>
      </c>
      <c r="XH30" s="12">
        <f>IF(XG30&gt;0,MAX(1,ROUND(XG30/CAC*XD30,0)),0)</f>
        <v/>
      </c>
      <c r="XI30" s="12">
        <f>IF(XH30&gt;0,ROUND(XH30*ReferralMix/(1-ReferralMix),0),0)</f>
        <v/>
      </c>
      <c r="XJ30" s="12">
        <f>XH30+XI30</f>
        <v/>
      </c>
      <c r="XK30" s="12">
        <f>ROUND(XJ30*(1-'Sens - Annual Mix'!$A$10),0)</f>
        <v/>
      </c>
      <c r="XL30" s="12">
        <f>XJ30-XK30</f>
        <v/>
      </c>
      <c r="XM30" s="12">
        <f>ROUND(XK30*EssentialMix,0)</f>
        <v/>
      </c>
      <c r="XN30" s="12">
        <f>ROUND(XK30*PremiumMix,0)</f>
        <v/>
      </c>
      <c r="XO30" s="12">
        <f>XK30-XM30-XN30</f>
        <v/>
      </c>
      <c r="XP30" s="12">
        <f>ROUND(XL30*EssentialMix,0)</f>
        <v/>
      </c>
      <c r="XQ30" s="12">
        <f>ROUND(XL30*PremiumMix,0)</f>
        <v/>
      </c>
      <c r="XR30" s="12">
        <f>XL30-XP30-XQ30</f>
        <v/>
      </c>
      <c r="XS30" s="12">
        <f>XM30+XM29+XM28+MAX(0,XS29-XM29-XM28)*(1-XF30)</f>
        <v/>
      </c>
      <c r="XT30" s="12">
        <f>XN30+XN29+XN28+MAX(0,XT29-XN29-XN28)*(1-XF30)</f>
        <v/>
      </c>
      <c r="XU30" s="12">
        <f>XO30+XO29+XO28+MAX(0,XU29-XO29-XO28)*(1-XF30)</f>
        <v/>
      </c>
      <c r="XV30" s="12">
        <f>XV29+XP30-XP18*(AnnualChurn*VLOOKUP(XB30,ChurnSeasonTable,4,FALSE))*POWER(1-(AnnualChurn*VLOOKUP(XB30,ChurnSeasonTable,4,FALSE)),0)+XP6*(AnnualChurn*VLOOKUP(XB30,ChurnSeasonTable,4,FALSE))*POWER(1-(AnnualChurn*VLOOKUP(XB30,ChurnSeasonTable,4,FALSE)),1)</f>
        <v/>
      </c>
      <c r="XW30" s="12">
        <f>XW29+XQ30-XQ18*(AnnualChurn*VLOOKUP(XB30,ChurnSeasonTable,4,FALSE))*POWER(1-(AnnualChurn*VLOOKUP(XB30,ChurnSeasonTable,4,FALSE)),0)+XQ6*(AnnualChurn*VLOOKUP(XB30,ChurnSeasonTable,4,FALSE))*POWER(1-(AnnualChurn*VLOOKUP(XB30,ChurnSeasonTable,4,FALSE)),1)</f>
        <v/>
      </c>
      <c r="XX30" s="12">
        <f>XX29+XR30-XR18*(AnnualChurn*VLOOKUP(XB30,ChurnSeasonTable,4,FALSE))*POWER(1-(AnnualChurn*VLOOKUP(XB30,ChurnSeasonTable,4,FALSE)),0)+XR6*(AnnualChurn*VLOOKUP(XB30,ChurnSeasonTable,4,FALSE))*POWER(1-(AnnualChurn*VLOOKUP(XB30,ChurnSeasonTable,4,FALSE)),1)</f>
        <v/>
      </c>
      <c r="XY30" s="12">
        <f>XS30+XT30+XU30+XV30+XW30+XX30</f>
        <v/>
      </c>
      <c r="XZ30" s="9">
        <f>XS30*BlendedPriceEssMonthly*XE30+XT30*BlendedPricePremMonthly*XE30+XU30*BlendedPriceEliteMonthly*XE30+XV30*BlendedPriceEssAnnual*XE30/12+XW30*BlendedPricePremAnnual*XE30/12+XX30*BlendedPriceEliteAnnual*XE30/12</f>
        <v/>
      </c>
      <c r="YA30" s="9">
        <f>XZ30*12</f>
        <v/>
      </c>
      <c r="YB30" s="12">
        <f>XS30*BlendedPriceEssMonthly*XE30+XT30*BlendedPricePremMonthly*XE30+XU30*BlendedPriceEliteMonthly*XE30</f>
        <v/>
      </c>
      <c r="YC30" s="12">
        <f>XP30*BlendedPriceEssAnnual*XE30+XQ30*BlendedPricePremAnnual*XE30+XR30*BlendedPriceEliteAnnual*XE30</f>
        <v/>
      </c>
      <c r="YD30" s="12">
        <f>XP18*POWER(1-(AnnualChurn*VLOOKUP(XB30,ChurnSeasonTable,4,FALSE)),1)*BlendedPriceEssAnnual*XE30+XP6*POWER(1-(AnnualChurn*VLOOKUP(XB30,ChurnSeasonTable,4,FALSE)),2)*BlendedPriceEssAnnual*XE30+XQ18*POWER(1-(AnnualChurn*VLOOKUP(XB30,ChurnSeasonTable,4,FALSE)),1)*BlendedPricePremAnnual*XE30+XQ6*POWER(1-(AnnualChurn*VLOOKUP(XB30,ChurnSeasonTable,4,FALSE)),2)*BlendedPricePremAnnual*XE30+XR18*POWER(1-(AnnualChurn*VLOOKUP(XB30,ChurnSeasonTable,4,FALSE)),1)*BlendedPriceEliteAnnual*XE30+XR6*POWER(1-(AnnualChurn*VLOOKUP(XB30,ChurnSeasonTable,4,FALSE)),2)*BlendedPriceEliteAnnual*XE30</f>
        <v/>
      </c>
      <c r="YE30" s="9">
        <f>YB30+YC30+YD30</f>
        <v/>
      </c>
      <c r="YF30" s="12">
        <f>SUM(YE19:YE30)</f>
        <v/>
      </c>
      <c r="YG30" s="12">
        <f>OR(YG29,IF(VATAgentMode,SUM($YE19:$YE30)-SUM($YL19:$YL30)&gt;=VATThreshold,SUM($YE19:$YE30)&gt;=VATThreshold))</f>
        <v/>
      </c>
      <c r="YH30" s="9">
        <f>IF(YG30,IF(VATAgentMode,YE30-((YE30-YL30)-(YE30-YL30)/(1+VATRate)),YE30/(1+VATRate)),YE30)</f>
        <v/>
      </c>
      <c r="YI30" s="12">
        <f>YE30-YH30</f>
        <v/>
      </c>
      <c r="YJ30" s="12">
        <f>IF(YG30=0,0,IF(XB30=1,SUMPRODUCT(--(($XC$5:$XC30=$XC30-1)*($XB$5:$XB30&gt;=10)*($XB$5:$XB30&lt;=12)),$YI$5:$YI30),IF(XB30=4,SUMPRODUCT(--(($XC$5:$XC30=$XC30)*($XB$5:$XB30&gt;=1)*($XB$5:$XB30&lt;=3)),$YI$5:$YI30),IF(XB30=7,SUMPRODUCT(--(($XC$5:$XC30=$XC30)*($XB$5:$XB30&gt;=4)*($XB$5:$XB30&lt;=6)),$YI$5:$YI30),IF(XB30=10,SUMPRODUCT(--(($XC$5:$XC30=$XC30)*($XB$5:$XB30&gt;=7)*($XB$5:$XB30&lt;=9)),$YI$5:$YI30),0)))))</f>
        <v/>
      </c>
      <c r="YK30" s="12">
        <f>YK29+YI30-YJ30</f>
        <v/>
      </c>
      <c r="YL30" s="12">
        <f>IF(ProviderDelay&gt;=1,XS29*BlendedProvPayEss+XT29*BlendedProvPayPrem+XU29*BlendedProvPayElite+XV29*BlendedProvPayEss+XW29*BlendedProvPayPrem+XX29*BlendedProvPayElite,XS30*BlendedProvPayEss+XT30*BlendedProvPayPrem+XU30*BlendedProvPayElite+XV30*BlendedProvPayEss+XW30*BlendedProvPayPrem+XX30*BlendedProvPayElite)</f>
        <v/>
      </c>
      <c r="YM30" s="12">
        <f>YE30*PaymentFee</f>
        <v/>
      </c>
      <c r="YN30" s="12">
        <f>XY30*OpsAI</f>
        <v/>
      </c>
      <c r="YO30" s="12">
        <f>MonthlyFixed</f>
        <v/>
      </c>
      <c r="YP30" s="12">
        <f>XI30*ReferralReward</f>
        <v/>
      </c>
      <c r="YQ30" s="12">
        <f>XG30</f>
        <v/>
      </c>
      <c r="YR30" s="9">
        <f>YH30-YL30-YM30-YN30-YO30-YP30-YQ30</f>
        <v/>
      </c>
      <c r="YS30" s="9">
        <f>YS29+YE30-(YL30+YM30+YN30+YO30+YP30+YQ30+YJ30)</f>
        <v/>
      </c>
      <c r="YT30" s="12">
        <f>IF(XY30&gt;0,XZ30/XY30,0)</f>
        <v/>
      </c>
      <c r="YU30" s="11">
        <f>IF(XY29&gt;0,MAX(0,(XY29+XJ30-XY30)/XY29),0)</f>
        <v/>
      </c>
      <c r="YW30" s="12" t="n">
        <v>26</v>
      </c>
      <c r="YX30" s="12">
        <f>MOD(YW30-1+LaunchMonth-1,12)+1</f>
        <v/>
      </c>
      <c r="YY30" s="12">
        <f>INT((YW30-1+LaunchMonth-1)/12)+1</f>
        <v/>
      </c>
      <c r="YZ30" s="12">
        <f>VLOOKUP(YX30,SeasonTable,2,FALSE)</f>
        <v/>
      </c>
      <c r="ZA30" s="12">
        <f>(1+InflationRate)^INT((YW30-1)/12)</f>
        <v/>
      </c>
      <c r="ZB30" s="11">
        <f>MonthlyChurn*VLOOKUP(YX30,ChurnSeasonTable,4,FALSE)</f>
        <v/>
      </c>
      <c r="ZC30" s="12">
        <f>MIN(MAX(MktMin19plus,AAA29*MktPct19plus),MAX(0,AAO29-CashBuffer))</f>
        <v/>
      </c>
      <c r="ZD30" s="12">
        <f>IF(ZC30&gt;0,MAX(1,ROUND(ZC30/CAC*YZ30,0)),0)</f>
        <v/>
      </c>
      <c r="ZE30" s="12">
        <f>IF(ZD30&gt;0,ROUND(ZD30*ReferralMix/(1-ReferralMix),0),0)</f>
        <v/>
      </c>
      <c r="ZF30" s="12">
        <f>ZD30+ZE30</f>
        <v/>
      </c>
      <c r="ZG30" s="12">
        <f>ROUND(ZF30*(1-'Sens - Annual Mix'!$A$11),0)</f>
        <v/>
      </c>
      <c r="ZH30" s="12">
        <f>ZF30-ZG30</f>
        <v/>
      </c>
      <c r="ZI30" s="12">
        <f>ROUND(ZG30*EssentialMix,0)</f>
        <v/>
      </c>
      <c r="ZJ30" s="12">
        <f>ROUND(ZG30*PremiumMix,0)</f>
        <v/>
      </c>
      <c r="ZK30" s="12">
        <f>ZG30-ZI30-ZJ30</f>
        <v/>
      </c>
      <c r="ZL30" s="12">
        <f>ROUND(ZH30*EssentialMix,0)</f>
        <v/>
      </c>
      <c r="ZM30" s="12">
        <f>ROUND(ZH30*PremiumMix,0)</f>
        <v/>
      </c>
      <c r="ZN30" s="12">
        <f>ZH30-ZL30-ZM30</f>
        <v/>
      </c>
      <c r="ZO30" s="12">
        <f>ZI30+ZI29+ZI28+MAX(0,ZO29-ZI29-ZI28)*(1-ZB30)</f>
        <v/>
      </c>
      <c r="ZP30" s="12">
        <f>ZJ30+ZJ29+ZJ28+MAX(0,ZP29-ZJ29-ZJ28)*(1-ZB30)</f>
        <v/>
      </c>
      <c r="ZQ30" s="12">
        <f>ZK30+ZK29+ZK28+MAX(0,ZQ29-ZK29-ZK28)*(1-ZB30)</f>
        <v/>
      </c>
      <c r="ZR30" s="12">
        <f>ZR29+ZL30-ZL18*(AnnualChurn*VLOOKUP(YX30,ChurnSeasonTable,4,FALSE))*POWER(1-(AnnualChurn*VLOOKUP(YX30,ChurnSeasonTable,4,FALSE)),0)+ZL6*(AnnualChurn*VLOOKUP(YX30,ChurnSeasonTable,4,FALSE))*POWER(1-(AnnualChurn*VLOOKUP(YX30,ChurnSeasonTable,4,FALSE)),1)</f>
        <v/>
      </c>
      <c r="ZS30" s="12">
        <f>ZS29+ZM30-ZM18*(AnnualChurn*VLOOKUP(YX30,ChurnSeasonTable,4,FALSE))*POWER(1-(AnnualChurn*VLOOKUP(YX30,ChurnSeasonTable,4,FALSE)),0)+ZM6*(AnnualChurn*VLOOKUP(YX30,ChurnSeasonTable,4,FALSE))*POWER(1-(AnnualChurn*VLOOKUP(YX30,ChurnSeasonTable,4,FALSE)),1)</f>
        <v/>
      </c>
      <c r="ZT30" s="12">
        <f>ZT29+ZN30-ZN18*(AnnualChurn*VLOOKUP(YX30,ChurnSeasonTable,4,FALSE))*POWER(1-(AnnualChurn*VLOOKUP(YX30,ChurnSeasonTable,4,FALSE)),0)+ZN6*(AnnualChurn*VLOOKUP(YX30,ChurnSeasonTable,4,FALSE))*POWER(1-(AnnualChurn*VLOOKUP(YX30,ChurnSeasonTable,4,FALSE)),1)</f>
        <v/>
      </c>
      <c r="ZU30" s="12">
        <f>ZO30+ZP30+ZQ30+ZR30+ZS30+ZT30</f>
        <v/>
      </c>
      <c r="ZV30" s="9">
        <f>ZO30*BlendedPriceEssMonthly*ZA30+ZP30*BlendedPricePremMonthly*ZA30+ZQ30*BlendedPriceEliteMonthly*ZA30+ZR30*BlendedPriceEssAnnual*ZA30/12+ZS30*BlendedPricePremAnnual*ZA30/12+ZT30*BlendedPriceEliteAnnual*ZA30/12</f>
        <v/>
      </c>
      <c r="ZW30" s="9">
        <f>ZV30*12</f>
        <v/>
      </c>
      <c r="ZX30" s="12">
        <f>ZO30*BlendedPriceEssMonthly*ZA30+ZP30*BlendedPricePremMonthly*ZA30+ZQ30*BlendedPriceEliteMonthly*ZA30</f>
        <v/>
      </c>
      <c r="ZY30" s="12">
        <f>ZL30*BlendedPriceEssAnnual*ZA30+ZM30*BlendedPricePremAnnual*ZA30+ZN30*BlendedPriceEliteAnnual*ZA30</f>
        <v/>
      </c>
      <c r="ZZ30" s="12">
        <f>ZL18*POWER(1-(AnnualChurn*VLOOKUP(YX30,ChurnSeasonTable,4,FALSE)),1)*BlendedPriceEssAnnual*ZA30+ZL6*POWER(1-(AnnualChurn*VLOOKUP(YX30,ChurnSeasonTable,4,FALSE)),2)*BlendedPriceEssAnnual*ZA30+ZM18*POWER(1-(AnnualChurn*VLOOKUP(YX30,ChurnSeasonTable,4,FALSE)),1)*BlendedPricePremAnnual*ZA30+ZM6*POWER(1-(AnnualChurn*VLOOKUP(YX30,ChurnSeasonTable,4,FALSE)),2)*BlendedPricePremAnnual*ZA30+ZN18*POWER(1-(AnnualChurn*VLOOKUP(YX30,ChurnSeasonTable,4,FALSE)),1)*BlendedPriceEliteAnnual*ZA30+ZN6*POWER(1-(AnnualChurn*VLOOKUP(YX30,ChurnSeasonTable,4,FALSE)),2)*BlendedPriceEliteAnnual*ZA30</f>
        <v/>
      </c>
      <c r="AAA30" s="9">
        <f>ZX30+ZY30+ZZ30</f>
        <v/>
      </c>
      <c r="AAB30" s="12">
        <f>SUM(AAA19:AAA30)</f>
        <v/>
      </c>
      <c r="AAC30" s="12">
        <f>OR(AAC29,IF(VATAgentMode,SUM($AAA19:$AAA30)-SUM($AAH19:$AAH30)&gt;=VATThreshold,SUM($AAA19:$AAA30)&gt;=VATThreshold))</f>
        <v/>
      </c>
      <c r="AAD30" s="9">
        <f>IF(AAC30,IF(VATAgentMode,AAA30-((AAA30-AAH30)-(AAA30-AAH30)/(1+VATRate)),AAA30/(1+VATRate)),AAA30)</f>
        <v/>
      </c>
      <c r="AAE30" s="12">
        <f>AAA30-AAD30</f>
        <v/>
      </c>
      <c r="AAF30" s="12">
        <f>IF(AAC30=0,0,IF(YX30=1,SUMPRODUCT(--(($YY$5:$YY30=$YY30-1)*($YX$5:$YX30&gt;=10)*($YX$5:$YX30&lt;=12)),$AAE$5:$AAE30),IF(YX30=4,SUMPRODUCT(--(($YY$5:$YY30=$YY30)*($YX$5:$YX30&gt;=1)*($YX$5:$YX30&lt;=3)),$AAE$5:$AAE30),IF(YX30=7,SUMPRODUCT(--(($YY$5:$YY30=$YY30)*($YX$5:$YX30&gt;=4)*($YX$5:$YX30&lt;=6)),$AAE$5:$AAE30),IF(YX30=10,SUMPRODUCT(--(($YY$5:$YY30=$YY30)*($YX$5:$YX30&gt;=7)*($YX$5:$YX30&lt;=9)),$AAE$5:$AAE30),0)))))</f>
        <v/>
      </c>
      <c r="AAG30" s="12">
        <f>AAG29+AAE30-AAF30</f>
        <v/>
      </c>
      <c r="AAH30" s="12">
        <f>IF(ProviderDelay&gt;=1,ZO29*BlendedProvPayEss+ZP29*BlendedProvPayPrem+ZQ29*BlendedProvPayElite+ZR29*BlendedProvPayEss+ZS29*BlendedProvPayPrem+ZT29*BlendedProvPayElite,ZO30*BlendedProvPayEss+ZP30*BlendedProvPayPrem+ZQ30*BlendedProvPayElite+ZR30*BlendedProvPayEss+ZS30*BlendedProvPayPrem+ZT30*BlendedProvPayElite)</f>
        <v/>
      </c>
      <c r="AAI30" s="12">
        <f>AAA30*PaymentFee</f>
        <v/>
      </c>
      <c r="AAJ30" s="12">
        <f>ZU30*OpsAI</f>
        <v/>
      </c>
      <c r="AAK30" s="12">
        <f>MonthlyFixed</f>
        <v/>
      </c>
      <c r="AAL30" s="12">
        <f>ZE30*ReferralReward</f>
        <v/>
      </c>
      <c r="AAM30" s="12">
        <f>ZC30</f>
        <v/>
      </c>
      <c r="AAN30" s="9">
        <f>AAD30-AAH30-AAI30-AAJ30-AAK30-AAL30-AAM30</f>
        <v/>
      </c>
      <c r="AAO30" s="9">
        <f>AAO29+AAA30-(AAH30+AAI30+AAJ30+AAK30+AAL30+AAM30+AAF30)</f>
        <v/>
      </c>
      <c r="AAP30" s="12">
        <f>IF(ZU30&gt;0,ZV30/ZU30,0)</f>
        <v/>
      </c>
      <c r="AAQ30" s="11">
        <f>IF(ZU29&gt;0,MAX(0,(ZU29+ZF30-ZU30)/ZU29),0)</f>
        <v/>
      </c>
      <c r="AAS30" s="12" t="n">
        <v>26</v>
      </c>
      <c r="AAT30" s="12">
        <f>MOD(AAS30-1+LaunchMonth-1,12)+1</f>
        <v/>
      </c>
      <c r="AAU30" s="12">
        <f>INT((AAS30-1+LaunchMonth-1)/12)+1</f>
        <v/>
      </c>
      <c r="AAV30" s="12">
        <f>VLOOKUP(AAT30,SeasonTable,2,FALSE)</f>
        <v/>
      </c>
      <c r="AAW30" s="12">
        <f>(1+InflationRate)^INT((AAS30-1)/12)</f>
        <v/>
      </c>
      <c r="AAX30" s="11">
        <f>MonthlyChurn*VLOOKUP(AAT30,ChurnSeasonTable,4,FALSE)</f>
        <v/>
      </c>
      <c r="AAY30" s="12">
        <f>MIN(MAX(MktMin19plus,ABW29*MktPct19plus),MAX(0,ACK29-CashBuffer))</f>
        <v/>
      </c>
      <c r="AAZ30" s="12">
        <f>IF(AAY30&gt;0,MAX(1,ROUND(AAY30/CAC*AAV30,0)),0)</f>
        <v/>
      </c>
      <c r="ABA30" s="12">
        <f>IF(AAZ30&gt;0,ROUND(AAZ30*ReferralMix/(1-ReferralMix),0),0)</f>
        <v/>
      </c>
      <c r="ABB30" s="12">
        <f>AAZ30+ABA30</f>
        <v/>
      </c>
      <c r="ABC30" s="12">
        <f>ROUND(ABB30*(1-'Sens - Annual Mix'!$A$12),0)</f>
        <v/>
      </c>
      <c r="ABD30" s="12">
        <f>ABB30-ABC30</f>
        <v/>
      </c>
      <c r="ABE30" s="12">
        <f>ROUND(ABC30*EssentialMix,0)</f>
        <v/>
      </c>
      <c r="ABF30" s="12">
        <f>ROUND(ABC30*PremiumMix,0)</f>
        <v/>
      </c>
      <c r="ABG30" s="12">
        <f>ABC30-ABE30-ABF30</f>
        <v/>
      </c>
      <c r="ABH30" s="12">
        <f>ROUND(ABD30*EssentialMix,0)</f>
        <v/>
      </c>
      <c r="ABI30" s="12">
        <f>ROUND(ABD30*PremiumMix,0)</f>
        <v/>
      </c>
      <c r="ABJ30" s="12">
        <f>ABD30-ABH30-ABI30</f>
        <v/>
      </c>
      <c r="ABK30" s="12">
        <f>ABE30+ABE29+ABE28+MAX(0,ABK29-ABE29-ABE28)*(1-AAX30)</f>
        <v/>
      </c>
      <c r="ABL30" s="12">
        <f>ABF30+ABF29+ABF28+MAX(0,ABL29-ABF29-ABF28)*(1-AAX30)</f>
        <v/>
      </c>
      <c r="ABM30" s="12">
        <f>ABG30+ABG29+ABG28+MAX(0,ABM29-ABG29-ABG28)*(1-AAX30)</f>
        <v/>
      </c>
      <c r="ABN30" s="12">
        <f>ABN29+ABH30-ABH18*(AnnualChurn*VLOOKUP(AAT30,ChurnSeasonTable,4,FALSE))*POWER(1-(AnnualChurn*VLOOKUP(AAT30,ChurnSeasonTable,4,FALSE)),0)+ABH6*(AnnualChurn*VLOOKUP(AAT30,ChurnSeasonTable,4,FALSE))*POWER(1-(AnnualChurn*VLOOKUP(AAT30,ChurnSeasonTable,4,FALSE)),1)</f>
        <v/>
      </c>
      <c r="ABO30" s="12">
        <f>ABO29+ABI30-ABI18*(AnnualChurn*VLOOKUP(AAT30,ChurnSeasonTable,4,FALSE))*POWER(1-(AnnualChurn*VLOOKUP(AAT30,ChurnSeasonTable,4,FALSE)),0)+ABI6*(AnnualChurn*VLOOKUP(AAT30,ChurnSeasonTable,4,FALSE))*POWER(1-(AnnualChurn*VLOOKUP(AAT30,ChurnSeasonTable,4,FALSE)),1)</f>
        <v/>
      </c>
      <c r="ABP30" s="12">
        <f>ABP29+ABJ30-ABJ18*(AnnualChurn*VLOOKUP(AAT30,ChurnSeasonTable,4,FALSE))*POWER(1-(AnnualChurn*VLOOKUP(AAT30,ChurnSeasonTable,4,FALSE)),0)+ABJ6*(AnnualChurn*VLOOKUP(AAT30,ChurnSeasonTable,4,FALSE))*POWER(1-(AnnualChurn*VLOOKUP(AAT30,ChurnSeasonTable,4,FALSE)),1)</f>
        <v/>
      </c>
      <c r="ABQ30" s="12">
        <f>ABK30+ABL30+ABM30+ABN30+ABO30+ABP30</f>
        <v/>
      </c>
      <c r="ABR30" s="9">
        <f>ABK30*BlendedPriceEssMonthly*AAW30+ABL30*BlendedPricePremMonthly*AAW30+ABM30*BlendedPriceEliteMonthly*AAW30+ABN30*BlendedPriceEssAnnual*AAW30/12+ABO30*BlendedPricePremAnnual*AAW30/12+ABP30*BlendedPriceEliteAnnual*AAW30/12</f>
        <v/>
      </c>
      <c r="ABS30" s="9">
        <f>ABR30*12</f>
        <v/>
      </c>
      <c r="ABT30" s="12">
        <f>ABK30*BlendedPriceEssMonthly*AAW30+ABL30*BlendedPricePremMonthly*AAW30+ABM30*BlendedPriceEliteMonthly*AAW30</f>
        <v/>
      </c>
      <c r="ABU30" s="12">
        <f>ABH30*BlendedPriceEssAnnual*AAW30+ABI30*BlendedPricePremAnnual*AAW30+ABJ30*BlendedPriceEliteAnnual*AAW30</f>
        <v/>
      </c>
      <c r="ABV30" s="12">
        <f>ABH18*POWER(1-(AnnualChurn*VLOOKUP(AAT30,ChurnSeasonTable,4,FALSE)),1)*BlendedPriceEssAnnual*AAW30+ABH6*POWER(1-(AnnualChurn*VLOOKUP(AAT30,ChurnSeasonTable,4,FALSE)),2)*BlendedPriceEssAnnual*AAW30+ABI18*POWER(1-(AnnualChurn*VLOOKUP(AAT30,ChurnSeasonTable,4,FALSE)),1)*BlendedPricePremAnnual*AAW30+ABI6*POWER(1-(AnnualChurn*VLOOKUP(AAT30,ChurnSeasonTable,4,FALSE)),2)*BlendedPricePremAnnual*AAW30+ABJ18*POWER(1-(AnnualChurn*VLOOKUP(AAT30,ChurnSeasonTable,4,FALSE)),1)*BlendedPriceEliteAnnual*AAW30+ABJ6*POWER(1-(AnnualChurn*VLOOKUP(AAT30,ChurnSeasonTable,4,FALSE)),2)*BlendedPriceEliteAnnual*AAW30</f>
        <v/>
      </c>
      <c r="ABW30" s="9">
        <f>ABT30+ABU30+ABV30</f>
        <v/>
      </c>
      <c r="ABX30" s="12">
        <f>SUM(ABW19:ABW30)</f>
        <v/>
      </c>
      <c r="ABY30" s="12">
        <f>OR(ABY29,IF(VATAgentMode,SUM($ABW19:$ABW30)-SUM($ACD19:$ACD30)&gt;=VATThreshold,SUM($ABW19:$ABW30)&gt;=VATThreshold))</f>
        <v/>
      </c>
      <c r="ABZ30" s="9">
        <f>IF(ABY30,IF(VATAgentMode,ABW30-((ABW30-ACD30)-(ABW30-ACD30)/(1+VATRate)),ABW30/(1+VATRate)),ABW30)</f>
        <v/>
      </c>
      <c r="ACA30" s="12">
        <f>ABW30-ABZ30</f>
        <v/>
      </c>
      <c r="ACB30" s="12">
        <f>IF(ABY30=0,0,IF(AAT30=1,SUMPRODUCT(--(($AAU$5:$AAU30=$AAU30-1)*($AAT$5:$AAT30&gt;=10)*($AAT$5:$AAT30&lt;=12)),$ACA$5:$ACA30),IF(AAT30=4,SUMPRODUCT(--(($AAU$5:$AAU30=$AAU30)*($AAT$5:$AAT30&gt;=1)*($AAT$5:$AAT30&lt;=3)),$ACA$5:$ACA30),IF(AAT30=7,SUMPRODUCT(--(($AAU$5:$AAU30=$AAU30)*($AAT$5:$AAT30&gt;=4)*($AAT$5:$AAT30&lt;=6)),$ACA$5:$ACA30),IF(AAT30=10,SUMPRODUCT(--(($AAU$5:$AAU30=$AAU30)*($AAT$5:$AAT30&gt;=7)*($AAT$5:$AAT30&lt;=9)),$ACA$5:$ACA30),0)))))</f>
        <v/>
      </c>
      <c r="ACC30" s="12">
        <f>ACC29+ACA30-ACB30</f>
        <v/>
      </c>
      <c r="ACD30" s="12">
        <f>IF(ProviderDelay&gt;=1,ABK29*BlendedProvPayEss+ABL29*BlendedProvPayPrem+ABM29*BlendedProvPayElite+ABN29*BlendedProvPayEss+ABO29*BlendedProvPayPrem+ABP29*BlendedProvPayElite,ABK30*BlendedProvPayEss+ABL30*BlendedProvPayPrem+ABM30*BlendedProvPayElite+ABN30*BlendedProvPayEss+ABO30*BlendedProvPayPrem+ABP30*BlendedProvPayElite)</f>
        <v/>
      </c>
      <c r="ACE30" s="12">
        <f>ABW30*PaymentFee</f>
        <v/>
      </c>
      <c r="ACF30" s="12">
        <f>ABQ30*OpsAI</f>
        <v/>
      </c>
      <c r="ACG30" s="12">
        <f>MonthlyFixed</f>
        <v/>
      </c>
      <c r="ACH30" s="12">
        <f>ABA30*ReferralReward</f>
        <v/>
      </c>
      <c r="ACI30" s="12">
        <f>AAY30</f>
        <v/>
      </c>
      <c r="ACJ30" s="9">
        <f>ABZ30-ACD30-ACE30-ACF30-ACG30-ACH30-ACI30</f>
        <v/>
      </c>
      <c r="ACK30" s="9">
        <f>ACK29+ABW30-(ACD30+ACE30+ACF30+ACG30+ACH30+ACI30+ACB30)</f>
        <v/>
      </c>
      <c r="ACL30" s="12">
        <f>IF(ABQ30&gt;0,ABR30/ABQ30,0)</f>
        <v/>
      </c>
      <c r="ACM30" s="11">
        <f>IF(ABQ29&gt;0,MAX(0,(ABQ29+ABB30-ABQ30)/ABQ29),0)</f>
        <v/>
      </c>
      <c r="ACO30" s="12" t="n">
        <v>26</v>
      </c>
      <c r="ACP30" s="12">
        <f>MOD(ACO30-1+LaunchMonth-1,12)+1</f>
        <v/>
      </c>
      <c r="ACQ30" s="12">
        <f>INT((ACO30-1+LaunchMonth-1)/12)+1</f>
        <v/>
      </c>
      <c r="ACR30" s="12">
        <f>VLOOKUP(ACP30,SeasonTable,2,FALSE)</f>
        <v/>
      </c>
      <c r="ACS30" s="12">
        <f>(1+InflationRate)^INT((ACO30-1)/12)</f>
        <v/>
      </c>
      <c r="ACT30" s="11">
        <f>MonthlyChurn*VLOOKUP(ACP30,ChurnSeasonTable,4,FALSE)</f>
        <v/>
      </c>
      <c r="ACU30" s="12">
        <f>MIN(MAX(MktMin19plus,ADS29*MktPct19plus),MAX(0,AEG29-CashBuffer))</f>
        <v/>
      </c>
      <c r="ACV30" s="12">
        <f>IF(ACU30&gt;0,MAX(1,ROUND(ACU30/CAC*ACR30,0)),0)</f>
        <v/>
      </c>
      <c r="ACW30" s="12">
        <f>IF(ACV30&gt;0,ROUND(ACV30*ReferralMix/(1-ReferralMix),0),0)</f>
        <v/>
      </c>
      <c r="ACX30" s="12">
        <f>ACV30+ACW30</f>
        <v/>
      </c>
      <c r="ACY30" s="12">
        <f>ROUND(ACX30*(1-'Sens - Annual Mix'!$A$13),0)</f>
        <v/>
      </c>
      <c r="ACZ30" s="12">
        <f>ACX30-ACY30</f>
        <v/>
      </c>
      <c r="ADA30" s="12">
        <f>ROUND(ACY30*EssentialMix,0)</f>
        <v/>
      </c>
      <c r="ADB30" s="12">
        <f>ROUND(ACY30*PremiumMix,0)</f>
        <v/>
      </c>
      <c r="ADC30" s="12">
        <f>ACY30-ADA30-ADB30</f>
        <v/>
      </c>
      <c r="ADD30" s="12">
        <f>ROUND(ACZ30*EssentialMix,0)</f>
        <v/>
      </c>
      <c r="ADE30" s="12">
        <f>ROUND(ACZ30*PremiumMix,0)</f>
        <v/>
      </c>
      <c r="ADF30" s="12">
        <f>ACZ30-ADD30-ADE30</f>
        <v/>
      </c>
      <c r="ADG30" s="12">
        <f>ADA30+ADA29+ADA28+MAX(0,ADG29-ADA29-ADA28)*(1-ACT30)</f>
        <v/>
      </c>
      <c r="ADH30" s="12">
        <f>ADB30+ADB29+ADB28+MAX(0,ADH29-ADB29-ADB28)*(1-ACT30)</f>
        <v/>
      </c>
      <c r="ADI30" s="12">
        <f>ADC30+ADC29+ADC28+MAX(0,ADI29-ADC29-ADC28)*(1-ACT30)</f>
        <v/>
      </c>
      <c r="ADJ30" s="12">
        <f>ADJ29+ADD30-ADD18*(AnnualChurn*VLOOKUP(ACP30,ChurnSeasonTable,4,FALSE))*POWER(1-(AnnualChurn*VLOOKUP(ACP30,ChurnSeasonTable,4,FALSE)),0)+ADD6*(AnnualChurn*VLOOKUP(ACP30,ChurnSeasonTable,4,FALSE))*POWER(1-(AnnualChurn*VLOOKUP(ACP30,ChurnSeasonTable,4,FALSE)),1)</f>
        <v/>
      </c>
      <c r="ADK30" s="12">
        <f>ADK29+ADE30-ADE18*(AnnualChurn*VLOOKUP(ACP30,ChurnSeasonTable,4,FALSE))*POWER(1-(AnnualChurn*VLOOKUP(ACP30,ChurnSeasonTable,4,FALSE)),0)+ADE6*(AnnualChurn*VLOOKUP(ACP30,ChurnSeasonTable,4,FALSE))*POWER(1-(AnnualChurn*VLOOKUP(ACP30,ChurnSeasonTable,4,FALSE)),1)</f>
        <v/>
      </c>
      <c r="ADL30" s="12">
        <f>ADL29+ADF30-ADF18*(AnnualChurn*VLOOKUP(ACP30,ChurnSeasonTable,4,FALSE))*POWER(1-(AnnualChurn*VLOOKUP(ACP30,ChurnSeasonTable,4,FALSE)),0)+ADF6*(AnnualChurn*VLOOKUP(ACP30,ChurnSeasonTable,4,FALSE))*POWER(1-(AnnualChurn*VLOOKUP(ACP30,ChurnSeasonTable,4,FALSE)),1)</f>
        <v/>
      </c>
      <c r="ADM30" s="12">
        <f>ADG30+ADH30+ADI30+ADJ30+ADK30+ADL30</f>
        <v/>
      </c>
      <c r="ADN30" s="9">
        <f>ADG30*BlendedPriceEssMonthly*ACS30+ADH30*BlendedPricePremMonthly*ACS30+ADI30*BlendedPriceEliteMonthly*ACS30+ADJ30*BlendedPriceEssAnnual*ACS30/12+ADK30*BlendedPricePremAnnual*ACS30/12+ADL30*BlendedPriceEliteAnnual*ACS30/12</f>
        <v/>
      </c>
      <c r="ADO30" s="9">
        <f>ADN30*12</f>
        <v/>
      </c>
      <c r="ADP30" s="12">
        <f>ADG30*BlendedPriceEssMonthly*ACS30+ADH30*BlendedPricePremMonthly*ACS30+ADI30*BlendedPriceEliteMonthly*ACS30</f>
        <v/>
      </c>
      <c r="ADQ30" s="12">
        <f>ADD30*BlendedPriceEssAnnual*ACS30+ADE30*BlendedPricePremAnnual*ACS30+ADF30*BlendedPriceEliteAnnual*ACS30</f>
        <v/>
      </c>
      <c r="ADR30" s="12">
        <f>ADD18*POWER(1-(AnnualChurn*VLOOKUP(ACP30,ChurnSeasonTable,4,FALSE)),1)*BlendedPriceEssAnnual*ACS30+ADD6*POWER(1-(AnnualChurn*VLOOKUP(ACP30,ChurnSeasonTable,4,FALSE)),2)*BlendedPriceEssAnnual*ACS30+ADE18*POWER(1-(AnnualChurn*VLOOKUP(ACP30,ChurnSeasonTable,4,FALSE)),1)*BlendedPricePremAnnual*ACS30+ADE6*POWER(1-(AnnualChurn*VLOOKUP(ACP30,ChurnSeasonTable,4,FALSE)),2)*BlendedPricePremAnnual*ACS30+ADF18*POWER(1-(AnnualChurn*VLOOKUP(ACP30,ChurnSeasonTable,4,FALSE)),1)*BlendedPriceEliteAnnual*ACS30+ADF6*POWER(1-(AnnualChurn*VLOOKUP(ACP30,ChurnSeasonTable,4,FALSE)),2)*BlendedPriceEliteAnnual*ACS30</f>
        <v/>
      </c>
      <c r="ADS30" s="9">
        <f>ADP30+ADQ30+ADR30</f>
        <v/>
      </c>
      <c r="ADT30" s="12">
        <f>SUM(ADS19:ADS30)</f>
        <v/>
      </c>
      <c r="ADU30" s="12">
        <f>OR(ADU29,IF(VATAgentMode,SUM($ADS19:$ADS30)-SUM($ADZ19:$ADZ30)&gt;=VATThreshold,SUM($ADS19:$ADS30)&gt;=VATThreshold))</f>
        <v/>
      </c>
      <c r="ADV30" s="9">
        <f>IF(ADU30,IF(VATAgentMode,ADS30-((ADS30-ADZ30)-(ADS30-ADZ30)/(1+VATRate)),ADS30/(1+VATRate)),ADS30)</f>
        <v/>
      </c>
      <c r="ADW30" s="12">
        <f>ADS30-ADV30</f>
        <v/>
      </c>
      <c r="ADX30" s="12">
        <f>IF(ADU30=0,0,IF(ACP30=1,SUMPRODUCT(--(($ACQ$5:$ACQ30=$ACQ30-1)*($ACP$5:$ACP30&gt;=10)*($ACP$5:$ACP30&lt;=12)),$ADW$5:$ADW30),IF(ACP30=4,SUMPRODUCT(--(($ACQ$5:$ACQ30=$ACQ30)*($ACP$5:$ACP30&gt;=1)*($ACP$5:$ACP30&lt;=3)),$ADW$5:$ADW30),IF(ACP30=7,SUMPRODUCT(--(($ACQ$5:$ACQ30=$ACQ30)*($ACP$5:$ACP30&gt;=4)*($ACP$5:$ACP30&lt;=6)),$ADW$5:$ADW30),IF(ACP30=10,SUMPRODUCT(--(($ACQ$5:$ACQ30=$ACQ30)*($ACP$5:$ACP30&gt;=7)*($ACP$5:$ACP30&lt;=9)),$ADW$5:$ADW30),0)))))</f>
        <v/>
      </c>
      <c r="ADY30" s="12">
        <f>ADY29+ADW30-ADX30</f>
        <v/>
      </c>
      <c r="ADZ30" s="12">
        <f>IF(ProviderDelay&gt;=1,ADG29*BlendedProvPayEss+ADH29*BlendedProvPayPrem+ADI29*BlendedProvPayElite+ADJ29*BlendedProvPayEss+ADK29*BlendedProvPayPrem+ADL29*BlendedProvPayElite,ADG30*BlendedProvPayEss+ADH30*BlendedProvPayPrem+ADI30*BlendedProvPayElite+ADJ30*BlendedProvPayEss+ADK30*BlendedProvPayPrem+ADL30*BlendedProvPayElite)</f>
        <v/>
      </c>
      <c r="AEA30" s="12">
        <f>ADS30*PaymentFee</f>
        <v/>
      </c>
      <c r="AEB30" s="12">
        <f>ADM30*OpsAI</f>
        <v/>
      </c>
      <c r="AEC30" s="12">
        <f>MonthlyFixed</f>
        <v/>
      </c>
      <c r="AED30" s="12">
        <f>ACW30*ReferralReward</f>
        <v/>
      </c>
      <c r="AEE30" s="12">
        <f>ACU30</f>
        <v/>
      </c>
      <c r="AEF30" s="9">
        <f>ADV30-ADZ30-AEA30-AEB30-AEC30-AED30-AEE30</f>
        <v/>
      </c>
      <c r="AEG30" s="9">
        <f>AEG29+ADS30-(ADZ30+AEA30+AEB30+AEC30+AED30+AEE30+ADX30)</f>
        <v/>
      </c>
      <c r="AEH30" s="12">
        <f>IF(ADM30&gt;0,ADN30/ADM30,0)</f>
        <v/>
      </c>
      <c r="AEI30" s="11">
        <f>IF(ADM29&gt;0,MAX(0,(ADM29+ACX30-ADM30)/ADM29),0)</f>
        <v/>
      </c>
      <c r="AEK30" s="12" t="n">
        <v>26</v>
      </c>
      <c r="AEL30" s="12">
        <f>MOD(AEK30-1+LaunchMonth-1,12)+1</f>
        <v/>
      </c>
      <c r="AEM30" s="12">
        <f>INT((AEK30-1+LaunchMonth-1)/12)+1</f>
        <v/>
      </c>
      <c r="AEN30" s="12">
        <f>VLOOKUP(AEL30,SeasonTable,2,FALSE)</f>
        <v/>
      </c>
      <c r="AEO30" s="12">
        <f>(1+InflationRate)^INT((AEK30-1)/12)</f>
        <v/>
      </c>
      <c r="AEP30" s="11">
        <f>MonthlyChurn*VLOOKUP(AEL30,ChurnSeasonTable,4,FALSE)</f>
        <v/>
      </c>
      <c r="AEQ30" s="12">
        <f>MIN(MAX(MktMin19plus,AFO29*MktPct19plus),MAX(0,AGC29-CashBuffer))</f>
        <v/>
      </c>
      <c r="AER30" s="12">
        <f>IF(AEQ30&gt;0,MAX(1,ROUND(AEQ30/CAC*AEN30,0)),0)</f>
        <v/>
      </c>
      <c r="AES30" s="12">
        <f>IF(AER30&gt;0,ROUND(AER30*ReferralMix/(1-ReferralMix),0),0)</f>
        <v/>
      </c>
      <c r="AET30" s="12">
        <f>AER30+AES30</f>
        <v/>
      </c>
      <c r="AEU30" s="12">
        <f>ROUND(AET30*(1-'Sens - Annual Mix'!$A$14),0)</f>
        <v/>
      </c>
      <c r="AEV30" s="12">
        <f>AET30-AEU30</f>
        <v/>
      </c>
      <c r="AEW30" s="12">
        <f>ROUND(AEU30*EssentialMix,0)</f>
        <v/>
      </c>
      <c r="AEX30" s="12">
        <f>ROUND(AEU30*PremiumMix,0)</f>
        <v/>
      </c>
      <c r="AEY30" s="12">
        <f>AEU30-AEW30-AEX30</f>
        <v/>
      </c>
      <c r="AEZ30" s="12">
        <f>ROUND(AEV30*EssentialMix,0)</f>
        <v/>
      </c>
      <c r="AFA30" s="12">
        <f>ROUND(AEV30*PremiumMix,0)</f>
        <v/>
      </c>
      <c r="AFB30" s="12">
        <f>AEV30-AEZ30-AFA30</f>
        <v/>
      </c>
      <c r="AFC30" s="12">
        <f>AEW30+AEW29+AEW28+MAX(0,AFC29-AEW29-AEW28)*(1-AEP30)</f>
        <v/>
      </c>
      <c r="AFD30" s="12">
        <f>AEX30+AEX29+AEX28+MAX(0,AFD29-AEX29-AEX28)*(1-AEP30)</f>
        <v/>
      </c>
      <c r="AFE30" s="12">
        <f>AEY30+AEY29+AEY28+MAX(0,AFE29-AEY29-AEY28)*(1-AEP30)</f>
        <v/>
      </c>
      <c r="AFF30" s="12">
        <f>AFF29+AEZ30-AEZ18*(AnnualChurn*VLOOKUP(AEL30,ChurnSeasonTable,4,FALSE))*POWER(1-(AnnualChurn*VLOOKUP(AEL30,ChurnSeasonTable,4,FALSE)),0)+AEZ6*(AnnualChurn*VLOOKUP(AEL30,ChurnSeasonTable,4,FALSE))*POWER(1-(AnnualChurn*VLOOKUP(AEL30,ChurnSeasonTable,4,FALSE)),1)</f>
        <v/>
      </c>
      <c r="AFG30" s="12">
        <f>AFG29+AFA30-AFA18*(AnnualChurn*VLOOKUP(AEL30,ChurnSeasonTable,4,FALSE))*POWER(1-(AnnualChurn*VLOOKUP(AEL30,ChurnSeasonTable,4,FALSE)),0)+AFA6*(AnnualChurn*VLOOKUP(AEL30,ChurnSeasonTable,4,FALSE))*POWER(1-(AnnualChurn*VLOOKUP(AEL30,ChurnSeasonTable,4,FALSE)),1)</f>
        <v/>
      </c>
      <c r="AFH30" s="12">
        <f>AFH29+AFB30-AFB18*(AnnualChurn*VLOOKUP(AEL30,ChurnSeasonTable,4,FALSE))*POWER(1-(AnnualChurn*VLOOKUP(AEL30,ChurnSeasonTable,4,FALSE)),0)+AFB6*(AnnualChurn*VLOOKUP(AEL30,ChurnSeasonTable,4,FALSE))*POWER(1-(AnnualChurn*VLOOKUP(AEL30,ChurnSeasonTable,4,FALSE)),1)</f>
        <v/>
      </c>
      <c r="AFI30" s="12">
        <f>AFC30+AFD30+AFE30+AFF30+AFG30+AFH30</f>
        <v/>
      </c>
      <c r="AFJ30" s="9">
        <f>AFC30*BlendedPriceEssMonthly*AEO30+AFD30*BlendedPricePremMonthly*AEO30+AFE30*BlendedPriceEliteMonthly*AEO30+AFF30*BlendedPriceEssAnnual*AEO30/12+AFG30*BlendedPricePremAnnual*AEO30/12+AFH30*BlendedPriceEliteAnnual*AEO30/12</f>
        <v/>
      </c>
      <c r="AFK30" s="9">
        <f>AFJ30*12</f>
        <v/>
      </c>
      <c r="AFL30" s="12">
        <f>AFC30*BlendedPriceEssMonthly*AEO30+AFD30*BlendedPricePremMonthly*AEO30+AFE30*BlendedPriceEliteMonthly*AEO30</f>
        <v/>
      </c>
      <c r="AFM30" s="12">
        <f>AEZ30*BlendedPriceEssAnnual*AEO30+AFA30*BlendedPricePremAnnual*AEO30+AFB30*BlendedPriceEliteAnnual*AEO30</f>
        <v/>
      </c>
      <c r="AFN30" s="12">
        <f>AEZ18*POWER(1-(AnnualChurn*VLOOKUP(AEL30,ChurnSeasonTable,4,FALSE)),1)*BlendedPriceEssAnnual*AEO30+AEZ6*POWER(1-(AnnualChurn*VLOOKUP(AEL30,ChurnSeasonTable,4,FALSE)),2)*BlendedPriceEssAnnual*AEO30+AFA18*POWER(1-(AnnualChurn*VLOOKUP(AEL30,ChurnSeasonTable,4,FALSE)),1)*BlendedPricePremAnnual*AEO30+AFA6*POWER(1-(AnnualChurn*VLOOKUP(AEL30,ChurnSeasonTable,4,FALSE)),2)*BlendedPricePremAnnual*AEO30+AFB18*POWER(1-(AnnualChurn*VLOOKUP(AEL30,ChurnSeasonTable,4,FALSE)),1)*BlendedPriceEliteAnnual*AEO30+AFB6*POWER(1-(AnnualChurn*VLOOKUP(AEL30,ChurnSeasonTable,4,FALSE)),2)*BlendedPriceEliteAnnual*AEO30</f>
        <v/>
      </c>
      <c r="AFO30" s="9">
        <f>AFL30+AFM30+AFN30</f>
        <v/>
      </c>
      <c r="AFP30" s="12">
        <f>SUM(AFO19:AFO30)</f>
        <v/>
      </c>
      <c r="AFQ30" s="12">
        <f>OR(AFQ29,IF(VATAgentMode,SUM($AFO19:$AFO30)-SUM($AFV19:$AFV30)&gt;=VATThreshold,SUM($AFO19:$AFO30)&gt;=VATThreshold))</f>
        <v/>
      </c>
      <c r="AFR30" s="9">
        <f>IF(AFQ30,IF(VATAgentMode,AFO30-((AFO30-AFV30)-(AFO30-AFV30)/(1+VATRate)),AFO30/(1+VATRate)),AFO30)</f>
        <v/>
      </c>
      <c r="AFS30" s="12">
        <f>AFO30-AFR30</f>
        <v/>
      </c>
      <c r="AFT30" s="12">
        <f>IF(AFQ30=0,0,IF(AEL30=1,SUMPRODUCT(--(($AEM$5:$AEM30=$AEM30-1)*($AEL$5:$AEL30&gt;=10)*($AEL$5:$AEL30&lt;=12)),$AFS$5:$AFS30),IF(AEL30=4,SUMPRODUCT(--(($AEM$5:$AEM30=$AEM30)*($AEL$5:$AEL30&gt;=1)*($AEL$5:$AEL30&lt;=3)),$AFS$5:$AFS30),IF(AEL30=7,SUMPRODUCT(--(($AEM$5:$AEM30=$AEM30)*($AEL$5:$AEL30&gt;=4)*($AEL$5:$AEL30&lt;=6)),$AFS$5:$AFS30),IF(AEL30=10,SUMPRODUCT(--(($AEM$5:$AEM30=$AEM30)*($AEL$5:$AEL30&gt;=7)*($AEL$5:$AEL30&lt;=9)),$AFS$5:$AFS30),0)))))</f>
        <v/>
      </c>
      <c r="AFU30" s="12">
        <f>AFU29+AFS30-AFT30</f>
        <v/>
      </c>
      <c r="AFV30" s="12">
        <f>IF(ProviderDelay&gt;=1,AFC29*BlendedProvPayEss+AFD29*BlendedProvPayPrem+AFE29*BlendedProvPayElite+AFF29*BlendedProvPayEss+AFG29*BlendedProvPayPrem+AFH29*BlendedProvPayElite,AFC30*BlendedProvPayEss+AFD30*BlendedProvPayPrem+AFE30*BlendedProvPayElite+AFF30*BlendedProvPayEss+AFG30*BlendedProvPayPrem+AFH30*BlendedProvPayElite)</f>
        <v/>
      </c>
      <c r="AFW30" s="12">
        <f>AFO30*PaymentFee</f>
        <v/>
      </c>
      <c r="AFX30" s="12">
        <f>AFI30*OpsAI</f>
        <v/>
      </c>
      <c r="AFY30" s="12">
        <f>MonthlyFixed</f>
        <v/>
      </c>
      <c r="AFZ30" s="12">
        <f>AES30*ReferralReward</f>
        <v/>
      </c>
      <c r="AGA30" s="12">
        <f>AEQ30</f>
        <v/>
      </c>
      <c r="AGB30" s="9">
        <f>AFR30-AFV30-AFW30-AFX30-AFY30-AFZ30-AGA30</f>
        <v/>
      </c>
      <c r="AGC30" s="9">
        <f>AGC29+AFO30-(AFV30+AFW30+AFX30+AFY30+AFZ30+AGA30+AFT30)</f>
        <v/>
      </c>
      <c r="AGD30" s="12">
        <f>IF(AFI30&gt;0,AFJ30/AFI30,0)</f>
        <v/>
      </c>
      <c r="AGE30" s="11">
        <f>IF(AFI29&gt;0,MAX(0,(AFI29+AET30-AFI30)/AFI29),0)</f>
        <v/>
      </c>
      <c r="AGG30" s="12" t="n">
        <v>26</v>
      </c>
      <c r="AGH30" s="12">
        <f>MOD(AGG30-1+LaunchMonth-1,12)+1</f>
        <v/>
      </c>
      <c r="AGI30" s="12">
        <f>INT((AGG30-1+LaunchMonth-1)/12)+1</f>
        <v/>
      </c>
      <c r="AGJ30" s="12">
        <f>VLOOKUP(AGH30,SeasonTable,2,FALSE)</f>
        <v/>
      </c>
      <c r="AGK30" s="12">
        <f>(1+InflationRate)^INT((AGG30-1)/12)</f>
        <v/>
      </c>
      <c r="AGL30" s="11">
        <f>MonthlyChurn*VLOOKUP(AGH30,ChurnSeasonTable,4,FALSE)</f>
        <v/>
      </c>
      <c r="AGM30" s="12">
        <f>MIN(MAX(MktMin19plus,AHK29*MktPct19plus),MAX(0,AHY29-CashBuffer))</f>
        <v/>
      </c>
      <c r="AGN30" s="12">
        <f>IF(AGM30&gt;0,MAX(1,ROUND(AGM30/CAC*AGJ30,0)),0)</f>
        <v/>
      </c>
      <c r="AGO30" s="12">
        <f>IF(AGN30&gt;0,ROUND(AGN30*ReferralMix/(1-ReferralMix),0),0)</f>
        <v/>
      </c>
      <c r="AGP30" s="12">
        <f>AGN30+AGO30</f>
        <v/>
      </c>
      <c r="AGQ30" s="12">
        <f>ROUND(AGP30*(1-'Sens - Annual Mix'!$A$15),0)</f>
        <v/>
      </c>
      <c r="AGR30" s="12">
        <f>AGP30-AGQ30</f>
        <v/>
      </c>
      <c r="AGS30" s="12">
        <f>ROUND(AGQ30*EssentialMix,0)</f>
        <v/>
      </c>
      <c r="AGT30" s="12">
        <f>ROUND(AGQ30*PremiumMix,0)</f>
        <v/>
      </c>
      <c r="AGU30" s="12">
        <f>AGQ30-AGS30-AGT30</f>
        <v/>
      </c>
      <c r="AGV30" s="12">
        <f>ROUND(AGR30*EssentialMix,0)</f>
        <v/>
      </c>
      <c r="AGW30" s="12">
        <f>ROUND(AGR30*PremiumMix,0)</f>
        <v/>
      </c>
      <c r="AGX30" s="12">
        <f>AGR30-AGV30-AGW30</f>
        <v/>
      </c>
      <c r="AGY30" s="12">
        <f>AGS30+AGS29+AGS28+MAX(0,AGY29-AGS29-AGS28)*(1-AGL30)</f>
        <v/>
      </c>
      <c r="AGZ30" s="12">
        <f>AGT30+AGT29+AGT28+MAX(0,AGZ29-AGT29-AGT28)*(1-AGL30)</f>
        <v/>
      </c>
      <c r="AHA30" s="12">
        <f>AGU30+AGU29+AGU28+MAX(0,AHA29-AGU29-AGU28)*(1-AGL30)</f>
        <v/>
      </c>
      <c r="AHB30" s="12">
        <f>AHB29+AGV30-AGV18*(AnnualChurn*VLOOKUP(AGH30,ChurnSeasonTable,4,FALSE))*POWER(1-(AnnualChurn*VLOOKUP(AGH30,ChurnSeasonTable,4,FALSE)),0)+AGV6*(AnnualChurn*VLOOKUP(AGH30,ChurnSeasonTable,4,FALSE))*POWER(1-(AnnualChurn*VLOOKUP(AGH30,ChurnSeasonTable,4,FALSE)),1)</f>
        <v/>
      </c>
      <c r="AHC30" s="12">
        <f>AHC29+AGW30-AGW18*(AnnualChurn*VLOOKUP(AGH30,ChurnSeasonTable,4,FALSE))*POWER(1-(AnnualChurn*VLOOKUP(AGH30,ChurnSeasonTable,4,FALSE)),0)+AGW6*(AnnualChurn*VLOOKUP(AGH30,ChurnSeasonTable,4,FALSE))*POWER(1-(AnnualChurn*VLOOKUP(AGH30,ChurnSeasonTable,4,FALSE)),1)</f>
        <v/>
      </c>
      <c r="AHD30" s="12">
        <f>AHD29+AGX30-AGX18*(AnnualChurn*VLOOKUP(AGH30,ChurnSeasonTable,4,FALSE))*POWER(1-(AnnualChurn*VLOOKUP(AGH30,ChurnSeasonTable,4,FALSE)),0)+AGX6*(AnnualChurn*VLOOKUP(AGH30,ChurnSeasonTable,4,FALSE))*POWER(1-(AnnualChurn*VLOOKUP(AGH30,ChurnSeasonTable,4,FALSE)),1)</f>
        <v/>
      </c>
      <c r="AHE30" s="12">
        <f>AGY30+AGZ30+AHA30+AHB30+AHC30+AHD30</f>
        <v/>
      </c>
      <c r="AHF30" s="9">
        <f>AGY30*BlendedPriceEssMonthly*AGK30+AGZ30*BlendedPricePremMonthly*AGK30+AHA30*BlendedPriceEliteMonthly*AGK30+AHB30*BlendedPriceEssAnnual*AGK30/12+AHC30*BlendedPricePremAnnual*AGK30/12+AHD30*BlendedPriceEliteAnnual*AGK30/12</f>
        <v/>
      </c>
      <c r="AHG30" s="9">
        <f>AHF30*12</f>
        <v/>
      </c>
      <c r="AHH30" s="12">
        <f>AGY30*BlendedPriceEssMonthly*AGK30+AGZ30*BlendedPricePremMonthly*AGK30+AHA30*BlendedPriceEliteMonthly*AGK30</f>
        <v/>
      </c>
      <c r="AHI30" s="12">
        <f>AGV30*BlendedPriceEssAnnual*AGK30+AGW30*BlendedPricePremAnnual*AGK30+AGX30*BlendedPriceEliteAnnual*AGK30</f>
        <v/>
      </c>
      <c r="AHJ30" s="12">
        <f>AGV18*POWER(1-(AnnualChurn*VLOOKUP(AGH30,ChurnSeasonTable,4,FALSE)),1)*BlendedPriceEssAnnual*AGK30+AGV6*POWER(1-(AnnualChurn*VLOOKUP(AGH30,ChurnSeasonTable,4,FALSE)),2)*BlendedPriceEssAnnual*AGK30+AGW18*POWER(1-(AnnualChurn*VLOOKUP(AGH30,ChurnSeasonTable,4,FALSE)),1)*BlendedPricePremAnnual*AGK30+AGW6*POWER(1-(AnnualChurn*VLOOKUP(AGH30,ChurnSeasonTable,4,FALSE)),2)*BlendedPricePremAnnual*AGK30+AGX18*POWER(1-(AnnualChurn*VLOOKUP(AGH30,ChurnSeasonTable,4,FALSE)),1)*BlendedPriceEliteAnnual*AGK30+AGX6*POWER(1-(AnnualChurn*VLOOKUP(AGH30,ChurnSeasonTable,4,FALSE)),2)*BlendedPriceEliteAnnual*AGK30</f>
        <v/>
      </c>
      <c r="AHK30" s="9">
        <f>AHH30+AHI30+AHJ30</f>
        <v/>
      </c>
      <c r="AHL30" s="12">
        <f>SUM(AHK19:AHK30)</f>
        <v/>
      </c>
      <c r="AHM30" s="12">
        <f>OR(AHM29,IF(VATAgentMode,SUM($AHK19:$AHK30)-SUM($AHR19:$AHR30)&gt;=VATThreshold,SUM($AHK19:$AHK30)&gt;=VATThreshold))</f>
        <v/>
      </c>
      <c r="AHN30" s="9">
        <f>IF(AHM30,IF(VATAgentMode,AHK30-((AHK30-AHR30)-(AHK30-AHR30)/(1+VATRate)),AHK30/(1+VATRate)),AHK30)</f>
        <v/>
      </c>
      <c r="AHO30" s="12">
        <f>AHK30-AHN30</f>
        <v/>
      </c>
      <c r="AHP30" s="12">
        <f>IF(AHM30=0,0,IF(AGH30=1,SUMPRODUCT(--(($AGI$5:$AGI30=$AGI30-1)*($AGH$5:$AGH30&gt;=10)*($AGH$5:$AGH30&lt;=12)),$AHO$5:$AHO30),IF(AGH30=4,SUMPRODUCT(--(($AGI$5:$AGI30=$AGI30)*($AGH$5:$AGH30&gt;=1)*($AGH$5:$AGH30&lt;=3)),$AHO$5:$AHO30),IF(AGH30=7,SUMPRODUCT(--(($AGI$5:$AGI30=$AGI30)*($AGH$5:$AGH30&gt;=4)*($AGH$5:$AGH30&lt;=6)),$AHO$5:$AHO30),IF(AGH30=10,SUMPRODUCT(--(($AGI$5:$AGI30=$AGI30)*($AGH$5:$AGH30&gt;=7)*($AGH$5:$AGH30&lt;=9)),$AHO$5:$AHO30),0)))))</f>
        <v/>
      </c>
      <c r="AHQ30" s="12">
        <f>AHQ29+AHO30-AHP30</f>
        <v/>
      </c>
      <c r="AHR30" s="12">
        <f>IF(ProviderDelay&gt;=1,AGY29*BlendedProvPayEss+AGZ29*BlendedProvPayPrem+AHA29*BlendedProvPayElite+AHB29*BlendedProvPayEss+AHC29*BlendedProvPayPrem+AHD29*BlendedProvPayElite,AGY30*BlendedProvPayEss+AGZ30*BlendedProvPayPrem+AHA30*BlendedProvPayElite+AHB30*BlendedProvPayEss+AHC30*BlendedProvPayPrem+AHD30*BlendedProvPayElite)</f>
        <v/>
      </c>
      <c r="AHS30" s="12">
        <f>AHK30*PaymentFee</f>
        <v/>
      </c>
      <c r="AHT30" s="12">
        <f>AHE30*OpsAI</f>
        <v/>
      </c>
      <c r="AHU30" s="12">
        <f>MonthlyFixed</f>
        <v/>
      </c>
      <c r="AHV30" s="12">
        <f>AGO30*ReferralReward</f>
        <v/>
      </c>
      <c r="AHW30" s="12">
        <f>AGM30</f>
        <v/>
      </c>
      <c r="AHX30" s="9">
        <f>AHN30-AHR30-AHS30-AHT30-AHU30-AHV30-AHW30</f>
        <v/>
      </c>
      <c r="AHY30" s="9">
        <f>AHY29+AHK30-(AHR30+AHS30+AHT30+AHU30+AHV30+AHW30+AHP30)</f>
        <v/>
      </c>
      <c r="AHZ30" s="12">
        <f>IF(AHE30&gt;0,AHF30/AHE30,0)</f>
        <v/>
      </c>
      <c r="AIA30" s="11">
        <f>IF(AHE29&gt;0,MAX(0,(AHE29+AGP30-AHE30)/AHE29),0)</f>
        <v/>
      </c>
      <c r="AIC30" s="12" t="n">
        <v>26</v>
      </c>
      <c r="AID30" s="12">
        <f>MOD(AIC30-1+LaunchMonth-1,12)+1</f>
        <v/>
      </c>
      <c r="AIE30" s="12">
        <f>INT((AIC30-1+LaunchMonth-1)/12)+1</f>
        <v/>
      </c>
      <c r="AIF30" s="12">
        <f>VLOOKUP(AID30,SeasonTable,2,FALSE)</f>
        <v/>
      </c>
      <c r="AIG30" s="12">
        <f>(1+InflationRate)^INT((AIC30-1)/12)</f>
        <v/>
      </c>
      <c r="AIH30" s="11">
        <f>MonthlyChurn*VLOOKUP(AID30,ChurnSeasonTable,4,FALSE)</f>
        <v/>
      </c>
      <c r="AII30" s="12">
        <f>MIN(MAX(MktMin19plus,AJG29*MktPct19plus),MAX(0,AJU29-CashBuffer))</f>
        <v/>
      </c>
      <c r="AIJ30" s="12">
        <f>IF(AII30&gt;0,MAX(1,ROUND(AII30/'Sens - CAC &amp; Marketing'!$A$9*AIF30,0)),0)</f>
        <v/>
      </c>
      <c r="AIK30" s="12">
        <f>IF(AIJ30&gt;0,ROUND(AIJ30*ReferralMix/(1-ReferralMix),0),0)</f>
        <v/>
      </c>
      <c r="AIL30" s="12">
        <f>AIJ30+AIK30</f>
        <v/>
      </c>
      <c r="AIM30" s="12">
        <f>ROUND(AIL30*(1-AnnualMix),0)</f>
        <v/>
      </c>
      <c r="AIN30" s="12">
        <f>AIL30-AIM30</f>
        <v/>
      </c>
      <c r="AIO30" s="12">
        <f>ROUND(AIM30*EssentialMix,0)</f>
        <v/>
      </c>
      <c r="AIP30" s="12">
        <f>ROUND(AIM30*PremiumMix,0)</f>
        <v/>
      </c>
      <c r="AIQ30" s="12">
        <f>AIM30-AIO30-AIP30</f>
        <v/>
      </c>
      <c r="AIR30" s="12">
        <f>ROUND(AIN30*EssentialMix,0)</f>
        <v/>
      </c>
      <c r="AIS30" s="12">
        <f>ROUND(AIN30*PremiumMix,0)</f>
        <v/>
      </c>
      <c r="AIT30" s="12">
        <f>AIN30-AIR30-AIS30</f>
        <v/>
      </c>
      <c r="AIU30" s="12">
        <f>AIO30+AIO29+AIO28+MAX(0,AIU29-AIO29-AIO28)*(1-AIH30)</f>
        <v/>
      </c>
      <c r="AIV30" s="12">
        <f>AIP30+AIP29+AIP28+MAX(0,AIV29-AIP29-AIP28)*(1-AIH30)</f>
        <v/>
      </c>
      <c r="AIW30" s="12">
        <f>AIQ30+AIQ29+AIQ28+MAX(0,AIW29-AIQ29-AIQ28)*(1-AIH30)</f>
        <v/>
      </c>
      <c r="AIX30" s="12">
        <f>AIX29+AIR30-AIR18*(AnnualChurn*VLOOKUP(AID30,ChurnSeasonTable,4,FALSE))*POWER(1-(AnnualChurn*VLOOKUP(AID30,ChurnSeasonTable,4,FALSE)),0)+AIR6*(AnnualChurn*VLOOKUP(AID30,ChurnSeasonTable,4,FALSE))*POWER(1-(AnnualChurn*VLOOKUP(AID30,ChurnSeasonTable,4,FALSE)),1)</f>
        <v/>
      </c>
      <c r="AIY30" s="12">
        <f>AIY29+AIS30-AIS18*(AnnualChurn*VLOOKUP(AID30,ChurnSeasonTable,4,FALSE))*POWER(1-(AnnualChurn*VLOOKUP(AID30,ChurnSeasonTable,4,FALSE)),0)+AIS6*(AnnualChurn*VLOOKUP(AID30,ChurnSeasonTable,4,FALSE))*POWER(1-(AnnualChurn*VLOOKUP(AID30,ChurnSeasonTable,4,FALSE)),1)</f>
        <v/>
      </c>
      <c r="AIZ30" s="12">
        <f>AIZ29+AIT30-AIT18*(AnnualChurn*VLOOKUP(AID30,ChurnSeasonTable,4,FALSE))*POWER(1-(AnnualChurn*VLOOKUP(AID30,ChurnSeasonTable,4,FALSE)),0)+AIT6*(AnnualChurn*VLOOKUP(AID30,ChurnSeasonTable,4,FALSE))*POWER(1-(AnnualChurn*VLOOKUP(AID30,ChurnSeasonTable,4,FALSE)),1)</f>
        <v/>
      </c>
      <c r="AJA30" s="12">
        <f>AIU30+AIV30+AIW30+AIX30+AIY30+AIZ30</f>
        <v/>
      </c>
      <c r="AJB30" s="9">
        <f>AIU30*BlendedPriceEssMonthly*AIG30+AIV30*BlendedPricePremMonthly*AIG30+AIW30*BlendedPriceEliteMonthly*AIG30+AIX30*BlendedPriceEssAnnual*AIG30/12+AIY30*BlendedPricePremAnnual*AIG30/12+AIZ30*BlendedPriceEliteAnnual*AIG30/12</f>
        <v/>
      </c>
      <c r="AJC30" s="9">
        <f>AJB30*12</f>
        <v/>
      </c>
      <c r="AJD30" s="12">
        <f>AIU30*BlendedPriceEssMonthly*AIG30+AIV30*BlendedPricePremMonthly*AIG30+AIW30*BlendedPriceEliteMonthly*AIG30</f>
        <v/>
      </c>
      <c r="AJE30" s="12">
        <f>AIR30*BlendedPriceEssAnnual*AIG30+AIS30*BlendedPricePremAnnual*AIG30+AIT30*BlendedPriceEliteAnnual*AIG30</f>
        <v/>
      </c>
      <c r="AJF30" s="12">
        <f>AIR18*POWER(1-(AnnualChurn*VLOOKUP(AID30,ChurnSeasonTable,4,FALSE)),1)*BlendedPriceEssAnnual*AIG30+AIR6*POWER(1-(AnnualChurn*VLOOKUP(AID30,ChurnSeasonTable,4,FALSE)),2)*BlendedPriceEssAnnual*AIG30+AIS18*POWER(1-(AnnualChurn*VLOOKUP(AID30,ChurnSeasonTable,4,FALSE)),1)*BlendedPricePremAnnual*AIG30+AIS6*POWER(1-(AnnualChurn*VLOOKUP(AID30,ChurnSeasonTable,4,FALSE)),2)*BlendedPricePremAnnual*AIG30+AIT18*POWER(1-(AnnualChurn*VLOOKUP(AID30,ChurnSeasonTable,4,FALSE)),1)*BlendedPriceEliteAnnual*AIG30+AIT6*POWER(1-(AnnualChurn*VLOOKUP(AID30,ChurnSeasonTable,4,FALSE)),2)*BlendedPriceEliteAnnual*AIG30</f>
        <v/>
      </c>
      <c r="AJG30" s="9">
        <f>AJD30+AJE30+AJF30</f>
        <v/>
      </c>
      <c r="AJH30" s="12">
        <f>SUM(AJG19:AJG30)</f>
        <v/>
      </c>
      <c r="AJI30" s="12">
        <f>OR(AJI29,IF(VATAgentMode,SUM($AJG19:$AJG30)-SUM($AJN19:$AJN30)&gt;=VATThreshold,SUM($AJG19:$AJG30)&gt;=VATThreshold))</f>
        <v/>
      </c>
      <c r="AJJ30" s="9">
        <f>IF(AJI30,IF(VATAgentMode,AJG30-((AJG30-AJN30)-(AJG30-AJN30)/(1+VATRate)),AJG30/(1+VATRate)),AJG30)</f>
        <v/>
      </c>
      <c r="AJK30" s="12">
        <f>AJG30-AJJ30</f>
        <v/>
      </c>
      <c r="AJL30" s="12">
        <f>IF(AJI30=0,0,IF(AID30=1,SUMPRODUCT(--(($AIE$5:$AIE30=$AIE30-1)*($AID$5:$AID30&gt;=10)*($AID$5:$AID30&lt;=12)),$AJK$5:$AJK30),IF(AID30=4,SUMPRODUCT(--(($AIE$5:$AIE30=$AIE30)*($AID$5:$AID30&gt;=1)*($AID$5:$AID30&lt;=3)),$AJK$5:$AJK30),IF(AID30=7,SUMPRODUCT(--(($AIE$5:$AIE30=$AIE30)*($AID$5:$AID30&gt;=4)*($AID$5:$AID30&lt;=6)),$AJK$5:$AJK30),IF(AID30=10,SUMPRODUCT(--(($AIE$5:$AIE30=$AIE30)*($AID$5:$AID30&gt;=7)*($AID$5:$AID30&lt;=9)),$AJK$5:$AJK30),0)))))</f>
        <v/>
      </c>
      <c r="AJM30" s="12">
        <f>AJM29+AJK30-AJL30</f>
        <v/>
      </c>
      <c r="AJN30" s="12">
        <f>IF(ProviderDelay&gt;=1,AIU29*BlendedProvPayEss+AIV29*BlendedProvPayPrem+AIW29*BlendedProvPayElite+AIX29*BlendedProvPayEss+AIY29*BlendedProvPayPrem+AIZ29*BlendedProvPayElite,AIU30*BlendedProvPayEss+AIV30*BlendedProvPayPrem+AIW30*BlendedProvPayElite+AIX30*BlendedProvPayEss+AIY30*BlendedProvPayPrem+AIZ30*BlendedProvPayElite)</f>
        <v/>
      </c>
      <c r="AJO30" s="12">
        <f>AJG30*PaymentFee</f>
        <v/>
      </c>
      <c r="AJP30" s="12">
        <f>AJA30*OpsAI</f>
        <v/>
      </c>
      <c r="AJQ30" s="12">
        <f>MonthlyFixed</f>
        <v/>
      </c>
      <c r="AJR30" s="12">
        <f>AIK30*ReferralReward</f>
        <v/>
      </c>
      <c r="AJS30" s="12">
        <f>AII30</f>
        <v/>
      </c>
      <c r="AJT30" s="9">
        <f>AJJ30-AJN30-AJO30-AJP30-AJQ30-AJR30-AJS30</f>
        <v/>
      </c>
      <c r="AJU30" s="9">
        <f>AJU29+AJG30-(AJN30+AJO30+AJP30+AJQ30+AJR30+AJS30+AJL30)</f>
        <v/>
      </c>
      <c r="AJV30" s="12">
        <f>IF(AJA30&gt;0,AJB30/AJA30,0)</f>
        <v/>
      </c>
      <c r="AJW30" s="11">
        <f>IF(AJA29&gt;0,MAX(0,(AJA29+AIL30-AJA30)/AJA29),0)</f>
        <v/>
      </c>
      <c r="AJY30" s="12" t="n">
        <v>26</v>
      </c>
      <c r="AJZ30" s="12">
        <f>MOD(AJY30-1+LaunchMonth-1,12)+1</f>
        <v/>
      </c>
      <c r="AKA30" s="12">
        <f>INT((AJY30-1+LaunchMonth-1)/12)+1</f>
        <v/>
      </c>
      <c r="AKB30" s="12">
        <f>VLOOKUP(AJZ30,SeasonTable,2,FALSE)</f>
        <v/>
      </c>
      <c r="AKC30" s="12">
        <f>(1+InflationRate)^INT((AJY30-1)/12)</f>
        <v/>
      </c>
      <c r="AKD30" s="11">
        <f>MonthlyChurn*VLOOKUP(AJZ30,ChurnSeasonTable,4,FALSE)</f>
        <v/>
      </c>
      <c r="AKE30" s="12">
        <f>MIN(MAX(MktMin19plus,ALC29*MktPct19plus),MAX(0,ALQ29-CashBuffer))</f>
        <v/>
      </c>
      <c r="AKF30" s="12">
        <f>IF(AKE30&gt;0,MAX(1,ROUND(AKE30/'Sens - CAC &amp; Marketing'!$A$10*AKB30,0)),0)</f>
        <v/>
      </c>
      <c r="AKG30" s="12">
        <f>IF(AKF30&gt;0,ROUND(AKF30*ReferralMix/(1-ReferralMix),0),0)</f>
        <v/>
      </c>
      <c r="AKH30" s="12">
        <f>AKF30+AKG30</f>
        <v/>
      </c>
      <c r="AKI30" s="12">
        <f>ROUND(AKH30*(1-AnnualMix),0)</f>
        <v/>
      </c>
      <c r="AKJ30" s="12">
        <f>AKH30-AKI30</f>
        <v/>
      </c>
      <c r="AKK30" s="12">
        <f>ROUND(AKI30*EssentialMix,0)</f>
        <v/>
      </c>
      <c r="AKL30" s="12">
        <f>ROUND(AKI30*PremiumMix,0)</f>
        <v/>
      </c>
      <c r="AKM30" s="12">
        <f>AKI30-AKK30-AKL30</f>
        <v/>
      </c>
      <c r="AKN30" s="12">
        <f>ROUND(AKJ30*EssentialMix,0)</f>
        <v/>
      </c>
      <c r="AKO30" s="12">
        <f>ROUND(AKJ30*PremiumMix,0)</f>
        <v/>
      </c>
      <c r="AKP30" s="12">
        <f>AKJ30-AKN30-AKO30</f>
        <v/>
      </c>
      <c r="AKQ30" s="12">
        <f>AKK30+AKK29+AKK28+MAX(0,AKQ29-AKK29-AKK28)*(1-AKD30)</f>
        <v/>
      </c>
      <c r="AKR30" s="12">
        <f>AKL30+AKL29+AKL28+MAX(0,AKR29-AKL29-AKL28)*(1-AKD30)</f>
        <v/>
      </c>
      <c r="AKS30" s="12">
        <f>AKM30+AKM29+AKM28+MAX(0,AKS29-AKM29-AKM28)*(1-AKD30)</f>
        <v/>
      </c>
      <c r="AKT30" s="12">
        <f>AKT29+AKN30-AKN18*(AnnualChurn*VLOOKUP(AJZ30,ChurnSeasonTable,4,FALSE))*POWER(1-(AnnualChurn*VLOOKUP(AJZ30,ChurnSeasonTable,4,FALSE)),0)+AKN6*(AnnualChurn*VLOOKUP(AJZ30,ChurnSeasonTable,4,FALSE))*POWER(1-(AnnualChurn*VLOOKUP(AJZ30,ChurnSeasonTable,4,FALSE)),1)</f>
        <v/>
      </c>
      <c r="AKU30" s="12">
        <f>AKU29+AKO30-AKO18*(AnnualChurn*VLOOKUP(AJZ30,ChurnSeasonTable,4,FALSE))*POWER(1-(AnnualChurn*VLOOKUP(AJZ30,ChurnSeasonTable,4,FALSE)),0)+AKO6*(AnnualChurn*VLOOKUP(AJZ30,ChurnSeasonTable,4,FALSE))*POWER(1-(AnnualChurn*VLOOKUP(AJZ30,ChurnSeasonTable,4,FALSE)),1)</f>
        <v/>
      </c>
      <c r="AKV30" s="12">
        <f>AKV29+AKP30-AKP18*(AnnualChurn*VLOOKUP(AJZ30,ChurnSeasonTable,4,FALSE))*POWER(1-(AnnualChurn*VLOOKUP(AJZ30,ChurnSeasonTable,4,FALSE)),0)+AKP6*(AnnualChurn*VLOOKUP(AJZ30,ChurnSeasonTable,4,FALSE))*POWER(1-(AnnualChurn*VLOOKUP(AJZ30,ChurnSeasonTable,4,FALSE)),1)</f>
        <v/>
      </c>
      <c r="AKW30" s="12">
        <f>AKQ30+AKR30+AKS30+AKT30+AKU30+AKV30</f>
        <v/>
      </c>
      <c r="AKX30" s="9">
        <f>AKQ30*BlendedPriceEssMonthly*AKC30+AKR30*BlendedPricePremMonthly*AKC30+AKS30*BlendedPriceEliteMonthly*AKC30+AKT30*BlendedPriceEssAnnual*AKC30/12+AKU30*BlendedPricePremAnnual*AKC30/12+AKV30*BlendedPriceEliteAnnual*AKC30/12</f>
        <v/>
      </c>
      <c r="AKY30" s="9">
        <f>AKX30*12</f>
        <v/>
      </c>
      <c r="AKZ30" s="12">
        <f>AKQ30*BlendedPriceEssMonthly*AKC30+AKR30*BlendedPricePremMonthly*AKC30+AKS30*BlendedPriceEliteMonthly*AKC30</f>
        <v/>
      </c>
      <c r="ALA30" s="12">
        <f>AKN30*BlendedPriceEssAnnual*AKC30+AKO30*BlendedPricePremAnnual*AKC30+AKP30*BlendedPriceEliteAnnual*AKC30</f>
        <v/>
      </c>
      <c r="ALB30" s="12">
        <f>AKN18*POWER(1-(AnnualChurn*VLOOKUP(AJZ30,ChurnSeasonTable,4,FALSE)),1)*BlendedPriceEssAnnual*AKC30+AKN6*POWER(1-(AnnualChurn*VLOOKUP(AJZ30,ChurnSeasonTable,4,FALSE)),2)*BlendedPriceEssAnnual*AKC30+AKO18*POWER(1-(AnnualChurn*VLOOKUP(AJZ30,ChurnSeasonTable,4,FALSE)),1)*BlendedPricePremAnnual*AKC30+AKO6*POWER(1-(AnnualChurn*VLOOKUP(AJZ30,ChurnSeasonTable,4,FALSE)),2)*BlendedPricePremAnnual*AKC30+AKP18*POWER(1-(AnnualChurn*VLOOKUP(AJZ30,ChurnSeasonTable,4,FALSE)),1)*BlendedPriceEliteAnnual*AKC30+AKP6*POWER(1-(AnnualChurn*VLOOKUP(AJZ30,ChurnSeasonTable,4,FALSE)),2)*BlendedPriceEliteAnnual*AKC30</f>
        <v/>
      </c>
      <c r="ALC30" s="9">
        <f>AKZ30+ALA30+ALB30</f>
        <v/>
      </c>
      <c r="ALD30" s="12">
        <f>SUM(ALC19:ALC30)</f>
        <v/>
      </c>
      <c r="ALE30" s="12">
        <f>OR(ALE29,IF(VATAgentMode,SUM($ALC19:$ALC30)-SUM($ALJ19:$ALJ30)&gt;=VATThreshold,SUM($ALC19:$ALC30)&gt;=VATThreshold))</f>
        <v/>
      </c>
      <c r="ALF30" s="9">
        <f>IF(ALE30,IF(VATAgentMode,ALC30-((ALC30-ALJ30)-(ALC30-ALJ30)/(1+VATRate)),ALC30/(1+VATRate)),ALC30)</f>
        <v/>
      </c>
      <c r="ALG30" s="12">
        <f>ALC30-ALF30</f>
        <v/>
      </c>
      <c r="ALH30" s="12">
        <f>IF(ALE30=0,0,IF(AJZ30=1,SUMPRODUCT(--(($AKA$5:$AKA30=$AKA30-1)*($AJZ$5:$AJZ30&gt;=10)*($AJZ$5:$AJZ30&lt;=12)),$ALG$5:$ALG30),IF(AJZ30=4,SUMPRODUCT(--(($AKA$5:$AKA30=$AKA30)*($AJZ$5:$AJZ30&gt;=1)*($AJZ$5:$AJZ30&lt;=3)),$ALG$5:$ALG30),IF(AJZ30=7,SUMPRODUCT(--(($AKA$5:$AKA30=$AKA30)*($AJZ$5:$AJZ30&gt;=4)*($AJZ$5:$AJZ30&lt;=6)),$ALG$5:$ALG30),IF(AJZ30=10,SUMPRODUCT(--(($AKA$5:$AKA30=$AKA30)*($AJZ$5:$AJZ30&gt;=7)*($AJZ$5:$AJZ30&lt;=9)),$ALG$5:$ALG30),0)))))</f>
        <v/>
      </c>
      <c r="ALI30" s="12">
        <f>ALI29+ALG30-ALH30</f>
        <v/>
      </c>
      <c r="ALJ30" s="12">
        <f>IF(ProviderDelay&gt;=1,AKQ29*BlendedProvPayEss+AKR29*BlendedProvPayPrem+AKS29*BlendedProvPayElite+AKT29*BlendedProvPayEss+AKU29*BlendedProvPayPrem+AKV29*BlendedProvPayElite,AKQ30*BlendedProvPayEss+AKR30*BlendedProvPayPrem+AKS30*BlendedProvPayElite+AKT30*BlendedProvPayEss+AKU30*BlendedProvPayPrem+AKV30*BlendedProvPayElite)</f>
        <v/>
      </c>
      <c r="ALK30" s="12">
        <f>ALC30*PaymentFee</f>
        <v/>
      </c>
      <c r="ALL30" s="12">
        <f>AKW30*OpsAI</f>
        <v/>
      </c>
      <c r="ALM30" s="12">
        <f>MonthlyFixed</f>
        <v/>
      </c>
      <c r="ALN30" s="12">
        <f>AKG30*ReferralReward</f>
        <v/>
      </c>
      <c r="ALO30" s="12">
        <f>AKE30</f>
        <v/>
      </c>
      <c r="ALP30" s="9">
        <f>ALF30-ALJ30-ALK30-ALL30-ALM30-ALN30-ALO30</f>
        <v/>
      </c>
      <c r="ALQ30" s="9">
        <f>ALQ29+ALC30-(ALJ30+ALK30+ALL30+ALM30+ALN30+ALO30+ALH30)</f>
        <v/>
      </c>
      <c r="ALR30" s="12">
        <f>IF(AKW30&gt;0,AKX30/AKW30,0)</f>
        <v/>
      </c>
      <c r="ALS30" s="11">
        <f>IF(AKW29&gt;0,MAX(0,(AKW29+AKH30-AKW30)/AKW29),0)</f>
        <v/>
      </c>
      <c r="ALU30" s="12" t="n">
        <v>26</v>
      </c>
      <c r="ALV30" s="12">
        <f>MOD(ALU30-1+LaunchMonth-1,12)+1</f>
        <v/>
      </c>
      <c r="ALW30" s="12">
        <f>INT((ALU30-1+LaunchMonth-1)/12)+1</f>
        <v/>
      </c>
      <c r="ALX30" s="12">
        <f>VLOOKUP(ALV30,SeasonTable,2,FALSE)</f>
        <v/>
      </c>
      <c r="ALY30" s="12">
        <f>(1+InflationRate)^INT((ALU30-1)/12)</f>
        <v/>
      </c>
      <c r="ALZ30" s="11">
        <f>MonthlyChurn*VLOOKUP(ALV30,ChurnSeasonTable,4,FALSE)</f>
        <v/>
      </c>
      <c r="AMA30" s="12">
        <f>MIN(MAX(MktMin19plus,AMY29*MktPct19plus),MAX(0,ANM29-CashBuffer))</f>
        <v/>
      </c>
      <c r="AMB30" s="12">
        <f>IF(AMA30&gt;0,MAX(1,ROUND(AMA30/'Sens - CAC &amp; Marketing'!$A$11*ALX30,0)),0)</f>
        <v/>
      </c>
      <c r="AMC30" s="12">
        <f>IF(AMB30&gt;0,ROUND(AMB30*ReferralMix/(1-ReferralMix),0),0)</f>
        <v/>
      </c>
      <c r="AMD30" s="12">
        <f>AMB30+AMC30</f>
        <v/>
      </c>
      <c r="AME30" s="12">
        <f>ROUND(AMD30*(1-AnnualMix),0)</f>
        <v/>
      </c>
      <c r="AMF30" s="12">
        <f>AMD30-AME30</f>
        <v/>
      </c>
      <c r="AMG30" s="12">
        <f>ROUND(AME30*EssentialMix,0)</f>
        <v/>
      </c>
      <c r="AMH30" s="12">
        <f>ROUND(AME30*PremiumMix,0)</f>
        <v/>
      </c>
      <c r="AMI30" s="12">
        <f>AME30-AMG30-AMH30</f>
        <v/>
      </c>
      <c r="AMJ30" s="12">
        <f>ROUND(AMF30*EssentialMix,0)</f>
        <v/>
      </c>
      <c r="AMK30" s="12">
        <f>ROUND(AMF30*PremiumMix,0)</f>
        <v/>
      </c>
      <c r="AML30" s="12">
        <f>AMF30-AMJ30-AMK30</f>
        <v/>
      </c>
      <c r="AMM30" s="12">
        <f>AMG30+AMG29+AMG28+MAX(0,AMM29-AMG29-AMG28)*(1-ALZ30)</f>
        <v/>
      </c>
      <c r="AMN30" s="12">
        <f>AMH30+AMH29+AMH28+MAX(0,AMN29-AMH29-AMH28)*(1-ALZ30)</f>
        <v/>
      </c>
      <c r="AMO30" s="12">
        <f>AMI30+AMI29+AMI28+MAX(0,AMO29-AMI29-AMI28)*(1-ALZ30)</f>
        <v/>
      </c>
      <c r="AMP30" s="12">
        <f>AMP29+AMJ30-AMJ18*(AnnualChurn*VLOOKUP(ALV30,ChurnSeasonTable,4,FALSE))*POWER(1-(AnnualChurn*VLOOKUP(ALV30,ChurnSeasonTable,4,FALSE)),0)+AMJ6*(AnnualChurn*VLOOKUP(ALV30,ChurnSeasonTable,4,FALSE))*POWER(1-(AnnualChurn*VLOOKUP(ALV30,ChurnSeasonTable,4,FALSE)),1)</f>
        <v/>
      </c>
      <c r="AMQ30" s="12">
        <f>AMQ29+AMK30-AMK18*(AnnualChurn*VLOOKUP(ALV30,ChurnSeasonTable,4,FALSE))*POWER(1-(AnnualChurn*VLOOKUP(ALV30,ChurnSeasonTable,4,FALSE)),0)+AMK6*(AnnualChurn*VLOOKUP(ALV30,ChurnSeasonTable,4,FALSE))*POWER(1-(AnnualChurn*VLOOKUP(ALV30,ChurnSeasonTable,4,FALSE)),1)</f>
        <v/>
      </c>
      <c r="AMR30" s="12">
        <f>AMR29+AML30-AML18*(AnnualChurn*VLOOKUP(ALV30,ChurnSeasonTable,4,FALSE))*POWER(1-(AnnualChurn*VLOOKUP(ALV30,ChurnSeasonTable,4,FALSE)),0)+AML6*(AnnualChurn*VLOOKUP(ALV30,ChurnSeasonTable,4,FALSE))*POWER(1-(AnnualChurn*VLOOKUP(ALV30,ChurnSeasonTable,4,FALSE)),1)</f>
        <v/>
      </c>
      <c r="AMS30" s="12">
        <f>AMM30+AMN30+AMO30+AMP30+AMQ30+AMR30</f>
        <v/>
      </c>
      <c r="AMT30" s="9">
        <f>AMM30*BlendedPriceEssMonthly*ALY30+AMN30*BlendedPricePremMonthly*ALY30+AMO30*BlendedPriceEliteMonthly*ALY30+AMP30*BlendedPriceEssAnnual*ALY30/12+AMQ30*BlendedPricePremAnnual*ALY30/12+AMR30*BlendedPriceEliteAnnual*ALY30/12</f>
        <v/>
      </c>
      <c r="AMU30" s="9">
        <f>AMT30*12</f>
        <v/>
      </c>
      <c r="AMV30" s="12">
        <f>AMM30*BlendedPriceEssMonthly*ALY30+AMN30*BlendedPricePremMonthly*ALY30+AMO30*BlendedPriceEliteMonthly*ALY30</f>
        <v/>
      </c>
      <c r="AMW30" s="12">
        <f>AMJ30*BlendedPriceEssAnnual*ALY30+AMK30*BlendedPricePremAnnual*ALY30+AML30*BlendedPriceEliteAnnual*ALY30</f>
        <v/>
      </c>
      <c r="AMX30" s="12">
        <f>AMJ18*POWER(1-(AnnualChurn*VLOOKUP(ALV30,ChurnSeasonTable,4,FALSE)),1)*BlendedPriceEssAnnual*ALY30+AMJ6*POWER(1-(AnnualChurn*VLOOKUP(ALV30,ChurnSeasonTable,4,FALSE)),2)*BlendedPriceEssAnnual*ALY30+AMK18*POWER(1-(AnnualChurn*VLOOKUP(ALV30,ChurnSeasonTable,4,FALSE)),1)*BlendedPricePremAnnual*ALY30+AMK6*POWER(1-(AnnualChurn*VLOOKUP(ALV30,ChurnSeasonTable,4,FALSE)),2)*BlendedPricePremAnnual*ALY30+AML18*POWER(1-(AnnualChurn*VLOOKUP(ALV30,ChurnSeasonTable,4,FALSE)),1)*BlendedPriceEliteAnnual*ALY30+AML6*POWER(1-(AnnualChurn*VLOOKUP(ALV30,ChurnSeasonTable,4,FALSE)),2)*BlendedPriceEliteAnnual*ALY30</f>
        <v/>
      </c>
      <c r="AMY30" s="9">
        <f>AMV30+AMW30+AMX30</f>
        <v/>
      </c>
      <c r="AMZ30" s="12">
        <f>SUM(AMY19:AMY30)</f>
        <v/>
      </c>
      <c r="ANA30" s="12">
        <f>OR(ANA29,IF(VATAgentMode,SUM($AMY19:$AMY30)-SUM($ANF19:$ANF30)&gt;=VATThreshold,SUM($AMY19:$AMY30)&gt;=VATThreshold))</f>
        <v/>
      </c>
      <c r="ANB30" s="9">
        <f>IF(ANA30,IF(VATAgentMode,AMY30-((AMY30-ANF30)-(AMY30-ANF30)/(1+VATRate)),AMY30/(1+VATRate)),AMY30)</f>
        <v/>
      </c>
      <c r="ANC30" s="12">
        <f>AMY30-ANB30</f>
        <v/>
      </c>
      <c r="AND30" s="12">
        <f>IF(ANA30=0,0,IF(ALV30=1,SUMPRODUCT(--(($ALW$5:$ALW30=$ALW30-1)*($ALV$5:$ALV30&gt;=10)*($ALV$5:$ALV30&lt;=12)),$ANC$5:$ANC30),IF(ALV30=4,SUMPRODUCT(--(($ALW$5:$ALW30=$ALW30)*($ALV$5:$ALV30&gt;=1)*($ALV$5:$ALV30&lt;=3)),$ANC$5:$ANC30),IF(ALV30=7,SUMPRODUCT(--(($ALW$5:$ALW30=$ALW30)*($ALV$5:$ALV30&gt;=4)*($ALV$5:$ALV30&lt;=6)),$ANC$5:$ANC30),IF(ALV30=10,SUMPRODUCT(--(($ALW$5:$ALW30=$ALW30)*($ALV$5:$ALV30&gt;=7)*($ALV$5:$ALV30&lt;=9)),$ANC$5:$ANC30),0)))))</f>
        <v/>
      </c>
      <c r="ANE30" s="12">
        <f>ANE29+ANC30-AND30</f>
        <v/>
      </c>
      <c r="ANF30" s="12">
        <f>IF(ProviderDelay&gt;=1,AMM29*BlendedProvPayEss+AMN29*BlendedProvPayPrem+AMO29*BlendedProvPayElite+AMP29*BlendedProvPayEss+AMQ29*BlendedProvPayPrem+AMR29*BlendedProvPayElite,AMM30*BlendedProvPayEss+AMN30*BlendedProvPayPrem+AMO30*BlendedProvPayElite+AMP30*BlendedProvPayEss+AMQ30*BlendedProvPayPrem+AMR30*BlendedProvPayElite)</f>
        <v/>
      </c>
      <c r="ANG30" s="12">
        <f>AMY30*PaymentFee</f>
        <v/>
      </c>
      <c r="ANH30" s="12">
        <f>AMS30*OpsAI</f>
        <v/>
      </c>
      <c r="ANI30" s="12">
        <f>MonthlyFixed</f>
        <v/>
      </c>
      <c r="ANJ30" s="12">
        <f>AMC30*ReferralReward</f>
        <v/>
      </c>
      <c r="ANK30" s="12">
        <f>AMA30</f>
        <v/>
      </c>
      <c r="ANL30" s="9">
        <f>ANB30-ANF30-ANG30-ANH30-ANI30-ANJ30-ANK30</f>
        <v/>
      </c>
      <c r="ANM30" s="9">
        <f>ANM29+AMY30-(ANF30+ANG30+ANH30+ANI30+ANJ30+ANK30+AND30)</f>
        <v/>
      </c>
      <c r="ANN30" s="12">
        <f>IF(AMS30&gt;0,AMT30/AMS30,0)</f>
        <v/>
      </c>
      <c r="ANO30" s="11">
        <f>IF(AMS29&gt;0,MAX(0,(AMS29+AMD30-AMS30)/AMS29),0)</f>
        <v/>
      </c>
      <c r="ANQ30" s="12" t="n">
        <v>26</v>
      </c>
      <c r="ANR30" s="12">
        <f>MOD(ANQ30-1+LaunchMonth-1,12)+1</f>
        <v/>
      </c>
      <c r="ANS30" s="12">
        <f>INT((ANQ30-1+LaunchMonth-1)/12)+1</f>
        <v/>
      </c>
      <c r="ANT30" s="12">
        <f>VLOOKUP(ANR30,SeasonTable,2,FALSE)</f>
        <v/>
      </c>
      <c r="ANU30" s="12">
        <f>(1+InflationRate)^INT((ANQ30-1)/12)</f>
        <v/>
      </c>
      <c r="ANV30" s="11">
        <f>MonthlyChurn*VLOOKUP(ANR30,ChurnSeasonTable,4,FALSE)</f>
        <v/>
      </c>
      <c r="ANW30" s="12">
        <f>MIN(MAX(MktMin19plus,AOU29*MktPct19plus),MAX(0,API29-CashBuffer))</f>
        <v/>
      </c>
      <c r="ANX30" s="12">
        <f>IF(ANW30&gt;0,MAX(1,ROUND(ANW30/'Sens - CAC &amp; Marketing'!$A$12*ANT30,0)),0)</f>
        <v/>
      </c>
      <c r="ANY30" s="12">
        <f>IF(ANX30&gt;0,ROUND(ANX30*ReferralMix/(1-ReferralMix),0),0)</f>
        <v/>
      </c>
      <c r="ANZ30" s="12">
        <f>ANX30+ANY30</f>
        <v/>
      </c>
      <c r="AOA30" s="12">
        <f>ROUND(ANZ30*(1-AnnualMix),0)</f>
        <v/>
      </c>
      <c r="AOB30" s="12">
        <f>ANZ30-AOA30</f>
        <v/>
      </c>
      <c r="AOC30" s="12">
        <f>ROUND(AOA30*EssentialMix,0)</f>
        <v/>
      </c>
      <c r="AOD30" s="12">
        <f>ROUND(AOA30*PremiumMix,0)</f>
        <v/>
      </c>
      <c r="AOE30" s="12">
        <f>AOA30-AOC30-AOD30</f>
        <v/>
      </c>
      <c r="AOF30" s="12">
        <f>ROUND(AOB30*EssentialMix,0)</f>
        <v/>
      </c>
      <c r="AOG30" s="12">
        <f>ROUND(AOB30*PremiumMix,0)</f>
        <v/>
      </c>
      <c r="AOH30" s="12">
        <f>AOB30-AOF30-AOG30</f>
        <v/>
      </c>
      <c r="AOI30" s="12">
        <f>AOC30+AOC29+AOC28+MAX(0,AOI29-AOC29-AOC28)*(1-ANV30)</f>
        <v/>
      </c>
      <c r="AOJ30" s="12">
        <f>AOD30+AOD29+AOD28+MAX(0,AOJ29-AOD29-AOD28)*(1-ANV30)</f>
        <v/>
      </c>
      <c r="AOK30" s="12">
        <f>AOE30+AOE29+AOE28+MAX(0,AOK29-AOE29-AOE28)*(1-ANV30)</f>
        <v/>
      </c>
      <c r="AOL30" s="12">
        <f>AOL29+AOF30-AOF18*(AnnualChurn*VLOOKUP(ANR30,ChurnSeasonTable,4,FALSE))*POWER(1-(AnnualChurn*VLOOKUP(ANR30,ChurnSeasonTable,4,FALSE)),0)+AOF6*(AnnualChurn*VLOOKUP(ANR30,ChurnSeasonTable,4,FALSE))*POWER(1-(AnnualChurn*VLOOKUP(ANR30,ChurnSeasonTable,4,FALSE)),1)</f>
        <v/>
      </c>
      <c r="AOM30" s="12">
        <f>AOM29+AOG30-AOG18*(AnnualChurn*VLOOKUP(ANR30,ChurnSeasonTable,4,FALSE))*POWER(1-(AnnualChurn*VLOOKUP(ANR30,ChurnSeasonTable,4,FALSE)),0)+AOG6*(AnnualChurn*VLOOKUP(ANR30,ChurnSeasonTable,4,FALSE))*POWER(1-(AnnualChurn*VLOOKUP(ANR30,ChurnSeasonTable,4,FALSE)),1)</f>
        <v/>
      </c>
      <c r="AON30" s="12">
        <f>AON29+AOH30-AOH18*(AnnualChurn*VLOOKUP(ANR30,ChurnSeasonTable,4,FALSE))*POWER(1-(AnnualChurn*VLOOKUP(ANR30,ChurnSeasonTable,4,FALSE)),0)+AOH6*(AnnualChurn*VLOOKUP(ANR30,ChurnSeasonTable,4,FALSE))*POWER(1-(AnnualChurn*VLOOKUP(ANR30,ChurnSeasonTable,4,FALSE)),1)</f>
        <v/>
      </c>
      <c r="AOO30" s="12">
        <f>AOI30+AOJ30+AOK30+AOL30+AOM30+AON30</f>
        <v/>
      </c>
      <c r="AOP30" s="9">
        <f>AOI30*BlendedPriceEssMonthly*ANU30+AOJ30*BlendedPricePremMonthly*ANU30+AOK30*BlendedPriceEliteMonthly*ANU30+AOL30*BlendedPriceEssAnnual*ANU30/12+AOM30*BlendedPricePremAnnual*ANU30/12+AON30*BlendedPriceEliteAnnual*ANU30/12</f>
        <v/>
      </c>
      <c r="AOQ30" s="9">
        <f>AOP30*12</f>
        <v/>
      </c>
      <c r="AOR30" s="12">
        <f>AOI30*BlendedPriceEssMonthly*ANU30+AOJ30*BlendedPricePremMonthly*ANU30+AOK30*BlendedPriceEliteMonthly*ANU30</f>
        <v/>
      </c>
      <c r="AOS30" s="12">
        <f>AOF30*BlendedPriceEssAnnual*ANU30+AOG30*BlendedPricePremAnnual*ANU30+AOH30*BlendedPriceEliteAnnual*ANU30</f>
        <v/>
      </c>
      <c r="AOT30" s="12">
        <f>AOF18*POWER(1-(AnnualChurn*VLOOKUP(ANR30,ChurnSeasonTable,4,FALSE)),1)*BlendedPriceEssAnnual*ANU30+AOF6*POWER(1-(AnnualChurn*VLOOKUP(ANR30,ChurnSeasonTable,4,FALSE)),2)*BlendedPriceEssAnnual*ANU30+AOG18*POWER(1-(AnnualChurn*VLOOKUP(ANR30,ChurnSeasonTable,4,FALSE)),1)*BlendedPricePremAnnual*ANU30+AOG6*POWER(1-(AnnualChurn*VLOOKUP(ANR30,ChurnSeasonTable,4,FALSE)),2)*BlendedPricePremAnnual*ANU30+AOH18*POWER(1-(AnnualChurn*VLOOKUP(ANR30,ChurnSeasonTable,4,FALSE)),1)*BlendedPriceEliteAnnual*ANU30+AOH6*POWER(1-(AnnualChurn*VLOOKUP(ANR30,ChurnSeasonTable,4,FALSE)),2)*BlendedPriceEliteAnnual*ANU30</f>
        <v/>
      </c>
      <c r="AOU30" s="9">
        <f>AOR30+AOS30+AOT30</f>
        <v/>
      </c>
      <c r="AOV30" s="12">
        <f>SUM(AOU19:AOU30)</f>
        <v/>
      </c>
      <c r="AOW30" s="12">
        <f>OR(AOW29,IF(VATAgentMode,SUM($AOU19:$AOU30)-SUM($APB19:$APB30)&gt;=VATThreshold,SUM($AOU19:$AOU30)&gt;=VATThreshold))</f>
        <v/>
      </c>
      <c r="AOX30" s="9">
        <f>IF(AOW30,IF(VATAgentMode,AOU30-((AOU30-APB30)-(AOU30-APB30)/(1+VATRate)),AOU30/(1+VATRate)),AOU30)</f>
        <v/>
      </c>
      <c r="AOY30" s="12">
        <f>AOU30-AOX30</f>
        <v/>
      </c>
      <c r="AOZ30" s="12">
        <f>IF(AOW30=0,0,IF(ANR30=1,SUMPRODUCT(--(($ANS$5:$ANS30=$ANS30-1)*($ANR$5:$ANR30&gt;=10)*($ANR$5:$ANR30&lt;=12)),$AOY$5:$AOY30),IF(ANR30=4,SUMPRODUCT(--(($ANS$5:$ANS30=$ANS30)*($ANR$5:$ANR30&gt;=1)*($ANR$5:$ANR30&lt;=3)),$AOY$5:$AOY30),IF(ANR30=7,SUMPRODUCT(--(($ANS$5:$ANS30=$ANS30)*($ANR$5:$ANR30&gt;=4)*($ANR$5:$ANR30&lt;=6)),$AOY$5:$AOY30),IF(ANR30=10,SUMPRODUCT(--(($ANS$5:$ANS30=$ANS30)*($ANR$5:$ANR30&gt;=7)*($ANR$5:$ANR30&lt;=9)),$AOY$5:$AOY30),0)))))</f>
        <v/>
      </c>
      <c r="APA30" s="12">
        <f>APA29+AOY30-AOZ30</f>
        <v/>
      </c>
      <c r="APB30" s="12">
        <f>IF(ProviderDelay&gt;=1,AOI29*BlendedProvPayEss+AOJ29*BlendedProvPayPrem+AOK29*BlendedProvPayElite+AOL29*BlendedProvPayEss+AOM29*BlendedProvPayPrem+AON29*BlendedProvPayElite,AOI30*BlendedProvPayEss+AOJ30*BlendedProvPayPrem+AOK30*BlendedProvPayElite+AOL30*BlendedProvPayEss+AOM30*BlendedProvPayPrem+AON30*BlendedProvPayElite)</f>
        <v/>
      </c>
      <c r="APC30" s="12">
        <f>AOU30*PaymentFee</f>
        <v/>
      </c>
      <c r="APD30" s="12">
        <f>AOO30*OpsAI</f>
        <v/>
      </c>
      <c r="APE30" s="12">
        <f>MonthlyFixed</f>
        <v/>
      </c>
      <c r="APF30" s="12">
        <f>ANY30*ReferralReward</f>
        <v/>
      </c>
      <c r="APG30" s="12">
        <f>ANW30</f>
        <v/>
      </c>
      <c r="APH30" s="9">
        <f>AOX30-APB30-APC30-APD30-APE30-APF30-APG30</f>
        <v/>
      </c>
      <c r="API30" s="9">
        <f>API29+AOU30-(APB30+APC30+APD30+APE30+APF30+APG30+AOZ30)</f>
        <v/>
      </c>
      <c r="APJ30" s="12">
        <f>IF(AOO30&gt;0,AOP30/AOO30,0)</f>
        <v/>
      </c>
      <c r="APK30" s="11">
        <f>IF(AOO29&gt;0,MAX(0,(AOO29+ANZ30-AOO30)/AOO29),0)</f>
        <v/>
      </c>
      <c r="APM30" s="12" t="n">
        <v>26</v>
      </c>
      <c r="APN30" s="12">
        <f>MOD(APM30-1+LaunchMonth-1,12)+1</f>
        <v/>
      </c>
      <c r="APO30" s="12">
        <f>INT((APM30-1+LaunchMonth-1)/12)+1</f>
        <v/>
      </c>
      <c r="APP30" s="12">
        <f>VLOOKUP(APN30,SeasonTable,2,FALSE)</f>
        <v/>
      </c>
      <c r="APQ30" s="12">
        <f>(1+InflationRate)^INT((APM30-1)/12)</f>
        <v/>
      </c>
      <c r="APR30" s="11">
        <f>MonthlyChurn*VLOOKUP(APN30,ChurnSeasonTable,4,FALSE)</f>
        <v/>
      </c>
      <c r="APS30" s="12">
        <f>MIN(MAX(MktMin19plus,AQQ29*MktPct19plus),MAX(0,ARE29-CashBuffer))</f>
        <v/>
      </c>
      <c r="APT30" s="12">
        <f>IF(APS30&gt;0,MAX(1,ROUND(APS30/'Sens - CAC &amp; Marketing'!$A$13*APP30,0)),0)</f>
        <v/>
      </c>
      <c r="APU30" s="12">
        <f>IF(APT30&gt;0,ROUND(APT30*ReferralMix/(1-ReferralMix),0),0)</f>
        <v/>
      </c>
      <c r="APV30" s="12">
        <f>APT30+APU30</f>
        <v/>
      </c>
      <c r="APW30" s="12">
        <f>ROUND(APV30*(1-AnnualMix),0)</f>
        <v/>
      </c>
      <c r="APX30" s="12">
        <f>APV30-APW30</f>
        <v/>
      </c>
      <c r="APY30" s="12">
        <f>ROUND(APW30*EssentialMix,0)</f>
        <v/>
      </c>
      <c r="APZ30" s="12">
        <f>ROUND(APW30*PremiumMix,0)</f>
        <v/>
      </c>
      <c r="AQA30" s="12">
        <f>APW30-APY30-APZ30</f>
        <v/>
      </c>
      <c r="AQB30" s="12">
        <f>ROUND(APX30*EssentialMix,0)</f>
        <v/>
      </c>
      <c r="AQC30" s="12">
        <f>ROUND(APX30*PremiumMix,0)</f>
        <v/>
      </c>
      <c r="AQD30" s="12">
        <f>APX30-AQB30-AQC30</f>
        <v/>
      </c>
      <c r="AQE30" s="12">
        <f>APY30+APY29+APY28+MAX(0,AQE29-APY29-APY28)*(1-APR30)</f>
        <v/>
      </c>
      <c r="AQF30" s="12">
        <f>APZ30+APZ29+APZ28+MAX(0,AQF29-APZ29-APZ28)*(1-APR30)</f>
        <v/>
      </c>
      <c r="AQG30" s="12">
        <f>AQA30+AQA29+AQA28+MAX(0,AQG29-AQA29-AQA28)*(1-APR30)</f>
        <v/>
      </c>
      <c r="AQH30" s="12">
        <f>AQH29+AQB30-AQB18*(AnnualChurn*VLOOKUP(APN30,ChurnSeasonTable,4,FALSE))*POWER(1-(AnnualChurn*VLOOKUP(APN30,ChurnSeasonTable,4,FALSE)),0)+AQB6*(AnnualChurn*VLOOKUP(APN30,ChurnSeasonTable,4,FALSE))*POWER(1-(AnnualChurn*VLOOKUP(APN30,ChurnSeasonTable,4,FALSE)),1)</f>
        <v/>
      </c>
      <c r="AQI30" s="12">
        <f>AQI29+AQC30-AQC18*(AnnualChurn*VLOOKUP(APN30,ChurnSeasonTable,4,FALSE))*POWER(1-(AnnualChurn*VLOOKUP(APN30,ChurnSeasonTable,4,FALSE)),0)+AQC6*(AnnualChurn*VLOOKUP(APN30,ChurnSeasonTable,4,FALSE))*POWER(1-(AnnualChurn*VLOOKUP(APN30,ChurnSeasonTable,4,FALSE)),1)</f>
        <v/>
      </c>
      <c r="AQJ30" s="12">
        <f>AQJ29+AQD30-AQD18*(AnnualChurn*VLOOKUP(APN30,ChurnSeasonTable,4,FALSE))*POWER(1-(AnnualChurn*VLOOKUP(APN30,ChurnSeasonTable,4,FALSE)),0)+AQD6*(AnnualChurn*VLOOKUP(APN30,ChurnSeasonTable,4,FALSE))*POWER(1-(AnnualChurn*VLOOKUP(APN30,ChurnSeasonTable,4,FALSE)),1)</f>
        <v/>
      </c>
      <c r="AQK30" s="12">
        <f>AQE30+AQF30+AQG30+AQH30+AQI30+AQJ30</f>
        <v/>
      </c>
      <c r="AQL30" s="9">
        <f>AQE30*BlendedPriceEssMonthly*APQ30+AQF30*BlendedPricePremMonthly*APQ30+AQG30*BlendedPriceEliteMonthly*APQ30+AQH30*BlendedPriceEssAnnual*APQ30/12+AQI30*BlendedPricePremAnnual*APQ30/12+AQJ30*BlendedPriceEliteAnnual*APQ30/12</f>
        <v/>
      </c>
      <c r="AQM30" s="9">
        <f>AQL30*12</f>
        <v/>
      </c>
      <c r="AQN30" s="12">
        <f>AQE30*BlendedPriceEssMonthly*APQ30+AQF30*BlendedPricePremMonthly*APQ30+AQG30*BlendedPriceEliteMonthly*APQ30</f>
        <v/>
      </c>
      <c r="AQO30" s="12">
        <f>AQB30*BlendedPriceEssAnnual*APQ30+AQC30*BlendedPricePremAnnual*APQ30+AQD30*BlendedPriceEliteAnnual*APQ30</f>
        <v/>
      </c>
      <c r="AQP30" s="12">
        <f>AQB18*POWER(1-(AnnualChurn*VLOOKUP(APN30,ChurnSeasonTable,4,FALSE)),1)*BlendedPriceEssAnnual*APQ30+AQB6*POWER(1-(AnnualChurn*VLOOKUP(APN30,ChurnSeasonTable,4,FALSE)),2)*BlendedPriceEssAnnual*APQ30+AQC18*POWER(1-(AnnualChurn*VLOOKUP(APN30,ChurnSeasonTable,4,FALSE)),1)*BlendedPricePremAnnual*APQ30+AQC6*POWER(1-(AnnualChurn*VLOOKUP(APN30,ChurnSeasonTable,4,FALSE)),2)*BlendedPricePremAnnual*APQ30+AQD18*POWER(1-(AnnualChurn*VLOOKUP(APN30,ChurnSeasonTable,4,FALSE)),1)*BlendedPriceEliteAnnual*APQ30+AQD6*POWER(1-(AnnualChurn*VLOOKUP(APN30,ChurnSeasonTable,4,FALSE)),2)*BlendedPriceEliteAnnual*APQ30</f>
        <v/>
      </c>
      <c r="AQQ30" s="9">
        <f>AQN30+AQO30+AQP30</f>
        <v/>
      </c>
      <c r="AQR30" s="12">
        <f>SUM(AQQ19:AQQ30)</f>
        <v/>
      </c>
      <c r="AQS30" s="12">
        <f>OR(AQS29,IF(VATAgentMode,SUM($AQQ19:$AQQ30)-SUM($AQX19:$AQX30)&gt;=VATThreshold,SUM($AQQ19:$AQQ30)&gt;=VATThreshold))</f>
        <v/>
      </c>
      <c r="AQT30" s="9">
        <f>IF(AQS30,IF(VATAgentMode,AQQ30-((AQQ30-AQX30)-(AQQ30-AQX30)/(1+VATRate)),AQQ30/(1+VATRate)),AQQ30)</f>
        <v/>
      </c>
      <c r="AQU30" s="12">
        <f>AQQ30-AQT30</f>
        <v/>
      </c>
      <c r="AQV30" s="12">
        <f>IF(AQS30=0,0,IF(APN30=1,SUMPRODUCT(--(($APO$5:$APO30=$APO30-1)*($APN$5:$APN30&gt;=10)*($APN$5:$APN30&lt;=12)),$AQU$5:$AQU30),IF(APN30=4,SUMPRODUCT(--(($APO$5:$APO30=$APO30)*($APN$5:$APN30&gt;=1)*($APN$5:$APN30&lt;=3)),$AQU$5:$AQU30),IF(APN30=7,SUMPRODUCT(--(($APO$5:$APO30=$APO30)*($APN$5:$APN30&gt;=4)*($APN$5:$APN30&lt;=6)),$AQU$5:$AQU30),IF(APN30=10,SUMPRODUCT(--(($APO$5:$APO30=$APO30)*($APN$5:$APN30&gt;=7)*($APN$5:$APN30&lt;=9)),$AQU$5:$AQU30),0)))))</f>
        <v/>
      </c>
      <c r="AQW30" s="12">
        <f>AQW29+AQU30-AQV30</f>
        <v/>
      </c>
      <c r="AQX30" s="12">
        <f>IF(ProviderDelay&gt;=1,AQE29*BlendedProvPayEss+AQF29*BlendedProvPayPrem+AQG29*BlendedProvPayElite+AQH29*BlendedProvPayEss+AQI29*BlendedProvPayPrem+AQJ29*BlendedProvPayElite,AQE30*BlendedProvPayEss+AQF30*BlendedProvPayPrem+AQG30*BlendedProvPayElite+AQH30*BlendedProvPayEss+AQI30*BlendedProvPayPrem+AQJ30*BlendedProvPayElite)</f>
        <v/>
      </c>
      <c r="AQY30" s="12">
        <f>AQQ30*PaymentFee</f>
        <v/>
      </c>
      <c r="AQZ30" s="12">
        <f>AQK30*OpsAI</f>
        <v/>
      </c>
      <c r="ARA30" s="12">
        <f>MonthlyFixed</f>
        <v/>
      </c>
      <c r="ARB30" s="12">
        <f>APU30*ReferralReward</f>
        <v/>
      </c>
      <c r="ARC30" s="12">
        <f>APS30</f>
        <v/>
      </c>
      <c r="ARD30" s="9">
        <f>AQT30-AQX30-AQY30-AQZ30-ARA30-ARB30-ARC30</f>
        <v/>
      </c>
      <c r="ARE30" s="9">
        <f>ARE29+AQQ30-(AQX30+AQY30+AQZ30+ARA30+ARB30+ARC30+AQV30)</f>
        <v/>
      </c>
      <c r="ARF30" s="12">
        <f>IF(AQK30&gt;0,AQL30/AQK30,0)</f>
        <v/>
      </c>
      <c r="ARG30" s="11">
        <f>IF(AQK29&gt;0,MAX(0,(AQK29+APV30-AQK30)/AQK29),0)</f>
        <v/>
      </c>
      <c r="ARI30" s="12" t="n">
        <v>26</v>
      </c>
      <c r="ARJ30" s="12">
        <f>MOD(ARI30-1+LaunchMonth-1,12)+1</f>
        <v/>
      </c>
      <c r="ARK30" s="12">
        <f>INT((ARI30-1+LaunchMonth-1)/12)+1</f>
        <v/>
      </c>
      <c r="ARL30" s="12">
        <f>VLOOKUP(ARJ30,SeasonTable,2,FALSE)</f>
        <v/>
      </c>
      <c r="ARM30" s="12">
        <f>(1+InflationRate)^INT((ARI30-1)/12)</f>
        <v/>
      </c>
      <c r="ARN30" s="11">
        <f>MonthlyChurn*VLOOKUP(ARJ30,ChurnSeasonTable,4,FALSE)</f>
        <v/>
      </c>
      <c r="ARO30" s="12">
        <f>MIN(MAX(MktMin19plus,ASM29*MktPct19plus),MAX(0,ATA29-CashBuffer))</f>
        <v/>
      </c>
      <c r="ARP30" s="12">
        <f>IF(ARO30&gt;0,MAX(1,ROUND(ARO30/'Sens - CAC &amp; Marketing'!$A$14*ARL30,0)),0)</f>
        <v/>
      </c>
      <c r="ARQ30" s="12">
        <f>IF(ARP30&gt;0,ROUND(ARP30*ReferralMix/(1-ReferralMix),0),0)</f>
        <v/>
      </c>
      <c r="ARR30" s="12">
        <f>ARP30+ARQ30</f>
        <v/>
      </c>
      <c r="ARS30" s="12">
        <f>ROUND(ARR30*(1-AnnualMix),0)</f>
        <v/>
      </c>
      <c r="ART30" s="12">
        <f>ARR30-ARS30</f>
        <v/>
      </c>
      <c r="ARU30" s="12">
        <f>ROUND(ARS30*EssentialMix,0)</f>
        <v/>
      </c>
      <c r="ARV30" s="12">
        <f>ROUND(ARS30*PremiumMix,0)</f>
        <v/>
      </c>
      <c r="ARW30" s="12">
        <f>ARS30-ARU30-ARV30</f>
        <v/>
      </c>
      <c r="ARX30" s="12">
        <f>ROUND(ART30*EssentialMix,0)</f>
        <v/>
      </c>
      <c r="ARY30" s="12">
        <f>ROUND(ART30*PremiumMix,0)</f>
        <v/>
      </c>
      <c r="ARZ30" s="12">
        <f>ART30-ARX30-ARY30</f>
        <v/>
      </c>
      <c r="ASA30" s="12">
        <f>ARU30+ARU29+ARU28+MAX(0,ASA29-ARU29-ARU28)*(1-ARN30)</f>
        <v/>
      </c>
      <c r="ASB30" s="12">
        <f>ARV30+ARV29+ARV28+MAX(0,ASB29-ARV29-ARV28)*(1-ARN30)</f>
        <v/>
      </c>
      <c r="ASC30" s="12">
        <f>ARW30+ARW29+ARW28+MAX(0,ASC29-ARW29-ARW28)*(1-ARN30)</f>
        <v/>
      </c>
      <c r="ASD30" s="12">
        <f>ASD29+ARX30-ARX18*(AnnualChurn*VLOOKUP(ARJ30,ChurnSeasonTable,4,FALSE))*POWER(1-(AnnualChurn*VLOOKUP(ARJ30,ChurnSeasonTable,4,FALSE)),0)+ARX6*(AnnualChurn*VLOOKUP(ARJ30,ChurnSeasonTable,4,FALSE))*POWER(1-(AnnualChurn*VLOOKUP(ARJ30,ChurnSeasonTable,4,FALSE)),1)</f>
        <v/>
      </c>
      <c r="ASE30" s="12">
        <f>ASE29+ARY30-ARY18*(AnnualChurn*VLOOKUP(ARJ30,ChurnSeasonTable,4,FALSE))*POWER(1-(AnnualChurn*VLOOKUP(ARJ30,ChurnSeasonTable,4,FALSE)),0)+ARY6*(AnnualChurn*VLOOKUP(ARJ30,ChurnSeasonTable,4,FALSE))*POWER(1-(AnnualChurn*VLOOKUP(ARJ30,ChurnSeasonTable,4,FALSE)),1)</f>
        <v/>
      </c>
      <c r="ASF30" s="12">
        <f>ASF29+ARZ30-ARZ18*(AnnualChurn*VLOOKUP(ARJ30,ChurnSeasonTable,4,FALSE))*POWER(1-(AnnualChurn*VLOOKUP(ARJ30,ChurnSeasonTable,4,FALSE)),0)+ARZ6*(AnnualChurn*VLOOKUP(ARJ30,ChurnSeasonTable,4,FALSE))*POWER(1-(AnnualChurn*VLOOKUP(ARJ30,ChurnSeasonTable,4,FALSE)),1)</f>
        <v/>
      </c>
      <c r="ASG30" s="12">
        <f>ASA30+ASB30+ASC30+ASD30+ASE30+ASF30</f>
        <v/>
      </c>
      <c r="ASH30" s="9">
        <f>ASA30*BlendedPriceEssMonthly*ARM30+ASB30*BlendedPricePremMonthly*ARM30+ASC30*BlendedPriceEliteMonthly*ARM30+ASD30*BlendedPriceEssAnnual*ARM30/12+ASE30*BlendedPricePremAnnual*ARM30/12+ASF30*BlendedPriceEliteAnnual*ARM30/12</f>
        <v/>
      </c>
      <c r="ASI30" s="9">
        <f>ASH30*12</f>
        <v/>
      </c>
      <c r="ASJ30" s="12">
        <f>ASA30*BlendedPriceEssMonthly*ARM30+ASB30*BlendedPricePremMonthly*ARM30+ASC30*BlendedPriceEliteMonthly*ARM30</f>
        <v/>
      </c>
      <c r="ASK30" s="12">
        <f>ARX30*BlendedPriceEssAnnual*ARM30+ARY30*BlendedPricePremAnnual*ARM30+ARZ30*BlendedPriceEliteAnnual*ARM30</f>
        <v/>
      </c>
      <c r="ASL30" s="12">
        <f>ARX18*POWER(1-(AnnualChurn*VLOOKUP(ARJ30,ChurnSeasonTable,4,FALSE)),1)*BlendedPriceEssAnnual*ARM30+ARX6*POWER(1-(AnnualChurn*VLOOKUP(ARJ30,ChurnSeasonTable,4,FALSE)),2)*BlendedPriceEssAnnual*ARM30+ARY18*POWER(1-(AnnualChurn*VLOOKUP(ARJ30,ChurnSeasonTable,4,FALSE)),1)*BlendedPricePremAnnual*ARM30+ARY6*POWER(1-(AnnualChurn*VLOOKUP(ARJ30,ChurnSeasonTable,4,FALSE)),2)*BlendedPricePremAnnual*ARM30+ARZ18*POWER(1-(AnnualChurn*VLOOKUP(ARJ30,ChurnSeasonTable,4,FALSE)),1)*BlendedPriceEliteAnnual*ARM30+ARZ6*POWER(1-(AnnualChurn*VLOOKUP(ARJ30,ChurnSeasonTable,4,FALSE)),2)*BlendedPriceEliteAnnual*ARM30</f>
        <v/>
      </c>
      <c r="ASM30" s="9">
        <f>ASJ30+ASK30+ASL30</f>
        <v/>
      </c>
      <c r="ASN30" s="12">
        <f>SUM(ASM19:ASM30)</f>
        <v/>
      </c>
      <c r="ASO30" s="12">
        <f>OR(ASO29,IF(VATAgentMode,SUM($ASM19:$ASM30)-SUM($AST19:$AST30)&gt;=VATThreshold,SUM($ASM19:$ASM30)&gt;=VATThreshold))</f>
        <v/>
      </c>
      <c r="ASP30" s="9">
        <f>IF(ASO30,IF(VATAgentMode,ASM30-((ASM30-AST30)-(ASM30-AST30)/(1+VATRate)),ASM30/(1+VATRate)),ASM30)</f>
        <v/>
      </c>
      <c r="ASQ30" s="12">
        <f>ASM30-ASP30</f>
        <v/>
      </c>
      <c r="ASR30" s="12">
        <f>IF(ASO30=0,0,IF(ARJ30=1,SUMPRODUCT(--(($ARK$5:$ARK30=$ARK30-1)*($ARJ$5:$ARJ30&gt;=10)*($ARJ$5:$ARJ30&lt;=12)),$ASQ$5:$ASQ30),IF(ARJ30=4,SUMPRODUCT(--(($ARK$5:$ARK30=$ARK30)*($ARJ$5:$ARJ30&gt;=1)*($ARJ$5:$ARJ30&lt;=3)),$ASQ$5:$ASQ30),IF(ARJ30=7,SUMPRODUCT(--(($ARK$5:$ARK30=$ARK30)*($ARJ$5:$ARJ30&gt;=4)*($ARJ$5:$ARJ30&lt;=6)),$ASQ$5:$ASQ30),IF(ARJ30=10,SUMPRODUCT(--(($ARK$5:$ARK30=$ARK30)*($ARJ$5:$ARJ30&gt;=7)*($ARJ$5:$ARJ30&lt;=9)),$ASQ$5:$ASQ30),0)))))</f>
        <v/>
      </c>
      <c r="ASS30" s="12">
        <f>ASS29+ASQ30-ASR30</f>
        <v/>
      </c>
      <c r="AST30" s="12">
        <f>IF(ProviderDelay&gt;=1,ASA29*BlendedProvPayEss+ASB29*BlendedProvPayPrem+ASC29*BlendedProvPayElite+ASD29*BlendedProvPayEss+ASE29*BlendedProvPayPrem+ASF29*BlendedProvPayElite,ASA30*BlendedProvPayEss+ASB30*BlendedProvPayPrem+ASC30*BlendedProvPayElite+ASD30*BlendedProvPayEss+ASE30*BlendedProvPayPrem+ASF30*BlendedProvPayElite)</f>
        <v/>
      </c>
      <c r="ASU30" s="12">
        <f>ASM30*PaymentFee</f>
        <v/>
      </c>
      <c r="ASV30" s="12">
        <f>ASG30*OpsAI</f>
        <v/>
      </c>
      <c r="ASW30" s="12">
        <f>MonthlyFixed</f>
        <v/>
      </c>
      <c r="ASX30" s="12">
        <f>ARQ30*ReferralReward</f>
        <v/>
      </c>
      <c r="ASY30" s="12">
        <f>ARO30</f>
        <v/>
      </c>
      <c r="ASZ30" s="9">
        <f>ASP30-AST30-ASU30-ASV30-ASW30-ASX30-ASY30</f>
        <v/>
      </c>
      <c r="ATA30" s="9">
        <f>ATA29+ASM30-(AST30+ASU30+ASV30+ASW30+ASX30+ASY30+ASR30)</f>
        <v/>
      </c>
      <c r="ATB30" s="12">
        <f>IF(ASG30&gt;0,ASH30/ASG30,0)</f>
        <v/>
      </c>
      <c r="ATC30" s="11">
        <f>IF(ASG29&gt;0,MAX(0,(ASG29+ARR30-ASG30)/ASG29),0)</f>
        <v/>
      </c>
      <c r="ATE30" s="12" t="n">
        <v>26</v>
      </c>
      <c r="ATF30" s="12">
        <f>MOD(ATE30-1+LaunchMonth-1,12)+1</f>
        <v/>
      </c>
      <c r="ATG30" s="12">
        <f>INT((ATE30-1+LaunchMonth-1)/12)+1</f>
        <v/>
      </c>
      <c r="ATH30" s="12">
        <f>VLOOKUP(ATF30,SeasonTable,2,FALSE)</f>
        <v/>
      </c>
      <c r="ATI30" s="12">
        <f>(1+InflationRate)^INT((ATE30-1)/12)</f>
        <v/>
      </c>
      <c r="ATJ30" s="11">
        <f>MonthlyChurn*VLOOKUP(ATF30,ChurnSeasonTable,4,FALSE)</f>
        <v/>
      </c>
      <c r="ATK30" s="12">
        <f>MIN(MAX(MktMin19plus,AUI29*MktPct19plus),MAX(0,AUW29-CashBuffer))</f>
        <v/>
      </c>
      <c r="ATL30" s="12">
        <f>IF(ATK30&gt;0,MAX(1,ROUND(ATK30/'Sens - CAC &amp; Marketing'!$A$15*ATH30,0)),0)</f>
        <v/>
      </c>
      <c r="ATM30" s="12">
        <f>IF(ATL30&gt;0,ROUND(ATL30*ReferralMix/(1-ReferralMix),0),0)</f>
        <v/>
      </c>
      <c r="ATN30" s="12">
        <f>ATL30+ATM30</f>
        <v/>
      </c>
      <c r="ATO30" s="12">
        <f>ROUND(ATN30*(1-AnnualMix),0)</f>
        <v/>
      </c>
      <c r="ATP30" s="12">
        <f>ATN30-ATO30</f>
        <v/>
      </c>
      <c r="ATQ30" s="12">
        <f>ROUND(ATO30*EssentialMix,0)</f>
        <v/>
      </c>
      <c r="ATR30" s="12">
        <f>ROUND(ATO30*PremiumMix,0)</f>
        <v/>
      </c>
      <c r="ATS30" s="12">
        <f>ATO30-ATQ30-ATR30</f>
        <v/>
      </c>
      <c r="ATT30" s="12">
        <f>ROUND(ATP30*EssentialMix,0)</f>
        <v/>
      </c>
      <c r="ATU30" s="12">
        <f>ROUND(ATP30*PremiumMix,0)</f>
        <v/>
      </c>
      <c r="ATV30" s="12">
        <f>ATP30-ATT30-ATU30</f>
        <v/>
      </c>
      <c r="ATW30" s="12">
        <f>ATQ30+ATQ29+ATQ28+MAX(0,ATW29-ATQ29-ATQ28)*(1-ATJ30)</f>
        <v/>
      </c>
      <c r="ATX30" s="12">
        <f>ATR30+ATR29+ATR28+MAX(0,ATX29-ATR29-ATR28)*(1-ATJ30)</f>
        <v/>
      </c>
      <c r="ATY30" s="12">
        <f>ATS30+ATS29+ATS28+MAX(0,ATY29-ATS29-ATS28)*(1-ATJ30)</f>
        <v/>
      </c>
      <c r="ATZ30" s="12">
        <f>ATZ29+ATT30-ATT18*(AnnualChurn*VLOOKUP(ATF30,ChurnSeasonTable,4,FALSE))*POWER(1-(AnnualChurn*VLOOKUP(ATF30,ChurnSeasonTable,4,FALSE)),0)+ATT6*(AnnualChurn*VLOOKUP(ATF30,ChurnSeasonTable,4,FALSE))*POWER(1-(AnnualChurn*VLOOKUP(ATF30,ChurnSeasonTable,4,FALSE)),1)</f>
        <v/>
      </c>
      <c r="AUA30" s="12">
        <f>AUA29+ATU30-ATU18*(AnnualChurn*VLOOKUP(ATF30,ChurnSeasonTable,4,FALSE))*POWER(1-(AnnualChurn*VLOOKUP(ATF30,ChurnSeasonTable,4,FALSE)),0)+ATU6*(AnnualChurn*VLOOKUP(ATF30,ChurnSeasonTable,4,FALSE))*POWER(1-(AnnualChurn*VLOOKUP(ATF30,ChurnSeasonTable,4,FALSE)),1)</f>
        <v/>
      </c>
      <c r="AUB30" s="12">
        <f>AUB29+ATV30-ATV18*(AnnualChurn*VLOOKUP(ATF30,ChurnSeasonTable,4,FALSE))*POWER(1-(AnnualChurn*VLOOKUP(ATF30,ChurnSeasonTable,4,FALSE)),0)+ATV6*(AnnualChurn*VLOOKUP(ATF30,ChurnSeasonTable,4,FALSE))*POWER(1-(AnnualChurn*VLOOKUP(ATF30,ChurnSeasonTable,4,FALSE)),1)</f>
        <v/>
      </c>
      <c r="AUC30" s="12">
        <f>ATW30+ATX30+ATY30+ATZ30+AUA30+AUB30</f>
        <v/>
      </c>
      <c r="AUD30" s="9">
        <f>ATW30*BlendedPriceEssMonthly*ATI30+ATX30*BlendedPricePremMonthly*ATI30+ATY30*BlendedPriceEliteMonthly*ATI30+ATZ30*BlendedPriceEssAnnual*ATI30/12+AUA30*BlendedPricePremAnnual*ATI30/12+AUB30*BlendedPriceEliteAnnual*ATI30/12</f>
        <v/>
      </c>
      <c r="AUE30" s="9">
        <f>AUD30*12</f>
        <v/>
      </c>
      <c r="AUF30" s="12">
        <f>ATW30*BlendedPriceEssMonthly*ATI30+ATX30*BlendedPricePremMonthly*ATI30+ATY30*BlendedPriceEliteMonthly*ATI30</f>
        <v/>
      </c>
      <c r="AUG30" s="12">
        <f>ATT30*BlendedPriceEssAnnual*ATI30+ATU30*BlendedPricePremAnnual*ATI30+ATV30*BlendedPriceEliteAnnual*ATI30</f>
        <v/>
      </c>
      <c r="AUH30" s="12">
        <f>ATT18*POWER(1-(AnnualChurn*VLOOKUP(ATF30,ChurnSeasonTable,4,FALSE)),1)*BlendedPriceEssAnnual*ATI30+ATT6*POWER(1-(AnnualChurn*VLOOKUP(ATF30,ChurnSeasonTable,4,FALSE)),2)*BlendedPriceEssAnnual*ATI30+ATU18*POWER(1-(AnnualChurn*VLOOKUP(ATF30,ChurnSeasonTable,4,FALSE)),1)*BlendedPricePremAnnual*ATI30+ATU6*POWER(1-(AnnualChurn*VLOOKUP(ATF30,ChurnSeasonTable,4,FALSE)),2)*BlendedPricePremAnnual*ATI30+ATV18*POWER(1-(AnnualChurn*VLOOKUP(ATF30,ChurnSeasonTable,4,FALSE)),1)*BlendedPriceEliteAnnual*ATI30+ATV6*POWER(1-(AnnualChurn*VLOOKUP(ATF30,ChurnSeasonTable,4,FALSE)),2)*BlendedPriceEliteAnnual*ATI30</f>
        <v/>
      </c>
      <c r="AUI30" s="9">
        <f>AUF30+AUG30+AUH30</f>
        <v/>
      </c>
      <c r="AUJ30" s="12">
        <f>SUM(AUI19:AUI30)</f>
        <v/>
      </c>
      <c r="AUK30" s="12">
        <f>OR(AUK29,IF(VATAgentMode,SUM($AUI19:$AUI30)-SUM($AUP19:$AUP30)&gt;=VATThreshold,SUM($AUI19:$AUI30)&gt;=VATThreshold))</f>
        <v/>
      </c>
      <c r="AUL30" s="9">
        <f>IF(AUK30,IF(VATAgentMode,AUI30-((AUI30-AUP30)-(AUI30-AUP30)/(1+VATRate)),AUI30/(1+VATRate)),AUI30)</f>
        <v/>
      </c>
      <c r="AUM30" s="12">
        <f>AUI30-AUL30</f>
        <v/>
      </c>
      <c r="AUN30" s="12">
        <f>IF(AUK30=0,0,IF(ATF30=1,SUMPRODUCT(--(($ATG$5:$ATG30=$ATG30-1)*($ATF$5:$ATF30&gt;=10)*($ATF$5:$ATF30&lt;=12)),$AUM$5:$AUM30),IF(ATF30=4,SUMPRODUCT(--(($ATG$5:$ATG30=$ATG30)*($ATF$5:$ATF30&gt;=1)*($ATF$5:$ATF30&lt;=3)),$AUM$5:$AUM30),IF(ATF30=7,SUMPRODUCT(--(($ATG$5:$ATG30=$ATG30)*($ATF$5:$ATF30&gt;=4)*($ATF$5:$ATF30&lt;=6)),$AUM$5:$AUM30),IF(ATF30=10,SUMPRODUCT(--(($ATG$5:$ATG30=$ATG30)*($ATF$5:$ATF30&gt;=7)*($ATF$5:$ATF30&lt;=9)),$AUM$5:$AUM30),0)))))</f>
        <v/>
      </c>
      <c r="AUO30" s="12">
        <f>AUO29+AUM30-AUN30</f>
        <v/>
      </c>
      <c r="AUP30" s="12">
        <f>IF(ProviderDelay&gt;=1,ATW29*BlendedProvPayEss+ATX29*BlendedProvPayPrem+ATY29*BlendedProvPayElite+ATZ29*BlendedProvPayEss+AUA29*BlendedProvPayPrem+AUB29*BlendedProvPayElite,ATW30*BlendedProvPayEss+ATX30*BlendedProvPayPrem+ATY30*BlendedProvPayElite+ATZ30*BlendedProvPayEss+AUA30*BlendedProvPayPrem+AUB30*BlendedProvPayElite)</f>
        <v/>
      </c>
      <c r="AUQ30" s="12">
        <f>AUI30*PaymentFee</f>
        <v/>
      </c>
      <c r="AUR30" s="12">
        <f>AUC30*OpsAI</f>
        <v/>
      </c>
      <c r="AUS30" s="12">
        <f>MonthlyFixed</f>
        <v/>
      </c>
      <c r="AUT30" s="12">
        <f>ATM30*ReferralReward</f>
        <v/>
      </c>
      <c r="AUU30" s="12">
        <f>ATK30</f>
        <v/>
      </c>
      <c r="AUV30" s="9">
        <f>AUL30-AUP30-AUQ30-AUR30-AUS30-AUT30-AUU30</f>
        <v/>
      </c>
      <c r="AUW30" s="9">
        <f>AUW29+AUI30-(AUP30+AUQ30+AUR30+AUS30+AUT30+AUU30+AUN30)</f>
        <v/>
      </c>
      <c r="AUX30" s="12">
        <f>IF(AUC30&gt;0,AUD30/AUC30,0)</f>
        <v/>
      </c>
      <c r="AUY30" s="11">
        <f>IF(AUC29&gt;0,MAX(0,(AUC29+ATN30-AUC30)/AUC29),0)</f>
        <v/>
      </c>
      <c r="AVA30" s="12" t="n">
        <v>26</v>
      </c>
      <c r="AVB30" s="12">
        <f>MOD(AVA30-1+LaunchMonth-1,12)+1</f>
        <v/>
      </c>
      <c r="AVC30" s="12">
        <f>INT((AVA30-1+LaunchMonth-1)/12)+1</f>
        <v/>
      </c>
      <c r="AVD30" s="12">
        <f>VLOOKUP(AVB30,WinterPivotSeasonTable,5,FALSE)</f>
        <v/>
      </c>
      <c r="AVE30" s="12">
        <f>(1+InflationRate)^INT((AVA30-1)/12)</f>
        <v/>
      </c>
      <c r="AVF30" s="11">
        <f>MonthlyChurn*VLOOKUP(AVB30,WinterPivotChurnTable,6,FALSE)</f>
        <v/>
      </c>
      <c r="AVG30" s="12">
        <f>MIN(MAX(MktMin19plus,AWE29*MktPct19plus),MAX(0,AWS29-CashBuffer))</f>
        <v/>
      </c>
      <c r="AVH30" s="12">
        <f>IF(AVG30&gt;0,MAX(1,ROUND(AVG30/CAC*AVD30,0)),0)</f>
        <v/>
      </c>
      <c r="AVI30" s="12">
        <f>IF(AVH30&gt;0,ROUND(AVH30*ReferralMix/(1-ReferralMix),0),0)</f>
        <v/>
      </c>
      <c r="AVJ30" s="12">
        <f>AVH30+AVI30</f>
        <v/>
      </c>
      <c r="AVK30" s="12">
        <f>ROUND(AVJ30*(1-AnnualMix),0)</f>
        <v/>
      </c>
      <c r="AVL30" s="12">
        <f>AVJ30-AVK30</f>
        <v/>
      </c>
      <c r="AVM30" s="12">
        <f>ROUND(AVK30*'Sens - Winter Pivot'!$B$6,0)</f>
        <v/>
      </c>
      <c r="AVN30" s="12">
        <f>ROUND(AVK30*PremiumMix,0)</f>
        <v/>
      </c>
      <c r="AVO30" s="12">
        <f>AVK30-AVM30-AVN30</f>
        <v/>
      </c>
      <c r="AVP30" s="12">
        <f>ROUND(AVL30*'Sens - Winter Pivot'!$B$6,0)</f>
        <v/>
      </c>
      <c r="AVQ30" s="12">
        <f>ROUND(AVL30*PremiumMix,0)</f>
        <v/>
      </c>
      <c r="AVR30" s="12">
        <f>AVL30-AVP30-AVQ30</f>
        <v/>
      </c>
      <c r="AVS30" s="12">
        <f>AVM30+AVM29+AVM28+MAX(0,AVS29-AVM29-AVM28)*(1-AVF30)</f>
        <v/>
      </c>
      <c r="AVT30" s="12">
        <f>AVN30+AVN29+AVN28+MAX(0,AVT29-AVN29-AVN28)*(1-AVF30)</f>
        <v/>
      </c>
      <c r="AVU30" s="12">
        <f>AVO30+AVO29+AVO28+MAX(0,AVU29-AVO29-AVO28)*(1-AVF30)</f>
        <v/>
      </c>
      <c r="AVV30" s="12">
        <f>AVV29+AVP30-AVP18*(AnnualChurn*VLOOKUP(AVB30,ChurnSeasonTable,4,FALSE))*POWER(1-(AnnualChurn*VLOOKUP(AVB30,ChurnSeasonTable,4,FALSE)),0)+AVP6*(AnnualChurn*VLOOKUP(AVB30,ChurnSeasonTable,4,FALSE))*POWER(1-(AnnualChurn*VLOOKUP(AVB30,ChurnSeasonTable,4,FALSE)),1)</f>
        <v/>
      </c>
      <c r="AVW30" s="12">
        <f>AVW29+AVQ30-AVQ18*(AnnualChurn*VLOOKUP(AVB30,ChurnSeasonTable,4,FALSE))*POWER(1-(AnnualChurn*VLOOKUP(AVB30,ChurnSeasonTable,4,FALSE)),0)+AVQ6*(AnnualChurn*VLOOKUP(AVB30,ChurnSeasonTable,4,FALSE))*POWER(1-(AnnualChurn*VLOOKUP(AVB30,ChurnSeasonTable,4,FALSE)),1)</f>
        <v/>
      </c>
      <c r="AVX30" s="12">
        <f>AVX29+AVR30-AVR18*(AnnualChurn*VLOOKUP(AVB30,ChurnSeasonTable,4,FALSE))*POWER(1-(AnnualChurn*VLOOKUP(AVB30,ChurnSeasonTable,4,FALSE)),0)+AVR6*(AnnualChurn*VLOOKUP(AVB30,ChurnSeasonTable,4,FALSE))*POWER(1-(AnnualChurn*VLOOKUP(AVB30,ChurnSeasonTable,4,FALSE)),1)</f>
        <v/>
      </c>
      <c r="AVY30" s="12">
        <f>AVS30+AVT30+AVU30+AVV30+AVW30+AVX30</f>
        <v/>
      </c>
      <c r="AVZ30" s="9">
        <f>AVS30*BlendedPriceEssMonthly*AVE30+AVT30*(BlendedPricePremMonthly+'Sens - Winter Pivot'!$B$7)*AVE30+AVU30*BlendedPriceEliteMonthly*AVE30+AVV30*BlendedPriceEssAnnual*AVE30/12+AVW30*(BlendedPricePremAnnual+'Sens - Winter Pivot'!$B$7*12)*AVE30/12+AVX30*BlendedPriceEliteAnnual*AVE30/12</f>
        <v/>
      </c>
      <c r="AWA30" s="9">
        <f>AVZ30*12</f>
        <v/>
      </c>
      <c r="AWB30" s="12">
        <f>AVS30*BlendedPriceEssMonthly*AVE30+AVT30*(BlendedPricePremMonthly+'Sens - Winter Pivot'!$B$7)*AVE30+AVU30*BlendedPriceEliteMonthly*AVE30</f>
        <v/>
      </c>
      <c r="AWC30" s="12">
        <f>AVP30*BlendedPriceEssAnnual*AVE30+AVQ30*(BlendedPricePremAnnual+'Sens - Winter Pivot'!$B$7*12)*AVE30+AVR30*BlendedPriceEliteAnnual*AVE30</f>
        <v/>
      </c>
      <c r="AWD30" s="12">
        <f>AVP18*POWER(1-(AnnualChurn*VLOOKUP(AVB30,ChurnSeasonTable,4,FALSE)),1)*BlendedPriceEssAnnual*AVE30+AVP6*POWER(1-(AnnualChurn*VLOOKUP(AVB30,ChurnSeasonTable,4,FALSE)),2)*BlendedPriceEssAnnual*AVE30+AVQ18*POWER(1-(AnnualChurn*VLOOKUP(AVB30,ChurnSeasonTable,4,FALSE)),1)*BlendedPricePremAnnual*AVE30+AVQ6*POWER(1-(AnnualChurn*VLOOKUP(AVB30,ChurnSeasonTable,4,FALSE)),2)*BlendedPricePremAnnual*AVE30+AVR18*POWER(1-(AnnualChurn*VLOOKUP(AVB30,ChurnSeasonTable,4,FALSE)),1)*BlendedPriceEliteAnnual*AVE30+AVR6*POWER(1-(AnnualChurn*VLOOKUP(AVB30,ChurnSeasonTable,4,FALSE)),2)*BlendedPriceEliteAnnual*AVE30</f>
        <v/>
      </c>
      <c r="AWE30" s="9">
        <f>AWB30+AWC30+AWD30</f>
        <v/>
      </c>
      <c r="AWF30" s="12">
        <f>SUM(AWE19:AWE30)</f>
        <v/>
      </c>
      <c r="AWG30" s="12">
        <f>OR(AWG29,IF(VATAgentMode,SUM($AWE19:$AWE30)-SUM($AWL19:$AWL30)&gt;=VATThreshold,SUM($AWE19:$AWE30)&gt;=VATThreshold))</f>
        <v/>
      </c>
      <c r="AWH30" s="9">
        <f>IF(AWG30,IF(VATAgentMode,AWE30-((AWE30-AWL30)-(AWE30-AWL30)/(1+VATRate)),AWE30/(1+VATRate)),AWE30)</f>
        <v/>
      </c>
      <c r="AWI30" s="12">
        <f>AWE30-AWH30</f>
        <v/>
      </c>
      <c r="AWJ30" s="12">
        <f>IF(AWG30=0,0,IF(AVB30=1,SUMPRODUCT(--(($AVC$5:$AVC30=$AVC30-1)*($AVB$5:$AVB30&gt;=10)*($AVB$5:$AVB30&lt;=12)),$AWI$5:$AWI30),IF(AVB30=4,SUMPRODUCT(--(($AVC$5:$AVC30=$AVC30)*($AVB$5:$AVB30&gt;=1)*($AVB$5:$AVB30&lt;=3)),$AWI$5:$AWI30),IF(AVB30=7,SUMPRODUCT(--(($AVC$5:$AVC30=$AVC30)*($AVB$5:$AVB30&gt;=4)*($AVB$5:$AVB30&lt;=6)),$AWI$5:$AWI30),IF(AVB30=10,SUMPRODUCT(--(($AVC$5:$AVC30=$AVC30)*($AVB$5:$AVB30&gt;=7)*($AVB$5:$AVB30&lt;=9)),$AWI$5:$AWI30),0)))))</f>
        <v/>
      </c>
      <c r="AWK30" s="12">
        <f>AWK29+AWI30-AWJ30</f>
        <v/>
      </c>
      <c r="AWL30" s="12">
        <f>IF(ProviderDelay&gt;=1,AVS29*BlendedProvPayEss+AVT29*BlendedProvPayPrem+AVU29*BlendedProvPayElite+AVV29*BlendedProvPayEss+AVW29*BlendedProvPayPrem+AVX29*BlendedProvPayElite,AVS30*BlendedProvPayEss+AVT30*BlendedProvPayPrem+AVU30*BlendedProvPayElite+AVV30*BlendedProvPayEss+AVW30*BlendedProvPayPrem+AVX30*BlendedProvPayElite)</f>
        <v/>
      </c>
      <c r="AWM30" s="12">
        <f>AWE30*PaymentFee</f>
        <v/>
      </c>
      <c r="AWN30" s="12">
        <f>AVY30*OpsAI</f>
        <v/>
      </c>
      <c r="AWO30" s="12">
        <f>MonthlyFixed</f>
        <v/>
      </c>
      <c r="AWP30" s="12">
        <f>AVI30*ReferralReward</f>
        <v/>
      </c>
      <c r="AWQ30" s="12">
        <f>AVG30</f>
        <v/>
      </c>
      <c r="AWR30" s="9">
        <f>AWH30-AWL30-AWM30-AWN30-AWO30-AWP30-AWQ30</f>
        <v/>
      </c>
      <c r="AWS30" s="9">
        <f>AWS29+AWE30-(AWL30+AWM30+AWN30+AWO30+AWP30+AWQ30+AWJ30)</f>
        <v/>
      </c>
      <c r="AWT30" s="12">
        <f>IF(AVY30&gt;0,AVZ30/AVY30,0)</f>
        <v/>
      </c>
      <c r="AWU30" s="11">
        <f>IF(AVY29&gt;0,MAX(0,(AVY29+AVJ30-AVY30)/AVY29),0)</f>
        <v/>
      </c>
    </row>
    <row r="31">
      <c r="A31" s="12" t="n">
        <v>27</v>
      </c>
      <c r="B31" s="12">
        <f>MOD(A31-1+LaunchMonth-1,12)+1</f>
        <v/>
      </c>
      <c r="C31" s="12">
        <f>INT((A31-1+LaunchMonth-1)/12)+1</f>
        <v/>
      </c>
      <c r="D31" s="12">
        <f>VLOOKUP(B31,SeasonTable,2,FALSE)</f>
        <v/>
      </c>
      <c r="E31" s="12">
        <f>(1+InflationRate)^INT((A31-1)/12)</f>
        <v/>
      </c>
      <c r="F31" s="11">
        <f>'Sens - Scenarios'!$B$5*VLOOKUP(B31,ChurnSeasonTable,4,FALSE)</f>
        <v/>
      </c>
      <c r="G31" s="12">
        <f>MIN(MAX(MktMin19plus,AE30*MktPct19plus),MAX(0,AS30-CashBuffer))</f>
        <v/>
      </c>
      <c r="H31" s="12">
        <f>IF(G31&gt;0,MAX(1,ROUND(G31/'Sens - Scenarios'!$B$8*D31,0)),0)</f>
        <v/>
      </c>
      <c r="I31" s="12">
        <f>IF(H31&gt;0,ROUND(H31*ReferralMix/(1-ReferralMix),0),0)</f>
        <v/>
      </c>
      <c r="J31" s="12">
        <f>H31+I31</f>
        <v/>
      </c>
      <c r="K31" s="12">
        <f>ROUND(J31*(1-'Sens - Scenarios'!$B$7),0)</f>
        <v/>
      </c>
      <c r="L31" s="12">
        <f>J31-K31</f>
        <v/>
      </c>
      <c r="M31" s="12">
        <f>ROUND(K31*EssentialMix,0)</f>
        <v/>
      </c>
      <c r="N31" s="12">
        <f>ROUND(K31*PremiumMix,0)</f>
        <v/>
      </c>
      <c r="O31" s="12">
        <f>K31-M31-N31</f>
        <v/>
      </c>
      <c r="P31" s="12">
        <f>ROUND(L31*EssentialMix,0)</f>
        <v/>
      </c>
      <c r="Q31" s="12">
        <f>ROUND(L31*PremiumMix,0)</f>
        <v/>
      </c>
      <c r="R31" s="12">
        <f>L31-P31-Q31</f>
        <v/>
      </c>
      <c r="S31" s="12">
        <f>M31+M30+M29+MAX(0,S30-M30-M29)*(1-F31)</f>
        <v/>
      </c>
      <c r="T31" s="12">
        <f>N31+N30+N29+MAX(0,T30-N30-N29)*(1-F31)</f>
        <v/>
      </c>
      <c r="U31" s="12">
        <f>O31+O30+O29+MAX(0,U30-O30-O29)*(1-F31)</f>
        <v/>
      </c>
      <c r="V31" s="12">
        <f>V30+P31-P19*('Sens - Scenarios'!$B$6*VLOOKUP(B31,ChurnSeasonTable,4,FALSE))*POWER(1-('Sens - Scenarios'!$B$6*VLOOKUP(B31,ChurnSeasonTable,4,FALSE)),0)+P7*('Sens - Scenarios'!$B$6*VLOOKUP(B31,ChurnSeasonTable,4,FALSE))*POWER(1-('Sens - Scenarios'!$B$6*VLOOKUP(B31,ChurnSeasonTable,4,FALSE)),1)</f>
        <v/>
      </c>
      <c r="W31" s="12">
        <f>W30+Q31-Q19*('Sens - Scenarios'!$B$6*VLOOKUP(B31,ChurnSeasonTable,4,FALSE))*POWER(1-('Sens - Scenarios'!$B$6*VLOOKUP(B31,ChurnSeasonTable,4,FALSE)),0)+Q7*('Sens - Scenarios'!$B$6*VLOOKUP(B31,ChurnSeasonTable,4,FALSE))*POWER(1-('Sens - Scenarios'!$B$6*VLOOKUP(B31,ChurnSeasonTable,4,FALSE)),1)</f>
        <v/>
      </c>
      <c r="X31" s="12">
        <f>X30+R31-R19*('Sens - Scenarios'!$B$6*VLOOKUP(B31,ChurnSeasonTable,4,FALSE))*POWER(1-('Sens - Scenarios'!$B$6*VLOOKUP(B31,ChurnSeasonTable,4,FALSE)),0)+R7*('Sens - Scenarios'!$B$6*VLOOKUP(B31,ChurnSeasonTable,4,FALSE))*POWER(1-('Sens - Scenarios'!$B$6*VLOOKUP(B31,ChurnSeasonTable,4,FALSE)),1)</f>
        <v/>
      </c>
      <c r="Y31" s="12">
        <f>S31+T31+U31+V31+W31+X31</f>
        <v/>
      </c>
      <c r="Z31" s="9">
        <f>S31*BlendedPriceEssMonthly*E31+T31*BlendedPricePremMonthly*E31+U31*BlendedPriceEliteMonthly*E31+V31*BlendedPriceEssAnnual*E31/12+W31*BlendedPricePremAnnual*E31/12+X31*BlendedPriceEliteAnnual*E31/12</f>
        <v/>
      </c>
      <c r="AA31" s="9">
        <f>Z31*12</f>
        <v/>
      </c>
      <c r="AB31" s="12">
        <f>S31*BlendedPriceEssMonthly*E31+T31*BlendedPricePremMonthly*E31+U31*BlendedPriceEliteMonthly*E31</f>
        <v/>
      </c>
      <c r="AC31" s="12">
        <f>P31*BlendedPriceEssAnnual*E31+Q31*BlendedPricePremAnnual*E31+R31*BlendedPriceEliteAnnual*E31</f>
        <v/>
      </c>
      <c r="AD31" s="12">
        <f>P19*POWER(1-('Sens - Scenarios'!$B$6*VLOOKUP(B31,ChurnSeasonTable,4,FALSE)),1)*BlendedPriceEssAnnual*E31+P7*POWER(1-('Sens - Scenarios'!$B$6*VLOOKUP(B31,ChurnSeasonTable,4,FALSE)),2)*BlendedPriceEssAnnual*E31+Q19*POWER(1-('Sens - Scenarios'!$B$6*VLOOKUP(B31,ChurnSeasonTable,4,FALSE)),1)*BlendedPricePremAnnual*E31+Q7*POWER(1-('Sens - Scenarios'!$B$6*VLOOKUP(B31,ChurnSeasonTable,4,FALSE)),2)*BlendedPricePremAnnual*E31+R19*POWER(1-('Sens - Scenarios'!$B$6*VLOOKUP(B31,ChurnSeasonTable,4,FALSE)),1)*BlendedPriceEliteAnnual*E31+R7*POWER(1-('Sens - Scenarios'!$B$6*VLOOKUP(B31,ChurnSeasonTable,4,FALSE)),2)*BlendedPriceEliteAnnual*E31</f>
        <v/>
      </c>
      <c r="AE31" s="9">
        <f>AB31+AC31+AD31</f>
        <v/>
      </c>
      <c r="AF31" s="12">
        <f>SUM(AE20:AE31)</f>
        <v/>
      </c>
      <c r="AG31" s="12">
        <f>OR(AG30,IF(VATAgentMode,SUM($AE20:$AE31)-SUM($AL20:$AL31)&gt;=VATThreshold,SUM($AE20:$AE31)&gt;=VATThreshold))</f>
        <v/>
      </c>
      <c r="AH31" s="9">
        <f>IF(AG31,IF(VATAgentMode,AE31-((AE31-AL31)-(AE31-AL31)/(1+VATRate)),AE31/(1+VATRate)),AE31)</f>
        <v/>
      </c>
      <c r="AI31" s="12">
        <f>AE31-AH31</f>
        <v/>
      </c>
      <c r="AJ31" s="12">
        <f>IF(AG31=0,0,IF(B31=1,SUMPRODUCT(--(($C$5:$C31=$C31-1)*($B$5:$B31&gt;=10)*($B$5:$B31&lt;=12)),$AI$5:$AI31),IF(B31=4,SUMPRODUCT(--(($C$5:$C31=$C31)*($B$5:$B31&gt;=1)*($B$5:$B31&lt;=3)),$AI$5:$AI31),IF(B31=7,SUMPRODUCT(--(($C$5:$C31=$C31)*($B$5:$B31&gt;=4)*($B$5:$B31&lt;=6)),$AI$5:$AI31),IF(B31=10,SUMPRODUCT(--(($C$5:$C31=$C31)*($B$5:$B31&gt;=7)*($B$5:$B31&lt;=9)),$AI$5:$AI31),0)))))</f>
        <v/>
      </c>
      <c r="AK31" s="12">
        <f>AK30+AI31-AJ31</f>
        <v/>
      </c>
      <c r="AL31" s="12">
        <f>IF(ProviderDelay&gt;=1,S30*BlendedProvPayEss+T30*BlendedProvPayPrem+U30*BlendedProvPayElite+V30*BlendedProvPayEss+W30*BlendedProvPayPrem+X30*BlendedProvPayElite,S31*BlendedProvPayEss+T31*BlendedProvPayPrem+U31*BlendedProvPayElite+V31*BlendedProvPayEss+W31*BlendedProvPayPrem+X31*BlendedProvPayElite)</f>
        <v/>
      </c>
      <c r="AM31" s="12">
        <f>AE31*PaymentFee</f>
        <v/>
      </c>
      <c r="AN31" s="12">
        <f>Y31*OpsAI</f>
        <v/>
      </c>
      <c r="AO31" s="12">
        <f>MonthlyFixed</f>
        <v/>
      </c>
      <c r="AP31" s="12">
        <f>I31*ReferralReward</f>
        <v/>
      </c>
      <c r="AQ31" s="12">
        <f>G31</f>
        <v/>
      </c>
      <c r="AR31" s="9">
        <f>AH31-AL31-AM31-AN31-AO31-AP31-AQ31</f>
        <v/>
      </c>
      <c r="AS31" s="9">
        <f>AS30+AE31-(AL31+AM31+AN31+AO31+AP31+AQ31+AJ31)</f>
        <v/>
      </c>
      <c r="AT31" s="12">
        <f>IF(Y31&gt;0,Z31/Y31,0)</f>
        <v/>
      </c>
      <c r="AU31" s="11">
        <f>IF(Y30&gt;0,MAX(0,(Y30+J31-Y31)/Y30),0)</f>
        <v/>
      </c>
      <c r="AW31" s="12" t="n">
        <v>27</v>
      </c>
      <c r="AX31" s="12">
        <f>MOD(AW31-1+LaunchMonth-1,12)+1</f>
        <v/>
      </c>
      <c r="AY31" s="12">
        <f>INT((AW31-1+LaunchMonth-1)/12)+1</f>
        <v/>
      </c>
      <c r="AZ31" s="12">
        <f>VLOOKUP(AX31,SeasonTable,2,FALSE)</f>
        <v/>
      </c>
      <c r="BA31" s="12">
        <f>(1+InflationRate)^INT((AW31-1)/12)</f>
        <v/>
      </c>
      <c r="BB31" s="11">
        <f>MonthlyChurn*VLOOKUP(AX31,ChurnSeasonTable,4,FALSE)</f>
        <v/>
      </c>
      <c r="BC31" s="12">
        <f>MIN(MAX(MktMin19plus,CA30*MktPct19plus),MAX(0,CO30-CashBuffer))</f>
        <v/>
      </c>
      <c r="BD31" s="12">
        <f>IF(BC31&gt;0,MAX(1,ROUND(BC31/CAC*AZ31,0)),0)</f>
        <v/>
      </c>
      <c r="BE31" s="12">
        <f>IF(BD31&gt;0,ROUND(BD31*ReferralMix/(1-ReferralMix),0),0)</f>
        <v/>
      </c>
      <c r="BF31" s="12">
        <f>BD31+BE31</f>
        <v/>
      </c>
      <c r="BG31" s="12">
        <f>ROUND(BF31*(1-AnnualMix),0)</f>
        <v/>
      </c>
      <c r="BH31" s="12">
        <f>BF31-BG31</f>
        <v/>
      </c>
      <c r="BI31" s="12">
        <f>ROUND(BG31*EssentialMix,0)</f>
        <v/>
      </c>
      <c r="BJ31" s="12">
        <f>ROUND(BG31*PremiumMix,0)</f>
        <v/>
      </c>
      <c r="BK31" s="12">
        <f>BG31-BI31-BJ31</f>
        <v/>
      </c>
      <c r="BL31" s="12">
        <f>ROUND(BH31*EssentialMix,0)</f>
        <v/>
      </c>
      <c r="BM31" s="12">
        <f>ROUND(BH31*PremiumMix,0)</f>
        <v/>
      </c>
      <c r="BN31" s="12">
        <f>BH31-BL31-BM31</f>
        <v/>
      </c>
      <c r="BO31" s="12">
        <f>BI31+BI30+BI29+MAX(0,BO30-BI30-BI29)*(1-BB31)</f>
        <v/>
      </c>
      <c r="BP31" s="12">
        <f>BJ31+BJ30+BJ29+MAX(0,BP30-BJ30-BJ29)*(1-BB31)</f>
        <v/>
      </c>
      <c r="BQ31" s="12">
        <f>BK31+BK30+BK29+MAX(0,BQ30-BK30-BK29)*(1-BB31)</f>
        <v/>
      </c>
      <c r="BR31" s="12">
        <f>BR30+BL31-BL19*(AnnualChurn*VLOOKUP(AX31,ChurnSeasonTable,4,FALSE))*POWER(1-(AnnualChurn*VLOOKUP(AX31,ChurnSeasonTable,4,FALSE)),0)+BL7*(AnnualChurn*VLOOKUP(AX31,ChurnSeasonTable,4,FALSE))*POWER(1-(AnnualChurn*VLOOKUP(AX31,ChurnSeasonTable,4,FALSE)),1)</f>
        <v/>
      </c>
      <c r="BS31" s="12">
        <f>BS30+BM31-BM19*(AnnualChurn*VLOOKUP(AX31,ChurnSeasonTable,4,FALSE))*POWER(1-(AnnualChurn*VLOOKUP(AX31,ChurnSeasonTable,4,FALSE)),0)+BM7*(AnnualChurn*VLOOKUP(AX31,ChurnSeasonTable,4,FALSE))*POWER(1-(AnnualChurn*VLOOKUP(AX31,ChurnSeasonTable,4,FALSE)),1)</f>
        <v/>
      </c>
      <c r="BT31" s="12">
        <f>BT30+BN31-BN19*(AnnualChurn*VLOOKUP(AX31,ChurnSeasonTable,4,FALSE))*POWER(1-(AnnualChurn*VLOOKUP(AX31,ChurnSeasonTable,4,FALSE)),0)+BN7*(AnnualChurn*VLOOKUP(AX31,ChurnSeasonTable,4,FALSE))*POWER(1-(AnnualChurn*VLOOKUP(AX31,ChurnSeasonTable,4,FALSE)),1)</f>
        <v/>
      </c>
      <c r="BU31" s="12">
        <f>BO31+BP31+BQ31+BR31+BS31+BT31</f>
        <v/>
      </c>
      <c r="BV31" s="9">
        <f>BO31*BlendedPriceEssMonthly*BA31+BP31*BlendedPricePremMonthly*BA31+BQ31*BlendedPriceEliteMonthly*BA31+BR31*BlendedPriceEssAnnual*BA31/12+BS31*BlendedPricePremAnnual*BA31/12+BT31*BlendedPriceEliteAnnual*BA31/12</f>
        <v/>
      </c>
      <c r="BW31" s="9">
        <f>BV31*12</f>
        <v/>
      </c>
      <c r="BX31" s="12">
        <f>BO31*BlendedPriceEssMonthly*BA31+BP31*BlendedPricePremMonthly*BA31+BQ31*BlendedPriceEliteMonthly*BA31</f>
        <v/>
      </c>
      <c r="BY31" s="12">
        <f>BL31*BlendedPriceEssAnnual*BA31+BM31*BlendedPricePremAnnual*BA31+BN31*BlendedPriceEliteAnnual*BA31</f>
        <v/>
      </c>
      <c r="BZ31" s="12">
        <f>BL19*POWER(1-(AnnualChurn*VLOOKUP(AX31,ChurnSeasonTable,4,FALSE)),1)*BlendedPriceEssAnnual*BA31+BL7*POWER(1-(AnnualChurn*VLOOKUP(AX31,ChurnSeasonTable,4,FALSE)),2)*BlendedPriceEssAnnual*BA31+BM19*POWER(1-(AnnualChurn*VLOOKUP(AX31,ChurnSeasonTable,4,FALSE)),1)*BlendedPricePremAnnual*BA31+BM7*POWER(1-(AnnualChurn*VLOOKUP(AX31,ChurnSeasonTable,4,FALSE)),2)*BlendedPricePremAnnual*BA31+BN19*POWER(1-(AnnualChurn*VLOOKUP(AX31,ChurnSeasonTable,4,FALSE)),1)*BlendedPriceEliteAnnual*BA31+BN7*POWER(1-(AnnualChurn*VLOOKUP(AX31,ChurnSeasonTable,4,FALSE)),2)*BlendedPriceEliteAnnual*BA31</f>
        <v/>
      </c>
      <c r="CA31" s="9">
        <f>BX31+BY31+BZ31</f>
        <v/>
      </c>
      <c r="CB31" s="12">
        <f>SUM(CA20:CA31)</f>
        <v/>
      </c>
      <c r="CC31" s="12">
        <f>OR(CC30,IF(VATAgentMode,SUM($CA20:$CA31)-SUM($CH20:$CH31)&gt;=VATThreshold,SUM($CA20:$CA31)&gt;=VATThreshold))</f>
        <v/>
      </c>
      <c r="CD31" s="9">
        <f>IF(CC31,IF(VATAgentMode,CA31-((CA31-CH31)-(CA31-CH31)/(1+VATRate)),CA31/(1+VATRate)),CA31)</f>
        <v/>
      </c>
      <c r="CE31" s="12">
        <f>CA31-CD31</f>
        <v/>
      </c>
      <c r="CF31" s="12">
        <f>IF(CC31=0,0,IF(AX31=1,SUMPRODUCT(--(($AY$5:$AY31=$AY31-1)*($AX$5:$AX31&gt;=10)*($AX$5:$AX31&lt;=12)),$CE$5:$CE31),IF(AX31=4,SUMPRODUCT(--(($AY$5:$AY31=$AY31)*($AX$5:$AX31&gt;=1)*($AX$5:$AX31&lt;=3)),$CE$5:$CE31),IF(AX31=7,SUMPRODUCT(--(($AY$5:$AY31=$AY31)*($AX$5:$AX31&gt;=4)*($AX$5:$AX31&lt;=6)),$CE$5:$CE31),IF(AX31=10,SUMPRODUCT(--(($AY$5:$AY31=$AY31)*($AX$5:$AX31&gt;=7)*($AX$5:$AX31&lt;=9)),$CE$5:$CE31),0)))))</f>
        <v/>
      </c>
      <c r="CG31" s="12">
        <f>CG30+CE31-CF31</f>
        <v/>
      </c>
      <c r="CH31" s="12">
        <f>IF(ProviderDelay&gt;=1,BO30*BlendedProvPayEss+BP30*BlendedProvPayPrem+BQ30*BlendedProvPayElite+BR30*BlendedProvPayEss+BS30*BlendedProvPayPrem+BT30*BlendedProvPayElite,BO31*BlendedProvPayEss+BP31*BlendedProvPayPrem+BQ31*BlendedProvPayElite+BR31*BlendedProvPayEss+BS31*BlendedProvPayPrem+BT31*BlendedProvPayElite)</f>
        <v/>
      </c>
      <c r="CI31" s="12">
        <f>CA31*PaymentFee</f>
        <v/>
      </c>
      <c r="CJ31" s="12">
        <f>BU31*OpsAI</f>
        <v/>
      </c>
      <c r="CK31" s="12">
        <f>MonthlyFixed</f>
        <v/>
      </c>
      <c r="CL31" s="12">
        <f>BE31*ReferralReward</f>
        <v/>
      </c>
      <c r="CM31" s="12">
        <f>BC31</f>
        <v/>
      </c>
      <c r="CN31" s="9">
        <f>CD31-CH31-CI31-CJ31-CK31-CL31-CM31</f>
        <v/>
      </c>
      <c r="CO31" s="9">
        <f>CO30+CA31-(CH31+CI31+CJ31+CK31+CL31+CM31+CF31)</f>
        <v/>
      </c>
      <c r="CP31" s="12">
        <f>IF(BU31&gt;0,BV31/BU31,0)</f>
        <v/>
      </c>
      <c r="CQ31" s="11">
        <f>IF(BU30&gt;0,MAX(0,(BU30+BF31-BU31)/BU30),0)</f>
        <v/>
      </c>
      <c r="CS31" s="12" t="n">
        <v>27</v>
      </c>
      <c r="CT31" s="12">
        <f>MOD(CS31-1+LaunchMonth-1,12)+1</f>
        <v/>
      </c>
      <c r="CU31" s="12">
        <f>INT((CS31-1+LaunchMonth-1)/12)+1</f>
        <v/>
      </c>
      <c r="CV31" s="12">
        <f>VLOOKUP(CT31,SeasonTable,2,FALSE)</f>
        <v/>
      </c>
      <c r="CW31" s="12">
        <f>(1+InflationRate)^INT((CS31-1)/12)</f>
        <v/>
      </c>
      <c r="CX31" s="11">
        <f>'Sens - Scenarios'!$D$5*VLOOKUP(CT31,ChurnSeasonTable,4,FALSE)</f>
        <v/>
      </c>
      <c r="CY31" s="12">
        <f>MIN(MAX(MktMin19plus,DW30*MktPct19plus),MAX(0,EK30-CashBuffer))</f>
        <v/>
      </c>
      <c r="CZ31" s="12">
        <f>IF(CY31&gt;0,MAX(1,ROUND(CY31/'Sens - Scenarios'!$D$8*CV31,0)),0)</f>
        <v/>
      </c>
      <c r="DA31" s="12">
        <f>IF(CZ31&gt;0,ROUND(CZ31*ReferralMix/(1-ReferralMix),0),0)</f>
        <v/>
      </c>
      <c r="DB31" s="12">
        <f>CZ31+DA31</f>
        <v/>
      </c>
      <c r="DC31" s="12">
        <f>ROUND(DB31*(1-'Sens - Scenarios'!$D$7),0)</f>
        <v/>
      </c>
      <c r="DD31" s="12">
        <f>DB31-DC31</f>
        <v/>
      </c>
      <c r="DE31" s="12">
        <f>ROUND(DC31*EssentialMix,0)</f>
        <v/>
      </c>
      <c r="DF31" s="12">
        <f>ROUND(DC31*PremiumMix,0)</f>
        <v/>
      </c>
      <c r="DG31" s="12">
        <f>DC31-DE31-DF31</f>
        <v/>
      </c>
      <c r="DH31" s="12">
        <f>ROUND(DD31*EssentialMix,0)</f>
        <v/>
      </c>
      <c r="DI31" s="12">
        <f>ROUND(DD31*PremiumMix,0)</f>
        <v/>
      </c>
      <c r="DJ31" s="12">
        <f>DD31-DH31-DI31</f>
        <v/>
      </c>
      <c r="DK31" s="12">
        <f>DE31+DE30+DE29+MAX(0,DK30-DE30-DE29)*(1-CX31)</f>
        <v/>
      </c>
      <c r="DL31" s="12">
        <f>DF31+DF30+DF29+MAX(0,DL30-DF30-DF29)*(1-CX31)</f>
        <v/>
      </c>
      <c r="DM31" s="12">
        <f>DG31+DG30+DG29+MAX(0,DM30-DG30-DG29)*(1-CX31)</f>
        <v/>
      </c>
      <c r="DN31" s="12">
        <f>DN30+DH31-DH19*('Sens - Scenarios'!$D$6*VLOOKUP(CT31,ChurnSeasonTable,4,FALSE))*POWER(1-('Sens - Scenarios'!$D$6*VLOOKUP(CT31,ChurnSeasonTable,4,FALSE)),0)+DH7*('Sens - Scenarios'!$D$6*VLOOKUP(CT31,ChurnSeasonTable,4,FALSE))*POWER(1-('Sens - Scenarios'!$D$6*VLOOKUP(CT31,ChurnSeasonTable,4,FALSE)),1)</f>
        <v/>
      </c>
      <c r="DO31" s="12">
        <f>DO30+DI31-DI19*('Sens - Scenarios'!$D$6*VLOOKUP(CT31,ChurnSeasonTable,4,FALSE))*POWER(1-('Sens - Scenarios'!$D$6*VLOOKUP(CT31,ChurnSeasonTable,4,FALSE)),0)+DI7*('Sens - Scenarios'!$D$6*VLOOKUP(CT31,ChurnSeasonTable,4,FALSE))*POWER(1-('Sens - Scenarios'!$D$6*VLOOKUP(CT31,ChurnSeasonTable,4,FALSE)),1)</f>
        <v/>
      </c>
      <c r="DP31" s="12">
        <f>DP30+DJ31-DJ19*('Sens - Scenarios'!$D$6*VLOOKUP(CT31,ChurnSeasonTable,4,FALSE))*POWER(1-('Sens - Scenarios'!$D$6*VLOOKUP(CT31,ChurnSeasonTable,4,FALSE)),0)+DJ7*('Sens - Scenarios'!$D$6*VLOOKUP(CT31,ChurnSeasonTable,4,FALSE))*POWER(1-('Sens - Scenarios'!$D$6*VLOOKUP(CT31,ChurnSeasonTable,4,FALSE)),1)</f>
        <v/>
      </c>
      <c r="DQ31" s="12">
        <f>DK31+DL31+DM31+DN31+DO31+DP31</f>
        <v/>
      </c>
      <c r="DR31" s="9">
        <f>DK31*BlendedPriceEssMonthly*CW31+DL31*BlendedPricePremMonthly*CW31+DM31*BlendedPriceEliteMonthly*CW31+DN31*BlendedPriceEssAnnual*CW31/12+DO31*BlendedPricePremAnnual*CW31/12+DP31*BlendedPriceEliteAnnual*CW31/12</f>
        <v/>
      </c>
      <c r="DS31" s="9">
        <f>DR31*12</f>
        <v/>
      </c>
      <c r="DT31" s="12">
        <f>DK31*BlendedPriceEssMonthly*CW31+DL31*BlendedPricePremMonthly*CW31+DM31*BlendedPriceEliteMonthly*CW31</f>
        <v/>
      </c>
      <c r="DU31" s="12">
        <f>DH31*BlendedPriceEssAnnual*CW31+DI31*BlendedPricePremAnnual*CW31+DJ31*BlendedPriceEliteAnnual*CW31</f>
        <v/>
      </c>
      <c r="DV31" s="12">
        <f>DH19*POWER(1-('Sens - Scenarios'!$D$6*VLOOKUP(CT31,ChurnSeasonTable,4,FALSE)),1)*BlendedPriceEssAnnual*CW31+DH7*POWER(1-('Sens - Scenarios'!$D$6*VLOOKUP(CT31,ChurnSeasonTable,4,FALSE)),2)*BlendedPriceEssAnnual*CW31+DI19*POWER(1-('Sens - Scenarios'!$D$6*VLOOKUP(CT31,ChurnSeasonTable,4,FALSE)),1)*BlendedPricePremAnnual*CW31+DI7*POWER(1-('Sens - Scenarios'!$D$6*VLOOKUP(CT31,ChurnSeasonTable,4,FALSE)),2)*BlendedPricePremAnnual*CW31+DJ19*POWER(1-('Sens - Scenarios'!$D$6*VLOOKUP(CT31,ChurnSeasonTable,4,FALSE)),1)*BlendedPriceEliteAnnual*CW31+DJ7*POWER(1-('Sens - Scenarios'!$D$6*VLOOKUP(CT31,ChurnSeasonTable,4,FALSE)),2)*BlendedPriceEliteAnnual*CW31</f>
        <v/>
      </c>
      <c r="DW31" s="9">
        <f>DT31+DU31+DV31</f>
        <v/>
      </c>
      <c r="DX31" s="12">
        <f>SUM(DW20:DW31)</f>
        <v/>
      </c>
      <c r="DY31" s="12">
        <f>OR(DY30,IF(VATAgentMode,SUM($DW20:$DW31)-SUM($ED20:$ED31)&gt;=VATThreshold,SUM($DW20:$DW31)&gt;=VATThreshold))</f>
        <v/>
      </c>
      <c r="DZ31" s="9">
        <f>IF(DY31,IF(VATAgentMode,DW31-((DW31-ED31)-(DW31-ED31)/(1+VATRate)),DW31/(1+VATRate)),DW31)</f>
        <v/>
      </c>
      <c r="EA31" s="12">
        <f>DW31-DZ31</f>
        <v/>
      </c>
      <c r="EB31" s="12">
        <f>IF(DY31=0,0,IF(CT31=1,SUMPRODUCT(--(($CU$5:$CU31=$CU31-1)*($CT$5:$CT31&gt;=10)*($CT$5:$CT31&lt;=12)),$EA$5:$EA31),IF(CT31=4,SUMPRODUCT(--(($CU$5:$CU31=$CU31)*($CT$5:$CT31&gt;=1)*($CT$5:$CT31&lt;=3)),$EA$5:$EA31),IF(CT31=7,SUMPRODUCT(--(($CU$5:$CU31=$CU31)*($CT$5:$CT31&gt;=4)*($CT$5:$CT31&lt;=6)),$EA$5:$EA31),IF(CT31=10,SUMPRODUCT(--(($CU$5:$CU31=$CU31)*($CT$5:$CT31&gt;=7)*($CT$5:$CT31&lt;=9)),$EA$5:$EA31),0)))))</f>
        <v/>
      </c>
      <c r="EC31" s="12">
        <f>EC30+EA31-EB31</f>
        <v/>
      </c>
      <c r="ED31" s="12">
        <f>IF(ProviderDelay&gt;=1,DK30*BlendedProvPayEss+DL30*BlendedProvPayPrem+DM30*BlendedProvPayElite+DN30*BlendedProvPayEss+DO30*BlendedProvPayPrem+DP30*BlendedProvPayElite,DK31*BlendedProvPayEss+DL31*BlendedProvPayPrem+DM31*BlendedProvPayElite+DN31*BlendedProvPayEss+DO31*BlendedProvPayPrem+DP31*BlendedProvPayElite)</f>
        <v/>
      </c>
      <c r="EE31" s="12">
        <f>DW31*PaymentFee</f>
        <v/>
      </c>
      <c r="EF31" s="12">
        <f>DQ31*OpsAI</f>
        <v/>
      </c>
      <c r="EG31" s="12">
        <f>MonthlyFixed</f>
        <v/>
      </c>
      <c r="EH31" s="12">
        <f>DA31*ReferralReward</f>
        <v/>
      </c>
      <c r="EI31" s="12">
        <f>CY31</f>
        <v/>
      </c>
      <c r="EJ31" s="9">
        <f>DZ31-ED31-EE31-EF31-EG31-EH31-EI31</f>
        <v/>
      </c>
      <c r="EK31" s="9">
        <f>EK30+DW31-(ED31+EE31+EF31+EG31+EH31+EI31+EB31)</f>
        <v/>
      </c>
      <c r="EL31" s="12">
        <f>IF(DQ31&gt;0,DR31/DQ31,0)</f>
        <v/>
      </c>
      <c r="EM31" s="11">
        <f>IF(DQ30&gt;0,MAX(0,(DQ30+DB31-DQ31)/DQ30),0)</f>
        <v/>
      </c>
      <c r="EO31" s="12" t="n">
        <v>27</v>
      </c>
      <c r="EP31" s="12">
        <f>MOD(EO31-1+LaunchMonth-1,12)+1</f>
        <v/>
      </c>
      <c r="EQ31" s="12">
        <f>INT((EO31-1+LaunchMonth-1)/12)+1</f>
        <v/>
      </c>
      <c r="ER31" s="12">
        <f>VLOOKUP(EP31,SeasonTable,2,FALSE)</f>
        <v/>
      </c>
      <c r="ES31" s="12">
        <f>(1+InflationRate)^INT((EO31-1)/12)</f>
        <v/>
      </c>
      <c r="ET31" s="11">
        <f>'Sens - Churn'!$A$13*VLOOKUP(EP31,ChurnSeasonTable,4,FALSE)</f>
        <v/>
      </c>
      <c r="EU31" s="12">
        <f>MIN(MAX(MktMin19plus,FS30*MktPct19plus),MAX(0,GG30-CashBuffer))</f>
        <v/>
      </c>
      <c r="EV31" s="12">
        <f>IF(EU31&gt;0,MAX(1,ROUND(EU31/CAC*ER31,0)),0)</f>
        <v/>
      </c>
      <c r="EW31" s="12">
        <f>IF(EV31&gt;0,ROUND(EV31*ReferralMix/(1-ReferralMix),0),0)</f>
        <v/>
      </c>
      <c r="EX31" s="12">
        <f>EV31+EW31</f>
        <v/>
      </c>
      <c r="EY31" s="12">
        <f>ROUND(EX31*(1-AnnualMix),0)</f>
        <v/>
      </c>
      <c r="EZ31" s="12">
        <f>EX31-EY31</f>
        <v/>
      </c>
      <c r="FA31" s="12">
        <f>ROUND(EY31*EssentialMix,0)</f>
        <v/>
      </c>
      <c r="FB31" s="12">
        <f>ROUND(EY31*PremiumMix,0)</f>
        <v/>
      </c>
      <c r="FC31" s="12">
        <f>EY31-FA31-FB31</f>
        <v/>
      </c>
      <c r="FD31" s="12">
        <f>ROUND(EZ31*EssentialMix,0)</f>
        <v/>
      </c>
      <c r="FE31" s="12">
        <f>ROUND(EZ31*PremiumMix,0)</f>
        <v/>
      </c>
      <c r="FF31" s="12">
        <f>EZ31-FD31-FE31</f>
        <v/>
      </c>
      <c r="FG31" s="12">
        <f>FA31+FA30+FA29+MAX(0,FG30-FA30-FA29)*(1-ET31)</f>
        <v/>
      </c>
      <c r="FH31" s="12">
        <f>FB31+FB30+FB29+MAX(0,FH30-FB30-FB29)*(1-ET31)</f>
        <v/>
      </c>
      <c r="FI31" s="12">
        <f>FC31+FC30+FC29+MAX(0,FI30-FC30-FC29)*(1-ET31)</f>
        <v/>
      </c>
      <c r="FJ31" s="12">
        <f>FJ30+FD31-FD19*(AnnualChurn*VLOOKUP(EP31,ChurnSeasonTable,4,FALSE))*POWER(1-(AnnualChurn*VLOOKUP(EP31,ChurnSeasonTable,4,FALSE)),0)+FD7*(AnnualChurn*VLOOKUP(EP31,ChurnSeasonTable,4,FALSE))*POWER(1-(AnnualChurn*VLOOKUP(EP31,ChurnSeasonTable,4,FALSE)),1)</f>
        <v/>
      </c>
      <c r="FK31" s="12">
        <f>FK30+FE31-FE19*(AnnualChurn*VLOOKUP(EP31,ChurnSeasonTable,4,FALSE))*POWER(1-(AnnualChurn*VLOOKUP(EP31,ChurnSeasonTable,4,FALSE)),0)+FE7*(AnnualChurn*VLOOKUP(EP31,ChurnSeasonTable,4,FALSE))*POWER(1-(AnnualChurn*VLOOKUP(EP31,ChurnSeasonTable,4,FALSE)),1)</f>
        <v/>
      </c>
      <c r="FL31" s="12">
        <f>FL30+FF31-FF19*(AnnualChurn*VLOOKUP(EP31,ChurnSeasonTable,4,FALSE))*POWER(1-(AnnualChurn*VLOOKUP(EP31,ChurnSeasonTable,4,FALSE)),0)+FF7*(AnnualChurn*VLOOKUP(EP31,ChurnSeasonTable,4,FALSE))*POWER(1-(AnnualChurn*VLOOKUP(EP31,ChurnSeasonTable,4,FALSE)),1)</f>
        <v/>
      </c>
      <c r="FM31" s="12">
        <f>FG31+FH31+FI31+FJ31+FK31+FL31</f>
        <v/>
      </c>
      <c r="FN31" s="9">
        <f>FG31*BlendedPriceEssMonthly*ES31+FH31*BlendedPricePremMonthly*ES31+FI31*BlendedPriceEliteMonthly*ES31+FJ31*BlendedPriceEssAnnual*ES31/12+FK31*BlendedPricePremAnnual*ES31/12+FL31*BlendedPriceEliteAnnual*ES31/12</f>
        <v/>
      </c>
      <c r="FO31" s="9">
        <f>FN31*12</f>
        <v/>
      </c>
      <c r="FP31" s="12">
        <f>FG31*BlendedPriceEssMonthly*ES31+FH31*BlendedPricePremMonthly*ES31+FI31*BlendedPriceEliteMonthly*ES31</f>
        <v/>
      </c>
      <c r="FQ31" s="12">
        <f>FD31*BlendedPriceEssAnnual*ES31+FE31*BlendedPricePremAnnual*ES31+FF31*BlendedPriceEliteAnnual*ES31</f>
        <v/>
      </c>
      <c r="FR31" s="12">
        <f>FD19*POWER(1-(AnnualChurn*VLOOKUP(EP31,ChurnSeasonTable,4,FALSE)),1)*BlendedPriceEssAnnual*ES31+FD7*POWER(1-(AnnualChurn*VLOOKUP(EP31,ChurnSeasonTable,4,FALSE)),2)*BlendedPriceEssAnnual*ES31+FE19*POWER(1-(AnnualChurn*VLOOKUP(EP31,ChurnSeasonTable,4,FALSE)),1)*BlendedPricePremAnnual*ES31+FE7*POWER(1-(AnnualChurn*VLOOKUP(EP31,ChurnSeasonTable,4,FALSE)),2)*BlendedPricePremAnnual*ES31+FF19*POWER(1-(AnnualChurn*VLOOKUP(EP31,ChurnSeasonTable,4,FALSE)),1)*BlendedPriceEliteAnnual*ES31+FF7*POWER(1-(AnnualChurn*VLOOKUP(EP31,ChurnSeasonTable,4,FALSE)),2)*BlendedPriceEliteAnnual*ES31</f>
        <v/>
      </c>
      <c r="FS31" s="9">
        <f>FP31+FQ31+FR31</f>
        <v/>
      </c>
      <c r="FT31" s="12">
        <f>SUM(FS20:FS31)</f>
        <v/>
      </c>
      <c r="FU31" s="12">
        <f>OR(FU30,IF(VATAgentMode,SUM($FS20:$FS31)-SUM($FZ20:$FZ31)&gt;=VATThreshold,SUM($FS20:$FS31)&gt;=VATThreshold))</f>
        <v/>
      </c>
      <c r="FV31" s="9">
        <f>IF(FU31,IF(VATAgentMode,FS31-((FS31-FZ31)-(FS31-FZ31)/(1+VATRate)),FS31/(1+VATRate)),FS31)</f>
        <v/>
      </c>
      <c r="FW31" s="12">
        <f>FS31-FV31</f>
        <v/>
      </c>
      <c r="FX31" s="12">
        <f>IF(FU31=0,0,IF(EP31=1,SUMPRODUCT(--(($EQ$5:$EQ31=$EQ31-1)*($EP$5:$EP31&gt;=10)*($EP$5:$EP31&lt;=12)),$FW$5:$FW31),IF(EP31=4,SUMPRODUCT(--(($EQ$5:$EQ31=$EQ31)*($EP$5:$EP31&gt;=1)*($EP$5:$EP31&lt;=3)),$FW$5:$FW31),IF(EP31=7,SUMPRODUCT(--(($EQ$5:$EQ31=$EQ31)*($EP$5:$EP31&gt;=4)*($EP$5:$EP31&lt;=6)),$FW$5:$FW31),IF(EP31=10,SUMPRODUCT(--(($EQ$5:$EQ31=$EQ31)*($EP$5:$EP31&gt;=7)*($EP$5:$EP31&lt;=9)),$FW$5:$FW31),0)))))</f>
        <v/>
      </c>
      <c r="FY31" s="12">
        <f>FY30+FW31-FX31</f>
        <v/>
      </c>
      <c r="FZ31" s="12">
        <f>IF(ProviderDelay&gt;=1,FG30*BlendedProvPayEss+FH30*BlendedProvPayPrem+FI30*BlendedProvPayElite+FJ30*BlendedProvPayEss+FK30*BlendedProvPayPrem+FL30*BlendedProvPayElite,FG31*BlendedProvPayEss+FH31*BlendedProvPayPrem+FI31*BlendedProvPayElite+FJ31*BlendedProvPayEss+FK31*BlendedProvPayPrem+FL31*BlendedProvPayElite)</f>
        <v/>
      </c>
      <c r="GA31" s="12">
        <f>FS31*PaymentFee</f>
        <v/>
      </c>
      <c r="GB31" s="12">
        <f>FM31*OpsAI</f>
        <v/>
      </c>
      <c r="GC31" s="12">
        <f>MonthlyFixed</f>
        <v/>
      </c>
      <c r="GD31" s="12">
        <f>EW31*ReferralReward</f>
        <v/>
      </c>
      <c r="GE31" s="12">
        <f>EU31</f>
        <v/>
      </c>
      <c r="GF31" s="9">
        <f>FV31-FZ31-GA31-GB31-GC31-GD31-GE31</f>
        <v/>
      </c>
      <c r="GG31" s="9">
        <f>GG30+FS31-(FZ31+GA31+GB31+GC31+GD31+GE31+FX31)</f>
        <v/>
      </c>
      <c r="GH31" s="12">
        <f>IF(FM31&gt;0,FN31/FM31,0)</f>
        <v/>
      </c>
      <c r="GI31" s="11">
        <f>IF(FM30&gt;0,MAX(0,(FM30+EX31-FM31)/FM30),0)</f>
        <v/>
      </c>
      <c r="GK31" s="12" t="n">
        <v>27</v>
      </c>
      <c r="GL31" s="12">
        <f>MOD(GK31-1+LaunchMonth-1,12)+1</f>
        <v/>
      </c>
      <c r="GM31" s="12">
        <f>INT((GK31-1+LaunchMonth-1)/12)+1</f>
        <v/>
      </c>
      <c r="GN31" s="12">
        <f>VLOOKUP(GL31,SeasonTable,2,FALSE)</f>
        <v/>
      </c>
      <c r="GO31" s="12">
        <f>(1+InflationRate)^INT((GK31-1)/12)</f>
        <v/>
      </c>
      <c r="GP31" s="11">
        <f>'Sens - Churn'!$A$14*VLOOKUP(GL31,ChurnSeasonTable,4,FALSE)</f>
        <v/>
      </c>
      <c r="GQ31" s="12">
        <f>MIN(MAX(MktMin19plus,HO30*MktPct19plus),MAX(0,IC30-CashBuffer))</f>
        <v/>
      </c>
      <c r="GR31" s="12">
        <f>IF(GQ31&gt;0,MAX(1,ROUND(GQ31/CAC*GN31,0)),0)</f>
        <v/>
      </c>
      <c r="GS31" s="12">
        <f>IF(GR31&gt;0,ROUND(GR31*ReferralMix/(1-ReferralMix),0),0)</f>
        <v/>
      </c>
      <c r="GT31" s="12">
        <f>GR31+GS31</f>
        <v/>
      </c>
      <c r="GU31" s="12">
        <f>ROUND(GT31*(1-AnnualMix),0)</f>
        <v/>
      </c>
      <c r="GV31" s="12">
        <f>GT31-GU31</f>
        <v/>
      </c>
      <c r="GW31" s="12">
        <f>ROUND(GU31*EssentialMix,0)</f>
        <v/>
      </c>
      <c r="GX31" s="12">
        <f>ROUND(GU31*PremiumMix,0)</f>
        <v/>
      </c>
      <c r="GY31" s="12">
        <f>GU31-GW31-GX31</f>
        <v/>
      </c>
      <c r="GZ31" s="12">
        <f>ROUND(GV31*EssentialMix,0)</f>
        <v/>
      </c>
      <c r="HA31" s="12">
        <f>ROUND(GV31*PremiumMix,0)</f>
        <v/>
      </c>
      <c r="HB31" s="12">
        <f>GV31-GZ31-HA31</f>
        <v/>
      </c>
      <c r="HC31" s="12">
        <f>GW31+GW30+GW29+MAX(0,HC30-GW30-GW29)*(1-GP31)</f>
        <v/>
      </c>
      <c r="HD31" s="12">
        <f>GX31+GX30+GX29+MAX(0,HD30-GX30-GX29)*(1-GP31)</f>
        <v/>
      </c>
      <c r="HE31" s="12">
        <f>GY31+GY30+GY29+MAX(0,HE30-GY30-GY29)*(1-GP31)</f>
        <v/>
      </c>
      <c r="HF31" s="12">
        <f>HF30+GZ31-GZ19*(AnnualChurn*VLOOKUP(GL31,ChurnSeasonTable,4,FALSE))*POWER(1-(AnnualChurn*VLOOKUP(GL31,ChurnSeasonTable,4,FALSE)),0)+GZ7*(AnnualChurn*VLOOKUP(GL31,ChurnSeasonTable,4,FALSE))*POWER(1-(AnnualChurn*VLOOKUP(GL31,ChurnSeasonTable,4,FALSE)),1)</f>
        <v/>
      </c>
      <c r="HG31" s="12">
        <f>HG30+HA31-HA19*(AnnualChurn*VLOOKUP(GL31,ChurnSeasonTable,4,FALSE))*POWER(1-(AnnualChurn*VLOOKUP(GL31,ChurnSeasonTable,4,FALSE)),0)+HA7*(AnnualChurn*VLOOKUP(GL31,ChurnSeasonTable,4,FALSE))*POWER(1-(AnnualChurn*VLOOKUP(GL31,ChurnSeasonTable,4,FALSE)),1)</f>
        <v/>
      </c>
      <c r="HH31" s="12">
        <f>HH30+HB31-HB19*(AnnualChurn*VLOOKUP(GL31,ChurnSeasonTable,4,FALSE))*POWER(1-(AnnualChurn*VLOOKUP(GL31,ChurnSeasonTable,4,FALSE)),0)+HB7*(AnnualChurn*VLOOKUP(GL31,ChurnSeasonTable,4,FALSE))*POWER(1-(AnnualChurn*VLOOKUP(GL31,ChurnSeasonTable,4,FALSE)),1)</f>
        <v/>
      </c>
      <c r="HI31" s="12">
        <f>HC31+HD31+HE31+HF31+HG31+HH31</f>
        <v/>
      </c>
      <c r="HJ31" s="9">
        <f>HC31*BlendedPriceEssMonthly*GO31+HD31*BlendedPricePremMonthly*GO31+HE31*BlendedPriceEliteMonthly*GO31+HF31*BlendedPriceEssAnnual*GO31/12+HG31*BlendedPricePremAnnual*GO31/12+HH31*BlendedPriceEliteAnnual*GO31/12</f>
        <v/>
      </c>
      <c r="HK31" s="9">
        <f>HJ31*12</f>
        <v/>
      </c>
      <c r="HL31" s="12">
        <f>HC31*BlendedPriceEssMonthly*GO31+HD31*BlendedPricePremMonthly*GO31+HE31*BlendedPriceEliteMonthly*GO31</f>
        <v/>
      </c>
      <c r="HM31" s="12">
        <f>GZ31*BlendedPriceEssAnnual*GO31+HA31*BlendedPricePremAnnual*GO31+HB31*BlendedPriceEliteAnnual*GO31</f>
        <v/>
      </c>
      <c r="HN31" s="12">
        <f>GZ19*POWER(1-(AnnualChurn*VLOOKUP(GL31,ChurnSeasonTable,4,FALSE)),1)*BlendedPriceEssAnnual*GO31+GZ7*POWER(1-(AnnualChurn*VLOOKUP(GL31,ChurnSeasonTable,4,FALSE)),2)*BlendedPriceEssAnnual*GO31+HA19*POWER(1-(AnnualChurn*VLOOKUP(GL31,ChurnSeasonTable,4,FALSE)),1)*BlendedPricePremAnnual*GO31+HA7*POWER(1-(AnnualChurn*VLOOKUP(GL31,ChurnSeasonTable,4,FALSE)),2)*BlendedPricePremAnnual*GO31+HB19*POWER(1-(AnnualChurn*VLOOKUP(GL31,ChurnSeasonTable,4,FALSE)),1)*BlendedPriceEliteAnnual*GO31+HB7*POWER(1-(AnnualChurn*VLOOKUP(GL31,ChurnSeasonTable,4,FALSE)),2)*BlendedPriceEliteAnnual*GO31</f>
        <v/>
      </c>
      <c r="HO31" s="9">
        <f>HL31+HM31+HN31</f>
        <v/>
      </c>
      <c r="HP31" s="12">
        <f>SUM(HO20:HO31)</f>
        <v/>
      </c>
      <c r="HQ31" s="12">
        <f>OR(HQ30,IF(VATAgentMode,SUM($HO20:$HO31)-SUM($HV20:$HV31)&gt;=VATThreshold,SUM($HO20:$HO31)&gt;=VATThreshold))</f>
        <v/>
      </c>
      <c r="HR31" s="9">
        <f>IF(HQ31,IF(VATAgentMode,HO31-((HO31-HV31)-(HO31-HV31)/(1+VATRate)),HO31/(1+VATRate)),HO31)</f>
        <v/>
      </c>
      <c r="HS31" s="12">
        <f>HO31-HR31</f>
        <v/>
      </c>
      <c r="HT31" s="12">
        <f>IF(HQ31=0,0,IF(GL31=1,SUMPRODUCT(--(($GM$5:$GM31=$GM31-1)*($GL$5:$GL31&gt;=10)*($GL$5:$GL31&lt;=12)),$HS$5:$HS31),IF(GL31=4,SUMPRODUCT(--(($GM$5:$GM31=$GM31)*($GL$5:$GL31&gt;=1)*($GL$5:$GL31&lt;=3)),$HS$5:$HS31),IF(GL31=7,SUMPRODUCT(--(($GM$5:$GM31=$GM31)*($GL$5:$GL31&gt;=4)*($GL$5:$GL31&lt;=6)),$HS$5:$HS31),IF(GL31=10,SUMPRODUCT(--(($GM$5:$GM31=$GM31)*($GL$5:$GL31&gt;=7)*($GL$5:$GL31&lt;=9)),$HS$5:$HS31),0)))))</f>
        <v/>
      </c>
      <c r="HU31" s="12">
        <f>HU30+HS31-HT31</f>
        <v/>
      </c>
      <c r="HV31" s="12">
        <f>IF(ProviderDelay&gt;=1,HC30*BlendedProvPayEss+HD30*BlendedProvPayPrem+HE30*BlendedProvPayElite+HF30*BlendedProvPayEss+HG30*BlendedProvPayPrem+HH30*BlendedProvPayElite,HC31*BlendedProvPayEss+HD31*BlendedProvPayPrem+HE31*BlendedProvPayElite+HF31*BlendedProvPayEss+HG31*BlendedProvPayPrem+HH31*BlendedProvPayElite)</f>
        <v/>
      </c>
      <c r="HW31" s="12">
        <f>HO31*PaymentFee</f>
        <v/>
      </c>
      <c r="HX31" s="12">
        <f>HI31*OpsAI</f>
        <v/>
      </c>
      <c r="HY31" s="12">
        <f>MonthlyFixed</f>
        <v/>
      </c>
      <c r="HZ31" s="12">
        <f>GS31*ReferralReward</f>
        <v/>
      </c>
      <c r="IA31" s="12">
        <f>GQ31</f>
        <v/>
      </c>
      <c r="IB31" s="9">
        <f>HR31-HV31-HW31-HX31-HY31-HZ31-IA31</f>
        <v/>
      </c>
      <c r="IC31" s="9">
        <f>IC30+HO31-(HV31+HW31+HX31+HY31+HZ31+IA31+HT31)</f>
        <v/>
      </c>
      <c r="ID31" s="12">
        <f>IF(HI31&gt;0,HJ31/HI31,0)</f>
        <v/>
      </c>
      <c r="IE31" s="11">
        <f>IF(HI30&gt;0,MAX(0,(HI30+GT31-HI31)/HI30),0)</f>
        <v/>
      </c>
      <c r="IG31" s="12" t="n">
        <v>27</v>
      </c>
      <c r="IH31" s="12">
        <f>MOD(IG31-1+LaunchMonth-1,12)+1</f>
        <v/>
      </c>
      <c r="II31" s="12">
        <f>INT((IG31-1+LaunchMonth-1)/12)+1</f>
        <v/>
      </c>
      <c r="IJ31" s="12">
        <f>VLOOKUP(IH31,SeasonTable,2,FALSE)</f>
        <v/>
      </c>
      <c r="IK31" s="12">
        <f>(1+InflationRate)^INT((IG31-1)/12)</f>
        <v/>
      </c>
      <c r="IL31" s="11">
        <f>'Sens - Churn'!$A$15*VLOOKUP(IH31,ChurnSeasonTable,4,FALSE)</f>
        <v/>
      </c>
      <c r="IM31" s="12">
        <f>MIN(MAX(MktMin19plus,JK30*MktPct19plus),MAX(0,JY30-CashBuffer))</f>
        <v/>
      </c>
      <c r="IN31" s="12">
        <f>IF(IM31&gt;0,MAX(1,ROUND(IM31/CAC*IJ31,0)),0)</f>
        <v/>
      </c>
      <c r="IO31" s="12">
        <f>IF(IN31&gt;0,ROUND(IN31*ReferralMix/(1-ReferralMix),0),0)</f>
        <v/>
      </c>
      <c r="IP31" s="12">
        <f>IN31+IO31</f>
        <v/>
      </c>
      <c r="IQ31" s="12">
        <f>ROUND(IP31*(1-AnnualMix),0)</f>
        <v/>
      </c>
      <c r="IR31" s="12">
        <f>IP31-IQ31</f>
        <v/>
      </c>
      <c r="IS31" s="12">
        <f>ROUND(IQ31*EssentialMix,0)</f>
        <v/>
      </c>
      <c r="IT31" s="12">
        <f>ROUND(IQ31*PremiumMix,0)</f>
        <v/>
      </c>
      <c r="IU31" s="12">
        <f>IQ31-IS31-IT31</f>
        <v/>
      </c>
      <c r="IV31" s="12">
        <f>ROUND(IR31*EssentialMix,0)</f>
        <v/>
      </c>
      <c r="IW31" s="12">
        <f>ROUND(IR31*PremiumMix,0)</f>
        <v/>
      </c>
      <c r="IX31" s="12">
        <f>IR31-IV31-IW31</f>
        <v/>
      </c>
      <c r="IY31" s="12">
        <f>IS31+IS30+IS29+MAX(0,IY30-IS30-IS29)*(1-IL31)</f>
        <v/>
      </c>
      <c r="IZ31" s="12">
        <f>IT31+IT30+IT29+MAX(0,IZ30-IT30-IT29)*(1-IL31)</f>
        <v/>
      </c>
      <c r="JA31" s="12">
        <f>IU31+IU30+IU29+MAX(0,JA30-IU30-IU29)*(1-IL31)</f>
        <v/>
      </c>
      <c r="JB31" s="12">
        <f>JB30+IV31-IV19*(AnnualChurn*VLOOKUP(IH31,ChurnSeasonTable,4,FALSE))*POWER(1-(AnnualChurn*VLOOKUP(IH31,ChurnSeasonTable,4,FALSE)),0)+IV7*(AnnualChurn*VLOOKUP(IH31,ChurnSeasonTable,4,FALSE))*POWER(1-(AnnualChurn*VLOOKUP(IH31,ChurnSeasonTable,4,FALSE)),1)</f>
        <v/>
      </c>
      <c r="JC31" s="12">
        <f>JC30+IW31-IW19*(AnnualChurn*VLOOKUP(IH31,ChurnSeasonTable,4,FALSE))*POWER(1-(AnnualChurn*VLOOKUP(IH31,ChurnSeasonTable,4,FALSE)),0)+IW7*(AnnualChurn*VLOOKUP(IH31,ChurnSeasonTable,4,FALSE))*POWER(1-(AnnualChurn*VLOOKUP(IH31,ChurnSeasonTable,4,FALSE)),1)</f>
        <v/>
      </c>
      <c r="JD31" s="12">
        <f>JD30+IX31-IX19*(AnnualChurn*VLOOKUP(IH31,ChurnSeasonTable,4,FALSE))*POWER(1-(AnnualChurn*VLOOKUP(IH31,ChurnSeasonTable,4,FALSE)),0)+IX7*(AnnualChurn*VLOOKUP(IH31,ChurnSeasonTable,4,FALSE))*POWER(1-(AnnualChurn*VLOOKUP(IH31,ChurnSeasonTable,4,FALSE)),1)</f>
        <v/>
      </c>
      <c r="JE31" s="12">
        <f>IY31+IZ31+JA31+JB31+JC31+JD31</f>
        <v/>
      </c>
      <c r="JF31" s="9">
        <f>IY31*BlendedPriceEssMonthly*IK31+IZ31*BlendedPricePremMonthly*IK31+JA31*BlendedPriceEliteMonthly*IK31+JB31*BlendedPriceEssAnnual*IK31/12+JC31*BlendedPricePremAnnual*IK31/12+JD31*BlendedPriceEliteAnnual*IK31/12</f>
        <v/>
      </c>
      <c r="JG31" s="9">
        <f>JF31*12</f>
        <v/>
      </c>
      <c r="JH31" s="12">
        <f>IY31*BlendedPriceEssMonthly*IK31+IZ31*BlendedPricePremMonthly*IK31+JA31*BlendedPriceEliteMonthly*IK31</f>
        <v/>
      </c>
      <c r="JI31" s="12">
        <f>IV31*BlendedPriceEssAnnual*IK31+IW31*BlendedPricePremAnnual*IK31+IX31*BlendedPriceEliteAnnual*IK31</f>
        <v/>
      </c>
      <c r="JJ31" s="12">
        <f>IV19*POWER(1-(AnnualChurn*VLOOKUP(IH31,ChurnSeasonTable,4,FALSE)),1)*BlendedPriceEssAnnual*IK31+IV7*POWER(1-(AnnualChurn*VLOOKUP(IH31,ChurnSeasonTable,4,FALSE)),2)*BlendedPriceEssAnnual*IK31+IW19*POWER(1-(AnnualChurn*VLOOKUP(IH31,ChurnSeasonTable,4,FALSE)),1)*BlendedPricePremAnnual*IK31+IW7*POWER(1-(AnnualChurn*VLOOKUP(IH31,ChurnSeasonTable,4,FALSE)),2)*BlendedPricePremAnnual*IK31+IX19*POWER(1-(AnnualChurn*VLOOKUP(IH31,ChurnSeasonTable,4,FALSE)),1)*BlendedPriceEliteAnnual*IK31+IX7*POWER(1-(AnnualChurn*VLOOKUP(IH31,ChurnSeasonTable,4,FALSE)),2)*BlendedPriceEliteAnnual*IK31</f>
        <v/>
      </c>
      <c r="JK31" s="9">
        <f>JH31+JI31+JJ31</f>
        <v/>
      </c>
      <c r="JL31" s="12">
        <f>SUM(JK20:JK31)</f>
        <v/>
      </c>
      <c r="JM31" s="12">
        <f>OR(JM30,IF(VATAgentMode,SUM($JK20:$JK31)-SUM($JR20:$JR31)&gt;=VATThreshold,SUM($JK20:$JK31)&gt;=VATThreshold))</f>
        <v/>
      </c>
      <c r="JN31" s="9">
        <f>IF(JM31,IF(VATAgentMode,JK31-((JK31-JR31)-(JK31-JR31)/(1+VATRate)),JK31/(1+VATRate)),JK31)</f>
        <v/>
      </c>
      <c r="JO31" s="12">
        <f>JK31-JN31</f>
        <v/>
      </c>
      <c r="JP31" s="12">
        <f>IF(JM31=0,0,IF(IH31=1,SUMPRODUCT(--(($II$5:$II31=$II31-1)*($IH$5:$IH31&gt;=10)*($IH$5:$IH31&lt;=12)),$JO$5:$JO31),IF(IH31=4,SUMPRODUCT(--(($II$5:$II31=$II31)*($IH$5:$IH31&gt;=1)*($IH$5:$IH31&lt;=3)),$JO$5:$JO31),IF(IH31=7,SUMPRODUCT(--(($II$5:$II31=$II31)*($IH$5:$IH31&gt;=4)*($IH$5:$IH31&lt;=6)),$JO$5:$JO31),IF(IH31=10,SUMPRODUCT(--(($II$5:$II31=$II31)*($IH$5:$IH31&gt;=7)*($IH$5:$IH31&lt;=9)),$JO$5:$JO31),0)))))</f>
        <v/>
      </c>
      <c r="JQ31" s="12">
        <f>JQ30+JO31-JP31</f>
        <v/>
      </c>
      <c r="JR31" s="12">
        <f>IF(ProviderDelay&gt;=1,IY30*BlendedProvPayEss+IZ30*BlendedProvPayPrem+JA30*BlendedProvPayElite+JB30*BlendedProvPayEss+JC30*BlendedProvPayPrem+JD30*BlendedProvPayElite,IY31*BlendedProvPayEss+IZ31*BlendedProvPayPrem+JA31*BlendedProvPayElite+JB31*BlendedProvPayEss+JC31*BlendedProvPayPrem+JD31*BlendedProvPayElite)</f>
        <v/>
      </c>
      <c r="JS31" s="12">
        <f>JK31*PaymentFee</f>
        <v/>
      </c>
      <c r="JT31" s="12">
        <f>JE31*OpsAI</f>
        <v/>
      </c>
      <c r="JU31" s="12">
        <f>MonthlyFixed</f>
        <v/>
      </c>
      <c r="JV31" s="12">
        <f>IO31*ReferralReward</f>
        <v/>
      </c>
      <c r="JW31" s="12">
        <f>IM31</f>
        <v/>
      </c>
      <c r="JX31" s="9">
        <f>JN31-JR31-JS31-JT31-JU31-JV31-JW31</f>
        <v/>
      </c>
      <c r="JY31" s="9">
        <f>JY30+JK31-(JR31+JS31+JT31+JU31+JV31+JW31+JP31)</f>
        <v/>
      </c>
      <c r="JZ31" s="12">
        <f>IF(JE31&gt;0,JF31/JE31,0)</f>
        <v/>
      </c>
      <c r="KA31" s="11">
        <f>IF(JE30&gt;0,MAX(0,(JE30+IP31-JE31)/JE30),0)</f>
        <v/>
      </c>
      <c r="KC31" s="12" t="n">
        <v>27</v>
      </c>
      <c r="KD31" s="12">
        <f>MOD(KC31-1+LaunchMonth-1,12)+1</f>
        <v/>
      </c>
      <c r="KE31" s="12">
        <f>INT((KC31-1+LaunchMonth-1)/12)+1</f>
        <v/>
      </c>
      <c r="KF31" s="12">
        <f>VLOOKUP(KD31,SeasonTable,2,FALSE)</f>
        <v/>
      </c>
      <c r="KG31" s="12">
        <f>(1+InflationRate)^INT((KC31-1)/12)</f>
        <v/>
      </c>
      <c r="KH31" s="11">
        <f>'Sens - Churn'!$A$16*VLOOKUP(KD31,ChurnSeasonTable,4,FALSE)</f>
        <v/>
      </c>
      <c r="KI31" s="12">
        <f>MIN(MAX(MktMin19plus,LG30*MktPct19plus),MAX(0,LU30-CashBuffer))</f>
        <v/>
      </c>
      <c r="KJ31" s="12">
        <f>IF(KI31&gt;0,MAX(1,ROUND(KI31/CAC*KF31,0)),0)</f>
        <v/>
      </c>
      <c r="KK31" s="12">
        <f>IF(KJ31&gt;0,ROUND(KJ31*ReferralMix/(1-ReferralMix),0),0)</f>
        <v/>
      </c>
      <c r="KL31" s="12">
        <f>KJ31+KK31</f>
        <v/>
      </c>
      <c r="KM31" s="12">
        <f>ROUND(KL31*(1-AnnualMix),0)</f>
        <v/>
      </c>
      <c r="KN31" s="12">
        <f>KL31-KM31</f>
        <v/>
      </c>
      <c r="KO31" s="12">
        <f>ROUND(KM31*EssentialMix,0)</f>
        <v/>
      </c>
      <c r="KP31" s="12">
        <f>ROUND(KM31*PremiumMix,0)</f>
        <v/>
      </c>
      <c r="KQ31" s="12">
        <f>KM31-KO31-KP31</f>
        <v/>
      </c>
      <c r="KR31" s="12">
        <f>ROUND(KN31*EssentialMix,0)</f>
        <v/>
      </c>
      <c r="KS31" s="12">
        <f>ROUND(KN31*PremiumMix,0)</f>
        <v/>
      </c>
      <c r="KT31" s="12">
        <f>KN31-KR31-KS31</f>
        <v/>
      </c>
      <c r="KU31" s="12">
        <f>KO31+KO30+KO29+MAX(0,KU30-KO30-KO29)*(1-KH31)</f>
        <v/>
      </c>
      <c r="KV31" s="12">
        <f>KP31+KP30+KP29+MAX(0,KV30-KP30-KP29)*(1-KH31)</f>
        <v/>
      </c>
      <c r="KW31" s="12">
        <f>KQ31+KQ30+KQ29+MAX(0,KW30-KQ30-KQ29)*(1-KH31)</f>
        <v/>
      </c>
      <c r="KX31" s="12">
        <f>KX30+KR31-KR19*(AnnualChurn*VLOOKUP(KD31,ChurnSeasonTable,4,FALSE))*POWER(1-(AnnualChurn*VLOOKUP(KD31,ChurnSeasonTable,4,FALSE)),0)+KR7*(AnnualChurn*VLOOKUP(KD31,ChurnSeasonTable,4,FALSE))*POWER(1-(AnnualChurn*VLOOKUP(KD31,ChurnSeasonTable,4,FALSE)),1)</f>
        <v/>
      </c>
      <c r="KY31" s="12">
        <f>KY30+KS31-KS19*(AnnualChurn*VLOOKUP(KD31,ChurnSeasonTable,4,FALSE))*POWER(1-(AnnualChurn*VLOOKUP(KD31,ChurnSeasonTable,4,FALSE)),0)+KS7*(AnnualChurn*VLOOKUP(KD31,ChurnSeasonTable,4,FALSE))*POWER(1-(AnnualChurn*VLOOKUP(KD31,ChurnSeasonTable,4,FALSE)),1)</f>
        <v/>
      </c>
      <c r="KZ31" s="12">
        <f>KZ30+KT31-KT19*(AnnualChurn*VLOOKUP(KD31,ChurnSeasonTable,4,FALSE))*POWER(1-(AnnualChurn*VLOOKUP(KD31,ChurnSeasonTable,4,FALSE)),0)+KT7*(AnnualChurn*VLOOKUP(KD31,ChurnSeasonTable,4,FALSE))*POWER(1-(AnnualChurn*VLOOKUP(KD31,ChurnSeasonTable,4,FALSE)),1)</f>
        <v/>
      </c>
      <c r="LA31" s="12">
        <f>KU31+KV31+KW31+KX31+KY31+KZ31</f>
        <v/>
      </c>
      <c r="LB31" s="9">
        <f>KU31*BlendedPriceEssMonthly*KG31+KV31*BlendedPricePremMonthly*KG31+KW31*BlendedPriceEliteMonthly*KG31+KX31*BlendedPriceEssAnnual*KG31/12+KY31*BlendedPricePremAnnual*KG31/12+KZ31*BlendedPriceEliteAnnual*KG31/12</f>
        <v/>
      </c>
      <c r="LC31" s="9">
        <f>LB31*12</f>
        <v/>
      </c>
      <c r="LD31" s="12">
        <f>KU31*BlendedPriceEssMonthly*KG31+KV31*BlendedPricePremMonthly*KG31+KW31*BlendedPriceEliteMonthly*KG31</f>
        <v/>
      </c>
      <c r="LE31" s="12">
        <f>KR31*BlendedPriceEssAnnual*KG31+KS31*BlendedPricePremAnnual*KG31+KT31*BlendedPriceEliteAnnual*KG31</f>
        <v/>
      </c>
      <c r="LF31" s="12">
        <f>KR19*POWER(1-(AnnualChurn*VLOOKUP(KD31,ChurnSeasonTable,4,FALSE)),1)*BlendedPriceEssAnnual*KG31+KR7*POWER(1-(AnnualChurn*VLOOKUP(KD31,ChurnSeasonTable,4,FALSE)),2)*BlendedPriceEssAnnual*KG31+KS19*POWER(1-(AnnualChurn*VLOOKUP(KD31,ChurnSeasonTable,4,FALSE)),1)*BlendedPricePremAnnual*KG31+KS7*POWER(1-(AnnualChurn*VLOOKUP(KD31,ChurnSeasonTable,4,FALSE)),2)*BlendedPricePremAnnual*KG31+KT19*POWER(1-(AnnualChurn*VLOOKUP(KD31,ChurnSeasonTable,4,FALSE)),1)*BlendedPriceEliteAnnual*KG31+KT7*POWER(1-(AnnualChurn*VLOOKUP(KD31,ChurnSeasonTable,4,FALSE)),2)*BlendedPriceEliteAnnual*KG31</f>
        <v/>
      </c>
      <c r="LG31" s="9">
        <f>LD31+LE31+LF31</f>
        <v/>
      </c>
      <c r="LH31" s="12">
        <f>SUM(LG20:LG31)</f>
        <v/>
      </c>
      <c r="LI31" s="12">
        <f>OR(LI30,IF(VATAgentMode,SUM($LG20:$LG31)-SUM($LN20:$LN31)&gt;=VATThreshold,SUM($LG20:$LG31)&gt;=VATThreshold))</f>
        <v/>
      </c>
      <c r="LJ31" s="9">
        <f>IF(LI31,IF(VATAgentMode,LG31-((LG31-LN31)-(LG31-LN31)/(1+VATRate)),LG31/(1+VATRate)),LG31)</f>
        <v/>
      </c>
      <c r="LK31" s="12">
        <f>LG31-LJ31</f>
        <v/>
      </c>
      <c r="LL31" s="12">
        <f>IF(LI31=0,0,IF(KD31=1,SUMPRODUCT(--(($KE$5:$KE31=$KE31-1)*($KD$5:$KD31&gt;=10)*($KD$5:$KD31&lt;=12)),$LK$5:$LK31),IF(KD31=4,SUMPRODUCT(--(($KE$5:$KE31=$KE31)*($KD$5:$KD31&gt;=1)*($KD$5:$KD31&lt;=3)),$LK$5:$LK31),IF(KD31=7,SUMPRODUCT(--(($KE$5:$KE31=$KE31)*($KD$5:$KD31&gt;=4)*($KD$5:$KD31&lt;=6)),$LK$5:$LK31),IF(KD31=10,SUMPRODUCT(--(($KE$5:$KE31=$KE31)*($KD$5:$KD31&gt;=7)*($KD$5:$KD31&lt;=9)),$LK$5:$LK31),0)))))</f>
        <v/>
      </c>
      <c r="LM31" s="12">
        <f>LM30+LK31-LL31</f>
        <v/>
      </c>
      <c r="LN31" s="12">
        <f>IF(ProviderDelay&gt;=1,KU30*BlendedProvPayEss+KV30*BlendedProvPayPrem+KW30*BlendedProvPayElite+KX30*BlendedProvPayEss+KY30*BlendedProvPayPrem+KZ30*BlendedProvPayElite,KU31*BlendedProvPayEss+KV31*BlendedProvPayPrem+KW31*BlendedProvPayElite+KX31*BlendedProvPayEss+KY31*BlendedProvPayPrem+KZ31*BlendedProvPayElite)</f>
        <v/>
      </c>
      <c r="LO31" s="12">
        <f>LG31*PaymentFee</f>
        <v/>
      </c>
      <c r="LP31" s="12">
        <f>LA31*OpsAI</f>
        <v/>
      </c>
      <c r="LQ31" s="12">
        <f>MonthlyFixed</f>
        <v/>
      </c>
      <c r="LR31" s="12">
        <f>KK31*ReferralReward</f>
        <v/>
      </c>
      <c r="LS31" s="12">
        <f>KI31</f>
        <v/>
      </c>
      <c r="LT31" s="9">
        <f>LJ31-LN31-LO31-LP31-LQ31-LR31-LS31</f>
        <v/>
      </c>
      <c r="LU31" s="9">
        <f>LU30+LG31-(LN31+LO31+LP31+LQ31+LR31+LS31+LL31)</f>
        <v/>
      </c>
      <c r="LV31" s="12">
        <f>IF(LA31&gt;0,LB31/LA31,0)</f>
        <v/>
      </c>
      <c r="LW31" s="11">
        <f>IF(LA30&gt;0,MAX(0,(LA30+KL31-LA31)/LA30),0)</f>
        <v/>
      </c>
      <c r="LY31" s="12" t="n">
        <v>27</v>
      </c>
      <c r="LZ31" s="12">
        <f>MOD(LY31-1+LaunchMonth-1,12)+1</f>
        <v/>
      </c>
      <c r="MA31" s="12">
        <f>INT((LY31-1+LaunchMonth-1)/12)+1</f>
        <v/>
      </c>
      <c r="MB31" s="12">
        <f>VLOOKUP(LZ31,SeasonTable,2,FALSE)</f>
        <v/>
      </c>
      <c r="MC31" s="12">
        <f>(1+InflationRate)^INT((LY31-1)/12)</f>
        <v/>
      </c>
      <c r="MD31" s="11">
        <f>'Sens - Churn'!$A$17*VLOOKUP(LZ31,ChurnSeasonTable,4,FALSE)</f>
        <v/>
      </c>
      <c r="ME31" s="12">
        <f>MIN(MAX(MktMin19plus,NC30*MktPct19plus),MAX(0,NQ30-CashBuffer))</f>
        <v/>
      </c>
      <c r="MF31" s="12">
        <f>IF(ME31&gt;0,MAX(1,ROUND(ME31/CAC*MB31,0)),0)</f>
        <v/>
      </c>
      <c r="MG31" s="12">
        <f>IF(MF31&gt;0,ROUND(MF31*ReferralMix/(1-ReferralMix),0),0)</f>
        <v/>
      </c>
      <c r="MH31" s="12">
        <f>MF31+MG31</f>
        <v/>
      </c>
      <c r="MI31" s="12">
        <f>ROUND(MH31*(1-AnnualMix),0)</f>
        <v/>
      </c>
      <c r="MJ31" s="12">
        <f>MH31-MI31</f>
        <v/>
      </c>
      <c r="MK31" s="12">
        <f>ROUND(MI31*EssentialMix,0)</f>
        <v/>
      </c>
      <c r="ML31" s="12">
        <f>ROUND(MI31*PremiumMix,0)</f>
        <v/>
      </c>
      <c r="MM31" s="12">
        <f>MI31-MK31-ML31</f>
        <v/>
      </c>
      <c r="MN31" s="12">
        <f>ROUND(MJ31*EssentialMix,0)</f>
        <v/>
      </c>
      <c r="MO31" s="12">
        <f>ROUND(MJ31*PremiumMix,0)</f>
        <v/>
      </c>
      <c r="MP31" s="12">
        <f>MJ31-MN31-MO31</f>
        <v/>
      </c>
      <c r="MQ31" s="12">
        <f>MK31+MK30+MK29+MAX(0,MQ30-MK30-MK29)*(1-MD31)</f>
        <v/>
      </c>
      <c r="MR31" s="12">
        <f>ML31+ML30+ML29+MAX(0,MR30-ML30-ML29)*(1-MD31)</f>
        <v/>
      </c>
      <c r="MS31" s="12">
        <f>MM31+MM30+MM29+MAX(0,MS30-MM30-MM29)*(1-MD31)</f>
        <v/>
      </c>
      <c r="MT31" s="12">
        <f>MT30+MN31-MN19*(AnnualChurn*VLOOKUP(LZ31,ChurnSeasonTable,4,FALSE))*POWER(1-(AnnualChurn*VLOOKUP(LZ31,ChurnSeasonTable,4,FALSE)),0)+MN7*(AnnualChurn*VLOOKUP(LZ31,ChurnSeasonTable,4,FALSE))*POWER(1-(AnnualChurn*VLOOKUP(LZ31,ChurnSeasonTable,4,FALSE)),1)</f>
        <v/>
      </c>
      <c r="MU31" s="12">
        <f>MU30+MO31-MO19*(AnnualChurn*VLOOKUP(LZ31,ChurnSeasonTable,4,FALSE))*POWER(1-(AnnualChurn*VLOOKUP(LZ31,ChurnSeasonTable,4,FALSE)),0)+MO7*(AnnualChurn*VLOOKUP(LZ31,ChurnSeasonTable,4,FALSE))*POWER(1-(AnnualChurn*VLOOKUP(LZ31,ChurnSeasonTable,4,FALSE)),1)</f>
        <v/>
      </c>
      <c r="MV31" s="12">
        <f>MV30+MP31-MP19*(AnnualChurn*VLOOKUP(LZ31,ChurnSeasonTable,4,FALSE))*POWER(1-(AnnualChurn*VLOOKUP(LZ31,ChurnSeasonTable,4,FALSE)),0)+MP7*(AnnualChurn*VLOOKUP(LZ31,ChurnSeasonTable,4,FALSE))*POWER(1-(AnnualChurn*VLOOKUP(LZ31,ChurnSeasonTable,4,FALSE)),1)</f>
        <v/>
      </c>
      <c r="MW31" s="12">
        <f>MQ31+MR31+MS31+MT31+MU31+MV31</f>
        <v/>
      </c>
      <c r="MX31" s="9">
        <f>MQ31*BlendedPriceEssMonthly*MC31+MR31*BlendedPricePremMonthly*MC31+MS31*BlendedPriceEliteMonthly*MC31+MT31*BlendedPriceEssAnnual*MC31/12+MU31*BlendedPricePremAnnual*MC31/12+MV31*BlendedPriceEliteAnnual*MC31/12</f>
        <v/>
      </c>
      <c r="MY31" s="9">
        <f>MX31*12</f>
        <v/>
      </c>
      <c r="MZ31" s="12">
        <f>MQ31*BlendedPriceEssMonthly*MC31+MR31*BlendedPricePremMonthly*MC31+MS31*BlendedPriceEliteMonthly*MC31</f>
        <v/>
      </c>
      <c r="NA31" s="12">
        <f>MN31*BlendedPriceEssAnnual*MC31+MO31*BlendedPricePremAnnual*MC31+MP31*BlendedPriceEliteAnnual*MC31</f>
        <v/>
      </c>
      <c r="NB31" s="12">
        <f>MN19*POWER(1-(AnnualChurn*VLOOKUP(LZ31,ChurnSeasonTable,4,FALSE)),1)*BlendedPriceEssAnnual*MC31+MN7*POWER(1-(AnnualChurn*VLOOKUP(LZ31,ChurnSeasonTable,4,FALSE)),2)*BlendedPriceEssAnnual*MC31+MO19*POWER(1-(AnnualChurn*VLOOKUP(LZ31,ChurnSeasonTable,4,FALSE)),1)*BlendedPricePremAnnual*MC31+MO7*POWER(1-(AnnualChurn*VLOOKUP(LZ31,ChurnSeasonTable,4,FALSE)),2)*BlendedPricePremAnnual*MC31+MP19*POWER(1-(AnnualChurn*VLOOKUP(LZ31,ChurnSeasonTable,4,FALSE)),1)*BlendedPriceEliteAnnual*MC31+MP7*POWER(1-(AnnualChurn*VLOOKUP(LZ31,ChurnSeasonTable,4,FALSE)),2)*BlendedPriceEliteAnnual*MC31</f>
        <v/>
      </c>
      <c r="NC31" s="9">
        <f>MZ31+NA31+NB31</f>
        <v/>
      </c>
      <c r="ND31" s="12">
        <f>SUM(NC20:NC31)</f>
        <v/>
      </c>
      <c r="NE31" s="12">
        <f>OR(NE30,IF(VATAgentMode,SUM($NC20:$NC31)-SUM($NJ20:$NJ31)&gt;=VATThreshold,SUM($NC20:$NC31)&gt;=VATThreshold))</f>
        <v/>
      </c>
      <c r="NF31" s="9">
        <f>IF(NE31,IF(VATAgentMode,NC31-((NC31-NJ31)-(NC31-NJ31)/(1+VATRate)),NC31/(1+VATRate)),NC31)</f>
        <v/>
      </c>
      <c r="NG31" s="12">
        <f>NC31-NF31</f>
        <v/>
      </c>
      <c r="NH31" s="12">
        <f>IF(NE31=0,0,IF(LZ31=1,SUMPRODUCT(--(($MA$5:$MA31=$MA31-1)*($LZ$5:$LZ31&gt;=10)*($LZ$5:$LZ31&lt;=12)),$NG$5:$NG31),IF(LZ31=4,SUMPRODUCT(--(($MA$5:$MA31=$MA31)*($LZ$5:$LZ31&gt;=1)*($LZ$5:$LZ31&lt;=3)),$NG$5:$NG31),IF(LZ31=7,SUMPRODUCT(--(($MA$5:$MA31=$MA31)*($LZ$5:$LZ31&gt;=4)*($LZ$5:$LZ31&lt;=6)),$NG$5:$NG31),IF(LZ31=10,SUMPRODUCT(--(($MA$5:$MA31=$MA31)*($LZ$5:$LZ31&gt;=7)*($LZ$5:$LZ31&lt;=9)),$NG$5:$NG31),0)))))</f>
        <v/>
      </c>
      <c r="NI31" s="12">
        <f>NI30+NG31-NH31</f>
        <v/>
      </c>
      <c r="NJ31" s="12">
        <f>IF(ProviderDelay&gt;=1,MQ30*BlendedProvPayEss+MR30*BlendedProvPayPrem+MS30*BlendedProvPayElite+MT30*BlendedProvPayEss+MU30*BlendedProvPayPrem+MV30*BlendedProvPayElite,MQ31*BlendedProvPayEss+MR31*BlendedProvPayPrem+MS31*BlendedProvPayElite+MT31*BlendedProvPayEss+MU31*BlendedProvPayPrem+MV31*BlendedProvPayElite)</f>
        <v/>
      </c>
      <c r="NK31" s="12">
        <f>NC31*PaymentFee</f>
        <v/>
      </c>
      <c r="NL31" s="12">
        <f>MW31*OpsAI</f>
        <v/>
      </c>
      <c r="NM31" s="12">
        <f>MonthlyFixed</f>
        <v/>
      </c>
      <c r="NN31" s="12">
        <f>MG31*ReferralReward</f>
        <v/>
      </c>
      <c r="NO31" s="12">
        <f>ME31</f>
        <v/>
      </c>
      <c r="NP31" s="9">
        <f>NF31-NJ31-NK31-NL31-NM31-NN31-NO31</f>
        <v/>
      </c>
      <c r="NQ31" s="9">
        <f>NQ30+NC31-(NJ31+NK31+NL31+NM31+NN31+NO31+NH31)</f>
        <v/>
      </c>
      <c r="NR31" s="12">
        <f>IF(MW31&gt;0,MX31/MW31,0)</f>
        <v/>
      </c>
      <c r="NS31" s="11">
        <f>IF(MW30&gt;0,MAX(0,(MW30+MH31-MW31)/MW30),0)</f>
        <v/>
      </c>
      <c r="NU31" s="12" t="n">
        <v>27</v>
      </c>
      <c r="NV31" s="12">
        <f>MOD(NU31-1+LaunchMonth-1,12)+1</f>
        <v/>
      </c>
      <c r="NW31" s="12">
        <f>INT((NU31-1+LaunchMonth-1)/12)+1</f>
        <v/>
      </c>
      <c r="NX31" s="12">
        <f>VLOOKUP(NV31,SeasonTable,2,FALSE)</f>
        <v/>
      </c>
      <c r="NY31" s="12">
        <f>(1+InflationRate)^INT((NU31-1)/12)</f>
        <v/>
      </c>
      <c r="NZ31" s="11">
        <f>'Sens - Churn'!$A$18*VLOOKUP(NV31,ChurnSeasonTable,4,FALSE)</f>
        <v/>
      </c>
      <c r="OA31" s="12">
        <f>MIN(MAX(MktMin19plus,OY30*MktPct19plus),MAX(0,PM30-CashBuffer))</f>
        <v/>
      </c>
      <c r="OB31" s="12">
        <f>IF(OA31&gt;0,MAX(1,ROUND(OA31/CAC*NX31,0)),0)</f>
        <v/>
      </c>
      <c r="OC31" s="12">
        <f>IF(OB31&gt;0,ROUND(OB31*ReferralMix/(1-ReferralMix),0),0)</f>
        <v/>
      </c>
      <c r="OD31" s="12">
        <f>OB31+OC31</f>
        <v/>
      </c>
      <c r="OE31" s="12">
        <f>ROUND(OD31*(1-AnnualMix),0)</f>
        <v/>
      </c>
      <c r="OF31" s="12">
        <f>OD31-OE31</f>
        <v/>
      </c>
      <c r="OG31" s="12">
        <f>ROUND(OE31*EssentialMix,0)</f>
        <v/>
      </c>
      <c r="OH31" s="12">
        <f>ROUND(OE31*PremiumMix,0)</f>
        <v/>
      </c>
      <c r="OI31" s="12">
        <f>OE31-OG31-OH31</f>
        <v/>
      </c>
      <c r="OJ31" s="12">
        <f>ROUND(OF31*EssentialMix,0)</f>
        <v/>
      </c>
      <c r="OK31" s="12">
        <f>ROUND(OF31*PremiumMix,0)</f>
        <v/>
      </c>
      <c r="OL31" s="12">
        <f>OF31-OJ31-OK31</f>
        <v/>
      </c>
      <c r="OM31" s="12">
        <f>OG31+OG30+OG29+MAX(0,OM30-OG30-OG29)*(1-NZ31)</f>
        <v/>
      </c>
      <c r="ON31" s="12">
        <f>OH31+OH30+OH29+MAX(0,ON30-OH30-OH29)*(1-NZ31)</f>
        <v/>
      </c>
      <c r="OO31" s="12">
        <f>OI31+OI30+OI29+MAX(0,OO30-OI30-OI29)*(1-NZ31)</f>
        <v/>
      </c>
      <c r="OP31" s="12">
        <f>OP30+OJ31-OJ19*(AnnualChurn*VLOOKUP(NV31,ChurnSeasonTable,4,FALSE))*POWER(1-(AnnualChurn*VLOOKUP(NV31,ChurnSeasonTable,4,FALSE)),0)+OJ7*(AnnualChurn*VLOOKUP(NV31,ChurnSeasonTable,4,FALSE))*POWER(1-(AnnualChurn*VLOOKUP(NV31,ChurnSeasonTable,4,FALSE)),1)</f>
        <v/>
      </c>
      <c r="OQ31" s="12">
        <f>OQ30+OK31-OK19*(AnnualChurn*VLOOKUP(NV31,ChurnSeasonTable,4,FALSE))*POWER(1-(AnnualChurn*VLOOKUP(NV31,ChurnSeasonTable,4,FALSE)),0)+OK7*(AnnualChurn*VLOOKUP(NV31,ChurnSeasonTable,4,FALSE))*POWER(1-(AnnualChurn*VLOOKUP(NV31,ChurnSeasonTable,4,FALSE)),1)</f>
        <v/>
      </c>
      <c r="OR31" s="12">
        <f>OR30+OL31-OL19*(AnnualChurn*VLOOKUP(NV31,ChurnSeasonTable,4,FALSE))*POWER(1-(AnnualChurn*VLOOKUP(NV31,ChurnSeasonTable,4,FALSE)),0)+OL7*(AnnualChurn*VLOOKUP(NV31,ChurnSeasonTable,4,FALSE))*POWER(1-(AnnualChurn*VLOOKUP(NV31,ChurnSeasonTable,4,FALSE)),1)</f>
        <v/>
      </c>
      <c r="OS31" s="12">
        <f>OM31+ON31+OO31+OP31+OQ31+OR31</f>
        <v/>
      </c>
      <c r="OT31" s="9">
        <f>OM31*BlendedPriceEssMonthly*NY31+ON31*BlendedPricePremMonthly*NY31+OO31*BlendedPriceEliteMonthly*NY31+OP31*BlendedPriceEssAnnual*NY31/12+OQ31*BlendedPricePremAnnual*NY31/12+OR31*BlendedPriceEliteAnnual*NY31/12</f>
        <v/>
      </c>
      <c r="OU31" s="9">
        <f>OT31*12</f>
        <v/>
      </c>
      <c r="OV31" s="12">
        <f>OM31*BlendedPriceEssMonthly*NY31+ON31*BlendedPricePremMonthly*NY31+OO31*BlendedPriceEliteMonthly*NY31</f>
        <v/>
      </c>
      <c r="OW31" s="12">
        <f>OJ31*BlendedPriceEssAnnual*NY31+OK31*BlendedPricePremAnnual*NY31+OL31*BlendedPriceEliteAnnual*NY31</f>
        <v/>
      </c>
      <c r="OX31" s="12">
        <f>OJ19*POWER(1-(AnnualChurn*VLOOKUP(NV31,ChurnSeasonTable,4,FALSE)),1)*BlendedPriceEssAnnual*NY31+OJ7*POWER(1-(AnnualChurn*VLOOKUP(NV31,ChurnSeasonTable,4,FALSE)),2)*BlendedPriceEssAnnual*NY31+OK19*POWER(1-(AnnualChurn*VLOOKUP(NV31,ChurnSeasonTable,4,FALSE)),1)*BlendedPricePremAnnual*NY31+OK7*POWER(1-(AnnualChurn*VLOOKUP(NV31,ChurnSeasonTable,4,FALSE)),2)*BlendedPricePremAnnual*NY31+OL19*POWER(1-(AnnualChurn*VLOOKUP(NV31,ChurnSeasonTable,4,FALSE)),1)*BlendedPriceEliteAnnual*NY31+OL7*POWER(1-(AnnualChurn*VLOOKUP(NV31,ChurnSeasonTable,4,FALSE)),2)*BlendedPriceEliteAnnual*NY31</f>
        <v/>
      </c>
      <c r="OY31" s="9">
        <f>OV31+OW31+OX31</f>
        <v/>
      </c>
      <c r="OZ31" s="12">
        <f>SUM(OY20:OY31)</f>
        <v/>
      </c>
      <c r="PA31" s="12">
        <f>OR(PA30,IF(VATAgentMode,SUM($OY20:$OY31)-SUM($PF20:$PF31)&gt;=VATThreshold,SUM($OY20:$OY31)&gt;=VATThreshold))</f>
        <v/>
      </c>
      <c r="PB31" s="9">
        <f>IF(PA31,IF(VATAgentMode,OY31-((OY31-PF31)-(OY31-PF31)/(1+VATRate)),OY31/(1+VATRate)),OY31)</f>
        <v/>
      </c>
      <c r="PC31" s="12">
        <f>OY31-PB31</f>
        <v/>
      </c>
      <c r="PD31" s="12">
        <f>IF(PA31=0,0,IF(NV31=1,SUMPRODUCT(--(($NW$5:$NW31=$NW31-1)*($NV$5:$NV31&gt;=10)*($NV$5:$NV31&lt;=12)),$PC$5:$PC31),IF(NV31=4,SUMPRODUCT(--(($NW$5:$NW31=$NW31)*($NV$5:$NV31&gt;=1)*($NV$5:$NV31&lt;=3)),$PC$5:$PC31),IF(NV31=7,SUMPRODUCT(--(($NW$5:$NW31=$NW31)*($NV$5:$NV31&gt;=4)*($NV$5:$NV31&lt;=6)),$PC$5:$PC31),IF(NV31=10,SUMPRODUCT(--(($NW$5:$NW31=$NW31)*($NV$5:$NV31&gt;=7)*($NV$5:$NV31&lt;=9)),$PC$5:$PC31),0)))))</f>
        <v/>
      </c>
      <c r="PE31" s="12">
        <f>PE30+PC31-PD31</f>
        <v/>
      </c>
      <c r="PF31" s="12">
        <f>IF(ProviderDelay&gt;=1,OM30*BlendedProvPayEss+ON30*BlendedProvPayPrem+OO30*BlendedProvPayElite+OP30*BlendedProvPayEss+OQ30*BlendedProvPayPrem+OR30*BlendedProvPayElite,OM31*BlendedProvPayEss+ON31*BlendedProvPayPrem+OO31*BlendedProvPayElite+OP31*BlendedProvPayEss+OQ31*BlendedProvPayPrem+OR31*BlendedProvPayElite)</f>
        <v/>
      </c>
      <c r="PG31" s="12">
        <f>OY31*PaymentFee</f>
        <v/>
      </c>
      <c r="PH31" s="12">
        <f>OS31*OpsAI</f>
        <v/>
      </c>
      <c r="PI31" s="12">
        <f>MonthlyFixed</f>
        <v/>
      </c>
      <c r="PJ31" s="12">
        <f>OC31*ReferralReward</f>
        <v/>
      </c>
      <c r="PK31" s="12">
        <f>OA31</f>
        <v/>
      </c>
      <c r="PL31" s="9">
        <f>PB31-PF31-PG31-PH31-PI31-PJ31-PK31</f>
        <v/>
      </c>
      <c r="PM31" s="9">
        <f>PM30+OY31-(PF31+PG31+PH31+PI31+PJ31+PK31+PD31)</f>
        <v/>
      </c>
      <c r="PN31" s="12">
        <f>IF(OS31&gt;0,OT31/OS31,0)</f>
        <v/>
      </c>
      <c r="PO31" s="11">
        <f>IF(OS30&gt;0,MAX(0,(OS30+OD31-OS31)/OS30),0)</f>
        <v/>
      </c>
      <c r="PQ31" s="12" t="n">
        <v>27</v>
      </c>
      <c r="PR31" s="12">
        <f>MOD(PQ31-1+LaunchMonth-1,12)+1</f>
        <v/>
      </c>
      <c r="PS31" s="12">
        <f>INT((PQ31-1+LaunchMonth-1)/12)+1</f>
        <v/>
      </c>
      <c r="PT31" s="12">
        <f>VLOOKUP(PR31,SeasonTable,2,FALSE)</f>
        <v/>
      </c>
      <c r="PU31" s="12">
        <f>(1+InflationRate)^INT((PQ31-1)/12)</f>
        <v/>
      </c>
      <c r="PV31" s="11">
        <f>'Sens - Churn'!$A$19*VLOOKUP(PR31,ChurnSeasonTable,4,FALSE)</f>
        <v/>
      </c>
      <c r="PW31" s="12">
        <f>MIN(MAX(MktMin19plus,QU30*MktPct19plus),MAX(0,RI30-CashBuffer))</f>
        <v/>
      </c>
      <c r="PX31" s="12">
        <f>IF(PW31&gt;0,MAX(1,ROUND(PW31/CAC*PT31,0)),0)</f>
        <v/>
      </c>
      <c r="PY31" s="12">
        <f>IF(PX31&gt;0,ROUND(PX31*ReferralMix/(1-ReferralMix),0),0)</f>
        <v/>
      </c>
      <c r="PZ31" s="12">
        <f>PX31+PY31</f>
        <v/>
      </c>
      <c r="QA31" s="12">
        <f>ROUND(PZ31*(1-AnnualMix),0)</f>
        <v/>
      </c>
      <c r="QB31" s="12">
        <f>PZ31-QA31</f>
        <v/>
      </c>
      <c r="QC31" s="12">
        <f>ROUND(QA31*EssentialMix,0)</f>
        <v/>
      </c>
      <c r="QD31" s="12">
        <f>ROUND(QA31*PremiumMix,0)</f>
        <v/>
      </c>
      <c r="QE31" s="12">
        <f>QA31-QC31-QD31</f>
        <v/>
      </c>
      <c r="QF31" s="12">
        <f>ROUND(QB31*EssentialMix,0)</f>
        <v/>
      </c>
      <c r="QG31" s="12">
        <f>ROUND(QB31*PremiumMix,0)</f>
        <v/>
      </c>
      <c r="QH31" s="12">
        <f>QB31-QF31-QG31</f>
        <v/>
      </c>
      <c r="QI31" s="12">
        <f>QC31+QC30+QC29+MAX(0,QI30-QC30-QC29)*(1-PV31)</f>
        <v/>
      </c>
      <c r="QJ31" s="12">
        <f>QD31+QD30+QD29+MAX(0,QJ30-QD30-QD29)*(1-PV31)</f>
        <v/>
      </c>
      <c r="QK31" s="12">
        <f>QE31+QE30+QE29+MAX(0,QK30-QE30-QE29)*(1-PV31)</f>
        <v/>
      </c>
      <c r="QL31" s="12">
        <f>QL30+QF31-QF19*(AnnualChurn*VLOOKUP(PR31,ChurnSeasonTable,4,FALSE))*POWER(1-(AnnualChurn*VLOOKUP(PR31,ChurnSeasonTable,4,FALSE)),0)+QF7*(AnnualChurn*VLOOKUP(PR31,ChurnSeasonTable,4,FALSE))*POWER(1-(AnnualChurn*VLOOKUP(PR31,ChurnSeasonTable,4,FALSE)),1)</f>
        <v/>
      </c>
      <c r="QM31" s="12">
        <f>QM30+QG31-QG19*(AnnualChurn*VLOOKUP(PR31,ChurnSeasonTable,4,FALSE))*POWER(1-(AnnualChurn*VLOOKUP(PR31,ChurnSeasonTable,4,FALSE)),0)+QG7*(AnnualChurn*VLOOKUP(PR31,ChurnSeasonTable,4,FALSE))*POWER(1-(AnnualChurn*VLOOKUP(PR31,ChurnSeasonTable,4,FALSE)),1)</f>
        <v/>
      </c>
      <c r="QN31" s="12">
        <f>QN30+QH31-QH19*(AnnualChurn*VLOOKUP(PR31,ChurnSeasonTable,4,FALSE))*POWER(1-(AnnualChurn*VLOOKUP(PR31,ChurnSeasonTable,4,FALSE)),0)+QH7*(AnnualChurn*VLOOKUP(PR31,ChurnSeasonTable,4,FALSE))*POWER(1-(AnnualChurn*VLOOKUP(PR31,ChurnSeasonTable,4,FALSE)),1)</f>
        <v/>
      </c>
      <c r="QO31" s="12">
        <f>QI31+QJ31+QK31+QL31+QM31+QN31</f>
        <v/>
      </c>
      <c r="QP31" s="9">
        <f>QI31*BlendedPriceEssMonthly*PU31+QJ31*BlendedPricePremMonthly*PU31+QK31*BlendedPriceEliteMonthly*PU31+QL31*BlendedPriceEssAnnual*PU31/12+QM31*BlendedPricePremAnnual*PU31/12+QN31*BlendedPriceEliteAnnual*PU31/12</f>
        <v/>
      </c>
      <c r="QQ31" s="9">
        <f>QP31*12</f>
        <v/>
      </c>
      <c r="QR31" s="12">
        <f>QI31*BlendedPriceEssMonthly*PU31+QJ31*BlendedPricePremMonthly*PU31+QK31*BlendedPriceEliteMonthly*PU31</f>
        <v/>
      </c>
      <c r="QS31" s="12">
        <f>QF31*BlendedPriceEssAnnual*PU31+QG31*BlendedPricePremAnnual*PU31+QH31*BlendedPriceEliteAnnual*PU31</f>
        <v/>
      </c>
      <c r="QT31" s="12">
        <f>QF19*POWER(1-(AnnualChurn*VLOOKUP(PR31,ChurnSeasonTable,4,FALSE)),1)*BlendedPriceEssAnnual*PU31+QF7*POWER(1-(AnnualChurn*VLOOKUP(PR31,ChurnSeasonTable,4,FALSE)),2)*BlendedPriceEssAnnual*PU31+QG19*POWER(1-(AnnualChurn*VLOOKUP(PR31,ChurnSeasonTable,4,FALSE)),1)*BlendedPricePremAnnual*PU31+QG7*POWER(1-(AnnualChurn*VLOOKUP(PR31,ChurnSeasonTable,4,FALSE)),2)*BlendedPricePremAnnual*PU31+QH19*POWER(1-(AnnualChurn*VLOOKUP(PR31,ChurnSeasonTable,4,FALSE)),1)*BlendedPriceEliteAnnual*PU31+QH7*POWER(1-(AnnualChurn*VLOOKUP(PR31,ChurnSeasonTable,4,FALSE)),2)*BlendedPriceEliteAnnual*PU31</f>
        <v/>
      </c>
      <c r="QU31" s="9">
        <f>QR31+QS31+QT31</f>
        <v/>
      </c>
      <c r="QV31" s="12">
        <f>SUM(QU20:QU31)</f>
        <v/>
      </c>
      <c r="QW31" s="12">
        <f>OR(QW30,IF(VATAgentMode,SUM($QU20:$QU31)-SUM($RB20:$RB31)&gt;=VATThreshold,SUM($QU20:$QU31)&gt;=VATThreshold))</f>
        <v/>
      </c>
      <c r="QX31" s="9">
        <f>IF(QW31,IF(VATAgentMode,QU31-((QU31-RB31)-(QU31-RB31)/(1+VATRate)),QU31/(1+VATRate)),QU31)</f>
        <v/>
      </c>
      <c r="QY31" s="12">
        <f>QU31-QX31</f>
        <v/>
      </c>
      <c r="QZ31" s="12">
        <f>IF(QW31=0,0,IF(PR31=1,SUMPRODUCT(--(($PS$5:$PS31=$PS31-1)*($PR$5:$PR31&gt;=10)*($PR$5:$PR31&lt;=12)),$QY$5:$QY31),IF(PR31=4,SUMPRODUCT(--(($PS$5:$PS31=$PS31)*($PR$5:$PR31&gt;=1)*($PR$5:$PR31&lt;=3)),$QY$5:$QY31),IF(PR31=7,SUMPRODUCT(--(($PS$5:$PS31=$PS31)*($PR$5:$PR31&gt;=4)*($PR$5:$PR31&lt;=6)),$QY$5:$QY31),IF(PR31=10,SUMPRODUCT(--(($PS$5:$PS31=$PS31)*($PR$5:$PR31&gt;=7)*($PR$5:$PR31&lt;=9)),$QY$5:$QY31),0)))))</f>
        <v/>
      </c>
      <c r="RA31" s="12">
        <f>RA30+QY31-QZ31</f>
        <v/>
      </c>
      <c r="RB31" s="12">
        <f>IF(ProviderDelay&gt;=1,QI30*BlendedProvPayEss+QJ30*BlendedProvPayPrem+QK30*BlendedProvPayElite+QL30*BlendedProvPayEss+QM30*BlendedProvPayPrem+QN30*BlendedProvPayElite,QI31*BlendedProvPayEss+QJ31*BlendedProvPayPrem+QK31*BlendedProvPayElite+QL31*BlendedProvPayEss+QM31*BlendedProvPayPrem+QN31*BlendedProvPayElite)</f>
        <v/>
      </c>
      <c r="RC31" s="12">
        <f>QU31*PaymentFee</f>
        <v/>
      </c>
      <c r="RD31" s="12">
        <f>QO31*OpsAI</f>
        <v/>
      </c>
      <c r="RE31" s="12">
        <f>MonthlyFixed</f>
        <v/>
      </c>
      <c r="RF31" s="12">
        <f>PY31*ReferralReward</f>
        <v/>
      </c>
      <c r="RG31" s="12">
        <f>PW31</f>
        <v/>
      </c>
      <c r="RH31" s="9">
        <f>QX31-RB31-RC31-RD31-RE31-RF31-RG31</f>
        <v/>
      </c>
      <c r="RI31" s="9">
        <f>RI30+QU31-(RB31+RC31+RD31+RE31+RF31+RG31+QZ31)</f>
        <v/>
      </c>
      <c r="RJ31" s="12">
        <f>IF(QO31&gt;0,QP31/QO31,0)</f>
        <v/>
      </c>
      <c r="RK31" s="11">
        <f>IF(QO30&gt;0,MAX(0,(QO30+PZ31-QO31)/QO30),0)</f>
        <v/>
      </c>
      <c r="RM31" s="12" t="n">
        <v>27</v>
      </c>
      <c r="RN31" s="12">
        <f>MOD(RM31-1+LaunchMonth-1,12)+1</f>
        <v/>
      </c>
      <c r="RO31" s="12">
        <f>INT((RM31-1+LaunchMonth-1)/12)+1</f>
        <v/>
      </c>
      <c r="RP31" s="12">
        <f>VLOOKUP(RN31,SeasonTable,2,FALSE)</f>
        <v/>
      </c>
      <c r="RQ31" s="12">
        <f>(1+InflationRate)^INT((RM31-1)/12)</f>
        <v/>
      </c>
      <c r="RR31" s="11">
        <f>'Sens - Churn'!$A$20*VLOOKUP(RN31,ChurnSeasonTable,4,FALSE)</f>
        <v/>
      </c>
      <c r="RS31" s="12">
        <f>MIN(MAX(MktMin19plus,SQ30*MktPct19plus),MAX(0,TE30-CashBuffer))</f>
        <v/>
      </c>
      <c r="RT31" s="12">
        <f>IF(RS31&gt;0,MAX(1,ROUND(RS31/CAC*RP31,0)),0)</f>
        <v/>
      </c>
      <c r="RU31" s="12">
        <f>IF(RT31&gt;0,ROUND(RT31*ReferralMix/(1-ReferralMix),0),0)</f>
        <v/>
      </c>
      <c r="RV31" s="12">
        <f>RT31+RU31</f>
        <v/>
      </c>
      <c r="RW31" s="12">
        <f>ROUND(RV31*(1-AnnualMix),0)</f>
        <v/>
      </c>
      <c r="RX31" s="12">
        <f>RV31-RW31</f>
        <v/>
      </c>
      <c r="RY31" s="12">
        <f>ROUND(RW31*EssentialMix,0)</f>
        <v/>
      </c>
      <c r="RZ31" s="12">
        <f>ROUND(RW31*PremiumMix,0)</f>
        <v/>
      </c>
      <c r="SA31" s="12">
        <f>RW31-RY31-RZ31</f>
        <v/>
      </c>
      <c r="SB31" s="12">
        <f>ROUND(RX31*EssentialMix,0)</f>
        <v/>
      </c>
      <c r="SC31" s="12">
        <f>ROUND(RX31*PremiumMix,0)</f>
        <v/>
      </c>
      <c r="SD31" s="12">
        <f>RX31-SB31-SC31</f>
        <v/>
      </c>
      <c r="SE31" s="12">
        <f>RY31+RY30+RY29+MAX(0,SE30-RY30-RY29)*(1-RR31)</f>
        <v/>
      </c>
      <c r="SF31" s="12">
        <f>RZ31+RZ30+RZ29+MAX(0,SF30-RZ30-RZ29)*(1-RR31)</f>
        <v/>
      </c>
      <c r="SG31" s="12">
        <f>SA31+SA30+SA29+MAX(0,SG30-SA30-SA29)*(1-RR31)</f>
        <v/>
      </c>
      <c r="SH31" s="12">
        <f>SH30+SB31-SB19*(AnnualChurn*VLOOKUP(RN31,ChurnSeasonTable,4,FALSE))*POWER(1-(AnnualChurn*VLOOKUP(RN31,ChurnSeasonTable,4,FALSE)),0)+SB7*(AnnualChurn*VLOOKUP(RN31,ChurnSeasonTable,4,FALSE))*POWER(1-(AnnualChurn*VLOOKUP(RN31,ChurnSeasonTable,4,FALSE)),1)</f>
        <v/>
      </c>
      <c r="SI31" s="12">
        <f>SI30+SC31-SC19*(AnnualChurn*VLOOKUP(RN31,ChurnSeasonTable,4,FALSE))*POWER(1-(AnnualChurn*VLOOKUP(RN31,ChurnSeasonTable,4,FALSE)),0)+SC7*(AnnualChurn*VLOOKUP(RN31,ChurnSeasonTable,4,FALSE))*POWER(1-(AnnualChurn*VLOOKUP(RN31,ChurnSeasonTable,4,FALSE)),1)</f>
        <v/>
      </c>
      <c r="SJ31" s="12">
        <f>SJ30+SD31-SD19*(AnnualChurn*VLOOKUP(RN31,ChurnSeasonTable,4,FALSE))*POWER(1-(AnnualChurn*VLOOKUP(RN31,ChurnSeasonTable,4,FALSE)),0)+SD7*(AnnualChurn*VLOOKUP(RN31,ChurnSeasonTable,4,FALSE))*POWER(1-(AnnualChurn*VLOOKUP(RN31,ChurnSeasonTable,4,FALSE)),1)</f>
        <v/>
      </c>
      <c r="SK31" s="12">
        <f>SE31+SF31+SG31+SH31+SI31+SJ31</f>
        <v/>
      </c>
      <c r="SL31" s="9">
        <f>SE31*BlendedPriceEssMonthly*RQ31+SF31*BlendedPricePremMonthly*RQ31+SG31*BlendedPriceEliteMonthly*RQ31+SH31*BlendedPriceEssAnnual*RQ31/12+SI31*BlendedPricePremAnnual*RQ31/12+SJ31*BlendedPriceEliteAnnual*RQ31/12</f>
        <v/>
      </c>
      <c r="SM31" s="9">
        <f>SL31*12</f>
        <v/>
      </c>
      <c r="SN31" s="12">
        <f>SE31*BlendedPriceEssMonthly*RQ31+SF31*BlendedPricePremMonthly*RQ31+SG31*BlendedPriceEliteMonthly*RQ31</f>
        <v/>
      </c>
      <c r="SO31" s="12">
        <f>SB31*BlendedPriceEssAnnual*RQ31+SC31*BlendedPricePremAnnual*RQ31+SD31*BlendedPriceEliteAnnual*RQ31</f>
        <v/>
      </c>
      <c r="SP31" s="12">
        <f>SB19*POWER(1-(AnnualChurn*VLOOKUP(RN31,ChurnSeasonTable,4,FALSE)),1)*BlendedPriceEssAnnual*RQ31+SB7*POWER(1-(AnnualChurn*VLOOKUP(RN31,ChurnSeasonTable,4,FALSE)),2)*BlendedPriceEssAnnual*RQ31+SC19*POWER(1-(AnnualChurn*VLOOKUP(RN31,ChurnSeasonTable,4,FALSE)),1)*BlendedPricePremAnnual*RQ31+SC7*POWER(1-(AnnualChurn*VLOOKUP(RN31,ChurnSeasonTable,4,FALSE)),2)*BlendedPricePremAnnual*RQ31+SD19*POWER(1-(AnnualChurn*VLOOKUP(RN31,ChurnSeasonTable,4,FALSE)),1)*BlendedPriceEliteAnnual*RQ31+SD7*POWER(1-(AnnualChurn*VLOOKUP(RN31,ChurnSeasonTable,4,FALSE)),2)*BlendedPriceEliteAnnual*RQ31</f>
        <v/>
      </c>
      <c r="SQ31" s="9">
        <f>SN31+SO31+SP31</f>
        <v/>
      </c>
      <c r="SR31" s="12">
        <f>SUM(SQ20:SQ31)</f>
        <v/>
      </c>
      <c r="SS31" s="12">
        <f>OR(SS30,IF(VATAgentMode,SUM($SQ20:$SQ31)-SUM($SX20:$SX31)&gt;=VATThreshold,SUM($SQ20:$SQ31)&gt;=VATThreshold))</f>
        <v/>
      </c>
      <c r="ST31" s="9">
        <f>IF(SS31,IF(VATAgentMode,SQ31-((SQ31-SX31)-(SQ31-SX31)/(1+VATRate)),SQ31/(1+VATRate)),SQ31)</f>
        <v/>
      </c>
      <c r="SU31" s="12">
        <f>SQ31-ST31</f>
        <v/>
      </c>
      <c r="SV31" s="12">
        <f>IF(SS31=0,0,IF(RN31=1,SUMPRODUCT(--(($RO$5:$RO31=$RO31-1)*($RN$5:$RN31&gt;=10)*($RN$5:$RN31&lt;=12)),$SU$5:$SU31),IF(RN31=4,SUMPRODUCT(--(($RO$5:$RO31=$RO31)*($RN$5:$RN31&gt;=1)*($RN$5:$RN31&lt;=3)),$SU$5:$SU31),IF(RN31=7,SUMPRODUCT(--(($RO$5:$RO31=$RO31)*($RN$5:$RN31&gt;=4)*($RN$5:$RN31&lt;=6)),$SU$5:$SU31),IF(RN31=10,SUMPRODUCT(--(($RO$5:$RO31=$RO31)*($RN$5:$RN31&gt;=7)*($RN$5:$RN31&lt;=9)),$SU$5:$SU31),0)))))</f>
        <v/>
      </c>
      <c r="SW31" s="12">
        <f>SW30+SU31-SV31</f>
        <v/>
      </c>
      <c r="SX31" s="12">
        <f>IF(ProviderDelay&gt;=1,SE30*BlendedProvPayEss+SF30*BlendedProvPayPrem+SG30*BlendedProvPayElite+SH30*BlendedProvPayEss+SI30*BlendedProvPayPrem+SJ30*BlendedProvPayElite,SE31*BlendedProvPayEss+SF31*BlendedProvPayPrem+SG31*BlendedProvPayElite+SH31*BlendedProvPayEss+SI31*BlendedProvPayPrem+SJ31*BlendedProvPayElite)</f>
        <v/>
      </c>
      <c r="SY31" s="12">
        <f>SQ31*PaymentFee</f>
        <v/>
      </c>
      <c r="SZ31" s="12">
        <f>SK31*OpsAI</f>
        <v/>
      </c>
      <c r="TA31" s="12">
        <f>MonthlyFixed</f>
        <v/>
      </c>
      <c r="TB31" s="12">
        <f>RU31*ReferralReward</f>
        <v/>
      </c>
      <c r="TC31" s="12">
        <f>RS31</f>
        <v/>
      </c>
      <c r="TD31" s="9">
        <f>ST31-SX31-SY31-SZ31-TA31-TB31-TC31</f>
        <v/>
      </c>
      <c r="TE31" s="9">
        <f>TE30+SQ31-(SX31+SY31+SZ31+TA31+TB31+TC31+SV31)</f>
        <v/>
      </c>
      <c r="TF31" s="12">
        <f>IF(SK31&gt;0,SL31/SK31,0)</f>
        <v/>
      </c>
      <c r="TG31" s="11">
        <f>IF(SK30&gt;0,MAX(0,(SK30+RV31-SK31)/SK30),0)</f>
        <v/>
      </c>
      <c r="TI31" s="12" t="n">
        <v>27</v>
      </c>
      <c r="TJ31" s="12">
        <f>MOD(TI31-1+LaunchMonth-1,12)+1</f>
        <v/>
      </c>
      <c r="TK31" s="12">
        <f>INT((TI31-1+LaunchMonth-1)/12)+1</f>
        <v/>
      </c>
      <c r="TL31" s="12">
        <f>VLOOKUP(TJ31,SeasonTable,2,FALSE)</f>
        <v/>
      </c>
      <c r="TM31" s="12">
        <f>(1+InflationRate)^INT((TI31-1)/12)</f>
        <v/>
      </c>
      <c r="TN31" s="11">
        <f>'Sens - Churn'!$A$21*VLOOKUP(TJ31,ChurnSeasonTable,4,FALSE)</f>
        <v/>
      </c>
      <c r="TO31" s="12">
        <f>MIN(MAX(MktMin19plus,UM30*MktPct19plus),MAX(0,VA30-CashBuffer))</f>
        <v/>
      </c>
      <c r="TP31" s="12">
        <f>IF(TO31&gt;0,MAX(1,ROUND(TO31/CAC*TL31,0)),0)</f>
        <v/>
      </c>
      <c r="TQ31" s="12">
        <f>IF(TP31&gt;0,ROUND(TP31*ReferralMix/(1-ReferralMix),0),0)</f>
        <v/>
      </c>
      <c r="TR31" s="12">
        <f>TP31+TQ31</f>
        <v/>
      </c>
      <c r="TS31" s="12">
        <f>ROUND(TR31*(1-AnnualMix),0)</f>
        <v/>
      </c>
      <c r="TT31" s="12">
        <f>TR31-TS31</f>
        <v/>
      </c>
      <c r="TU31" s="12">
        <f>ROUND(TS31*EssentialMix,0)</f>
        <v/>
      </c>
      <c r="TV31" s="12">
        <f>ROUND(TS31*PremiumMix,0)</f>
        <v/>
      </c>
      <c r="TW31" s="12">
        <f>TS31-TU31-TV31</f>
        <v/>
      </c>
      <c r="TX31" s="12">
        <f>ROUND(TT31*EssentialMix,0)</f>
        <v/>
      </c>
      <c r="TY31" s="12">
        <f>ROUND(TT31*PremiumMix,0)</f>
        <v/>
      </c>
      <c r="TZ31" s="12">
        <f>TT31-TX31-TY31</f>
        <v/>
      </c>
      <c r="UA31" s="12">
        <f>TU31+TU30+TU29+MAX(0,UA30-TU30-TU29)*(1-TN31)</f>
        <v/>
      </c>
      <c r="UB31" s="12">
        <f>TV31+TV30+TV29+MAX(0,UB30-TV30-TV29)*(1-TN31)</f>
        <v/>
      </c>
      <c r="UC31" s="12">
        <f>TW31+TW30+TW29+MAX(0,UC30-TW30-TW29)*(1-TN31)</f>
        <v/>
      </c>
      <c r="UD31" s="12">
        <f>UD30+TX31-TX19*(AnnualChurn*VLOOKUP(TJ31,ChurnSeasonTable,4,FALSE))*POWER(1-(AnnualChurn*VLOOKUP(TJ31,ChurnSeasonTable,4,FALSE)),0)+TX7*(AnnualChurn*VLOOKUP(TJ31,ChurnSeasonTable,4,FALSE))*POWER(1-(AnnualChurn*VLOOKUP(TJ31,ChurnSeasonTable,4,FALSE)),1)</f>
        <v/>
      </c>
      <c r="UE31" s="12">
        <f>UE30+TY31-TY19*(AnnualChurn*VLOOKUP(TJ31,ChurnSeasonTable,4,FALSE))*POWER(1-(AnnualChurn*VLOOKUP(TJ31,ChurnSeasonTable,4,FALSE)),0)+TY7*(AnnualChurn*VLOOKUP(TJ31,ChurnSeasonTable,4,FALSE))*POWER(1-(AnnualChurn*VLOOKUP(TJ31,ChurnSeasonTable,4,FALSE)),1)</f>
        <v/>
      </c>
      <c r="UF31" s="12">
        <f>UF30+TZ31-TZ19*(AnnualChurn*VLOOKUP(TJ31,ChurnSeasonTable,4,FALSE))*POWER(1-(AnnualChurn*VLOOKUP(TJ31,ChurnSeasonTable,4,FALSE)),0)+TZ7*(AnnualChurn*VLOOKUP(TJ31,ChurnSeasonTable,4,FALSE))*POWER(1-(AnnualChurn*VLOOKUP(TJ31,ChurnSeasonTable,4,FALSE)),1)</f>
        <v/>
      </c>
      <c r="UG31" s="12">
        <f>UA31+UB31+UC31+UD31+UE31+UF31</f>
        <v/>
      </c>
      <c r="UH31" s="9">
        <f>UA31*BlendedPriceEssMonthly*TM31+UB31*BlendedPricePremMonthly*TM31+UC31*BlendedPriceEliteMonthly*TM31+UD31*BlendedPriceEssAnnual*TM31/12+UE31*BlendedPricePremAnnual*TM31/12+UF31*BlendedPriceEliteAnnual*TM31/12</f>
        <v/>
      </c>
      <c r="UI31" s="9">
        <f>UH31*12</f>
        <v/>
      </c>
      <c r="UJ31" s="12">
        <f>UA31*BlendedPriceEssMonthly*TM31+UB31*BlendedPricePremMonthly*TM31+UC31*BlendedPriceEliteMonthly*TM31</f>
        <v/>
      </c>
      <c r="UK31" s="12">
        <f>TX31*BlendedPriceEssAnnual*TM31+TY31*BlendedPricePremAnnual*TM31+TZ31*BlendedPriceEliteAnnual*TM31</f>
        <v/>
      </c>
      <c r="UL31" s="12">
        <f>TX19*POWER(1-(AnnualChurn*VLOOKUP(TJ31,ChurnSeasonTable,4,FALSE)),1)*BlendedPriceEssAnnual*TM31+TX7*POWER(1-(AnnualChurn*VLOOKUP(TJ31,ChurnSeasonTable,4,FALSE)),2)*BlendedPriceEssAnnual*TM31+TY19*POWER(1-(AnnualChurn*VLOOKUP(TJ31,ChurnSeasonTable,4,FALSE)),1)*BlendedPricePremAnnual*TM31+TY7*POWER(1-(AnnualChurn*VLOOKUP(TJ31,ChurnSeasonTable,4,FALSE)),2)*BlendedPricePremAnnual*TM31+TZ19*POWER(1-(AnnualChurn*VLOOKUP(TJ31,ChurnSeasonTable,4,FALSE)),1)*BlendedPriceEliteAnnual*TM31+TZ7*POWER(1-(AnnualChurn*VLOOKUP(TJ31,ChurnSeasonTable,4,FALSE)),2)*BlendedPriceEliteAnnual*TM31</f>
        <v/>
      </c>
      <c r="UM31" s="9">
        <f>UJ31+UK31+UL31</f>
        <v/>
      </c>
      <c r="UN31" s="12">
        <f>SUM(UM20:UM31)</f>
        <v/>
      </c>
      <c r="UO31" s="12">
        <f>OR(UO30,IF(VATAgentMode,SUM($UM20:$UM31)-SUM($UT20:$UT31)&gt;=VATThreshold,SUM($UM20:$UM31)&gt;=VATThreshold))</f>
        <v/>
      </c>
      <c r="UP31" s="9">
        <f>IF(UO31,IF(VATAgentMode,UM31-((UM31-UT31)-(UM31-UT31)/(1+VATRate)),UM31/(1+VATRate)),UM31)</f>
        <v/>
      </c>
      <c r="UQ31" s="12">
        <f>UM31-UP31</f>
        <v/>
      </c>
      <c r="UR31" s="12">
        <f>IF(UO31=0,0,IF(TJ31=1,SUMPRODUCT(--(($TK$5:$TK31=$TK31-1)*($TJ$5:$TJ31&gt;=10)*($TJ$5:$TJ31&lt;=12)),$UQ$5:$UQ31),IF(TJ31=4,SUMPRODUCT(--(($TK$5:$TK31=$TK31)*($TJ$5:$TJ31&gt;=1)*($TJ$5:$TJ31&lt;=3)),$UQ$5:$UQ31),IF(TJ31=7,SUMPRODUCT(--(($TK$5:$TK31=$TK31)*($TJ$5:$TJ31&gt;=4)*($TJ$5:$TJ31&lt;=6)),$UQ$5:$UQ31),IF(TJ31=10,SUMPRODUCT(--(($TK$5:$TK31=$TK31)*($TJ$5:$TJ31&gt;=7)*($TJ$5:$TJ31&lt;=9)),$UQ$5:$UQ31),0)))))</f>
        <v/>
      </c>
      <c r="US31" s="12">
        <f>US30+UQ31-UR31</f>
        <v/>
      </c>
      <c r="UT31" s="12">
        <f>IF(ProviderDelay&gt;=1,UA30*BlendedProvPayEss+UB30*BlendedProvPayPrem+UC30*BlendedProvPayElite+UD30*BlendedProvPayEss+UE30*BlendedProvPayPrem+UF30*BlendedProvPayElite,UA31*BlendedProvPayEss+UB31*BlendedProvPayPrem+UC31*BlendedProvPayElite+UD31*BlendedProvPayEss+UE31*BlendedProvPayPrem+UF31*BlendedProvPayElite)</f>
        <v/>
      </c>
      <c r="UU31" s="12">
        <f>UM31*PaymentFee</f>
        <v/>
      </c>
      <c r="UV31" s="12">
        <f>UG31*OpsAI</f>
        <v/>
      </c>
      <c r="UW31" s="12">
        <f>MonthlyFixed</f>
        <v/>
      </c>
      <c r="UX31" s="12">
        <f>TQ31*ReferralReward</f>
        <v/>
      </c>
      <c r="UY31" s="12">
        <f>TO31</f>
        <v/>
      </c>
      <c r="UZ31" s="9">
        <f>UP31-UT31-UU31-UV31-UW31-UX31-UY31</f>
        <v/>
      </c>
      <c r="VA31" s="9">
        <f>VA30+UM31-(UT31+UU31+UV31+UW31+UX31+UY31+UR31)</f>
        <v/>
      </c>
      <c r="VB31" s="12">
        <f>IF(UG31&gt;0,UH31/UG31,0)</f>
        <v/>
      </c>
      <c r="VC31" s="11">
        <f>IF(UG30&gt;0,MAX(0,(UG30+TR31-UG31)/UG30),0)</f>
        <v/>
      </c>
      <c r="VE31" s="12" t="n">
        <v>27</v>
      </c>
      <c r="VF31" s="12">
        <f>MOD(VE31-1+LaunchMonth-1,12)+1</f>
        <v/>
      </c>
      <c r="VG31" s="12">
        <f>INT((VE31-1+LaunchMonth-1)/12)+1</f>
        <v/>
      </c>
      <c r="VH31" s="12">
        <f>VLOOKUP(VF31,SeasonTable,2,FALSE)</f>
        <v/>
      </c>
      <c r="VI31" s="12">
        <f>(1+InflationRate)^INT((VE31-1)/12)</f>
        <v/>
      </c>
      <c r="VJ31" s="11">
        <f>MonthlyChurn*VLOOKUP(VF31,ChurnSeasonTable,4,FALSE)</f>
        <v/>
      </c>
      <c r="VK31" s="12">
        <f>MIN(MAX(MktMin19plus,WI30*MktPct19plus),MAX(0,WW30-CashBuffer))</f>
        <v/>
      </c>
      <c r="VL31" s="12">
        <f>IF(VK31&gt;0,MAX(1,ROUND(VK31/CAC*VH31,0)),0)</f>
        <v/>
      </c>
      <c r="VM31" s="12">
        <f>IF(VL31&gt;0,ROUND(VL31*ReferralMix/(1-ReferralMix),0),0)</f>
        <v/>
      </c>
      <c r="VN31" s="12">
        <f>VL31+VM31</f>
        <v/>
      </c>
      <c r="VO31" s="12">
        <f>ROUND(VN31*(1-'Sens - Annual Mix'!$A$9),0)</f>
        <v/>
      </c>
      <c r="VP31" s="12">
        <f>VN31-VO31</f>
        <v/>
      </c>
      <c r="VQ31" s="12">
        <f>ROUND(VO31*EssentialMix,0)</f>
        <v/>
      </c>
      <c r="VR31" s="12">
        <f>ROUND(VO31*PremiumMix,0)</f>
        <v/>
      </c>
      <c r="VS31" s="12">
        <f>VO31-VQ31-VR31</f>
        <v/>
      </c>
      <c r="VT31" s="12">
        <f>ROUND(VP31*EssentialMix,0)</f>
        <v/>
      </c>
      <c r="VU31" s="12">
        <f>ROUND(VP31*PremiumMix,0)</f>
        <v/>
      </c>
      <c r="VV31" s="12">
        <f>VP31-VT31-VU31</f>
        <v/>
      </c>
      <c r="VW31" s="12">
        <f>VQ31+VQ30+VQ29+MAX(0,VW30-VQ30-VQ29)*(1-VJ31)</f>
        <v/>
      </c>
      <c r="VX31" s="12">
        <f>VR31+VR30+VR29+MAX(0,VX30-VR30-VR29)*(1-VJ31)</f>
        <v/>
      </c>
      <c r="VY31" s="12">
        <f>VS31+VS30+VS29+MAX(0,VY30-VS30-VS29)*(1-VJ31)</f>
        <v/>
      </c>
      <c r="VZ31" s="12">
        <f>VZ30+VT31-VT19*(AnnualChurn*VLOOKUP(VF31,ChurnSeasonTable,4,FALSE))*POWER(1-(AnnualChurn*VLOOKUP(VF31,ChurnSeasonTable,4,FALSE)),0)+VT7*(AnnualChurn*VLOOKUP(VF31,ChurnSeasonTable,4,FALSE))*POWER(1-(AnnualChurn*VLOOKUP(VF31,ChurnSeasonTable,4,FALSE)),1)</f>
        <v/>
      </c>
      <c r="WA31" s="12">
        <f>WA30+VU31-VU19*(AnnualChurn*VLOOKUP(VF31,ChurnSeasonTable,4,FALSE))*POWER(1-(AnnualChurn*VLOOKUP(VF31,ChurnSeasonTable,4,FALSE)),0)+VU7*(AnnualChurn*VLOOKUP(VF31,ChurnSeasonTable,4,FALSE))*POWER(1-(AnnualChurn*VLOOKUP(VF31,ChurnSeasonTable,4,FALSE)),1)</f>
        <v/>
      </c>
      <c r="WB31" s="12">
        <f>WB30+VV31-VV19*(AnnualChurn*VLOOKUP(VF31,ChurnSeasonTable,4,FALSE))*POWER(1-(AnnualChurn*VLOOKUP(VF31,ChurnSeasonTable,4,FALSE)),0)+VV7*(AnnualChurn*VLOOKUP(VF31,ChurnSeasonTable,4,FALSE))*POWER(1-(AnnualChurn*VLOOKUP(VF31,ChurnSeasonTable,4,FALSE)),1)</f>
        <v/>
      </c>
      <c r="WC31" s="12">
        <f>VW31+VX31+VY31+VZ31+WA31+WB31</f>
        <v/>
      </c>
      <c r="WD31" s="9">
        <f>VW31*BlendedPriceEssMonthly*VI31+VX31*BlendedPricePremMonthly*VI31+VY31*BlendedPriceEliteMonthly*VI31+VZ31*BlendedPriceEssAnnual*VI31/12+WA31*BlendedPricePremAnnual*VI31/12+WB31*BlendedPriceEliteAnnual*VI31/12</f>
        <v/>
      </c>
      <c r="WE31" s="9">
        <f>WD31*12</f>
        <v/>
      </c>
      <c r="WF31" s="12">
        <f>VW31*BlendedPriceEssMonthly*VI31+VX31*BlendedPricePremMonthly*VI31+VY31*BlendedPriceEliteMonthly*VI31</f>
        <v/>
      </c>
      <c r="WG31" s="12">
        <f>VT31*BlendedPriceEssAnnual*VI31+VU31*BlendedPricePremAnnual*VI31+VV31*BlendedPriceEliteAnnual*VI31</f>
        <v/>
      </c>
      <c r="WH31" s="12">
        <f>VT19*POWER(1-(AnnualChurn*VLOOKUP(VF31,ChurnSeasonTable,4,FALSE)),1)*BlendedPriceEssAnnual*VI31+VT7*POWER(1-(AnnualChurn*VLOOKUP(VF31,ChurnSeasonTable,4,FALSE)),2)*BlendedPriceEssAnnual*VI31+VU19*POWER(1-(AnnualChurn*VLOOKUP(VF31,ChurnSeasonTable,4,FALSE)),1)*BlendedPricePremAnnual*VI31+VU7*POWER(1-(AnnualChurn*VLOOKUP(VF31,ChurnSeasonTable,4,FALSE)),2)*BlendedPricePremAnnual*VI31+VV19*POWER(1-(AnnualChurn*VLOOKUP(VF31,ChurnSeasonTable,4,FALSE)),1)*BlendedPriceEliteAnnual*VI31+VV7*POWER(1-(AnnualChurn*VLOOKUP(VF31,ChurnSeasonTable,4,FALSE)),2)*BlendedPriceEliteAnnual*VI31</f>
        <v/>
      </c>
      <c r="WI31" s="9">
        <f>WF31+WG31+WH31</f>
        <v/>
      </c>
      <c r="WJ31" s="12">
        <f>SUM(WI20:WI31)</f>
        <v/>
      </c>
      <c r="WK31" s="12">
        <f>OR(WK30,IF(VATAgentMode,SUM($WI20:$WI31)-SUM($WP20:$WP31)&gt;=VATThreshold,SUM($WI20:$WI31)&gt;=VATThreshold))</f>
        <v/>
      </c>
      <c r="WL31" s="9">
        <f>IF(WK31,IF(VATAgentMode,WI31-((WI31-WP31)-(WI31-WP31)/(1+VATRate)),WI31/(1+VATRate)),WI31)</f>
        <v/>
      </c>
      <c r="WM31" s="12">
        <f>WI31-WL31</f>
        <v/>
      </c>
      <c r="WN31" s="12">
        <f>IF(WK31=0,0,IF(VF31=1,SUMPRODUCT(--(($VG$5:$VG31=$VG31-1)*($VF$5:$VF31&gt;=10)*($VF$5:$VF31&lt;=12)),$WM$5:$WM31),IF(VF31=4,SUMPRODUCT(--(($VG$5:$VG31=$VG31)*($VF$5:$VF31&gt;=1)*($VF$5:$VF31&lt;=3)),$WM$5:$WM31),IF(VF31=7,SUMPRODUCT(--(($VG$5:$VG31=$VG31)*($VF$5:$VF31&gt;=4)*($VF$5:$VF31&lt;=6)),$WM$5:$WM31),IF(VF31=10,SUMPRODUCT(--(($VG$5:$VG31=$VG31)*($VF$5:$VF31&gt;=7)*($VF$5:$VF31&lt;=9)),$WM$5:$WM31),0)))))</f>
        <v/>
      </c>
      <c r="WO31" s="12">
        <f>WO30+WM31-WN31</f>
        <v/>
      </c>
      <c r="WP31" s="12">
        <f>IF(ProviderDelay&gt;=1,VW30*BlendedProvPayEss+VX30*BlendedProvPayPrem+VY30*BlendedProvPayElite+VZ30*BlendedProvPayEss+WA30*BlendedProvPayPrem+WB30*BlendedProvPayElite,VW31*BlendedProvPayEss+VX31*BlendedProvPayPrem+VY31*BlendedProvPayElite+VZ31*BlendedProvPayEss+WA31*BlendedProvPayPrem+WB31*BlendedProvPayElite)</f>
        <v/>
      </c>
      <c r="WQ31" s="12">
        <f>WI31*PaymentFee</f>
        <v/>
      </c>
      <c r="WR31" s="12">
        <f>WC31*OpsAI</f>
        <v/>
      </c>
      <c r="WS31" s="12">
        <f>MonthlyFixed</f>
        <v/>
      </c>
      <c r="WT31" s="12">
        <f>VM31*ReferralReward</f>
        <v/>
      </c>
      <c r="WU31" s="12">
        <f>VK31</f>
        <v/>
      </c>
      <c r="WV31" s="9">
        <f>WL31-WP31-WQ31-WR31-WS31-WT31-WU31</f>
        <v/>
      </c>
      <c r="WW31" s="9">
        <f>WW30+WI31-(WP31+WQ31+WR31+WS31+WT31+WU31+WN31)</f>
        <v/>
      </c>
      <c r="WX31" s="12">
        <f>IF(WC31&gt;0,WD31/WC31,0)</f>
        <v/>
      </c>
      <c r="WY31" s="11">
        <f>IF(WC30&gt;0,MAX(0,(WC30+VN31-WC31)/WC30),0)</f>
        <v/>
      </c>
      <c r="XA31" s="12" t="n">
        <v>27</v>
      </c>
      <c r="XB31" s="12">
        <f>MOD(XA31-1+LaunchMonth-1,12)+1</f>
        <v/>
      </c>
      <c r="XC31" s="12">
        <f>INT((XA31-1+LaunchMonth-1)/12)+1</f>
        <v/>
      </c>
      <c r="XD31" s="12">
        <f>VLOOKUP(XB31,SeasonTable,2,FALSE)</f>
        <v/>
      </c>
      <c r="XE31" s="12">
        <f>(1+InflationRate)^INT((XA31-1)/12)</f>
        <v/>
      </c>
      <c r="XF31" s="11">
        <f>MonthlyChurn*VLOOKUP(XB31,ChurnSeasonTable,4,FALSE)</f>
        <v/>
      </c>
      <c r="XG31" s="12">
        <f>MIN(MAX(MktMin19plus,YE30*MktPct19plus),MAX(0,YS30-CashBuffer))</f>
        <v/>
      </c>
      <c r="XH31" s="12">
        <f>IF(XG31&gt;0,MAX(1,ROUND(XG31/CAC*XD31,0)),0)</f>
        <v/>
      </c>
      <c r="XI31" s="12">
        <f>IF(XH31&gt;0,ROUND(XH31*ReferralMix/(1-ReferralMix),0),0)</f>
        <v/>
      </c>
      <c r="XJ31" s="12">
        <f>XH31+XI31</f>
        <v/>
      </c>
      <c r="XK31" s="12">
        <f>ROUND(XJ31*(1-'Sens - Annual Mix'!$A$10),0)</f>
        <v/>
      </c>
      <c r="XL31" s="12">
        <f>XJ31-XK31</f>
        <v/>
      </c>
      <c r="XM31" s="12">
        <f>ROUND(XK31*EssentialMix,0)</f>
        <v/>
      </c>
      <c r="XN31" s="12">
        <f>ROUND(XK31*PremiumMix,0)</f>
        <v/>
      </c>
      <c r="XO31" s="12">
        <f>XK31-XM31-XN31</f>
        <v/>
      </c>
      <c r="XP31" s="12">
        <f>ROUND(XL31*EssentialMix,0)</f>
        <v/>
      </c>
      <c r="XQ31" s="12">
        <f>ROUND(XL31*PremiumMix,0)</f>
        <v/>
      </c>
      <c r="XR31" s="12">
        <f>XL31-XP31-XQ31</f>
        <v/>
      </c>
      <c r="XS31" s="12">
        <f>XM31+XM30+XM29+MAX(0,XS30-XM30-XM29)*(1-XF31)</f>
        <v/>
      </c>
      <c r="XT31" s="12">
        <f>XN31+XN30+XN29+MAX(0,XT30-XN30-XN29)*(1-XF31)</f>
        <v/>
      </c>
      <c r="XU31" s="12">
        <f>XO31+XO30+XO29+MAX(0,XU30-XO30-XO29)*(1-XF31)</f>
        <v/>
      </c>
      <c r="XV31" s="12">
        <f>XV30+XP31-XP19*(AnnualChurn*VLOOKUP(XB31,ChurnSeasonTable,4,FALSE))*POWER(1-(AnnualChurn*VLOOKUP(XB31,ChurnSeasonTable,4,FALSE)),0)+XP7*(AnnualChurn*VLOOKUP(XB31,ChurnSeasonTable,4,FALSE))*POWER(1-(AnnualChurn*VLOOKUP(XB31,ChurnSeasonTable,4,FALSE)),1)</f>
        <v/>
      </c>
      <c r="XW31" s="12">
        <f>XW30+XQ31-XQ19*(AnnualChurn*VLOOKUP(XB31,ChurnSeasonTable,4,FALSE))*POWER(1-(AnnualChurn*VLOOKUP(XB31,ChurnSeasonTable,4,FALSE)),0)+XQ7*(AnnualChurn*VLOOKUP(XB31,ChurnSeasonTable,4,FALSE))*POWER(1-(AnnualChurn*VLOOKUP(XB31,ChurnSeasonTable,4,FALSE)),1)</f>
        <v/>
      </c>
      <c r="XX31" s="12">
        <f>XX30+XR31-XR19*(AnnualChurn*VLOOKUP(XB31,ChurnSeasonTable,4,FALSE))*POWER(1-(AnnualChurn*VLOOKUP(XB31,ChurnSeasonTable,4,FALSE)),0)+XR7*(AnnualChurn*VLOOKUP(XB31,ChurnSeasonTable,4,FALSE))*POWER(1-(AnnualChurn*VLOOKUP(XB31,ChurnSeasonTable,4,FALSE)),1)</f>
        <v/>
      </c>
      <c r="XY31" s="12">
        <f>XS31+XT31+XU31+XV31+XW31+XX31</f>
        <v/>
      </c>
      <c r="XZ31" s="9">
        <f>XS31*BlendedPriceEssMonthly*XE31+XT31*BlendedPricePremMonthly*XE31+XU31*BlendedPriceEliteMonthly*XE31+XV31*BlendedPriceEssAnnual*XE31/12+XW31*BlendedPricePremAnnual*XE31/12+XX31*BlendedPriceEliteAnnual*XE31/12</f>
        <v/>
      </c>
      <c r="YA31" s="9">
        <f>XZ31*12</f>
        <v/>
      </c>
      <c r="YB31" s="12">
        <f>XS31*BlendedPriceEssMonthly*XE31+XT31*BlendedPricePremMonthly*XE31+XU31*BlendedPriceEliteMonthly*XE31</f>
        <v/>
      </c>
      <c r="YC31" s="12">
        <f>XP31*BlendedPriceEssAnnual*XE31+XQ31*BlendedPricePremAnnual*XE31+XR31*BlendedPriceEliteAnnual*XE31</f>
        <v/>
      </c>
      <c r="YD31" s="12">
        <f>XP19*POWER(1-(AnnualChurn*VLOOKUP(XB31,ChurnSeasonTable,4,FALSE)),1)*BlendedPriceEssAnnual*XE31+XP7*POWER(1-(AnnualChurn*VLOOKUP(XB31,ChurnSeasonTable,4,FALSE)),2)*BlendedPriceEssAnnual*XE31+XQ19*POWER(1-(AnnualChurn*VLOOKUP(XB31,ChurnSeasonTable,4,FALSE)),1)*BlendedPricePremAnnual*XE31+XQ7*POWER(1-(AnnualChurn*VLOOKUP(XB31,ChurnSeasonTable,4,FALSE)),2)*BlendedPricePremAnnual*XE31+XR19*POWER(1-(AnnualChurn*VLOOKUP(XB31,ChurnSeasonTable,4,FALSE)),1)*BlendedPriceEliteAnnual*XE31+XR7*POWER(1-(AnnualChurn*VLOOKUP(XB31,ChurnSeasonTable,4,FALSE)),2)*BlendedPriceEliteAnnual*XE31</f>
        <v/>
      </c>
      <c r="YE31" s="9">
        <f>YB31+YC31+YD31</f>
        <v/>
      </c>
      <c r="YF31" s="12">
        <f>SUM(YE20:YE31)</f>
        <v/>
      </c>
      <c r="YG31" s="12">
        <f>OR(YG30,IF(VATAgentMode,SUM($YE20:$YE31)-SUM($YL20:$YL31)&gt;=VATThreshold,SUM($YE20:$YE31)&gt;=VATThreshold))</f>
        <v/>
      </c>
      <c r="YH31" s="9">
        <f>IF(YG31,IF(VATAgentMode,YE31-((YE31-YL31)-(YE31-YL31)/(1+VATRate)),YE31/(1+VATRate)),YE31)</f>
        <v/>
      </c>
      <c r="YI31" s="12">
        <f>YE31-YH31</f>
        <v/>
      </c>
      <c r="YJ31" s="12">
        <f>IF(YG31=0,0,IF(XB31=1,SUMPRODUCT(--(($XC$5:$XC31=$XC31-1)*($XB$5:$XB31&gt;=10)*($XB$5:$XB31&lt;=12)),$YI$5:$YI31),IF(XB31=4,SUMPRODUCT(--(($XC$5:$XC31=$XC31)*($XB$5:$XB31&gt;=1)*($XB$5:$XB31&lt;=3)),$YI$5:$YI31),IF(XB31=7,SUMPRODUCT(--(($XC$5:$XC31=$XC31)*($XB$5:$XB31&gt;=4)*($XB$5:$XB31&lt;=6)),$YI$5:$YI31),IF(XB31=10,SUMPRODUCT(--(($XC$5:$XC31=$XC31)*($XB$5:$XB31&gt;=7)*($XB$5:$XB31&lt;=9)),$YI$5:$YI31),0)))))</f>
        <v/>
      </c>
      <c r="YK31" s="12">
        <f>YK30+YI31-YJ31</f>
        <v/>
      </c>
      <c r="YL31" s="12">
        <f>IF(ProviderDelay&gt;=1,XS30*BlendedProvPayEss+XT30*BlendedProvPayPrem+XU30*BlendedProvPayElite+XV30*BlendedProvPayEss+XW30*BlendedProvPayPrem+XX30*BlendedProvPayElite,XS31*BlendedProvPayEss+XT31*BlendedProvPayPrem+XU31*BlendedProvPayElite+XV31*BlendedProvPayEss+XW31*BlendedProvPayPrem+XX31*BlendedProvPayElite)</f>
        <v/>
      </c>
      <c r="YM31" s="12">
        <f>YE31*PaymentFee</f>
        <v/>
      </c>
      <c r="YN31" s="12">
        <f>XY31*OpsAI</f>
        <v/>
      </c>
      <c r="YO31" s="12">
        <f>MonthlyFixed</f>
        <v/>
      </c>
      <c r="YP31" s="12">
        <f>XI31*ReferralReward</f>
        <v/>
      </c>
      <c r="YQ31" s="12">
        <f>XG31</f>
        <v/>
      </c>
      <c r="YR31" s="9">
        <f>YH31-YL31-YM31-YN31-YO31-YP31-YQ31</f>
        <v/>
      </c>
      <c r="YS31" s="9">
        <f>YS30+YE31-(YL31+YM31+YN31+YO31+YP31+YQ31+YJ31)</f>
        <v/>
      </c>
      <c r="YT31" s="12">
        <f>IF(XY31&gt;0,XZ31/XY31,0)</f>
        <v/>
      </c>
      <c r="YU31" s="11">
        <f>IF(XY30&gt;0,MAX(0,(XY30+XJ31-XY31)/XY30),0)</f>
        <v/>
      </c>
      <c r="YW31" s="12" t="n">
        <v>27</v>
      </c>
      <c r="YX31" s="12">
        <f>MOD(YW31-1+LaunchMonth-1,12)+1</f>
        <v/>
      </c>
      <c r="YY31" s="12">
        <f>INT((YW31-1+LaunchMonth-1)/12)+1</f>
        <v/>
      </c>
      <c r="YZ31" s="12">
        <f>VLOOKUP(YX31,SeasonTable,2,FALSE)</f>
        <v/>
      </c>
      <c r="ZA31" s="12">
        <f>(1+InflationRate)^INT((YW31-1)/12)</f>
        <v/>
      </c>
      <c r="ZB31" s="11">
        <f>MonthlyChurn*VLOOKUP(YX31,ChurnSeasonTable,4,FALSE)</f>
        <v/>
      </c>
      <c r="ZC31" s="12">
        <f>MIN(MAX(MktMin19plus,AAA30*MktPct19plus),MAX(0,AAO30-CashBuffer))</f>
        <v/>
      </c>
      <c r="ZD31" s="12">
        <f>IF(ZC31&gt;0,MAX(1,ROUND(ZC31/CAC*YZ31,0)),0)</f>
        <v/>
      </c>
      <c r="ZE31" s="12">
        <f>IF(ZD31&gt;0,ROUND(ZD31*ReferralMix/(1-ReferralMix),0),0)</f>
        <v/>
      </c>
      <c r="ZF31" s="12">
        <f>ZD31+ZE31</f>
        <v/>
      </c>
      <c r="ZG31" s="12">
        <f>ROUND(ZF31*(1-'Sens - Annual Mix'!$A$11),0)</f>
        <v/>
      </c>
      <c r="ZH31" s="12">
        <f>ZF31-ZG31</f>
        <v/>
      </c>
      <c r="ZI31" s="12">
        <f>ROUND(ZG31*EssentialMix,0)</f>
        <v/>
      </c>
      <c r="ZJ31" s="12">
        <f>ROUND(ZG31*PremiumMix,0)</f>
        <v/>
      </c>
      <c r="ZK31" s="12">
        <f>ZG31-ZI31-ZJ31</f>
        <v/>
      </c>
      <c r="ZL31" s="12">
        <f>ROUND(ZH31*EssentialMix,0)</f>
        <v/>
      </c>
      <c r="ZM31" s="12">
        <f>ROUND(ZH31*PremiumMix,0)</f>
        <v/>
      </c>
      <c r="ZN31" s="12">
        <f>ZH31-ZL31-ZM31</f>
        <v/>
      </c>
      <c r="ZO31" s="12">
        <f>ZI31+ZI30+ZI29+MAX(0,ZO30-ZI30-ZI29)*(1-ZB31)</f>
        <v/>
      </c>
      <c r="ZP31" s="12">
        <f>ZJ31+ZJ30+ZJ29+MAX(0,ZP30-ZJ30-ZJ29)*(1-ZB31)</f>
        <v/>
      </c>
      <c r="ZQ31" s="12">
        <f>ZK31+ZK30+ZK29+MAX(0,ZQ30-ZK30-ZK29)*(1-ZB31)</f>
        <v/>
      </c>
      <c r="ZR31" s="12">
        <f>ZR30+ZL31-ZL19*(AnnualChurn*VLOOKUP(YX31,ChurnSeasonTable,4,FALSE))*POWER(1-(AnnualChurn*VLOOKUP(YX31,ChurnSeasonTable,4,FALSE)),0)+ZL7*(AnnualChurn*VLOOKUP(YX31,ChurnSeasonTable,4,FALSE))*POWER(1-(AnnualChurn*VLOOKUP(YX31,ChurnSeasonTable,4,FALSE)),1)</f>
        <v/>
      </c>
      <c r="ZS31" s="12">
        <f>ZS30+ZM31-ZM19*(AnnualChurn*VLOOKUP(YX31,ChurnSeasonTable,4,FALSE))*POWER(1-(AnnualChurn*VLOOKUP(YX31,ChurnSeasonTable,4,FALSE)),0)+ZM7*(AnnualChurn*VLOOKUP(YX31,ChurnSeasonTable,4,FALSE))*POWER(1-(AnnualChurn*VLOOKUP(YX31,ChurnSeasonTable,4,FALSE)),1)</f>
        <v/>
      </c>
      <c r="ZT31" s="12">
        <f>ZT30+ZN31-ZN19*(AnnualChurn*VLOOKUP(YX31,ChurnSeasonTable,4,FALSE))*POWER(1-(AnnualChurn*VLOOKUP(YX31,ChurnSeasonTable,4,FALSE)),0)+ZN7*(AnnualChurn*VLOOKUP(YX31,ChurnSeasonTable,4,FALSE))*POWER(1-(AnnualChurn*VLOOKUP(YX31,ChurnSeasonTable,4,FALSE)),1)</f>
        <v/>
      </c>
      <c r="ZU31" s="12">
        <f>ZO31+ZP31+ZQ31+ZR31+ZS31+ZT31</f>
        <v/>
      </c>
      <c r="ZV31" s="9">
        <f>ZO31*BlendedPriceEssMonthly*ZA31+ZP31*BlendedPricePremMonthly*ZA31+ZQ31*BlendedPriceEliteMonthly*ZA31+ZR31*BlendedPriceEssAnnual*ZA31/12+ZS31*BlendedPricePremAnnual*ZA31/12+ZT31*BlendedPriceEliteAnnual*ZA31/12</f>
        <v/>
      </c>
      <c r="ZW31" s="9">
        <f>ZV31*12</f>
        <v/>
      </c>
      <c r="ZX31" s="12">
        <f>ZO31*BlendedPriceEssMonthly*ZA31+ZP31*BlendedPricePremMonthly*ZA31+ZQ31*BlendedPriceEliteMonthly*ZA31</f>
        <v/>
      </c>
      <c r="ZY31" s="12">
        <f>ZL31*BlendedPriceEssAnnual*ZA31+ZM31*BlendedPricePremAnnual*ZA31+ZN31*BlendedPriceEliteAnnual*ZA31</f>
        <v/>
      </c>
      <c r="ZZ31" s="12">
        <f>ZL19*POWER(1-(AnnualChurn*VLOOKUP(YX31,ChurnSeasonTable,4,FALSE)),1)*BlendedPriceEssAnnual*ZA31+ZL7*POWER(1-(AnnualChurn*VLOOKUP(YX31,ChurnSeasonTable,4,FALSE)),2)*BlendedPriceEssAnnual*ZA31+ZM19*POWER(1-(AnnualChurn*VLOOKUP(YX31,ChurnSeasonTable,4,FALSE)),1)*BlendedPricePremAnnual*ZA31+ZM7*POWER(1-(AnnualChurn*VLOOKUP(YX31,ChurnSeasonTable,4,FALSE)),2)*BlendedPricePremAnnual*ZA31+ZN19*POWER(1-(AnnualChurn*VLOOKUP(YX31,ChurnSeasonTable,4,FALSE)),1)*BlendedPriceEliteAnnual*ZA31+ZN7*POWER(1-(AnnualChurn*VLOOKUP(YX31,ChurnSeasonTable,4,FALSE)),2)*BlendedPriceEliteAnnual*ZA31</f>
        <v/>
      </c>
      <c r="AAA31" s="9">
        <f>ZX31+ZY31+ZZ31</f>
        <v/>
      </c>
      <c r="AAB31" s="12">
        <f>SUM(AAA20:AAA31)</f>
        <v/>
      </c>
      <c r="AAC31" s="12">
        <f>OR(AAC30,IF(VATAgentMode,SUM($AAA20:$AAA31)-SUM($AAH20:$AAH31)&gt;=VATThreshold,SUM($AAA20:$AAA31)&gt;=VATThreshold))</f>
        <v/>
      </c>
      <c r="AAD31" s="9">
        <f>IF(AAC31,IF(VATAgentMode,AAA31-((AAA31-AAH31)-(AAA31-AAH31)/(1+VATRate)),AAA31/(1+VATRate)),AAA31)</f>
        <v/>
      </c>
      <c r="AAE31" s="12">
        <f>AAA31-AAD31</f>
        <v/>
      </c>
      <c r="AAF31" s="12">
        <f>IF(AAC31=0,0,IF(YX31=1,SUMPRODUCT(--(($YY$5:$YY31=$YY31-1)*($YX$5:$YX31&gt;=10)*($YX$5:$YX31&lt;=12)),$AAE$5:$AAE31),IF(YX31=4,SUMPRODUCT(--(($YY$5:$YY31=$YY31)*($YX$5:$YX31&gt;=1)*($YX$5:$YX31&lt;=3)),$AAE$5:$AAE31),IF(YX31=7,SUMPRODUCT(--(($YY$5:$YY31=$YY31)*($YX$5:$YX31&gt;=4)*($YX$5:$YX31&lt;=6)),$AAE$5:$AAE31),IF(YX31=10,SUMPRODUCT(--(($YY$5:$YY31=$YY31)*($YX$5:$YX31&gt;=7)*($YX$5:$YX31&lt;=9)),$AAE$5:$AAE31),0)))))</f>
        <v/>
      </c>
      <c r="AAG31" s="12">
        <f>AAG30+AAE31-AAF31</f>
        <v/>
      </c>
      <c r="AAH31" s="12">
        <f>IF(ProviderDelay&gt;=1,ZO30*BlendedProvPayEss+ZP30*BlendedProvPayPrem+ZQ30*BlendedProvPayElite+ZR30*BlendedProvPayEss+ZS30*BlendedProvPayPrem+ZT30*BlendedProvPayElite,ZO31*BlendedProvPayEss+ZP31*BlendedProvPayPrem+ZQ31*BlendedProvPayElite+ZR31*BlendedProvPayEss+ZS31*BlendedProvPayPrem+ZT31*BlendedProvPayElite)</f>
        <v/>
      </c>
      <c r="AAI31" s="12">
        <f>AAA31*PaymentFee</f>
        <v/>
      </c>
      <c r="AAJ31" s="12">
        <f>ZU31*OpsAI</f>
        <v/>
      </c>
      <c r="AAK31" s="12">
        <f>MonthlyFixed</f>
        <v/>
      </c>
      <c r="AAL31" s="12">
        <f>ZE31*ReferralReward</f>
        <v/>
      </c>
      <c r="AAM31" s="12">
        <f>ZC31</f>
        <v/>
      </c>
      <c r="AAN31" s="9">
        <f>AAD31-AAH31-AAI31-AAJ31-AAK31-AAL31-AAM31</f>
        <v/>
      </c>
      <c r="AAO31" s="9">
        <f>AAO30+AAA31-(AAH31+AAI31+AAJ31+AAK31+AAL31+AAM31+AAF31)</f>
        <v/>
      </c>
      <c r="AAP31" s="12">
        <f>IF(ZU31&gt;0,ZV31/ZU31,0)</f>
        <v/>
      </c>
      <c r="AAQ31" s="11">
        <f>IF(ZU30&gt;0,MAX(0,(ZU30+ZF31-ZU31)/ZU30),0)</f>
        <v/>
      </c>
      <c r="AAS31" s="12" t="n">
        <v>27</v>
      </c>
      <c r="AAT31" s="12">
        <f>MOD(AAS31-1+LaunchMonth-1,12)+1</f>
        <v/>
      </c>
      <c r="AAU31" s="12">
        <f>INT((AAS31-1+LaunchMonth-1)/12)+1</f>
        <v/>
      </c>
      <c r="AAV31" s="12">
        <f>VLOOKUP(AAT31,SeasonTable,2,FALSE)</f>
        <v/>
      </c>
      <c r="AAW31" s="12">
        <f>(1+InflationRate)^INT((AAS31-1)/12)</f>
        <v/>
      </c>
      <c r="AAX31" s="11">
        <f>MonthlyChurn*VLOOKUP(AAT31,ChurnSeasonTable,4,FALSE)</f>
        <v/>
      </c>
      <c r="AAY31" s="12">
        <f>MIN(MAX(MktMin19plus,ABW30*MktPct19plus),MAX(0,ACK30-CashBuffer))</f>
        <v/>
      </c>
      <c r="AAZ31" s="12">
        <f>IF(AAY31&gt;0,MAX(1,ROUND(AAY31/CAC*AAV31,0)),0)</f>
        <v/>
      </c>
      <c r="ABA31" s="12">
        <f>IF(AAZ31&gt;0,ROUND(AAZ31*ReferralMix/(1-ReferralMix),0),0)</f>
        <v/>
      </c>
      <c r="ABB31" s="12">
        <f>AAZ31+ABA31</f>
        <v/>
      </c>
      <c r="ABC31" s="12">
        <f>ROUND(ABB31*(1-'Sens - Annual Mix'!$A$12),0)</f>
        <v/>
      </c>
      <c r="ABD31" s="12">
        <f>ABB31-ABC31</f>
        <v/>
      </c>
      <c r="ABE31" s="12">
        <f>ROUND(ABC31*EssentialMix,0)</f>
        <v/>
      </c>
      <c r="ABF31" s="12">
        <f>ROUND(ABC31*PremiumMix,0)</f>
        <v/>
      </c>
      <c r="ABG31" s="12">
        <f>ABC31-ABE31-ABF31</f>
        <v/>
      </c>
      <c r="ABH31" s="12">
        <f>ROUND(ABD31*EssentialMix,0)</f>
        <v/>
      </c>
      <c r="ABI31" s="12">
        <f>ROUND(ABD31*PremiumMix,0)</f>
        <v/>
      </c>
      <c r="ABJ31" s="12">
        <f>ABD31-ABH31-ABI31</f>
        <v/>
      </c>
      <c r="ABK31" s="12">
        <f>ABE31+ABE30+ABE29+MAX(0,ABK30-ABE30-ABE29)*(1-AAX31)</f>
        <v/>
      </c>
      <c r="ABL31" s="12">
        <f>ABF31+ABF30+ABF29+MAX(0,ABL30-ABF30-ABF29)*(1-AAX31)</f>
        <v/>
      </c>
      <c r="ABM31" s="12">
        <f>ABG31+ABG30+ABG29+MAX(0,ABM30-ABG30-ABG29)*(1-AAX31)</f>
        <v/>
      </c>
      <c r="ABN31" s="12">
        <f>ABN30+ABH31-ABH19*(AnnualChurn*VLOOKUP(AAT31,ChurnSeasonTable,4,FALSE))*POWER(1-(AnnualChurn*VLOOKUP(AAT31,ChurnSeasonTable,4,FALSE)),0)+ABH7*(AnnualChurn*VLOOKUP(AAT31,ChurnSeasonTable,4,FALSE))*POWER(1-(AnnualChurn*VLOOKUP(AAT31,ChurnSeasonTable,4,FALSE)),1)</f>
        <v/>
      </c>
      <c r="ABO31" s="12">
        <f>ABO30+ABI31-ABI19*(AnnualChurn*VLOOKUP(AAT31,ChurnSeasonTable,4,FALSE))*POWER(1-(AnnualChurn*VLOOKUP(AAT31,ChurnSeasonTable,4,FALSE)),0)+ABI7*(AnnualChurn*VLOOKUP(AAT31,ChurnSeasonTable,4,FALSE))*POWER(1-(AnnualChurn*VLOOKUP(AAT31,ChurnSeasonTable,4,FALSE)),1)</f>
        <v/>
      </c>
      <c r="ABP31" s="12">
        <f>ABP30+ABJ31-ABJ19*(AnnualChurn*VLOOKUP(AAT31,ChurnSeasonTable,4,FALSE))*POWER(1-(AnnualChurn*VLOOKUP(AAT31,ChurnSeasonTable,4,FALSE)),0)+ABJ7*(AnnualChurn*VLOOKUP(AAT31,ChurnSeasonTable,4,FALSE))*POWER(1-(AnnualChurn*VLOOKUP(AAT31,ChurnSeasonTable,4,FALSE)),1)</f>
        <v/>
      </c>
      <c r="ABQ31" s="12">
        <f>ABK31+ABL31+ABM31+ABN31+ABO31+ABP31</f>
        <v/>
      </c>
      <c r="ABR31" s="9">
        <f>ABK31*BlendedPriceEssMonthly*AAW31+ABL31*BlendedPricePremMonthly*AAW31+ABM31*BlendedPriceEliteMonthly*AAW31+ABN31*BlendedPriceEssAnnual*AAW31/12+ABO31*BlendedPricePremAnnual*AAW31/12+ABP31*BlendedPriceEliteAnnual*AAW31/12</f>
        <v/>
      </c>
      <c r="ABS31" s="9">
        <f>ABR31*12</f>
        <v/>
      </c>
      <c r="ABT31" s="12">
        <f>ABK31*BlendedPriceEssMonthly*AAW31+ABL31*BlendedPricePremMonthly*AAW31+ABM31*BlendedPriceEliteMonthly*AAW31</f>
        <v/>
      </c>
      <c r="ABU31" s="12">
        <f>ABH31*BlendedPriceEssAnnual*AAW31+ABI31*BlendedPricePremAnnual*AAW31+ABJ31*BlendedPriceEliteAnnual*AAW31</f>
        <v/>
      </c>
      <c r="ABV31" s="12">
        <f>ABH19*POWER(1-(AnnualChurn*VLOOKUP(AAT31,ChurnSeasonTable,4,FALSE)),1)*BlendedPriceEssAnnual*AAW31+ABH7*POWER(1-(AnnualChurn*VLOOKUP(AAT31,ChurnSeasonTable,4,FALSE)),2)*BlendedPriceEssAnnual*AAW31+ABI19*POWER(1-(AnnualChurn*VLOOKUP(AAT31,ChurnSeasonTable,4,FALSE)),1)*BlendedPricePremAnnual*AAW31+ABI7*POWER(1-(AnnualChurn*VLOOKUP(AAT31,ChurnSeasonTable,4,FALSE)),2)*BlendedPricePremAnnual*AAW31+ABJ19*POWER(1-(AnnualChurn*VLOOKUP(AAT31,ChurnSeasonTable,4,FALSE)),1)*BlendedPriceEliteAnnual*AAW31+ABJ7*POWER(1-(AnnualChurn*VLOOKUP(AAT31,ChurnSeasonTable,4,FALSE)),2)*BlendedPriceEliteAnnual*AAW31</f>
        <v/>
      </c>
      <c r="ABW31" s="9">
        <f>ABT31+ABU31+ABV31</f>
        <v/>
      </c>
      <c r="ABX31" s="12">
        <f>SUM(ABW20:ABW31)</f>
        <v/>
      </c>
      <c r="ABY31" s="12">
        <f>OR(ABY30,IF(VATAgentMode,SUM($ABW20:$ABW31)-SUM($ACD20:$ACD31)&gt;=VATThreshold,SUM($ABW20:$ABW31)&gt;=VATThreshold))</f>
        <v/>
      </c>
      <c r="ABZ31" s="9">
        <f>IF(ABY31,IF(VATAgentMode,ABW31-((ABW31-ACD31)-(ABW31-ACD31)/(1+VATRate)),ABW31/(1+VATRate)),ABW31)</f>
        <v/>
      </c>
      <c r="ACA31" s="12">
        <f>ABW31-ABZ31</f>
        <v/>
      </c>
      <c r="ACB31" s="12">
        <f>IF(ABY31=0,0,IF(AAT31=1,SUMPRODUCT(--(($AAU$5:$AAU31=$AAU31-1)*($AAT$5:$AAT31&gt;=10)*($AAT$5:$AAT31&lt;=12)),$ACA$5:$ACA31),IF(AAT31=4,SUMPRODUCT(--(($AAU$5:$AAU31=$AAU31)*($AAT$5:$AAT31&gt;=1)*($AAT$5:$AAT31&lt;=3)),$ACA$5:$ACA31),IF(AAT31=7,SUMPRODUCT(--(($AAU$5:$AAU31=$AAU31)*($AAT$5:$AAT31&gt;=4)*($AAT$5:$AAT31&lt;=6)),$ACA$5:$ACA31),IF(AAT31=10,SUMPRODUCT(--(($AAU$5:$AAU31=$AAU31)*($AAT$5:$AAT31&gt;=7)*($AAT$5:$AAT31&lt;=9)),$ACA$5:$ACA31),0)))))</f>
        <v/>
      </c>
      <c r="ACC31" s="12">
        <f>ACC30+ACA31-ACB31</f>
        <v/>
      </c>
      <c r="ACD31" s="12">
        <f>IF(ProviderDelay&gt;=1,ABK30*BlendedProvPayEss+ABL30*BlendedProvPayPrem+ABM30*BlendedProvPayElite+ABN30*BlendedProvPayEss+ABO30*BlendedProvPayPrem+ABP30*BlendedProvPayElite,ABK31*BlendedProvPayEss+ABL31*BlendedProvPayPrem+ABM31*BlendedProvPayElite+ABN31*BlendedProvPayEss+ABO31*BlendedProvPayPrem+ABP31*BlendedProvPayElite)</f>
        <v/>
      </c>
      <c r="ACE31" s="12">
        <f>ABW31*PaymentFee</f>
        <v/>
      </c>
      <c r="ACF31" s="12">
        <f>ABQ31*OpsAI</f>
        <v/>
      </c>
      <c r="ACG31" s="12">
        <f>MonthlyFixed</f>
        <v/>
      </c>
      <c r="ACH31" s="12">
        <f>ABA31*ReferralReward</f>
        <v/>
      </c>
      <c r="ACI31" s="12">
        <f>AAY31</f>
        <v/>
      </c>
      <c r="ACJ31" s="9">
        <f>ABZ31-ACD31-ACE31-ACF31-ACG31-ACH31-ACI31</f>
        <v/>
      </c>
      <c r="ACK31" s="9">
        <f>ACK30+ABW31-(ACD31+ACE31+ACF31+ACG31+ACH31+ACI31+ACB31)</f>
        <v/>
      </c>
      <c r="ACL31" s="12">
        <f>IF(ABQ31&gt;0,ABR31/ABQ31,0)</f>
        <v/>
      </c>
      <c r="ACM31" s="11">
        <f>IF(ABQ30&gt;0,MAX(0,(ABQ30+ABB31-ABQ31)/ABQ30),0)</f>
        <v/>
      </c>
      <c r="ACO31" s="12" t="n">
        <v>27</v>
      </c>
      <c r="ACP31" s="12">
        <f>MOD(ACO31-1+LaunchMonth-1,12)+1</f>
        <v/>
      </c>
      <c r="ACQ31" s="12">
        <f>INT((ACO31-1+LaunchMonth-1)/12)+1</f>
        <v/>
      </c>
      <c r="ACR31" s="12">
        <f>VLOOKUP(ACP31,SeasonTable,2,FALSE)</f>
        <v/>
      </c>
      <c r="ACS31" s="12">
        <f>(1+InflationRate)^INT((ACO31-1)/12)</f>
        <v/>
      </c>
      <c r="ACT31" s="11">
        <f>MonthlyChurn*VLOOKUP(ACP31,ChurnSeasonTable,4,FALSE)</f>
        <v/>
      </c>
      <c r="ACU31" s="12">
        <f>MIN(MAX(MktMin19plus,ADS30*MktPct19plus),MAX(0,AEG30-CashBuffer))</f>
        <v/>
      </c>
      <c r="ACV31" s="12">
        <f>IF(ACU31&gt;0,MAX(1,ROUND(ACU31/CAC*ACR31,0)),0)</f>
        <v/>
      </c>
      <c r="ACW31" s="12">
        <f>IF(ACV31&gt;0,ROUND(ACV31*ReferralMix/(1-ReferralMix),0),0)</f>
        <v/>
      </c>
      <c r="ACX31" s="12">
        <f>ACV31+ACW31</f>
        <v/>
      </c>
      <c r="ACY31" s="12">
        <f>ROUND(ACX31*(1-'Sens - Annual Mix'!$A$13),0)</f>
        <v/>
      </c>
      <c r="ACZ31" s="12">
        <f>ACX31-ACY31</f>
        <v/>
      </c>
      <c r="ADA31" s="12">
        <f>ROUND(ACY31*EssentialMix,0)</f>
        <v/>
      </c>
      <c r="ADB31" s="12">
        <f>ROUND(ACY31*PremiumMix,0)</f>
        <v/>
      </c>
      <c r="ADC31" s="12">
        <f>ACY31-ADA31-ADB31</f>
        <v/>
      </c>
      <c r="ADD31" s="12">
        <f>ROUND(ACZ31*EssentialMix,0)</f>
        <v/>
      </c>
      <c r="ADE31" s="12">
        <f>ROUND(ACZ31*PremiumMix,0)</f>
        <v/>
      </c>
      <c r="ADF31" s="12">
        <f>ACZ31-ADD31-ADE31</f>
        <v/>
      </c>
      <c r="ADG31" s="12">
        <f>ADA31+ADA30+ADA29+MAX(0,ADG30-ADA30-ADA29)*(1-ACT31)</f>
        <v/>
      </c>
      <c r="ADH31" s="12">
        <f>ADB31+ADB30+ADB29+MAX(0,ADH30-ADB30-ADB29)*(1-ACT31)</f>
        <v/>
      </c>
      <c r="ADI31" s="12">
        <f>ADC31+ADC30+ADC29+MAX(0,ADI30-ADC30-ADC29)*(1-ACT31)</f>
        <v/>
      </c>
      <c r="ADJ31" s="12">
        <f>ADJ30+ADD31-ADD19*(AnnualChurn*VLOOKUP(ACP31,ChurnSeasonTable,4,FALSE))*POWER(1-(AnnualChurn*VLOOKUP(ACP31,ChurnSeasonTable,4,FALSE)),0)+ADD7*(AnnualChurn*VLOOKUP(ACP31,ChurnSeasonTable,4,FALSE))*POWER(1-(AnnualChurn*VLOOKUP(ACP31,ChurnSeasonTable,4,FALSE)),1)</f>
        <v/>
      </c>
      <c r="ADK31" s="12">
        <f>ADK30+ADE31-ADE19*(AnnualChurn*VLOOKUP(ACP31,ChurnSeasonTable,4,FALSE))*POWER(1-(AnnualChurn*VLOOKUP(ACP31,ChurnSeasonTable,4,FALSE)),0)+ADE7*(AnnualChurn*VLOOKUP(ACP31,ChurnSeasonTable,4,FALSE))*POWER(1-(AnnualChurn*VLOOKUP(ACP31,ChurnSeasonTable,4,FALSE)),1)</f>
        <v/>
      </c>
      <c r="ADL31" s="12">
        <f>ADL30+ADF31-ADF19*(AnnualChurn*VLOOKUP(ACP31,ChurnSeasonTable,4,FALSE))*POWER(1-(AnnualChurn*VLOOKUP(ACP31,ChurnSeasonTable,4,FALSE)),0)+ADF7*(AnnualChurn*VLOOKUP(ACP31,ChurnSeasonTable,4,FALSE))*POWER(1-(AnnualChurn*VLOOKUP(ACP31,ChurnSeasonTable,4,FALSE)),1)</f>
        <v/>
      </c>
      <c r="ADM31" s="12">
        <f>ADG31+ADH31+ADI31+ADJ31+ADK31+ADL31</f>
        <v/>
      </c>
      <c r="ADN31" s="9">
        <f>ADG31*BlendedPriceEssMonthly*ACS31+ADH31*BlendedPricePremMonthly*ACS31+ADI31*BlendedPriceEliteMonthly*ACS31+ADJ31*BlendedPriceEssAnnual*ACS31/12+ADK31*BlendedPricePremAnnual*ACS31/12+ADL31*BlendedPriceEliteAnnual*ACS31/12</f>
        <v/>
      </c>
      <c r="ADO31" s="9">
        <f>ADN31*12</f>
        <v/>
      </c>
      <c r="ADP31" s="12">
        <f>ADG31*BlendedPriceEssMonthly*ACS31+ADH31*BlendedPricePremMonthly*ACS31+ADI31*BlendedPriceEliteMonthly*ACS31</f>
        <v/>
      </c>
      <c r="ADQ31" s="12">
        <f>ADD31*BlendedPriceEssAnnual*ACS31+ADE31*BlendedPricePremAnnual*ACS31+ADF31*BlendedPriceEliteAnnual*ACS31</f>
        <v/>
      </c>
      <c r="ADR31" s="12">
        <f>ADD19*POWER(1-(AnnualChurn*VLOOKUP(ACP31,ChurnSeasonTable,4,FALSE)),1)*BlendedPriceEssAnnual*ACS31+ADD7*POWER(1-(AnnualChurn*VLOOKUP(ACP31,ChurnSeasonTable,4,FALSE)),2)*BlendedPriceEssAnnual*ACS31+ADE19*POWER(1-(AnnualChurn*VLOOKUP(ACP31,ChurnSeasonTable,4,FALSE)),1)*BlendedPricePremAnnual*ACS31+ADE7*POWER(1-(AnnualChurn*VLOOKUP(ACP31,ChurnSeasonTable,4,FALSE)),2)*BlendedPricePremAnnual*ACS31+ADF19*POWER(1-(AnnualChurn*VLOOKUP(ACP31,ChurnSeasonTable,4,FALSE)),1)*BlendedPriceEliteAnnual*ACS31+ADF7*POWER(1-(AnnualChurn*VLOOKUP(ACP31,ChurnSeasonTable,4,FALSE)),2)*BlendedPriceEliteAnnual*ACS31</f>
        <v/>
      </c>
      <c r="ADS31" s="9">
        <f>ADP31+ADQ31+ADR31</f>
        <v/>
      </c>
      <c r="ADT31" s="12">
        <f>SUM(ADS20:ADS31)</f>
        <v/>
      </c>
      <c r="ADU31" s="12">
        <f>OR(ADU30,IF(VATAgentMode,SUM($ADS20:$ADS31)-SUM($ADZ20:$ADZ31)&gt;=VATThreshold,SUM($ADS20:$ADS31)&gt;=VATThreshold))</f>
        <v/>
      </c>
      <c r="ADV31" s="9">
        <f>IF(ADU31,IF(VATAgentMode,ADS31-((ADS31-ADZ31)-(ADS31-ADZ31)/(1+VATRate)),ADS31/(1+VATRate)),ADS31)</f>
        <v/>
      </c>
      <c r="ADW31" s="12">
        <f>ADS31-ADV31</f>
        <v/>
      </c>
      <c r="ADX31" s="12">
        <f>IF(ADU31=0,0,IF(ACP31=1,SUMPRODUCT(--(($ACQ$5:$ACQ31=$ACQ31-1)*($ACP$5:$ACP31&gt;=10)*($ACP$5:$ACP31&lt;=12)),$ADW$5:$ADW31),IF(ACP31=4,SUMPRODUCT(--(($ACQ$5:$ACQ31=$ACQ31)*($ACP$5:$ACP31&gt;=1)*($ACP$5:$ACP31&lt;=3)),$ADW$5:$ADW31),IF(ACP31=7,SUMPRODUCT(--(($ACQ$5:$ACQ31=$ACQ31)*($ACP$5:$ACP31&gt;=4)*($ACP$5:$ACP31&lt;=6)),$ADW$5:$ADW31),IF(ACP31=10,SUMPRODUCT(--(($ACQ$5:$ACQ31=$ACQ31)*($ACP$5:$ACP31&gt;=7)*($ACP$5:$ACP31&lt;=9)),$ADW$5:$ADW31),0)))))</f>
        <v/>
      </c>
      <c r="ADY31" s="12">
        <f>ADY30+ADW31-ADX31</f>
        <v/>
      </c>
      <c r="ADZ31" s="12">
        <f>IF(ProviderDelay&gt;=1,ADG30*BlendedProvPayEss+ADH30*BlendedProvPayPrem+ADI30*BlendedProvPayElite+ADJ30*BlendedProvPayEss+ADK30*BlendedProvPayPrem+ADL30*BlendedProvPayElite,ADG31*BlendedProvPayEss+ADH31*BlendedProvPayPrem+ADI31*BlendedProvPayElite+ADJ31*BlendedProvPayEss+ADK31*BlendedProvPayPrem+ADL31*BlendedProvPayElite)</f>
        <v/>
      </c>
      <c r="AEA31" s="12">
        <f>ADS31*PaymentFee</f>
        <v/>
      </c>
      <c r="AEB31" s="12">
        <f>ADM31*OpsAI</f>
        <v/>
      </c>
      <c r="AEC31" s="12">
        <f>MonthlyFixed</f>
        <v/>
      </c>
      <c r="AED31" s="12">
        <f>ACW31*ReferralReward</f>
        <v/>
      </c>
      <c r="AEE31" s="12">
        <f>ACU31</f>
        <v/>
      </c>
      <c r="AEF31" s="9">
        <f>ADV31-ADZ31-AEA31-AEB31-AEC31-AED31-AEE31</f>
        <v/>
      </c>
      <c r="AEG31" s="9">
        <f>AEG30+ADS31-(ADZ31+AEA31+AEB31+AEC31+AED31+AEE31+ADX31)</f>
        <v/>
      </c>
      <c r="AEH31" s="12">
        <f>IF(ADM31&gt;0,ADN31/ADM31,0)</f>
        <v/>
      </c>
      <c r="AEI31" s="11">
        <f>IF(ADM30&gt;0,MAX(0,(ADM30+ACX31-ADM31)/ADM30),0)</f>
        <v/>
      </c>
      <c r="AEK31" s="12" t="n">
        <v>27</v>
      </c>
      <c r="AEL31" s="12">
        <f>MOD(AEK31-1+LaunchMonth-1,12)+1</f>
        <v/>
      </c>
      <c r="AEM31" s="12">
        <f>INT((AEK31-1+LaunchMonth-1)/12)+1</f>
        <v/>
      </c>
      <c r="AEN31" s="12">
        <f>VLOOKUP(AEL31,SeasonTable,2,FALSE)</f>
        <v/>
      </c>
      <c r="AEO31" s="12">
        <f>(1+InflationRate)^INT((AEK31-1)/12)</f>
        <v/>
      </c>
      <c r="AEP31" s="11">
        <f>MonthlyChurn*VLOOKUP(AEL31,ChurnSeasonTable,4,FALSE)</f>
        <v/>
      </c>
      <c r="AEQ31" s="12">
        <f>MIN(MAX(MktMin19plus,AFO30*MktPct19plus),MAX(0,AGC30-CashBuffer))</f>
        <v/>
      </c>
      <c r="AER31" s="12">
        <f>IF(AEQ31&gt;0,MAX(1,ROUND(AEQ31/CAC*AEN31,0)),0)</f>
        <v/>
      </c>
      <c r="AES31" s="12">
        <f>IF(AER31&gt;0,ROUND(AER31*ReferralMix/(1-ReferralMix),0),0)</f>
        <v/>
      </c>
      <c r="AET31" s="12">
        <f>AER31+AES31</f>
        <v/>
      </c>
      <c r="AEU31" s="12">
        <f>ROUND(AET31*(1-'Sens - Annual Mix'!$A$14),0)</f>
        <v/>
      </c>
      <c r="AEV31" s="12">
        <f>AET31-AEU31</f>
        <v/>
      </c>
      <c r="AEW31" s="12">
        <f>ROUND(AEU31*EssentialMix,0)</f>
        <v/>
      </c>
      <c r="AEX31" s="12">
        <f>ROUND(AEU31*PremiumMix,0)</f>
        <v/>
      </c>
      <c r="AEY31" s="12">
        <f>AEU31-AEW31-AEX31</f>
        <v/>
      </c>
      <c r="AEZ31" s="12">
        <f>ROUND(AEV31*EssentialMix,0)</f>
        <v/>
      </c>
      <c r="AFA31" s="12">
        <f>ROUND(AEV31*PremiumMix,0)</f>
        <v/>
      </c>
      <c r="AFB31" s="12">
        <f>AEV31-AEZ31-AFA31</f>
        <v/>
      </c>
      <c r="AFC31" s="12">
        <f>AEW31+AEW30+AEW29+MAX(0,AFC30-AEW30-AEW29)*(1-AEP31)</f>
        <v/>
      </c>
      <c r="AFD31" s="12">
        <f>AEX31+AEX30+AEX29+MAX(0,AFD30-AEX30-AEX29)*(1-AEP31)</f>
        <v/>
      </c>
      <c r="AFE31" s="12">
        <f>AEY31+AEY30+AEY29+MAX(0,AFE30-AEY30-AEY29)*(1-AEP31)</f>
        <v/>
      </c>
      <c r="AFF31" s="12">
        <f>AFF30+AEZ31-AEZ19*(AnnualChurn*VLOOKUP(AEL31,ChurnSeasonTable,4,FALSE))*POWER(1-(AnnualChurn*VLOOKUP(AEL31,ChurnSeasonTable,4,FALSE)),0)+AEZ7*(AnnualChurn*VLOOKUP(AEL31,ChurnSeasonTable,4,FALSE))*POWER(1-(AnnualChurn*VLOOKUP(AEL31,ChurnSeasonTable,4,FALSE)),1)</f>
        <v/>
      </c>
      <c r="AFG31" s="12">
        <f>AFG30+AFA31-AFA19*(AnnualChurn*VLOOKUP(AEL31,ChurnSeasonTable,4,FALSE))*POWER(1-(AnnualChurn*VLOOKUP(AEL31,ChurnSeasonTable,4,FALSE)),0)+AFA7*(AnnualChurn*VLOOKUP(AEL31,ChurnSeasonTable,4,FALSE))*POWER(1-(AnnualChurn*VLOOKUP(AEL31,ChurnSeasonTable,4,FALSE)),1)</f>
        <v/>
      </c>
      <c r="AFH31" s="12">
        <f>AFH30+AFB31-AFB19*(AnnualChurn*VLOOKUP(AEL31,ChurnSeasonTable,4,FALSE))*POWER(1-(AnnualChurn*VLOOKUP(AEL31,ChurnSeasonTable,4,FALSE)),0)+AFB7*(AnnualChurn*VLOOKUP(AEL31,ChurnSeasonTable,4,FALSE))*POWER(1-(AnnualChurn*VLOOKUP(AEL31,ChurnSeasonTable,4,FALSE)),1)</f>
        <v/>
      </c>
      <c r="AFI31" s="12">
        <f>AFC31+AFD31+AFE31+AFF31+AFG31+AFH31</f>
        <v/>
      </c>
      <c r="AFJ31" s="9">
        <f>AFC31*BlendedPriceEssMonthly*AEO31+AFD31*BlendedPricePremMonthly*AEO31+AFE31*BlendedPriceEliteMonthly*AEO31+AFF31*BlendedPriceEssAnnual*AEO31/12+AFG31*BlendedPricePremAnnual*AEO31/12+AFH31*BlendedPriceEliteAnnual*AEO31/12</f>
        <v/>
      </c>
      <c r="AFK31" s="9">
        <f>AFJ31*12</f>
        <v/>
      </c>
      <c r="AFL31" s="12">
        <f>AFC31*BlendedPriceEssMonthly*AEO31+AFD31*BlendedPricePremMonthly*AEO31+AFE31*BlendedPriceEliteMonthly*AEO31</f>
        <v/>
      </c>
      <c r="AFM31" s="12">
        <f>AEZ31*BlendedPriceEssAnnual*AEO31+AFA31*BlendedPricePremAnnual*AEO31+AFB31*BlendedPriceEliteAnnual*AEO31</f>
        <v/>
      </c>
      <c r="AFN31" s="12">
        <f>AEZ19*POWER(1-(AnnualChurn*VLOOKUP(AEL31,ChurnSeasonTable,4,FALSE)),1)*BlendedPriceEssAnnual*AEO31+AEZ7*POWER(1-(AnnualChurn*VLOOKUP(AEL31,ChurnSeasonTable,4,FALSE)),2)*BlendedPriceEssAnnual*AEO31+AFA19*POWER(1-(AnnualChurn*VLOOKUP(AEL31,ChurnSeasonTable,4,FALSE)),1)*BlendedPricePremAnnual*AEO31+AFA7*POWER(1-(AnnualChurn*VLOOKUP(AEL31,ChurnSeasonTable,4,FALSE)),2)*BlendedPricePremAnnual*AEO31+AFB19*POWER(1-(AnnualChurn*VLOOKUP(AEL31,ChurnSeasonTable,4,FALSE)),1)*BlendedPriceEliteAnnual*AEO31+AFB7*POWER(1-(AnnualChurn*VLOOKUP(AEL31,ChurnSeasonTable,4,FALSE)),2)*BlendedPriceEliteAnnual*AEO31</f>
        <v/>
      </c>
      <c r="AFO31" s="9">
        <f>AFL31+AFM31+AFN31</f>
        <v/>
      </c>
      <c r="AFP31" s="12">
        <f>SUM(AFO20:AFO31)</f>
        <v/>
      </c>
      <c r="AFQ31" s="12">
        <f>OR(AFQ30,IF(VATAgentMode,SUM($AFO20:$AFO31)-SUM($AFV20:$AFV31)&gt;=VATThreshold,SUM($AFO20:$AFO31)&gt;=VATThreshold))</f>
        <v/>
      </c>
      <c r="AFR31" s="9">
        <f>IF(AFQ31,IF(VATAgentMode,AFO31-((AFO31-AFV31)-(AFO31-AFV31)/(1+VATRate)),AFO31/(1+VATRate)),AFO31)</f>
        <v/>
      </c>
      <c r="AFS31" s="12">
        <f>AFO31-AFR31</f>
        <v/>
      </c>
      <c r="AFT31" s="12">
        <f>IF(AFQ31=0,0,IF(AEL31=1,SUMPRODUCT(--(($AEM$5:$AEM31=$AEM31-1)*($AEL$5:$AEL31&gt;=10)*($AEL$5:$AEL31&lt;=12)),$AFS$5:$AFS31),IF(AEL31=4,SUMPRODUCT(--(($AEM$5:$AEM31=$AEM31)*($AEL$5:$AEL31&gt;=1)*($AEL$5:$AEL31&lt;=3)),$AFS$5:$AFS31),IF(AEL31=7,SUMPRODUCT(--(($AEM$5:$AEM31=$AEM31)*($AEL$5:$AEL31&gt;=4)*($AEL$5:$AEL31&lt;=6)),$AFS$5:$AFS31),IF(AEL31=10,SUMPRODUCT(--(($AEM$5:$AEM31=$AEM31)*($AEL$5:$AEL31&gt;=7)*($AEL$5:$AEL31&lt;=9)),$AFS$5:$AFS31),0)))))</f>
        <v/>
      </c>
      <c r="AFU31" s="12">
        <f>AFU30+AFS31-AFT31</f>
        <v/>
      </c>
      <c r="AFV31" s="12">
        <f>IF(ProviderDelay&gt;=1,AFC30*BlendedProvPayEss+AFD30*BlendedProvPayPrem+AFE30*BlendedProvPayElite+AFF30*BlendedProvPayEss+AFG30*BlendedProvPayPrem+AFH30*BlendedProvPayElite,AFC31*BlendedProvPayEss+AFD31*BlendedProvPayPrem+AFE31*BlendedProvPayElite+AFF31*BlendedProvPayEss+AFG31*BlendedProvPayPrem+AFH31*BlendedProvPayElite)</f>
        <v/>
      </c>
      <c r="AFW31" s="12">
        <f>AFO31*PaymentFee</f>
        <v/>
      </c>
      <c r="AFX31" s="12">
        <f>AFI31*OpsAI</f>
        <v/>
      </c>
      <c r="AFY31" s="12">
        <f>MonthlyFixed</f>
        <v/>
      </c>
      <c r="AFZ31" s="12">
        <f>AES31*ReferralReward</f>
        <v/>
      </c>
      <c r="AGA31" s="12">
        <f>AEQ31</f>
        <v/>
      </c>
      <c r="AGB31" s="9">
        <f>AFR31-AFV31-AFW31-AFX31-AFY31-AFZ31-AGA31</f>
        <v/>
      </c>
      <c r="AGC31" s="9">
        <f>AGC30+AFO31-(AFV31+AFW31+AFX31+AFY31+AFZ31+AGA31+AFT31)</f>
        <v/>
      </c>
      <c r="AGD31" s="12">
        <f>IF(AFI31&gt;0,AFJ31/AFI31,0)</f>
        <v/>
      </c>
      <c r="AGE31" s="11">
        <f>IF(AFI30&gt;0,MAX(0,(AFI30+AET31-AFI31)/AFI30),0)</f>
        <v/>
      </c>
      <c r="AGG31" s="12" t="n">
        <v>27</v>
      </c>
      <c r="AGH31" s="12">
        <f>MOD(AGG31-1+LaunchMonth-1,12)+1</f>
        <v/>
      </c>
      <c r="AGI31" s="12">
        <f>INT((AGG31-1+LaunchMonth-1)/12)+1</f>
        <v/>
      </c>
      <c r="AGJ31" s="12">
        <f>VLOOKUP(AGH31,SeasonTable,2,FALSE)</f>
        <v/>
      </c>
      <c r="AGK31" s="12">
        <f>(1+InflationRate)^INT((AGG31-1)/12)</f>
        <v/>
      </c>
      <c r="AGL31" s="11">
        <f>MonthlyChurn*VLOOKUP(AGH31,ChurnSeasonTable,4,FALSE)</f>
        <v/>
      </c>
      <c r="AGM31" s="12">
        <f>MIN(MAX(MktMin19plus,AHK30*MktPct19plus),MAX(0,AHY30-CashBuffer))</f>
        <v/>
      </c>
      <c r="AGN31" s="12">
        <f>IF(AGM31&gt;0,MAX(1,ROUND(AGM31/CAC*AGJ31,0)),0)</f>
        <v/>
      </c>
      <c r="AGO31" s="12">
        <f>IF(AGN31&gt;0,ROUND(AGN31*ReferralMix/(1-ReferralMix),0),0)</f>
        <v/>
      </c>
      <c r="AGP31" s="12">
        <f>AGN31+AGO31</f>
        <v/>
      </c>
      <c r="AGQ31" s="12">
        <f>ROUND(AGP31*(1-'Sens - Annual Mix'!$A$15),0)</f>
        <v/>
      </c>
      <c r="AGR31" s="12">
        <f>AGP31-AGQ31</f>
        <v/>
      </c>
      <c r="AGS31" s="12">
        <f>ROUND(AGQ31*EssentialMix,0)</f>
        <v/>
      </c>
      <c r="AGT31" s="12">
        <f>ROUND(AGQ31*PremiumMix,0)</f>
        <v/>
      </c>
      <c r="AGU31" s="12">
        <f>AGQ31-AGS31-AGT31</f>
        <v/>
      </c>
      <c r="AGV31" s="12">
        <f>ROUND(AGR31*EssentialMix,0)</f>
        <v/>
      </c>
      <c r="AGW31" s="12">
        <f>ROUND(AGR31*PremiumMix,0)</f>
        <v/>
      </c>
      <c r="AGX31" s="12">
        <f>AGR31-AGV31-AGW31</f>
        <v/>
      </c>
      <c r="AGY31" s="12">
        <f>AGS31+AGS30+AGS29+MAX(0,AGY30-AGS30-AGS29)*(1-AGL31)</f>
        <v/>
      </c>
      <c r="AGZ31" s="12">
        <f>AGT31+AGT30+AGT29+MAX(0,AGZ30-AGT30-AGT29)*(1-AGL31)</f>
        <v/>
      </c>
      <c r="AHA31" s="12">
        <f>AGU31+AGU30+AGU29+MAX(0,AHA30-AGU30-AGU29)*(1-AGL31)</f>
        <v/>
      </c>
      <c r="AHB31" s="12">
        <f>AHB30+AGV31-AGV19*(AnnualChurn*VLOOKUP(AGH31,ChurnSeasonTable,4,FALSE))*POWER(1-(AnnualChurn*VLOOKUP(AGH31,ChurnSeasonTable,4,FALSE)),0)+AGV7*(AnnualChurn*VLOOKUP(AGH31,ChurnSeasonTable,4,FALSE))*POWER(1-(AnnualChurn*VLOOKUP(AGH31,ChurnSeasonTable,4,FALSE)),1)</f>
        <v/>
      </c>
      <c r="AHC31" s="12">
        <f>AHC30+AGW31-AGW19*(AnnualChurn*VLOOKUP(AGH31,ChurnSeasonTable,4,FALSE))*POWER(1-(AnnualChurn*VLOOKUP(AGH31,ChurnSeasonTable,4,FALSE)),0)+AGW7*(AnnualChurn*VLOOKUP(AGH31,ChurnSeasonTable,4,FALSE))*POWER(1-(AnnualChurn*VLOOKUP(AGH31,ChurnSeasonTable,4,FALSE)),1)</f>
        <v/>
      </c>
      <c r="AHD31" s="12">
        <f>AHD30+AGX31-AGX19*(AnnualChurn*VLOOKUP(AGH31,ChurnSeasonTable,4,FALSE))*POWER(1-(AnnualChurn*VLOOKUP(AGH31,ChurnSeasonTable,4,FALSE)),0)+AGX7*(AnnualChurn*VLOOKUP(AGH31,ChurnSeasonTable,4,FALSE))*POWER(1-(AnnualChurn*VLOOKUP(AGH31,ChurnSeasonTable,4,FALSE)),1)</f>
        <v/>
      </c>
      <c r="AHE31" s="12">
        <f>AGY31+AGZ31+AHA31+AHB31+AHC31+AHD31</f>
        <v/>
      </c>
      <c r="AHF31" s="9">
        <f>AGY31*BlendedPriceEssMonthly*AGK31+AGZ31*BlendedPricePremMonthly*AGK31+AHA31*BlendedPriceEliteMonthly*AGK31+AHB31*BlendedPriceEssAnnual*AGK31/12+AHC31*BlendedPricePremAnnual*AGK31/12+AHD31*BlendedPriceEliteAnnual*AGK31/12</f>
        <v/>
      </c>
      <c r="AHG31" s="9">
        <f>AHF31*12</f>
        <v/>
      </c>
      <c r="AHH31" s="12">
        <f>AGY31*BlendedPriceEssMonthly*AGK31+AGZ31*BlendedPricePremMonthly*AGK31+AHA31*BlendedPriceEliteMonthly*AGK31</f>
        <v/>
      </c>
      <c r="AHI31" s="12">
        <f>AGV31*BlendedPriceEssAnnual*AGK31+AGW31*BlendedPricePremAnnual*AGK31+AGX31*BlendedPriceEliteAnnual*AGK31</f>
        <v/>
      </c>
      <c r="AHJ31" s="12">
        <f>AGV19*POWER(1-(AnnualChurn*VLOOKUP(AGH31,ChurnSeasonTable,4,FALSE)),1)*BlendedPriceEssAnnual*AGK31+AGV7*POWER(1-(AnnualChurn*VLOOKUP(AGH31,ChurnSeasonTable,4,FALSE)),2)*BlendedPriceEssAnnual*AGK31+AGW19*POWER(1-(AnnualChurn*VLOOKUP(AGH31,ChurnSeasonTable,4,FALSE)),1)*BlendedPricePremAnnual*AGK31+AGW7*POWER(1-(AnnualChurn*VLOOKUP(AGH31,ChurnSeasonTable,4,FALSE)),2)*BlendedPricePremAnnual*AGK31+AGX19*POWER(1-(AnnualChurn*VLOOKUP(AGH31,ChurnSeasonTable,4,FALSE)),1)*BlendedPriceEliteAnnual*AGK31+AGX7*POWER(1-(AnnualChurn*VLOOKUP(AGH31,ChurnSeasonTable,4,FALSE)),2)*BlendedPriceEliteAnnual*AGK31</f>
        <v/>
      </c>
      <c r="AHK31" s="9">
        <f>AHH31+AHI31+AHJ31</f>
        <v/>
      </c>
      <c r="AHL31" s="12">
        <f>SUM(AHK20:AHK31)</f>
        <v/>
      </c>
      <c r="AHM31" s="12">
        <f>OR(AHM30,IF(VATAgentMode,SUM($AHK20:$AHK31)-SUM($AHR20:$AHR31)&gt;=VATThreshold,SUM($AHK20:$AHK31)&gt;=VATThreshold))</f>
        <v/>
      </c>
      <c r="AHN31" s="9">
        <f>IF(AHM31,IF(VATAgentMode,AHK31-((AHK31-AHR31)-(AHK31-AHR31)/(1+VATRate)),AHK31/(1+VATRate)),AHK31)</f>
        <v/>
      </c>
      <c r="AHO31" s="12">
        <f>AHK31-AHN31</f>
        <v/>
      </c>
      <c r="AHP31" s="12">
        <f>IF(AHM31=0,0,IF(AGH31=1,SUMPRODUCT(--(($AGI$5:$AGI31=$AGI31-1)*($AGH$5:$AGH31&gt;=10)*($AGH$5:$AGH31&lt;=12)),$AHO$5:$AHO31),IF(AGH31=4,SUMPRODUCT(--(($AGI$5:$AGI31=$AGI31)*($AGH$5:$AGH31&gt;=1)*($AGH$5:$AGH31&lt;=3)),$AHO$5:$AHO31),IF(AGH31=7,SUMPRODUCT(--(($AGI$5:$AGI31=$AGI31)*($AGH$5:$AGH31&gt;=4)*($AGH$5:$AGH31&lt;=6)),$AHO$5:$AHO31),IF(AGH31=10,SUMPRODUCT(--(($AGI$5:$AGI31=$AGI31)*($AGH$5:$AGH31&gt;=7)*($AGH$5:$AGH31&lt;=9)),$AHO$5:$AHO31),0)))))</f>
        <v/>
      </c>
      <c r="AHQ31" s="12">
        <f>AHQ30+AHO31-AHP31</f>
        <v/>
      </c>
      <c r="AHR31" s="12">
        <f>IF(ProviderDelay&gt;=1,AGY30*BlendedProvPayEss+AGZ30*BlendedProvPayPrem+AHA30*BlendedProvPayElite+AHB30*BlendedProvPayEss+AHC30*BlendedProvPayPrem+AHD30*BlendedProvPayElite,AGY31*BlendedProvPayEss+AGZ31*BlendedProvPayPrem+AHA31*BlendedProvPayElite+AHB31*BlendedProvPayEss+AHC31*BlendedProvPayPrem+AHD31*BlendedProvPayElite)</f>
        <v/>
      </c>
      <c r="AHS31" s="12">
        <f>AHK31*PaymentFee</f>
        <v/>
      </c>
      <c r="AHT31" s="12">
        <f>AHE31*OpsAI</f>
        <v/>
      </c>
      <c r="AHU31" s="12">
        <f>MonthlyFixed</f>
        <v/>
      </c>
      <c r="AHV31" s="12">
        <f>AGO31*ReferralReward</f>
        <v/>
      </c>
      <c r="AHW31" s="12">
        <f>AGM31</f>
        <v/>
      </c>
      <c r="AHX31" s="9">
        <f>AHN31-AHR31-AHS31-AHT31-AHU31-AHV31-AHW31</f>
        <v/>
      </c>
      <c r="AHY31" s="9">
        <f>AHY30+AHK31-(AHR31+AHS31+AHT31+AHU31+AHV31+AHW31+AHP31)</f>
        <v/>
      </c>
      <c r="AHZ31" s="12">
        <f>IF(AHE31&gt;0,AHF31/AHE31,0)</f>
        <v/>
      </c>
      <c r="AIA31" s="11">
        <f>IF(AHE30&gt;0,MAX(0,(AHE30+AGP31-AHE31)/AHE30),0)</f>
        <v/>
      </c>
      <c r="AIC31" s="12" t="n">
        <v>27</v>
      </c>
      <c r="AID31" s="12">
        <f>MOD(AIC31-1+LaunchMonth-1,12)+1</f>
        <v/>
      </c>
      <c r="AIE31" s="12">
        <f>INT((AIC31-1+LaunchMonth-1)/12)+1</f>
        <v/>
      </c>
      <c r="AIF31" s="12">
        <f>VLOOKUP(AID31,SeasonTable,2,FALSE)</f>
        <v/>
      </c>
      <c r="AIG31" s="12">
        <f>(1+InflationRate)^INT((AIC31-1)/12)</f>
        <v/>
      </c>
      <c r="AIH31" s="11">
        <f>MonthlyChurn*VLOOKUP(AID31,ChurnSeasonTable,4,FALSE)</f>
        <v/>
      </c>
      <c r="AII31" s="12">
        <f>MIN(MAX(MktMin19plus,AJG30*MktPct19plus),MAX(0,AJU30-CashBuffer))</f>
        <v/>
      </c>
      <c r="AIJ31" s="12">
        <f>IF(AII31&gt;0,MAX(1,ROUND(AII31/'Sens - CAC &amp; Marketing'!$A$9*AIF31,0)),0)</f>
        <v/>
      </c>
      <c r="AIK31" s="12">
        <f>IF(AIJ31&gt;0,ROUND(AIJ31*ReferralMix/(1-ReferralMix),0),0)</f>
        <v/>
      </c>
      <c r="AIL31" s="12">
        <f>AIJ31+AIK31</f>
        <v/>
      </c>
      <c r="AIM31" s="12">
        <f>ROUND(AIL31*(1-AnnualMix),0)</f>
        <v/>
      </c>
      <c r="AIN31" s="12">
        <f>AIL31-AIM31</f>
        <v/>
      </c>
      <c r="AIO31" s="12">
        <f>ROUND(AIM31*EssentialMix,0)</f>
        <v/>
      </c>
      <c r="AIP31" s="12">
        <f>ROUND(AIM31*PremiumMix,0)</f>
        <v/>
      </c>
      <c r="AIQ31" s="12">
        <f>AIM31-AIO31-AIP31</f>
        <v/>
      </c>
      <c r="AIR31" s="12">
        <f>ROUND(AIN31*EssentialMix,0)</f>
        <v/>
      </c>
      <c r="AIS31" s="12">
        <f>ROUND(AIN31*PremiumMix,0)</f>
        <v/>
      </c>
      <c r="AIT31" s="12">
        <f>AIN31-AIR31-AIS31</f>
        <v/>
      </c>
      <c r="AIU31" s="12">
        <f>AIO31+AIO30+AIO29+MAX(0,AIU30-AIO30-AIO29)*(1-AIH31)</f>
        <v/>
      </c>
      <c r="AIV31" s="12">
        <f>AIP31+AIP30+AIP29+MAX(0,AIV30-AIP30-AIP29)*(1-AIH31)</f>
        <v/>
      </c>
      <c r="AIW31" s="12">
        <f>AIQ31+AIQ30+AIQ29+MAX(0,AIW30-AIQ30-AIQ29)*(1-AIH31)</f>
        <v/>
      </c>
      <c r="AIX31" s="12">
        <f>AIX30+AIR31-AIR19*(AnnualChurn*VLOOKUP(AID31,ChurnSeasonTable,4,FALSE))*POWER(1-(AnnualChurn*VLOOKUP(AID31,ChurnSeasonTable,4,FALSE)),0)+AIR7*(AnnualChurn*VLOOKUP(AID31,ChurnSeasonTable,4,FALSE))*POWER(1-(AnnualChurn*VLOOKUP(AID31,ChurnSeasonTable,4,FALSE)),1)</f>
        <v/>
      </c>
      <c r="AIY31" s="12">
        <f>AIY30+AIS31-AIS19*(AnnualChurn*VLOOKUP(AID31,ChurnSeasonTable,4,FALSE))*POWER(1-(AnnualChurn*VLOOKUP(AID31,ChurnSeasonTable,4,FALSE)),0)+AIS7*(AnnualChurn*VLOOKUP(AID31,ChurnSeasonTable,4,FALSE))*POWER(1-(AnnualChurn*VLOOKUP(AID31,ChurnSeasonTable,4,FALSE)),1)</f>
        <v/>
      </c>
      <c r="AIZ31" s="12">
        <f>AIZ30+AIT31-AIT19*(AnnualChurn*VLOOKUP(AID31,ChurnSeasonTable,4,FALSE))*POWER(1-(AnnualChurn*VLOOKUP(AID31,ChurnSeasonTable,4,FALSE)),0)+AIT7*(AnnualChurn*VLOOKUP(AID31,ChurnSeasonTable,4,FALSE))*POWER(1-(AnnualChurn*VLOOKUP(AID31,ChurnSeasonTable,4,FALSE)),1)</f>
        <v/>
      </c>
      <c r="AJA31" s="12">
        <f>AIU31+AIV31+AIW31+AIX31+AIY31+AIZ31</f>
        <v/>
      </c>
      <c r="AJB31" s="9">
        <f>AIU31*BlendedPriceEssMonthly*AIG31+AIV31*BlendedPricePremMonthly*AIG31+AIW31*BlendedPriceEliteMonthly*AIG31+AIX31*BlendedPriceEssAnnual*AIG31/12+AIY31*BlendedPricePremAnnual*AIG31/12+AIZ31*BlendedPriceEliteAnnual*AIG31/12</f>
        <v/>
      </c>
      <c r="AJC31" s="9">
        <f>AJB31*12</f>
        <v/>
      </c>
      <c r="AJD31" s="12">
        <f>AIU31*BlendedPriceEssMonthly*AIG31+AIV31*BlendedPricePremMonthly*AIG31+AIW31*BlendedPriceEliteMonthly*AIG31</f>
        <v/>
      </c>
      <c r="AJE31" s="12">
        <f>AIR31*BlendedPriceEssAnnual*AIG31+AIS31*BlendedPricePremAnnual*AIG31+AIT31*BlendedPriceEliteAnnual*AIG31</f>
        <v/>
      </c>
      <c r="AJF31" s="12">
        <f>AIR19*POWER(1-(AnnualChurn*VLOOKUP(AID31,ChurnSeasonTable,4,FALSE)),1)*BlendedPriceEssAnnual*AIG31+AIR7*POWER(1-(AnnualChurn*VLOOKUP(AID31,ChurnSeasonTable,4,FALSE)),2)*BlendedPriceEssAnnual*AIG31+AIS19*POWER(1-(AnnualChurn*VLOOKUP(AID31,ChurnSeasonTable,4,FALSE)),1)*BlendedPricePremAnnual*AIG31+AIS7*POWER(1-(AnnualChurn*VLOOKUP(AID31,ChurnSeasonTable,4,FALSE)),2)*BlendedPricePremAnnual*AIG31+AIT19*POWER(1-(AnnualChurn*VLOOKUP(AID31,ChurnSeasonTable,4,FALSE)),1)*BlendedPriceEliteAnnual*AIG31+AIT7*POWER(1-(AnnualChurn*VLOOKUP(AID31,ChurnSeasonTable,4,FALSE)),2)*BlendedPriceEliteAnnual*AIG31</f>
        <v/>
      </c>
      <c r="AJG31" s="9">
        <f>AJD31+AJE31+AJF31</f>
        <v/>
      </c>
      <c r="AJH31" s="12">
        <f>SUM(AJG20:AJG31)</f>
        <v/>
      </c>
      <c r="AJI31" s="12">
        <f>OR(AJI30,IF(VATAgentMode,SUM($AJG20:$AJG31)-SUM($AJN20:$AJN31)&gt;=VATThreshold,SUM($AJG20:$AJG31)&gt;=VATThreshold))</f>
        <v/>
      </c>
      <c r="AJJ31" s="9">
        <f>IF(AJI31,IF(VATAgentMode,AJG31-((AJG31-AJN31)-(AJG31-AJN31)/(1+VATRate)),AJG31/(1+VATRate)),AJG31)</f>
        <v/>
      </c>
      <c r="AJK31" s="12">
        <f>AJG31-AJJ31</f>
        <v/>
      </c>
      <c r="AJL31" s="12">
        <f>IF(AJI31=0,0,IF(AID31=1,SUMPRODUCT(--(($AIE$5:$AIE31=$AIE31-1)*($AID$5:$AID31&gt;=10)*($AID$5:$AID31&lt;=12)),$AJK$5:$AJK31),IF(AID31=4,SUMPRODUCT(--(($AIE$5:$AIE31=$AIE31)*($AID$5:$AID31&gt;=1)*($AID$5:$AID31&lt;=3)),$AJK$5:$AJK31),IF(AID31=7,SUMPRODUCT(--(($AIE$5:$AIE31=$AIE31)*($AID$5:$AID31&gt;=4)*($AID$5:$AID31&lt;=6)),$AJK$5:$AJK31),IF(AID31=10,SUMPRODUCT(--(($AIE$5:$AIE31=$AIE31)*($AID$5:$AID31&gt;=7)*($AID$5:$AID31&lt;=9)),$AJK$5:$AJK31),0)))))</f>
        <v/>
      </c>
      <c r="AJM31" s="12">
        <f>AJM30+AJK31-AJL31</f>
        <v/>
      </c>
      <c r="AJN31" s="12">
        <f>IF(ProviderDelay&gt;=1,AIU30*BlendedProvPayEss+AIV30*BlendedProvPayPrem+AIW30*BlendedProvPayElite+AIX30*BlendedProvPayEss+AIY30*BlendedProvPayPrem+AIZ30*BlendedProvPayElite,AIU31*BlendedProvPayEss+AIV31*BlendedProvPayPrem+AIW31*BlendedProvPayElite+AIX31*BlendedProvPayEss+AIY31*BlendedProvPayPrem+AIZ31*BlendedProvPayElite)</f>
        <v/>
      </c>
      <c r="AJO31" s="12">
        <f>AJG31*PaymentFee</f>
        <v/>
      </c>
      <c r="AJP31" s="12">
        <f>AJA31*OpsAI</f>
        <v/>
      </c>
      <c r="AJQ31" s="12">
        <f>MonthlyFixed</f>
        <v/>
      </c>
      <c r="AJR31" s="12">
        <f>AIK31*ReferralReward</f>
        <v/>
      </c>
      <c r="AJS31" s="12">
        <f>AII31</f>
        <v/>
      </c>
      <c r="AJT31" s="9">
        <f>AJJ31-AJN31-AJO31-AJP31-AJQ31-AJR31-AJS31</f>
        <v/>
      </c>
      <c r="AJU31" s="9">
        <f>AJU30+AJG31-(AJN31+AJO31+AJP31+AJQ31+AJR31+AJS31+AJL31)</f>
        <v/>
      </c>
      <c r="AJV31" s="12">
        <f>IF(AJA31&gt;0,AJB31/AJA31,0)</f>
        <v/>
      </c>
      <c r="AJW31" s="11">
        <f>IF(AJA30&gt;0,MAX(0,(AJA30+AIL31-AJA31)/AJA30),0)</f>
        <v/>
      </c>
      <c r="AJY31" s="12" t="n">
        <v>27</v>
      </c>
      <c r="AJZ31" s="12">
        <f>MOD(AJY31-1+LaunchMonth-1,12)+1</f>
        <v/>
      </c>
      <c r="AKA31" s="12">
        <f>INT((AJY31-1+LaunchMonth-1)/12)+1</f>
        <v/>
      </c>
      <c r="AKB31" s="12">
        <f>VLOOKUP(AJZ31,SeasonTable,2,FALSE)</f>
        <v/>
      </c>
      <c r="AKC31" s="12">
        <f>(1+InflationRate)^INT((AJY31-1)/12)</f>
        <v/>
      </c>
      <c r="AKD31" s="11">
        <f>MonthlyChurn*VLOOKUP(AJZ31,ChurnSeasonTable,4,FALSE)</f>
        <v/>
      </c>
      <c r="AKE31" s="12">
        <f>MIN(MAX(MktMin19plus,ALC30*MktPct19plus),MAX(0,ALQ30-CashBuffer))</f>
        <v/>
      </c>
      <c r="AKF31" s="12">
        <f>IF(AKE31&gt;0,MAX(1,ROUND(AKE31/'Sens - CAC &amp; Marketing'!$A$10*AKB31,0)),0)</f>
        <v/>
      </c>
      <c r="AKG31" s="12">
        <f>IF(AKF31&gt;0,ROUND(AKF31*ReferralMix/(1-ReferralMix),0),0)</f>
        <v/>
      </c>
      <c r="AKH31" s="12">
        <f>AKF31+AKG31</f>
        <v/>
      </c>
      <c r="AKI31" s="12">
        <f>ROUND(AKH31*(1-AnnualMix),0)</f>
        <v/>
      </c>
      <c r="AKJ31" s="12">
        <f>AKH31-AKI31</f>
        <v/>
      </c>
      <c r="AKK31" s="12">
        <f>ROUND(AKI31*EssentialMix,0)</f>
        <v/>
      </c>
      <c r="AKL31" s="12">
        <f>ROUND(AKI31*PremiumMix,0)</f>
        <v/>
      </c>
      <c r="AKM31" s="12">
        <f>AKI31-AKK31-AKL31</f>
        <v/>
      </c>
      <c r="AKN31" s="12">
        <f>ROUND(AKJ31*EssentialMix,0)</f>
        <v/>
      </c>
      <c r="AKO31" s="12">
        <f>ROUND(AKJ31*PremiumMix,0)</f>
        <v/>
      </c>
      <c r="AKP31" s="12">
        <f>AKJ31-AKN31-AKO31</f>
        <v/>
      </c>
      <c r="AKQ31" s="12">
        <f>AKK31+AKK30+AKK29+MAX(0,AKQ30-AKK30-AKK29)*(1-AKD31)</f>
        <v/>
      </c>
      <c r="AKR31" s="12">
        <f>AKL31+AKL30+AKL29+MAX(0,AKR30-AKL30-AKL29)*(1-AKD31)</f>
        <v/>
      </c>
      <c r="AKS31" s="12">
        <f>AKM31+AKM30+AKM29+MAX(0,AKS30-AKM30-AKM29)*(1-AKD31)</f>
        <v/>
      </c>
      <c r="AKT31" s="12">
        <f>AKT30+AKN31-AKN19*(AnnualChurn*VLOOKUP(AJZ31,ChurnSeasonTable,4,FALSE))*POWER(1-(AnnualChurn*VLOOKUP(AJZ31,ChurnSeasonTable,4,FALSE)),0)+AKN7*(AnnualChurn*VLOOKUP(AJZ31,ChurnSeasonTable,4,FALSE))*POWER(1-(AnnualChurn*VLOOKUP(AJZ31,ChurnSeasonTable,4,FALSE)),1)</f>
        <v/>
      </c>
      <c r="AKU31" s="12">
        <f>AKU30+AKO31-AKO19*(AnnualChurn*VLOOKUP(AJZ31,ChurnSeasonTable,4,FALSE))*POWER(1-(AnnualChurn*VLOOKUP(AJZ31,ChurnSeasonTable,4,FALSE)),0)+AKO7*(AnnualChurn*VLOOKUP(AJZ31,ChurnSeasonTable,4,FALSE))*POWER(1-(AnnualChurn*VLOOKUP(AJZ31,ChurnSeasonTable,4,FALSE)),1)</f>
        <v/>
      </c>
      <c r="AKV31" s="12">
        <f>AKV30+AKP31-AKP19*(AnnualChurn*VLOOKUP(AJZ31,ChurnSeasonTable,4,FALSE))*POWER(1-(AnnualChurn*VLOOKUP(AJZ31,ChurnSeasonTable,4,FALSE)),0)+AKP7*(AnnualChurn*VLOOKUP(AJZ31,ChurnSeasonTable,4,FALSE))*POWER(1-(AnnualChurn*VLOOKUP(AJZ31,ChurnSeasonTable,4,FALSE)),1)</f>
        <v/>
      </c>
      <c r="AKW31" s="12">
        <f>AKQ31+AKR31+AKS31+AKT31+AKU31+AKV31</f>
        <v/>
      </c>
      <c r="AKX31" s="9">
        <f>AKQ31*BlendedPriceEssMonthly*AKC31+AKR31*BlendedPricePremMonthly*AKC31+AKS31*BlendedPriceEliteMonthly*AKC31+AKT31*BlendedPriceEssAnnual*AKC31/12+AKU31*BlendedPricePremAnnual*AKC31/12+AKV31*BlendedPriceEliteAnnual*AKC31/12</f>
        <v/>
      </c>
      <c r="AKY31" s="9">
        <f>AKX31*12</f>
        <v/>
      </c>
      <c r="AKZ31" s="12">
        <f>AKQ31*BlendedPriceEssMonthly*AKC31+AKR31*BlendedPricePremMonthly*AKC31+AKS31*BlendedPriceEliteMonthly*AKC31</f>
        <v/>
      </c>
      <c r="ALA31" s="12">
        <f>AKN31*BlendedPriceEssAnnual*AKC31+AKO31*BlendedPricePremAnnual*AKC31+AKP31*BlendedPriceEliteAnnual*AKC31</f>
        <v/>
      </c>
      <c r="ALB31" s="12">
        <f>AKN19*POWER(1-(AnnualChurn*VLOOKUP(AJZ31,ChurnSeasonTable,4,FALSE)),1)*BlendedPriceEssAnnual*AKC31+AKN7*POWER(1-(AnnualChurn*VLOOKUP(AJZ31,ChurnSeasonTable,4,FALSE)),2)*BlendedPriceEssAnnual*AKC31+AKO19*POWER(1-(AnnualChurn*VLOOKUP(AJZ31,ChurnSeasonTable,4,FALSE)),1)*BlendedPricePremAnnual*AKC31+AKO7*POWER(1-(AnnualChurn*VLOOKUP(AJZ31,ChurnSeasonTable,4,FALSE)),2)*BlendedPricePremAnnual*AKC31+AKP19*POWER(1-(AnnualChurn*VLOOKUP(AJZ31,ChurnSeasonTable,4,FALSE)),1)*BlendedPriceEliteAnnual*AKC31+AKP7*POWER(1-(AnnualChurn*VLOOKUP(AJZ31,ChurnSeasonTable,4,FALSE)),2)*BlendedPriceEliteAnnual*AKC31</f>
        <v/>
      </c>
      <c r="ALC31" s="9">
        <f>AKZ31+ALA31+ALB31</f>
        <v/>
      </c>
      <c r="ALD31" s="12">
        <f>SUM(ALC20:ALC31)</f>
        <v/>
      </c>
      <c r="ALE31" s="12">
        <f>OR(ALE30,IF(VATAgentMode,SUM($ALC20:$ALC31)-SUM($ALJ20:$ALJ31)&gt;=VATThreshold,SUM($ALC20:$ALC31)&gt;=VATThreshold))</f>
        <v/>
      </c>
      <c r="ALF31" s="9">
        <f>IF(ALE31,IF(VATAgentMode,ALC31-((ALC31-ALJ31)-(ALC31-ALJ31)/(1+VATRate)),ALC31/(1+VATRate)),ALC31)</f>
        <v/>
      </c>
      <c r="ALG31" s="12">
        <f>ALC31-ALF31</f>
        <v/>
      </c>
      <c r="ALH31" s="12">
        <f>IF(ALE31=0,0,IF(AJZ31=1,SUMPRODUCT(--(($AKA$5:$AKA31=$AKA31-1)*($AJZ$5:$AJZ31&gt;=10)*($AJZ$5:$AJZ31&lt;=12)),$ALG$5:$ALG31),IF(AJZ31=4,SUMPRODUCT(--(($AKA$5:$AKA31=$AKA31)*($AJZ$5:$AJZ31&gt;=1)*($AJZ$5:$AJZ31&lt;=3)),$ALG$5:$ALG31),IF(AJZ31=7,SUMPRODUCT(--(($AKA$5:$AKA31=$AKA31)*($AJZ$5:$AJZ31&gt;=4)*($AJZ$5:$AJZ31&lt;=6)),$ALG$5:$ALG31),IF(AJZ31=10,SUMPRODUCT(--(($AKA$5:$AKA31=$AKA31)*($AJZ$5:$AJZ31&gt;=7)*($AJZ$5:$AJZ31&lt;=9)),$ALG$5:$ALG31),0)))))</f>
        <v/>
      </c>
      <c r="ALI31" s="12">
        <f>ALI30+ALG31-ALH31</f>
        <v/>
      </c>
      <c r="ALJ31" s="12">
        <f>IF(ProviderDelay&gt;=1,AKQ30*BlendedProvPayEss+AKR30*BlendedProvPayPrem+AKS30*BlendedProvPayElite+AKT30*BlendedProvPayEss+AKU30*BlendedProvPayPrem+AKV30*BlendedProvPayElite,AKQ31*BlendedProvPayEss+AKR31*BlendedProvPayPrem+AKS31*BlendedProvPayElite+AKT31*BlendedProvPayEss+AKU31*BlendedProvPayPrem+AKV31*BlendedProvPayElite)</f>
        <v/>
      </c>
      <c r="ALK31" s="12">
        <f>ALC31*PaymentFee</f>
        <v/>
      </c>
      <c r="ALL31" s="12">
        <f>AKW31*OpsAI</f>
        <v/>
      </c>
      <c r="ALM31" s="12">
        <f>MonthlyFixed</f>
        <v/>
      </c>
      <c r="ALN31" s="12">
        <f>AKG31*ReferralReward</f>
        <v/>
      </c>
      <c r="ALO31" s="12">
        <f>AKE31</f>
        <v/>
      </c>
      <c r="ALP31" s="9">
        <f>ALF31-ALJ31-ALK31-ALL31-ALM31-ALN31-ALO31</f>
        <v/>
      </c>
      <c r="ALQ31" s="9">
        <f>ALQ30+ALC31-(ALJ31+ALK31+ALL31+ALM31+ALN31+ALO31+ALH31)</f>
        <v/>
      </c>
      <c r="ALR31" s="12">
        <f>IF(AKW31&gt;0,AKX31/AKW31,0)</f>
        <v/>
      </c>
      <c r="ALS31" s="11">
        <f>IF(AKW30&gt;0,MAX(0,(AKW30+AKH31-AKW31)/AKW30),0)</f>
        <v/>
      </c>
      <c r="ALU31" s="12" t="n">
        <v>27</v>
      </c>
      <c r="ALV31" s="12">
        <f>MOD(ALU31-1+LaunchMonth-1,12)+1</f>
        <v/>
      </c>
      <c r="ALW31" s="12">
        <f>INT((ALU31-1+LaunchMonth-1)/12)+1</f>
        <v/>
      </c>
      <c r="ALX31" s="12">
        <f>VLOOKUP(ALV31,SeasonTable,2,FALSE)</f>
        <v/>
      </c>
      <c r="ALY31" s="12">
        <f>(1+InflationRate)^INT((ALU31-1)/12)</f>
        <v/>
      </c>
      <c r="ALZ31" s="11">
        <f>MonthlyChurn*VLOOKUP(ALV31,ChurnSeasonTable,4,FALSE)</f>
        <v/>
      </c>
      <c r="AMA31" s="12">
        <f>MIN(MAX(MktMin19plus,AMY30*MktPct19plus),MAX(0,ANM30-CashBuffer))</f>
        <v/>
      </c>
      <c r="AMB31" s="12">
        <f>IF(AMA31&gt;0,MAX(1,ROUND(AMA31/'Sens - CAC &amp; Marketing'!$A$11*ALX31,0)),0)</f>
        <v/>
      </c>
      <c r="AMC31" s="12">
        <f>IF(AMB31&gt;0,ROUND(AMB31*ReferralMix/(1-ReferralMix),0),0)</f>
        <v/>
      </c>
      <c r="AMD31" s="12">
        <f>AMB31+AMC31</f>
        <v/>
      </c>
      <c r="AME31" s="12">
        <f>ROUND(AMD31*(1-AnnualMix),0)</f>
        <v/>
      </c>
      <c r="AMF31" s="12">
        <f>AMD31-AME31</f>
        <v/>
      </c>
      <c r="AMG31" s="12">
        <f>ROUND(AME31*EssentialMix,0)</f>
        <v/>
      </c>
      <c r="AMH31" s="12">
        <f>ROUND(AME31*PremiumMix,0)</f>
        <v/>
      </c>
      <c r="AMI31" s="12">
        <f>AME31-AMG31-AMH31</f>
        <v/>
      </c>
      <c r="AMJ31" s="12">
        <f>ROUND(AMF31*EssentialMix,0)</f>
        <v/>
      </c>
      <c r="AMK31" s="12">
        <f>ROUND(AMF31*PremiumMix,0)</f>
        <v/>
      </c>
      <c r="AML31" s="12">
        <f>AMF31-AMJ31-AMK31</f>
        <v/>
      </c>
      <c r="AMM31" s="12">
        <f>AMG31+AMG30+AMG29+MAX(0,AMM30-AMG30-AMG29)*(1-ALZ31)</f>
        <v/>
      </c>
      <c r="AMN31" s="12">
        <f>AMH31+AMH30+AMH29+MAX(0,AMN30-AMH30-AMH29)*(1-ALZ31)</f>
        <v/>
      </c>
      <c r="AMO31" s="12">
        <f>AMI31+AMI30+AMI29+MAX(0,AMO30-AMI30-AMI29)*(1-ALZ31)</f>
        <v/>
      </c>
      <c r="AMP31" s="12">
        <f>AMP30+AMJ31-AMJ19*(AnnualChurn*VLOOKUP(ALV31,ChurnSeasonTable,4,FALSE))*POWER(1-(AnnualChurn*VLOOKUP(ALV31,ChurnSeasonTable,4,FALSE)),0)+AMJ7*(AnnualChurn*VLOOKUP(ALV31,ChurnSeasonTable,4,FALSE))*POWER(1-(AnnualChurn*VLOOKUP(ALV31,ChurnSeasonTable,4,FALSE)),1)</f>
        <v/>
      </c>
      <c r="AMQ31" s="12">
        <f>AMQ30+AMK31-AMK19*(AnnualChurn*VLOOKUP(ALV31,ChurnSeasonTable,4,FALSE))*POWER(1-(AnnualChurn*VLOOKUP(ALV31,ChurnSeasonTable,4,FALSE)),0)+AMK7*(AnnualChurn*VLOOKUP(ALV31,ChurnSeasonTable,4,FALSE))*POWER(1-(AnnualChurn*VLOOKUP(ALV31,ChurnSeasonTable,4,FALSE)),1)</f>
        <v/>
      </c>
      <c r="AMR31" s="12">
        <f>AMR30+AML31-AML19*(AnnualChurn*VLOOKUP(ALV31,ChurnSeasonTable,4,FALSE))*POWER(1-(AnnualChurn*VLOOKUP(ALV31,ChurnSeasonTable,4,FALSE)),0)+AML7*(AnnualChurn*VLOOKUP(ALV31,ChurnSeasonTable,4,FALSE))*POWER(1-(AnnualChurn*VLOOKUP(ALV31,ChurnSeasonTable,4,FALSE)),1)</f>
        <v/>
      </c>
      <c r="AMS31" s="12">
        <f>AMM31+AMN31+AMO31+AMP31+AMQ31+AMR31</f>
        <v/>
      </c>
      <c r="AMT31" s="9">
        <f>AMM31*BlendedPriceEssMonthly*ALY31+AMN31*BlendedPricePremMonthly*ALY31+AMO31*BlendedPriceEliteMonthly*ALY31+AMP31*BlendedPriceEssAnnual*ALY31/12+AMQ31*BlendedPricePremAnnual*ALY31/12+AMR31*BlendedPriceEliteAnnual*ALY31/12</f>
        <v/>
      </c>
      <c r="AMU31" s="9">
        <f>AMT31*12</f>
        <v/>
      </c>
      <c r="AMV31" s="12">
        <f>AMM31*BlendedPriceEssMonthly*ALY31+AMN31*BlendedPricePremMonthly*ALY31+AMO31*BlendedPriceEliteMonthly*ALY31</f>
        <v/>
      </c>
      <c r="AMW31" s="12">
        <f>AMJ31*BlendedPriceEssAnnual*ALY31+AMK31*BlendedPricePremAnnual*ALY31+AML31*BlendedPriceEliteAnnual*ALY31</f>
        <v/>
      </c>
      <c r="AMX31" s="12">
        <f>AMJ19*POWER(1-(AnnualChurn*VLOOKUP(ALV31,ChurnSeasonTable,4,FALSE)),1)*BlendedPriceEssAnnual*ALY31+AMJ7*POWER(1-(AnnualChurn*VLOOKUP(ALV31,ChurnSeasonTable,4,FALSE)),2)*BlendedPriceEssAnnual*ALY31+AMK19*POWER(1-(AnnualChurn*VLOOKUP(ALV31,ChurnSeasonTable,4,FALSE)),1)*BlendedPricePremAnnual*ALY31+AMK7*POWER(1-(AnnualChurn*VLOOKUP(ALV31,ChurnSeasonTable,4,FALSE)),2)*BlendedPricePremAnnual*ALY31+AML19*POWER(1-(AnnualChurn*VLOOKUP(ALV31,ChurnSeasonTable,4,FALSE)),1)*BlendedPriceEliteAnnual*ALY31+AML7*POWER(1-(AnnualChurn*VLOOKUP(ALV31,ChurnSeasonTable,4,FALSE)),2)*BlendedPriceEliteAnnual*ALY31</f>
        <v/>
      </c>
      <c r="AMY31" s="9">
        <f>AMV31+AMW31+AMX31</f>
        <v/>
      </c>
      <c r="AMZ31" s="12">
        <f>SUM(AMY20:AMY31)</f>
        <v/>
      </c>
      <c r="ANA31" s="12">
        <f>OR(ANA30,IF(VATAgentMode,SUM($AMY20:$AMY31)-SUM($ANF20:$ANF31)&gt;=VATThreshold,SUM($AMY20:$AMY31)&gt;=VATThreshold))</f>
        <v/>
      </c>
      <c r="ANB31" s="9">
        <f>IF(ANA31,IF(VATAgentMode,AMY31-((AMY31-ANF31)-(AMY31-ANF31)/(1+VATRate)),AMY31/(1+VATRate)),AMY31)</f>
        <v/>
      </c>
      <c r="ANC31" s="12">
        <f>AMY31-ANB31</f>
        <v/>
      </c>
      <c r="AND31" s="12">
        <f>IF(ANA31=0,0,IF(ALV31=1,SUMPRODUCT(--(($ALW$5:$ALW31=$ALW31-1)*($ALV$5:$ALV31&gt;=10)*($ALV$5:$ALV31&lt;=12)),$ANC$5:$ANC31),IF(ALV31=4,SUMPRODUCT(--(($ALW$5:$ALW31=$ALW31)*($ALV$5:$ALV31&gt;=1)*($ALV$5:$ALV31&lt;=3)),$ANC$5:$ANC31),IF(ALV31=7,SUMPRODUCT(--(($ALW$5:$ALW31=$ALW31)*($ALV$5:$ALV31&gt;=4)*($ALV$5:$ALV31&lt;=6)),$ANC$5:$ANC31),IF(ALV31=10,SUMPRODUCT(--(($ALW$5:$ALW31=$ALW31)*($ALV$5:$ALV31&gt;=7)*($ALV$5:$ALV31&lt;=9)),$ANC$5:$ANC31),0)))))</f>
        <v/>
      </c>
      <c r="ANE31" s="12">
        <f>ANE30+ANC31-AND31</f>
        <v/>
      </c>
      <c r="ANF31" s="12">
        <f>IF(ProviderDelay&gt;=1,AMM30*BlendedProvPayEss+AMN30*BlendedProvPayPrem+AMO30*BlendedProvPayElite+AMP30*BlendedProvPayEss+AMQ30*BlendedProvPayPrem+AMR30*BlendedProvPayElite,AMM31*BlendedProvPayEss+AMN31*BlendedProvPayPrem+AMO31*BlendedProvPayElite+AMP31*BlendedProvPayEss+AMQ31*BlendedProvPayPrem+AMR31*BlendedProvPayElite)</f>
        <v/>
      </c>
      <c r="ANG31" s="12">
        <f>AMY31*PaymentFee</f>
        <v/>
      </c>
      <c r="ANH31" s="12">
        <f>AMS31*OpsAI</f>
        <v/>
      </c>
      <c r="ANI31" s="12">
        <f>MonthlyFixed</f>
        <v/>
      </c>
      <c r="ANJ31" s="12">
        <f>AMC31*ReferralReward</f>
        <v/>
      </c>
      <c r="ANK31" s="12">
        <f>AMA31</f>
        <v/>
      </c>
      <c r="ANL31" s="9">
        <f>ANB31-ANF31-ANG31-ANH31-ANI31-ANJ31-ANK31</f>
        <v/>
      </c>
      <c r="ANM31" s="9">
        <f>ANM30+AMY31-(ANF31+ANG31+ANH31+ANI31+ANJ31+ANK31+AND31)</f>
        <v/>
      </c>
      <c r="ANN31" s="12">
        <f>IF(AMS31&gt;0,AMT31/AMS31,0)</f>
        <v/>
      </c>
      <c r="ANO31" s="11">
        <f>IF(AMS30&gt;0,MAX(0,(AMS30+AMD31-AMS31)/AMS30),0)</f>
        <v/>
      </c>
      <c r="ANQ31" s="12" t="n">
        <v>27</v>
      </c>
      <c r="ANR31" s="12">
        <f>MOD(ANQ31-1+LaunchMonth-1,12)+1</f>
        <v/>
      </c>
      <c r="ANS31" s="12">
        <f>INT((ANQ31-1+LaunchMonth-1)/12)+1</f>
        <v/>
      </c>
      <c r="ANT31" s="12">
        <f>VLOOKUP(ANR31,SeasonTable,2,FALSE)</f>
        <v/>
      </c>
      <c r="ANU31" s="12">
        <f>(1+InflationRate)^INT((ANQ31-1)/12)</f>
        <v/>
      </c>
      <c r="ANV31" s="11">
        <f>MonthlyChurn*VLOOKUP(ANR31,ChurnSeasonTable,4,FALSE)</f>
        <v/>
      </c>
      <c r="ANW31" s="12">
        <f>MIN(MAX(MktMin19plus,AOU30*MktPct19plus),MAX(0,API30-CashBuffer))</f>
        <v/>
      </c>
      <c r="ANX31" s="12">
        <f>IF(ANW31&gt;0,MAX(1,ROUND(ANW31/'Sens - CAC &amp; Marketing'!$A$12*ANT31,0)),0)</f>
        <v/>
      </c>
      <c r="ANY31" s="12">
        <f>IF(ANX31&gt;0,ROUND(ANX31*ReferralMix/(1-ReferralMix),0),0)</f>
        <v/>
      </c>
      <c r="ANZ31" s="12">
        <f>ANX31+ANY31</f>
        <v/>
      </c>
      <c r="AOA31" s="12">
        <f>ROUND(ANZ31*(1-AnnualMix),0)</f>
        <v/>
      </c>
      <c r="AOB31" s="12">
        <f>ANZ31-AOA31</f>
        <v/>
      </c>
      <c r="AOC31" s="12">
        <f>ROUND(AOA31*EssentialMix,0)</f>
        <v/>
      </c>
      <c r="AOD31" s="12">
        <f>ROUND(AOA31*PremiumMix,0)</f>
        <v/>
      </c>
      <c r="AOE31" s="12">
        <f>AOA31-AOC31-AOD31</f>
        <v/>
      </c>
      <c r="AOF31" s="12">
        <f>ROUND(AOB31*EssentialMix,0)</f>
        <v/>
      </c>
      <c r="AOG31" s="12">
        <f>ROUND(AOB31*PremiumMix,0)</f>
        <v/>
      </c>
      <c r="AOH31" s="12">
        <f>AOB31-AOF31-AOG31</f>
        <v/>
      </c>
      <c r="AOI31" s="12">
        <f>AOC31+AOC30+AOC29+MAX(0,AOI30-AOC30-AOC29)*(1-ANV31)</f>
        <v/>
      </c>
      <c r="AOJ31" s="12">
        <f>AOD31+AOD30+AOD29+MAX(0,AOJ30-AOD30-AOD29)*(1-ANV31)</f>
        <v/>
      </c>
      <c r="AOK31" s="12">
        <f>AOE31+AOE30+AOE29+MAX(0,AOK30-AOE30-AOE29)*(1-ANV31)</f>
        <v/>
      </c>
      <c r="AOL31" s="12">
        <f>AOL30+AOF31-AOF19*(AnnualChurn*VLOOKUP(ANR31,ChurnSeasonTable,4,FALSE))*POWER(1-(AnnualChurn*VLOOKUP(ANR31,ChurnSeasonTable,4,FALSE)),0)+AOF7*(AnnualChurn*VLOOKUP(ANR31,ChurnSeasonTable,4,FALSE))*POWER(1-(AnnualChurn*VLOOKUP(ANR31,ChurnSeasonTable,4,FALSE)),1)</f>
        <v/>
      </c>
      <c r="AOM31" s="12">
        <f>AOM30+AOG31-AOG19*(AnnualChurn*VLOOKUP(ANR31,ChurnSeasonTable,4,FALSE))*POWER(1-(AnnualChurn*VLOOKUP(ANR31,ChurnSeasonTable,4,FALSE)),0)+AOG7*(AnnualChurn*VLOOKUP(ANR31,ChurnSeasonTable,4,FALSE))*POWER(1-(AnnualChurn*VLOOKUP(ANR31,ChurnSeasonTable,4,FALSE)),1)</f>
        <v/>
      </c>
      <c r="AON31" s="12">
        <f>AON30+AOH31-AOH19*(AnnualChurn*VLOOKUP(ANR31,ChurnSeasonTable,4,FALSE))*POWER(1-(AnnualChurn*VLOOKUP(ANR31,ChurnSeasonTable,4,FALSE)),0)+AOH7*(AnnualChurn*VLOOKUP(ANR31,ChurnSeasonTable,4,FALSE))*POWER(1-(AnnualChurn*VLOOKUP(ANR31,ChurnSeasonTable,4,FALSE)),1)</f>
        <v/>
      </c>
      <c r="AOO31" s="12">
        <f>AOI31+AOJ31+AOK31+AOL31+AOM31+AON31</f>
        <v/>
      </c>
      <c r="AOP31" s="9">
        <f>AOI31*BlendedPriceEssMonthly*ANU31+AOJ31*BlendedPricePremMonthly*ANU31+AOK31*BlendedPriceEliteMonthly*ANU31+AOL31*BlendedPriceEssAnnual*ANU31/12+AOM31*BlendedPricePremAnnual*ANU31/12+AON31*BlendedPriceEliteAnnual*ANU31/12</f>
        <v/>
      </c>
      <c r="AOQ31" s="9">
        <f>AOP31*12</f>
        <v/>
      </c>
      <c r="AOR31" s="12">
        <f>AOI31*BlendedPriceEssMonthly*ANU31+AOJ31*BlendedPricePremMonthly*ANU31+AOK31*BlendedPriceEliteMonthly*ANU31</f>
        <v/>
      </c>
      <c r="AOS31" s="12">
        <f>AOF31*BlendedPriceEssAnnual*ANU31+AOG31*BlendedPricePremAnnual*ANU31+AOH31*BlendedPriceEliteAnnual*ANU31</f>
        <v/>
      </c>
      <c r="AOT31" s="12">
        <f>AOF19*POWER(1-(AnnualChurn*VLOOKUP(ANR31,ChurnSeasonTable,4,FALSE)),1)*BlendedPriceEssAnnual*ANU31+AOF7*POWER(1-(AnnualChurn*VLOOKUP(ANR31,ChurnSeasonTable,4,FALSE)),2)*BlendedPriceEssAnnual*ANU31+AOG19*POWER(1-(AnnualChurn*VLOOKUP(ANR31,ChurnSeasonTable,4,FALSE)),1)*BlendedPricePremAnnual*ANU31+AOG7*POWER(1-(AnnualChurn*VLOOKUP(ANR31,ChurnSeasonTable,4,FALSE)),2)*BlendedPricePremAnnual*ANU31+AOH19*POWER(1-(AnnualChurn*VLOOKUP(ANR31,ChurnSeasonTable,4,FALSE)),1)*BlendedPriceEliteAnnual*ANU31+AOH7*POWER(1-(AnnualChurn*VLOOKUP(ANR31,ChurnSeasonTable,4,FALSE)),2)*BlendedPriceEliteAnnual*ANU31</f>
        <v/>
      </c>
      <c r="AOU31" s="9">
        <f>AOR31+AOS31+AOT31</f>
        <v/>
      </c>
      <c r="AOV31" s="12">
        <f>SUM(AOU20:AOU31)</f>
        <v/>
      </c>
      <c r="AOW31" s="12">
        <f>OR(AOW30,IF(VATAgentMode,SUM($AOU20:$AOU31)-SUM($APB20:$APB31)&gt;=VATThreshold,SUM($AOU20:$AOU31)&gt;=VATThreshold))</f>
        <v/>
      </c>
      <c r="AOX31" s="9">
        <f>IF(AOW31,IF(VATAgentMode,AOU31-((AOU31-APB31)-(AOU31-APB31)/(1+VATRate)),AOU31/(1+VATRate)),AOU31)</f>
        <v/>
      </c>
      <c r="AOY31" s="12">
        <f>AOU31-AOX31</f>
        <v/>
      </c>
      <c r="AOZ31" s="12">
        <f>IF(AOW31=0,0,IF(ANR31=1,SUMPRODUCT(--(($ANS$5:$ANS31=$ANS31-1)*($ANR$5:$ANR31&gt;=10)*($ANR$5:$ANR31&lt;=12)),$AOY$5:$AOY31),IF(ANR31=4,SUMPRODUCT(--(($ANS$5:$ANS31=$ANS31)*($ANR$5:$ANR31&gt;=1)*($ANR$5:$ANR31&lt;=3)),$AOY$5:$AOY31),IF(ANR31=7,SUMPRODUCT(--(($ANS$5:$ANS31=$ANS31)*($ANR$5:$ANR31&gt;=4)*($ANR$5:$ANR31&lt;=6)),$AOY$5:$AOY31),IF(ANR31=10,SUMPRODUCT(--(($ANS$5:$ANS31=$ANS31)*($ANR$5:$ANR31&gt;=7)*($ANR$5:$ANR31&lt;=9)),$AOY$5:$AOY31),0)))))</f>
        <v/>
      </c>
      <c r="APA31" s="12">
        <f>APA30+AOY31-AOZ31</f>
        <v/>
      </c>
      <c r="APB31" s="12">
        <f>IF(ProviderDelay&gt;=1,AOI30*BlendedProvPayEss+AOJ30*BlendedProvPayPrem+AOK30*BlendedProvPayElite+AOL30*BlendedProvPayEss+AOM30*BlendedProvPayPrem+AON30*BlendedProvPayElite,AOI31*BlendedProvPayEss+AOJ31*BlendedProvPayPrem+AOK31*BlendedProvPayElite+AOL31*BlendedProvPayEss+AOM31*BlendedProvPayPrem+AON31*BlendedProvPayElite)</f>
        <v/>
      </c>
      <c r="APC31" s="12">
        <f>AOU31*PaymentFee</f>
        <v/>
      </c>
      <c r="APD31" s="12">
        <f>AOO31*OpsAI</f>
        <v/>
      </c>
      <c r="APE31" s="12">
        <f>MonthlyFixed</f>
        <v/>
      </c>
      <c r="APF31" s="12">
        <f>ANY31*ReferralReward</f>
        <v/>
      </c>
      <c r="APG31" s="12">
        <f>ANW31</f>
        <v/>
      </c>
      <c r="APH31" s="9">
        <f>AOX31-APB31-APC31-APD31-APE31-APF31-APG31</f>
        <v/>
      </c>
      <c r="API31" s="9">
        <f>API30+AOU31-(APB31+APC31+APD31+APE31+APF31+APG31+AOZ31)</f>
        <v/>
      </c>
      <c r="APJ31" s="12">
        <f>IF(AOO31&gt;0,AOP31/AOO31,0)</f>
        <v/>
      </c>
      <c r="APK31" s="11">
        <f>IF(AOO30&gt;0,MAX(0,(AOO30+ANZ31-AOO31)/AOO30),0)</f>
        <v/>
      </c>
      <c r="APM31" s="12" t="n">
        <v>27</v>
      </c>
      <c r="APN31" s="12">
        <f>MOD(APM31-1+LaunchMonth-1,12)+1</f>
        <v/>
      </c>
      <c r="APO31" s="12">
        <f>INT((APM31-1+LaunchMonth-1)/12)+1</f>
        <v/>
      </c>
      <c r="APP31" s="12">
        <f>VLOOKUP(APN31,SeasonTable,2,FALSE)</f>
        <v/>
      </c>
      <c r="APQ31" s="12">
        <f>(1+InflationRate)^INT((APM31-1)/12)</f>
        <v/>
      </c>
      <c r="APR31" s="11">
        <f>MonthlyChurn*VLOOKUP(APN31,ChurnSeasonTable,4,FALSE)</f>
        <v/>
      </c>
      <c r="APS31" s="12">
        <f>MIN(MAX(MktMin19plus,AQQ30*MktPct19plus),MAX(0,ARE30-CashBuffer))</f>
        <v/>
      </c>
      <c r="APT31" s="12">
        <f>IF(APS31&gt;0,MAX(1,ROUND(APS31/'Sens - CAC &amp; Marketing'!$A$13*APP31,0)),0)</f>
        <v/>
      </c>
      <c r="APU31" s="12">
        <f>IF(APT31&gt;0,ROUND(APT31*ReferralMix/(1-ReferralMix),0),0)</f>
        <v/>
      </c>
      <c r="APV31" s="12">
        <f>APT31+APU31</f>
        <v/>
      </c>
      <c r="APW31" s="12">
        <f>ROUND(APV31*(1-AnnualMix),0)</f>
        <v/>
      </c>
      <c r="APX31" s="12">
        <f>APV31-APW31</f>
        <v/>
      </c>
      <c r="APY31" s="12">
        <f>ROUND(APW31*EssentialMix,0)</f>
        <v/>
      </c>
      <c r="APZ31" s="12">
        <f>ROUND(APW31*PremiumMix,0)</f>
        <v/>
      </c>
      <c r="AQA31" s="12">
        <f>APW31-APY31-APZ31</f>
        <v/>
      </c>
      <c r="AQB31" s="12">
        <f>ROUND(APX31*EssentialMix,0)</f>
        <v/>
      </c>
      <c r="AQC31" s="12">
        <f>ROUND(APX31*PremiumMix,0)</f>
        <v/>
      </c>
      <c r="AQD31" s="12">
        <f>APX31-AQB31-AQC31</f>
        <v/>
      </c>
      <c r="AQE31" s="12">
        <f>APY31+APY30+APY29+MAX(0,AQE30-APY30-APY29)*(1-APR31)</f>
        <v/>
      </c>
      <c r="AQF31" s="12">
        <f>APZ31+APZ30+APZ29+MAX(0,AQF30-APZ30-APZ29)*(1-APR31)</f>
        <v/>
      </c>
      <c r="AQG31" s="12">
        <f>AQA31+AQA30+AQA29+MAX(0,AQG30-AQA30-AQA29)*(1-APR31)</f>
        <v/>
      </c>
      <c r="AQH31" s="12">
        <f>AQH30+AQB31-AQB19*(AnnualChurn*VLOOKUP(APN31,ChurnSeasonTable,4,FALSE))*POWER(1-(AnnualChurn*VLOOKUP(APN31,ChurnSeasonTable,4,FALSE)),0)+AQB7*(AnnualChurn*VLOOKUP(APN31,ChurnSeasonTable,4,FALSE))*POWER(1-(AnnualChurn*VLOOKUP(APN31,ChurnSeasonTable,4,FALSE)),1)</f>
        <v/>
      </c>
      <c r="AQI31" s="12">
        <f>AQI30+AQC31-AQC19*(AnnualChurn*VLOOKUP(APN31,ChurnSeasonTable,4,FALSE))*POWER(1-(AnnualChurn*VLOOKUP(APN31,ChurnSeasonTable,4,FALSE)),0)+AQC7*(AnnualChurn*VLOOKUP(APN31,ChurnSeasonTable,4,FALSE))*POWER(1-(AnnualChurn*VLOOKUP(APN31,ChurnSeasonTable,4,FALSE)),1)</f>
        <v/>
      </c>
      <c r="AQJ31" s="12">
        <f>AQJ30+AQD31-AQD19*(AnnualChurn*VLOOKUP(APN31,ChurnSeasonTable,4,FALSE))*POWER(1-(AnnualChurn*VLOOKUP(APN31,ChurnSeasonTable,4,FALSE)),0)+AQD7*(AnnualChurn*VLOOKUP(APN31,ChurnSeasonTable,4,FALSE))*POWER(1-(AnnualChurn*VLOOKUP(APN31,ChurnSeasonTable,4,FALSE)),1)</f>
        <v/>
      </c>
      <c r="AQK31" s="12">
        <f>AQE31+AQF31+AQG31+AQH31+AQI31+AQJ31</f>
        <v/>
      </c>
      <c r="AQL31" s="9">
        <f>AQE31*BlendedPriceEssMonthly*APQ31+AQF31*BlendedPricePremMonthly*APQ31+AQG31*BlendedPriceEliteMonthly*APQ31+AQH31*BlendedPriceEssAnnual*APQ31/12+AQI31*BlendedPricePremAnnual*APQ31/12+AQJ31*BlendedPriceEliteAnnual*APQ31/12</f>
        <v/>
      </c>
      <c r="AQM31" s="9">
        <f>AQL31*12</f>
        <v/>
      </c>
      <c r="AQN31" s="12">
        <f>AQE31*BlendedPriceEssMonthly*APQ31+AQF31*BlendedPricePremMonthly*APQ31+AQG31*BlendedPriceEliteMonthly*APQ31</f>
        <v/>
      </c>
      <c r="AQO31" s="12">
        <f>AQB31*BlendedPriceEssAnnual*APQ31+AQC31*BlendedPricePremAnnual*APQ31+AQD31*BlendedPriceEliteAnnual*APQ31</f>
        <v/>
      </c>
      <c r="AQP31" s="12">
        <f>AQB19*POWER(1-(AnnualChurn*VLOOKUP(APN31,ChurnSeasonTable,4,FALSE)),1)*BlendedPriceEssAnnual*APQ31+AQB7*POWER(1-(AnnualChurn*VLOOKUP(APN31,ChurnSeasonTable,4,FALSE)),2)*BlendedPriceEssAnnual*APQ31+AQC19*POWER(1-(AnnualChurn*VLOOKUP(APN31,ChurnSeasonTable,4,FALSE)),1)*BlendedPricePremAnnual*APQ31+AQC7*POWER(1-(AnnualChurn*VLOOKUP(APN31,ChurnSeasonTable,4,FALSE)),2)*BlendedPricePremAnnual*APQ31+AQD19*POWER(1-(AnnualChurn*VLOOKUP(APN31,ChurnSeasonTable,4,FALSE)),1)*BlendedPriceEliteAnnual*APQ31+AQD7*POWER(1-(AnnualChurn*VLOOKUP(APN31,ChurnSeasonTable,4,FALSE)),2)*BlendedPriceEliteAnnual*APQ31</f>
        <v/>
      </c>
      <c r="AQQ31" s="9">
        <f>AQN31+AQO31+AQP31</f>
        <v/>
      </c>
      <c r="AQR31" s="12">
        <f>SUM(AQQ20:AQQ31)</f>
        <v/>
      </c>
      <c r="AQS31" s="12">
        <f>OR(AQS30,IF(VATAgentMode,SUM($AQQ20:$AQQ31)-SUM($AQX20:$AQX31)&gt;=VATThreshold,SUM($AQQ20:$AQQ31)&gt;=VATThreshold))</f>
        <v/>
      </c>
      <c r="AQT31" s="9">
        <f>IF(AQS31,IF(VATAgentMode,AQQ31-((AQQ31-AQX31)-(AQQ31-AQX31)/(1+VATRate)),AQQ31/(1+VATRate)),AQQ31)</f>
        <v/>
      </c>
      <c r="AQU31" s="12">
        <f>AQQ31-AQT31</f>
        <v/>
      </c>
      <c r="AQV31" s="12">
        <f>IF(AQS31=0,0,IF(APN31=1,SUMPRODUCT(--(($APO$5:$APO31=$APO31-1)*($APN$5:$APN31&gt;=10)*($APN$5:$APN31&lt;=12)),$AQU$5:$AQU31),IF(APN31=4,SUMPRODUCT(--(($APO$5:$APO31=$APO31)*($APN$5:$APN31&gt;=1)*($APN$5:$APN31&lt;=3)),$AQU$5:$AQU31),IF(APN31=7,SUMPRODUCT(--(($APO$5:$APO31=$APO31)*($APN$5:$APN31&gt;=4)*($APN$5:$APN31&lt;=6)),$AQU$5:$AQU31),IF(APN31=10,SUMPRODUCT(--(($APO$5:$APO31=$APO31)*($APN$5:$APN31&gt;=7)*($APN$5:$APN31&lt;=9)),$AQU$5:$AQU31),0)))))</f>
        <v/>
      </c>
      <c r="AQW31" s="12">
        <f>AQW30+AQU31-AQV31</f>
        <v/>
      </c>
      <c r="AQX31" s="12">
        <f>IF(ProviderDelay&gt;=1,AQE30*BlendedProvPayEss+AQF30*BlendedProvPayPrem+AQG30*BlendedProvPayElite+AQH30*BlendedProvPayEss+AQI30*BlendedProvPayPrem+AQJ30*BlendedProvPayElite,AQE31*BlendedProvPayEss+AQF31*BlendedProvPayPrem+AQG31*BlendedProvPayElite+AQH31*BlendedProvPayEss+AQI31*BlendedProvPayPrem+AQJ31*BlendedProvPayElite)</f>
        <v/>
      </c>
      <c r="AQY31" s="12">
        <f>AQQ31*PaymentFee</f>
        <v/>
      </c>
      <c r="AQZ31" s="12">
        <f>AQK31*OpsAI</f>
        <v/>
      </c>
      <c r="ARA31" s="12">
        <f>MonthlyFixed</f>
        <v/>
      </c>
      <c r="ARB31" s="12">
        <f>APU31*ReferralReward</f>
        <v/>
      </c>
      <c r="ARC31" s="12">
        <f>APS31</f>
        <v/>
      </c>
      <c r="ARD31" s="9">
        <f>AQT31-AQX31-AQY31-AQZ31-ARA31-ARB31-ARC31</f>
        <v/>
      </c>
      <c r="ARE31" s="9">
        <f>ARE30+AQQ31-(AQX31+AQY31+AQZ31+ARA31+ARB31+ARC31+AQV31)</f>
        <v/>
      </c>
      <c r="ARF31" s="12">
        <f>IF(AQK31&gt;0,AQL31/AQK31,0)</f>
        <v/>
      </c>
      <c r="ARG31" s="11">
        <f>IF(AQK30&gt;0,MAX(0,(AQK30+APV31-AQK31)/AQK30),0)</f>
        <v/>
      </c>
      <c r="ARI31" s="12" t="n">
        <v>27</v>
      </c>
      <c r="ARJ31" s="12">
        <f>MOD(ARI31-1+LaunchMonth-1,12)+1</f>
        <v/>
      </c>
      <c r="ARK31" s="12">
        <f>INT((ARI31-1+LaunchMonth-1)/12)+1</f>
        <v/>
      </c>
      <c r="ARL31" s="12">
        <f>VLOOKUP(ARJ31,SeasonTable,2,FALSE)</f>
        <v/>
      </c>
      <c r="ARM31" s="12">
        <f>(1+InflationRate)^INT((ARI31-1)/12)</f>
        <v/>
      </c>
      <c r="ARN31" s="11">
        <f>MonthlyChurn*VLOOKUP(ARJ31,ChurnSeasonTable,4,FALSE)</f>
        <v/>
      </c>
      <c r="ARO31" s="12">
        <f>MIN(MAX(MktMin19plus,ASM30*MktPct19plus),MAX(0,ATA30-CashBuffer))</f>
        <v/>
      </c>
      <c r="ARP31" s="12">
        <f>IF(ARO31&gt;0,MAX(1,ROUND(ARO31/'Sens - CAC &amp; Marketing'!$A$14*ARL31,0)),0)</f>
        <v/>
      </c>
      <c r="ARQ31" s="12">
        <f>IF(ARP31&gt;0,ROUND(ARP31*ReferralMix/(1-ReferralMix),0),0)</f>
        <v/>
      </c>
      <c r="ARR31" s="12">
        <f>ARP31+ARQ31</f>
        <v/>
      </c>
      <c r="ARS31" s="12">
        <f>ROUND(ARR31*(1-AnnualMix),0)</f>
        <v/>
      </c>
      <c r="ART31" s="12">
        <f>ARR31-ARS31</f>
        <v/>
      </c>
      <c r="ARU31" s="12">
        <f>ROUND(ARS31*EssentialMix,0)</f>
        <v/>
      </c>
      <c r="ARV31" s="12">
        <f>ROUND(ARS31*PremiumMix,0)</f>
        <v/>
      </c>
      <c r="ARW31" s="12">
        <f>ARS31-ARU31-ARV31</f>
        <v/>
      </c>
      <c r="ARX31" s="12">
        <f>ROUND(ART31*EssentialMix,0)</f>
        <v/>
      </c>
      <c r="ARY31" s="12">
        <f>ROUND(ART31*PremiumMix,0)</f>
        <v/>
      </c>
      <c r="ARZ31" s="12">
        <f>ART31-ARX31-ARY31</f>
        <v/>
      </c>
      <c r="ASA31" s="12">
        <f>ARU31+ARU30+ARU29+MAX(0,ASA30-ARU30-ARU29)*(1-ARN31)</f>
        <v/>
      </c>
      <c r="ASB31" s="12">
        <f>ARV31+ARV30+ARV29+MAX(0,ASB30-ARV30-ARV29)*(1-ARN31)</f>
        <v/>
      </c>
      <c r="ASC31" s="12">
        <f>ARW31+ARW30+ARW29+MAX(0,ASC30-ARW30-ARW29)*(1-ARN31)</f>
        <v/>
      </c>
      <c r="ASD31" s="12">
        <f>ASD30+ARX31-ARX19*(AnnualChurn*VLOOKUP(ARJ31,ChurnSeasonTable,4,FALSE))*POWER(1-(AnnualChurn*VLOOKUP(ARJ31,ChurnSeasonTable,4,FALSE)),0)+ARX7*(AnnualChurn*VLOOKUP(ARJ31,ChurnSeasonTable,4,FALSE))*POWER(1-(AnnualChurn*VLOOKUP(ARJ31,ChurnSeasonTable,4,FALSE)),1)</f>
        <v/>
      </c>
      <c r="ASE31" s="12">
        <f>ASE30+ARY31-ARY19*(AnnualChurn*VLOOKUP(ARJ31,ChurnSeasonTable,4,FALSE))*POWER(1-(AnnualChurn*VLOOKUP(ARJ31,ChurnSeasonTable,4,FALSE)),0)+ARY7*(AnnualChurn*VLOOKUP(ARJ31,ChurnSeasonTable,4,FALSE))*POWER(1-(AnnualChurn*VLOOKUP(ARJ31,ChurnSeasonTable,4,FALSE)),1)</f>
        <v/>
      </c>
      <c r="ASF31" s="12">
        <f>ASF30+ARZ31-ARZ19*(AnnualChurn*VLOOKUP(ARJ31,ChurnSeasonTable,4,FALSE))*POWER(1-(AnnualChurn*VLOOKUP(ARJ31,ChurnSeasonTable,4,FALSE)),0)+ARZ7*(AnnualChurn*VLOOKUP(ARJ31,ChurnSeasonTable,4,FALSE))*POWER(1-(AnnualChurn*VLOOKUP(ARJ31,ChurnSeasonTable,4,FALSE)),1)</f>
        <v/>
      </c>
      <c r="ASG31" s="12">
        <f>ASA31+ASB31+ASC31+ASD31+ASE31+ASF31</f>
        <v/>
      </c>
      <c r="ASH31" s="9">
        <f>ASA31*BlendedPriceEssMonthly*ARM31+ASB31*BlendedPricePremMonthly*ARM31+ASC31*BlendedPriceEliteMonthly*ARM31+ASD31*BlendedPriceEssAnnual*ARM31/12+ASE31*BlendedPricePremAnnual*ARM31/12+ASF31*BlendedPriceEliteAnnual*ARM31/12</f>
        <v/>
      </c>
      <c r="ASI31" s="9">
        <f>ASH31*12</f>
        <v/>
      </c>
      <c r="ASJ31" s="12">
        <f>ASA31*BlendedPriceEssMonthly*ARM31+ASB31*BlendedPricePremMonthly*ARM31+ASC31*BlendedPriceEliteMonthly*ARM31</f>
        <v/>
      </c>
      <c r="ASK31" s="12">
        <f>ARX31*BlendedPriceEssAnnual*ARM31+ARY31*BlendedPricePremAnnual*ARM31+ARZ31*BlendedPriceEliteAnnual*ARM31</f>
        <v/>
      </c>
      <c r="ASL31" s="12">
        <f>ARX19*POWER(1-(AnnualChurn*VLOOKUP(ARJ31,ChurnSeasonTable,4,FALSE)),1)*BlendedPriceEssAnnual*ARM31+ARX7*POWER(1-(AnnualChurn*VLOOKUP(ARJ31,ChurnSeasonTable,4,FALSE)),2)*BlendedPriceEssAnnual*ARM31+ARY19*POWER(1-(AnnualChurn*VLOOKUP(ARJ31,ChurnSeasonTable,4,FALSE)),1)*BlendedPricePremAnnual*ARM31+ARY7*POWER(1-(AnnualChurn*VLOOKUP(ARJ31,ChurnSeasonTable,4,FALSE)),2)*BlendedPricePremAnnual*ARM31+ARZ19*POWER(1-(AnnualChurn*VLOOKUP(ARJ31,ChurnSeasonTable,4,FALSE)),1)*BlendedPriceEliteAnnual*ARM31+ARZ7*POWER(1-(AnnualChurn*VLOOKUP(ARJ31,ChurnSeasonTable,4,FALSE)),2)*BlendedPriceEliteAnnual*ARM31</f>
        <v/>
      </c>
      <c r="ASM31" s="9">
        <f>ASJ31+ASK31+ASL31</f>
        <v/>
      </c>
      <c r="ASN31" s="12">
        <f>SUM(ASM20:ASM31)</f>
        <v/>
      </c>
      <c r="ASO31" s="12">
        <f>OR(ASO30,IF(VATAgentMode,SUM($ASM20:$ASM31)-SUM($AST20:$AST31)&gt;=VATThreshold,SUM($ASM20:$ASM31)&gt;=VATThreshold))</f>
        <v/>
      </c>
      <c r="ASP31" s="9">
        <f>IF(ASO31,IF(VATAgentMode,ASM31-((ASM31-AST31)-(ASM31-AST31)/(1+VATRate)),ASM31/(1+VATRate)),ASM31)</f>
        <v/>
      </c>
      <c r="ASQ31" s="12">
        <f>ASM31-ASP31</f>
        <v/>
      </c>
      <c r="ASR31" s="12">
        <f>IF(ASO31=0,0,IF(ARJ31=1,SUMPRODUCT(--(($ARK$5:$ARK31=$ARK31-1)*($ARJ$5:$ARJ31&gt;=10)*($ARJ$5:$ARJ31&lt;=12)),$ASQ$5:$ASQ31),IF(ARJ31=4,SUMPRODUCT(--(($ARK$5:$ARK31=$ARK31)*($ARJ$5:$ARJ31&gt;=1)*($ARJ$5:$ARJ31&lt;=3)),$ASQ$5:$ASQ31),IF(ARJ31=7,SUMPRODUCT(--(($ARK$5:$ARK31=$ARK31)*($ARJ$5:$ARJ31&gt;=4)*($ARJ$5:$ARJ31&lt;=6)),$ASQ$5:$ASQ31),IF(ARJ31=10,SUMPRODUCT(--(($ARK$5:$ARK31=$ARK31)*($ARJ$5:$ARJ31&gt;=7)*($ARJ$5:$ARJ31&lt;=9)),$ASQ$5:$ASQ31),0)))))</f>
        <v/>
      </c>
      <c r="ASS31" s="12">
        <f>ASS30+ASQ31-ASR31</f>
        <v/>
      </c>
      <c r="AST31" s="12">
        <f>IF(ProviderDelay&gt;=1,ASA30*BlendedProvPayEss+ASB30*BlendedProvPayPrem+ASC30*BlendedProvPayElite+ASD30*BlendedProvPayEss+ASE30*BlendedProvPayPrem+ASF30*BlendedProvPayElite,ASA31*BlendedProvPayEss+ASB31*BlendedProvPayPrem+ASC31*BlendedProvPayElite+ASD31*BlendedProvPayEss+ASE31*BlendedProvPayPrem+ASF31*BlendedProvPayElite)</f>
        <v/>
      </c>
      <c r="ASU31" s="12">
        <f>ASM31*PaymentFee</f>
        <v/>
      </c>
      <c r="ASV31" s="12">
        <f>ASG31*OpsAI</f>
        <v/>
      </c>
      <c r="ASW31" s="12">
        <f>MonthlyFixed</f>
        <v/>
      </c>
      <c r="ASX31" s="12">
        <f>ARQ31*ReferralReward</f>
        <v/>
      </c>
      <c r="ASY31" s="12">
        <f>ARO31</f>
        <v/>
      </c>
      <c r="ASZ31" s="9">
        <f>ASP31-AST31-ASU31-ASV31-ASW31-ASX31-ASY31</f>
        <v/>
      </c>
      <c r="ATA31" s="9">
        <f>ATA30+ASM31-(AST31+ASU31+ASV31+ASW31+ASX31+ASY31+ASR31)</f>
        <v/>
      </c>
      <c r="ATB31" s="12">
        <f>IF(ASG31&gt;0,ASH31/ASG31,0)</f>
        <v/>
      </c>
      <c r="ATC31" s="11">
        <f>IF(ASG30&gt;0,MAX(0,(ASG30+ARR31-ASG31)/ASG30),0)</f>
        <v/>
      </c>
      <c r="ATE31" s="12" t="n">
        <v>27</v>
      </c>
      <c r="ATF31" s="12">
        <f>MOD(ATE31-1+LaunchMonth-1,12)+1</f>
        <v/>
      </c>
      <c r="ATG31" s="12">
        <f>INT((ATE31-1+LaunchMonth-1)/12)+1</f>
        <v/>
      </c>
      <c r="ATH31" s="12">
        <f>VLOOKUP(ATF31,SeasonTable,2,FALSE)</f>
        <v/>
      </c>
      <c r="ATI31" s="12">
        <f>(1+InflationRate)^INT((ATE31-1)/12)</f>
        <v/>
      </c>
      <c r="ATJ31" s="11">
        <f>MonthlyChurn*VLOOKUP(ATF31,ChurnSeasonTable,4,FALSE)</f>
        <v/>
      </c>
      <c r="ATK31" s="12">
        <f>MIN(MAX(MktMin19plus,AUI30*MktPct19plus),MAX(0,AUW30-CashBuffer))</f>
        <v/>
      </c>
      <c r="ATL31" s="12">
        <f>IF(ATK31&gt;0,MAX(1,ROUND(ATK31/'Sens - CAC &amp; Marketing'!$A$15*ATH31,0)),0)</f>
        <v/>
      </c>
      <c r="ATM31" s="12">
        <f>IF(ATL31&gt;0,ROUND(ATL31*ReferralMix/(1-ReferralMix),0),0)</f>
        <v/>
      </c>
      <c r="ATN31" s="12">
        <f>ATL31+ATM31</f>
        <v/>
      </c>
      <c r="ATO31" s="12">
        <f>ROUND(ATN31*(1-AnnualMix),0)</f>
        <v/>
      </c>
      <c r="ATP31" s="12">
        <f>ATN31-ATO31</f>
        <v/>
      </c>
      <c r="ATQ31" s="12">
        <f>ROUND(ATO31*EssentialMix,0)</f>
        <v/>
      </c>
      <c r="ATR31" s="12">
        <f>ROUND(ATO31*PremiumMix,0)</f>
        <v/>
      </c>
      <c r="ATS31" s="12">
        <f>ATO31-ATQ31-ATR31</f>
        <v/>
      </c>
      <c r="ATT31" s="12">
        <f>ROUND(ATP31*EssentialMix,0)</f>
        <v/>
      </c>
      <c r="ATU31" s="12">
        <f>ROUND(ATP31*PremiumMix,0)</f>
        <v/>
      </c>
      <c r="ATV31" s="12">
        <f>ATP31-ATT31-ATU31</f>
        <v/>
      </c>
      <c r="ATW31" s="12">
        <f>ATQ31+ATQ30+ATQ29+MAX(0,ATW30-ATQ30-ATQ29)*(1-ATJ31)</f>
        <v/>
      </c>
      <c r="ATX31" s="12">
        <f>ATR31+ATR30+ATR29+MAX(0,ATX30-ATR30-ATR29)*(1-ATJ31)</f>
        <v/>
      </c>
      <c r="ATY31" s="12">
        <f>ATS31+ATS30+ATS29+MAX(0,ATY30-ATS30-ATS29)*(1-ATJ31)</f>
        <v/>
      </c>
      <c r="ATZ31" s="12">
        <f>ATZ30+ATT31-ATT19*(AnnualChurn*VLOOKUP(ATF31,ChurnSeasonTable,4,FALSE))*POWER(1-(AnnualChurn*VLOOKUP(ATF31,ChurnSeasonTable,4,FALSE)),0)+ATT7*(AnnualChurn*VLOOKUP(ATF31,ChurnSeasonTable,4,FALSE))*POWER(1-(AnnualChurn*VLOOKUP(ATF31,ChurnSeasonTable,4,FALSE)),1)</f>
        <v/>
      </c>
      <c r="AUA31" s="12">
        <f>AUA30+ATU31-ATU19*(AnnualChurn*VLOOKUP(ATF31,ChurnSeasonTable,4,FALSE))*POWER(1-(AnnualChurn*VLOOKUP(ATF31,ChurnSeasonTable,4,FALSE)),0)+ATU7*(AnnualChurn*VLOOKUP(ATF31,ChurnSeasonTable,4,FALSE))*POWER(1-(AnnualChurn*VLOOKUP(ATF31,ChurnSeasonTable,4,FALSE)),1)</f>
        <v/>
      </c>
      <c r="AUB31" s="12">
        <f>AUB30+ATV31-ATV19*(AnnualChurn*VLOOKUP(ATF31,ChurnSeasonTable,4,FALSE))*POWER(1-(AnnualChurn*VLOOKUP(ATF31,ChurnSeasonTable,4,FALSE)),0)+ATV7*(AnnualChurn*VLOOKUP(ATF31,ChurnSeasonTable,4,FALSE))*POWER(1-(AnnualChurn*VLOOKUP(ATF31,ChurnSeasonTable,4,FALSE)),1)</f>
        <v/>
      </c>
      <c r="AUC31" s="12">
        <f>ATW31+ATX31+ATY31+ATZ31+AUA31+AUB31</f>
        <v/>
      </c>
      <c r="AUD31" s="9">
        <f>ATW31*BlendedPriceEssMonthly*ATI31+ATX31*BlendedPricePremMonthly*ATI31+ATY31*BlendedPriceEliteMonthly*ATI31+ATZ31*BlendedPriceEssAnnual*ATI31/12+AUA31*BlendedPricePremAnnual*ATI31/12+AUB31*BlendedPriceEliteAnnual*ATI31/12</f>
        <v/>
      </c>
      <c r="AUE31" s="9">
        <f>AUD31*12</f>
        <v/>
      </c>
      <c r="AUF31" s="12">
        <f>ATW31*BlendedPriceEssMonthly*ATI31+ATX31*BlendedPricePremMonthly*ATI31+ATY31*BlendedPriceEliteMonthly*ATI31</f>
        <v/>
      </c>
      <c r="AUG31" s="12">
        <f>ATT31*BlendedPriceEssAnnual*ATI31+ATU31*BlendedPricePremAnnual*ATI31+ATV31*BlendedPriceEliteAnnual*ATI31</f>
        <v/>
      </c>
      <c r="AUH31" s="12">
        <f>ATT19*POWER(1-(AnnualChurn*VLOOKUP(ATF31,ChurnSeasonTable,4,FALSE)),1)*BlendedPriceEssAnnual*ATI31+ATT7*POWER(1-(AnnualChurn*VLOOKUP(ATF31,ChurnSeasonTable,4,FALSE)),2)*BlendedPriceEssAnnual*ATI31+ATU19*POWER(1-(AnnualChurn*VLOOKUP(ATF31,ChurnSeasonTable,4,FALSE)),1)*BlendedPricePremAnnual*ATI31+ATU7*POWER(1-(AnnualChurn*VLOOKUP(ATF31,ChurnSeasonTable,4,FALSE)),2)*BlendedPricePremAnnual*ATI31+ATV19*POWER(1-(AnnualChurn*VLOOKUP(ATF31,ChurnSeasonTable,4,FALSE)),1)*BlendedPriceEliteAnnual*ATI31+ATV7*POWER(1-(AnnualChurn*VLOOKUP(ATF31,ChurnSeasonTable,4,FALSE)),2)*BlendedPriceEliteAnnual*ATI31</f>
        <v/>
      </c>
      <c r="AUI31" s="9">
        <f>AUF31+AUG31+AUH31</f>
        <v/>
      </c>
      <c r="AUJ31" s="12">
        <f>SUM(AUI20:AUI31)</f>
        <v/>
      </c>
      <c r="AUK31" s="12">
        <f>OR(AUK30,IF(VATAgentMode,SUM($AUI20:$AUI31)-SUM($AUP20:$AUP31)&gt;=VATThreshold,SUM($AUI20:$AUI31)&gt;=VATThreshold))</f>
        <v/>
      </c>
      <c r="AUL31" s="9">
        <f>IF(AUK31,IF(VATAgentMode,AUI31-((AUI31-AUP31)-(AUI31-AUP31)/(1+VATRate)),AUI31/(1+VATRate)),AUI31)</f>
        <v/>
      </c>
      <c r="AUM31" s="12">
        <f>AUI31-AUL31</f>
        <v/>
      </c>
      <c r="AUN31" s="12">
        <f>IF(AUK31=0,0,IF(ATF31=1,SUMPRODUCT(--(($ATG$5:$ATG31=$ATG31-1)*($ATF$5:$ATF31&gt;=10)*($ATF$5:$ATF31&lt;=12)),$AUM$5:$AUM31),IF(ATF31=4,SUMPRODUCT(--(($ATG$5:$ATG31=$ATG31)*($ATF$5:$ATF31&gt;=1)*($ATF$5:$ATF31&lt;=3)),$AUM$5:$AUM31),IF(ATF31=7,SUMPRODUCT(--(($ATG$5:$ATG31=$ATG31)*($ATF$5:$ATF31&gt;=4)*($ATF$5:$ATF31&lt;=6)),$AUM$5:$AUM31),IF(ATF31=10,SUMPRODUCT(--(($ATG$5:$ATG31=$ATG31)*($ATF$5:$ATF31&gt;=7)*($ATF$5:$ATF31&lt;=9)),$AUM$5:$AUM31),0)))))</f>
        <v/>
      </c>
      <c r="AUO31" s="12">
        <f>AUO30+AUM31-AUN31</f>
        <v/>
      </c>
      <c r="AUP31" s="12">
        <f>IF(ProviderDelay&gt;=1,ATW30*BlendedProvPayEss+ATX30*BlendedProvPayPrem+ATY30*BlendedProvPayElite+ATZ30*BlendedProvPayEss+AUA30*BlendedProvPayPrem+AUB30*BlendedProvPayElite,ATW31*BlendedProvPayEss+ATX31*BlendedProvPayPrem+ATY31*BlendedProvPayElite+ATZ31*BlendedProvPayEss+AUA31*BlendedProvPayPrem+AUB31*BlendedProvPayElite)</f>
        <v/>
      </c>
      <c r="AUQ31" s="12">
        <f>AUI31*PaymentFee</f>
        <v/>
      </c>
      <c r="AUR31" s="12">
        <f>AUC31*OpsAI</f>
        <v/>
      </c>
      <c r="AUS31" s="12">
        <f>MonthlyFixed</f>
        <v/>
      </c>
      <c r="AUT31" s="12">
        <f>ATM31*ReferralReward</f>
        <v/>
      </c>
      <c r="AUU31" s="12">
        <f>ATK31</f>
        <v/>
      </c>
      <c r="AUV31" s="9">
        <f>AUL31-AUP31-AUQ31-AUR31-AUS31-AUT31-AUU31</f>
        <v/>
      </c>
      <c r="AUW31" s="9">
        <f>AUW30+AUI31-(AUP31+AUQ31+AUR31+AUS31+AUT31+AUU31+AUN31)</f>
        <v/>
      </c>
      <c r="AUX31" s="12">
        <f>IF(AUC31&gt;0,AUD31/AUC31,0)</f>
        <v/>
      </c>
      <c r="AUY31" s="11">
        <f>IF(AUC30&gt;0,MAX(0,(AUC30+ATN31-AUC31)/AUC30),0)</f>
        <v/>
      </c>
      <c r="AVA31" s="12" t="n">
        <v>27</v>
      </c>
      <c r="AVB31" s="12">
        <f>MOD(AVA31-1+LaunchMonth-1,12)+1</f>
        <v/>
      </c>
      <c r="AVC31" s="12">
        <f>INT((AVA31-1+LaunchMonth-1)/12)+1</f>
        <v/>
      </c>
      <c r="AVD31" s="12">
        <f>VLOOKUP(AVB31,WinterPivotSeasonTable,5,FALSE)</f>
        <v/>
      </c>
      <c r="AVE31" s="12">
        <f>(1+InflationRate)^INT((AVA31-1)/12)</f>
        <v/>
      </c>
      <c r="AVF31" s="11">
        <f>MonthlyChurn*VLOOKUP(AVB31,WinterPivotChurnTable,6,FALSE)</f>
        <v/>
      </c>
      <c r="AVG31" s="12">
        <f>MIN(MAX(MktMin19plus,AWE30*MktPct19plus),MAX(0,AWS30-CashBuffer))</f>
        <v/>
      </c>
      <c r="AVH31" s="12">
        <f>IF(AVG31&gt;0,MAX(1,ROUND(AVG31/CAC*AVD31,0)),0)</f>
        <v/>
      </c>
      <c r="AVI31" s="12">
        <f>IF(AVH31&gt;0,ROUND(AVH31*ReferralMix/(1-ReferralMix),0),0)</f>
        <v/>
      </c>
      <c r="AVJ31" s="12">
        <f>AVH31+AVI31</f>
        <v/>
      </c>
      <c r="AVK31" s="12">
        <f>ROUND(AVJ31*(1-AnnualMix),0)</f>
        <v/>
      </c>
      <c r="AVL31" s="12">
        <f>AVJ31-AVK31</f>
        <v/>
      </c>
      <c r="AVM31" s="12">
        <f>ROUND(AVK31*'Sens - Winter Pivot'!$B$6,0)</f>
        <v/>
      </c>
      <c r="AVN31" s="12">
        <f>ROUND(AVK31*PremiumMix,0)</f>
        <v/>
      </c>
      <c r="AVO31" s="12">
        <f>AVK31-AVM31-AVN31</f>
        <v/>
      </c>
      <c r="AVP31" s="12">
        <f>ROUND(AVL31*'Sens - Winter Pivot'!$B$6,0)</f>
        <v/>
      </c>
      <c r="AVQ31" s="12">
        <f>ROUND(AVL31*PremiumMix,0)</f>
        <v/>
      </c>
      <c r="AVR31" s="12">
        <f>AVL31-AVP31-AVQ31</f>
        <v/>
      </c>
      <c r="AVS31" s="12">
        <f>AVM31+AVM30+AVM29+MAX(0,AVS30-AVM30-AVM29)*(1-AVF31)</f>
        <v/>
      </c>
      <c r="AVT31" s="12">
        <f>AVN31+AVN30+AVN29+MAX(0,AVT30-AVN30-AVN29)*(1-AVF31)</f>
        <v/>
      </c>
      <c r="AVU31" s="12">
        <f>AVO31+AVO30+AVO29+MAX(0,AVU30-AVO30-AVO29)*(1-AVF31)</f>
        <v/>
      </c>
      <c r="AVV31" s="12">
        <f>AVV30+AVP31-AVP19*(AnnualChurn*VLOOKUP(AVB31,ChurnSeasonTable,4,FALSE))*POWER(1-(AnnualChurn*VLOOKUP(AVB31,ChurnSeasonTable,4,FALSE)),0)+AVP7*(AnnualChurn*VLOOKUP(AVB31,ChurnSeasonTable,4,FALSE))*POWER(1-(AnnualChurn*VLOOKUP(AVB31,ChurnSeasonTable,4,FALSE)),1)</f>
        <v/>
      </c>
      <c r="AVW31" s="12">
        <f>AVW30+AVQ31-AVQ19*(AnnualChurn*VLOOKUP(AVB31,ChurnSeasonTable,4,FALSE))*POWER(1-(AnnualChurn*VLOOKUP(AVB31,ChurnSeasonTable,4,FALSE)),0)+AVQ7*(AnnualChurn*VLOOKUP(AVB31,ChurnSeasonTable,4,FALSE))*POWER(1-(AnnualChurn*VLOOKUP(AVB31,ChurnSeasonTable,4,FALSE)),1)</f>
        <v/>
      </c>
      <c r="AVX31" s="12">
        <f>AVX30+AVR31-AVR19*(AnnualChurn*VLOOKUP(AVB31,ChurnSeasonTable,4,FALSE))*POWER(1-(AnnualChurn*VLOOKUP(AVB31,ChurnSeasonTable,4,FALSE)),0)+AVR7*(AnnualChurn*VLOOKUP(AVB31,ChurnSeasonTable,4,FALSE))*POWER(1-(AnnualChurn*VLOOKUP(AVB31,ChurnSeasonTable,4,FALSE)),1)</f>
        <v/>
      </c>
      <c r="AVY31" s="12">
        <f>AVS31+AVT31+AVU31+AVV31+AVW31+AVX31</f>
        <v/>
      </c>
      <c r="AVZ31" s="9">
        <f>AVS31*BlendedPriceEssMonthly*AVE31+AVT31*(BlendedPricePremMonthly+'Sens - Winter Pivot'!$B$7)*AVE31+AVU31*BlendedPriceEliteMonthly*AVE31+AVV31*BlendedPriceEssAnnual*AVE31/12+AVW31*(BlendedPricePremAnnual+'Sens - Winter Pivot'!$B$7*12)*AVE31/12+AVX31*BlendedPriceEliteAnnual*AVE31/12</f>
        <v/>
      </c>
      <c r="AWA31" s="9">
        <f>AVZ31*12</f>
        <v/>
      </c>
      <c r="AWB31" s="12">
        <f>AVS31*BlendedPriceEssMonthly*AVE31+AVT31*(BlendedPricePremMonthly+'Sens - Winter Pivot'!$B$7)*AVE31+AVU31*BlendedPriceEliteMonthly*AVE31</f>
        <v/>
      </c>
      <c r="AWC31" s="12">
        <f>AVP31*BlendedPriceEssAnnual*AVE31+AVQ31*(BlendedPricePremAnnual+'Sens - Winter Pivot'!$B$7*12)*AVE31+AVR31*BlendedPriceEliteAnnual*AVE31</f>
        <v/>
      </c>
      <c r="AWD31" s="12">
        <f>AVP19*POWER(1-(AnnualChurn*VLOOKUP(AVB31,ChurnSeasonTable,4,FALSE)),1)*BlendedPriceEssAnnual*AVE31+AVP7*POWER(1-(AnnualChurn*VLOOKUP(AVB31,ChurnSeasonTable,4,FALSE)),2)*BlendedPriceEssAnnual*AVE31+AVQ19*POWER(1-(AnnualChurn*VLOOKUP(AVB31,ChurnSeasonTable,4,FALSE)),1)*BlendedPricePremAnnual*AVE31+AVQ7*POWER(1-(AnnualChurn*VLOOKUP(AVB31,ChurnSeasonTable,4,FALSE)),2)*BlendedPricePremAnnual*AVE31+AVR19*POWER(1-(AnnualChurn*VLOOKUP(AVB31,ChurnSeasonTable,4,FALSE)),1)*BlendedPriceEliteAnnual*AVE31+AVR7*POWER(1-(AnnualChurn*VLOOKUP(AVB31,ChurnSeasonTable,4,FALSE)),2)*BlendedPriceEliteAnnual*AVE31</f>
        <v/>
      </c>
      <c r="AWE31" s="9">
        <f>AWB31+AWC31+AWD31</f>
        <v/>
      </c>
      <c r="AWF31" s="12">
        <f>SUM(AWE20:AWE31)</f>
        <v/>
      </c>
      <c r="AWG31" s="12">
        <f>OR(AWG30,IF(VATAgentMode,SUM($AWE20:$AWE31)-SUM($AWL20:$AWL31)&gt;=VATThreshold,SUM($AWE20:$AWE31)&gt;=VATThreshold))</f>
        <v/>
      </c>
      <c r="AWH31" s="9">
        <f>IF(AWG31,IF(VATAgentMode,AWE31-((AWE31-AWL31)-(AWE31-AWL31)/(1+VATRate)),AWE31/(1+VATRate)),AWE31)</f>
        <v/>
      </c>
      <c r="AWI31" s="12">
        <f>AWE31-AWH31</f>
        <v/>
      </c>
      <c r="AWJ31" s="12">
        <f>IF(AWG31=0,0,IF(AVB31=1,SUMPRODUCT(--(($AVC$5:$AVC31=$AVC31-1)*($AVB$5:$AVB31&gt;=10)*($AVB$5:$AVB31&lt;=12)),$AWI$5:$AWI31),IF(AVB31=4,SUMPRODUCT(--(($AVC$5:$AVC31=$AVC31)*($AVB$5:$AVB31&gt;=1)*($AVB$5:$AVB31&lt;=3)),$AWI$5:$AWI31),IF(AVB31=7,SUMPRODUCT(--(($AVC$5:$AVC31=$AVC31)*($AVB$5:$AVB31&gt;=4)*($AVB$5:$AVB31&lt;=6)),$AWI$5:$AWI31),IF(AVB31=10,SUMPRODUCT(--(($AVC$5:$AVC31=$AVC31)*($AVB$5:$AVB31&gt;=7)*($AVB$5:$AVB31&lt;=9)),$AWI$5:$AWI31),0)))))</f>
        <v/>
      </c>
      <c r="AWK31" s="12">
        <f>AWK30+AWI31-AWJ31</f>
        <v/>
      </c>
      <c r="AWL31" s="12">
        <f>IF(ProviderDelay&gt;=1,AVS30*BlendedProvPayEss+AVT30*BlendedProvPayPrem+AVU30*BlendedProvPayElite+AVV30*BlendedProvPayEss+AVW30*BlendedProvPayPrem+AVX30*BlendedProvPayElite,AVS31*BlendedProvPayEss+AVT31*BlendedProvPayPrem+AVU31*BlendedProvPayElite+AVV31*BlendedProvPayEss+AVW31*BlendedProvPayPrem+AVX31*BlendedProvPayElite)</f>
        <v/>
      </c>
      <c r="AWM31" s="12">
        <f>AWE31*PaymentFee</f>
        <v/>
      </c>
      <c r="AWN31" s="12">
        <f>AVY31*OpsAI</f>
        <v/>
      </c>
      <c r="AWO31" s="12">
        <f>MonthlyFixed</f>
        <v/>
      </c>
      <c r="AWP31" s="12">
        <f>AVI31*ReferralReward</f>
        <v/>
      </c>
      <c r="AWQ31" s="12">
        <f>AVG31</f>
        <v/>
      </c>
      <c r="AWR31" s="9">
        <f>AWH31-AWL31-AWM31-AWN31-AWO31-AWP31-AWQ31</f>
        <v/>
      </c>
      <c r="AWS31" s="9">
        <f>AWS30+AWE31-(AWL31+AWM31+AWN31+AWO31+AWP31+AWQ31+AWJ31)</f>
        <v/>
      </c>
      <c r="AWT31" s="12">
        <f>IF(AVY31&gt;0,AVZ31/AVY31,0)</f>
        <v/>
      </c>
      <c r="AWU31" s="11">
        <f>IF(AVY30&gt;0,MAX(0,(AVY30+AVJ31-AVY31)/AVY30),0)</f>
        <v/>
      </c>
    </row>
    <row r="32">
      <c r="A32" s="12" t="n">
        <v>28</v>
      </c>
      <c r="B32" s="12">
        <f>MOD(A32-1+LaunchMonth-1,12)+1</f>
        <v/>
      </c>
      <c r="C32" s="12">
        <f>INT((A32-1+LaunchMonth-1)/12)+1</f>
        <v/>
      </c>
      <c r="D32" s="12">
        <f>VLOOKUP(B32,SeasonTable,2,FALSE)</f>
        <v/>
      </c>
      <c r="E32" s="12">
        <f>(1+InflationRate)^INT((A32-1)/12)</f>
        <v/>
      </c>
      <c r="F32" s="11">
        <f>'Sens - Scenarios'!$B$5*VLOOKUP(B32,ChurnSeasonTable,4,FALSE)</f>
        <v/>
      </c>
      <c r="G32" s="12">
        <f>MIN(MAX(MktMin19plus,AE31*MktPct19plus),MAX(0,AS31-CashBuffer))</f>
        <v/>
      </c>
      <c r="H32" s="12">
        <f>IF(G32&gt;0,MAX(1,ROUND(G32/'Sens - Scenarios'!$B$8*D32,0)),0)</f>
        <v/>
      </c>
      <c r="I32" s="12">
        <f>IF(H32&gt;0,ROUND(H32*ReferralMix/(1-ReferralMix),0),0)</f>
        <v/>
      </c>
      <c r="J32" s="12">
        <f>H32+I32</f>
        <v/>
      </c>
      <c r="K32" s="12">
        <f>ROUND(J32*(1-'Sens - Scenarios'!$B$7),0)</f>
        <v/>
      </c>
      <c r="L32" s="12">
        <f>J32-K32</f>
        <v/>
      </c>
      <c r="M32" s="12">
        <f>ROUND(K32*EssentialMix,0)</f>
        <v/>
      </c>
      <c r="N32" s="12">
        <f>ROUND(K32*PremiumMix,0)</f>
        <v/>
      </c>
      <c r="O32" s="12">
        <f>K32-M32-N32</f>
        <v/>
      </c>
      <c r="P32" s="12">
        <f>ROUND(L32*EssentialMix,0)</f>
        <v/>
      </c>
      <c r="Q32" s="12">
        <f>ROUND(L32*PremiumMix,0)</f>
        <v/>
      </c>
      <c r="R32" s="12">
        <f>L32-P32-Q32</f>
        <v/>
      </c>
      <c r="S32" s="12">
        <f>M32+M31+M30+MAX(0,S31-M31-M30)*(1-F32)</f>
        <v/>
      </c>
      <c r="T32" s="12">
        <f>N32+N31+N30+MAX(0,T31-N31-N30)*(1-F32)</f>
        <v/>
      </c>
      <c r="U32" s="12">
        <f>O32+O31+O30+MAX(0,U31-O31-O30)*(1-F32)</f>
        <v/>
      </c>
      <c r="V32" s="12">
        <f>V31+P32-P20*('Sens - Scenarios'!$B$6*VLOOKUP(B32,ChurnSeasonTable,4,FALSE))*POWER(1-('Sens - Scenarios'!$B$6*VLOOKUP(B32,ChurnSeasonTable,4,FALSE)),0)+P8*('Sens - Scenarios'!$B$6*VLOOKUP(B32,ChurnSeasonTable,4,FALSE))*POWER(1-('Sens - Scenarios'!$B$6*VLOOKUP(B32,ChurnSeasonTable,4,FALSE)),1)</f>
        <v/>
      </c>
      <c r="W32" s="12">
        <f>W31+Q32-Q20*('Sens - Scenarios'!$B$6*VLOOKUP(B32,ChurnSeasonTable,4,FALSE))*POWER(1-('Sens - Scenarios'!$B$6*VLOOKUP(B32,ChurnSeasonTable,4,FALSE)),0)+Q8*('Sens - Scenarios'!$B$6*VLOOKUP(B32,ChurnSeasonTable,4,FALSE))*POWER(1-('Sens - Scenarios'!$B$6*VLOOKUP(B32,ChurnSeasonTable,4,FALSE)),1)</f>
        <v/>
      </c>
      <c r="X32" s="12">
        <f>X31+R32-R20*('Sens - Scenarios'!$B$6*VLOOKUP(B32,ChurnSeasonTable,4,FALSE))*POWER(1-('Sens - Scenarios'!$B$6*VLOOKUP(B32,ChurnSeasonTable,4,FALSE)),0)+R8*('Sens - Scenarios'!$B$6*VLOOKUP(B32,ChurnSeasonTable,4,FALSE))*POWER(1-('Sens - Scenarios'!$B$6*VLOOKUP(B32,ChurnSeasonTable,4,FALSE)),1)</f>
        <v/>
      </c>
      <c r="Y32" s="12">
        <f>S32+T32+U32+V32+W32+X32</f>
        <v/>
      </c>
      <c r="Z32" s="9">
        <f>S32*BlendedPriceEssMonthly*E32+T32*BlendedPricePremMonthly*E32+U32*BlendedPriceEliteMonthly*E32+V32*BlendedPriceEssAnnual*E32/12+W32*BlendedPricePremAnnual*E32/12+X32*BlendedPriceEliteAnnual*E32/12</f>
        <v/>
      </c>
      <c r="AA32" s="9">
        <f>Z32*12</f>
        <v/>
      </c>
      <c r="AB32" s="12">
        <f>S32*BlendedPriceEssMonthly*E32+T32*BlendedPricePremMonthly*E32+U32*BlendedPriceEliteMonthly*E32</f>
        <v/>
      </c>
      <c r="AC32" s="12">
        <f>P32*BlendedPriceEssAnnual*E32+Q32*BlendedPricePremAnnual*E32+R32*BlendedPriceEliteAnnual*E32</f>
        <v/>
      </c>
      <c r="AD32" s="12">
        <f>P20*POWER(1-('Sens - Scenarios'!$B$6*VLOOKUP(B32,ChurnSeasonTable,4,FALSE)),1)*BlendedPriceEssAnnual*E32+P8*POWER(1-('Sens - Scenarios'!$B$6*VLOOKUP(B32,ChurnSeasonTable,4,FALSE)),2)*BlendedPriceEssAnnual*E32+Q20*POWER(1-('Sens - Scenarios'!$B$6*VLOOKUP(B32,ChurnSeasonTable,4,FALSE)),1)*BlendedPricePremAnnual*E32+Q8*POWER(1-('Sens - Scenarios'!$B$6*VLOOKUP(B32,ChurnSeasonTable,4,FALSE)),2)*BlendedPricePremAnnual*E32+R20*POWER(1-('Sens - Scenarios'!$B$6*VLOOKUP(B32,ChurnSeasonTable,4,FALSE)),1)*BlendedPriceEliteAnnual*E32+R8*POWER(1-('Sens - Scenarios'!$B$6*VLOOKUP(B32,ChurnSeasonTable,4,FALSE)),2)*BlendedPriceEliteAnnual*E32</f>
        <v/>
      </c>
      <c r="AE32" s="9">
        <f>AB32+AC32+AD32</f>
        <v/>
      </c>
      <c r="AF32" s="12">
        <f>SUM(AE21:AE32)</f>
        <v/>
      </c>
      <c r="AG32" s="12">
        <f>OR(AG31,IF(VATAgentMode,SUM($AE21:$AE32)-SUM($AL21:$AL32)&gt;=VATThreshold,SUM($AE21:$AE32)&gt;=VATThreshold))</f>
        <v/>
      </c>
      <c r="AH32" s="9">
        <f>IF(AG32,IF(VATAgentMode,AE32-((AE32-AL32)-(AE32-AL32)/(1+VATRate)),AE32/(1+VATRate)),AE32)</f>
        <v/>
      </c>
      <c r="AI32" s="12">
        <f>AE32-AH32</f>
        <v/>
      </c>
      <c r="AJ32" s="12">
        <f>IF(AG32=0,0,IF(B32=1,SUMPRODUCT(--(($C$5:$C32=$C32-1)*($B$5:$B32&gt;=10)*($B$5:$B32&lt;=12)),$AI$5:$AI32),IF(B32=4,SUMPRODUCT(--(($C$5:$C32=$C32)*($B$5:$B32&gt;=1)*($B$5:$B32&lt;=3)),$AI$5:$AI32),IF(B32=7,SUMPRODUCT(--(($C$5:$C32=$C32)*($B$5:$B32&gt;=4)*($B$5:$B32&lt;=6)),$AI$5:$AI32),IF(B32=10,SUMPRODUCT(--(($C$5:$C32=$C32)*($B$5:$B32&gt;=7)*($B$5:$B32&lt;=9)),$AI$5:$AI32),0)))))</f>
        <v/>
      </c>
      <c r="AK32" s="12">
        <f>AK31+AI32-AJ32</f>
        <v/>
      </c>
      <c r="AL32" s="12">
        <f>IF(ProviderDelay&gt;=1,S31*BlendedProvPayEss+T31*BlendedProvPayPrem+U31*BlendedProvPayElite+V31*BlendedProvPayEss+W31*BlendedProvPayPrem+X31*BlendedProvPayElite,S32*BlendedProvPayEss+T32*BlendedProvPayPrem+U32*BlendedProvPayElite+V32*BlendedProvPayEss+W32*BlendedProvPayPrem+X32*BlendedProvPayElite)</f>
        <v/>
      </c>
      <c r="AM32" s="12">
        <f>AE32*PaymentFee</f>
        <v/>
      </c>
      <c r="AN32" s="12">
        <f>Y32*OpsAI</f>
        <v/>
      </c>
      <c r="AO32" s="12">
        <f>MonthlyFixed</f>
        <v/>
      </c>
      <c r="AP32" s="12">
        <f>I32*ReferralReward</f>
        <v/>
      </c>
      <c r="AQ32" s="12">
        <f>G32</f>
        <v/>
      </c>
      <c r="AR32" s="9">
        <f>AH32-AL32-AM32-AN32-AO32-AP32-AQ32</f>
        <v/>
      </c>
      <c r="AS32" s="9">
        <f>AS31+AE32-(AL32+AM32+AN32+AO32+AP32+AQ32+AJ32)</f>
        <v/>
      </c>
      <c r="AT32" s="12">
        <f>IF(Y32&gt;0,Z32/Y32,0)</f>
        <v/>
      </c>
      <c r="AU32" s="11">
        <f>IF(Y31&gt;0,MAX(0,(Y31+J32-Y32)/Y31),0)</f>
        <v/>
      </c>
      <c r="AW32" s="12" t="n">
        <v>28</v>
      </c>
      <c r="AX32" s="12">
        <f>MOD(AW32-1+LaunchMonth-1,12)+1</f>
        <v/>
      </c>
      <c r="AY32" s="12">
        <f>INT((AW32-1+LaunchMonth-1)/12)+1</f>
        <v/>
      </c>
      <c r="AZ32" s="12">
        <f>VLOOKUP(AX32,SeasonTable,2,FALSE)</f>
        <v/>
      </c>
      <c r="BA32" s="12">
        <f>(1+InflationRate)^INT((AW32-1)/12)</f>
        <v/>
      </c>
      <c r="BB32" s="11">
        <f>MonthlyChurn*VLOOKUP(AX32,ChurnSeasonTable,4,FALSE)</f>
        <v/>
      </c>
      <c r="BC32" s="12">
        <f>MIN(MAX(MktMin19plus,CA31*MktPct19plus),MAX(0,CO31-CashBuffer))</f>
        <v/>
      </c>
      <c r="BD32" s="12">
        <f>IF(BC32&gt;0,MAX(1,ROUND(BC32/CAC*AZ32,0)),0)</f>
        <v/>
      </c>
      <c r="BE32" s="12">
        <f>IF(BD32&gt;0,ROUND(BD32*ReferralMix/(1-ReferralMix),0),0)</f>
        <v/>
      </c>
      <c r="BF32" s="12">
        <f>BD32+BE32</f>
        <v/>
      </c>
      <c r="BG32" s="12">
        <f>ROUND(BF32*(1-AnnualMix),0)</f>
        <v/>
      </c>
      <c r="BH32" s="12">
        <f>BF32-BG32</f>
        <v/>
      </c>
      <c r="BI32" s="12">
        <f>ROUND(BG32*EssentialMix,0)</f>
        <v/>
      </c>
      <c r="BJ32" s="12">
        <f>ROUND(BG32*PremiumMix,0)</f>
        <v/>
      </c>
      <c r="BK32" s="12">
        <f>BG32-BI32-BJ32</f>
        <v/>
      </c>
      <c r="BL32" s="12">
        <f>ROUND(BH32*EssentialMix,0)</f>
        <v/>
      </c>
      <c r="BM32" s="12">
        <f>ROUND(BH32*PremiumMix,0)</f>
        <v/>
      </c>
      <c r="BN32" s="12">
        <f>BH32-BL32-BM32</f>
        <v/>
      </c>
      <c r="BO32" s="12">
        <f>BI32+BI31+BI30+MAX(0,BO31-BI31-BI30)*(1-BB32)</f>
        <v/>
      </c>
      <c r="BP32" s="12">
        <f>BJ32+BJ31+BJ30+MAX(0,BP31-BJ31-BJ30)*(1-BB32)</f>
        <v/>
      </c>
      <c r="BQ32" s="12">
        <f>BK32+BK31+BK30+MAX(0,BQ31-BK31-BK30)*(1-BB32)</f>
        <v/>
      </c>
      <c r="BR32" s="12">
        <f>BR31+BL32-BL20*(AnnualChurn*VLOOKUP(AX32,ChurnSeasonTable,4,FALSE))*POWER(1-(AnnualChurn*VLOOKUP(AX32,ChurnSeasonTable,4,FALSE)),0)+BL8*(AnnualChurn*VLOOKUP(AX32,ChurnSeasonTable,4,FALSE))*POWER(1-(AnnualChurn*VLOOKUP(AX32,ChurnSeasonTable,4,FALSE)),1)</f>
        <v/>
      </c>
      <c r="BS32" s="12">
        <f>BS31+BM32-BM20*(AnnualChurn*VLOOKUP(AX32,ChurnSeasonTable,4,FALSE))*POWER(1-(AnnualChurn*VLOOKUP(AX32,ChurnSeasonTable,4,FALSE)),0)+BM8*(AnnualChurn*VLOOKUP(AX32,ChurnSeasonTable,4,FALSE))*POWER(1-(AnnualChurn*VLOOKUP(AX32,ChurnSeasonTable,4,FALSE)),1)</f>
        <v/>
      </c>
      <c r="BT32" s="12">
        <f>BT31+BN32-BN20*(AnnualChurn*VLOOKUP(AX32,ChurnSeasonTable,4,FALSE))*POWER(1-(AnnualChurn*VLOOKUP(AX32,ChurnSeasonTable,4,FALSE)),0)+BN8*(AnnualChurn*VLOOKUP(AX32,ChurnSeasonTable,4,FALSE))*POWER(1-(AnnualChurn*VLOOKUP(AX32,ChurnSeasonTable,4,FALSE)),1)</f>
        <v/>
      </c>
      <c r="BU32" s="12">
        <f>BO32+BP32+BQ32+BR32+BS32+BT32</f>
        <v/>
      </c>
      <c r="BV32" s="9">
        <f>BO32*BlendedPriceEssMonthly*BA32+BP32*BlendedPricePremMonthly*BA32+BQ32*BlendedPriceEliteMonthly*BA32+BR32*BlendedPriceEssAnnual*BA32/12+BS32*BlendedPricePremAnnual*BA32/12+BT32*BlendedPriceEliteAnnual*BA32/12</f>
        <v/>
      </c>
      <c r="BW32" s="9">
        <f>BV32*12</f>
        <v/>
      </c>
      <c r="BX32" s="12">
        <f>BO32*BlendedPriceEssMonthly*BA32+BP32*BlendedPricePremMonthly*BA32+BQ32*BlendedPriceEliteMonthly*BA32</f>
        <v/>
      </c>
      <c r="BY32" s="12">
        <f>BL32*BlendedPriceEssAnnual*BA32+BM32*BlendedPricePremAnnual*BA32+BN32*BlendedPriceEliteAnnual*BA32</f>
        <v/>
      </c>
      <c r="BZ32" s="12">
        <f>BL20*POWER(1-(AnnualChurn*VLOOKUP(AX32,ChurnSeasonTable,4,FALSE)),1)*BlendedPriceEssAnnual*BA32+BL8*POWER(1-(AnnualChurn*VLOOKUP(AX32,ChurnSeasonTable,4,FALSE)),2)*BlendedPriceEssAnnual*BA32+BM20*POWER(1-(AnnualChurn*VLOOKUP(AX32,ChurnSeasonTable,4,FALSE)),1)*BlendedPricePremAnnual*BA32+BM8*POWER(1-(AnnualChurn*VLOOKUP(AX32,ChurnSeasonTable,4,FALSE)),2)*BlendedPricePremAnnual*BA32+BN20*POWER(1-(AnnualChurn*VLOOKUP(AX32,ChurnSeasonTable,4,FALSE)),1)*BlendedPriceEliteAnnual*BA32+BN8*POWER(1-(AnnualChurn*VLOOKUP(AX32,ChurnSeasonTable,4,FALSE)),2)*BlendedPriceEliteAnnual*BA32</f>
        <v/>
      </c>
      <c r="CA32" s="9">
        <f>BX32+BY32+BZ32</f>
        <v/>
      </c>
      <c r="CB32" s="12">
        <f>SUM(CA21:CA32)</f>
        <v/>
      </c>
      <c r="CC32" s="12">
        <f>OR(CC31,IF(VATAgentMode,SUM($CA21:$CA32)-SUM($CH21:$CH32)&gt;=VATThreshold,SUM($CA21:$CA32)&gt;=VATThreshold))</f>
        <v/>
      </c>
      <c r="CD32" s="9">
        <f>IF(CC32,IF(VATAgentMode,CA32-((CA32-CH32)-(CA32-CH32)/(1+VATRate)),CA32/(1+VATRate)),CA32)</f>
        <v/>
      </c>
      <c r="CE32" s="12">
        <f>CA32-CD32</f>
        <v/>
      </c>
      <c r="CF32" s="12">
        <f>IF(CC32=0,0,IF(AX32=1,SUMPRODUCT(--(($AY$5:$AY32=$AY32-1)*($AX$5:$AX32&gt;=10)*($AX$5:$AX32&lt;=12)),$CE$5:$CE32),IF(AX32=4,SUMPRODUCT(--(($AY$5:$AY32=$AY32)*($AX$5:$AX32&gt;=1)*($AX$5:$AX32&lt;=3)),$CE$5:$CE32),IF(AX32=7,SUMPRODUCT(--(($AY$5:$AY32=$AY32)*($AX$5:$AX32&gt;=4)*($AX$5:$AX32&lt;=6)),$CE$5:$CE32),IF(AX32=10,SUMPRODUCT(--(($AY$5:$AY32=$AY32)*($AX$5:$AX32&gt;=7)*($AX$5:$AX32&lt;=9)),$CE$5:$CE32),0)))))</f>
        <v/>
      </c>
      <c r="CG32" s="12">
        <f>CG31+CE32-CF32</f>
        <v/>
      </c>
      <c r="CH32" s="12">
        <f>IF(ProviderDelay&gt;=1,BO31*BlendedProvPayEss+BP31*BlendedProvPayPrem+BQ31*BlendedProvPayElite+BR31*BlendedProvPayEss+BS31*BlendedProvPayPrem+BT31*BlendedProvPayElite,BO32*BlendedProvPayEss+BP32*BlendedProvPayPrem+BQ32*BlendedProvPayElite+BR32*BlendedProvPayEss+BS32*BlendedProvPayPrem+BT32*BlendedProvPayElite)</f>
        <v/>
      </c>
      <c r="CI32" s="12">
        <f>CA32*PaymentFee</f>
        <v/>
      </c>
      <c r="CJ32" s="12">
        <f>BU32*OpsAI</f>
        <v/>
      </c>
      <c r="CK32" s="12">
        <f>MonthlyFixed</f>
        <v/>
      </c>
      <c r="CL32" s="12">
        <f>BE32*ReferralReward</f>
        <v/>
      </c>
      <c r="CM32" s="12">
        <f>BC32</f>
        <v/>
      </c>
      <c r="CN32" s="9">
        <f>CD32-CH32-CI32-CJ32-CK32-CL32-CM32</f>
        <v/>
      </c>
      <c r="CO32" s="9">
        <f>CO31+CA32-(CH32+CI32+CJ32+CK32+CL32+CM32+CF32)</f>
        <v/>
      </c>
      <c r="CP32" s="12">
        <f>IF(BU32&gt;0,BV32/BU32,0)</f>
        <v/>
      </c>
      <c r="CQ32" s="11">
        <f>IF(BU31&gt;0,MAX(0,(BU31+BF32-BU32)/BU31),0)</f>
        <v/>
      </c>
      <c r="CS32" s="12" t="n">
        <v>28</v>
      </c>
      <c r="CT32" s="12">
        <f>MOD(CS32-1+LaunchMonth-1,12)+1</f>
        <v/>
      </c>
      <c r="CU32" s="12">
        <f>INT((CS32-1+LaunchMonth-1)/12)+1</f>
        <v/>
      </c>
      <c r="CV32" s="12">
        <f>VLOOKUP(CT32,SeasonTable,2,FALSE)</f>
        <v/>
      </c>
      <c r="CW32" s="12">
        <f>(1+InflationRate)^INT((CS32-1)/12)</f>
        <v/>
      </c>
      <c r="CX32" s="11">
        <f>'Sens - Scenarios'!$D$5*VLOOKUP(CT32,ChurnSeasonTable,4,FALSE)</f>
        <v/>
      </c>
      <c r="CY32" s="12">
        <f>MIN(MAX(MktMin19plus,DW31*MktPct19plus),MAX(0,EK31-CashBuffer))</f>
        <v/>
      </c>
      <c r="CZ32" s="12">
        <f>IF(CY32&gt;0,MAX(1,ROUND(CY32/'Sens - Scenarios'!$D$8*CV32,0)),0)</f>
        <v/>
      </c>
      <c r="DA32" s="12">
        <f>IF(CZ32&gt;0,ROUND(CZ32*ReferralMix/(1-ReferralMix),0),0)</f>
        <v/>
      </c>
      <c r="DB32" s="12">
        <f>CZ32+DA32</f>
        <v/>
      </c>
      <c r="DC32" s="12">
        <f>ROUND(DB32*(1-'Sens - Scenarios'!$D$7),0)</f>
        <v/>
      </c>
      <c r="DD32" s="12">
        <f>DB32-DC32</f>
        <v/>
      </c>
      <c r="DE32" s="12">
        <f>ROUND(DC32*EssentialMix,0)</f>
        <v/>
      </c>
      <c r="DF32" s="12">
        <f>ROUND(DC32*PremiumMix,0)</f>
        <v/>
      </c>
      <c r="DG32" s="12">
        <f>DC32-DE32-DF32</f>
        <v/>
      </c>
      <c r="DH32" s="12">
        <f>ROUND(DD32*EssentialMix,0)</f>
        <v/>
      </c>
      <c r="DI32" s="12">
        <f>ROUND(DD32*PremiumMix,0)</f>
        <v/>
      </c>
      <c r="DJ32" s="12">
        <f>DD32-DH32-DI32</f>
        <v/>
      </c>
      <c r="DK32" s="12">
        <f>DE32+DE31+DE30+MAX(0,DK31-DE31-DE30)*(1-CX32)</f>
        <v/>
      </c>
      <c r="DL32" s="12">
        <f>DF32+DF31+DF30+MAX(0,DL31-DF31-DF30)*(1-CX32)</f>
        <v/>
      </c>
      <c r="DM32" s="12">
        <f>DG32+DG31+DG30+MAX(0,DM31-DG31-DG30)*(1-CX32)</f>
        <v/>
      </c>
      <c r="DN32" s="12">
        <f>DN31+DH32-DH20*('Sens - Scenarios'!$D$6*VLOOKUP(CT32,ChurnSeasonTable,4,FALSE))*POWER(1-('Sens - Scenarios'!$D$6*VLOOKUP(CT32,ChurnSeasonTable,4,FALSE)),0)+DH8*('Sens - Scenarios'!$D$6*VLOOKUP(CT32,ChurnSeasonTable,4,FALSE))*POWER(1-('Sens - Scenarios'!$D$6*VLOOKUP(CT32,ChurnSeasonTable,4,FALSE)),1)</f>
        <v/>
      </c>
      <c r="DO32" s="12">
        <f>DO31+DI32-DI20*('Sens - Scenarios'!$D$6*VLOOKUP(CT32,ChurnSeasonTable,4,FALSE))*POWER(1-('Sens - Scenarios'!$D$6*VLOOKUP(CT32,ChurnSeasonTable,4,FALSE)),0)+DI8*('Sens - Scenarios'!$D$6*VLOOKUP(CT32,ChurnSeasonTable,4,FALSE))*POWER(1-('Sens - Scenarios'!$D$6*VLOOKUP(CT32,ChurnSeasonTable,4,FALSE)),1)</f>
        <v/>
      </c>
      <c r="DP32" s="12">
        <f>DP31+DJ32-DJ20*('Sens - Scenarios'!$D$6*VLOOKUP(CT32,ChurnSeasonTable,4,FALSE))*POWER(1-('Sens - Scenarios'!$D$6*VLOOKUP(CT32,ChurnSeasonTable,4,FALSE)),0)+DJ8*('Sens - Scenarios'!$D$6*VLOOKUP(CT32,ChurnSeasonTable,4,FALSE))*POWER(1-('Sens - Scenarios'!$D$6*VLOOKUP(CT32,ChurnSeasonTable,4,FALSE)),1)</f>
        <v/>
      </c>
      <c r="DQ32" s="12">
        <f>DK32+DL32+DM32+DN32+DO32+DP32</f>
        <v/>
      </c>
      <c r="DR32" s="9">
        <f>DK32*BlendedPriceEssMonthly*CW32+DL32*BlendedPricePremMonthly*CW32+DM32*BlendedPriceEliteMonthly*CW32+DN32*BlendedPriceEssAnnual*CW32/12+DO32*BlendedPricePremAnnual*CW32/12+DP32*BlendedPriceEliteAnnual*CW32/12</f>
        <v/>
      </c>
      <c r="DS32" s="9">
        <f>DR32*12</f>
        <v/>
      </c>
      <c r="DT32" s="12">
        <f>DK32*BlendedPriceEssMonthly*CW32+DL32*BlendedPricePremMonthly*CW32+DM32*BlendedPriceEliteMonthly*CW32</f>
        <v/>
      </c>
      <c r="DU32" s="12">
        <f>DH32*BlendedPriceEssAnnual*CW32+DI32*BlendedPricePremAnnual*CW32+DJ32*BlendedPriceEliteAnnual*CW32</f>
        <v/>
      </c>
      <c r="DV32" s="12">
        <f>DH20*POWER(1-('Sens - Scenarios'!$D$6*VLOOKUP(CT32,ChurnSeasonTable,4,FALSE)),1)*BlendedPriceEssAnnual*CW32+DH8*POWER(1-('Sens - Scenarios'!$D$6*VLOOKUP(CT32,ChurnSeasonTable,4,FALSE)),2)*BlendedPriceEssAnnual*CW32+DI20*POWER(1-('Sens - Scenarios'!$D$6*VLOOKUP(CT32,ChurnSeasonTable,4,FALSE)),1)*BlendedPricePremAnnual*CW32+DI8*POWER(1-('Sens - Scenarios'!$D$6*VLOOKUP(CT32,ChurnSeasonTable,4,FALSE)),2)*BlendedPricePremAnnual*CW32+DJ20*POWER(1-('Sens - Scenarios'!$D$6*VLOOKUP(CT32,ChurnSeasonTable,4,FALSE)),1)*BlendedPriceEliteAnnual*CW32+DJ8*POWER(1-('Sens - Scenarios'!$D$6*VLOOKUP(CT32,ChurnSeasonTable,4,FALSE)),2)*BlendedPriceEliteAnnual*CW32</f>
        <v/>
      </c>
      <c r="DW32" s="9">
        <f>DT32+DU32+DV32</f>
        <v/>
      </c>
      <c r="DX32" s="12">
        <f>SUM(DW21:DW32)</f>
        <v/>
      </c>
      <c r="DY32" s="12">
        <f>OR(DY31,IF(VATAgentMode,SUM($DW21:$DW32)-SUM($ED21:$ED32)&gt;=VATThreshold,SUM($DW21:$DW32)&gt;=VATThreshold))</f>
        <v/>
      </c>
      <c r="DZ32" s="9">
        <f>IF(DY32,IF(VATAgentMode,DW32-((DW32-ED32)-(DW32-ED32)/(1+VATRate)),DW32/(1+VATRate)),DW32)</f>
        <v/>
      </c>
      <c r="EA32" s="12">
        <f>DW32-DZ32</f>
        <v/>
      </c>
      <c r="EB32" s="12">
        <f>IF(DY32=0,0,IF(CT32=1,SUMPRODUCT(--(($CU$5:$CU32=$CU32-1)*($CT$5:$CT32&gt;=10)*($CT$5:$CT32&lt;=12)),$EA$5:$EA32),IF(CT32=4,SUMPRODUCT(--(($CU$5:$CU32=$CU32)*($CT$5:$CT32&gt;=1)*($CT$5:$CT32&lt;=3)),$EA$5:$EA32),IF(CT32=7,SUMPRODUCT(--(($CU$5:$CU32=$CU32)*($CT$5:$CT32&gt;=4)*($CT$5:$CT32&lt;=6)),$EA$5:$EA32),IF(CT32=10,SUMPRODUCT(--(($CU$5:$CU32=$CU32)*($CT$5:$CT32&gt;=7)*($CT$5:$CT32&lt;=9)),$EA$5:$EA32),0)))))</f>
        <v/>
      </c>
      <c r="EC32" s="12">
        <f>EC31+EA32-EB32</f>
        <v/>
      </c>
      <c r="ED32" s="12">
        <f>IF(ProviderDelay&gt;=1,DK31*BlendedProvPayEss+DL31*BlendedProvPayPrem+DM31*BlendedProvPayElite+DN31*BlendedProvPayEss+DO31*BlendedProvPayPrem+DP31*BlendedProvPayElite,DK32*BlendedProvPayEss+DL32*BlendedProvPayPrem+DM32*BlendedProvPayElite+DN32*BlendedProvPayEss+DO32*BlendedProvPayPrem+DP32*BlendedProvPayElite)</f>
        <v/>
      </c>
      <c r="EE32" s="12">
        <f>DW32*PaymentFee</f>
        <v/>
      </c>
      <c r="EF32" s="12">
        <f>DQ32*OpsAI</f>
        <v/>
      </c>
      <c r="EG32" s="12">
        <f>MonthlyFixed</f>
        <v/>
      </c>
      <c r="EH32" s="12">
        <f>DA32*ReferralReward</f>
        <v/>
      </c>
      <c r="EI32" s="12">
        <f>CY32</f>
        <v/>
      </c>
      <c r="EJ32" s="9">
        <f>DZ32-ED32-EE32-EF32-EG32-EH32-EI32</f>
        <v/>
      </c>
      <c r="EK32" s="9">
        <f>EK31+DW32-(ED32+EE32+EF32+EG32+EH32+EI32+EB32)</f>
        <v/>
      </c>
      <c r="EL32" s="12">
        <f>IF(DQ32&gt;0,DR32/DQ32,0)</f>
        <v/>
      </c>
      <c r="EM32" s="11">
        <f>IF(DQ31&gt;0,MAX(0,(DQ31+DB32-DQ32)/DQ31),0)</f>
        <v/>
      </c>
      <c r="EO32" s="12" t="n">
        <v>28</v>
      </c>
      <c r="EP32" s="12">
        <f>MOD(EO32-1+LaunchMonth-1,12)+1</f>
        <v/>
      </c>
      <c r="EQ32" s="12">
        <f>INT((EO32-1+LaunchMonth-1)/12)+1</f>
        <v/>
      </c>
      <c r="ER32" s="12">
        <f>VLOOKUP(EP32,SeasonTable,2,FALSE)</f>
        <v/>
      </c>
      <c r="ES32" s="12">
        <f>(1+InflationRate)^INT((EO32-1)/12)</f>
        <v/>
      </c>
      <c r="ET32" s="11">
        <f>'Sens - Churn'!$A$13*VLOOKUP(EP32,ChurnSeasonTable,4,FALSE)</f>
        <v/>
      </c>
      <c r="EU32" s="12">
        <f>MIN(MAX(MktMin19plus,FS31*MktPct19plus),MAX(0,GG31-CashBuffer))</f>
        <v/>
      </c>
      <c r="EV32" s="12">
        <f>IF(EU32&gt;0,MAX(1,ROUND(EU32/CAC*ER32,0)),0)</f>
        <v/>
      </c>
      <c r="EW32" s="12">
        <f>IF(EV32&gt;0,ROUND(EV32*ReferralMix/(1-ReferralMix),0),0)</f>
        <v/>
      </c>
      <c r="EX32" s="12">
        <f>EV32+EW32</f>
        <v/>
      </c>
      <c r="EY32" s="12">
        <f>ROUND(EX32*(1-AnnualMix),0)</f>
        <v/>
      </c>
      <c r="EZ32" s="12">
        <f>EX32-EY32</f>
        <v/>
      </c>
      <c r="FA32" s="12">
        <f>ROUND(EY32*EssentialMix,0)</f>
        <v/>
      </c>
      <c r="FB32" s="12">
        <f>ROUND(EY32*PremiumMix,0)</f>
        <v/>
      </c>
      <c r="FC32" s="12">
        <f>EY32-FA32-FB32</f>
        <v/>
      </c>
      <c r="FD32" s="12">
        <f>ROUND(EZ32*EssentialMix,0)</f>
        <v/>
      </c>
      <c r="FE32" s="12">
        <f>ROUND(EZ32*PremiumMix,0)</f>
        <v/>
      </c>
      <c r="FF32" s="12">
        <f>EZ32-FD32-FE32</f>
        <v/>
      </c>
      <c r="FG32" s="12">
        <f>FA32+FA31+FA30+MAX(0,FG31-FA31-FA30)*(1-ET32)</f>
        <v/>
      </c>
      <c r="FH32" s="12">
        <f>FB32+FB31+FB30+MAX(0,FH31-FB31-FB30)*(1-ET32)</f>
        <v/>
      </c>
      <c r="FI32" s="12">
        <f>FC32+FC31+FC30+MAX(0,FI31-FC31-FC30)*(1-ET32)</f>
        <v/>
      </c>
      <c r="FJ32" s="12">
        <f>FJ31+FD32-FD20*(AnnualChurn*VLOOKUP(EP32,ChurnSeasonTable,4,FALSE))*POWER(1-(AnnualChurn*VLOOKUP(EP32,ChurnSeasonTable,4,FALSE)),0)+FD8*(AnnualChurn*VLOOKUP(EP32,ChurnSeasonTable,4,FALSE))*POWER(1-(AnnualChurn*VLOOKUP(EP32,ChurnSeasonTable,4,FALSE)),1)</f>
        <v/>
      </c>
      <c r="FK32" s="12">
        <f>FK31+FE32-FE20*(AnnualChurn*VLOOKUP(EP32,ChurnSeasonTable,4,FALSE))*POWER(1-(AnnualChurn*VLOOKUP(EP32,ChurnSeasonTable,4,FALSE)),0)+FE8*(AnnualChurn*VLOOKUP(EP32,ChurnSeasonTable,4,FALSE))*POWER(1-(AnnualChurn*VLOOKUP(EP32,ChurnSeasonTable,4,FALSE)),1)</f>
        <v/>
      </c>
      <c r="FL32" s="12">
        <f>FL31+FF32-FF20*(AnnualChurn*VLOOKUP(EP32,ChurnSeasonTable,4,FALSE))*POWER(1-(AnnualChurn*VLOOKUP(EP32,ChurnSeasonTable,4,FALSE)),0)+FF8*(AnnualChurn*VLOOKUP(EP32,ChurnSeasonTable,4,FALSE))*POWER(1-(AnnualChurn*VLOOKUP(EP32,ChurnSeasonTable,4,FALSE)),1)</f>
        <v/>
      </c>
      <c r="FM32" s="12">
        <f>FG32+FH32+FI32+FJ32+FK32+FL32</f>
        <v/>
      </c>
      <c r="FN32" s="9">
        <f>FG32*BlendedPriceEssMonthly*ES32+FH32*BlendedPricePremMonthly*ES32+FI32*BlendedPriceEliteMonthly*ES32+FJ32*BlendedPriceEssAnnual*ES32/12+FK32*BlendedPricePremAnnual*ES32/12+FL32*BlendedPriceEliteAnnual*ES32/12</f>
        <v/>
      </c>
      <c r="FO32" s="9">
        <f>FN32*12</f>
        <v/>
      </c>
      <c r="FP32" s="12">
        <f>FG32*BlendedPriceEssMonthly*ES32+FH32*BlendedPricePremMonthly*ES32+FI32*BlendedPriceEliteMonthly*ES32</f>
        <v/>
      </c>
      <c r="FQ32" s="12">
        <f>FD32*BlendedPriceEssAnnual*ES32+FE32*BlendedPricePremAnnual*ES32+FF32*BlendedPriceEliteAnnual*ES32</f>
        <v/>
      </c>
      <c r="FR32" s="12">
        <f>FD20*POWER(1-(AnnualChurn*VLOOKUP(EP32,ChurnSeasonTable,4,FALSE)),1)*BlendedPriceEssAnnual*ES32+FD8*POWER(1-(AnnualChurn*VLOOKUP(EP32,ChurnSeasonTable,4,FALSE)),2)*BlendedPriceEssAnnual*ES32+FE20*POWER(1-(AnnualChurn*VLOOKUP(EP32,ChurnSeasonTable,4,FALSE)),1)*BlendedPricePremAnnual*ES32+FE8*POWER(1-(AnnualChurn*VLOOKUP(EP32,ChurnSeasonTable,4,FALSE)),2)*BlendedPricePremAnnual*ES32+FF20*POWER(1-(AnnualChurn*VLOOKUP(EP32,ChurnSeasonTable,4,FALSE)),1)*BlendedPriceEliteAnnual*ES32+FF8*POWER(1-(AnnualChurn*VLOOKUP(EP32,ChurnSeasonTable,4,FALSE)),2)*BlendedPriceEliteAnnual*ES32</f>
        <v/>
      </c>
      <c r="FS32" s="9">
        <f>FP32+FQ32+FR32</f>
        <v/>
      </c>
      <c r="FT32" s="12">
        <f>SUM(FS21:FS32)</f>
        <v/>
      </c>
      <c r="FU32" s="12">
        <f>OR(FU31,IF(VATAgentMode,SUM($FS21:$FS32)-SUM($FZ21:$FZ32)&gt;=VATThreshold,SUM($FS21:$FS32)&gt;=VATThreshold))</f>
        <v/>
      </c>
      <c r="FV32" s="9">
        <f>IF(FU32,IF(VATAgentMode,FS32-((FS32-FZ32)-(FS32-FZ32)/(1+VATRate)),FS32/(1+VATRate)),FS32)</f>
        <v/>
      </c>
      <c r="FW32" s="12">
        <f>FS32-FV32</f>
        <v/>
      </c>
      <c r="FX32" s="12">
        <f>IF(FU32=0,0,IF(EP32=1,SUMPRODUCT(--(($EQ$5:$EQ32=$EQ32-1)*($EP$5:$EP32&gt;=10)*($EP$5:$EP32&lt;=12)),$FW$5:$FW32),IF(EP32=4,SUMPRODUCT(--(($EQ$5:$EQ32=$EQ32)*($EP$5:$EP32&gt;=1)*($EP$5:$EP32&lt;=3)),$FW$5:$FW32),IF(EP32=7,SUMPRODUCT(--(($EQ$5:$EQ32=$EQ32)*($EP$5:$EP32&gt;=4)*($EP$5:$EP32&lt;=6)),$FW$5:$FW32),IF(EP32=10,SUMPRODUCT(--(($EQ$5:$EQ32=$EQ32)*($EP$5:$EP32&gt;=7)*($EP$5:$EP32&lt;=9)),$FW$5:$FW32),0)))))</f>
        <v/>
      </c>
      <c r="FY32" s="12">
        <f>FY31+FW32-FX32</f>
        <v/>
      </c>
      <c r="FZ32" s="12">
        <f>IF(ProviderDelay&gt;=1,FG31*BlendedProvPayEss+FH31*BlendedProvPayPrem+FI31*BlendedProvPayElite+FJ31*BlendedProvPayEss+FK31*BlendedProvPayPrem+FL31*BlendedProvPayElite,FG32*BlendedProvPayEss+FH32*BlendedProvPayPrem+FI32*BlendedProvPayElite+FJ32*BlendedProvPayEss+FK32*BlendedProvPayPrem+FL32*BlendedProvPayElite)</f>
        <v/>
      </c>
      <c r="GA32" s="12">
        <f>FS32*PaymentFee</f>
        <v/>
      </c>
      <c r="GB32" s="12">
        <f>FM32*OpsAI</f>
        <v/>
      </c>
      <c r="GC32" s="12">
        <f>MonthlyFixed</f>
        <v/>
      </c>
      <c r="GD32" s="12">
        <f>EW32*ReferralReward</f>
        <v/>
      </c>
      <c r="GE32" s="12">
        <f>EU32</f>
        <v/>
      </c>
      <c r="GF32" s="9">
        <f>FV32-FZ32-GA32-GB32-GC32-GD32-GE32</f>
        <v/>
      </c>
      <c r="GG32" s="9">
        <f>GG31+FS32-(FZ32+GA32+GB32+GC32+GD32+GE32+FX32)</f>
        <v/>
      </c>
      <c r="GH32" s="12">
        <f>IF(FM32&gt;0,FN32/FM32,0)</f>
        <v/>
      </c>
      <c r="GI32" s="11">
        <f>IF(FM31&gt;0,MAX(0,(FM31+EX32-FM32)/FM31),0)</f>
        <v/>
      </c>
      <c r="GK32" s="12" t="n">
        <v>28</v>
      </c>
      <c r="GL32" s="12">
        <f>MOD(GK32-1+LaunchMonth-1,12)+1</f>
        <v/>
      </c>
      <c r="GM32" s="12">
        <f>INT((GK32-1+LaunchMonth-1)/12)+1</f>
        <v/>
      </c>
      <c r="GN32" s="12">
        <f>VLOOKUP(GL32,SeasonTable,2,FALSE)</f>
        <v/>
      </c>
      <c r="GO32" s="12">
        <f>(1+InflationRate)^INT((GK32-1)/12)</f>
        <v/>
      </c>
      <c r="GP32" s="11">
        <f>'Sens - Churn'!$A$14*VLOOKUP(GL32,ChurnSeasonTable,4,FALSE)</f>
        <v/>
      </c>
      <c r="GQ32" s="12">
        <f>MIN(MAX(MktMin19plus,HO31*MktPct19plus),MAX(0,IC31-CashBuffer))</f>
        <v/>
      </c>
      <c r="GR32" s="12">
        <f>IF(GQ32&gt;0,MAX(1,ROUND(GQ32/CAC*GN32,0)),0)</f>
        <v/>
      </c>
      <c r="GS32" s="12">
        <f>IF(GR32&gt;0,ROUND(GR32*ReferralMix/(1-ReferralMix),0),0)</f>
        <v/>
      </c>
      <c r="GT32" s="12">
        <f>GR32+GS32</f>
        <v/>
      </c>
      <c r="GU32" s="12">
        <f>ROUND(GT32*(1-AnnualMix),0)</f>
        <v/>
      </c>
      <c r="GV32" s="12">
        <f>GT32-GU32</f>
        <v/>
      </c>
      <c r="GW32" s="12">
        <f>ROUND(GU32*EssentialMix,0)</f>
        <v/>
      </c>
      <c r="GX32" s="12">
        <f>ROUND(GU32*PremiumMix,0)</f>
        <v/>
      </c>
      <c r="GY32" s="12">
        <f>GU32-GW32-GX32</f>
        <v/>
      </c>
      <c r="GZ32" s="12">
        <f>ROUND(GV32*EssentialMix,0)</f>
        <v/>
      </c>
      <c r="HA32" s="12">
        <f>ROUND(GV32*PremiumMix,0)</f>
        <v/>
      </c>
      <c r="HB32" s="12">
        <f>GV32-GZ32-HA32</f>
        <v/>
      </c>
      <c r="HC32" s="12">
        <f>GW32+GW31+GW30+MAX(0,HC31-GW31-GW30)*(1-GP32)</f>
        <v/>
      </c>
      <c r="HD32" s="12">
        <f>GX32+GX31+GX30+MAX(0,HD31-GX31-GX30)*(1-GP32)</f>
        <v/>
      </c>
      <c r="HE32" s="12">
        <f>GY32+GY31+GY30+MAX(0,HE31-GY31-GY30)*(1-GP32)</f>
        <v/>
      </c>
      <c r="HF32" s="12">
        <f>HF31+GZ32-GZ20*(AnnualChurn*VLOOKUP(GL32,ChurnSeasonTable,4,FALSE))*POWER(1-(AnnualChurn*VLOOKUP(GL32,ChurnSeasonTable,4,FALSE)),0)+GZ8*(AnnualChurn*VLOOKUP(GL32,ChurnSeasonTable,4,FALSE))*POWER(1-(AnnualChurn*VLOOKUP(GL32,ChurnSeasonTable,4,FALSE)),1)</f>
        <v/>
      </c>
      <c r="HG32" s="12">
        <f>HG31+HA32-HA20*(AnnualChurn*VLOOKUP(GL32,ChurnSeasonTable,4,FALSE))*POWER(1-(AnnualChurn*VLOOKUP(GL32,ChurnSeasonTable,4,FALSE)),0)+HA8*(AnnualChurn*VLOOKUP(GL32,ChurnSeasonTable,4,FALSE))*POWER(1-(AnnualChurn*VLOOKUP(GL32,ChurnSeasonTable,4,FALSE)),1)</f>
        <v/>
      </c>
      <c r="HH32" s="12">
        <f>HH31+HB32-HB20*(AnnualChurn*VLOOKUP(GL32,ChurnSeasonTable,4,FALSE))*POWER(1-(AnnualChurn*VLOOKUP(GL32,ChurnSeasonTable,4,FALSE)),0)+HB8*(AnnualChurn*VLOOKUP(GL32,ChurnSeasonTable,4,FALSE))*POWER(1-(AnnualChurn*VLOOKUP(GL32,ChurnSeasonTable,4,FALSE)),1)</f>
        <v/>
      </c>
      <c r="HI32" s="12">
        <f>HC32+HD32+HE32+HF32+HG32+HH32</f>
        <v/>
      </c>
      <c r="HJ32" s="9">
        <f>HC32*BlendedPriceEssMonthly*GO32+HD32*BlendedPricePremMonthly*GO32+HE32*BlendedPriceEliteMonthly*GO32+HF32*BlendedPriceEssAnnual*GO32/12+HG32*BlendedPricePremAnnual*GO32/12+HH32*BlendedPriceEliteAnnual*GO32/12</f>
        <v/>
      </c>
      <c r="HK32" s="9">
        <f>HJ32*12</f>
        <v/>
      </c>
      <c r="HL32" s="12">
        <f>HC32*BlendedPriceEssMonthly*GO32+HD32*BlendedPricePremMonthly*GO32+HE32*BlendedPriceEliteMonthly*GO32</f>
        <v/>
      </c>
      <c r="HM32" s="12">
        <f>GZ32*BlendedPriceEssAnnual*GO32+HA32*BlendedPricePremAnnual*GO32+HB32*BlendedPriceEliteAnnual*GO32</f>
        <v/>
      </c>
      <c r="HN32" s="12">
        <f>GZ20*POWER(1-(AnnualChurn*VLOOKUP(GL32,ChurnSeasonTable,4,FALSE)),1)*BlendedPriceEssAnnual*GO32+GZ8*POWER(1-(AnnualChurn*VLOOKUP(GL32,ChurnSeasonTable,4,FALSE)),2)*BlendedPriceEssAnnual*GO32+HA20*POWER(1-(AnnualChurn*VLOOKUP(GL32,ChurnSeasonTable,4,FALSE)),1)*BlendedPricePremAnnual*GO32+HA8*POWER(1-(AnnualChurn*VLOOKUP(GL32,ChurnSeasonTable,4,FALSE)),2)*BlendedPricePremAnnual*GO32+HB20*POWER(1-(AnnualChurn*VLOOKUP(GL32,ChurnSeasonTable,4,FALSE)),1)*BlendedPriceEliteAnnual*GO32+HB8*POWER(1-(AnnualChurn*VLOOKUP(GL32,ChurnSeasonTable,4,FALSE)),2)*BlendedPriceEliteAnnual*GO32</f>
        <v/>
      </c>
      <c r="HO32" s="9">
        <f>HL32+HM32+HN32</f>
        <v/>
      </c>
      <c r="HP32" s="12">
        <f>SUM(HO21:HO32)</f>
        <v/>
      </c>
      <c r="HQ32" s="12">
        <f>OR(HQ31,IF(VATAgentMode,SUM($HO21:$HO32)-SUM($HV21:$HV32)&gt;=VATThreshold,SUM($HO21:$HO32)&gt;=VATThreshold))</f>
        <v/>
      </c>
      <c r="HR32" s="9">
        <f>IF(HQ32,IF(VATAgentMode,HO32-((HO32-HV32)-(HO32-HV32)/(1+VATRate)),HO32/(1+VATRate)),HO32)</f>
        <v/>
      </c>
      <c r="HS32" s="12">
        <f>HO32-HR32</f>
        <v/>
      </c>
      <c r="HT32" s="12">
        <f>IF(HQ32=0,0,IF(GL32=1,SUMPRODUCT(--(($GM$5:$GM32=$GM32-1)*($GL$5:$GL32&gt;=10)*($GL$5:$GL32&lt;=12)),$HS$5:$HS32),IF(GL32=4,SUMPRODUCT(--(($GM$5:$GM32=$GM32)*($GL$5:$GL32&gt;=1)*($GL$5:$GL32&lt;=3)),$HS$5:$HS32),IF(GL32=7,SUMPRODUCT(--(($GM$5:$GM32=$GM32)*($GL$5:$GL32&gt;=4)*($GL$5:$GL32&lt;=6)),$HS$5:$HS32),IF(GL32=10,SUMPRODUCT(--(($GM$5:$GM32=$GM32)*($GL$5:$GL32&gt;=7)*($GL$5:$GL32&lt;=9)),$HS$5:$HS32),0)))))</f>
        <v/>
      </c>
      <c r="HU32" s="12">
        <f>HU31+HS32-HT32</f>
        <v/>
      </c>
      <c r="HV32" s="12">
        <f>IF(ProviderDelay&gt;=1,HC31*BlendedProvPayEss+HD31*BlendedProvPayPrem+HE31*BlendedProvPayElite+HF31*BlendedProvPayEss+HG31*BlendedProvPayPrem+HH31*BlendedProvPayElite,HC32*BlendedProvPayEss+HD32*BlendedProvPayPrem+HE32*BlendedProvPayElite+HF32*BlendedProvPayEss+HG32*BlendedProvPayPrem+HH32*BlendedProvPayElite)</f>
        <v/>
      </c>
      <c r="HW32" s="12">
        <f>HO32*PaymentFee</f>
        <v/>
      </c>
      <c r="HX32" s="12">
        <f>HI32*OpsAI</f>
        <v/>
      </c>
      <c r="HY32" s="12">
        <f>MonthlyFixed</f>
        <v/>
      </c>
      <c r="HZ32" s="12">
        <f>GS32*ReferralReward</f>
        <v/>
      </c>
      <c r="IA32" s="12">
        <f>GQ32</f>
        <v/>
      </c>
      <c r="IB32" s="9">
        <f>HR32-HV32-HW32-HX32-HY32-HZ32-IA32</f>
        <v/>
      </c>
      <c r="IC32" s="9">
        <f>IC31+HO32-(HV32+HW32+HX32+HY32+HZ32+IA32+HT32)</f>
        <v/>
      </c>
      <c r="ID32" s="12">
        <f>IF(HI32&gt;0,HJ32/HI32,0)</f>
        <v/>
      </c>
      <c r="IE32" s="11">
        <f>IF(HI31&gt;0,MAX(0,(HI31+GT32-HI32)/HI31),0)</f>
        <v/>
      </c>
      <c r="IG32" s="12" t="n">
        <v>28</v>
      </c>
      <c r="IH32" s="12">
        <f>MOD(IG32-1+LaunchMonth-1,12)+1</f>
        <v/>
      </c>
      <c r="II32" s="12">
        <f>INT((IG32-1+LaunchMonth-1)/12)+1</f>
        <v/>
      </c>
      <c r="IJ32" s="12">
        <f>VLOOKUP(IH32,SeasonTable,2,FALSE)</f>
        <v/>
      </c>
      <c r="IK32" s="12">
        <f>(1+InflationRate)^INT((IG32-1)/12)</f>
        <v/>
      </c>
      <c r="IL32" s="11">
        <f>'Sens - Churn'!$A$15*VLOOKUP(IH32,ChurnSeasonTable,4,FALSE)</f>
        <v/>
      </c>
      <c r="IM32" s="12">
        <f>MIN(MAX(MktMin19plus,JK31*MktPct19plus),MAX(0,JY31-CashBuffer))</f>
        <v/>
      </c>
      <c r="IN32" s="12">
        <f>IF(IM32&gt;0,MAX(1,ROUND(IM32/CAC*IJ32,0)),0)</f>
        <v/>
      </c>
      <c r="IO32" s="12">
        <f>IF(IN32&gt;0,ROUND(IN32*ReferralMix/(1-ReferralMix),0),0)</f>
        <v/>
      </c>
      <c r="IP32" s="12">
        <f>IN32+IO32</f>
        <v/>
      </c>
      <c r="IQ32" s="12">
        <f>ROUND(IP32*(1-AnnualMix),0)</f>
        <v/>
      </c>
      <c r="IR32" s="12">
        <f>IP32-IQ32</f>
        <v/>
      </c>
      <c r="IS32" s="12">
        <f>ROUND(IQ32*EssentialMix,0)</f>
        <v/>
      </c>
      <c r="IT32" s="12">
        <f>ROUND(IQ32*PremiumMix,0)</f>
        <v/>
      </c>
      <c r="IU32" s="12">
        <f>IQ32-IS32-IT32</f>
        <v/>
      </c>
      <c r="IV32" s="12">
        <f>ROUND(IR32*EssentialMix,0)</f>
        <v/>
      </c>
      <c r="IW32" s="12">
        <f>ROUND(IR32*PremiumMix,0)</f>
        <v/>
      </c>
      <c r="IX32" s="12">
        <f>IR32-IV32-IW32</f>
        <v/>
      </c>
      <c r="IY32" s="12">
        <f>IS32+IS31+IS30+MAX(0,IY31-IS31-IS30)*(1-IL32)</f>
        <v/>
      </c>
      <c r="IZ32" s="12">
        <f>IT32+IT31+IT30+MAX(0,IZ31-IT31-IT30)*(1-IL32)</f>
        <v/>
      </c>
      <c r="JA32" s="12">
        <f>IU32+IU31+IU30+MAX(0,JA31-IU31-IU30)*(1-IL32)</f>
        <v/>
      </c>
      <c r="JB32" s="12">
        <f>JB31+IV32-IV20*(AnnualChurn*VLOOKUP(IH32,ChurnSeasonTable,4,FALSE))*POWER(1-(AnnualChurn*VLOOKUP(IH32,ChurnSeasonTable,4,FALSE)),0)+IV8*(AnnualChurn*VLOOKUP(IH32,ChurnSeasonTable,4,FALSE))*POWER(1-(AnnualChurn*VLOOKUP(IH32,ChurnSeasonTable,4,FALSE)),1)</f>
        <v/>
      </c>
      <c r="JC32" s="12">
        <f>JC31+IW32-IW20*(AnnualChurn*VLOOKUP(IH32,ChurnSeasonTable,4,FALSE))*POWER(1-(AnnualChurn*VLOOKUP(IH32,ChurnSeasonTable,4,FALSE)),0)+IW8*(AnnualChurn*VLOOKUP(IH32,ChurnSeasonTable,4,FALSE))*POWER(1-(AnnualChurn*VLOOKUP(IH32,ChurnSeasonTable,4,FALSE)),1)</f>
        <v/>
      </c>
      <c r="JD32" s="12">
        <f>JD31+IX32-IX20*(AnnualChurn*VLOOKUP(IH32,ChurnSeasonTable,4,FALSE))*POWER(1-(AnnualChurn*VLOOKUP(IH32,ChurnSeasonTable,4,FALSE)),0)+IX8*(AnnualChurn*VLOOKUP(IH32,ChurnSeasonTable,4,FALSE))*POWER(1-(AnnualChurn*VLOOKUP(IH32,ChurnSeasonTable,4,FALSE)),1)</f>
        <v/>
      </c>
      <c r="JE32" s="12">
        <f>IY32+IZ32+JA32+JB32+JC32+JD32</f>
        <v/>
      </c>
      <c r="JF32" s="9">
        <f>IY32*BlendedPriceEssMonthly*IK32+IZ32*BlendedPricePremMonthly*IK32+JA32*BlendedPriceEliteMonthly*IK32+JB32*BlendedPriceEssAnnual*IK32/12+JC32*BlendedPricePremAnnual*IK32/12+JD32*BlendedPriceEliteAnnual*IK32/12</f>
        <v/>
      </c>
      <c r="JG32" s="9">
        <f>JF32*12</f>
        <v/>
      </c>
      <c r="JH32" s="12">
        <f>IY32*BlendedPriceEssMonthly*IK32+IZ32*BlendedPricePremMonthly*IK32+JA32*BlendedPriceEliteMonthly*IK32</f>
        <v/>
      </c>
      <c r="JI32" s="12">
        <f>IV32*BlendedPriceEssAnnual*IK32+IW32*BlendedPricePremAnnual*IK32+IX32*BlendedPriceEliteAnnual*IK32</f>
        <v/>
      </c>
      <c r="JJ32" s="12">
        <f>IV20*POWER(1-(AnnualChurn*VLOOKUP(IH32,ChurnSeasonTable,4,FALSE)),1)*BlendedPriceEssAnnual*IK32+IV8*POWER(1-(AnnualChurn*VLOOKUP(IH32,ChurnSeasonTable,4,FALSE)),2)*BlendedPriceEssAnnual*IK32+IW20*POWER(1-(AnnualChurn*VLOOKUP(IH32,ChurnSeasonTable,4,FALSE)),1)*BlendedPricePremAnnual*IK32+IW8*POWER(1-(AnnualChurn*VLOOKUP(IH32,ChurnSeasonTable,4,FALSE)),2)*BlendedPricePremAnnual*IK32+IX20*POWER(1-(AnnualChurn*VLOOKUP(IH32,ChurnSeasonTable,4,FALSE)),1)*BlendedPriceEliteAnnual*IK32+IX8*POWER(1-(AnnualChurn*VLOOKUP(IH32,ChurnSeasonTable,4,FALSE)),2)*BlendedPriceEliteAnnual*IK32</f>
        <v/>
      </c>
      <c r="JK32" s="9">
        <f>JH32+JI32+JJ32</f>
        <v/>
      </c>
      <c r="JL32" s="12">
        <f>SUM(JK21:JK32)</f>
        <v/>
      </c>
      <c r="JM32" s="12">
        <f>OR(JM31,IF(VATAgentMode,SUM($JK21:$JK32)-SUM($JR21:$JR32)&gt;=VATThreshold,SUM($JK21:$JK32)&gt;=VATThreshold))</f>
        <v/>
      </c>
      <c r="JN32" s="9">
        <f>IF(JM32,IF(VATAgentMode,JK32-((JK32-JR32)-(JK32-JR32)/(1+VATRate)),JK32/(1+VATRate)),JK32)</f>
        <v/>
      </c>
      <c r="JO32" s="12">
        <f>JK32-JN32</f>
        <v/>
      </c>
      <c r="JP32" s="12">
        <f>IF(JM32=0,0,IF(IH32=1,SUMPRODUCT(--(($II$5:$II32=$II32-1)*($IH$5:$IH32&gt;=10)*($IH$5:$IH32&lt;=12)),$JO$5:$JO32),IF(IH32=4,SUMPRODUCT(--(($II$5:$II32=$II32)*($IH$5:$IH32&gt;=1)*($IH$5:$IH32&lt;=3)),$JO$5:$JO32),IF(IH32=7,SUMPRODUCT(--(($II$5:$II32=$II32)*($IH$5:$IH32&gt;=4)*($IH$5:$IH32&lt;=6)),$JO$5:$JO32),IF(IH32=10,SUMPRODUCT(--(($II$5:$II32=$II32)*($IH$5:$IH32&gt;=7)*($IH$5:$IH32&lt;=9)),$JO$5:$JO32),0)))))</f>
        <v/>
      </c>
      <c r="JQ32" s="12">
        <f>JQ31+JO32-JP32</f>
        <v/>
      </c>
      <c r="JR32" s="12">
        <f>IF(ProviderDelay&gt;=1,IY31*BlendedProvPayEss+IZ31*BlendedProvPayPrem+JA31*BlendedProvPayElite+JB31*BlendedProvPayEss+JC31*BlendedProvPayPrem+JD31*BlendedProvPayElite,IY32*BlendedProvPayEss+IZ32*BlendedProvPayPrem+JA32*BlendedProvPayElite+JB32*BlendedProvPayEss+JC32*BlendedProvPayPrem+JD32*BlendedProvPayElite)</f>
        <v/>
      </c>
      <c r="JS32" s="12">
        <f>JK32*PaymentFee</f>
        <v/>
      </c>
      <c r="JT32" s="12">
        <f>JE32*OpsAI</f>
        <v/>
      </c>
      <c r="JU32" s="12">
        <f>MonthlyFixed</f>
        <v/>
      </c>
      <c r="JV32" s="12">
        <f>IO32*ReferralReward</f>
        <v/>
      </c>
      <c r="JW32" s="12">
        <f>IM32</f>
        <v/>
      </c>
      <c r="JX32" s="9">
        <f>JN32-JR32-JS32-JT32-JU32-JV32-JW32</f>
        <v/>
      </c>
      <c r="JY32" s="9">
        <f>JY31+JK32-(JR32+JS32+JT32+JU32+JV32+JW32+JP32)</f>
        <v/>
      </c>
      <c r="JZ32" s="12">
        <f>IF(JE32&gt;0,JF32/JE32,0)</f>
        <v/>
      </c>
      <c r="KA32" s="11">
        <f>IF(JE31&gt;0,MAX(0,(JE31+IP32-JE32)/JE31),0)</f>
        <v/>
      </c>
      <c r="KC32" s="12" t="n">
        <v>28</v>
      </c>
      <c r="KD32" s="12">
        <f>MOD(KC32-1+LaunchMonth-1,12)+1</f>
        <v/>
      </c>
      <c r="KE32" s="12">
        <f>INT((KC32-1+LaunchMonth-1)/12)+1</f>
        <v/>
      </c>
      <c r="KF32" s="12">
        <f>VLOOKUP(KD32,SeasonTable,2,FALSE)</f>
        <v/>
      </c>
      <c r="KG32" s="12">
        <f>(1+InflationRate)^INT((KC32-1)/12)</f>
        <v/>
      </c>
      <c r="KH32" s="11">
        <f>'Sens - Churn'!$A$16*VLOOKUP(KD32,ChurnSeasonTable,4,FALSE)</f>
        <v/>
      </c>
      <c r="KI32" s="12">
        <f>MIN(MAX(MktMin19plus,LG31*MktPct19plus),MAX(0,LU31-CashBuffer))</f>
        <v/>
      </c>
      <c r="KJ32" s="12">
        <f>IF(KI32&gt;0,MAX(1,ROUND(KI32/CAC*KF32,0)),0)</f>
        <v/>
      </c>
      <c r="KK32" s="12">
        <f>IF(KJ32&gt;0,ROUND(KJ32*ReferralMix/(1-ReferralMix),0),0)</f>
        <v/>
      </c>
      <c r="KL32" s="12">
        <f>KJ32+KK32</f>
        <v/>
      </c>
      <c r="KM32" s="12">
        <f>ROUND(KL32*(1-AnnualMix),0)</f>
        <v/>
      </c>
      <c r="KN32" s="12">
        <f>KL32-KM32</f>
        <v/>
      </c>
      <c r="KO32" s="12">
        <f>ROUND(KM32*EssentialMix,0)</f>
        <v/>
      </c>
      <c r="KP32" s="12">
        <f>ROUND(KM32*PremiumMix,0)</f>
        <v/>
      </c>
      <c r="KQ32" s="12">
        <f>KM32-KO32-KP32</f>
        <v/>
      </c>
      <c r="KR32" s="12">
        <f>ROUND(KN32*EssentialMix,0)</f>
        <v/>
      </c>
      <c r="KS32" s="12">
        <f>ROUND(KN32*PremiumMix,0)</f>
        <v/>
      </c>
      <c r="KT32" s="12">
        <f>KN32-KR32-KS32</f>
        <v/>
      </c>
      <c r="KU32" s="12">
        <f>KO32+KO31+KO30+MAX(0,KU31-KO31-KO30)*(1-KH32)</f>
        <v/>
      </c>
      <c r="KV32" s="12">
        <f>KP32+KP31+KP30+MAX(0,KV31-KP31-KP30)*(1-KH32)</f>
        <v/>
      </c>
      <c r="KW32" s="12">
        <f>KQ32+KQ31+KQ30+MAX(0,KW31-KQ31-KQ30)*(1-KH32)</f>
        <v/>
      </c>
      <c r="KX32" s="12">
        <f>KX31+KR32-KR20*(AnnualChurn*VLOOKUP(KD32,ChurnSeasonTable,4,FALSE))*POWER(1-(AnnualChurn*VLOOKUP(KD32,ChurnSeasonTable,4,FALSE)),0)+KR8*(AnnualChurn*VLOOKUP(KD32,ChurnSeasonTable,4,FALSE))*POWER(1-(AnnualChurn*VLOOKUP(KD32,ChurnSeasonTable,4,FALSE)),1)</f>
        <v/>
      </c>
      <c r="KY32" s="12">
        <f>KY31+KS32-KS20*(AnnualChurn*VLOOKUP(KD32,ChurnSeasonTable,4,FALSE))*POWER(1-(AnnualChurn*VLOOKUP(KD32,ChurnSeasonTable,4,FALSE)),0)+KS8*(AnnualChurn*VLOOKUP(KD32,ChurnSeasonTable,4,FALSE))*POWER(1-(AnnualChurn*VLOOKUP(KD32,ChurnSeasonTable,4,FALSE)),1)</f>
        <v/>
      </c>
      <c r="KZ32" s="12">
        <f>KZ31+KT32-KT20*(AnnualChurn*VLOOKUP(KD32,ChurnSeasonTable,4,FALSE))*POWER(1-(AnnualChurn*VLOOKUP(KD32,ChurnSeasonTable,4,FALSE)),0)+KT8*(AnnualChurn*VLOOKUP(KD32,ChurnSeasonTable,4,FALSE))*POWER(1-(AnnualChurn*VLOOKUP(KD32,ChurnSeasonTable,4,FALSE)),1)</f>
        <v/>
      </c>
      <c r="LA32" s="12">
        <f>KU32+KV32+KW32+KX32+KY32+KZ32</f>
        <v/>
      </c>
      <c r="LB32" s="9">
        <f>KU32*BlendedPriceEssMonthly*KG32+KV32*BlendedPricePremMonthly*KG32+KW32*BlendedPriceEliteMonthly*KG32+KX32*BlendedPriceEssAnnual*KG32/12+KY32*BlendedPricePremAnnual*KG32/12+KZ32*BlendedPriceEliteAnnual*KG32/12</f>
        <v/>
      </c>
      <c r="LC32" s="9">
        <f>LB32*12</f>
        <v/>
      </c>
      <c r="LD32" s="12">
        <f>KU32*BlendedPriceEssMonthly*KG32+KV32*BlendedPricePremMonthly*KG32+KW32*BlendedPriceEliteMonthly*KG32</f>
        <v/>
      </c>
      <c r="LE32" s="12">
        <f>KR32*BlendedPriceEssAnnual*KG32+KS32*BlendedPricePremAnnual*KG32+KT32*BlendedPriceEliteAnnual*KG32</f>
        <v/>
      </c>
      <c r="LF32" s="12">
        <f>KR20*POWER(1-(AnnualChurn*VLOOKUP(KD32,ChurnSeasonTable,4,FALSE)),1)*BlendedPriceEssAnnual*KG32+KR8*POWER(1-(AnnualChurn*VLOOKUP(KD32,ChurnSeasonTable,4,FALSE)),2)*BlendedPriceEssAnnual*KG32+KS20*POWER(1-(AnnualChurn*VLOOKUP(KD32,ChurnSeasonTable,4,FALSE)),1)*BlendedPricePremAnnual*KG32+KS8*POWER(1-(AnnualChurn*VLOOKUP(KD32,ChurnSeasonTable,4,FALSE)),2)*BlendedPricePremAnnual*KG32+KT20*POWER(1-(AnnualChurn*VLOOKUP(KD32,ChurnSeasonTable,4,FALSE)),1)*BlendedPriceEliteAnnual*KG32+KT8*POWER(1-(AnnualChurn*VLOOKUP(KD32,ChurnSeasonTable,4,FALSE)),2)*BlendedPriceEliteAnnual*KG32</f>
        <v/>
      </c>
      <c r="LG32" s="9">
        <f>LD32+LE32+LF32</f>
        <v/>
      </c>
      <c r="LH32" s="12">
        <f>SUM(LG21:LG32)</f>
        <v/>
      </c>
      <c r="LI32" s="12">
        <f>OR(LI31,IF(VATAgentMode,SUM($LG21:$LG32)-SUM($LN21:$LN32)&gt;=VATThreshold,SUM($LG21:$LG32)&gt;=VATThreshold))</f>
        <v/>
      </c>
      <c r="LJ32" s="9">
        <f>IF(LI32,IF(VATAgentMode,LG32-((LG32-LN32)-(LG32-LN32)/(1+VATRate)),LG32/(1+VATRate)),LG32)</f>
        <v/>
      </c>
      <c r="LK32" s="12">
        <f>LG32-LJ32</f>
        <v/>
      </c>
      <c r="LL32" s="12">
        <f>IF(LI32=0,0,IF(KD32=1,SUMPRODUCT(--(($KE$5:$KE32=$KE32-1)*($KD$5:$KD32&gt;=10)*($KD$5:$KD32&lt;=12)),$LK$5:$LK32),IF(KD32=4,SUMPRODUCT(--(($KE$5:$KE32=$KE32)*($KD$5:$KD32&gt;=1)*($KD$5:$KD32&lt;=3)),$LK$5:$LK32),IF(KD32=7,SUMPRODUCT(--(($KE$5:$KE32=$KE32)*($KD$5:$KD32&gt;=4)*($KD$5:$KD32&lt;=6)),$LK$5:$LK32),IF(KD32=10,SUMPRODUCT(--(($KE$5:$KE32=$KE32)*($KD$5:$KD32&gt;=7)*($KD$5:$KD32&lt;=9)),$LK$5:$LK32),0)))))</f>
        <v/>
      </c>
      <c r="LM32" s="12">
        <f>LM31+LK32-LL32</f>
        <v/>
      </c>
      <c r="LN32" s="12">
        <f>IF(ProviderDelay&gt;=1,KU31*BlendedProvPayEss+KV31*BlendedProvPayPrem+KW31*BlendedProvPayElite+KX31*BlendedProvPayEss+KY31*BlendedProvPayPrem+KZ31*BlendedProvPayElite,KU32*BlendedProvPayEss+KV32*BlendedProvPayPrem+KW32*BlendedProvPayElite+KX32*BlendedProvPayEss+KY32*BlendedProvPayPrem+KZ32*BlendedProvPayElite)</f>
        <v/>
      </c>
      <c r="LO32" s="12">
        <f>LG32*PaymentFee</f>
        <v/>
      </c>
      <c r="LP32" s="12">
        <f>LA32*OpsAI</f>
        <v/>
      </c>
      <c r="LQ32" s="12">
        <f>MonthlyFixed</f>
        <v/>
      </c>
      <c r="LR32" s="12">
        <f>KK32*ReferralReward</f>
        <v/>
      </c>
      <c r="LS32" s="12">
        <f>KI32</f>
        <v/>
      </c>
      <c r="LT32" s="9">
        <f>LJ32-LN32-LO32-LP32-LQ32-LR32-LS32</f>
        <v/>
      </c>
      <c r="LU32" s="9">
        <f>LU31+LG32-(LN32+LO32+LP32+LQ32+LR32+LS32+LL32)</f>
        <v/>
      </c>
      <c r="LV32" s="12">
        <f>IF(LA32&gt;0,LB32/LA32,0)</f>
        <v/>
      </c>
      <c r="LW32" s="11">
        <f>IF(LA31&gt;0,MAX(0,(LA31+KL32-LA32)/LA31),0)</f>
        <v/>
      </c>
      <c r="LY32" s="12" t="n">
        <v>28</v>
      </c>
      <c r="LZ32" s="12">
        <f>MOD(LY32-1+LaunchMonth-1,12)+1</f>
        <v/>
      </c>
      <c r="MA32" s="12">
        <f>INT((LY32-1+LaunchMonth-1)/12)+1</f>
        <v/>
      </c>
      <c r="MB32" s="12">
        <f>VLOOKUP(LZ32,SeasonTable,2,FALSE)</f>
        <v/>
      </c>
      <c r="MC32" s="12">
        <f>(1+InflationRate)^INT((LY32-1)/12)</f>
        <v/>
      </c>
      <c r="MD32" s="11">
        <f>'Sens - Churn'!$A$17*VLOOKUP(LZ32,ChurnSeasonTable,4,FALSE)</f>
        <v/>
      </c>
      <c r="ME32" s="12">
        <f>MIN(MAX(MktMin19plus,NC31*MktPct19plus),MAX(0,NQ31-CashBuffer))</f>
        <v/>
      </c>
      <c r="MF32" s="12">
        <f>IF(ME32&gt;0,MAX(1,ROUND(ME32/CAC*MB32,0)),0)</f>
        <v/>
      </c>
      <c r="MG32" s="12">
        <f>IF(MF32&gt;0,ROUND(MF32*ReferralMix/(1-ReferralMix),0),0)</f>
        <v/>
      </c>
      <c r="MH32" s="12">
        <f>MF32+MG32</f>
        <v/>
      </c>
      <c r="MI32" s="12">
        <f>ROUND(MH32*(1-AnnualMix),0)</f>
        <v/>
      </c>
      <c r="MJ32" s="12">
        <f>MH32-MI32</f>
        <v/>
      </c>
      <c r="MK32" s="12">
        <f>ROUND(MI32*EssentialMix,0)</f>
        <v/>
      </c>
      <c r="ML32" s="12">
        <f>ROUND(MI32*PremiumMix,0)</f>
        <v/>
      </c>
      <c r="MM32" s="12">
        <f>MI32-MK32-ML32</f>
        <v/>
      </c>
      <c r="MN32" s="12">
        <f>ROUND(MJ32*EssentialMix,0)</f>
        <v/>
      </c>
      <c r="MO32" s="12">
        <f>ROUND(MJ32*PremiumMix,0)</f>
        <v/>
      </c>
      <c r="MP32" s="12">
        <f>MJ32-MN32-MO32</f>
        <v/>
      </c>
      <c r="MQ32" s="12">
        <f>MK32+MK31+MK30+MAX(0,MQ31-MK31-MK30)*(1-MD32)</f>
        <v/>
      </c>
      <c r="MR32" s="12">
        <f>ML32+ML31+ML30+MAX(0,MR31-ML31-ML30)*(1-MD32)</f>
        <v/>
      </c>
      <c r="MS32" s="12">
        <f>MM32+MM31+MM30+MAX(0,MS31-MM31-MM30)*(1-MD32)</f>
        <v/>
      </c>
      <c r="MT32" s="12">
        <f>MT31+MN32-MN20*(AnnualChurn*VLOOKUP(LZ32,ChurnSeasonTable,4,FALSE))*POWER(1-(AnnualChurn*VLOOKUP(LZ32,ChurnSeasonTable,4,FALSE)),0)+MN8*(AnnualChurn*VLOOKUP(LZ32,ChurnSeasonTable,4,FALSE))*POWER(1-(AnnualChurn*VLOOKUP(LZ32,ChurnSeasonTable,4,FALSE)),1)</f>
        <v/>
      </c>
      <c r="MU32" s="12">
        <f>MU31+MO32-MO20*(AnnualChurn*VLOOKUP(LZ32,ChurnSeasonTable,4,FALSE))*POWER(1-(AnnualChurn*VLOOKUP(LZ32,ChurnSeasonTable,4,FALSE)),0)+MO8*(AnnualChurn*VLOOKUP(LZ32,ChurnSeasonTable,4,FALSE))*POWER(1-(AnnualChurn*VLOOKUP(LZ32,ChurnSeasonTable,4,FALSE)),1)</f>
        <v/>
      </c>
      <c r="MV32" s="12">
        <f>MV31+MP32-MP20*(AnnualChurn*VLOOKUP(LZ32,ChurnSeasonTable,4,FALSE))*POWER(1-(AnnualChurn*VLOOKUP(LZ32,ChurnSeasonTable,4,FALSE)),0)+MP8*(AnnualChurn*VLOOKUP(LZ32,ChurnSeasonTable,4,FALSE))*POWER(1-(AnnualChurn*VLOOKUP(LZ32,ChurnSeasonTable,4,FALSE)),1)</f>
        <v/>
      </c>
      <c r="MW32" s="12">
        <f>MQ32+MR32+MS32+MT32+MU32+MV32</f>
        <v/>
      </c>
      <c r="MX32" s="9">
        <f>MQ32*BlendedPriceEssMonthly*MC32+MR32*BlendedPricePremMonthly*MC32+MS32*BlendedPriceEliteMonthly*MC32+MT32*BlendedPriceEssAnnual*MC32/12+MU32*BlendedPricePremAnnual*MC32/12+MV32*BlendedPriceEliteAnnual*MC32/12</f>
        <v/>
      </c>
      <c r="MY32" s="9">
        <f>MX32*12</f>
        <v/>
      </c>
      <c r="MZ32" s="12">
        <f>MQ32*BlendedPriceEssMonthly*MC32+MR32*BlendedPricePremMonthly*MC32+MS32*BlendedPriceEliteMonthly*MC32</f>
        <v/>
      </c>
      <c r="NA32" s="12">
        <f>MN32*BlendedPriceEssAnnual*MC32+MO32*BlendedPricePremAnnual*MC32+MP32*BlendedPriceEliteAnnual*MC32</f>
        <v/>
      </c>
      <c r="NB32" s="12">
        <f>MN20*POWER(1-(AnnualChurn*VLOOKUP(LZ32,ChurnSeasonTable,4,FALSE)),1)*BlendedPriceEssAnnual*MC32+MN8*POWER(1-(AnnualChurn*VLOOKUP(LZ32,ChurnSeasonTable,4,FALSE)),2)*BlendedPriceEssAnnual*MC32+MO20*POWER(1-(AnnualChurn*VLOOKUP(LZ32,ChurnSeasonTable,4,FALSE)),1)*BlendedPricePremAnnual*MC32+MO8*POWER(1-(AnnualChurn*VLOOKUP(LZ32,ChurnSeasonTable,4,FALSE)),2)*BlendedPricePremAnnual*MC32+MP20*POWER(1-(AnnualChurn*VLOOKUP(LZ32,ChurnSeasonTable,4,FALSE)),1)*BlendedPriceEliteAnnual*MC32+MP8*POWER(1-(AnnualChurn*VLOOKUP(LZ32,ChurnSeasonTable,4,FALSE)),2)*BlendedPriceEliteAnnual*MC32</f>
        <v/>
      </c>
      <c r="NC32" s="9">
        <f>MZ32+NA32+NB32</f>
        <v/>
      </c>
      <c r="ND32" s="12">
        <f>SUM(NC21:NC32)</f>
        <v/>
      </c>
      <c r="NE32" s="12">
        <f>OR(NE31,IF(VATAgentMode,SUM($NC21:$NC32)-SUM($NJ21:$NJ32)&gt;=VATThreshold,SUM($NC21:$NC32)&gt;=VATThreshold))</f>
        <v/>
      </c>
      <c r="NF32" s="9">
        <f>IF(NE32,IF(VATAgentMode,NC32-((NC32-NJ32)-(NC32-NJ32)/(1+VATRate)),NC32/(1+VATRate)),NC32)</f>
        <v/>
      </c>
      <c r="NG32" s="12">
        <f>NC32-NF32</f>
        <v/>
      </c>
      <c r="NH32" s="12">
        <f>IF(NE32=0,0,IF(LZ32=1,SUMPRODUCT(--(($MA$5:$MA32=$MA32-1)*($LZ$5:$LZ32&gt;=10)*($LZ$5:$LZ32&lt;=12)),$NG$5:$NG32),IF(LZ32=4,SUMPRODUCT(--(($MA$5:$MA32=$MA32)*($LZ$5:$LZ32&gt;=1)*($LZ$5:$LZ32&lt;=3)),$NG$5:$NG32),IF(LZ32=7,SUMPRODUCT(--(($MA$5:$MA32=$MA32)*($LZ$5:$LZ32&gt;=4)*($LZ$5:$LZ32&lt;=6)),$NG$5:$NG32),IF(LZ32=10,SUMPRODUCT(--(($MA$5:$MA32=$MA32)*($LZ$5:$LZ32&gt;=7)*($LZ$5:$LZ32&lt;=9)),$NG$5:$NG32),0)))))</f>
        <v/>
      </c>
      <c r="NI32" s="12">
        <f>NI31+NG32-NH32</f>
        <v/>
      </c>
      <c r="NJ32" s="12">
        <f>IF(ProviderDelay&gt;=1,MQ31*BlendedProvPayEss+MR31*BlendedProvPayPrem+MS31*BlendedProvPayElite+MT31*BlendedProvPayEss+MU31*BlendedProvPayPrem+MV31*BlendedProvPayElite,MQ32*BlendedProvPayEss+MR32*BlendedProvPayPrem+MS32*BlendedProvPayElite+MT32*BlendedProvPayEss+MU32*BlendedProvPayPrem+MV32*BlendedProvPayElite)</f>
        <v/>
      </c>
      <c r="NK32" s="12">
        <f>NC32*PaymentFee</f>
        <v/>
      </c>
      <c r="NL32" s="12">
        <f>MW32*OpsAI</f>
        <v/>
      </c>
      <c r="NM32" s="12">
        <f>MonthlyFixed</f>
        <v/>
      </c>
      <c r="NN32" s="12">
        <f>MG32*ReferralReward</f>
        <v/>
      </c>
      <c r="NO32" s="12">
        <f>ME32</f>
        <v/>
      </c>
      <c r="NP32" s="9">
        <f>NF32-NJ32-NK32-NL32-NM32-NN32-NO32</f>
        <v/>
      </c>
      <c r="NQ32" s="9">
        <f>NQ31+NC32-(NJ32+NK32+NL32+NM32+NN32+NO32+NH32)</f>
        <v/>
      </c>
      <c r="NR32" s="12">
        <f>IF(MW32&gt;0,MX32/MW32,0)</f>
        <v/>
      </c>
      <c r="NS32" s="11">
        <f>IF(MW31&gt;0,MAX(0,(MW31+MH32-MW32)/MW31),0)</f>
        <v/>
      </c>
      <c r="NU32" s="12" t="n">
        <v>28</v>
      </c>
      <c r="NV32" s="12">
        <f>MOD(NU32-1+LaunchMonth-1,12)+1</f>
        <v/>
      </c>
      <c r="NW32" s="12">
        <f>INT((NU32-1+LaunchMonth-1)/12)+1</f>
        <v/>
      </c>
      <c r="NX32" s="12">
        <f>VLOOKUP(NV32,SeasonTable,2,FALSE)</f>
        <v/>
      </c>
      <c r="NY32" s="12">
        <f>(1+InflationRate)^INT((NU32-1)/12)</f>
        <v/>
      </c>
      <c r="NZ32" s="11">
        <f>'Sens - Churn'!$A$18*VLOOKUP(NV32,ChurnSeasonTable,4,FALSE)</f>
        <v/>
      </c>
      <c r="OA32" s="12">
        <f>MIN(MAX(MktMin19plus,OY31*MktPct19plus),MAX(0,PM31-CashBuffer))</f>
        <v/>
      </c>
      <c r="OB32" s="12">
        <f>IF(OA32&gt;0,MAX(1,ROUND(OA32/CAC*NX32,0)),0)</f>
        <v/>
      </c>
      <c r="OC32" s="12">
        <f>IF(OB32&gt;0,ROUND(OB32*ReferralMix/(1-ReferralMix),0),0)</f>
        <v/>
      </c>
      <c r="OD32" s="12">
        <f>OB32+OC32</f>
        <v/>
      </c>
      <c r="OE32" s="12">
        <f>ROUND(OD32*(1-AnnualMix),0)</f>
        <v/>
      </c>
      <c r="OF32" s="12">
        <f>OD32-OE32</f>
        <v/>
      </c>
      <c r="OG32" s="12">
        <f>ROUND(OE32*EssentialMix,0)</f>
        <v/>
      </c>
      <c r="OH32" s="12">
        <f>ROUND(OE32*PremiumMix,0)</f>
        <v/>
      </c>
      <c r="OI32" s="12">
        <f>OE32-OG32-OH32</f>
        <v/>
      </c>
      <c r="OJ32" s="12">
        <f>ROUND(OF32*EssentialMix,0)</f>
        <v/>
      </c>
      <c r="OK32" s="12">
        <f>ROUND(OF32*PremiumMix,0)</f>
        <v/>
      </c>
      <c r="OL32" s="12">
        <f>OF32-OJ32-OK32</f>
        <v/>
      </c>
      <c r="OM32" s="12">
        <f>OG32+OG31+OG30+MAX(0,OM31-OG31-OG30)*(1-NZ32)</f>
        <v/>
      </c>
      <c r="ON32" s="12">
        <f>OH32+OH31+OH30+MAX(0,ON31-OH31-OH30)*(1-NZ32)</f>
        <v/>
      </c>
      <c r="OO32" s="12">
        <f>OI32+OI31+OI30+MAX(0,OO31-OI31-OI30)*(1-NZ32)</f>
        <v/>
      </c>
      <c r="OP32" s="12">
        <f>OP31+OJ32-OJ20*(AnnualChurn*VLOOKUP(NV32,ChurnSeasonTable,4,FALSE))*POWER(1-(AnnualChurn*VLOOKUP(NV32,ChurnSeasonTable,4,FALSE)),0)+OJ8*(AnnualChurn*VLOOKUP(NV32,ChurnSeasonTable,4,FALSE))*POWER(1-(AnnualChurn*VLOOKUP(NV32,ChurnSeasonTable,4,FALSE)),1)</f>
        <v/>
      </c>
      <c r="OQ32" s="12">
        <f>OQ31+OK32-OK20*(AnnualChurn*VLOOKUP(NV32,ChurnSeasonTable,4,FALSE))*POWER(1-(AnnualChurn*VLOOKUP(NV32,ChurnSeasonTable,4,FALSE)),0)+OK8*(AnnualChurn*VLOOKUP(NV32,ChurnSeasonTable,4,FALSE))*POWER(1-(AnnualChurn*VLOOKUP(NV32,ChurnSeasonTable,4,FALSE)),1)</f>
        <v/>
      </c>
      <c r="OR32" s="12">
        <f>OR31+OL32-OL20*(AnnualChurn*VLOOKUP(NV32,ChurnSeasonTable,4,FALSE))*POWER(1-(AnnualChurn*VLOOKUP(NV32,ChurnSeasonTable,4,FALSE)),0)+OL8*(AnnualChurn*VLOOKUP(NV32,ChurnSeasonTable,4,FALSE))*POWER(1-(AnnualChurn*VLOOKUP(NV32,ChurnSeasonTable,4,FALSE)),1)</f>
        <v/>
      </c>
      <c r="OS32" s="12">
        <f>OM32+ON32+OO32+OP32+OQ32+OR32</f>
        <v/>
      </c>
      <c r="OT32" s="9">
        <f>OM32*BlendedPriceEssMonthly*NY32+ON32*BlendedPricePremMonthly*NY32+OO32*BlendedPriceEliteMonthly*NY32+OP32*BlendedPriceEssAnnual*NY32/12+OQ32*BlendedPricePremAnnual*NY32/12+OR32*BlendedPriceEliteAnnual*NY32/12</f>
        <v/>
      </c>
      <c r="OU32" s="9">
        <f>OT32*12</f>
        <v/>
      </c>
      <c r="OV32" s="12">
        <f>OM32*BlendedPriceEssMonthly*NY32+ON32*BlendedPricePremMonthly*NY32+OO32*BlendedPriceEliteMonthly*NY32</f>
        <v/>
      </c>
      <c r="OW32" s="12">
        <f>OJ32*BlendedPriceEssAnnual*NY32+OK32*BlendedPricePremAnnual*NY32+OL32*BlendedPriceEliteAnnual*NY32</f>
        <v/>
      </c>
      <c r="OX32" s="12">
        <f>OJ20*POWER(1-(AnnualChurn*VLOOKUP(NV32,ChurnSeasonTable,4,FALSE)),1)*BlendedPriceEssAnnual*NY32+OJ8*POWER(1-(AnnualChurn*VLOOKUP(NV32,ChurnSeasonTable,4,FALSE)),2)*BlendedPriceEssAnnual*NY32+OK20*POWER(1-(AnnualChurn*VLOOKUP(NV32,ChurnSeasonTable,4,FALSE)),1)*BlendedPricePremAnnual*NY32+OK8*POWER(1-(AnnualChurn*VLOOKUP(NV32,ChurnSeasonTable,4,FALSE)),2)*BlendedPricePremAnnual*NY32+OL20*POWER(1-(AnnualChurn*VLOOKUP(NV32,ChurnSeasonTable,4,FALSE)),1)*BlendedPriceEliteAnnual*NY32+OL8*POWER(1-(AnnualChurn*VLOOKUP(NV32,ChurnSeasonTable,4,FALSE)),2)*BlendedPriceEliteAnnual*NY32</f>
        <v/>
      </c>
      <c r="OY32" s="9">
        <f>OV32+OW32+OX32</f>
        <v/>
      </c>
      <c r="OZ32" s="12">
        <f>SUM(OY21:OY32)</f>
        <v/>
      </c>
      <c r="PA32" s="12">
        <f>OR(PA31,IF(VATAgentMode,SUM($OY21:$OY32)-SUM($PF21:$PF32)&gt;=VATThreshold,SUM($OY21:$OY32)&gt;=VATThreshold))</f>
        <v/>
      </c>
      <c r="PB32" s="9">
        <f>IF(PA32,IF(VATAgentMode,OY32-((OY32-PF32)-(OY32-PF32)/(1+VATRate)),OY32/(1+VATRate)),OY32)</f>
        <v/>
      </c>
      <c r="PC32" s="12">
        <f>OY32-PB32</f>
        <v/>
      </c>
      <c r="PD32" s="12">
        <f>IF(PA32=0,0,IF(NV32=1,SUMPRODUCT(--(($NW$5:$NW32=$NW32-1)*($NV$5:$NV32&gt;=10)*($NV$5:$NV32&lt;=12)),$PC$5:$PC32),IF(NV32=4,SUMPRODUCT(--(($NW$5:$NW32=$NW32)*($NV$5:$NV32&gt;=1)*($NV$5:$NV32&lt;=3)),$PC$5:$PC32),IF(NV32=7,SUMPRODUCT(--(($NW$5:$NW32=$NW32)*($NV$5:$NV32&gt;=4)*($NV$5:$NV32&lt;=6)),$PC$5:$PC32),IF(NV32=10,SUMPRODUCT(--(($NW$5:$NW32=$NW32)*($NV$5:$NV32&gt;=7)*($NV$5:$NV32&lt;=9)),$PC$5:$PC32),0)))))</f>
        <v/>
      </c>
      <c r="PE32" s="12">
        <f>PE31+PC32-PD32</f>
        <v/>
      </c>
      <c r="PF32" s="12">
        <f>IF(ProviderDelay&gt;=1,OM31*BlendedProvPayEss+ON31*BlendedProvPayPrem+OO31*BlendedProvPayElite+OP31*BlendedProvPayEss+OQ31*BlendedProvPayPrem+OR31*BlendedProvPayElite,OM32*BlendedProvPayEss+ON32*BlendedProvPayPrem+OO32*BlendedProvPayElite+OP32*BlendedProvPayEss+OQ32*BlendedProvPayPrem+OR32*BlendedProvPayElite)</f>
        <v/>
      </c>
      <c r="PG32" s="12">
        <f>OY32*PaymentFee</f>
        <v/>
      </c>
      <c r="PH32" s="12">
        <f>OS32*OpsAI</f>
        <v/>
      </c>
      <c r="PI32" s="12">
        <f>MonthlyFixed</f>
        <v/>
      </c>
      <c r="PJ32" s="12">
        <f>OC32*ReferralReward</f>
        <v/>
      </c>
      <c r="PK32" s="12">
        <f>OA32</f>
        <v/>
      </c>
      <c r="PL32" s="9">
        <f>PB32-PF32-PG32-PH32-PI32-PJ32-PK32</f>
        <v/>
      </c>
      <c r="PM32" s="9">
        <f>PM31+OY32-(PF32+PG32+PH32+PI32+PJ32+PK32+PD32)</f>
        <v/>
      </c>
      <c r="PN32" s="12">
        <f>IF(OS32&gt;0,OT32/OS32,0)</f>
        <v/>
      </c>
      <c r="PO32" s="11">
        <f>IF(OS31&gt;0,MAX(0,(OS31+OD32-OS32)/OS31),0)</f>
        <v/>
      </c>
      <c r="PQ32" s="12" t="n">
        <v>28</v>
      </c>
      <c r="PR32" s="12">
        <f>MOD(PQ32-1+LaunchMonth-1,12)+1</f>
        <v/>
      </c>
      <c r="PS32" s="12">
        <f>INT((PQ32-1+LaunchMonth-1)/12)+1</f>
        <v/>
      </c>
      <c r="PT32" s="12">
        <f>VLOOKUP(PR32,SeasonTable,2,FALSE)</f>
        <v/>
      </c>
      <c r="PU32" s="12">
        <f>(1+InflationRate)^INT((PQ32-1)/12)</f>
        <v/>
      </c>
      <c r="PV32" s="11">
        <f>'Sens - Churn'!$A$19*VLOOKUP(PR32,ChurnSeasonTable,4,FALSE)</f>
        <v/>
      </c>
      <c r="PW32" s="12">
        <f>MIN(MAX(MktMin19plus,QU31*MktPct19plus),MAX(0,RI31-CashBuffer))</f>
        <v/>
      </c>
      <c r="PX32" s="12">
        <f>IF(PW32&gt;0,MAX(1,ROUND(PW32/CAC*PT32,0)),0)</f>
        <v/>
      </c>
      <c r="PY32" s="12">
        <f>IF(PX32&gt;0,ROUND(PX32*ReferralMix/(1-ReferralMix),0),0)</f>
        <v/>
      </c>
      <c r="PZ32" s="12">
        <f>PX32+PY32</f>
        <v/>
      </c>
      <c r="QA32" s="12">
        <f>ROUND(PZ32*(1-AnnualMix),0)</f>
        <v/>
      </c>
      <c r="QB32" s="12">
        <f>PZ32-QA32</f>
        <v/>
      </c>
      <c r="QC32" s="12">
        <f>ROUND(QA32*EssentialMix,0)</f>
        <v/>
      </c>
      <c r="QD32" s="12">
        <f>ROUND(QA32*PremiumMix,0)</f>
        <v/>
      </c>
      <c r="QE32" s="12">
        <f>QA32-QC32-QD32</f>
        <v/>
      </c>
      <c r="QF32" s="12">
        <f>ROUND(QB32*EssentialMix,0)</f>
        <v/>
      </c>
      <c r="QG32" s="12">
        <f>ROUND(QB32*PremiumMix,0)</f>
        <v/>
      </c>
      <c r="QH32" s="12">
        <f>QB32-QF32-QG32</f>
        <v/>
      </c>
      <c r="QI32" s="12">
        <f>QC32+QC31+QC30+MAX(0,QI31-QC31-QC30)*(1-PV32)</f>
        <v/>
      </c>
      <c r="QJ32" s="12">
        <f>QD32+QD31+QD30+MAX(0,QJ31-QD31-QD30)*(1-PV32)</f>
        <v/>
      </c>
      <c r="QK32" s="12">
        <f>QE32+QE31+QE30+MAX(0,QK31-QE31-QE30)*(1-PV32)</f>
        <v/>
      </c>
      <c r="QL32" s="12">
        <f>QL31+QF32-QF20*(AnnualChurn*VLOOKUP(PR32,ChurnSeasonTable,4,FALSE))*POWER(1-(AnnualChurn*VLOOKUP(PR32,ChurnSeasonTable,4,FALSE)),0)+QF8*(AnnualChurn*VLOOKUP(PR32,ChurnSeasonTable,4,FALSE))*POWER(1-(AnnualChurn*VLOOKUP(PR32,ChurnSeasonTable,4,FALSE)),1)</f>
        <v/>
      </c>
      <c r="QM32" s="12">
        <f>QM31+QG32-QG20*(AnnualChurn*VLOOKUP(PR32,ChurnSeasonTable,4,FALSE))*POWER(1-(AnnualChurn*VLOOKUP(PR32,ChurnSeasonTable,4,FALSE)),0)+QG8*(AnnualChurn*VLOOKUP(PR32,ChurnSeasonTable,4,FALSE))*POWER(1-(AnnualChurn*VLOOKUP(PR32,ChurnSeasonTable,4,FALSE)),1)</f>
        <v/>
      </c>
      <c r="QN32" s="12">
        <f>QN31+QH32-QH20*(AnnualChurn*VLOOKUP(PR32,ChurnSeasonTable,4,FALSE))*POWER(1-(AnnualChurn*VLOOKUP(PR32,ChurnSeasonTable,4,FALSE)),0)+QH8*(AnnualChurn*VLOOKUP(PR32,ChurnSeasonTable,4,FALSE))*POWER(1-(AnnualChurn*VLOOKUP(PR32,ChurnSeasonTable,4,FALSE)),1)</f>
        <v/>
      </c>
      <c r="QO32" s="12">
        <f>QI32+QJ32+QK32+QL32+QM32+QN32</f>
        <v/>
      </c>
      <c r="QP32" s="9">
        <f>QI32*BlendedPriceEssMonthly*PU32+QJ32*BlendedPricePremMonthly*PU32+QK32*BlendedPriceEliteMonthly*PU32+QL32*BlendedPriceEssAnnual*PU32/12+QM32*BlendedPricePremAnnual*PU32/12+QN32*BlendedPriceEliteAnnual*PU32/12</f>
        <v/>
      </c>
      <c r="QQ32" s="9">
        <f>QP32*12</f>
        <v/>
      </c>
      <c r="QR32" s="12">
        <f>QI32*BlendedPriceEssMonthly*PU32+QJ32*BlendedPricePremMonthly*PU32+QK32*BlendedPriceEliteMonthly*PU32</f>
        <v/>
      </c>
      <c r="QS32" s="12">
        <f>QF32*BlendedPriceEssAnnual*PU32+QG32*BlendedPricePremAnnual*PU32+QH32*BlendedPriceEliteAnnual*PU32</f>
        <v/>
      </c>
      <c r="QT32" s="12">
        <f>QF20*POWER(1-(AnnualChurn*VLOOKUP(PR32,ChurnSeasonTable,4,FALSE)),1)*BlendedPriceEssAnnual*PU32+QF8*POWER(1-(AnnualChurn*VLOOKUP(PR32,ChurnSeasonTable,4,FALSE)),2)*BlendedPriceEssAnnual*PU32+QG20*POWER(1-(AnnualChurn*VLOOKUP(PR32,ChurnSeasonTable,4,FALSE)),1)*BlendedPricePremAnnual*PU32+QG8*POWER(1-(AnnualChurn*VLOOKUP(PR32,ChurnSeasonTable,4,FALSE)),2)*BlendedPricePremAnnual*PU32+QH20*POWER(1-(AnnualChurn*VLOOKUP(PR32,ChurnSeasonTable,4,FALSE)),1)*BlendedPriceEliteAnnual*PU32+QH8*POWER(1-(AnnualChurn*VLOOKUP(PR32,ChurnSeasonTable,4,FALSE)),2)*BlendedPriceEliteAnnual*PU32</f>
        <v/>
      </c>
      <c r="QU32" s="9">
        <f>QR32+QS32+QT32</f>
        <v/>
      </c>
      <c r="QV32" s="12">
        <f>SUM(QU21:QU32)</f>
        <v/>
      </c>
      <c r="QW32" s="12">
        <f>OR(QW31,IF(VATAgentMode,SUM($QU21:$QU32)-SUM($RB21:$RB32)&gt;=VATThreshold,SUM($QU21:$QU32)&gt;=VATThreshold))</f>
        <v/>
      </c>
      <c r="QX32" s="9">
        <f>IF(QW32,IF(VATAgentMode,QU32-((QU32-RB32)-(QU32-RB32)/(1+VATRate)),QU32/(1+VATRate)),QU32)</f>
        <v/>
      </c>
      <c r="QY32" s="12">
        <f>QU32-QX32</f>
        <v/>
      </c>
      <c r="QZ32" s="12">
        <f>IF(QW32=0,0,IF(PR32=1,SUMPRODUCT(--(($PS$5:$PS32=$PS32-1)*($PR$5:$PR32&gt;=10)*($PR$5:$PR32&lt;=12)),$QY$5:$QY32),IF(PR32=4,SUMPRODUCT(--(($PS$5:$PS32=$PS32)*($PR$5:$PR32&gt;=1)*($PR$5:$PR32&lt;=3)),$QY$5:$QY32),IF(PR32=7,SUMPRODUCT(--(($PS$5:$PS32=$PS32)*($PR$5:$PR32&gt;=4)*($PR$5:$PR32&lt;=6)),$QY$5:$QY32),IF(PR32=10,SUMPRODUCT(--(($PS$5:$PS32=$PS32)*($PR$5:$PR32&gt;=7)*($PR$5:$PR32&lt;=9)),$QY$5:$QY32),0)))))</f>
        <v/>
      </c>
      <c r="RA32" s="12">
        <f>RA31+QY32-QZ32</f>
        <v/>
      </c>
      <c r="RB32" s="12">
        <f>IF(ProviderDelay&gt;=1,QI31*BlendedProvPayEss+QJ31*BlendedProvPayPrem+QK31*BlendedProvPayElite+QL31*BlendedProvPayEss+QM31*BlendedProvPayPrem+QN31*BlendedProvPayElite,QI32*BlendedProvPayEss+QJ32*BlendedProvPayPrem+QK32*BlendedProvPayElite+QL32*BlendedProvPayEss+QM32*BlendedProvPayPrem+QN32*BlendedProvPayElite)</f>
        <v/>
      </c>
      <c r="RC32" s="12">
        <f>QU32*PaymentFee</f>
        <v/>
      </c>
      <c r="RD32" s="12">
        <f>QO32*OpsAI</f>
        <v/>
      </c>
      <c r="RE32" s="12">
        <f>MonthlyFixed</f>
        <v/>
      </c>
      <c r="RF32" s="12">
        <f>PY32*ReferralReward</f>
        <v/>
      </c>
      <c r="RG32" s="12">
        <f>PW32</f>
        <v/>
      </c>
      <c r="RH32" s="9">
        <f>QX32-RB32-RC32-RD32-RE32-RF32-RG32</f>
        <v/>
      </c>
      <c r="RI32" s="9">
        <f>RI31+QU32-(RB32+RC32+RD32+RE32+RF32+RG32+QZ32)</f>
        <v/>
      </c>
      <c r="RJ32" s="12">
        <f>IF(QO32&gt;0,QP32/QO32,0)</f>
        <v/>
      </c>
      <c r="RK32" s="11">
        <f>IF(QO31&gt;0,MAX(0,(QO31+PZ32-QO32)/QO31),0)</f>
        <v/>
      </c>
      <c r="RM32" s="12" t="n">
        <v>28</v>
      </c>
      <c r="RN32" s="12">
        <f>MOD(RM32-1+LaunchMonth-1,12)+1</f>
        <v/>
      </c>
      <c r="RO32" s="12">
        <f>INT((RM32-1+LaunchMonth-1)/12)+1</f>
        <v/>
      </c>
      <c r="RP32" s="12">
        <f>VLOOKUP(RN32,SeasonTable,2,FALSE)</f>
        <v/>
      </c>
      <c r="RQ32" s="12">
        <f>(1+InflationRate)^INT((RM32-1)/12)</f>
        <v/>
      </c>
      <c r="RR32" s="11">
        <f>'Sens - Churn'!$A$20*VLOOKUP(RN32,ChurnSeasonTable,4,FALSE)</f>
        <v/>
      </c>
      <c r="RS32" s="12">
        <f>MIN(MAX(MktMin19plus,SQ31*MktPct19plus),MAX(0,TE31-CashBuffer))</f>
        <v/>
      </c>
      <c r="RT32" s="12">
        <f>IF(RS32&gt;0,MAX(1,ROUND(RS32/CAC*RP32,0)),0)</f>
        <v/>
      </c>
      <c r="RU32" s="12">
        <f>IF(RT32&gt;0,ROUND(RT32*ReferralMix/(1-ReferralMix),0),0)</f>
        <v/>
      </c>
      <c r="RV32" s="12">
        <f>RT32+RU32</f>
        <v/>
      </c>
      <c r="RW32" s="12">
        <f>ROUND(RV32*(1-AnnualMix),0)</f>
        <v/>
      </c>
      <c r="RX32" s="12">
        <f>RV32-RW32</f>
        <v/>
      </c>
      <c r="RY32" s="12">
        <f>ROUND(RW32*EssentialMix,0)</f>
        <v/>
      </c>
      <c r="RZ32" s="12">
        <f>ROUND(RW32*PremiumMix,0)</f>
        <v/>
      </c>
      <c r="SA32" s="12">
        <f>RW32-RY32-RZ32</f>
        <v/>
      </c>
      <c r="SB32" s="12">
        <f>ROUND(RX32*EssentialMix,0)</f>
        <v/>
      </c>
      <c r="SC32" s="12">
        <f>ROUND(RX32*PremiumMix,0)</f>
        <v/>
      </c>
      <c r="SD32" s="12">
        <f>RX32-SB32-SC32</f>
        <v/>
      </c>
      <c r="SE32" s="12">
        <f>RY32+RY31+RY30+MAX(0,SE31-RY31-RY30)*(1-RR32)</f>
        <v/>
      </c>
      <c r="SF32" s="12">
        <f>RZ32+RZ31+RZ30+MAX(0,SF31-RZ31-RZ30)*(1-RR32)</f>
        <v/>
      </c>
      <c r="SG32" s="12">
        <f>SA32+SA31+SA30+MAX(0,SG31-SA31-SA30)*(1-RR32)</f>
        <v/>
      </c>
      <c r="SH32" s="12">
        <f>SH31+SB32-SB20*(AnnualChurn*VLOOKUP(RN32,ChurnSeasonTable,4,FALSE))*POWER(1-(AnnualChurn*VLOOKUP(RN32,ChurnSeasonTable,4,FALSE)),0)+SB8*(AnnualChurn*VLOOKUP(RN32,ChurnSeasonTable,4,FALSE))*POWER(1-(AnnualChurn*VLOOKUP(RN32,ChurnSeasonTable,4,FALSE)),1)</f>
        <v/>
      </c>
      <c r="SI32" s="12">
        <f>SI31+SC32-SC20*(AnnualChurn*VLOOKUP(RN32,ChurnSeasonTable,4,FALSE))*POWER(1-(AnnualChurn*VLOOKUP(RN32,ChurnSeasonTable,4,FALSE)),0)+SC8*(AnnualChurn*VLOOKUP(RN32,ChurnSeasonTable,4,FALSE))*POWER(1-(AnnualChurn*VLOOKUP(RN32,ChurnSeasonTable,4,FALSE)),1)</f>
        <v/>
      </c>
      <c r="SJ32" s="12">
        <f>SJ31+SD32-SD20*(AnnualChurn*VLOOKUP(RN32,ChurnSeasonTable,4,FALSE))*POWER(1-(AnnualChurn*VLOOKUP(RN32,ChurnSeasonTable,4,FALSE)),0)+SD8*(AnnualChurn*VLOOKUP(RN32,ChurnSeasonTable,4,FALSE))*POWER(1-(AnnualChurn*VLOOKUP(RN32,ChurnSeasonTable,4,FALSE)),1)</f>
        <v/>
      </c>
      <c r="SK32" s="12">
        <f>SE32+SF32+SG32+SH32+SI32+SJ32</f>
        <v/>
      </c>
      <c r="SL32" s="9">
        <f>SE32*BlendedPriceEssMonthly*RQ32+SF32*BlendedPricePremMonthly*RQ32+SG32*BlendedPriceEliteMonthly*RQ32+SH32*BlendedPriceEssAnnual*RQ32/12+SI32*BlendedPricePremAnnual*RQ32/12+SJ32*BlendedPriceEliteAnnual*RQ32/12</f>
        <v/>
      </c>
      <c r="SM32" s="9">
        <f>SL32*12</f>
        <v/>
      </c>
      <c r="SN32" s="12">
        <f>SE32*BlendedPriceEssMonthly*RQ32+SF32*BlendedPricePremMonthly*RQ32+SG32*BlendedPriceEliteMonthly*RQ32</f>
        <v/>
      </c>
      <c r="SO32" s="12">
        <f>SB32*BlendedPriceEssAnnual*RQ32+SC32*BlendedPricePremAnnual*RQ32+SD32*BlendedPriceEliteAnnual*RQ32</f>
        <v/>
      </c>
      <c r="SP32" s="12">
        <f>SB20*POWER(1-(AnnualChurn*VLOOKUP(RN32,ChurnSeasonTable,4,FALSE)),1)*BlendedPriceEssAnnual*RQ32+SB8*POWER(1-(AnnualChurn*VLOOKUP(RN32,ChurnSeasonTable,4,FALSE)),2)*BlendedPriceEssAnnual*RQ32+SC20*POWER(1-(AnnualChurn*VLOOKUP(RN32,ChurnSeasonTable,4,FALSE)),1)*BlendedPricePremAnnual*RQ32+SC8*POWER(1-(AnnualChurn*VLOOKUP(RN32,ChurnSeasonTable,4,FALSE)),2)*BlendedPricePremAnnual*RQ32+SD20*POWER(1-(AnnualChurn*VLOOKUP(RN32,ChurnSeasonTable,4,FALSE)),1)*BlendedPriceEliteAnnual*RQ32+SD8*POWER(1-(AnnualChurn*VLOOKUP(RN32,ChurnSeasonTable,4,FALSE)),2)*BlendedPriceEliteAnnual*RQ32</f>
        <v/>
      </c>
      <c r="SQ32" s="9">
        <f>SN32+SO32+SP32</f>
        <v/>
      </c>
      <c r="SR32" s="12">
        <f>SUM(SQ21:SQ32)</f>
        <v/>
      </c>
      <c r="SS32" s="12">
        <f>OR(SS31,IF(VATAgentMode,SUM($SQ21:$SQ32)-SUM($SX21:$SX32)&gt;=VATThreshold,SUM($SQ21:$SQ32)&gt;=VATThreshold))</f>
        <v/>
      </c>
      <c r="ST32" s="9">
        <f>IF(SS32,IF(VATAgentMode,SQ32-((SQ32-SX32)-(SQ32-SX32)/(1+VATRate)),SQ32/(1+VATRate)),SQ32)</f>
        <v/>
      </c>
      <c r="SU32" s="12">
        <f>SQ32-ST32</f>
        <v/>
      </c>
      <c r="SV32" s="12">
        <f>IF(SS32=0,0,IF(RN32=1,SUMPRODUCT(--(($RO$5:$RO32=$RO32-1)*($RN$5:$RN32&gt;=10)*($RN$5:$RN32&lt;=12)),$SU$5:$SU32),IF(RN32=4,SUMPRODUCT(--(($RO$5:$RO32=$RO32)*($RN$5:$RN32&gt;=1)*($RN$5:$RN32&lt;=3)),$SU$5:$SU32),IF(RN32=7,SUMPRODUCT(--(($RO$5:$RO32=$RO32)*($RN$5:$RN32&gt;=4)*($RN$5:$RN32&lt;=6)),$SU$5:$SU32),IF(RN32=10,SUMPRODUCT(--(($RO$5:$RO32=$RO32)*($RN$5:$RN32&gt;=7)*($RN$5:$RN32&lt;=9)),$SU$5:$SU32),0)))))</f>
        <v/>
      </c>
      <c r="SW32" s="12">
        <f>SW31+SU32-SV32</f>
        <v/>
      </c>
      <c r="SX32" s="12">
        <f>IF(ProviderDelay&gt;=1,SE31*BlendedProvPayEss+SF31*BlendedProvPayPrem+SG31*BlendedProvPayElite+SH31*BlendedProvPayEss+SI31*BlendedProvPayPrem+SJ31*BlendedProvPayElite,SE32*BlendedProvPayEss+SF32*BlendedProvPayPrem+SG32*BlendedProvPayElite+SH32*BlendedProvPayEss+SI32*BlendedProvPayPrem+SJ32*BlendedProvPayElite)</f>
        <v/>
      </c>
      <c r="SY32" s="12">
        <f>SQ32*PaymentFee</f>
        <v/>
      </c>
      <c r="SZ32" s="12">
        <f>SK32*OpsAI</f>
        <v/>
      </c>
      <c r="TA32" s="12">
        <f>MonthlyFixed</f>
        <v/>
      </c>
      <c r="TB32" s="12">
        <f>RU32*ReferralReward</f>
        <v/>
      </c>
      <c r="TC32" s="12">
        <f>RS32</f>
        <v/>
      </c>
      <c r="TD32" s="9">
        <f>ST32-SX32-SY32-SZ32-TA32-TB32-TC32</f>
        <v/>
      </c>
      <c r="TE32" s="9">
        <f>TE31+SQ32-(SX32+SY32+SZ32+TA32+TB32+TC32+SV32)</f>
        <v/>
      </c>
      <c r="TF32" s="12">
        <f>IF(SK32&gt;0,SL32/SK32,0)</f>
        <v/>
      </c>
      <c r="TG32" s="11">
        <f>IF(SK31&gt;0,MAX(0,(SK31+RV32-SK32)/SK31),0)</f>
        <v/>
      </c>
      <c r="TI32" s="12" t="n">
        <v>28</v>
      </c>
      <c r="TJ32" s="12">
        <f>MOD(TI32-1+LaunchMonth-1,12)+1</f>
        <v/>
      </c>
      <c r="TK32" s="12">
        <f>INT((TI32-1+LaunchMonth-1)/12)+1</f>
        <v/>
      </c>
      <c r="TL32" s="12">
        <f>VLOOKUP(TJ32,SeasonTable,2,FALSE)</f>
        <v/>
      </c>
      <c r="TM32" s="12">
        <f>(1+InflationRate)^INT((TI32-1)/12)</f>
        <v/>
      </c>
      <c r="TN32" s="11">
        <f>'Sens - Churn'!$A$21*VLOOKUP(TJ32,ChurnSeasonTable,4,FALSE)</f>
        <v/>
      </c>
      <c r="TO32" s="12">
        <f>MIN(MAX(MktMin19plus,UM31*MktPct19plus),MAX(0,VA31-CashBuffer))</f>
        <v/>
      </c>
      <c r="TP32" s="12">
        <f>IF(TO32&gt;0,MAX(1,ROUND(TO32/CAC*TL32,0)),0)</f>
        <v/>
      </c>
      <c r="TQ32" s="12">
        <f>IF(TP32&gt;0,ROUND(TP32*ReferralMix/(1-ReferralMix),0),0)</f>
        <v/>
      </c>
      <c r="TR32" s="12">
        <f>TP32+TQ32</f>
        <v/>
      </c>
      <c r="TS32" s="12">
        <f>ROUND(TR32*(1-AnnualMix),0)</f>
        <v/>
      </c>
      <c r="TT32" s="12">
        <f>TR32-TS32</f>
        <v/>
      </c>
      <c r="TU32" s="12">
        <f>ROUND(TS32*EssentialMix,0)</f>
        <v/>
      </c>
      <c r="TV32" s="12">
        <f>ROUND(TS32*PremiumMix,0)</f>
        <v/>
      </c>
      <c r="TW32" s="12">
        <f>TS32-TU32-TV32</f>
        <v/>
      </c>
      <c r="TX32" s="12">
        <f>ROUND(TT32*EssentialMix,0)</f>
        <v/>
      </c>
      <c r="TY32" s="12">
        <f>ROUND(TT32*PremiumMix,0)</f>
        <v/>
      </c>
      <c r="TZ32" s="12">
        <f>TT32-TX32-TY32</f>
        <v/>
      </c>
      <c r="UA32" s="12">
        <f>TU32+TU31+TU30+MAX(0,UA31-TU31-TU30)*(1-TN32)</f>
        <v/>
      </c>
      <c r="UB32" s="12">
        <f>TV32+TV31+TV30+MAX(0,UB31-TV31-TV30)*(1-TN32)</f>
        <v/>
      </c>
      <c r="UC32" s="12">
        <f>TW32+TW31+TW30+MAX(0,UC31-TW31-TW30)*(1-TN32)</f>
        <v/>
      </c>
      <c r="UD32" s="12">
        <f>UD31+TX32-TX20*(AnnualChurn*VLOOKUP(TJ32,ChurnSeasonTable,4,FALSE))*POWER(1-(AnnualChurn*VLOOKUP(TJ32,ChurnSeasonTable,4,FALSE)),0)+TX8*(AnnualChurn*VLOOKUP(TJ32,ChurnSeasonTable,4,FALSE))*POWER(1-(AnnualChurn*VLOOKUP(TJ32,ChurnSeasonTable,4,FALSE)),1)</f>
        <v/>
      </c>
      <c r="UE32" s="12">
        <f>UE31+TY32-TY20*(AnnualChurn*VLOOKUP(TJ32,ChurnSeasonTable,4,FALSE))*POWER(1-(AnnualChurn*VLOOKUP(TJ32,ChurnSeasonTable,4,FALSE)),0)+TY8*(AnnualChurn*VLOOKUP(TJ32,ChurnSeasonTable,4,FALSE))*POWER(1-(AnnualChurn*VLOOKUP(TJ32,ChurnSeasonTable,4,FALSE)),1)</f>
        <v/>
      </c>
      <c r="UF32" s="12">
        <f>UF31+TZ32-TZ20*(AnnualChurn*VLOOKUP(TJ32,ChurnSeasonTable,4,FALSE))*POWER(1-(AnnualChurn*VLOOKUP(TJ32,ChurnSeasonTable,4,FALSE)),0)+TZ8*(AnnualChurn*VLOOKUP(TJ32,ChurnSeasonTable,4,FALSE))*POWER(1-(AnnualChurn*VLOOKUP(TJ32,ChurnSeasonTable,4,FALSE)),1)</f>
        <v/>
      </c>
      <c r="UG32" s="12">
        <f>UA32+UB32+UC32+UD32+UE32+UF32</f>
        <v/>
      </c>
      <c r="UH32" s="9">
        <f>UA32*BlendedPriceEssMonthly*TM32+UB32*BlendedPricePremMonthly*TM32+UC32*BlendedPriceEliteMonthly*TM32+UD32*BlendedPriceEssAnnual*TM32/12+UE32*BlendedPricePremAnnual*TM32/12+UF32*BlendedPriceEliteAnnual*TM32/12</f>
        <v/>
      </c>
      <c r="UI32" s="9">
        <f>UH32*12</f>
        <v/>
      </c>
      <c r="UJ32" s="12">
        <f>UA32*BlendedPriceEssMonthly*TM32+UB32*BlendedPricePremMonthly*TM32+UC32*BlendedPriceEliteMonthly*TM32</f>
        <v/>
      </c>
      <c r="UK32" s="12">
        <f>TX32*BlendedPriceEssAnnual*TM32+TY32*BlendedPricePremAnnual*TM32+TZ32*BlendedPriceEliteAnnual*TM32</f>
        <v/>
      </c>
      <c r="UL32" s="12">
        <f>TX20*POWER(1-(AnnualChurn*VLOOKUP(TJ32,ChurnSeasonTable,4,FALSE)),1)*BlendedPriceEssAnnual*TM32+TX8*POWER(1-(AnnualChurn*VLOOKUP(TJ32,ChurnSeasonTable,4,FALSE)),2)*BlendedPriceEssAnnual*TM32+TY20*POWER(1-(AnnualChurn*VLOOKUP(TJ32,ChurnSeasonTable,4,FALSE)),1)*BlendedPricePremAnnual*TM32+TY8*POWER(1-(AnnualChurn*VLOOKUP(TJ32,ChurnSeasonTable,4,FALSE)),2)*BlendedPricePremAnnual*TM32+TZ20*POWER(1-(AnnualChurn*VLOOKUP(TJ32,ChurnSeasonTable,4,FALSE)),1)*BlendedPriceEliteAnnual*TM32+TZ8*POWER(1-(AnnualChurn*VLOOKUP(TJ32,ChurnSeasonTable,4,FALSE)),2)*BlendedPriceEliteAnnual*TM32</f>
        <v/>
      </c>
      <c r="UM32" s="9">
        <f>UJ32+UK32+UL32</f>
        <v/>
      </c>
      <c r="UN32" s="12">
        <f>SUM(UM21:UM32)</f>
        <v/>
      </c>
      <c r="UO32" s="12">
        <f>OR(UO31,IF(VATAgentMode,SUM($UM21:$UM32)-SUM($UT21:$UT32)&gt;=VATThreshold,SUM($UM21:$UM32)&gt;=VATThreshold))</f>
        <v/>
      </c>
      <c r="UP32" s="9">
        <f>IF(UO32,IF(VATAgentMode,UM32-((UM32-UT32)-(UM32-UT32)/(1+VATRate)),UM32/(1+VATRate)),UM32)</f>
        <v/>
      </c>
      <c r="UQ32" s="12">
        <f>UM32-UP32</f>
        <v/>
      </c>
      <c r="UR32" s="12">
        <f>IF(UO32=0,0,IF(TJ32=1,SUMPRODUCT(--(($TK$5:$TK32=$TK32-1)*($TJ$5:$TJ32&gt;=10)*($TJ$5:$TJ32&lt;=12)),$UQ$5:$UQ32),IF(TJ32=4,SUMPRODUCT(--(($TK$5:$TK32=$TK32)*($TJ$5:$TJ32&gt;=1)*($TJ$5:$TJ32&lt;=3)),$UQ$5:$UQ32),IF(TJ32=7,SUMPRODUCT(--(($TK$5:$TK32=$TK32)*($TJ$5:$TJ32&gt;=4)*($TJ$5:$TJ32&lt;=6)),$UQ$5:$UQ32),IF(TJ32=10,SUMPRODUCT(--(($TK$5:$TK32=$TK32)*($TJ$5:$TJ32&gt;=7)*($TJ$5:$TJ32&lt;=9)),$UQ$5:$UQ32),0)))))</f>
        <v/>
      </c>
      <c r="US32" s="12">
        <f>US31+UQ32-UR32</f>
        <v/>
      </c>
      <c r="UT32" s="12">
        <f>IF(ProviderDelay&gt;=1,UA31*BlendedProvPayEss+UB31*BlendedProvPayPrem+UC31*BlendedProvPayElite+UD31*BlendedProvPayEss+UE31*BlendedProvPayPrem+UF31*BlendedProvPayElite,UA32*BlendedProvPayEss+UB32*BlendedProvPayPrem+UC32*BlendedProvPayElite+UD32*BlendedProvPayEss+UE32*BlendedProvPayPrem+UF32*BlendedProvPayElite)</f>
        <v/>
      </c>
      <c r="UU32" s="12">
        <f>UM32*PaymentFee</f>
        <v/>
      </c>
      <c r="UV32" s="12">
        <f>UG32*OpsAI</f>
        <v/>
      </c>
      <c r="UW32" s="12">
        <f>MonthlyFixed</f>
        <v/>
      </c>
      <c r="UX32" s="12">
        <f>TQ32*ReferralReward</f>
        <v/>
      </c>
      <c r="UY32" s="12">
        <f>TO32</f>
        <v/>
      </c>
      <c r="UZ32" s="9">
        <f>UP32-UT32-UU32-UV32-UW32-UX32-UY32</f>
        <v/>
      </c>
      <c r="VA32" s="9">
        <f>VA31+UM32-(UT32+UU32+UV32+UW32+UX32+UY32+UR32)</f>
        <v/>
      </c>
      <c r="VB32" s="12">
        <f>IF(UG32&gt;0,UH32/UG32,0)</f>
        <v/>
      </c>
      <c r="VC32" s="11">
        <f>IF(UG31&gt;0,MAX(0,(UG31+TR32-UG32)/UG31),0)</f>
        <v/>
      </c>
      <c r="VE32" s="12" t="n">
        <v>28</v>
      </c>
      <c r="VF32" s="12">
        <f>MOD(VE32-1+LaunchMonth-1,12)+1</f>
        <v/>
      </c>
      <c r="VG32" s="12">
        <f>INT((VE32-1+LaunchMonth-1)/12)+1</f>
        <v/>
      </c>
      <c r="VH32" s="12">
        <f>VLOOKUP(VF32,SeasonTable,2,FALSE)</f>
        <v/>
      </c>
      <c r="VI32" s="12">
        <f>(1+InflationRate)^INT((VE32-1)/12)</f>
        <v/>
      </c>
      <c r="VJ32" s="11">
        <f>MonthlyChurn*VLOOKUP(VF32,ChurnSeasonTable,4,FALSE)</f>
        <v/>
      </c>
      <c r="VK32" s="12">
        <f>MIN(MAX(MktMin19plus,WI31*MktPct19plus),MAX(0,WW31-CashBuffer))</f>
        <v/>
      </c>
      <c r="VL32" s="12">
        <f>IF(VK32&gt;0,MAX(1,ROUND(VK32/CAC*VH32,0)),0)</f>
        <v/>
      </c>
      <c r="VM32" s="12">
        <f>IF(VL32&gt;0,ROUND(VL32*ReferralMix/(1-ReferralMix),0),0)</f>
        <v/>
      </c>
      <c r="VN32" s="12">
        <f>VL32+VM32</f>
        <v/>
      </c>
      <c r="VO32" s="12">
        <f>ROUND(VN32*(1-'Sens - Annual Mix'!$A$9),0)</f>
        <v/>
      </c>
      <c r="VP32" s="12">
        <f>VN32-VO32</f>
        <v/>
      </c>
      <c r="VQ32" s="12">
        <f>ROUND(VO32*EssentialMix,0)</f>
        <v/>
      </c>
      <c r="VR32" s="12">
        <f>ROUND(VO32*PremiumMix,0)</f>
        <v/>
      </c>
      <c r="VS32" s="12">
        <f>VO32-VQ32-VR32</f>
        <v/>
      </c>
      <c r="VT32" s="12">
        <f>ROUND(VP32*EssentialMix,0)</f>
        <v/>
      </c>
      <c r="VU32" s="12">
        <f>ROUND(VP32*PremiumMix,0)</f>
        <v/>
      </c>
      <c r="VV32" s="12">
        <f>VP32-VT32-VU32</f>
        <v/>
      </c>
      <c r="VW32" s="12">
        <f>VQ32+VQ31+VQ30+MAX(0,VW31-VQ31-VQ30)*(1-VJ32)</f>
        <v/>
      </c>
      <c r="VX32" s="12">
        <f>VR32+VR31+VR30+MAX(0,VX31-VR31-VR30)*(1-VJ32)</f>
        <v/>
      </c>
      <c r="VY32" s="12">
        <f>VS32+VS31+VS30+MAX(0,VY31-VS31-VS30)*(1-VJ32)</f>
        <v/>
      </c>
      <c r="VZ32" s="12">
        <f>VZ31+VT32-VT20*(AnnualChurn*VLOOKUP(VF32,ChurnSeasonTable,4,FALSE))*POWER(1-(AnnualChurn*VLOOKUP(VF32,ChurnSeasonTable,4,FALSE)),0)+VT8*(AnnualChurn*VLOOKUP(VF32,ChurnSeasonTable,4,FALSE))*POWER(1-(AnnualChurn*VLOOKUP(VF32,ChurnSeasonTable,4,FALSE)),1)</f>
        <v/>
      </c>
      <c r="WA32" s="12">
        <f>WA31+VU32-VU20*(AnnualChurn*VLOOKUP(VF32,ChurnSeasonTable,4,FALSE))*POWER(1-(AnnualChurn*VLOOKUP(VF32,ChurnSeasonTable,4,FALSE)),0)+VU8*(AnnualChurn*VLOOKUP(VF32,ChurnSeasonTable,4,FALSE))*POWER(1-(AnnualChurn*VLOOKUP(VF32,ChurnSeasonTable,4,FALSE)),1)</f>
        <v/>
      </c>
      <c r="WB32" s="12">
        <f>WB31+VV32-VV20*(AnnualChurn*VLOOKUP(VF32,ChurnSeasonTable,4,FALSE))*POWER(1-(AnnualChurn*VLOOKUP(VF32,ChurnSeasonTable,4,FALSE)),0)+VV8*(AnnualChurn*VLOOKUP(VF32,ChurnSeasonTable,4,FALSE))*POWER(1-(AnnualChurn*VLOOKUP(VF32,ChurnSeasonTable,4,FALSE)),1)</f>
        <v/>
      </c>
      <c r="WC32" s="12">
        <f>VW32+VX32+VY32+VZ32+WA32+WB32</f>
        <v/>
      </c>
      <c r="WD32" s="9">
        <f>VW32*BlendedPriceEssMonthly*VI32+VX32*BlendedPricePremMonthly*VI32+VY32*BlendedPriceEliteMonthly*VI32+VZ32*BlendedPriceEssAnnual*VI32/12+WA32*BlendedPricePremAnnual*VI32/12+WB32*BlendedPriceEliteAnnual*VI32/12</f>
        <v/>
      </c>
      <c r="WE32" s="9">
        <f>WD32*12</f>
        <v/>
      </c>
      <c r="WF32" s="12">
        <f>VW32*BlendedPriceEssMonthly*VI32+VX32*BlendedPricePremMonthly*VI32+VY32*BlendedPriceEliteMonthly*VI32</f>
        <v/>
      </c>
      <c r="WG32" s="12">
        <f>VT32*BlendedPriceEssAnnual*VI32+VU32*BlendedPricePremAnnual*VI32+VV32*BlendedPriceEliteAnnual*VI32</f>
        <v/>
      </c>
      <c r="WH32" s="12">
        <f>VT20*POWER(1-(AnnualChurn*VLOOKUP(VF32,ChurnSeasonTable,4,FALSE)),1)*BlendedPriceEssAnnual*VI32+VT8*POWER(1-(AnnualChurn*VLOOKUP(VF32,ChurnSeasonTable,4,FALSE)),2)*BlendedPriceEssAnnual*VI32+VU20*POWER(1-(AnnualChurn*VLOOKUP(VF32,ChurnSeasonTable,4,FALSE)),1)*BlendedPricePremAnnual*VI32+VU8*POWER(1-(AnnualChurn*VLOOKUP(VF32,ChurnSeasonTable,4,FALSE)),2)*BlendedPricePremAnnual*VI32+VV20*POWER(1-(AnnualChurn*VLOOKUP(VF32,ChurnSeasonTable,4,FALSE)),1)*BlendedPriceEliteAnnual*VI32+VV8*POWER(1-(AnnualChurn*VLOOKUP(VF32,ChurnSeasonTable,4,FALSE)),2)*BlendedPriceEliteAnnual*VI32</f>
        <v/>
      </c>
      <c r="WI32" s="9">
        <f>WF32+WG32+WH32</f>
        <v/>
      </c>
      <c r="WJ32" s="12">
        <f>SUM(WI21:WI32)</f>
        <v/>
      </c>
      <c r="WK32" s="12">
        <f>OR(WK31,IF(VATAgentMode,SUM($WI21:$WI32)-SUM($WP21:$WP32)&gt;=VATThreshold,SUM($WI21:$WI32)&gt;=VATThreshold))</f>
        <v/>
      </c>
      <c r="WL32" s="9">
        <f>IF(WK32,IF(VATAgentMode,WI32-((WI32-WP32)-(WI32-WP32)/(1+VATRate)),WI32/(1+VATRate)),WI32)</f>
        <v/>
      </c>
      <c r="WM32" s="12">
        <f>WI32-WL32</f>
        <v/>
      </c>
      <c r="WN32" s="12">
        <f>IF(WK32=0,0,IF(VF32=1,SUMPRODUCT(--(($VG$5:$VG32=$VG32-1)*($VF$5:$VF32&gt;=10)*($VF$5:$VF32&lt;=12)),$WM$5:$WM32),IF(VF32=4,SUMPRODUCT(--(($VG$5:$VG32=$VG32)*($VF$5:$VF32&gt;=1)*($VF$5:$VF32&lt;=3)),$WM$5:$WM32),IF(VF32=7,SUMPRODUCT(--(($VG$5:$VG32=$VG32)*($VF$5:$VF32&gt;=4)*($VF$5:$VF32&lt;=6)),$WM$5:$WM32),IF(VF32=10,SUMPRODUCT(--(($VG$5:$VG32=$VG32)*($VF$5:$VF32&gt;=7)*($VF$5:$VF32&lt;=9)),$WM$5:$WM32),0)))))</f>
        <v/>
      </c>
      <c r="WO32" s="12">
        <f>WO31+WM32-WN32</f>
        <v/>
      </c>
      <c r="WP32" s="12">
        <f>IF(ProviderDelay&gt;=1,VW31*BlendedProvPayEss+VX31*BlendedProvPayPrem+VY31*BlendedProvPayElite+VZ31*BlendedProvPayEss+WA31*BlendedProvPayPrem+WB31*BlendedProvPayElite,VW32*BlendedProvPayEss+VX32*BlendedProvPayPrem+VY32*BlendedProvPayElite+VZ32*BlendedProvPayEss+WA32*BlendedProvPayPrem+WB32*BlendedProvPayElite)</f>
        <v/>
      </c>
      <c r="WQ32" s="12">
        <f>WI32*PaymentFee</f>
        <v/>
      </c>
      <c r="WR32" s="12">
        <f>WC32*OpsAI</f>
        <v/>
      </c>
      <c r="WS32" s="12">
        <f>MonthlyFixed</f>
        <v/>
      </c>
      <c r="WT32" s="12">
        <f>VM32*ReferralReward</f>
        <v/>
      </c>
      <c r="WU32" s="12">
        <f>VK32</f>
        <v/>
      </c>
      <c r="WV32" s="9">
        <f>WL32-WP32-WQ32-WR32-WS32-WT32-WU32</f>
        <v/>
      </c>
      <c r="WW32" s="9">
        <f>WW31+WI32-(WP32+WQ32+WR32+WS32+WT32+WU32+WN32)</f>
        <v/>
      </c>
      <c r="WX32" s="12">
        <f>IF(WC32&gt;0,WD32/WC32,0)</f>
        <v/>
      </c>
      <c r="WY32" s="11">
        <f>IF(WC31&gt;0,MAX(0,(WC31+VN32-WC32)/WC31),0)</f>
        <v/>
      </c>
      <c r="XA32" s="12" t="n">
        <v>28</v>
      </c>
      <c r="XB32" s="12">
        <f>MOD(XA32-1+LaunchMonth-1,12)+1</f>
        <v/>
      </c>
      <c r="XC32" s="12">
        <f>INT((XA32-1+LaunchMonth-1)/12)+1</f>
        <v/>
      </c>
      <c r="XD32" s="12">
        <f>VLOOKUP(XB32,SeasonTable,2,FALSE)</f>
        <v/>
      </c>
      <c r="XE32" s="12">
        <f>(1+InflationRate)^INT((XA32-1)/12)</f>
        <v/>
      </c>
      <c r="XF32" s="11">
        <f>MonthlyChurn*VLOOKUP(XB32,ChurnSeasonTable,4,FALSE)</f>
        <v/>
      </c>
      <c r="XG32" s="12">
        <f>MIN(MAX(MktMin19plus,YE31*MktPct19plus),MAX(0,YS31-CashBuffer))</f>
        <v/>
      </c>
      <c r="XH32" s="12">
        <f>IF(XG32&gt;0,MAX(1,ROUND(XG32/CAC*XD32,0)),0)</f>
        <v/>
      </c>
      <c r="XI32" s="12">
        <f>IF(XH32&gt;0,ROUND(XH32*ReferralMix/(1-ReferralMix),0),0)</f>
        <v/>
      </c>
      <c r="XJ32" s="12">
        <f>XH32+XI32</f>
        <v/>
      </c>
      <c r="XK32" s="12">
        <f>ROUND(XJ32*(1-'Sens - Annual Mix'!$A$10),0)</f>
        <v/>
      </c>
      <c r="XL32" s="12">
        <f>XJ32-XK32</f>
        <v/>
      </c>
      <c r="XM32" s="12">
        <f>ROUND(XK32*EssentialMix,0)</f>
        <v/>
      </c>
      <c r="XN32" s="12">
        <f>ROUND(XK32*PremiumMix,0)</f>
        <v/>
      </c>
      <c r="XO32" s="12">
        <f>XK32-XM32-XN32</f>
        <v/>
      </c>
      <c r="XP32" s="12">
        <f>ROUND(XL32*EssentialMix,0)</f>
        <v/>
      </c>
      <c r="XQ32" s="12">
        <f>ROUND(XL32*PremiumMix,0)</f>
        <v/>
      </c>
      <c r="XR32" s="12">
        <f>XL32-XP32-XQ32</f>
        <v/>
      </c>
      <c r="XS32" s="12">
        <f>XM32+XM31+XM30+MAX(0,XS31-XM31-XM30)*(1-XF32)</f>
        <v/>
      </c>
      <c r="XT32" s="12">
        <f>XN32+XN31+XN30+MAX(0,XT31-XN31-XN30)*(1-XF32)</f>
        <v/>
      </c>
      <c r="XU32" s="12">
        <f>XO32+XO31+XO30+MAX(0,XU31-XO31-XO30)*(1-XF32)</f>
        <v/>
      </c>
      <c r="XV32" s="12">
        <f>XV31+XP32-XP20*(AnnualChurn*VLOOKUP(XB32,ChurnSeasonTable,4,FALSE))*POWER(1-(AnnualChurn*VLOOKUP(XB32,ChurnSeasonTable,4,FALSE)),0)+XP8*(AnnualChurn*VLOOKUP(XB32,ChurnSeasonTable,4,FALSE))*POWER(1-(AnnualChurn*VLOOKUP(XB32,ChurnSeasonTable,4,FALSE)),1)</f>
        <v/>
      </c>
      <c r="XW32" s="12">
        <f>XW31+XQ32-XQ20*(AnnualChurn*VLOOKUP(XB32,ChurnSeasonTable,4,FALSE))*POWER(1-(AnnualChurn*VLOOKUP(XB32,ChurnSeasonTable,4,FALSE)),0)+XQ8*(AnnualChurn*VLOOKUP(XB32,ChurnSeasonTable,4,FALSE))*POWER(1-(AnnualChurn*VLOOKUP(XB32,ChurnSeasonTable,4,FALSE)),1)</f>
        <v/>
      </c>
      <c r="XX32" s="12">
        <f>XX31+XR32-XR20*(AnnualChurn*VLOOKUP(XB32,ChurnSeasonTable,4,FALSE))*POWER(1-(AnnualChurn*VLOOKUP(XB32,ChurnSeasonTable,4,FALSE)),0)+XR8*(AnnualChurn*VLOOKUP(XB32,ChurnSeasonTable,4,FALSE))*POWER(1-(AnnualChurn*VLOOKUP(XB32,ChurnSeasonTable,4,FALSE)),1)</f>
        <v/>
      </c>
      <c r="XY32" s="12">
        <f>XS32+XT32+XU32+XV32+XW32+XX32</f>
        <v/>
      </c>
      <c r="XZ32" s="9">
        <f>XS32*BlendedPriceEssMonthly*XE32+XT32*BlendedPricePremMonthly*XE32+XU32*BlendedPriceEliteMonthly*XE32+XV32*BlendedPriceEssAnnual*XE32/12+XW32*BlendedPricePremAnnual*XE32/12+XX32*BlendedPriceEliteAnnual*XE32/12</f>
        <v/>
      </c>
      <c r="YA32" s="9">
        <f>XZ32*12</f>
        <v/>
      </c>
      <c r="YB32" s="12">
        <f>XS32*BlendedPriceEssMonthly*XE32+XT32*BlendedPricePremMonthly*XE32+XU32*BlendedPriceEliteMonthly*XE32</f>
        <v/>
      </c>
      <c r="YC32" s="12">
        <f>XP32*BlendedPriceEssAnnual*XE32+XQ32*BlendedPricePremAnnual*XE32+XR32*BlendedPriceEliteAnnual*XE32</f>
        <v/>
      </c>
      <c r="YD32" s="12">
        <f>XP20*POWER(1-(AnnualChurn*VLOOKUP(XB32,ChurnSeasonTable,4,FALSE)),1)*BlendedPriceEssAnnual*XE32+XP8*POWER(1-(AnnualChurn*VLOOKUP(XB32,ChurnSeasonTable,4,FALSE)),2)*BlendedPriceEssAnnual*XE32+XQ20*POWER(1-(AnnualChurn*VLOOKUP(XB32,ChurnSeasonTable,4,FALSE)),1)*BlendedPricePremAnnual*XE32+XQ8*POWER(1-(AnnualChurn*VLOOKUP(XB32,ChurnSeasonTable,4,FALSE)),2)*BlendedPricePremAnnual*XE32+XR20*POWER(1-(AnnualChurn*VLOOKUP(XB32,ChurnSeasonTable,4,FALSE)),1)*BlendedPriceEliteAnnual*XE32+XR8*POWER(1-(AnnualChurn*VLOOKUP(XB32,ChurnSeasonTable,4,FALSE)),2)*BlendedPriceEliteAnnual*XE32</f>
        <v/>
      </c>
      <c r="YE32" s="9">
        <f>YB32+YC32+YD32</f>
        <v/>
      </c>
      <c r="YF32" s="12">
        <f>SUM(YE21:YE32)</f>
        <v/>
      </c>
      <c r="YG32" s="12">
        <f>OR(YG31,IF(VATAgentMode,SUM($YE21:$YE32)-SUM($YL21:$YL32)&gt;=VATThreshold,SUM($YE21:$YE32)&gt;=VATThreshold))</f>
        <v/>
      </c>
      <c r="YH32" s="9">
        <f>IF(YG32,IF(VATAgentMode,YE32-((YE32-YL32)-(YE32-YL32)/(1+VATRate)),YE32/(1+VATRate)),YE32)</f>
        <v/>
      </c>
      <c r="YI32" s="12">
        <f>YE32-YH32</f>
        <v/>
      </c>
      <c r="YJ32" s="12">
        <f>IF(YG32=0,0,IF(XB32=1,SUMPRODUCT(--(($XC$5:$XC32=$XC32-1)*($XB$5:$XB32&gt;=10)*($XB$5:$XB32&lt;=12)),$YI$5:$YI32),IF(XB32=4,SUMPRODUCT(--(($XC$5:$XC32=$XC32)*($XB$5:$XB32&gt;=1)*($XB$5:$XB32&lt;=3)),$YI$5:$YI32),IF(XB32=7,SUMPRODUCT(--(($XC$5:$XC32=$XC32)*($XB$5:$XB32&gt;=4)*($XB$5:$XB32&lt;=6)),$YI$5:$YI32),IF(XB32=10,SUMPRODUCT(--(($XC$5:$XC32=$XC32)*($XB$5:$XB32&gt;=7)*($XB$5:$XB32&lt;=9)),$YI$5:$YI32),0)))))</f>
        <v/>
      </c>
      <c r="YK32" s="12">
        <f>YK31+YI32-YJ32</f>
        <v/>
      </c>
      <c r="YL32" s="12">
        <f>IF(ProviderDelay&gt;=1,XS31*BlendedProvPayEss+XT31*BlendedProvPayPrem+XU31*BlendedProvPayElite+XV31*BlendedProvPayEss+XW31*BlendedProvPayPrem+XX31*BlendedProvPayElite,XS32*BlendedProvPayEss+XT32*BlendedProvPayPrem+XU32*BlendedProvPayElite+XV32*BlendedProvPayEss+XW32*BlendedProvPayPrem+XX32*BlendedProvPayElite)</f>
        <v/>
      </c>
      <c r="YM32" s="12">
        <f>YE32*PaymentFee</f>
        <v/>
      </c>
      <c r="YN32" s="12">
        <f>XY32*OpsAI</f>
        <v/>
      </c>
      <c r="YO32" s="12">
        <f>MonthlyFixed</f>
        <v/>
      </c>
      <c r="YP32" s="12">
        <f>XI32*ReferralReward</f>
        <v/>
      </c>
      <c r="YQ32" s="12">
        <f>XG32</f>
        <v/>
      </c>
      <c r="YR32" s="9">
        <f>YH32-YL32-YM32-YN32-YO32-YP32-YQ32</f>
        <v/>
      </c>
      <c r="YS32" s="9">
        <f>YS31+YE32-(YL32+YM32+YN32+YO32+YP32+YQ32+YJ32)</f>
        <v/>
      </c>
      <c r="YT32" s="12">
        <f>IF(XY32&gt;0,XZ32/XY32,0)</f>
        <v/>
      </c>
      <c r="YU32" s="11">
        <f>IF(XY31&gt;0,MAX(0,(XY31+XJ32-XY32)/XY31),0)</f>
        <v/>
      </c>
      <c r="YW32" s="12" t="n">
        <v>28</v>
      </c>
      <c r="YX32" s="12">
        <f>MOD(YW32-1+LaunchMonth-1,12)+1</f>
        <v/>
      </c>
      <c r="YY32" s="12">
        <f>INT((YW32-1+LaunchMonth-1)/12)+1</f>
        <v/>
      </c>
      <c r="YZ32" s="12">
        <f>VLOOKUP(YX32,SeasonTable,2,FALSE)</f>
        <v/>
      </c>
      <c r="ZA32" s="12">
        <f>(1+InflationRate)^INT((YW32-1)/12)</f>
        <v/>
      </c>
      <c r="ZB32" s="11">
        <f>MonthlyChurn*VLOOKUP(YX32,ChurnSeasonTable,4,FALSE)</f>
        <v/>
      </c>
      <c r="ZC32" s="12">
        <f>MIN(MAX(MktMin19plus,AAA31*MktPct19plus),MAX(0,AAO31-CashBuffer))</f>
        <v/>
      </c>
      <c r="ZD32" s="12">
        <f>IF(ZC32&gt;0,MAX(1,ROUND(ZC32/CAC*YZ32,0)),0)</f>
        <v/>
      </c>
      <c r="ZE32" s="12">
        <f>IF(ZD32&gt;0,ROUND(ZD32*ReferralMix/(1-ReferralMix),0),0)</f>
        <v/>
      </c>
      <c r="ZF32" s="12">
        <f>ZD32+ZE32</f>
        <v/>
      </c>
      <c r="ZG32" s="12">
        <f>ROUND(ZF32*(1-'Sens - Annual Mix'!$A$11),0)</f>
        <v/>
      </c>
      <c r="ZH32" s="12">
        <f>ZF32-ZG32</f>
        <v/>
      </c>
      <c r="ZI32" s="12">
        <f>ROUND(ZG32*EssentialMix,0)</f>
        <v/>
      </c>
      <c r="ZJ32" s="12">
        <f>ROUND(ZG32*PremiumMix,0)</f>
        <v/>
      </c>
      <c r="ZK32" s="12">
        <f>ZG32-ZI32-ZJ32</f>
        <v/>
      </c>
      <c r="ZL32" s="12">
        <f>ROUND(ZH32*EssentialMix,0)</f>
        <v/>
      </c>
      <c r="ZM32" s="12">
        <f>ROUND(ZH32*PremiumMix,0)</f>
        <v/>
      </c>
      <c r="ZN32" s="12">
        <f>ZH32-ZL32-ZM32</f>
        <v/>
      </c>
      <c r="ZO32" s="12">
        <f>ZI32+ZI31+ZI30+MAX(0,ZO31-ZI31-ZI30)*(1-ZB32)</f>
        <v/>
      </c>
      <c r="ZP32" s="12">
        <f>ZJ32+ZJ31+ZJ30+MAX(0,ZP31-ZJ31-ZJ30)*(1-ZB32)</f>
        <v/>
      </c>
      <c r="ZQ32" s="12">
        <f>ZK32+ZK31+ZK30+MAX(0,ZQ31-ZK31-ZK30)*(1-ZB32)</f>
        <v/>
      </c>
      <c r="ZR32" s="12">
        <f>ZR31+ZL32-ZL20*(AnnualChurn*VLOOKUP(YX32,ChurnSeasonTable,4,FALSE))*POWER(1-(AnnualChurn*VLOOKUP(YX32,ChurnSeasonTable,4,FALSE)),0)+ZL8*(AnnualChurn*VLOOKUP(YX32,ChurnSeasonTable,4,FALSE))*POWER(1-(AnnualChurn*VLOOKUP(YX32,ChurnSeasonTable,4,FALSE)),1)</f>
        <v/>
      </c>
      <c r="ZS32" s="12">
        <f>ZS31+ZM32-ZM20*(AnnualChurn*VLOOKUP(YX32,ChurnSeasonTable,4,FALSE))*POWER(1-(AnnualChurn*VLOOKUP(YX32,ChurnSeasonTable,4,FALSE)),0)+ZM8*(AnnualChurn*VLOOKUP(YX32,ChurnSeasonTable,4,FALSE))*POWER(1-(AnnualChurn*VLOOKUP(YX32,ChurnSeasonTable,4,FALSE)),1)</f>
        <v/>
      </c>
      <c r="ZT32" s="12">
        <f>ZT31+ZN32-ZN20*(AnnualChurn*VLOOKUP(YX32,ChurnSeasonTable,4,FALSE))*POWER(1-(AnnualChurn*VLOOKUP(YX32,ChurnSeasonTable,4,FALSE)),0)+ZN8*(AnnualChurn*VLOOKUP(YX32,ChurnSeasonTable,4,FALSE))*POWER(1-(AnnualChurn*VLOOKUP(YX32,ChurnSeasonTable,4,FALSE)),1)</f>
        <v/>
      </c>
      <c r="ZU32" s="12">
        <f>ZO32+ZP32+ZQ32+ZR32+ZS32+ZT32</f>
        <v/>
      </c>
      <c r="ZV32" s="9">
        <f>ZO32*BlendedPriceEssMonthly*ZA32+ZP32*BlendedPricePremMonthly*ZA32+ZQ32*BlendedPriceEliteMonthly*ZA32+ZR32*BlendedPriceEssAnnual*ZA32/12+ZS32*BlendedPricePremAnnual*ZA32/12+ZT32*BlendedPriceEliteAnnual*ZA32/12</f>
        <v/>
      </c>
      <c r="ZW32" s="9">
        <f>ZV32*12</f>
        <v/>
      </c>
      <c r="ZX32" s="12">
        <f>ZO32*BlendedPriceEssMonthly*ZA32+ZP32*BlendedPricePremMonthly*ZA32+ZQ32*BlendedPriceEliteMonthly*ZA32</f>
        <v/>
      </c>
      <c r="ZY32" s="12">
        <f>ZL32*BlendedPriceEssAnnual*ZA32+ZM32*BlendedPricePremAnnual*ZA32+ZN32*BlendedPriceEliteAnnual*ZA32</f>
        <v/>
      </c>
      <c r="ZZ32" s="12">
        <f>ZL20*POWER(1-(AnnualChurn*VLOOKUP(YX32,ChurnSeasonTable,4,FALSE)),1)*BlendedPriceEssAnnual*ZA32+ZL8*POWER(1-(AnnualChurn*VLOOKUP(YX32,ChurnSeasonTable,4,FALSE)),2)*BlendedPriceEssAnnual*ZA32+ZM20*POWER(1-(AnnualChurn*VLOOKUP(YX32,ChurnSeasonTable,4,FALSE)),1)*BlendedPricePremAnnual*ZA32+ZM8*POWER(1-(AnnualChurn*VLOOKUP(YX32,ChurnSeasonTable,4,FALSE)),2)*BlendedPricePremAnnual*ZA32+ZN20*POWER(1-(AnnualChurn*VLOOKUP(YX32,ChurnSeasonTable,4,FALSE)),1)*BlendedPriceEliteAnnual*ZA32+ZN8*POWER(1-(AnnualChurn*VLOOKUP(YX32,ChurnSeasonTable,4,FALSE)),2)*BlendedPriceEliteAnnual*ZA32</f>
        <v/>
      </c>
      <c r="AAA32" s="9">
        <f>ZX32+ZY32+ZZ32</f>
        <v/>
      </c>
      <c r="AAB32" s="12">
        <f>SUM(AAA21:AAA32)</f>
        <v/>
      </c>
      <c r="AAC32" s="12">
        <f>OR(AAC31,IF(VATAgentMode,SUM($AAA21:$AAA32)-SUM($AAH21:$AAH32)&gt;=VATThreshold,SUM($AAA21:$AAA32)&gt;=VATThreshold))</f>
        <v/>
      </c>
      <c r="AAD32" s="9">
        <f>IF(AAC32,IF(VATAgentMode,AAA32-((AAA32-AAH32)-(AAA32-AAH32)/(1+VATRate)),AAA32/(1+VATRate)),AAA32)</f>
        <v/>
      </c>
      <c r="AAE32" s="12">
        <f>AAA32-AAD32</f>
        <v/>
      </c>
      <c r="AAF32" s="12">
        <f>IF(AAC32=0,0,IF(YX32=1,SUMPRODUCT(--(($YY$5:$YY32=$YY32-1)*($YX$5:$YX32&gt;=10)*($YX$5:$YX32&lt;=12)),$AAE$5:$AAE32),IF(YX32=4,SUMPRODUCT(--(($YY$5:$YY32=$YY32)*($YX$5:$YX32&gt;=1)*($YX$5:$YX32&lt;=3)),$AAE$5:$AAE32),IF(YX32=7,SUMPRODUCT(--(($YY$5:$YY32=$YY32)*($YX$5:$YX32&gt;=4)*($YX$5:$YX32&lt;=6)),$AAE$5:$AAE32),IF(YX32=10,SUMPRODUCT(--(($YY$5:$YY32=$YY32)*($YX$5:$YX32&gt;=7)*($YX$5:$YX32&lt;=9)),$AAE$5:$AAE32),0)))))</f>
        <v/>
      </c>
      <c r="AAG32" s="12">
        <f>AAG31+AAE32-AAF32</f>
        <v/>
      </c>
      <c r="AAH32" s="12">
        <f>IF(ProviderDelay&gt;=1,ZO31*BlendedProvPayEss+ZP31*BlendedProvPayPrem+ZQ31*BlendedProvPayElite+ZR31*BlendedProvPayEss+ZS31*BlendedProvPayPrem+ZT31*BlendedProvPayElite,ZO32*BlendedProvPayEss+ZP32*BlendedProvPayPrem+ZQ32*BlendedProvPayElite+ZR32*BlendedProvPayEss+ZS32*BlendedProvPayPrem+ZT32*BlendedProvPayElite)</f>
        <v/>
      </c>
      <c r="AAI32" s="12">
        <f>AAA32*PaymentFee</f>
        <v/>
      </c>
      <c r="AAJ32" s="12">
        <f>ZU32*OpsAI</f>
        <v/>
      </c>
      <c r="AAK32" s="12">
        <f>MonthlyFixed</f>
        <v/>
      </c>
      <c r="AAL32" s="12">
        <f>ZE32*ReferralReward</f>
        <v/>
      </c>
      <c r="AAM32" s="12">
        <f>ZC32</f>
        <v/>
      </c>
      <c r="AAN32" s="9">
        <f>AAD32-AAH32-AAI32-AAJ32-AAK32-AAL32-AAM32</f>
        <v/>
      </c>
      <c r="AAO32" s="9">
        <f>AAO31+AAA32-(AAH32+AAI32+AAJ32+AAK32+AAL32+AAM32+AAF32)</f>
        <v/>
      </c>
      <c r="AAP32" s="12">
        <f>IF(ZU32&gt;0,ZV32/ZU32,0)</f>
        <v/>
      </c>
      <c r="AAQ32" s="11">
        <f>IF(ZU31&gt;0,MAX(0,(ZU31+ZF32-ZU32)/ZU31),0)</f>
        <v/>
      </c>
      <c r="AAS32" s="12" t="n">
        <v>28</v>
      </c>
      <c r="AAT32" s="12">
        <f>MOD(AAS32-1+LaunchMonth-1,12)+1</f>
        <v/>
      </c>
      <c r="AAU32" s="12">
        <f>INT((AAS32-1+LaunchMonth-1)/12)+1</f>
        <v/>
      </c>
      <c r="AAV32" s="12">
        <f>VLOOKUP(AAT32,SeasonTable,2,FALSE)</f>
        <v/>
      </c>
      <c r="AAW32" s="12">
        <f>(1+InflationRate)^INT((AAS32-1)/12)</f>
        <v/>
      </c>
      <c r="AAX32" s="11">
        <f>MonthlyChurn*VLOOKUP(AAT32,ChurnSeasonTable,4,FALSE)</f>
        <v/>
      </c>
      <c r="AAY32" s="12">
        <f>MIN(MAX(MktMin19plus,ABW31*MktPct19plus),MAX(0,ACK31-CashBuffer))</f>
        <v/>
      </c>
      <c r="AAZ32" s="12">
        <f>IF(AAY32&gt;0,MAX(1,ROUND(AAY32/CAC*AAV32,0)),0)</f>
        <v/>
      </c>
      <c r="ABA32" s="12">
        <f>IF(AAZ32&gt;0,ROUND(AAZ32*ReferralMix/(1-ReferralMix),0),0)</f>
        <v/>
      </c>
      <c r="ABB32" s="12">
        <f>AAZ32+ABA32</f>
        <v/>
      </c>
      <c r="ABC32" s="12">
        <f>ROUND(ABB32*(1-'Sens - Annual Mix'!$A$12),0)</f>
        <v/>
      </c>
      <c r="ABD32" s="12">
        <f>ABB32-ABC32</f>
        <v/>
      </c>
      <c r="ABE32" s="12">
        <f>ROUND(ABC32*EssentialMix,0)</f>
        <v/>
      </c>
      <c r="ABF32" s="12">
        <f>ROUND(ABC32*PremiumMix,0)</f>
        <v/>
      </c>
      <c r="ABG32" s="12">
        <f>ABC32-ABE32-ABF32</f>
        <v/>
      </c>
      <c r="ABH32" s="12">
        <f>ROUND(ABD32*EssentialMix,0)</f>
        <v/>
      </c>
      <c r="ABI32" s="12">
        <f>ROUND(ABD32*PremiumMix,0)</f>
        <v/>
      </c>
      <c r="ABJ32" s="12">
        <f>ABD32-ABH32-ABI32</f>
        <v/>
      </c>
      <c r="ABK32" s="12">
        <f>ABE32+ABE31+ABE30+MAX(0,ABK31-ABE31-ABE30)*(1-AAX32)</f>
        <v/>
      </c>
      <c r="ABL32" s="12">
        <f>ABF32+ABF31+ABF30+MAX(0,ABL31-ABF31-ABF30)*(1-AAX32)</f>
        <v/>
      </c>
      <c r="ABM32" s="12">
        <f>ABG32+ABG31+ABG30+MAX(0,ABM31-ABG31-ABG30)*(1-AAX32)</f>
        <v/>
      </c>
      <c r="ABN32" s="12">
        <f>ABN31+ABH32-ABH20*(AnnualChurn*VLOOKUP(AAT32,ChurnSeasonTable,4,FALSE))*POWER(1-(AnnualChurn*VLOOKUP(AAT32,ChurnSeasonTable,4,FALSE)),0)+ABH8*(AnnualChurn*VLOOKUP(AAT32,ChurnSeasonTable,4,FALSE))*POWER(1-(AnnualChurn*VLOOKUP(AAT32,ChurnSeasonTable,4,FALSE)),1)</f>
        <v/>
      </c>
      <c r="ABO32" s="12">
        <f>ABO31+ABI32-ABI20*(AnnualChurn*VLOOKUP(AAT32,ChurnSeasonTable,4,FALSE))*POWER(1-(AnnualChurn*VLOOKUP(AAT32,ChurnSeasonTable,4,FALSE)),0)+ABI8*(AnnualChurn*VLOOKUP(AAT32,ChurnSeasonTable,4,FALSE))*POWER(1-(AnnualChurn*VLOOKUP(AAT32,ChurnSeasonTable,4,FALSE)),1)</f>
        <v/>
      </c>
      <c r="ABP32" s="12">
        <f>ABP31+ABJ32-ABJ20*(AnnualChurn*VLOOKUP(AAT32,ChurnSeasonTable,4,FALSE))*POWER(1-(AnnualChurn*VLOOKUP(AAT32,ChurnSeasonTable,4,FALSE)),0)+ABJ8*(AnnualChurn*VLOOKUP(AAT32,ChurnSeasonTable,4,FALSE))*POWER(1-(AnnualChurn*VLOOKUP(AAT32,ChurnSeasonTable,4,FALSE)),1)</f>
        <v/>
      </c>
      <c r="ABQ32" s="12">
        <f>ABK32+ABL32+ABM32+ABN32+ABO32+ABP32</f>
        <v/>
      </c>
      <c r="ABR32" s="9">
        <f>ABK32*BlendedPriceEssMonthly*AAW32+ABL32*BlendedPricePremMonthly*AAW32+ABM32*BlendedPriceEliteMonthly*AAW32+ABN32*BlendedPriceEssAnnual*AAW32/12+ABO32*BlendedPricePremAnnual*AAW32/12+ABP32*BlendedPriceEliteAnnual*AAW32/12</f>
        <v/>
      </c>
      <c r="ABS32" s="9">
        <f>ABR32*12</f>
        <v/>
      </c>
      <c r="ABT32" s="12">
        <f>ABK32*BlendedPriceEssMonthly*AAW32+ABL32*BlendedPricePremMonthly*AAW32+ABM32*BlendedPriceEliteMonthly*AAW32</f>
        <v/>
      </c>
      <c r="ABU32" s="12">
        <f>ABH32*BlendedPriceEssAnnual*AAW32+ABI32*BlendedPricePremAnnual*AAW32+ABJ32*BlendedPriceEliteAnnual*AAW32</f>
        <v/>
      </c>
      <c r="ABV32" s="12">
        <f>ABH20*POWER(1-(AnnualChurn*VLOOKUP(AAT32,ChurnSeasonTable,4,FALSE)),1)*BlendedPriceEssAnnual*AAW32+ABH8*POWER(1-(AnnualChurn*VLOOKUP(AAT32,ChurnSeasonTable,4,FALSE)),2)*BlendedPriceEssAnnual*AAW32+ABI20*POWER(1-(AnnualChurn*VLOOKUP(AAT32,ChurnSeasonTable,4,FALSE)),1)*BlendedPricePremAnnual*AAW32+ABI8*POWER(1-(AnnualChurn*VLOOKUP(AAT32,ChurnSeasonTable,4,FALSE)),2)*BlendedPricePremAnnual*AAW32+ABJ20*POWER(1-(AnnualChurn*VLOOKUP(AAT32,ChurnSeasonTable,4,FALSE)),1)*BlendedPriceEliteAnnual*AAW32+ABJ8*POWER(1-(AnnualChurn*VLOOKUP(AAT32,ChurnSeasonTable,4,FALSE)),2)*BlendedPriceEliteAnnual*AAW32</f>
        <v/>
      </c>
      <c r="ABW32" s="9">
        <f>ABT32+ABU32+ABV32</f>
        <v/>
      </c>
      <c r="ABX32" s="12">
        <f>SUM(ABW21:ABW32)</f>
        <v/>
      </c>
      <c r="ABY32" s="12">
        <f>OR(ABY31,IF(VATAgentMode,SUM($ABW21:$ABW32)-SUM($ACD21:$ACD32)&gt;=VATThreshold,SUM($ABW21:$ABW32)&gt;=VATThreshold))</f>
        <v/>
      </c>
      <c r="ABZ32" s="9">
        <f>IF(ABY32,IF(VATAgentMode,ABW32-((ABW32-ACD32)-(ABW32-ACD32)/(1+VATRate)),ABW32/(1+VATRate)),ABW32)</f>
        <v/>
      </c>
      <c r="ACA32" s="12">
        <f>ABW32-ABZ32</f>
        <v/>
      </c>
      <c r="ACB32" s="12">
        <f>IF(ABY32=0,0,IF(AAT32=1,SUMPRODUCT(--(($AAU$5:$AAU32=$AAU32-1)*($AAT$5:$AAT32&gt;=10)*($AAT$5:$AAT32&lt;=12)),$ACA$5:$ACA32),IF(AAT32=4,SUMPRODUCT(--(($AAU$5:$AAU32=$AAU32)*($AAT$5:$AAT32&gt;=1)*($AAT$5:$AAT32&lt;=3)),$ACA$5:$ACA32),IF(AAT32=7,SUMPRODUCT(--(($AAU$5:$AAU32=$AAU32)*($AAT$5:$AAT32&gt;=4)*($AAT$5:$AAT32&lt;=6)),$ACA$5:$ACA32),IF(AAT32=10,SUMPRODUCT(--(($AAU$5:$AAU32=$AAU32)*($AAT$5:$AAT32&gt;=7)*($AAT$5:$AAT32&lt;=9)),$ACA$5:$ACA32),0)))))</f>
        <v/>
      </c>
      <c r="ACC32" s="12">
        <f>ACC31+ACA32-ACB32</f>
        <v/>
      </c>
      <c r="ACD32" s="12">
        <f>IF(ProviderDelay&gt;=1,ABK31*BlendedProvPayEss+ABL31*BlendedProvPayPrem+ABM31*BlendedProvPayElite+ABN31*BlendedProvPayEss+ABO31*BlendedProvPayPrem+ABP31*BlendedProvPayElite,ABK32*BlendedProvPayEss+ABL32*BlendedProvPayPrem+ABM32*BlendedProvPayElite+ABN32*BlendedProvPayEss+ABO32*BlendedProvPayPrem+ABP32*BlendedProvPayElite)</f>
        <v/>
      </c>
      <c r="ACE32" s="12">
        <f>ABW32*PaymentFee</f>
        <v/>
      </c>
      <c r="ACF32" s="12">
        <f>ABQ32*OpsAI</f>
        <v/>
      </c>
      <c r="ACG32" s="12">
        <f>MonthlyFixed</f>
        <v/>
      </c>
      <c r="ACH32" s="12">
        <f>ABA32*ReferralReward</f>
        <v/>
      </c>
      <c r="ACI32" s="12">
        <f>AAY32</f>
        <v/>
      </c>
      <c r="ACJ32" s="9">
        <f>ABZ32-ACD32-ACE32-ACF32-ACG32-ACH32-ACI32</f>
        <v/>
      </c>
      <c r="ACK32" s="9">
        <f>ACK31+ABW32-(ACD32+ACE32+ACF32+ACG32+ACH32+ACI32+ACB32)</f>
        <v/>
      </c>
      <c r="ACL32" s="12">
        <f>IF(ABQ32&gt;0,ABR32/ABQ32,0)</f>
        <v/>
      </c>
      <c r="ACM32" s="11">
        <f>IF(ABQ31&gt;0,MAX(0,(ABQ31+ABB32-ABQ32)/ABQ31),0)</f>
        <v/>
      </c>
      <c r="ACO32" s="12" t="n">
        <v>28</v>
      </c>
      <c r="ACP32" s="12">
        <f>MOD(ACO32-1+LaunchMonth-1,12)+1</f>
        <v/>
      </c>
      <c r="ACQ32" s="12">
        <f>INT((ACO32-1+LaunchMonth-1)/12)+1</f>
        <v/>
      </c>
      <c r="ACR32" s="12">
        <f>VLOOKUP(ACP32,SeasonTable,2,FALSE)</f>
        <v/>
      </c>
      <c r="ACS32" s="12">
        <f>(1+InflationRate)^INT((ACO32-1)/12)</f>
        <v/>
      </c>
      <c r="ACT32" s="11">
        <f>MonthlyChurn*VLOOKUP(ACP32,ChurnSeasonTable,4,FALSE)</f>
        <v/>
      </c>
      <c r="ACU32" s="12">
        <f>MIN(MAX(MktMin19plus,ADS31*MktPct19plus),MAX(0,AEG31-CashBuffer))</f>
        <v/>
      </c>
      <c r="ACV32" s="12">
        <f>IF(ACU32&gt;0,MAX(1,ROUND(ACU32/CAC*ACR32,0)),0)</f>
        <v/>
      </c>
      <c r="ACW32" s="12">
        <f>IF(ACV32&gt;0,ROUND(ACV32*ReferralMix/(1-ReferralMix),0),0)</f>
        <v/>
      </c>
      <c r="ACX32" s="12">
        <f>ACV32+ACW32</f>
        <v/>
      </c>
      <c r="ACY32" s="12">
        <f>ROUND(ACX32*(1-'Sens - Annual Mix'!$A$13),0)</f>
        <v/>
      </c>
      <c r="ACZ32" s="12">
        <f>ACX32-ACY32</f>
        <v/>
      </c>
      <c r="ADA32" s="12">
        <f>ROUND(ACY32*EssentialMix,0)</f>
        <v/>
      </c>
      <c r="ADB32" s="12">
        <f>ROUND(ACY32*PremiumMix,0)</f>
        <v/>
      </c>
      <c r="ADC32" s="12">
        <f>ACY32-ADA32-ADB32</f>
        <v/>
      </c>
      <c r="ADD32" s="12">
        <f>ROUND(ACZ32*EssentialMix,0)</f>
        <v/>
      </c>
      <c r="ADE32" s="12">
        <f>ROUND(ACZ32*PremiumMix,0)</f>
        <v/>
      </c>
      <c r="ADF32" s="12">
        <f>ACZ32-ADD32-ADE32</f>
        <v/>
      </c>
      <c r="ADG32" s="12">
        <f>ADA32+ADA31+ADA30+MAX(0,ADG31-ADA31-ADA30)*(1-ACT32)</f>
        <v/>
      </c>
      <c r="ADH32" s="12">
        <f>ADB32+ADB31+ADB30+MAX(0,ADH31-ADB31-ADB30)*(1-ACT32)</f>
        <v/>
      </c>
      <c r="ADI32" s="12">
        <f>ADC32+ADC31+ADC30+MAX(0,ADI31-ADC31-ADC30)*(1-ACT32)</f>
        <v/>
      </c>
      <c r="ADJ32" s="12">
        <f>ADJ31+ADD32-ADD20*(AnnualChurn*VLOOKUP(ACP32,ChurnSeasonTable,4,FALSE))*POWER(1-(AnnualChurn*VLOOKUP(ACP32,ChurnSeasonTable,4,FALSE)),0)+ADD8*(AnnualChurn*VLOOKUP(ACP32,ChurnSeasonTable,4,FALSE))*POWER(1-(AnnualChurn*VLOOKUP(ACP32,ChurnSeasonTable,4,FALSE)),1)</f>
        <v/>
      </c>
      <c r="ADK32" s="12">
        <f>ADK31+ADE32-ADE20*(AnnualChurn*VLOOKUP(ACP32,ChurnSeasonTable,4,FALSE))*POWER(1-(AnnualChurn*VLOOKUP(ACP32,ChurnSeasonTable,4,FALSE)),0)+ADE8*(AnnualChurn*VLOOKUP(ACP32,ChurnSeasonTable,4,FALSE))*POWER(1-(AnnualChurn*VLOOKUP(ACP32,ChurnSeasonTable,4,FALSE)),1)</f>
        <v/>
      </c>
      <c r="ADL32" s="12">
        <f>ADL31+ADF32-ADF20*(AnnualChurn*VLOOKUP(ACP32,ChurnSeasonTable,4,FALSE))*POWER(1-(AnnualChurn*VLOOKUP(ACP32,ChurnSeasonTable,4,FALSE)),0)+ADF8*(AnnualChurn*VLOOKUP(ACP32,ChurnSeasonTable,4,FALSE))*POWER(1-(AnnualChurn*VLOOKUP(ACP32,ChurnSeasonTable,4,FALSE)),1)</f>
        <v/>
      </c>
      <c r="ADM32" s="12">
        <f>ADG32+ADH32+ADI32+ADJ32+ADK32+ADL32</f>
        <v/>
      </c>
      <c r="ADN32" s="9">
        <f>ADG32*BlendedPriceEssMonthly*ACS32+ADH32*BlendedPricePremMonthly*ACS32+ADI32*BlendedPriceEliteMonthly*ACS32+ADJ32*BlendedPriceEssAnnual*ACS32/12+ADK32*BlendedPricePremAnnual*ACS32/12+ADL32*BlendedPriceEliteAnnual*ACS32/12</f>
        <v/>
      </c>
      <c r="ADO32" s="9">
        <f>ADN32*12</f>
        <v/>
      </c>
      <c r="ADP32" s="12">
        <f>ADG32*BlendedPriceEssMonthly*ACS32+ADH32*BlendedPricePremMonthly*ACS32+ADI32*BlendedPriceEliteMonthly*ACS32</f>
        <v/>
      </c>
      <c r="ADQ32" s="12">
        <f>ADD32*BlendedPriceEssAnnual*ACS32+ADE32*BlendedPricePremAnnual*ACS32+ADF32*BlendedPriceEliteAnnual*ACS32</f>
        <v/>
      </c>
      <c r="ADR32" s="12">
        <f>ADD20*POWER(1-(AnnualChurn*VLOOKUP(ACP32,ChurnSeasonTable,4,FALSE)),1)*BlendedPriceEssAnnual*ACS32+ADD8*POWER(1-(AnnualChurn*VLOOKUP(ACP32,ChurnSeasonTable,4,FALSE)),2)*BlendedPriceEssAnnual*ACS32+ADE20*POWER(1-(AnnualChurn*VLOOKUP(ACP32,ChurnSeasonTable,4,FALSE)),1)*BlendedPricePremAnnual*ACS32+ADE8*POWER(1-(AnnualChurn*VLOOKUP(ACP32,ChurnSeasonTable,4,FALSE)),2)*BlendedPricePremAnnual*ACS32+ADF20*POWER(1-(AnnualChurn*VLOOKUP(ACP32,ChurnSeasonTable,4,FALSE)),1)*BlendedPriceEliteAnnual*ACS32+ADF8*POWER(1-(AnnualChurn*VLOOKUP(ACP32,ChurnSeasonTable,4,FALSE)),2)*BlendedPriceEliteAnnual*ACS32</f>
        <v/>
      </c>
      <c r="ADS32" s="9">
        <f>ADP32+ADQ32+ADR32</f>
        <v/>
      </c>
      <c r="ADT32" s="12">
        <f>SUM(ADS21:ADS32)</f>
        <v/>
      </c>
      <c r="ADU32" s="12">
        <f>OR(ADU31,IF(VATAgentMode,SUM($ADS21:$ADS32)-SUM($ADZ21:$ADZ32)&gt;=VATThreshold,SUM($ADS21:$ADS32)&gt;=VATThreshold))</f>
        <v/>
      </c>
      <c r="ADV32" s="9">
        <f>IF(ADU32,IF(VATAgentMode,ADS32-((ADS32-ADZ32)-(ADS32-ADZ32)/(1+VATRate)),ADS32/(1+VATRate)),ADS32)</f>
        <v/>
      </c>
      <c r="ADW32" s="12">
        <f>ADS32-ADV32</f>
        <v/>
      </c>
      <c r="ADX32" s="12">
        <f>IF(ADU32=0,0,IF(ACP32=1,SUMPRODUCT(--(($ACQ$5:$ACQ32=$ACQ32-1)*($ACP$5:$ACP32&gt;=10)*($ACP$5:$ACP32&lt;=12)),$ADW$5:$ADW32),IF(ACP32=4,SUMPRODUCT(--(($ACQ$5:$ACQ32=$ACQ32)*($ACP$5:$ACP32&gt;=1)*($ACP$5:$ACP32&lt;=3)),$ADW$5:$ADW32),IF(ACP32=7,SUMPRODUCT(--(($ACQ$5:$ACQ32=$ACQ32)*($ACP$5:$ACP32&gt;=4)*($ACP$5:$ACP32&lt;=6)),$ADW$5:$ADW32),IF(ACP32=10,SUMPRODUCT(--(($ACQ$5:$ACQ32=$ACQ32)*($ACP$5:$ACP32&gt;=7)*($ACP$5:$ACP32&lt;=9)),$ADW$5:$ADW32),0)))))</f>
        <v/>
      </c>
      <c r="ADY32" s="12">
        <f>ADY31+ADW32-ADX32</f>
        <v/>
      </c>
      <c r="ADZ32" s="12">
        <f>IF(ProviderDelay&gt;=1,ADG31*BlendedProvPayEss+ADH31*BlendedProvPayPrem+ADI31*BlendedProvPayElite+ADJ31*BlendedProvPayEss+ADK31*BlendedProvPayPrem+ADL31*BlendedProvPayElite,ADG32*BlendedProvPayEss+ADH32*BlendedProvPayPrem+ADI32*BlendedProvPayElite+ADJ32*BlendedProvPayEss+ADK32*BlendedProvPayPrem+ADL32*BlendedProvPayElite)</f>
        <v/>
      </c>
      <c r="AEA32" s="12">
        <f>ADS32*PaymentFee</f>
        <v/>
      </c>
      <c r="AEB32" s="12">
        <f>ADM32*OpsAI</f>
        <v/>
      </c>
      <c r="AEC32" s="12">
        <f>MonthlyFixed</f>
        <v/>
      </c>
      <c r="AED32" s="12">
        <f>ACW32*ReferralReward</f>
        <v/>
      </c>
      <c r="AEE32" s="12">
        <f>ACU32</f>
        <v/>
      </c>
      <c r="AEF32" s="9">
        <f>ADV32-ADZ32-AEA32-AEB32-AEC32-AED32-AEE32</f>
        <v/>
      </c>
      <c r="AEG32" s="9">
        <f>AEG31+ADS32-(ADZ32+AEA32+AEB32+AEC32+AED32+AEE32+ADX32)</f>
        <v/>
      </c>
      <c r="AEH32" s="12">
        <f>IF(ADM32&gt;0,ADN32/ADM32,0)</f>
        <v/>
      </c>
      <c r="AEI32" s="11">
        <f>IF(ADM31&gt;0,MAX(0,(ADM31+ACX32-ADM32)/ADM31),0)</f>
        <v/>
      </c>
      <c r="AEK32" s="12" t="n">
        <v>28</v>
      </c>
      <c r="AEL32" s="12">
        <f>MOD(AEK32-1+LaunchMonth-1,12)+1</f>
        <v/>
      </c>
      <c r="AEM32" s="12">
        <f>INT((AEK32-1+LaunchMonth-1)/12)+1</f>
        <v/>
      </c>
      <c r="AEN32" s="12">
        <f>VLOOKUP(AEL32,SeasonTable,2,FALSE)</f>
        <v/>
      </c>
      <c r="AEO32" s="12">
        <f>(1+InflationRate)^INT((AEK32-1)/12)</f>
        <v/>
      </c>
      <c r="AEP32" s="11">
        <f>MonthlyChurn*VLOOKUP(AEL32,ChurnSeasonTable,4,FALSE)</f>
        <v/>
      </c>
      <c r="AEQ32" s="12">
        <f>MIN(MAX(MktMin19plus,AFO31*MktPct19plus),MAX(0,AGC31-CashBuffer))</f>
        <v/>
      </c>
      <c r="AER32" s="12">
        <f>IF(AEQ32&gt;0,MAX(1,ROUND(AEQ32/CAC*AEN32,0)),0)</f>
        <v/>
      </c>
      <c r="AES32" s="12">
        <f>IF(AER32&gt;0,ROUND(AER32*ReferralMix/(1-ReferralMix),0),0)</f>
        <v/>
      </c>
      <c r="AET32" s="12">
        <f>AER32+AES32</f>
        <v/>
      </c>
      <c r="AEU32" s="12">
        <f>ROUND(AET32*(1-'Sens - Annual Mix'!$A$14),0)</f>
        <v/>
      </c>
      <c r="AEV32" s="12">
        <f>AET32-AEU32</f>
        <v/>
      </c>
      <c r="AEW32" s="12">
        <f>ROUND(AEU32*EssentialMix,0)</f>
        <v/>
      </c>
      <c r="AEX32" s="12">
        <f>ROUND(AEU32*PremiumMix,0)</f>
        <v/>
      </c>
      <c r="AEY32" s="12">
        <f>AEU32-AEW32-AEX32</f>
        <v/>
      </c>
      <c r="AEZ32" s="12">
        <f>ROUND(AEV32*EssentialMix,0)</f>
        <v/>
      </c>
      <c r="AFA32" s="12">
        <f>ROUND(AEV32*PremiumMix,0)</f>
        <v/>
      </c>
      <c r="AFB32" s="12">
        <f>AEV32-AEZ32-AFA32</f>
        <v/>
      </c>
      <c r="AFC32" s="12">
        <f>AEW32+AEW31+AEW30+MAX(0,AFC31-AEW31-AEW30)*(1-AEP32)</f>
        <v/>
      </c>
      <c r="AFD32" s="12">
        <f>AEX32+AEX31+AEX30+MAX(0,AFD31-AEX31-AEX30)*(1-AEP32)</f>
        <v/>
      </c>
      <c r="AFE32" s="12">
        <f>AEY32+AEY31+AEY30+MAX(0,AFE31-AEY31-AEY30)*(1-AEP32)</f>
        <v/>
      </c>
      <c r="AFF32" s="12">
        <f>AFF31+AEZ32-AEZ20*(AnnualChurn*VLOOKUP(AEL32,ChurnSeasonTable,4,FALSE))*POWER(1-(AnnualChurn*VLOOKUP(AEL32,ChurnSeasonTable,4,FALSE)),0)+AEZ8*(AnnualChurn*VLOOKUP(AEL32,ChurnSeasonTable,4,FALSE))*POWER(1-(AnnualChurn*VLOOKUP(AEL32,ChurnSeasonTable,4,FALSE)),1)</f>
        <v/>
      </c>
      <c r="AFG32" s="12">
        <f>AFG31+AFA32-AFA20*(AnnualChurn*VLOOKUP(AEL32,ChurnSeasonTable,4,FALSE))*POWER(1-(AnnualChurn*VLOOKUP(AEL32,ChurnSeasonTable,4,FALSE)),0)+AFA8*(AnnualChurn*VLOOKUP(AEL32,ChurnSeasonTable,4,FALSE))*POWER(1-(AnnualChurn*VLOOKUP(AEL32,ChurnSeasonTable,4,FALSE)),1)</f>
        <v/>
      </c>
      <c r="AFH32" s="12">
        <f>AFH31+AFB32-AFB20*(AnnualChurn*VLOOKUP(AEL32,ChurnSeasonTable,4,FALSE))*POWER(1-(AnnualChurn*VLOOKUP(AEL32,ChurnSeasonTable,4,FALSE)),0)+AFB8*(AnnualChurn*VLOOKUP(AEL32,ChurnSeasonTable,4,FALSE))*POWER(1-(AnnualChurn*VLOOKUP(AEL32,ChurnSeasonTable,4,FALSE)),1)</f>
        <v/>
      </c>
      <c r="AFI32" s="12">
        <f>AFC32+AFD32+AFE32+AFF32+AFG32+AFH32</f>
        <v/>
      </c>
      <c r="AFJ32" s="9">
        <f>AFC32*BlendedPriceEssMonthly*AEO32+AFD32*BlendedPricePremMonthly*AEO32+AFE32*BlendedPriceEliteMonthly*AEO32+AFF32*BlendedPriceEssAnnual*AEO32/12+AFG32*BlendedPricePremAnnual*AEO32/12+AFH32*BlendedPriceEliteAnnual*AEO32/12</f>
        <v/>
      </c>
      <c r="AFK32" s="9">
        <f>AFJ32*12</f>
        <v/>
      </c>
      <c r="AFL32" s="12">
        <f>AFC32*BlendedPriceEssMonthly*AEO32+AFD32*BlendedPricePremMonthly*AEO32+AFE32*BlendedPriceEliteMonthly*AEO32</f>
        <v/>
      </c>
      <c r="AFM32" s="12">
        <f>AEZ32*BlendedPriceEssAnnual*AEO32+AFA32*BlendedPricePremAnnual*AEO32+AFB32*BlendedPriceEliteAnnual*AEO32</f>
        <v/>
      </c>
      <c r="AFN32" s="12">
        <f>AEZ20*POWER(1-(AnnualChurn*VLOOKUP(AEL32,ChurnSeasonTable,4,FALSE)),1)*BlendedPriceEssAnnual*AEO32+AEZ8*POWER(1-(AnnualChurn*VLOOKUP(AEL32,ChurnSeasonTable,4,FALSE)),2)*BlendedPriceEssAnnual*AEO32+AFA20*POWER(1-(AnnualChurn*VLOOKUP(AEL32,ChurnSeasonTable,4,FALSE)),1)*BlendedPricePremAnnual*AEO32+AFA8*POWER(1-(AnnualChurn*VLOOKUP(AEL32,ChurnSeasonTable,4,FALSE)),2)*BlendedPricePremAnnual*AEO32+AFB20*POWER(1-(AnnualChurn*VLOOKUP(AEL32,ChurnSeasonTable,4,FALSE)),1)*BlendedPriceEliteAnnual*AEO32+AFB8*POWER(1-(AnnualChurn*VLOOKUP(AEL32,ChurnSeasonTable,4,FALSE)),2)*BlendedPriceEliteAnnual*AEO32</f>
        <v/>
      </c>
      <c r="AFO32" s="9">
        <f>AFL32+AFM32+AFN32</f>
        <v/>
      </c>
      <c r="AFP32" s="12">
        <f>SUM(AFO21:AFO32)</f>
        <v/>
      </c>
      <c r="AFQ32" s="12">
        <f>OR(AFQ31,IF(VATAgentMode,SUM($AFO21:$AFO32)-SUM($AFV21:$AFV32)&gt;=VATThreshold,SUM($AFO21:$AFO32)&gt;=VATThreshold))</f>
        <v/>
      </c>
      <c r="AFR32" s="9">
        <f>IF(AFQ32,IF(VATAgentMode,AFO32-((AFO32-AFV32)-(AFO32-AFV32)/(1+VATRate)),AFO32/(1+VATRate)),AFO32)</f>
        <v/>
      </c>
      <c r="AFS32" s="12">
        <f>AFO32-AFR32</f>
        <v/>
      </c>
      <c r="AFT32" s="12">
        <f>IF(AFQ32=0,0,IF(AEL32=1,SUMPRODUCT(--(($AEM$5:$AEM32=$AEM32-1)*($AEL$5:$AEL32&gt;=10)*($AEL$5:$AEL32&lt;=12)),$AFS$5:$AFS32),IF(AEL32=4,SUMPRODUCT(--(($AEM$5:$AEM32=$AEM32)*($AEL$5:$AEL32&gt;=1)*($AEL$5:$AEL32&lt;=3)),$AFS$5:$AFS32),IF(AEL32=7,SUMPRODUCT(--(($AEM$5:$AEM32=$AEM32)*($AEL$5:$AEL32&gt;=4)*($AEL$5:$AEL32&lt;=6)),$AFS$5:$AFS32),IF(AEL32=10,SUMPRODUCT(--(($AEM$5:$AEM32=$AEM32)*($AEL$5:$AEL32&gt;=7)*($AEL$5:$AEL32&lt;=9)),$AFS$5:$AFS32),0)))))</f>
        <v/>
      </c>
      <c r="AFU32" s="12">
        <f>AFU31+AFS32-AFT32</f>
        <v/>
      </c>
      <c r="AFV32" s="12">
        <f>IF(ProviderDelay&gt;=1,AFC31*BlendedProvPayEss+AFD31*BlendedProvPayPrem+AFE31*BlendedProvPayElite+AFF31*BlendedProvPayEss+AFG31*BlendedProvPayPrem+AFH31*BlendedProvPayElite,AFC32*BlendedProvPayEss+AFD32*BlendedProvPayPrem+AFE32*BlendedProvPayElite+AFF32*BlendedProvPayEss+AFG32*BlendedProvPayPrem+AFH32*BlendedProvPayElite)</f>
        <v/>
      </c>
      <c r="AFW32" s="12">
        <f>AFO32*PaymentFee</f>
        <v/>
      </c>
      <c r="AFX32" s="12">
        <f>AFI32*OpsAI</f>
        <v/>
      </c>
      <c r="AFY32" s="12">
        <f>MonthlyFixed</f>
        <v/>
      </c>
      <c r="AFZ32" s="12">
        <f>AES32*ReferralReward</f>
        <v/>
      </c>
      <c r="AGA32" s="12">
        <f>AEQ32</f>
        <v/>
      </c>
      <c r="AGB32" s="9">
        <f>AFR32-AFV32-AFW32-AFX32-AFY32-AFZ32-AGA32</f>
        <v/>
      </c>
      <c r="AGC32" s="9">
        <f>AGC31+AFO32-(AFV32+AFW32+AFX32+AFY32+AFZ32+AGA32+AFT32)</f>
        <v/>
      </c>
      <c r="AGD32" s="12">
        <f>IF(AFI32&gt;0,AFJ32/AFI32,0)</f>
        <v/>
      </c>
      <c r="AGE32" s="11">
        <f>IF(AFI31&gt;0,MAX(0,(AFI31+AET32-AFI32)/AFI31),0)</f>
        <v/>
      </c>
      <c r="AGG32" s="12" t="n">
        <v>28</v>
      </c>
      <c r="AGH32" s="12">
        <f>MOD(AGG32-1+LaunchMonth-1,12)+1</f>
        <v/>
      </c>
      <c r="AGI32" s="12">
        <f>INT((AGG32-1+LaunchMonth-1)/12)+1</f>
        <v/>
      </c>
      <c r="AGJ32" s="12">
        <f>VLOOKUP(AGH32,SeasonTable,2,FALSE)</f>
        <v/>
      </c>
      <c r="AGK32" s="12">
        <f>(1+InflationRate)^INT((AGG32-1)/12)</f>
        <v/>
      </c>
      <c r="AGL32" s="11">
        <f>MonthlyChurn*VLOOKUP(AGH32,ChurnSeasonTable,4,FALSE)</f>
        <v/>
      </c>
      <c r="AGM32" s="12">
        <f>MIN(MAX(MktMin19plus,AHK31*MktPct19plus),MAX(0,AHY31-CashBuffer))</f>
        <v/>
      </c>
      <c r="AGN32" s="12">
        <f>IF(AGM32&gt;0,MAX(1,ROUND(AGM32/CAC*AGJ32,0)),0)</f>
        <v/>
      </c>
      <c r="AGO32" s="12">
        <f>IF(AGN32&gt;0,ROUND(AGN32*ReferralMix/(1-ReferralMix),0),0)</f>
        <v/>
      </c>
      <c r="AGP32" s="12">
        <f>AGN32+AGO32</f>
        <v/>
      </c>
      <c r="AGQ32" s="12">
        <f>ROUND(AGP32*(1-'Sens - Annual Mix'!$A$15),0)</f>
        <v/>
      </c>
      <c r="AGR32" s="12">
        <f>AGP32-AGQ32</f>
        <v/>
      </c>
      <c r="AGS32" s="12">
        <f>ROUND(AGQ32*EssentialMix,0)</f>
        <v/>
      </c>
      <c r="AGT32" s="12">
        <f>ROUND(AGQ32*PremiumMix,0)</f>
        <v/>
      </c>
      <c r="AGU32" s="12">
        <f>AGQ32-AGS32-AGT32</f>
        <v/>
      </c>
      <c r="AGV32" s="12">
        <f>ROUND(AGR32*EssentialMix,0)</f>
        <v/>
      </c>
      <c r="AGW32" s="12">
        <f>ROUND(AGR32*PremiumMix,0)</f>
        <v/>
      </c>
      <c r="AGX32" s="12">
        <f>AGR32-AGV32-AGW32</f>
        <v/>
      </c>
      <c r="AGY32" s="12">
        <f>AGS32+AGS31+AGS30+MAX(0,AGY31-AGS31-AGS30)*(1-AGL32)</f>
        <v/>
      </c>
      <c r="AGZ32" s="12">
        <f>AGT32+AGT31+AGT30+MAX(0,AGZ31-AGT31-AGT30)*(1-AGL32)</f>
        <v/>
      </c>
      <c r="AHA32" s="12">
        <f>AGU32+AGU31+AGU30+MAX(0,AHA31-AGU31-AGU30)*(1-AGL32)</f>
        <v/>
      </c>
      <c r="AHB32" s="12">
        <f>AHB31+AGV32-AGV20*(AnnualChurn*VLOOKUP(AGH32,ChurnSeasonTable,4,FALSE))*POWER(1-(AnnualChurn*VLOOKUP(AGH32,ChurnSeasonTable,4,FALSE)),0)+AGV8*(AnnualChurn*VLOOKUP(AGH32,ChurnSeasonTable,4,FALSE))*POWER(1-(AnnualChurn*VLOOKUP(AGH32,ChurnSeasonTable,4,FALSE)),1)</f>
        <v/>
      </c>
      <c r="AHC32" s="12">
        <f>AHC31+AGW32-AGW20*(AnnualChurn*VLOOKUP(AGH32,ChurnSeasonTable,4,FALSE))*POWER(1-(AnnualChurn*VLOOKUP(AGH32,ChurnSeasonTable,4,FALSE)),0)+AGW8*(AnnualChurn*VLOOKUP(AGH32,ChurnSeasonTable,4,FALSE))*POWER(1-(AnnualChurn*VLOOKUP(AGH32,ChurnSeasonTable,4,FALSE)),1)</f>
        <v/>
      </c>
      <c r="AHD32" s="12">
        <f>AHD31+AGX32-AGX20*(AnnualChurn*VLOOKUP(AGH32,ChurnSeasonTable,4,FALSE))*POWER(1-(AnnualChurn*VLOOKUP(AGH32,ChurnSeasonTable,4,FALSE)),0)+AGX8*(AnnualChurn*VLOOKUP(AGH32,ChurnSeasonTable,4,FALSE))*POWER(1-(AnnualChurn*VLOOKUP(AGH32,ChurnSeasonTable,4,FALSE)),1)</f>
        <v/>
      </c>
      <c r="AHE32" s="12">
        <f>AGY32+AGZ32+AHA32+AHB32+AHC32+AHD32</f>
        <v/>
      </c>
      <c r="AHF32" s="9">
        <f>AGY32*BlendedPriceEssMonthly*AGK32+AGZ32*BlendedPricePremMonthly*AGK32+AHA32*BlendedPriceEliteMonthly*AGK32+AHB32*BlendedPriceEssAnnual*AGK32/12+AHC32*BlendedPricePremAnnual*AGK32/12+AHD32*BlendedPriceEliteAnnual*AGK32/12</f>
        <v/>
      </c>
      <c r="AHG32" s="9">
        <f>AHF32*12</f>
        <v/>
      </c>
      <c r="AHH32" s="12">
        <f>AGY32*BlendedPriceEssMonthly*AGK32+AGZ32*BlendedPricePremMonthly*AGK32+AHA32*BlendedPriceEliteMonthly*AGK32</f>
        <v/>
      </c>
      <c r="AHI32" s="12">
        <f>AGV32*BlendedPriceEssAnnual*AGK32+AGW32*BlendedPricePremAnnual*AGK32+AGX32*BlendedPriceEliteAnnual*AGK32</f>
        <v/>
      </c>
      <c r="AHJ32" s="12">
        <f>AGV20*POWER(1-(AnnualChurn*VLOOKUP(AGH32,ChurnSeasonTable,4,FALSE)),1)*BlendedPriceEssAnnual*AGK32+AGV8*POWER(1-(AnnualChurn*VLOOKUP(AGH32,ChurnSeasonTable,4,FALSE)),2)*BlendedPriceEssAnnual*AGK32+AGW20*POWER(1-(AnnualChurn*VLOOKUP(AGH32,ChurnSeasonTable,4,FALSE)),1)*BlendedPricePremAnnual*AGK32+AGW8*POWER(1-(AnnualChurn*VLOOKUP(AGH32,ChurnSeasonTable,4,FALSE)),2)*BlendedPricePremAnnual*AGK32+AGX20*POWER(1-(AnnualChurn*VLOOKUP(AGH32,ChurnSeasonTable,4,FALSE)),1)*BlendedPriceEliteAnnual*AGK32+AGX8*POWER(1-(AnnualChurn*VLOOKUP(AGH32,ChurnSeasonTable,4,FALSE)),2)*BlendedPriceEliteAnnual*AGK32</f>
        <v/>
      </c>
      <c r="AHK32" s="9">
        <f>AHH32+AHI32+AHJ32</f>
        <v/>
      </c>
      <c r="AHL32" s="12">
        <f>SUM(AHK21:AHK32)</f>
        <v/>
      </c>
      <c r="AHM32" s="12">
        <f>OR(AHM31,IF(VATAgentMode,SUM($AHK21:$AHK32)-SUM($AHR21:$AHR32)&gt;=VATThreshold,SUM($AHK21:$AHK32)&gt;=VATThreshold))</f>
        <v/>
      </c>
      <c r="AHN32" s="9">
        <f>IF(AHM32,IF(VATAgentMode,AHK32-((AHK32-AHR32)-(AHK32-AHR32)/(1+VATRate)),AHK32/(1+VATRate)),AHK32)</f>
        <v/>
      </c>
      <c r="AHO32" s="12">
        <f>AHK32-AHN32</f>
        <v/>
      </c>
      <c r="AHP32" s="12">
        <f>IF(AHM32=0,0,IF(AGH32=1,SUMPRODUCT(--(($AGI$5:$AGI32=$AGI32-1)*($AGH$5:$AGH32&gt;=10)*($AGH$5:$AGH32&lt;=12)),$AHO$5:$AHO32),IF(AGH32=4,SUMPRODUCT(--(($AGI$5:$AGI32=$AGI32)*($AGH$5:$AGH32&gt;=1)*($AGH$5:$AGH32&lt;=3)),$AHO$5:$AHO32),IF(AGH32=7,SUMPRODUCT(--(($AGI$5:$AGI32=$AGI32)*($AGH$5:$AGH32&gt;=4)*($AGH$5:$AGH32&lt;=6)),$AHO$5:$AHO32),IF(AGH32=10,SUMPRODUCT(--(($AGI$5:$AGI32=$AGI32)*($AGH$5:$AGH32&gt;=7)*($AGH$5:$AGH32&lt;=9)),$AHO$5:$AHO32),0)))))</f>
        <v/>
      </c>
      <c r="AHQ32" s="12">
        <f>AHQ31+AHO32-AHP32</f>
        <v/>
      </c>
      <c r="AHR32" s="12">
        <f>IF(ProviderDelay&gt;=1,AGY31*BlendedProvPayEss+AGZ31*BlendedProvPayPrem+AHA31*BlendedProvPayElite+AHB31*BlendedProvPayEss+AHC31*BlendedProvPayPrem+AHD31*BlendedProvPayElite,AGY32*BlendedProvPayEss+AGZ32*BlendedProvPayPrem+AHA32*BlendedProvPayElite+AHB32*BlendedProvPayEss+AHC32*BlendedProvPayPrem+AHD32*BlendedProvPayElite)</f>
        <v/>
      </c>
      <c r="AHS32" s="12">
        <f>AHK32*PaymentFee</f>
        <v/>
      </c>
      <c r="AHT32" s="12">
        <f>AHE32*OpsAI</f>
        <v/>
      </c>
      <c r="AHU32" s="12">
        <f>MonthlyFixed</f>
        <v/>
      </c>
      <c r="AHV32" s="12">
        <f>AGO32*ReferralReward</f>
        <v/>
      </c>
      <c r="AHW32" s="12">
        <f>AGM32</f>
        <v/>
      </c>
      <c r="AHX32" s="9">
        <f>AHN32-AHR32-AHS32-AHT32-AHU32-AHV32-AHW32</f>
        <v/>
      </c>
      <c r="AHY32" s="9">
        <f>AHY31+AHK32-(AHR32+AHS32+AHT32+AHU32+AHV32+AHW32+AHP32)</f>
        <v/>
      </c>
      <c r="AHZ32" s="12">
        <f>IF(AHE32&gt;0,AHF32/AHE32,0)</f>
        <v/>
      </c>
      <c r="AIA32" s="11">
        <f>IF(AHE31&gt;0,MAX(0,(AHE31+AGP32-AHE32)/AHE31),0)</f>
        <v/>
      </c>
      <c r="AIC32" s="12" t="n">
        <v>28</v>
      </c>
      <c r="AID32" s="12">
        <f>MOD(AIC32-1+LaunchMonth-1,12)+1</f>
        <v/>
      </c>
      <c r="AIE32" s="12">
        <f>INT((AIC32-1+LaunchMonth-1)/12)+1</f>
        <v/>
      </c>
      <c r="AIF32" s="12">
        <f>VLOOKUP(AID32,SeasonTable,2,FALSE)</f>
        <v/>
      </c>
      <c r="AIG32" s="12">
        <f>(1+InflationRate)^INT((AIC32-1)/12)</f>
        <v/>
      </c>
      <c r="AIH32" s="11">
        <f>MonthlyChurn*VLOOKUP(AID32,ChurnSeasonTable,4,FALSE)</f>
        <v/>
      </c>
      <c r="AII32" s="12">
        <f>MIN(MAX(MktMin19plus,AJG31*MktPct19plus),MAX(0,AJU31-CashBuffer))</f>
        <v/>
      </c>
      <c r="AIJ32" s="12">
        <f>IF(AII32&gt;0,MAX(1,ROUND(AII32/'Sens - CAC &amp; Marketing'!$A$9*AIF32,0)),0)</f>
        <v/>
      </c>
      <c r="AIK32" s="12">
        <f>IF(AIJ32&gt;0,ROUND(AIJ32*ReferralMix/(1-ReferralMix),0),0)</f>
        <v/>
      </c>
      <c r="AIL32" s="12">
        <f>AIJ32+AIK32</f>
        <v/>
      </c>
      <c r="AIM32" s="12">
        <f>ROUND(AIL32*(1-AnnualMix),0)</f>
        <v/>
      </c>
      <c r="AIN32" s="12">
        <f>AIL32-AIM32</f>
        <v/>
      </c>
      <c r="AIO32" s="12">
        <f>ROUND(AIM32*EssentialMix,0)</f>
        <v/>
      </c>
      <c r="AIP32" s="12">
        <f>ROUND(AIM32*PremiumMix,0)</f>
        <v/>
      </c>
      <c r="AIQ32" s="12">
        <f>AIM32-AIO32-AIP32</f>
        <v/>
      </c>
      <c r="AIR32" s="12">
        <f>ROUND(AIN32*EssentialMix,0)</f>
        <v/>
      </c>
      <c r="AIS32" s="12">
        <f>ROUND(AIN32*PremiumMix,0)</f>
        <v/>
      </c>
      <c r="AIT32" s="12">
        <f>AIN32-AIR32-AIS32</f>
        <v/>
      </c>
      <c r="AIU32" s="12">
        <f>AIO32+AIO31+AIO30+MAX(0,AIU31-AIO31-AIO30)*(1-AIH32)</f>
        <v/>
      </c>
      <c r="AIV32" s="12">
        <f>AIP32+AIP31+AIP30+MAX(0,AIV31-AIP31-AIP30)*(1-AIH32)</f>
        <v/>
      </c>
      <c r="AIW32" s="12">
        <f>AIQ32+AIQ31+AIQ30+MAX(0,AIW31-AIQ31-AIQ30)*(1-AIH32)</f>
        <v/>
      </c>
      <c r="AIX32" s="12">
        <f>AIX31+AIR32-AIR20*(AnnualChurn*VLOOKUP(AID32,ChurnSeasonTable,4,FALSE))*POWER(1-(AnnualChurn*VLOOKUP(AID32,ChurnSeasonTable,4,FALSE)),0)+AIR8*(AnnualChurn*VLOOKUP(AID32,ChurnSeasonTable,4,FALSE))*POWER(1-(AnnualChurn*VLOOKUP(AID32,ChurnSeasonTable,4,FALSE)),1)</f>
        <v/>
      </c>
      <c r="AIY32" s="12">
        <f>AIY31+AIS32-AIS20*(AnnualChurn*VLOOKUP(AID32,ChurnSeasonTable,4,FALSE))*POWER(1-(AnnualChurn*VLOOKUP(AID32,ChurnSeasonTable,4,FALSE)),0)+AIS8*(AnnualChurn*VLOOKUP(AID32,ChurnSeasonTable,4,FALSE))*POWER(1-(AnnualChurn*VLOOKUP(AID32,ChurnSeasonTable,4,FALSE)),1)</f>
        <v/>
      </c>
      <c r="AIZ32" s="12">
        <f>AIZ31+AIT32-AIT20*(AnnualChurn*VLOOKUP(AID32,ChurnSeasonTable,4,FALSE))*POWER(1-(AnnualChurn*VLOOKUP(AID32,ChurnSeasonTable,4,FALSE)),0)+AIT8*(AnnualChurn*VLOOKUP(AID32,ChurnSeasonTable,4,FALSE))*POWER(1-(AnnualChurn*VLOOKUP(AID32,ChurnSeasonTable,4,FALSE)),1)</f>
        <v/>
      </c>
      <c r="AJA32" s="12">
        <f>AIU32+AIV32+AIW32+AIX32+AIY32+AIZ32</f>
        <v/>
      </c>
      <c r="AJB32" s="9">
        <f>AIU32*BlendedPriceEssMonthly*AIG32+AIV32*BlendedPricePremMonthly*AIG32+AIW32*BlendedPriceEliteMonthly*AIG32+AIX32*BlendedPriceEssAnnual*AIG32/12+AIY32*BlendedPricePremAnnual*AIG32/12+AIZ32*BlendedPriceEliteAnnual*AIG32/12</f>
        <v/>
      </c>
      <c r="AJC32" s="9">
        <f>AJB32*12</f>
        <v/>
      </c>
      <c r="AJD32" s="12">
        <f>AIU32*BlendedPriceEssMonthly*AIG32+AIV32*BlendedPricePremMonthly*AIG32+AIW32*BlendedPriceEliteMonthly*AIG32</f>
        <v/>
      </c>
      <c r="AJE32" s="12">
        <f>AIR32*BlendedPriceEssAnnual*AIG32+AIS32*BlendedPricePremAnnual*AIG32+AIT32*BlendedPriceEliteAnnual*AIG32</f>
        <v/>
      </c>
      <c r="AJF32" s="12">
        <f>AIR20*POWER(1-(AnnualChurn*VLOOKUP(AID32,ChurnSeasonTable,4,FALSE)),1)*BlendedPriceEssAnnual*AIG32+AIR8*POWER(1-(AnnualChurn*VLOOKUP(AID32,ChurnSeasonTable,4,FALSE)),2)*BlendedPriceEssAnnual*AIG32+AIS20*POWER(1-(AnnualChurn*VLOOKUP(AID32,ChurnSeasonTable,4,FALSE)),1)*BlendedPricePremAnnual*AIG32+AIS8*POWER(1-(AnnualChurn*VLOOKUP(AID32,ChurnSeasonTable,4,FALSE)),2)*BlendedPricePremAnnual*AIG32+AIT20*POWER(1-(AnnualChurn*VLOOKUP(AID32,ChurnSeasonTable,4,FALSE)),1)*BlendedPriceEliteAnnual*AIG32+AIT8*POWER(1-(AnnualChurn*VLOOKUP(AID32,ChurnSeasonTable,4,FALSE)),2)*BlendedPriceEliteAnnual*AIG32</f>
        <v/>
      </c>
      <c r="AJG32" s="9">
        <f>AJD32+AJE32+AJF32</f>
        <v/>
      </c>
      <c r="AJH32" s="12">
        <f>SUM(AJG21:AJG32)</f>
        <v/>
      </c>
      <c r="AJI32" s="12">
        <f>OR(AJI31,IF(VATAgentMode,SUM($AJG21:$AJG32)-SUM($AJN21:$AJN32)&gt;=VATThreshold,SUM($AJG21:$AJG32)&gt;=VATThreshold))</f>
        <v/>
      </c>
      <c r="AJJ32" s="9">
        <f>IF(AJI32,IF(VATAgentMode,AJG32-((AJG32-AJN32)-(AJG32-AJN32)/(1+VATRate)),AJG32/(1+VATRate)),AJG32)</f>
        <v/>
      </c>
      <c r="AJK32" s="12">
        <f>AJG32-AJJ32</f>
        <v/>
      </c>
      <c r="AJL32" s="12">
        <f>IF(AJI32=0,0,IF(AID32=1,SUMPRODUCT(--(($AIE$5:$AIE32=$AIE32-1)*($AID$5:$AID32&gt;=10)*($AID$5:$AID32&lt;=12)),$AJK$5:$AJK32),IF(AID32=4,SUMPRODUCT(--(($AIE$5:$AIE32=$AIE32)*($AID$5:$AID32&gt;=1)*($AID$5:$AID32&lt;=3)),$AJK$5:$AJK32),IF(AID32=7,SUMPRODUCT(--(($AIE$5:$AIE32=$AIE32)*($AID$5:$AID32&gt;=4)*($AID$5:$AID32&lt;=6)),$AJK$5:$AJK32),IF(AID32=10,SUMPRODUCT(--(($AIE$5:$AIE32=$AIE32)*($AID$5:$AID32&gt;=7)*($AID$5:$AID32&lt;=9)),$AJK$5:$AJK32),0)))))</f>
        <v/>
      </c>
      <c r="AJM32" s="12">
        <f>AJM31+AJK32-AJL32</f>
        <v/>
      </c>
      <c r="AJN32" s="12">
        <f>IF(ProviderDelay&gt;=1,AIU31*BlendedProvPayEss+AIV31*BlendedProvPayPrem+AIW31*BlendedProvPayElite+AIX31*BlendedProvPayEss+AIY31*BlendedProvPayPrem+AIZ31*BlendedProvPayElite,AIU32*BlendedProvPayEss+AIV32*BlendedProvPayPrem+AIW32*BlendedProvPayElite+AIX32*BlendedProvPayEss+AIY32*BlendedProvPayPrem+AIZ32*BlendedProvPayElite)</f>
        <v/>
      </c>
      <c r="AJO32" s="12">
        <f>AJG32*PaymentFee</f>
        <v/>
      </c>
      <c r="AJP32" s="12">
        <f>AJA32*OpsAI</f>
        <v/>
      </c>
      <c r="AJQ32" s="12">
        <f>MonthlyFixed</f>
        <v/>
      </c>
      <c r="AJR32" s="12">
        <f>AIK32*ReferralReward</f>
        <v/>
      </c>
      <c r="AJS32" s="12">
        <f>AII32</f>
        <v/>
      </c>
      <c r="AJT32" s="9">
        <f>AJJ32-AJN32-AJO32-AJP32-AJQ32-AJR32-AJS32</f>
        <v/>
      </c>
      <c r="AJU32" s="9">
        <f>AJU31+AJG32-(AJN32+AJO32+AJP32+AJQ32+AJR32+AJS32+AJL32)</f>
        <v/>
      </c>
      <c r="AJV32" s="12">
        <f>IF(AJA32&gt;0,AJB32/AJA32,0)</f>
        <v/>
      </c>
      <c r="AJW32" s="11">
        <f>IF(AJA31&gt;0,MAX(0,(AJA31+AIL32-AJA32)/AJA31),0)</f>
        <v/>
      </c>
      <c r="AJY32" s="12" t="n">
        <v>28</v>
      </c>
      <c r="AJZ32" s="12">
        <f>MOD(AJY32-1+LaunchMonth-1,12)+1</f>
        <v/>
      </c>
      <c r="AKA32" s="12">
        <f>INT((AJY32-1+LaunchMonth-1)/12)+1</f>
        <v/>
      </c>
      <c r="AKB32" s="12">
        <f>VLOOKUP(AJZ32,SeasonTable,2,FALSE)</f>
        <v/>
      </c>
      <c r="AKC32" s="12">
        <f>(1+InflationRate)^INT((AJY32-1)/12)</f>
        <v/>
      </c>
      <c r="AKD32" s="11">
        <f>MonthlyChurn*VLOOKUP(AJZ32,ChurnSeasonTable,4,FALSE)</f>
        <v/>
      </c>
      <c r="AKE32" s="12">
        <f>MIN(MAX(MktMin19plus,ALC31*MktPct19plus),MAX(0,ALQ31-CashBuffer))</f>
        <v/>
      </c>
      <c r="AKF32" s="12">
        <f>IF(AKE32&gt;0,MAX(1,ROUND(AKE32/'Sens - CAC &amp; Marketing'!$A$10*AKB32,0)),0)</f>
        <v/>
      </c>
      <c r="AKG32" s="12">
        <f>IF(AKF32&gt;0,ROUND(AKF32*ReferralMix/(1-ReferralMix),0),0)</f>
        <v/>
      </c>
      <c r="AKH32" s="12">
        <f>AKF32+AKG32</f>
        <v/>
      </c>
      <c r="AKI32" s="12">
        <f>ROUND(AKH32*(1-AnnualMix),0)</f>
        <v/>
      </c>
      <c r="AKJ32" s="12">
        <f>AKH32-AKI32</f>
        <v/>
      </c>
      <c r="AKK32" s="12">
        <f>ROUND(AKI32*EssentialMix,0)</f>
        <v/>
      </c>
      <c r="AKL32" s="12">
        <f>ROUND(AKI32*PremiumMix,0)</f>
        <v/>
      </c>
      <c r="AKM32" s="12">
        <f>AKI32-AKK32-AKL32</f>
        <v/>
      </c>
      <c r="AKN32" s="12">
        <f>ROUND(AKJ32*EssentialMix,0)</f>
        <v/>
      </c>
      <c r="AKO32" s="12">
        <f>ROUND(AKJ32*PremiumMix,0)</f>
        <v/>
      </c>
      <c r="AKP32" s="12">
        <f>AKJ32-AKN32-AKO32</f>
        <v/>
      </c>
      <c r="AKQ32" s="12">
        <f>AKK32+AKK31+AKK30+MAX(0,AKQ31-AKK31-AKK30)*(1-AKD32)</f>
        <v/>
      </c>
      <c r="AKR32" s="12">
        <f>AKL32+AKL31+AKL30+MAX(0,AKR31-AKL31-AKL30)*(1-AKD32)</f>
        <v/>
      </c>
      <c r="AKS32" s="12">
        <f>AKM32+AKM31+AKM30+MAX(0,AKS31-AKM31-AKM30)*(1-AKD32)</f>
        <v/>
      </c>
      <c r="AKT32" s="12">
        <f>AKT31+AKN32-AKN20*(AnnualChurn*VLOOKUP(AJZ32,ChurnSeasonTable,4,FALSE))*POWER(1-(AnnualChurn*VLOOKUP(AJZ32,ChurnSeasonTable,4,FALSE)),0)+AKN8*(AnnualChurn*VLOOKUP(AJZ32,ChurnSeasonTable,4,FALSE))*POWER(1-(AnnualChurn*VLOOKUP(AJZ32,ChurnSeasonTable,4,FALSE)),1)</f>
        <v/>
      </c>
      <c r="AKU32" s="12">
        <f>AKU31+AKO32-AKO20*(AnnualChurn*VLOOKUP(AJZ32,ChurnSeasonTable,4,FALSE))*POWER(1-(AnnualChurn*VLOOKUP(AJZ32,ChurnSeasonTable,4,FALSE)),0)+AKO8*(AnnualChurn*VLOOKUP(AJZ32,ChurnSeasonTable,4,FALSE))*POWER(1-(AnnualChurn*VLOOKUP(AJZ32,ChurnSeasonTable,4,FALSE)),1)</f>
        <v/>
      </c>
      <c r="AKV32" s="12">
        <f>AKV31+AKP32-AKP20*(AnnualChurn*VLOOKUP(AJZ32,ChurnSeasonTable,4,FALSE))*POWER(1-(AnnualChurn*VLOOKUP(AJZ32,ChurnSeasonTable,4,FALSE)),0)+AKP8*(AnnualChurn*VLOOKUP(AJZ32,ChurnSeasonTable,4,FALSE))*POWER(1-(AnnualChurn*VLOOKUP(AJZ32,ChurnSeasonTable,4,FALSE)),1)</f>
        <v/>
      </c>
      <c r="AKW32" s="12">
        <f>AKQ32+AKR32+AKS32+AKT32+AKU32+AKV32</f>
        <v/>
      </c>
      <c r="AKX32" s="9">
        <f>AKQ32*BlendedPriceEssMonthly*AKC32+AKR32*BlendedPricePremMonthly*AKC32+AKS32*BlendedPriceEliteMonthly*AKC32+AKT32*BlendedPriceEssAnnual*AKC32/12+AKU32*BlendedPricePremAnnual*AKC32/12+AKV32*BlendedPriceEliteAnnual*AKC32/12</f>
        <v/>
      </c>
      <c r="AKY32" s="9">
        <f>AKX32*12</f>
        <v/>
      </c>
      <c r="AKZ32" s="12">
        <f>AKQ32*BlendedPriceEssMonthly*AKC32+AKR32*BlendedPricePremMonthly*AKC32+AKS32*BlendedPriceEliteMonthly*AKC32</f>
        <v/>
      </c>
      <c r="ALA32" s="12">
        <f>AKN32*BlendedPriceEssAnnual*AKC32+AKO32*BlendedPricePremAnnual*AKC32+AKP32*BlendedPriceEliteAnnual*AKC32</f>
        <v/>
      </c>
      <c r="ALB32" s="12">
        <f>AKN20*POWER(1-(AnnualChurn*VLOOKUP(AJZ32,ChurnSeasonTable,4,FALSE)),1)*BlendedPriceEssAnnual*AKC32+AKN8*POWER(1-(AnnualChurn*VLOOKUP(AJZ32,ChurnSeasonTable,4,FALSE)),2)*BlendedPriceEssAnnual*AKC32+AKO20*POWER(1-(AnnualChurn*VLOOKUP(AJZ32,ChurnSeasonTable,4,FALSE)),1)*BlendedPricePremAnnual*AKC32+AKO8*POWER(1-(AnnualChurn*VLOOKUP(AJZ32,ChurnSeasonTable,4,FALSE)),2)*BlendedPricePremAnnual*AKC32+AKP20*POWER(1-(AnnualChurn*VLOOKUP(AJZ32,ChurnSeasonTable,4,FALSE)),1)*BlendedPriceEliteAnnual*AKC32+AKP8*POWER(1-(AnnualChurn*VLOOKUP(AJZ32,ChurnSeasonTable,4,FALSE)),2)*BlendedPriceEliteAnnual*AKC32</f>
        <v/>
      </c>
      <c r="ALC32" s="9">
        <f>AKZ32+ALA32+ALB32</f>
        <v/>
      </c>
      <c r="ALD32" s="12">
        <f>SUM(ALC21:ALC32)</f>
        <v/>
      </c>
      <c r="ALE32" s="12">
        <f>OR(ALE31,IF(VATAgentMode,SUM($ALC21:$ALC32)-SUM($ALJ21:$ALJ32)&gt;=VATThreshold,SUM($ALC21:$ALC32)&gt;=VATThreshold))</f>
        <v/>
      </c>
      <c r="ALF32" s="9">
        <f>IF(ALE32,IF(VATAgentMode,ALC32-((ALC32-ALJ32)-(ALC32-ALJ32)/(1+VATRate)),ALC32/(1+VATRate)),ALC32)</f>
        <v/>
      </c>
      <c r="ALG32" s="12">
        <f>ALC32-ALF32</f>
        <v/>
      </c>
      <c r="ALH32" s="12">
        <f>IF(ALE32=0,0,IF(AJZ32=1,SUMPRODUCT(--(($AKA$5:$AKA32=$AKA32-1)*($AJZ$5:$AJZ32&gt;=10)*($AJZ$5:$AJZ32&lt;=12)),$ALG$5:$ALG32),IF(AJZ32=4,SUMPRODUCT(--(($AKA$5:$AKA32=$AKA32)*($AJZ$5:$AJZ32&gt;=1)*($AJZ$5:$AJZ32&lt;=3)),$ALG$5:$ALG32),IF(AJZ32=7,SUMPRODUCT(--(($AKA$5:$AKA32=$AKA32)*($AJZ$5:$AJZ32&gt;=4)*($AJZ$5:$AJZ32&lt;=6)),$ALG$5:$ALG32),IF(AJZ32=10,SUMPRODUCT(--(($AKA$5:$AKA32=$AKA32)*($AJZ$5:$AJZ32&gt;=7)*($AJZ$5:$AJZ32&lt;=9)),$ALG$5:$ALG32),0)))))</f>
        <v/>
      </c>
      <c r="ALI32" s="12">
        <f>ALI31+ALG32-ALH32</f>
        <v/>
      </c>
      <c r="ALJ32" s="12">
        <f>IF(ProviderDelay&gt;=1,AKQ31*BlendedProvPayEss+AKR31*BlendedProvPayPrem+AKS31*BlendedProvPayElite+AKT31*BlendedProvPayEss+AKU31*BlendedProvPayPrem+AKV31*BlendedProvPayElite,AKQ32*BlendedProvPayEss+AKR32*BlendedProvPayPrem+AKS32*BlendedProvPayElite+AKT32*BlendedProvPayEss+AKU32*BlendedProvPayPrem+AKV32*BlendedProvPayElite)</f>
        <v/>
      </c>
      <c r="ALK32" s="12">
        <f>ALC32*PaymentFee</f>
        <v/>
      </c>
      <c r="ALL32" s="12">
        <f>AKW32*OpsAI</f>
        <v/>
      </c>
      <c r="ALM32" s="12">
        <f>MonthlyFixed</f>
        <v/>
      </c>
      <c r="ALN32" s="12">
        <f>AKG32*ReferralReward</f>
        <v/>
      </c>
      <c r="ALO32" s="12">
        <f>AKE32</f>
        <v/>
      </c>
      <c r="ALP32" s="9">
        <f>ALF32-ALJ32-ALK32-ALL32-ALM32-ALN32-ALO32</f>
        <v/>
      </c>
      <c r="ALQ32" s="9">
        <f>ALQ31+ALC32-(ALJ32+ALK32+ALL32+ALM32+ALN32+ALO32+ALH32)</f>
        <v/>
      </c>
      <c r="ALR32" s="12">
        <f>IF(AKW32&gt;0,AKX32/AKW32,0)</f>
        <v/>
      </c>
      <c r="ALS32" s="11">
        <f>IF(AKW31&gt;0,MAX(0,(AKW31+AKH32-AKW32)/AKW31),0)</f>
        <v/>
      </c>
      <c r="ALU32" s="12" t="n">
        <v>28</v>
      </c>
      <c r="ALV32" s="12">
        <f>MOD(ALU32-1+LaunchMonth-1,12)+1</f>
        <v/>
      </c>
      <c r="ALW32" s="12">
        <f>INT((ALU32-1+LaunchMonth-1)/12)+1</f>
        <v/>
      </c>
      <c r="ALX32" s="12">
        <f>VLOOKUP(ALV32,SeasonTable,2,FALSE)</f>
        <v/>
      </c>
      <c r="ALY32" s="12">
        <f>(1+InflationRate)^INT((ALU32-1)/12)</f>
        <v/>
      </c>
      <c r="ALZ32" s="11">
        <f>MonthlyChurn*VLOOKUP(ALV32,ChurnSeasonTable,4,FALSE)</f>
        <v/>
      </c>
      <c r="AMA32" s="12">
        <f>MIN(MAX(MktMin19plus,AMY31*MktPct19plus),MAX(0,ANM31-CashBuffer))</f>
        <v/>
      </c>
      <c r="AMB32" s="12">
        <f>IF(AMA32&gt;0,MAX(1,ROUND(AMA32/'Sens - CAC &amp; Marketing'!$A$11*ALX32,0)),0)</f>
        <v/>
      </c>
      <c r="AMC32" s="12">
        <f>IF(AMB32&gt;0,ROUND(AMB32*ReferralMix/(1-ReferralMix),0),0)</f>
        <v/>
      </c>
      <c r="AMD32" s="12">
        <f>AMB32+AMC32</f>
        <v/>
      </c>
      <c r="AME32" s="12">
        <f>ROUND(AMD32*(1-AnnualMix),0)</f>
        <v/>
      </c>
      <c r="AMF32" s="12">
        <f>AMD32-AME32</f>
        <v/>
      </c>
      <c r="AMG32" s="12">
        <f>ROUND(AME32*EssentialMix,0)</f>
        <v/>
      </c>
      <c r="AMH32" s="12">
        <f>ROUND(AME32*PremiumMix,0)</f>
        <v/>
      </c>
      <c r="AMI32" s="12">
        <f>AME32-AMG32-AMH32</f>
        <v/>
      </c>
      <c r="AMJ32" s="12">
        <f>ROUND(AMF32*EssentialMix,0)</f>
        <v/>
      </c>
      <c r="AMK32" s="12">
        <f>ROUND(AMF32*PremiumMix,0)</f>
        <v/>
      </c>
      <c r="AML32" s="12">
        <f>AMF32-AMJ32-AMK32</f>
        <v/>
      </c>
      <c r="AMM32" s="12">
        <f>AMG32+AMG31+AMG30+MAX(0,AMM31-AMG31-AMG30)*(1-ALZ32)</f>
        <v/>
      </c>
      <c r="AMN32" s="12">
        <f>AMH32+AMH31+AMH30+MAX(0,AMN31-AMH31-AMH30)*(1-ALZ32)</f>
        <v/>
      </c>
      <c r="AMO32" s="12">
        <f>AMI32+AMI31+AMI30+MAX(0,AMO31-AMI31-AMI30)*(1-ALZ32)</f>
        <v/>
      </c>
      <c r="AMP32" s="12">
        <f>AMP31+AMJ32-AMJ20*(AnnualChurn*VLOOKUP(ALV32,ChurnSeasonTable,4,FALSE))*POWER(1-(AnnualChurn*VLOOKUP(ALV32,ChurnSeasonTable,4,FALSE)),0)+AMJ8*(AnnualChurn*VLOOKUP(ALV32,ChurnSeasonTable,4,FALSE))*POWER(1-(AnnualChurn*VLOOKUP(ALV32,ChurnSeasonTable,4,FALSE)),1)</f>
        <v/>
      </c>
      <c r="AMQ32" s="12">
        <f>AMQ31+AMK32-AMK20*(AnnualChurn*VLOOKUP(ALV32,ChurnSeasonTable,4,FALSE))*POWER(1-(AnnualChurn*VLOOKUP(ALV32,ChurnSeasonTable,4,FALSE)),0)+AMK8*(AnnualChurn*VLOOKUP(ALV32,ChurnSeasonTable,4,FALSE))*POWER(1-(AnnualChurn*VLOOKUP(ALV32,ChurnSeasonTable,4,FALSE)),1)</f>
        <v/>
      </c>
      <c r="AMR32" s="12">
        <f>AMR31+AML32-AML20*(AnnualChurn*VLOOKUP(ALV32,ChurnSeasonTable,4,FALSE))*POWER(1-(AnnualChurn*VLOOKUP(ALV32,ChurnSeasonTable,4,FALSE)),0)+AML8*(AnnualChurn*VLOOKUP(ALV32,ChurnSeasonTable,4,FALSE))*POWER(1-(AnnualChurn*VLOOKUP(ALV32,ChurnSeasonTable,4,FALSE)),1)</f>
        <v/>
      </c>
      <c r="AMS32" s="12">
        <f>AMM32+AMN32+AMO32+AMP32+AMQ32+AMR32</f>
        <v/>
      </c>
      <c r="AMT32" s="9">
        <f>AMM32*BlendedPriceEssMonthly*ALY32+AMN32*BlendedPricePremMonthly*ALY32+AMO32*BlendedPriceEliteMonthly*ALY32+AMP32*BlendedPriceEssAnnual*ALY32/12+AMQ32*BlendedPricePremAnnual*ALY32/12+AMR32*BlendedPriceEliteAnnual*ALY32/12</f>
        <v/>
      </c>
      <c r="AMU32" s="9">
        <f>AMT32*12</f>
        <v/>
      </c>
      <c r="AMV32" s="12">
        <f>AMM32*BlendedPriceEssMonthly*ALY32+AMN32*BlendedPricePremMonthly*ALY32+AMO32*BlendedPriceEliteMonthly*ALY32</f>
        <v/>
      </c>
      <c r="AMW32" s="12">
        <f>AMJ32*BlendedPriceEssAnnual*ALY32+AMK32*BlendedPricePremAnnual*ALY32+AML32*BlendedPriceEliteAnnual*ALY32</f>
        <v/>
      </c>
      <c r="AMX32" s="12">
        <f>AMJ20*POWER(1-(AnnualChurn*VLOOKUP(ALV32,ChurnSeasonTable,4,FALSE)),1)*BlendedPriceEssAnnual*ALY32+AMJ8*POWER(1-(AnnualChurn*VLOOKUP(ALV32,ChurnSeasonTable,4,FALSE)),2)*BlendedPriceEssAnnual*ALY32+AMK20*POWER(1-(AnnualChurn*VLOOKUP(ALV32,ChurnSeasonTable,4,FALSE)),1)*BlendedPricePremAnnual*ALY32+AMK8*POWER(1-(AnnualChurn*VLOOKUP(ALV32,ChurnSeasonTable,4,FALSE)),2)*BlendedPricePremAnnual*ALY32+AML20*POWER(1-(AnnualChurn*VLOOKUP(ALV32,ChurnSeasonTable,4,FALSE)),1)*BlendedPriceEliteAnnual*ALY32+AML8*POWER(1-(AnnualChurn*VLOOKUP(ALV32,ChurnSeasonTable,4,FALSE)),2)*BlendedPriceEliteAnnual*ALY32</f>
        <v/>
      </c>
      <c r="AMY32" s="9">
        <f>AMV32+AMW32+AMX32</f>
        <v/>
      </c>
      <c r="AMZ32" s="12">
        <f>SUM(AMY21:AMY32)</f>
        <v/>
      </c>
      <c r="ANA32" s="12">
        <f>OR(ANA31,IF(VATAgentMode,SUM($AMY21:$AMY32)-SUM($ANF21:$ANF32)&gt;=VATThreshold,SUM($AMY21:$AMY32)&gt;=VATThreshold))</f>
        <v/>
      </c>
      <c r="ANB32" s="9">
        <f>IF(ANA32,IF(VATAgentMode,AMY32-((AMY32-ANF32)-(AMY32-ANF32)/(1+VATRate)),AMY32/(1+VATRate)),AMY32)</f>
        <v/>
      </c>
      <c r="ANC32" s="12">
        <f>AMY32-ANB32</f>
        <v/>
      </c>
      <c r="AND32" s="12">
        <f>IF(ANA32=0,0,IF(ALV32=1,SUMPRODUCT(--(($ALW$5:$ALW32=$ALW32-1)*($ALV$5:$ALV32&gt;=10)*($ALV$5:$ALV32&lt;=12)),$ANC$5:$ANC32),IF(ALV32=4,SUMPRODUCT(--(($ALW$5:$ALW32=$ALW32)*($ALV$5:$ALV32&gt;=1)*($ALV$5:$ALV32&lt;=3)),$ANC$5:$ANC32),IF(ALV32=7,SUMPRODUCT(--(($ALW$5:$ALW32=$ALW32)*($ALV$5:$ALV32&gt;=4)*($ALV$5:$ALV32&lt;=6)),$ANC$5:$ANC32),IF(ALV32=10,SUMPRODUCT(--(($ALW$5:$ALW32=$ALW32)*($ALV$5:$ALV32&gt;=7)*($ALV$5:$ALV32&lt;=9)),$ANC$5:$ANC32),0)))))</f>
        <v/>
      </c>
      <c r="ANE32" s="12">
        <f>ANE31+ANC32-AND32</f>
        <v/>
      </c>
      <c r="ANF32" s="12">
        <f>IF(ProviderDelay&gt;=1,AMM31*BlendedProvPayEss+AMN31*BlendedProvPayPrem+AMO31*BlendedProvPayElite+AMP31*BlendedProvPayEss+AMQ31*BlendedProvPayPrem+AMR31*BlendedProvPayElite,AMM32*BlendedProvPayEss+AMN32*BlendedProvPayPrem+AMO32*BlendedProvPayElite+AMP32*BlendedProvPayEss+AMQ32*BlendedProvPayPrem+AMR32*BlendedProvPayElite)</f>
        <v/>
      </c>
      <c r="ANG32" s="12">
        <f>AMY32*PaymentFee</f>
        <v/>
      </c>
      <c r="ANH32" s="12">
        <f>AMS32*OpsAI</f>
        <v/>
      </c>
      <c r="ANI32" s="12">
        <f>MonthlyFixed</f>
        <v/>
      </c>
      <c r="ANJ32" s="12">
        <f>AMC32*ReferralReward</f>
        <v/>
      </c>
      <c r="ANK32" s="12">
        <f>AMA32</f>
        <v/>
      </c>
      <c r="ANL32" s="9">
        <f>ANB32-ANF32-ANG32-ANH32-ANI32-ANJ32-ANK32</f>
        <v/>
      </c>
      <c r="ANM32" s="9">
        <f>ANM31+AMY32-(ANF32+ANG32+ANH32+ANI32+ANJ32+ANK32+AND32)</f>
        <v/>
      </c>
      <c r="ANN32" s="12">
        <f>IF(AMS32&gt;0,AMT32/AMS32,0)</f>
        <v/>
      </c>
      <c r="ANO32" s="11">
        <f>IF(AMS31&gt;0,MAX(0,(AMS31+AMD32-AMS32)/AMS31),0)</f>
        <v/>
      </c>
      <c r="ANQ32" s="12" t="n">
        <v>28</v>
      </c>
      <c r="ANR32" s="12">
        <f>MOD(ANQ32-1+LaunchMonth-1,12)+1</f>
        <v/>
      </c>
      <c r="ANS32" s="12">
        <f>INT((ANQ32-1+LaunchMonth-1)/12)+1</f>
        <v/>
      </c>
      <c r="ANT32" s="12">
        <f>VLOOKUP(ANR32,SeasonTable,2,FALSE)</f>
        <v/>
      </c>
      <c r="ANU32" s="12">
        <f>(1+InflationRate)^INT((ANQ32-1)/12)</f>
        <v/>
      </c>
      <c r="ANV32" s="11">
        <f>MonthlyChurn*VLOOKUP(ANR32,ChurnSeasonTable,4,FALSE)</f>
        <v/>
      </c>
      <c r="ANW32" s="12">
        <f>MIN(MAX(MktMin19plus,AOU31*MktPct19plus),MAX(0,API31-CashBuffer))</f>
        <v/>
      </c>
      <c r="ANX32" s="12">
        <f>IF(ANW32&gt;0,MAX(1,ROUND(ANW32/'Sens - CAC &amp; Marketing'!$A$12*ANT32,0)),0)</f>
        <v/>
      </c>
      <c r="ANY32" s="12">
        <f>IF(ANX32&gt;0,ROUND(ANX32*ReferralMix/(1-ReferralMix),0),0)</f>
        <v/>
      </c>
      <c r="ANZ32" s="12">
        <f>ANX32+ANY32</f>
        <v/>
      </c>
      <c r="AOA32" s="12">
        <f>ROUND(ANZ32*(1-AnnualMix),0)</f>
        <v/>
      </c>
      <c r="AOB32" s="12">
        <f>ANZ32-AOA32</f>
        <v/>
      </c>
      <c r="AOC32" s="12">
        <f>ROUND(AOA32*EssentialMix,0)</f>
        <v/>
      </c>
      <c r="AOD32" s="12">
        <f>ROUND(AOA32*PremiumMix,0)</f>
        <v/>
      </c>
      <c r="AOE32" s="12">
        <f>AOA32-AOC32-AOD32</f>
        <v/>
      </c>
      <c r="AOF32" s="12">
        <f>ROUND(AOB32*EssentialMix,0)</f>
        <v/>
      </c>
      <c r="AOG32" s="12">
        <f>ROUND(AOB32*PremiumMix,0)</f>
        <v/>
      </c>
      <c r="AOH32" s="12">
        <f>AOB32-AOF32-AOG32</f>
        <v/>
      </c>
      <c r="AOI32" s="12">
        <f>AOC32+AOC31+AOC30+MAX(0,AOI31-AOC31-AOC30)*(1-ANV32)</f>
        <v/>
      </c>
      <c r="AOJ32" s="12">
        <f>AOD32+AOD31+AOD30+MAX(0,AOJ31-AOD31-AOD30)*(1-ANV32)</f>
        <v/>
      </c>
      <c r="AOK32" s="12">
        <f>AOE32+AOE31+AOE30+MAX(0,AOK31-AOE31-AOE30)*(1-ANV32)</f>
        <v/>
      </c>
      <c r="AOL32" s="12">
        <f>AOL31+AOF32-AOF20*(AnnualChurn*VLOOKUP(ANR32,ChurnSeasonTable,4,FALSE))*POWER(1-(AnnualChurn*VLOOKUP(ANR32,ChurnSeasonTable,4,FALSE)),0)+AOF8*(AnnualChurn*VLOOKUP(ANR32,ChurnSeasonTable,4,FALSE))*POWER(1-(AnnualChurn*VLOOKUP(ANR32,ChurnSeasonTable,4,FALSE)),1)</f>
        <v/>
      </c>
      <c r="AOM32" s="12">
        <f>AOM31+AOG32-AOG20*(AnnualChurn*VLOOKUP(ANR32,ChurnSeasonTable,4,FALSE))*POWER(1-(AnnualChurn*VLOOKUP(ANR32,ChurnSeasonTable,4,FALSE)),0)+AOG8*(AnnualChurn*VLOOKUP(ANR32,ChurnSeasonTable,4,FALSE))*POWER(1-(AnnualChurn*VLOOKUP(ANR32,ChurnSeasonTable,4,FALSE)),1)</f>
        <v/>
      </c>
      <c r="AON32" s="12">
        <f>AON31+AOH32-AOH20*(AnnualChurn*VLOOKUP(ANR32,ChurnSeasonTable,4,FALSE))*POWER(1-(AnnualChurn*VLOOKUP(ANR32,ChurnSeasonTable,4,FALSE)),0)+AOH8*(AnnualChurn*VLOOKUP(ANR32,ChurnSeasonTable,4,FALSE))*POWER(1-(AnnualChurn*VLOOKUP(ANR32,ChurnSeasonTable,4,FALSE)),1)</f>
        <v/>
      </c>
      <c r="AOO32" s="12">
        <f>AOI32+AOJ32+AOK32+AOL32+AOM32+AON32</f>
        <v/>
      </c>
      <c r="AOP32" s="9">
        <f>AOI32*BlendedPriceEssMonthly*ANU32+AOJ32*BlendedPricePremMonthly*ANU32+AOK32*BlendedPriceEliteMonthly*ANU32+AOL32*BlendedPriceEssAnnual*ANU32/12+AOM32*BlendedPricePremAnnual*ANU32/12+AON32*BlendedPriceEliteAnnual*ANU32/12</f>
        <v/>
      </c>
      <c r="AOQ32" s="9">
        <f>AOP32*12</f>
        <v/>
      </c>
      <c r="AOR32" s="12">
        <f>AOI32*BlendedPriceEssMonthly*ANU32+AOJ32*BlendedPricePremMonthly*ANU32+AOK32*BlendedPriceEliteMonthly*ANU32</f>
        <v/>
      </c>
      <c r="AOS32" s="12">
        <f>AOF32*BlendedPriceEssAnnual*ANU32+AOG32*BlendedPricePremAnnual*ANU32+AOH32*BlendedPriceEliteAnnual*ANU32</f>
        <v/>
      </c>
      <c r="AOT32" s="12">
        <f>AOF20*POWER(1-(AnnualChurn*VLOOKUP(ANR32,ChurnSeasonTable,4,FALSE)),1)*BlendedPriceEssAnnual*ANU32+AOF8*POWER(1-(AnnualChurn*VLOOKUP(ANR32,ChurnSeasonTable,4,FALSE)),2)*BlendedPriceEssAnnual*ANU32+AOG20*POWER(1-(AnnualChurn*VLOOKUP(ANR32,ChurnSeasonTable,4,FALSE)),1)*BlendedPricePremAnnual*ANU32+AOG8*POWER(1-(AnnualChurn*VLOOKUP(ANR32,ChurnSeasonTable,4,FALSE)),2)*BlendedPricePremAnnual*ANU32+AOH20*POWER(1-(AnnualChurn*VLOOKUP(ANR32,ChurnSeasonTable,4,FALSE)),1)*BlendedPriceEliteAnnual*ANU32+AOH8*POWER(1-(AnnualChurn*VLOOKUP(ANR32,ChurnSeasonTable,4,FALSE)),2)*BlendedPriceEliteAnnual*ANU32</f>
        <v/>
      </c>
      <c r="AOU32" s="9">
        <f>AOR32+AOS32+AOT32</f>
        <v/>
      </c>
      <c r="AOV32" s="12">
        <f>SUM(AOU21:AOU32)</f>
        <v/>
      </c>
      <c r="AOW32" s="12">
        <f>OR(AOW31,IF(VATAgentMode,SUM($AOU21:$AOU32)-SUM($APB21:$APB32)&gt;=VATThreshold,SUM($AOU21:$AOU32)&gt;=VATThreshold))</f>
        <v/>
      </c>
      <c r="AOX32" s="9">
        <f>IF(AOW32,IF(VATAgentMode,AOU32-((AOU32-APB32)-(AOU32-APB32)/(1+VATRate)),AOU32/(1+VATRate)),AOU32)</f>
        <v/>
      </c>
      <c r="AOY32" s="12">
        <f>AOU32-AOX32</f>
        <v/>
      </c>
      <c r="AOZ32" s="12">
        <f>IF(AOW32=0,0,IF(ANR32=1,SUMPRODUCT(--(($ANS$5:$ANS32=$ANS32-1)*($ANR$5:$ANR32&gt;=10)*($ANR$5:$ANR32&lt;=12)),$AOY$5:$AOY32),IF(ANR32=4,SUMPRODUCT(--(($ANS$5:$ANS32=$ANS32)*($ANR$5:$ANR32&gt;=1)*($ANR$5:$ANR32&lt;=3)),$AOY$5:$AOY32),IF(ANR32=7,SUMPRODUCT(--(($ANS$5:$ANS32=$ANS32)*($ANR$5:$ANR32&gt;=4)*($ANR$5:$ANR32&lt;=6)),$AOY$5:$AOY32),IF(ANR32=10,SUMPRODUCT(--(($ANS$5:$ANS32=$ANS32)*($ANR$5:$ANR32&gt;=7)*($ANR$5:$ANR32&lt;=9)),$AOY$5:$AOY32),0)))))</f>
        <v/>
      </c>
      <c r="APA32" s="12">
        <f>APA31+AOY32-AOZ32</f>
        <v/>
      </c>
      <c r="APB32" s="12">
        <f>IF(ProviderDelay&gt;=1,AOI31*BlendedProvPayEss+AOJ31*BlendedProvPayPrem+AOK31*BlendedProvPayElite+AOL31*BlendedProvPayEss+AOM31*BlendedProvPayPrem+AON31*BlendedProvPayElite,AOI32*BlendedProvPayEss+AOJ32*BlendedProvPayPrem+AOK32*BlendedProvPayElite+AOL32*BlendedProvPayEss+AOM32*BlendedProvPayPrem+AON32*BlendedProvPayElite)</f>
        <v/>
      </c>
      <c r="APC32" s="12">
        <f>AOU32*PaymentFee</f>
        <v/>
      </c>
      <c r="APD32" s="12">
        <f>AOO32*OpsAI</f>
        <v/>
      </c>
      <c r="APE32" s="12">
        <f>MonthlyFixed</f>
        <v/>
      </c>
      <c r="APF32" s="12">
        <f>ANY32*ReferralReward</f>
        <v/>
      </c>
      <c r="APG32" s="12">
        <f>ANW32</f>
        <v/>
      </c>
      <c r="APH32" s="9">
        <f>AOX32-APB32-APC32-APD32-APE32-APF32-APG32</f>
        <v/>
      </c>
      <c r="API32" s="9">
        <f>API31+AOU32-(APB32+APC32+APD32+APE32+APF32+APG32+AOZ32)</f>
        <v/>
      </c>
      <c r="APJ32" s="12">
        <f>IF(AOO32&gt;0,AOP32/AOO32,0)</f>
        <v/>
      </c>
      <c r="APK32" s="11">
        <f>IF(AOO31&gt;0,MAX(0,(AOO31+ANZ32-AOO32)/AOO31),0)</f>
        <v/>
      </c>
      <c r="APM32" s="12" t="n">
        <v>28</v>
      </c>
      <c r="APN32" s="12">
        <f>MOD(APM32-1+LaunchMonth-1,12)+1</f>
        <v/>
      </c>
      <c r="APO32" s="12">
        <f>INT((APM32-1+LaunchMonth-1)/12)+1</f>
        <v/>
      </c>
      <c r="APP32" s="12">
        <f>VLOOKUP(APN32,SeasonTable,2,FALSE)</f>
        <v/>
      </c>
      <c r="APQ32" s="12">
        <f>(1+InflationRate)^INT((APM32-1)/12)</f>
        <v/>
      </c>
      <c r="APR32" s="11">
        <f>MonthlyChurn*VLOOKUP(APN32,ChurnSeasonTable,4,FALSE)</f>
        <v/>
      </c>
      <c r="APS32" s="12">
        <f>MIN(MAX(MktMin19plus,AQQ31*MktPct19plus),MAX(0,ARE31-CashBuffer))</f>
        <v/>
      </c>
      <c r="APT32" s="12">
        <f>IF(APS32&gt;0,MAX(1,ROUND(APS32/'Sens - CAC &amp; Marketing'!$A$13*APP32,0)),0)</f>
        <v/>
      </c>
      <c r="APU32" s="12">
        <f>IF(APT32&gt;0,ROUND(APT32*ReferralMix/(1-ReferralMix),0),0)</f>
        <v/>
      </c>
      <c r="APV32" s="12">
        <f>APT32+APU32</f>
        <v/>
      </c>
      <c r="APW32" s="12">
        <f>ROUND(APV32*(1-AnnualMix),0)</f>
        <v/>
      </c>
      <c r="APX32" s="12">
        <f>APV32-APW32</f>
        <v/>
      </c>
      <c r="APY32" s="12">
        <f>ROUND(APW32*EssentialMix,0)</f>
        <v/>
      </c>
      <c r="APZ32" s="12">
        <f>ROUND(APW32*PremiumMix,0)</f>
        <v/>
      </c>
      <c r="AQA32" s="12">
        <f>APW32-APY32-APZ32</f>
        <v/>
      </c>
      <c r="AQB32" s="12">
        <f>ROUND(APX32*EssentialMix,0)</f>
        <v/>
      </c>
      <c r="AQC32" s="12">
        <f>ROUND(APX32*PremiumMix,0)</f>
        <v/>
      </c>
      <c r="AQD32" s="12">
        <f>APX32-AQB32-AQC32</f>
        <v/>
      </c>
      <c r="AQE32" s="12">
        <f>APY32+APY31+APY30+MAX(0,AQE31-APY31-APY30)*(1-APR32)</f>
        <v/>
      </c>
      <c r="AQF32" s="12">
        <f>APZ32+APZ31+APZ30+MAX(0,AQF31-APZ31-APZ30)*(1-APR32)</f>
        <v/>
      </c>
      <c r="AQG32" s="12">
        <f>AQA32+AQA31+AQA30+MAX(0,AQG31-AQA31-AQA30)*(1-APR32)</f>
        <v/>
      </c>
      <c r="AQH32" s="12">
        <f>AQH31+AQB32-AQB20*(AnnualChurn*VLOOKUP(APN32,ChurnSeasonTable,4,FALSE))*POWER(1-(AnnualChurn*VLOOKUP(APN32,ChurnSeasonTable,4,FALSE)),0)+AQB8*(AnnualChurn*VLOOKUP(APN32,ChurnSeasonTable,4,FALSE))*POWER(1-(AnnualChurn*VLOOKUP(APN32,ChurnSeasonTable,4,FALSE)),1)</f>
        <v/>
      </c>
      <c r="AQI32" s="12">
        <f>AQI31+AQC32-AQC20*(AnnualChurn*VLOOKUP(APN32,ChurnSeasonTable,4,FALSE))*POWER(1-(AnnualChurn*VLOOKUP(APN32,ChurnSeasonTable,4,FALSE)),0)+AQC8*(AnnualChurn*VLOOKUP(APN32,ChurnSeasonTable,4,FALSE))*POWER(1-(AnnualChurn*VLOOKUP(APN32,ChurnSeasonTable,4,FALSE)),1)</f>
        <v/>
      </c>
      <c r="AQJ32" s="12">
        <f>AQJ31+AQD32-AQD20*(AnnualChurn*VLOOKUP(APN32,ChurnSeasonTable,4,FALSE))*POWER(1-(AnnualChurn*VLOOKUP(APN32,ChurnSeasonTable,4,FALSE)),0)+AQD8*(AnnualChurn*VLOOKUP(APN32,ChurnSeasonTable,4,FALSE))*POWER(1-(AnnualChurn*VLOOKUP(APN32,ChurnSeasonTable,4,FALSE)),1)</f>
        <v/>
      </c>
      <c r="AQK32" s="12">
        <f>AQE32+AQF32+AQG32+AQH32+AQI32+AQJ32</f>
        <v/>
      </c>
      <c r="AQL32" s="9">
        <f>AQE32*BlendedPriceEssMonthly*APQ32+AQF32*BlendedPricePremMonthly*APQ32+AQG32*BlendedPriceEliteMonthly*APQ32+AQH32*BlendedPriceEssAnnual*APQ32/12+AQI32*BlendedPricePremAnnual*APQ32/12+AQJ32*BlendedPriceEliteAnnual*APQ32/12</f>
        <v/>
      </c>
      <c r="AQM32" s="9">
        <f>AQL32*12</f>
        <v/>
      </c>
      <c r="AQN32" s="12">
        <f>AQE32*BlendedPriceEssMonthly*APQ32+AQF32*BlendedPricePremMonthly*APQ32+AQG32*BlendedPriceEliteMonthly*APQ32</f>
        <v/>
      </c>
      <c r="AQO32" s="12">
        <f>AQB32*BlendedPriceEssAnnual*APQ32+AQC32*BlendedPricePremAnnual*APQ32+AQD32*BlendedPriceEliteAnnual*APQ32</f>
        <v/>
      </c>
      <c r="AQP32" s="12">
        <f>AQB20*POWER(1-(AnnualChurn*VLOOKUP(APN32,ChurnSeasonTable,4,FALSE)),1)*BlendedPriceEssAnnual*APQ32+AQB8*POWER(1-(AnnualChurn*VLOOKUP(APN32,ChurnSeasonTable,4,FALSE)),2)*BlendedPriceEssAnnual*APQ32+AQC20*POWER(1-(AnnualChurn*VLOOKUP(APN32,ChurnSeasonTable,4,FALSE)),1)*BlendedPricePremAnnual*APQ32+AQC8*POWER(1-(AnnualChurn*VLOOKUP(APN32,ChurnSeasonTable,4,FALSE)),2)*BlendedPricePremAnnual*APQ32+AQD20*POWER(1-(AnnualChurn*VLOOKUP(APN32,ChurnSeasonTable,4,FALSE)),1)*BlendedPriceEliteAnnual*APQ32+AQD8*POWER(1-(AnnualChurn*VLOOKUP(APN32,ChurnSeasonTable,4,FALSE)),2)*BlendedPriceEliteAnnual*APQ32</f>
        <v/>
      </c>
      <c r="AQQ32" s="9">
        <f>AQN32+AQO32+AQP32</f>
        <v/>
      </c>
      <c r="AQR32" s="12">
        <f>SUM(AQQ21:AQQ32)</f>
        <v/>
      </c>
      <c r="AQS32" s="12">
        <f>OR(AQS31,IF(VATAgentMode,SUM($AQQ21:$AQQ32)-SUM($AQX21:$AQX32)&gt;=VATThreshold,SUM($AQQ21:$AQQ32)&gt;=VATThreshold))</f>
        <v/>
      </c>
      <c r="AQT32" s="9">
        <f>IF(AQS32,IF(VATAgentMode,AQQ32-((AQQ32-AQX32)-(AQQ32-AQX32)/(1+VATRate)),AQQ32/(1+VATRate)),AQQ32)</f>
        <v/>
      </c>
      <c r="AQU32" s="12">
        <f>AQQ32-AQT32</f>
        <v/>
      </c>
      <c r="AQV32" s="12">
        <f>IF(AQS32=0,0,IF(APN32=1,SUMPRODUCT(--(($APO$5:$APO32=$APO32-1)*($APN$5:$APN32&gt;=10)*($APN$5:$APN32&lt;=12)),$AQU$5:$AQU32),IF(APN32=4,SUMPRODUCT(--(($APO$5:$APO32=$APO32)*($APN$5:$APN32&gt;=1)*($APN$5:$APN32&lt;=3)),$AQU$5:$AQU32),IF(APN32=7,SUMPRODUCT(--(($APO$5:$APO32=$APO32)*($APN$5:$APN32&gt;=4)*($APN$5:$APN32&lt;=6)),$AQU$5:$AQU32),IF(APN32=10,SUMPRODUCT(--(($APO$5:$APO32=$APO32)*($APN$5:$APN32&gt;=7)*($APN$5:$APN32&lt;=9)),$AQU$5:$AQU32),0)))))</f>
        <v/>
      </c>
      <c r="AQW32" s="12">
        <f>AQW31+AQU32-AQV32</f>
        <v/>
      </c>
      <c r="AQX32" s="12">
        <f>IF(ProviderDelay&gt;=1,AQE31*BlendedProvPayEss+AQF31*BlendedProvPayPrem+AQG31*BlendedProvPayElite+AQH31*BlendedProvPayEss+AQI31*BlendedProvPayPrem+AQJ31*BlendedProvPayElite,AQE32*BlendedProvPayEss+AQF32*BlendedProvPayPrem+AQG32*BlendedProvPayElite+AQH32*BlendedProvPayEss+AQI32*BlendedProvPayPrem+AQJ32*BlendedProvPayElite)</f>
        <v/>
      </c>
      <c r="AQY32" s="12">
        <f>AQQ32*PaymentFee</f>
        <v/>
      </c>
      <c r="AQZ32" s="12">
        <f>AQK32*OpsAI</f>
        <v/>
      </c>
      <c r="ARA32" s="12">
        <f>MonthlyFixed</f>
        <v/>
      </c>
      <c r="ARB32" s="12">
        <f>APU32*ReferralReward</f>
        <v/>
      </c>
      <c r="ARC32" s="12">
        <f>APS32</f>
        <v/>
      </c>
      <c r="ARD32" s="9">
        <f>AQT32-AQX32-AQY32-AQZ32-ARA32-ARB32-ARC32</f>
        <v/>
      </c>
      <c r="ARE32" s="9">
        <f>ARE31+AQQ32-(AQX32+AQY32+AQZ32+ARA32+ARB32+ARC32+AQV32)</f>
        <v/>
      </c>
      <c r="ARF32" s="12">
        <f>IF(AQK32&gt;0,AQL32/AQK32,0)</f>
        <v/>
      </c>
      <c r="ARG32" s="11">
        <f>IF(AQK31&gt;0,MAX(0,(AQK31+APV32-AQK32)/AQK31),0)</f>
        <v/>
      </c>
      <c r="ARI32" s="12" t="n">
        <v>28</v>
      </c>
      <c r="ARJ32" s="12">
        <f>MOD(ARI32-1+LaunchMonth-1,12)+1</f>
        <v/>
      </c>
      <c r="ARK32" s="12">
        <f>INT((ARI32-1+LaunchMonth-1)/12)+1</f>
        <v/>
      </c>
      <c r="ARL32" s="12">
        <f>VLOOKUP(ARJ32,SeasonTable,2,FALSE)</f>
        <v/>
      </c>
      <c r="ARM32" s="12">
        <f>(1+InflationRate)^INT((ARI32-1)/12)</f>
        <v/>
      </c>
      <c r="ARN32" s="11">
        <f>MonthlyChurn*VLOOKUP(ARJ32,ChurnSeasonTable,4,FALSE)</f>
        <v/>
      </c>
      <c r="ARO32" s="12">
        <f>MIN(MAX(MktMin19plus,ASM31*MktPct19plus),MAX(0,ATA31-CashBuffer))</f>
        <v/>
      </c>
      <c r="ARP32" s="12">
        <f>IF(ARO32&gt;0,MAX(1,ROUND(ARO32/'Sens - CAC &amp; Marketing'!$A$14*ARL32,0)),0)</f>
        <v/>
      </c>
      <c r="ARQ32" s="12">
        <f>IF(ARP32&gt;0,ROUND(ARP32*ReferralMix/(1-ReferralMix),0),0)</f>
        <v/>
      </c>
      <c r="ARR32" s="12">
        <f>ARP32+ARQ32</f>
        <v/>
      </c>
      <c r="ARS32" s="12">
        <f>ROUND(ARR32*(1-AnnualMix),0)</f>
        <v/>
      </c>
      <c r="ART32" s="12">
        <f>ARR32-ARS32</f>
        <v/>
      </c>
      <c r="ARU32" s="12">
        <f>ROUND(ARS32*EssentialMix,0)</f>
        <v/>
      </c>
      <c r="ARV32" s="12">
        <f>ROUND(ARS32*PremiumMix,0)</f>
        <v/>
      </c>
      <c r="ARW32" s="12">
        <f>ARS32-ARU32-ARV32</f>
        <v/>
      </c>
      <c r="ARX32" s="12">
        <f>ROUND(ART32*EssentialMix,0)</f>
        <v/>
      </c>
      <c r="ARY32" s="12">
        <f>ROUND(ART32*PremiumMix,0)</f>
        <v/>
      </c>
      <c r="ARZ32" s="12">
        <f>ART32-ARX32-ARY32</f>
        <v/>
      </c>
      <c r="ASA32" s="12">
        <f>ARU32+ARU31+ARU30+MAX(0,ASA31-ARU31-ARU30)*(1-ARN32)</f>
        <v/>
      </c>
      <c r="ASB32" s="12">
        <f>ARV32+ARV31+ARV30+MAX(0,ASB31-ARV31-ARV30)*(1-ARN32)</f>
        <v/>
      </c>
      <c r="ASC32" s="12">
        <f>ARW32+ARW31+ARW30+MAX(0,ASC31-ARW31-ARW30)*(1-ARN32)</f>
        <v/>
      </c>
      <c r="ASD32" s="12">
        <f>ASD31+ARX32-ARX20*(AnnualChurn*VLOOKUP(ARJ32,ChurnSeasonTable,4,FALSE))*POWER(1-(AnnualChurn*VLOOKUP(ARJ32,ChurnSeasonTable,4,FALSE)),0)+ARX8*(AnnualChurn*VLOOKUP(ARJ32,ChurnSeasonTable,4,FALSE))*POWER(1-(AnnualChurn*VLOOKUP(ARJ32,ChurnSeasonTable,4,FALSE)),1)</f>
        <v/>
      </c>
      <c r="ASE32" s="12">
        <f>ASE31+ARY32-ARY20*(AnnualChurn*VLOOKUP(ARJ32,ChurnSeasonTable,4,FALSE))*POWER(1-(AnnualChurn*VLOOKUP(ARJ32,ChurnSeasonTable,4,FALSE)),0)+ARY8*(AnnualChurn*VLOOKUP(ARJ32,ChurnSeasonTable,4,FALSE))*POWER(1-(AnnualChurn*VLOOKUP(ARJ32,ChurnSeasonTable,4,FALSE)),1)</f>
        <v/>
      </c>
      <c r="ASF32" s="12">
        <f>ASF31+ARZ32-ARZ20*(AnnualChurn*VLOOKUP(ARJ32,ChurnSeasonTable,4,FALSE))*POWER(1-(AnnualChurn*VLOOKUP(ARJ32,ChurnSeasonTable,4,FALSE)),0)+ARZ8*(AnnualChurn*VLOOKUP(ARJ32,ChurnSeasonTable,4,FALSE))*POWER(1-(AnnualChurn*VLOOKUP(ARJ32,ChurnSeasonTable,4,FALSE)),1)</f>
        <v/>
      </c>
      <c r="ASG32" s="12">
        <f>ASA32+ASB32+ASC32+ASD32+ASE32+ASF32</f>
        <v/>
      </c>
      <c r="ASH32" s="9">
        <f>ASA32*BlendedPriceEssMonthly*ARM32+ASB32*BlendedPricePremMonthly*ARM32+ASC32*BlendedPriceEliteMonthly*ARM32+ASD32*BlendedPriceEssAnnual*ARM32/12+ASE32*BlendedPricePremAnnual*ARM32/12+ASF32*BlendedPriceEliteAnnual*ARM32/12</f>
        <v/>
      </c>
      <c r="ASI32" s="9">
        <f>ASH32*12</f>
        <v/>
      </c>
      <c r="ASJ32" s="12">
        <f>ASA32*BlendedPriceEssMonthly*ARM32+ASB32*BlendedPricePremMonthly*ARM32+ASC32*BlendedPriceEliteMonthly*ARM32</f>
        <v/>
      </c>
      <c r="ASK32" s="12">
        <f>ARX32*BlendedPriceEssAnnual*ARM32+ARY32*BlendedPricePremAnnual*ARM32+ARZ32*BlendedPriceEliteAnnual*ARM32</f>
        <v/>
      </c>
      <c r="ASL32" s="12">
        <f>ARX20*POWER(1-(AnnualChurn*VLOOKUP(ARJ32,ChurnSeasonTable,4,FALSE)),1)*BlendedPriceEssAnnual*ARM32+ARX8*POWER(1-(AnnualChurn*VLOOKUP(ARJ32,ChurnSeasonTable,4,FALSE)),2)*BlendedPriceEssAnnual*ARM32+ARY20*POWER(1-(AnnualChurn*VLOOKUP(ARJ32,ChurnSeasonTable,4,FALSE)),1)*BlendedPricePremAnnual*ARM32+ARY8*POWER(1-(AnnualChurn*VLOOKUP(ARJ32,ChurnSeasonTable,4,FALSE)),2)*BlendedPricePremAnnual*ARM32+ARZ20*POWER(1-(AnnualChurn*VLOOKUP(ARJ32,ChurnSeasonTable,4,FALSE)),1)*BlendedPriceEliteAnnual*ARM32+ARZ8*POWER(1-(AnnualChurn*VLOOKUP(ARJ32,ChurnSeasonTable,4,FALSE)),2)*BlendedPriceEliteAnnual*ARM32</f>
        <v/>
      </c>
      <c r="ASM32" s="9">
        <f>ASJ32+ASK32+ASL32</f>
        <v/>
      </c>
      <c r="ASN32" s="12">
        <f>SUM(ASM21:ASM32)</f>
        <v/>
      </c>
      <c r="ASO32" s="12">
        <f>OR(ASO31,IF(VATAgentMode,SUM($ASM21:$ASM32)-SUM($AST21:$AST32)&gt;=VATThreshold,SUM($ASM21:$ASM32)&gt;=VATThreshold))</f>
        <v/>
      </c>
      <c r="ASP32" s="9">
        <f>IF(ASO32,IF(VATAgentMode,ASM32-((ASM32-AST32)-(ASM32-AST32)/(1+VATRate)),ASM32/(1+VATRate)),ASM32)</f>
        <v/>
      </c>
      <c r="ASQ32" s="12">
        <f>ASM32-ASP32</f>
        <v/>
      </c>
      <c r="ASR32" s="12">
        <f>IF(ASO32=0,0,IF(ARJ32=1,SUMPRODUCT(--(($ARK$5:$ARK32=$ARK32-1)*($ARJ$5:$ARJ32&gt;=10)*($ARJ$5:$ARJ32&lt;=12)),$ASQ$5:$ASQ32),IF(ARJ32=4,SUMPRODUCT(--(($ARK$5:$ARK32=$ARK32)*($ARJ$5:$ARJ32&gt;=1)*($ARJ$5:$ARJ32&lt;=3)),$ASQ$5:$ASQ32),IF(ARJ32=7,SUMPRODUCT(--(($ARK$5:$ARK32=$ARK32)*($ARJ$5:$ARJ32&gt;=4)*($ARJ$5:$ARJ32&lt;=6)),$ASQ$5:$ASQ32),IF(ARJ32=10,SUMPRODUCT(--(($ARK$5:$ARK32=$ARK32)*($ARJ$5:$ARJ32&gt;=7)*($ARJ$5:$ARJ32&lt;=9)),$ASQ$5:$ASQ32),0)))))</f>
        <v/>
      </c>
      <c r="ASS32" s="12">
        <f>ASS31+ASQ32-ASR32</f>
        <v/>
      </c>
      <c r="AST32" s="12">
        <f>IF(ProviderDelay&gt;=1,ASA31*BlendedProvPayEss+ASB31*BlendedProvPayPrem+ASC31*BlendedProvPayElite+ASD31*BlendedProvPayEss+ASE31*BlendedProvPayPrem+ASF31*BlendedProvPayElite,ASA32*BlendedProvPayEss+ASB32*BlendedProvPayPrem+ASC32*BlendedProvPayElite+ASD32*BlendedProvPayEss+ASE32*BlendedProvPayPrem+ASF32*BlendedProvPayElite)</f>
        <v/>
      </c>
      <c r="ASU32" s="12">
        <f>ASM32*PaymentFee</f>
        <v/>
      </c>
      <c r="ASV32" s="12">
        <f>ASG32*OpsAI</f>
        <v/>
      </c>
      <c r="ASW32" s="12">
        <f>MonthlyFixed</f>
        <v/>
      </c>
      <c r="ASX32" s="12">
        <f>ARQ32*ReferralReward</f>
        <v/>
      </c>
      <c r="ASY32" s="12">
        <f>ARO32</f>
        <v/>
      </c>
      <c r="ASZ32" s="9">
        <f>ASP32-AST32-ASU32-ASV32-ASW32-ASX32-ASY32</f>
        <v/>
      </c>
      <c r="ATA32" s="9">
        <f>ATA31+ASM32-(AST32+ASU32+ASV32+ASW32+ASX32+ASY32+ASR32)</f>
        <v/>
      </c>
      <c r="ATB32" s="12">
        <f>IF(ASG32&gt;0,ASH32/ASG32,0)</f>
        <v/>
      </c>
      <c r="ATC32" s="11">
        <f>IF(ASG31&gt;0,MAX(0,(ASG31+ARR32-ASG32)/ASG31),0)</f>
        <v/>
      </c>
      <c r="ATE32" s="12" t="n">
        <v>28</v>
      </c>
      <c r="ATF32" s="12">
        <f>MOD(ATE32-1+LaunchMonth-1,12)+1</f>
        <v/>
      </c>
      <c r="ATG32" s="12">
        <f>INT((ATE32-1+LaunchMonth-1)/12)+1</f>
        <v/>
      </c>
      <c r="ATH32" s="12">
        <f>VLOOKUP(ATF32,SeasonTable,2,FALSE)</f>
        <v/>
      </c>
      <c r="ATI32" s="12">
        <f>(1+InflationRate)^INT((ATE32-1)/12)</f>
        <v/>
      </c>
      <c r="ATJ32" s="11">
        <f>MonthlyChurn*VLOOKUP(ATF32,ChurnSeasonTable,4,FALSE)</f>
        <v/>
      </c>
      <c r="ATK32" s="12">
        <f>MIN(MAX(MktMin19plus,AUI31*MktPct19plus),MAX(0,AUW31-CashBuffer))</f>
        <v/>
      </c>
      <c r="ATL32" s="12">
        <f>IF(ATK32&gt;0,MAX(1,ROUND(ATK32/'Sens - CAC &amp; Marketing'!$A$15*ATH32,0)),0)</f>
        <v/>
      </c>
      <c r="ATM32" s="12">
        <f>IF(ATL32&gt;0,ROUND(ATL32*ReferralMix/(1-ReferralMix),0),0)</f>
        <v/>
      </c>
      <c r="ATN32" s="12">
        <f>ATL32+ATM32</f>
        <v/>
      </c>
      <c r="ATO32" s="12">
        <f>ROUND(ATN32*(1-AnnualMix),0)</f>
        <v/>
      </c>
      <c r="ATP32" s="12">
        <f>ATN32-ATO32</f>
        <v/>
      </c>
      <c r="ATQ32" s="12">
        <f>ROUND(ATO32*EssentialMix,0)</f>
        <v/>
      </c>
      <c r="ATR32" s="12">
        <f>ROUND(ATO32*PremiumMix,0)</f>
        <v/>
      </c>
      <c r="ATS32" s="12">
        <f>ATO32-ATQ32-ATR32</f>
        <v/>
      </c>
      <c r="ATT32" s="12">
        <f>ROUND(ATP32*EssentialMix,0)</f>
        <v/>
      </c>
      <c r="ATU32" s="12">
        <f>ROUND(ATP32*PremiumMix,0)</f>
        <v/>
      </c>
      <c r="ATV32" s="12">
        <f>ATP32-ATT32-ATU32</f>
        <v/>
      </c>
      <c r="ATW32" s="12">
        <f>ATQ32+ATQ31+ATQ30+MAX(0,ATW31-ATQ31-ATQ30)*(1-ATJ32)</f>
        <v/>
      </c>
      <c r="ATX32" s="12">
        <f>ATR32+ATR31+ATR30+MAX(0,ATX31-ATR31-ATR30)*(1-ATJ32)</f>
        <v/>
      </c>
      <c r="ATY32" s="12">
        <f>ATS32+ATS31+ATS30+MAX(0,ATY31-ATS31-ATS30)*(1-ATJ32)</f>
        <v/>
      </c>
      <c r="ATZ32" s="12">
        <f>ATZ31+ATT32-ATT20*(AnnualChurn*VLOOKUP(ATF32,ChurnSeasonTable,4,FALSE))*POWER(1-(AnnualChurn*VLOOKUP(ATF32,ChurnSeasonTable,4,FALSE)),0)+ATT8*(AnnualChurn*VLOOKUP(ATF32,ChurnSeasonTable,4,FALSE))*POWER(1-(AnnualChurn*VLOOKUP(ATF32,ChurnSeasonTable,4,FALSE)),1)</f>
        <v/>
      </c>
      <c r="AUA32" s="12">
        <f>AUA31+ATU32-ATU20*(AnnualChurn*VLOOKUP(ATF32,ChurnSeasonTable,4,FALSE))*POWER(1-(AnnualChurn*VLOOKUP(ATF32,ChurnSeasonTable,4,FALSE)),0)+ATU8*(AnnualChurn*VLOOKUP(ATF32,ChurnSeasonTable,4,FALSE))*POWER(1-(AnnualChurn*VLOOKUP(ATF32,ChurnSeasonTable,4,FALSE)),1)</f>
        <v/>
      </c>
      <c r="AUB32" s="12">
        <f>AUB31+ATV32-ATV20*(AnnualChurn*VLOOKUP(ATF32,ChurnSeasonTable,4,FALSE))*POWER(1-(AnnualChurn*VLOOKUP(ATF32,ChurnSeasonTable,4,FALSE)),0)+ATV8*(AnnualChurn*VLOOKUP(ATF32,ChurnSeasonTable,4,FALSE))*POWER(1-(AnnualChurn*VLOOKUP(ATF32,ChurnSeasonTable,4,FALSE)),1)</f>
        <v/>
      </c>
      <c r="AUC32" s="12">
        <f>ATW32+ATX32+ATY32+ATZ32+AUA32+AUB32</f>
        <v/>
      </c>
      <c r="AUD32" s="9">
        <f>ATW32*BlendedPriceEssMonthly*ATI32+ATX32*BlendedPricePremMonthly*ATI32+ATY32*BlendedPriceEliteMonthly*ATI32+ATZ32*BlendedPriceEssAnnual*ATI32/12+AUA32*BlendedPricePremAnnual*ATI32/12+AUB32*BlendedPriceEliteAnnual*ATI32/12</f>
        <v/>
      </c>
      <c r="AUE32" s="9">
        <f>AUD32*12</f>
        <v/>
      </c>
      <c r="AUF32" s="12">
        <f>ATW32*BlendedPriceEssMonthly*ATI32+ATX32*BlendedPricePremMonthly*ATI32+ATY32*BlendedPriceEliteMonthly*ATI32</f>
        <v/>
      </c>
      <c r="AUG32" s="12">
        <f>ATT32*BlendedPriceEssAnnual*ATI32+ATU32*BlendedPricePremAnnual*ATI32+ATV32*BlendedPriceEliteAnnual*ATI32</f>
        <v/>
      </c>
      <c r="AUH32" s="12">
        <f>ATT20*POWER(1-(AnnualChurn*VLOOKUP(ATF32,ChurnSeasonTable,4,FALSE)),1)*BlendedPriceEssAnnual*ATI32+ATT8*POWER(1-(AnnualChurn*VLOOKUP(ATF32,ChurnSeasonTable,4,FALSE)),2)*BlendedPriceEssAnnual*ATI32+ATU20*POWER(1-(AnnualChurn*VLOOKUP(ATF32,ChurnSeasonTable,4,FALSE)),1)*BlendedPricePremAnnual*ATI32+ATU8*POWER(1-(AnnualChurn*VLOOKUP(ATF32,ChurnSeasonTable,4,FALSE)),2)*BlendedPricePremAnnual*ATI32+ATV20*POWER(1-(AnnualChurn*VLOOKUP(ATF32,ChurnSeasonTable,4,FALSE)),1)*BlendedPriceEliteAnnual*ATI32+ATV8*POWER(1-(AnnualChurn*VLOOKUP(ATF32,ChurnSeasonTable,4,FALSE)),2)*BlendedPriceEliteAnnual*ATI32</f>
        <v/>
      </c>
      <c r="AUI32" s="9">
        <f>AUF32+AUG32+AUH32</f>
        <v/>
      </c>
      <c r="AUJ32" s="12">
        <f>SUM(AUI21:AUI32)</f>
        <v/>
      </c>
      <c r="AUK32" s="12">
        <f>OR(AUK31,IF(VATAgentMode,SUM($AUI21:$AUI32)-SUM($AUP21:$AUP32)&gt;=VATThreshold,SUM($AUI21:$AUI32)&gt;=VATThreshold))</f>
        <v/>
      </c>
      <c r="AUL32" s="9">
        <f>IF(AUK32,IF(VATAgentMode,AUI32-((AUI32-AUP32)-(AUI32-AUP32)/(1+VATRate)),AUI32/(1+VATRate)),AUI32)</f>
        <v/>
      </c>
      <c r="AUM32" s="12">
        <f>AUI32-AUL32</f>
        <v/>
      </c>
      <c r="AUN32" s="12">
        <f>IF(AUK32=0,0,IF(ATF32=1,SUMPRODUCT(--(($ATG$5:$ATG32=$ATG32-1)*($ATF$5:$ATF32&gt;=10)*($ATF$5:$ATF32&lt;=12)),$AUM$5:$AUM32),IF(ATF32=4,SUMPRODUCT(--(($ATG$5:$ATG32=$ATG32)*($ATF$5:$ATF32&gt;=1)*($ATF$5:$ATF32&lt;=3)),$AUM$5:$AUM32),IF(ATF32=7,SUMPRODUCT(--(($ATG$5:$ATG32=$ATG32)*($ATF$5:$ATF32&gt;=4)*($ATF$5:$ATF32&lt;=6)),$AUM$5:$AUM32),IF(ATF32=10,SUMPRODUCT(--(($ATG$5:$ATG32=$ATG32)*($ATF$5:$ATF32&gt;=7)*($ATF$5:$ATF32&lt;=9)),$AUM$5:$AUM32),0)))))</f>
        <v/>
      </c>
      <c r="AUO32" s="12">
        <f>AUO31+AUM32-AUN32</f>
        <v/>
      </c>
      <c r="AUP32" s="12">
        <f>IF(ProviderDelay&gt;=1,ATW31*BlendedProvPayEss+ATX31*BlendedProvPayPrem+ATY31*BlendedProvPayElite+ATZ31*BlendedProvPayEss+AUA31*BlendedProvPayPrem+AUB31*BlendedProvPayElite,ATW32*BlendedProvPayEss+ATX32*BlendedProvPayPrem+ATY32*BlendedProvPayElite+ATZ32*BlendedProvPayEss+AUA32*BlendedProvPayPrem+AUB32*BlendedProvPayElite)</f>
        <v/>
      </c>
      <c r="AUQ32" s="12">
        <f>AUI32*PaymentFee</f>
        <v/>
      </c>
      <c r="AUR32" s="12">
        <f>AUC32*OpsAI</f>
        <v/>
      </c>
      <c r="AUS32" s="12">
        <f>MonthlyFixed</f>
        <v/>
      </c>
      <c r="AUT32" s="12">
        <f>ATM32*ReferralReward</f>
        <v/>
      </c>
      <c r="AUU32" s="12">
        <f>ATK32</f>
        <v/>
      </c>
      <c r="AUV32" s="9">
        <f>AUL32-AUP32-AUQ32-AUR32-AUS32-AUT32-AUU32</f>
        <v/>
      </c>
      <c r="AUW32" s="9">
        <f>AUW31+AUI32-(AUP32+AUQ32+AUR32+AUS32+AUT32+AUU32+AUN32)</f>
        <v/>
      </c>
      <c r="AUX32" s="12">
        <f>IF(AUC32&gt;0,AUD32/AUC32,0)</f>
        <v/>
      </c>
      <c r="AUY32" s="11">
        <f>IF(AUC31&gt;0,MAX(0,(AUC31+ATN32-AUC32)/AUC31),0)</f>
        <v/>
      </c>
      <c r="AVA32" s="12" t="n">
        <v>28</v>
      </c>
      <c r="AVB32" s="12">
        <f>MOD(AVA32-1+LaunchMonth-1,12)+1</f>
        <v/>
      </c>
      <c r="AVC32" s="12">
        <f>INT((AVA32-1+LaunchMonth-1)/12)+1</f>
        <v/>
      </c>
      <c r="AVD32" s="12">
        <f>VLOOKUP(AVB32,WinterPivotSeasonTable,5,FALSE)</f>
        <v/>
      </c>
      <c r="AVE32" s="12">
        <f>(1+InflationRate)^INT((AVA32-1)/12)</f>
        <v/>
      </c>
      <c r="AVF32" s="11">
        <f>MonthlyChurn*VLOOKUP(AVB32,WinterPivotChurnTable,6,FALSE)</f>
        <v/>
      </c>
      <c r="AVG32" s="12">
        <f>MIN(MAX(MktMin19plus,AWE31*MktPct19plus),MAX(0,AWS31-CashBuffer))</f>
        <v/>
      </c>
      <c r="AVH32" s="12">
        <f>IF(AVG32&gt;0,MAX(1,ROUND(AVG32/CAC*AVD32,0)),0)</f>
        <v/>
      </c>
      <c r="AVI32" s="12">
        <f>IF(AVH32&gt;0,ROUND(AVH32*ReferralMix/(1-ReferralMix),0),0)</f>
        <v/>
      </c>
      <c r="AVJ32" s="12">
        <f>AVH32+AVI32</f>
        <v/>
      </c>
      <c r="AVK32" s="12">
        <f>ROUND(AVJ32*(1-AnnualMix),0)</f>
        <v/>
      </c>
      <c r="AVL32" s="12">
        <f>AVJ32-AVK32</f>
        <v/>
      </c>
      <c r="AVM32" s="12">
        <f>ROUND(AVK32*'Sens - Winter Pivot'!$B$6,0)</f>
        <v/>
      </c>
      <c r="AVN32" s="12">
        <f>ROUND(AVK32*PremiumMix,0)</f>
        <v/>
      </c>
      <c r="AVO32" s="12">
        <f>AVK32-AVM32-AVN32</f>
        <v/>
      </c>
      <c r="AVP32" s="12">
        <f>ROUND(AVL32*'Sens - Winter Pivot'!$B$6,0)</f>
        <v/>
      </c>
      <c r="AVQ32" s="12">
        <f>ROUND(AVL32*PremiumMix,0)</f>
        <v/>
      </c>
      <c r="AVR32" s="12">
        <f>AVL32-AVP32-AVQ32</f>
        <v/>
      </c>
      <c r="AVS32" s="12">
        <f>AVM32+AVM31+AVM30+MAX(0,AVS31-AVM31-AVM30)*(1-AVF32)</f>
        <v/>
      </c>
      <c r="AVT32" s="12">
        <f>AVN32+AVN31+AVN30+MAX(0,AVT31-AVN31-AVN30)*(1-AVF32)</f>
        <v/>
      </c>
      <c r="AVU32" s="12">
        <f>AVO32+AVO31+AVO30+MAX(0,AVU31-AVO31-AVO30)*(1-AVF32)</f>
        <v/>
      </c>
      <c r="AVV32" s="12">
        <f>AVV31+AVP32-AVP20*(AnnualChurn*VLOOKUP(AVB32,ChurnSeasonTable,4,FALSE))*POWER(1-(AnnualChurn*VLOOKUP(AVB32,ChurnSeasonTable,4,FALSE)),0)+AVP8*(AnnualChurn*VLOOKUP(AVB32,ChurnSeasonTable,4,FALSE))*POWER(1-(AnnualChurn*VLOOKUP(AVB32,ChurnSeasonTable,4,FALSE)),1)</f>
        <v/>
      </c>
      <c r="AVW32" s="12">
        <f>AVW31+AVQ32-AVQ20*(AnnualChurn*VLOOKUP(AVB32,ChurnSeasonTable,4,FALSE))*POWER(1-(AnnualChurn*VLOOKUP(AVB32,ChurnSeasonTable,4,FALSE)),0)+AVQ8*(AnnualChurn*VLOOKUP(AVB32,ChurnSeasonTable,4,FALSE))*POWER(1-(AnnualChurn*VLOOKUP(AVB32,ChurnSeasonTable,4,FALSE)),1)</f>
        <v/>
      </c>
      <c r="AVX32" s="12">
        <f>AVX31+AVR32-AVR20*(AnnualChurn*VLOOKUP(AVB32,ChurnSeasonTable,4,FALSE))*POWER(1-(AnnualChurn*VLOOKUP(AVB32,ChurnSeasonTable,4,FALSE)),0)+AVR8*(AnnualChurn*VLOOKUP(AVB32,ChurnSeasonTable,4,FALSE))*POWER(1-(AnnualChurn*VLOOKUP(AVB32,ChurnSeasonTable,4,FALSE)),1)</f>
        <v/>
      </c>
      <c r="AVY32" s="12">
        <f>AVS32+AVT32+AVU32+AVV32+AVW32+AVX32</f>
        <v/>
      </c>
      <c r="AVZ32" s="9">
        <f>AVS32*BlendedPriceEssMonthly*AVE32+AVT32*(BlendedPricePremMonthly+'Sens - Winter Pivot'!$B$7)*AVE32+AVU32*BlendedPriceEliteMonthly*AVE32+AVV32*BlendedPriceEssAnnual*AVE32/12+AVW32*(BlendedPricePremAnnual+'Sens - Winter Pivot'!$B$7*12)*AVE32/12+AVX32*BlendedPriceEliteAnnual*AVE32/12</f>
        <v/>
      </c>
      <c r="AWA32" s="9">
        <f>AVZ32*12</f>
        <v/>
      </c>
      <c r="AWB32" s="12">
        <f>AVS32*BlendedPriceEssMonthly*AVE32+AVT32*(BlendedPricePremMonthly+'Sens - Winter Pivot'!$B$7)*AVE32+AVU32*BlendedPriceEliteMonthly*AVE32</f>
        <v/>
      </c>
      <c r="AWC32" s="12">
        <f>AVP32*BlendedPriceEssAnnual*AVE32+AVQ32*(BlendedPricePremAnnual+'Sens - Winter Pivot'!$B$7*12)*AVE32+AVR32*BlendedPriceEliteAnnual*AVE32</f>
        <v/>
      </c>
      <c r="AWD32" s="12">
        <f>AVP20*POWER(1-(AnnualChurn*VLOOKUP(AVB32,ChurnSeasonTable,4,FALSE)),1)*BlendedPriceEssAnnual*AVE32+AVP8*POWER(1-(AnnualChurn*VLOOKUP(AVB32,ChurnSeasonTable,4,FALSE)),2)*BlendedPriceEssAnnual*AVE32+AVQ20*POWER(1-(AnnualChurn*VLOOKUP(AVB32,ChurnSeasonTable,4,FALSE)),1)*BlendedPricePremAnnual*AVE32+AVQ8*POWER(1-(AnnualChurn*VLOOKUP(AVB32,ChurnSeasonTable,4,FALSE)),2)*BlendedPricePremAnnual*AVE32+AVR20*POWER(1-(AnnualChurn*VLOOKUP(AVB32,ChurnSeasonTable,4,FALSE)),1)*BlendedPriceEliteAnnual*AVE32+AVR8*POWER(1-(AnnualChurn*VLOOKUP(AVB32,ChurnSeasonTable,4,FALSE)),2)*BlendedPriceEliteAnnual*AVE32</f>
        <v/>
      </c>
      <c r="AWE32" s="9">
        <f>AWB32+AWC32+AWD32</f>
        <v/>
      </c>
      <c r="AWF32" s="12">
        <f>SUM(AWE21:AWE32)</f>
        <v/>
      </c>
      <c r="AWG32" s="12">
        <f>OR(AWG31,IF(VATAgentMode,SUM($AWE21:$AWE32)-SUM($AWL21:$AWL32)&gt;=VATThreshold,SUM($AWE21:$AWE32)&gt;=VATThreshold))</f>
        <v/>
      </c>
      <c r="AWH32" s="9">
        <f>IF(AWG32,IF(VATAgentMode,AWE32-((AWE32-AWL32)-(AWE32-AWL32)/(1+VATRate)),AWE32/(1+VATRate)),AWE32)</f>
        <v/>
      </c>
      <c r="AWI32" s="12">
        <f>AWE32-AWH32</f>
        <v/>
      </c>
      <c r="AWJ32" s="12">
        <f>IF(AWG32=0,0,IF(AVB32=1,SUMPRODUCT(--(($AVC$5:$AVC32=$AVC32-1)*($AVB$5:$AVB32&gt;=10)*($AVB$5:$AVB32&lt;=12)),$AWI$5:$AWI32),IF(AVB32=4,SUMPRODUCT(--(($AVC$5:$AVC32=$AVC32)*($AVB$5:$AVB32&gt;=1)*($AVB$5:$AVB32&lt;=3)),$AWI$5:$AWI32),IF(AVB32=7,SUMPRODUCT(--(($AVC$5:$AVC32=$AVC32)*($AVB$5:$AVB32&gt;=4)*($AVB$5:$AVB32&lt;=6)),$AWI$5:$AWI32),IF(AVB32=10,SUMPRODUCT(--(($AVC$5:$AVC32=$AVC32)*($AVB$5:$AVB32&gt;=7)*($AVB$5:$AVB32&lt;=9)),$AWI$5:$AWI32),0)))))</f>
        <v/>
      </c>
      <c r="AWK32" s="12">
        <f>AWK31+AWI32-AWJ32</f>
        <v/>
      </c>
      <c r="AWL32" s="12">
        <f>IF(ProviderDelay&gt;=1,AVS31*BlendedProvPayEss+AVT31*BlendedProvPayPrem+AVU31*BlendedProvPayElite+AVV31*BlendedProvPayEss+AVW31*BlendedProvPayPrem+AVX31*BlendedProvPayElite,AVS32*BlendedProvPayEss+AVT32*BlendedProvPayPrem+AVU32*BlendedProvPayElite+AVV32*BlendedProvPayEss+AVW32*BlendedProvPayPrem+AVX32*BlendedProvPayElite)</f>
        <v/>
      </c>
      <c r="AWM32" s="12">
        <f>AWE32*PaymentFee</f>
        <v/>
      </c>
      <c r="AWN32" s="12">
        <f>AVY32*OpsAI</f>
        <v/>
      </c>
      <c r="AWO32" s="12">
        <f>MonthlyFixed</f>
        <v/>
      </c>
      <c r="AWP32" s="12">
        <f>AVI32*ReferralReward</f>
        <v/>
      </c>
      <c r="AWQ32" s="12">
        <f>AVG32</f>
        <v/>
      </c>
      <c r="AWR32" s="9">
        <f>AWH32-AWL32-AWM32-AWN32-AWO32-AWP32-AWQ32</f>
        <v/>
      </c>
      <c r="AWS32" s="9">
        <f>AWS31+AWE32-(AWL32+AWM32+AWN32+AWO32+AWP32+AWQ32+AWJ32)</f>
        <v/>
      </c>
      <c r="AWT32" s="12">
        <f>IF(AVY32&gt;0,AVZ32/AVY32,0)</f>
        <v/>
      </c>
      <c r="AWU32" s="11">
        <f>IF(AVY31&gt;0,MAX(0,(AVY31+AVJ32-AVY32)/AVY31),0)</f>
        <v/>
      </c>
    </row>
    <row r="33">
      <c r="A33" s="12" t="n">
        <v>29</v>
      </c>
      <c r="B33" s="12">
        <f>MOD(A33-1+LaunchMonth-1,12)+1</f>
        <v/>
      </c>
      <c r="C33" s="12">
        <f>INT((A33-1+LaunchMonth-1)/12)+1</f>
        <v/>
      </c>
      <c r="D33" s="12">
        <f>VLOOKUP(B33,SeasonTable,2,FALSE)</f>
        <v/>
      </c>
      <c r="E33" s="12">
        <f>(1+InflationRate)^INT((A33-1)/12)</f>
        <v/>
      </c>
      <c r="F33" s="11">
        <f>'Sens - Scenarios'!$B$5*VLOOKUP(B33,ChurnSeasonTable,4,FALSE)</f>
        <v/>
      </c>
      <c r="G33" s="12">
        <f>MIN(MAX(MktMin19plus,AE32*MktPct19plus),MAX(0,AS32-CashBuffer))</f>
        <v/>
      </c>
      <c r="H33" s="12">
        <f>IF(G33&gt;0,MAX(1,ROUND(G33/'Sens - Scenarios'!$B$8*D33,0)),0)</f>
        <v/>
      </c>
      <c r="I33" s="12">
        <f>IF(H33&gt;0,ROUND(H33*ReferralMix/(1-ReferralMix),0),0)</f>
        <v/>
      </c>
      <c r="J33" s="12">
        <f>H33+I33</f>
        <v/>
      </c>
      <c r="K33" s="12">
        <f>ROUND(J33*(1-'Sens - Scenarios'!$B$7),0)</f>
        <v/>
      </c>
      <c r="L33" s="12">
        <f>J33-K33</f>
        <v/>
      </c>
      <c r="M33" s="12">
        <f>ROUND(K33*EssentialMix,0)</f>
        <v/>
      </c>
      <c r="N33" s="12">
        <f>ROUND(K33*PremiumMix,0)</f>
        <v/>
      </c>
      <c r="O33" s="12">
        <f>K33-M33-N33</f>
        <v/>
      </c>
      <c r="P33" s="12">
        <f>ROUND(L33*EssentialMix,0)</f>
        <v/>
      </c>
      <c r="Q33" s="12">
        <f>ROUND(L33*PremiumMix,0)</f>
        <v/>
      </c>
      <c r="R33" s="12">
        <f>L33-P33-Q33</f>
        <v/>
      </c>
      <c r="S33" s="12">
        <f>M33+M32+M31+MAX(0,S32-M32-M31)*(1-F33)</f>
        <v/>
      </c>
      <c r="T33" s="12">
        <f>N33+N32+N31+MAX(0,T32-N32-N31)*(1-F33)</f>
        <v/>
      </c>
      <c r="U33" s="12">
        <f>O33+O32+O31+MAX(0,U32-O32-O31)*(1-F33)</f>
        <v/>
      </c>
      <c r="V33" s="12">
        <f>V32+P33-P21*('Sens - Scenarios'!$B$6*VLOOKUP(B33,ChurnSeasonTable,4,FALSE))*POWER(1-('Sens - Scenarios'!$B$6*VLOOKUP(B33,ChurnSeasonTable,4,FALSE)),0)+P9*('Sens - Scenarios'!$B$6*VLOOKUP(B33,ChurnSeasonTable,4,FALSE))*POWER(1-('Sens - Scenarios'!$B$6*VLOOKUP(B33,ChurnSeasonTable,4,FALSE)),1)</f>
        <v/>
      </c>
      <c r="W33" s="12">
        <f>W32+Q33-Q21*('Sens - Scenarios'!$B$6*VLOOKUP(B33,ChurnSeasonTable,4,FALSE))*POWER(1-('Sens - Scenarios'!$B$6*VLOOKUP(B33,ChurnSeasonTable,4,FALSE)),0)+Q9*('Sens - Scenarios'!$B$6*VLOOKUP(B33,ChurnSeasonTable,4,FALSE))*POWER(1-('Sens - Scenarios'!$B$6*VLOOKUP(B33,ChurnSeasonTable,4,FALSE)),1)</f>
        <v/>
      </c>
      <c r="X33" s="12">
        <f>X32+R33-R21*('Sens - Scenarios'!$B$6*VLOOKUP(B33,ChurnSeasonTable,4,FALSE))*POWER(1-('Sens - Scenarios'!$B$6*VLOOKUP(B33,ChurnSeasonTable,4,FALSE)),0)+R9*('Sens - Scenarios'!$B$6*VLOOKUP(B33,ChurnSeasonTable,4,FALSE))*POWER(1-('Sens - Scenarios'!$B$6*VLOOKUP(B33,ChurnSeasonTable,4,FALSE)),1)</f>
        <v/>
      </c>
      <c r="Y33" s="12">
        <f>S33+T33+U33+V33+W33+X33</f>
        <v/>
      </c>
      <c r="Z33" s="9">
        <f>S33*BlendedPriceEssMonthly*E33+T33*BlendedPricePremMonthly*E33+U33*BlendedPriceEliteMonthly*E33+V33*BlendedPriceEssAnnual*E33/12+W33*BlendedPricePremAnnual*E33/12+X33*BlendedPriceEliteAnnual*E33/12</f>
        <v/>
      </c>
      <c r="AA33" s="9">
        <f>Z33*12</f>
        <v/>
      </c>
      <c r="AB33" s="12">
        <f>S33*BlendedPriceEssMonthly*E33+T33*BlendedPricePremMonthly*E33+U33*BlendedPriceEliteMonthly*E33</f>
        <v/>
      </c>
      <c r="AC33" s="12">
        <f>P33*BlendedPriceEssAnnual*E33+Q33*BlendedPricePremAnnual*E33+R33*BlendedPriceEliteAnnual*E33</f>
        <v/>
      </c>
      <c r="AD33" s="12">
        <f>P21*POWER(1-('Sens - Scenarios'!$B$6*VLOOKUP(B33,ChurnSeasonTable,4,FALSE)),1)*BlendedPriceEssAnnual*E33+P9*POWER(1-('Sens - Scenarios'!$B$6*VLOOKUP(B33,ChurnSeasonTable,4,FALSE)),2)*BlendedPriceEssAnnual*E33+Q21*POWER(1-('Sens - Scenarios'!$B$6*VLOOKUP(B33,ChurnSeasonTable,4,FALSE)),1)*BlendedPricePremAnnual*E33+Q9*POWER(1-('Sens - Scenarios'!$B$6*VLOOKUP(B33,ChurnSeasonTable,4,FALSE)),2)*BlendedPricePremAnnual*E33+R21*POWER(1-('Sens - Scenarios'!$B$6*VLOOKUP(B33,ChurnSeasonTable,4,FALSE)),1)*BlendedPriceEliteAnnual*E33+R9*POWER(1-('Sens - Scenarios'!$B$6*VLOOKUP(B33,ChurnSeasonTable,4,FALSE)),2)*BlendedPriceEliteAnnual*E33</f>
        <v/>
      </c>
      <c r="AE33" s="9">
        <f>AB33+AC33+AD33</f>
        <v/>
      </c>
      <c r="AF33" s="12">
        <f>SUM(AE22:AE33)</f>
        <v/>
      </c>
      <c r="AG33" s="12">
        <f>OR(AG32,IF(VATAgentMode,SUM($AE22:$AE33)-SUM($AL22:$AL33)&gt;=VATThreshold,SUM($AE22:$AE33)&gt;=VATThreshold))</f>
        <v/>
      </c>
      <c r="AH33" s="9">
        <f>IF(AG33,IF(VATAgentMode,AE33-((AE33-AL33)-(AE33-AL33)/(1+VATRate)),AE33/(1+VATRate)),AE33)</f>
        <v/>
      </c>
      <c r="AI33" s="12">
        <f>AE33-AH33</f>
        <v/>
      </c>
      <c r="AJ33" s="12">
        <f>IF(AG33=0,0,IF(B33=1,SUMPRODUCT(--(($C$5:$C33=$C33-1)*($B$5:$B33&gt;=10)*($B$5:$B33&lt;=12)),$AI$5:$AI33),IF(B33=4,SUMPRODUCT(--(($C$5:$C33=$C33)*($B$5:$B33&gt;=1)*($B$5:$B33&lt;=3)),$AI$5:$AI33),IF(B33=7,SUMPRODUCT(--(($C$5:$C33=$C33)*($B$5:$B33&gt;=4)*($B$5:$B33&lt;=6)),$AI$5:$AI33),IF(B33=10,SUMPRODUCT(--(($C$5:$C33=$C33)*($B$5:$B33&gt;=7)*($B$5:$B33&lt;=9)),$AI$5:$AI33),0)))))</f>
        <v/>
      </c>
      <c r="AK33" s="12">
        <f>AK32+AI33-AJ33</f>
        <v/>
      </c>
      <c r="AL33" s="12">
        <f>IF(ProviderDelay&gt;=1,S32*BlendedProvPayEss+T32*BlendedProvPayPrem+U32*BlendedProvPayElite+V32*BlendedProvPayEss+W32*BlendedProvPayPrem+X32*BlendedProvPayElite,S33*BlendedProvPayEss+T33*BlendedProvPayPrem+U33*BlendedProvPayElite+V33*BlendedProvPayEss+W33*BlendedProvPayPrem+X33*BlendedProvPayElite)</f>
        <v/>
      </c>
      <c r="AM33" s="12">
        <f>AE33*PaymentFee</f>
        <v/>
      </c>
      <c r="AN33" s="12">
        <f>Y33*OpsAI</f>
        <v/>
      </c>
      <c r="AO33" s="12">
        <f>MonthlyFixed</f>
        <v/>
      </c>
      <c r="AP33" s="12">
        <f>I33*ReferralReward</f>
        <v/>
      </c>
      <c r="AQ33" s="12">
        <f>G33</f>
        <v/>
      </c>
      <c r="AR33" s="9">
        <f>AH33-AL33-AM33-AN33-AO33-AP33-AQ33</f>
        <v/>
      </c>
      <c r="AS33" s="9">
        <f>AS32+AE33-(AL33+AM33+AN33+AO33+AP33+AQ33+AJ33)</f>
        <v/>
      </c>
      <c r="AT33" s="12">
        <f>IF(Y33&gt;0,Z33/Y33,0)</f>
        <v/>
      </c>
      <c r="AU33" s="11">
        <f>IF(Y32&gt;0,MAX(0,(Y32+J33-Y33)/Y32),0)</f>
        <v/>
      </c>
      <c r="AW33" s="12" t="n">
        <v>29</v>
      </c>
      <c r="AX33" s="12">
        <f>MOD(AW33-1+LaunchMonth-1,12)+1</f>
        <v/>
      </c>
      <c r="AY33" s="12">
        <f>INT((AW33-1+LaunchMonth-1)/12)+1</f>
        <v/>
      </c>
      <c r="AZ33" s="12">
        <f>VLOOKUP(AX33,SeasonTable,2,FALSE)</f>
        <v/>
      </c>
      <c r="BA33" s="12">
        <f>(1+InflationRate)^INT((AW33-1)/12)</f>
        <v/>
      </c>
      <c r="BB33" s="11">
        <f>MonthlyChurn*VLOOKUP(AX33,ChurnSeasonTable,4,FALSE)</f>
        <v/>
      </c>
      <c r="BC33" s="12">
        <f>MIN(MAX(MktMin19plus,CA32*MktPct19plus),MAX(0,CO32-CashBuffer))</f>
        <v/>
      </c>
      <c r="BD33" s="12">
        <f>IF(BC33&gt;0,MAX(1,ROUND(BC33/CAC*AZ33,0)),0)</f>
        <v/>
      </c>
      <c r="BE33" s="12">
        <f>IF(BD33&gt;0,ROUND(BD33*ReferralMix/(1-ReferralMix),0),0)</f>
        <v/>
      </c>
      <c r="BF33" s="12">
        <f>BD33+BE33</f>
        <v/>
      </c>
      <c r="BG33" s="12">
        <f>ROUND(BF33*(1-AnnualMix),0)</f>
        <v/>
      </c>
      <c r="BH33" s="12">
        <f>BF33-BG33</f>
        <v/>
      </c>
      <c r="BI33" s="12">
        <f>ROUND(BG33*EssentialMix,0)</f>
        <v/>
      </c>
      <c r="BJ33" s="12">
        <f>ROUND(BG33*PremiumMix,0)</f>
        <v/>
      </c>
      <c r="BK33" s="12">
        <f>BG33-BI33-BJ33</f>
        <v/>
      </c>
      <c r="BL33" s="12">
        <f>ROUND(BH33*EssentialMix,0)</f>
        <v/>
      </c>
      <c r="BM33" s="12">
        <f>ROUND(BH33*PremiumMix,0)</f>
        <v/>
      </c>
      <c r="BN33" s="12">
        <f>BH33-BL33-BM33</f>
        <v/>
      </c>
      <c r="BO33" s="12">
        <f>BI33+BI32+BI31+MAX(0,BO32-BI32-BI31)*(1-BB33)</f>
        <v/>
      </c>
      <c r="BP33" s="12">
        <f>BJ33+BJ32+BJ31+MAX(0,BP32-BJ32-BJ31)*(1-BB33)</f>
        <v/>
      </c>
      <c r="BQ33" s="12">
        <f>BK33+BK32+BK31+MAX(0,BQ32-BK32-BK31)*(1-BB33)</f>
        <v/>
      </c>
      <c r="BR33" s="12">
        <f>BR32+BL33-BL21*(AnnualChurn*VLOOKUP(AX33,ChurnSeasonTable,4,FALSE))*POWER(1-(AnnualChurn*VLOOKUP(AX33,ChurnSeasonTable,4,FALSE)),0)+BL9*(AnnualChurn*VLOOKUP(AX33,ChurnSeasonTable,4,FALSE))*POWER(1-(AnnualChurn*VLOOKUP(AX33,ChurnSeasonTable,4,FALSE)),1)</f>
        <v/>
      </c>
      <c r="BS33" s="12">
        <f>BS32+BM33-BM21*(AnnualChurn*VLOOKUP(AX33,ChurnSeasonTable,4,FALSE))*POWER(1-(AnnualChurn*VLOOKUP(AX33,ChurnSeasonTable,4,FALSE)),0)+BM9*(AnnualChurn*VLOOKUP(AX33,ChurnSeasonTable,4,FALSE))*POWER(1-(AnnualChurn*VLOOKUP(AX33,ChurnSeasonTable,4,FALSE)),1)</f>
        <v/>
      </c>
      <c r="BT33" s="12">
        <f>BT32+BN33-BN21*(AnnualChurn*VLOOKUP(AX33,ChurnSeasonTable,4,FALSE))*POWER(1-(AnnualChurn*VLOOKUP(AX33,ChurnSeasonTable,4,FALSE)),0)+BN9*(AnnualChurn*VLOOKUP(AX33,ChurnSeasonTable,4,FALSE))*POWER(1-(AnnualChurn*VLOOKUP(AX33,ChurnSeasonTable,4,FALSE)),1)</f>
        <v/>
      </c>
      <c r="BU33" s="12">
        <f>BO33+BP33+BQ33+BR33+BS33+BT33</f>
        <v/>
      </c>
      <c r="BV33" s="9">
        <f>BO33*BlendedPriceEssMonthly*BA33+BP33*BlendedPricePremMonthly*BA33+BQ33*BlendedPriceEliteMonthly*BA33+BR33*BlendedPriceEssAnnual*BA33/12+BS33*BlendedPricePremAnnual*BA33/12+BT33*BlendedPriceEliteAnnual*BA33/12</f>
        <v/>
      </c>
      <c r="BW33" s="9">
        <f>BV33*12</f>
        <v/>
      </c>
      <c r="BX33" s="12">
        <f>BO33*BlendedPriceEssMonthly*BA33+BP33*BlendedPricePremMonthly*BA33+BQ33*BlendedPriceEliteMonthly*BA33</f>
        <v/>
      </c>
      <c r="BY33" s="12">
        <f>BL33*BlendedPriceEssAnnual*BA33+BM33*BlendedPricePremAnnual*BA33+BN33*BlendedPriceEliteAnnual*BA33</f>
        <v/>
      </c>
      <c r="BZ33" s="12">
        <f>BL21*POWER(1-(AnnualChurn*VLOOKUP(AX33,ChurnSeasonTable,4,FALSE)),1)*BlendedPriceEssAnnual*BA33+BL9*POWER(1-(AnnualChurn*VLOOKUP(AX33,ChurnSeasonTable,4,FALSE)),2)*BlendedPriceEssAnnual*BA33+BM21*POWER(1-(AnnualChurn*VLOOKUP(AX33,ChurnSeasonTable,4,FALSE)),1)*BlendedPricePremAnnual*BA33+BM9*POWER(1-(AnnualChurn*VLOOKUP(AX33,ChurnSeasonTable,4,FALSE)),2)*BlendedPricePremAnnual*BA33+BN21*POWER(1-(AnnualChurn*VLOOKUP(AX33,ChurnSeasonTable,4,FALSE)),1)*BlendedPriceEliteAnnual*BA33+BN9*POWER(1-(AnnualChurn*VLOOKUP(AX33,ChurnSeasonTable,4,FALSE)),2)*BlendedPriceEliteAnnual*BA33</f>
        <v/>
      </c>
      <c r="CA33" s="9">
        <f>BX33+BY33+BZ33</f>
        <v/>
      </c>
      <c r="CB33" s="12">
        <f>SUM(CA22:CA33)</f>
        <v/>
      </c>
      <c r="CC33" s="12">
        <f>OR(CC32,IF(VATAgentMode,SUM($CA22:$CA33)-SUM($CH22:$CH33)&gt;=VATThreshold,SUM($CA22:$CA33)&gt;=VATThreshold))</f>
        <v/>
      </c>
      <c r="CD33" s="9">
        <f>IF(CC33,IF(VATAgentMode,CA33-((CA33-CH33)-(CA33-CH33)/(1+VATRate)),CA33/(1+VATRate)),CA33)</f>
        <v/>
      </c>
      <c r="CE33" s="12">
        <f>CA33-CD33</f>
        <v/>
      </c>
      <c r="CF33" s="12">
        <f>IF(CC33=0,0,IF(AX33=1,SUMPRODUCT(--(($AY$5:$AY33=$AY33-1)*($AX$5:$AX33&gt;=10)*($AX$5:$AX33&lt;=12)),$CE$5:$CE33),IF(AX33=4,SUMPRODUCT(--(($AY$5:$AY33=$AY33)*($AX$5:$AX33&gt;=1)*($AX$5:$AX33&lt;=3)),$CE$5:$CE33),IF(AX33=7,SUMPRODUCT(--(($AY$5:$AY33=$AY33)*($AX$5:$AX33&gt;=4)*($AX$5:$AX33&lt;=6)),$CE$5:$CE33),IF(AX33=10,SUMPRODUCT(--(($AY$5:$AY33=$AY33)*($AX$5:$AX33&gt;=7)*($AX$5:$AX33&lt;=9)),$CE$5:$CE33),0)))))</f>
        <v/>
      </c>
      <c r="CG33" s="12">
        <f>CG32+CE33-CF33</f>
        <v/>
      </c>
      <c r="CH33" s="12">
        <f>IF(ProviderDelay&gt;=1,BO32*BlendedProvPayEss+BP32*BlendedProvPayPrem+BQ32*BlendedProvPayElite+BR32*BlendedProvPayEss+BS32*BlendedProvPayPrem+BT32*BlendedProvPayElite,BO33*BlendedProvPayEss+BP33*BlendedProvPayPrem+BQ33*BlendedProvPayElite+BR33*BlendedProvPayEss+BS33*BlendedProvPayPrem+BT33*BlendedProvPayElite)</f>
        <v/>
      </c>
      <c r="CI33" s="12">
        <f>CA33*PaymentFee</f>
        <v/>
      </c>
      <c r="CJ33" s="12">
        <f>BU33*OpsAI</f>
        <v/>
      </c>
      <c r="CK33" s="12">
        <f>MonthlyFixed</f>
        <v/>
      </c>
      <c r="CL33" s="12">
        <f>BE33*ReferralReward</f>
        <v/>
      </c>
      <c r="CM33" s="12">
        <f>BC33</f>
        <v/>
      </c>
      <c r="CN33" s="9">
        <f>CD33-CH33-CI33-CJ33-CK33-CL33-CM33</f>
        <v/>
      </c>
      <c r="CO33" s="9">
        <f>CO32+CA33-(CH33+CI33+CJ33+CK33+CL33+CM33+CF33)</f>
        <v/>
      </c>
      <c r="CP33" s="12">
        <f>IF(BU33&gt;0,BV33/BU33,0)</f>
        <v/>
      </c>
      <c r="CQ33" s="11">
        <f>IF(BU32&gt;0,MAX(0,(BU32+BF33-BU33)/BU32),0)</f>
        <v/>
      </c>
      <c r="CS33" s="12" t="n">
        <v>29</v>
      </c>
      <c r="CT33" s="12">
        <f>MOD(CS33-1+LaunchMonth-1,12)+1</f>
        <v/>
      </c>
      <c r="CU33" s="12">
        <f>INT((CS33-1+LaunchMonth-1)/12)+1</f>
        <v/>
      </c>
      <c r="CV33" s="12">
        <f>VLOOKUP(CT33,SeasonTable,2,FALSE)</f>
        <v/>
      </c>
      <c r="CW33" s="12">
        <f>(1+InflationRate)^INT((CS33-1)/12)</f>
        <v/>
      </c>
      <c r="CX33" s="11">
        <f>'Sens - Scenarios'!$D$5*VLOOKUP(CT33,ChurnSeasonTable,4,FALSE)</f>
        <v/>
      </c>
      <c r="CY33" s="12">
        <f>MIN(MAX(MktMin19plus,DW32*MktPct19plus),MAX(0,EK32-CashBuffer))</f>
        <v/>
      </c>
      <c r="CZ33" s="12">
        <f>IF(CY33&gt;0,MAX(1,ROUND(CY33/'Sens - Scenarios'!$D$8*CV33,0)),0)</f>
        <v/>
      </c>
      <c r="DA33" s="12">
        <f>IF(CZ33&gt;0,ROUND(CZ33*ReferralMix/(1-ReferralMix),0),0)</f>
        <v/>
      </c>
      <c r="DB33" s="12">
        <f>CZ33+DA33</f>
        <v/>
      </c>
      <c r="DC33" s="12">
        <f>ROUND(DB33*(1-'Sens - Scenarios'!$D$7),0)</f>
        <v/>
      </c>
      <c r="DD33" s="12">
        <f>DB33-DC33</f>
        <v/>
      </c>
      <c r="DE33" s="12">
        <f>ROUND(DC33*EssentialMix,0)</f>
        <v/>
      </c>
      <c r="DF33" s="12">
        <f>ROUND(DC33*PremiumMix,0)</f>
        <v/>
      </c>
      <c r="DG33" s="12">
        <f>DC33-DE33-DF33</f>
        <v/>
      </c>
      <c r="DH33" s="12">
        <f>ROUND(DD33*EssentialMix,0)</f>
        <v/>
      </c>
      <c r="DI33" s="12">
        <f>ROUND(DD33*PremiumMix,0)</f>
        <v/>
      </c>
      <c r="DJ33" s="12">
        <f>DD33-DH33-DI33</f>
        <v/>
      </c>
      <c r="DK33" s="12">
        <f>DE33+DE32+DE31+MAX(0,DK32-DE32-DE31)*(1-CX33)</f>
        <v/>
      </c>
      <c r="DL33" s="12">
        <f>DF33+DF32+DF31+MAX(0,DL32-DF32-DF31)*(1-CX33)</f>
        <v/>
      </c>
      <c r="DM33" s="12">
        <f>DG33+DG32+DG31+MAX(0,DM32-DG32-DG31)*(1-CX33)</f>
        <v/>
      </c>
      <c r="DN33" s="12">
        <f>DN32+DH33-DH21*('Sens - Scenarios'!$D$6*VLOOKUP(CT33,ChurnSeasonTable,4,FALSE))*POWER(1-('Sens - Scenarios'!$D$6*VLOOKUP(CT33,ChurnSeasonTable,4,FALSE)),0)+DH9*('Sens - Scenarios'!$D$6*VLOOKUP(CT33,ChurnSeasonTable,4,FALSE))*POWER(1-('Sens - Scenarios'!$D$6*VLOOKUP(CT33,ChurnSeasonTable,4,FALSE)),1)</f>
        <v/>
      </c>
      <c r="DO33" s="12">
        <f>DO32+DI33-DI21*('Sens - Scenarios'!$D$6*VLOOKUP(CT33,ChurnSeasonTable,4,FALSE))*POWER(1-('Sens - Scenarios'!$D$6*VLOOKUP(CT33,ChurnSeasonTable,4,FALSE)),0)+DI9*('Sens - Scenarios'!$D$6*VLOOKUP(CT33,ChurnSeasonTable,4,FALSE))*POWER(1-('Sens - Scenarios'!$D$6*VLOOKUP(CT33,ChurnSeasonTable,4,FALSE)),1)</f>
        <v/>
      </c>
      <c r="DP33" s="12">
        <f>DP32+DJ33-DJ21*('Sens - Scenarios'!$D$6*VLOOKUP(CT33,ChurnSeasonTable,4,FALSE))*POWER(1-('Sens - Scenarios'!$D$6*VLOOKUP(CT33,ChurnSeasonTable,4,FALSE)),0)+DJ9*('Sens - Scenarios'!$D$6*VLOOKUP(CT33,ChurnSeasonTable,4,FALSE))*POWER(1-('Sens - Scenarios'!$D$6*VLOOKUP(CT33,ChurnSeasonTable,4,FALSE)),1)</f>
        <v/>
      </c>
      <c r="DQ33" s="12">
        <f>DK33+DL33+DM33+DN33+DO33+DP33</f>
        <v/>
      </c>
      <c r="DR33" s="9">
        <f>DK33*BlendedPriceEssMonthly*CW33+DL33*BlendedPricePremMonthly*CW33+DM33*BlendedPriceEliteMonthly*CW33+DN33*BlendedPriceEssAnnual*CW33/12+DO33*BlendedPricePremAnnual*CW33/12+DP33*BlendedPriceEliteAnnual*CW33/12</f>
        <v/>
      </c>
      <c r="DS33" s="9">
        <f>DR33*12</f>
        <v/>
      </c>
      <c r="DT33" s="12">
        <f>DK33*BlendedPriceEssMonthly*CW33+DL33*BlendedPricePremMonthly*CW33+DM33*BlendedPriceEliteMonthly*CW33</f>
        <v/>
      </c>
      <c r="DU33" s="12">
        <f>DH33*BlendedPriceEssAnnual*CW33+DI33*BlendedPricePremAnnual*CW33+DJ33*BlendedPriceEliteAnnual*CW33</f>
        <v/>
      </c>
      <c r="DV33" s="12">
        <f>DH21*POWER(1-('Sens - Scenarios'!$D$6*VLOOKUP(CT33,ChurnSeasonTable,4,FALSE)),1)*BlendedPriceEssAnnual*CW33+DH9*POWER(1-('Sens - Scenarios'!$D$6*VLOOKUP(CT33,ChurnSeasonTable,4,FALSE)),2)*BlendedPriceEssAnnual*CW33+DI21*POWER(1-('Sens - Scenarios'!$D$6*VLOOKUP(CT33,ChurnSeasonTable,4,FALSE)),1)*BlendedPricePremAnnual*CW33+DI9*POWER(1-('Sens - Scenarios'!$D$6*VLOOKUP(CT33,ChurnSeasonTable,4,FALSE)),2)*BlendedPricePremAnnual*CW33+DJ21*POWER(1-('Sens - Scenarios'!$D$6*VLOOKUP(CT33,ChurnSeasonTable,4,FALSE)),1)*BlendedPriceEliteAnnual*CW33+DJ9*POWER(1-('Sens - Scenarios'!$D$6*VLOOKUP(CT33,ChurnSeasonTable,4,FALSE)),2)*BlendedPriceEliteAnnual*CW33</f>
        <v/>
      </c>
      <c r="DW33" s="9">
        <f>DT33+DU33+DV33</f>
        <v/>
      </c>
      <c r="DX33" s="12">
        <f>SUM(DW22:DW33)</f>
        <v/>
      </c>
      <c r="DY33" s="12">
        <f>OR(DY32,IF(VATAgentMode,SUM($DW22:$DW33)-SUM($ED22:$ED33)&gt;=VATThreshold,SUM($DW22:$DW33)&gt;=VATThreshold))</f>
        <v/>
      </c>
      <c r="DZ33" s="9">
        <f>IF(DY33,IF(VATAgentMode,DW33-((DW33-ED33)-(DW33-ED33)/(1+VATRate)),DW33/(1+VATRate)),DW33)</f>
        <v/>
      </c>
      <c r="EA33" s="12">
        <f>DW33-DZ33</f>
        <v/>
      </c>
      <c r="EB33" s="12">
        <f>IF(DY33=0,0,IF(CT33=1,SUMPRODUCT(--(($CU$5:$CU33=$CU33-1)*($CT$5:$CT33&gt;=10)*($CT$5:$CT33&lt;=12)),$EA$5:$EA33),IF(CT33=4,SUMPRODUCT(--(($CU$5:$CU33=$CU33)*($CT$5:$CT33&gt;=1)*($CT$5:$CT33&lt;=3)),$EA$5:$EA33),IF(CT33=7,SUMPRODUCT(--(($CU$5:$CU33=$CU33)*($CT$5:$CT33&gt;=4)*($CT$5:$CT33&lt;=6)),$EA$5:$EA33),IF(CT33=10,SUMPRODUCT(--(($CU$5:$CU33=$CU33)*($CT$5:$CT33&gt;=7)*($CT$5:$CT33&lt;=9)),$EA$5:$EA33),0)))))</f>
        <v/>
      </c>
      <c r="EC33" s="12">
        <f>EC32+EA33-EB33</f>
        <v/>
      </c>
      <c r="ED33" s="12">
        <f>IF(ProviderDelay&gt;=1,DK32*BlendedProvPayEss+DL32*BlendedProvPayPrem+DM32*BlendedProvPayElite+DN32*BlendedProvPayEss+DO32*BlendedProvPayPrem+DP32*BlendedProvPayElite,DK33*BlendedProvPayEss+DL33*BlendedProvPayPrem+DM33*BlendedProvPayElite+DN33*BlendedProvPayEss+DO33*BlendedProvPayPrem+DP33*BlendedProvPayElite)</f>
        <v/>
      </c>
      <c r="EE33" s="12">
        <f>DW33*PaymentFee</f>
        <v/>
      </c>
      <c r="EF33" s="12">
        <f>DQ33*OpsAI</f>
        <v/>
      </c>
      <c r="EG33" s="12">
        <f>MonthlyFixed</f>
        <v/>
      </c>
      <c r="EH33" s="12">
        <f>DA33*ReferralReward</f>
        <v/>
      </c>
      <c r="EI33" s="12">
        <f>CY33</f>
        <v/>
      </c>
      <c r="EJ33" s="9">
        <f>DZ33-ED33-EE33-EF33-EG33-EH33-EI33</f>
        <v/>
      </c>
      <c r="EK33" s="9">
        <f>EK32+DW33-(ED33+EE33+EF33+EG33+EH33+EI33+EB33)</f>
        <v/>
      </c>
      <c r="EL33" s="12">
        <f>IF(DQ33&gt;0,DR33/DQ33,0)</f>
        <v/>
      </c>
      <c r="EM33" s="11">
        <f>IF(DQ32&gt;0,MAX(0,(DQ32+DB33-DQ33)/DQ32),0)</f>
        <v/>
      </c>
      <c r="EO33" s="12" t="n">
        <v>29</v>
      </c>
      <c r="EP33" s="12">
        <f>MOD(EO33-1+LaunchMonth-1,12)+1</f>
        <v/>
      </c>
      <c r="EQ33" s="12">
        <f>INT((EO33-1+LaunchMonth-1)/12)+1</f>
        <v/>
      </c>
      <c r="ER33" s="12">
        <f>VLOOKUP(EP33,SeasonTable,2,FALSE)</f>
        <v/>
      </c>
      <c r="ES33" s="12">
        <f>(1+InflationRate)^INT((EO33-1)/12)</f>
        <v/>
      </c>
      <c r="ET33" s="11">
        <f>'Sens - Churn'!$A$13*VLOOKUP(EP33,ChurnSeasonTable,4,FALSE)</f>
        <v/>
      </c>
      <c r="EU33" s="12">
        <f>MIN(MAX(MktMin19plus,FS32*MktPct19plus),MAX(0,GG32-CashBuffer))</f>
        <v/>
      </c>
      <c r="EV33" s="12">
        <f>IF(EU33&gt;0,MAX(1,ROUND(EU33/CAC*ER33,0)),0)</f>
        <v/>
      </c>
      <c r="EW33" s="12">
        <f>IF(EV33&gt;0,ROUND(EV33*ReferralMix/(1-ReferralMix),0),0)</f>
        <v/>
      </c>
      <c r="EX33" s="12">
        <f>EV33+EW33</f>
        <v/>
      </c>
      <c r="EY33" s="12">
        <f>ROUND(EX33*(1-AnnualMix),0)</f>
        <v/>
      </c>
      <c r="EZ33" s="12">
        <f>EX33-EY33</f>
        <v/>
      </c>
      <c r="FA33" s="12">
        <f>ROUND(EY33*EssentialMix,0)</f>
        <v/>
      </c>
      <c r="FB33" s="12">
        <f>ROUND(EY33*PremiumMix,0)</f>
        <v/>
      </c>
      <c r="FC33" s="12">
        <f>EY33-FA33-FB33</f>
        <v/>
      </c>
      <c r="FD33" s="12">
        <f>ROUND(EZ33*EssentialMix,0)</f>
        <v/>
      </c>
      <c r="FE33" s="12">
        <f>ROUND(EZ33*PremiumMix,0)</f>
        <v/>
      </c>
      <c r="FF33" s="12">
        <f>EZ33-FD33-FE33</f>
        <v/>
      </c>
      <c r="FG33" s="12">
        <f>FA33+FA32+FA31+MAX(0,FG32-FA32-FA31)*(1-ET33)</f>
        <v/>
      </c>
      <c r="FH33" s="12">
        <f>FB33+FB32+FB31+MAX(0,FH32-FB32-FB31)*(1-ET33)</f>
        <v/>
      </c>
      <c r="FI33" s="12">
        <f>FC33+FC32+FC31+MAX(0,FI32-FC32-FC31)*(1-ET33)</f>
        <v/>
      </c>
      <c r="FJ33" s="12">
        <f>FJ32+FD33-FD21*(AnnualChurn*VLOOKUP(EP33,ChurnSeasonTable,4,FALSE))*POWER(1-(AnnualChurn*VLOOKUP(EP33,ChurnSeasonTable,4,FALSE)),0)+FD9*(AnnualChurn*VLOOKUP(EP33,ChurnSeasonTable,4,FALSE))*POWER(1-(AnnualChurn*VLOOKUP(EP33,ChurnSeasonTable,4,FALSE)),1)</f>
        <v/>
      </c>
      <c r="FK33" s="12">
        <f>FK32+FE33-FE21*(AnnualChurn*VLOOKUP(EP33,ChurnSeasonTable,4,FALSE))*POWER(1-(AnnualChurn*VLOOKUP(EP33,ChurnSeasonTable,4,FALSE)),0)+FE9*(AnnualChurn*VLOOKUP(EP33,ChurnSeasonTable,4,FALSE))*POWER(1-(AnnualChurn*VLOOKUP(EP33,ChurnSeasonTable,4,FALSE)),1)</f>
        <v/>
      </c>
      <c r="FL33" s="12">
        <f>FL32+FF33-FF21*(AnnualChurn*VLOOKUP(EP33,ChurnSeasonTable,4,FALSE))*POWER(1-(AnnualChurn*VLOOKUP(EP33,ChurnSeasonTable,4,FALSE)),0)+FF9*(AnnualChurn*VLOOKUP(EP33,ChurnSeasonTable,4,FALSE))*POWER(1-(AnnualChurn*VLOOKUP(EP33,ChurnSeasonTable,4,FALSE)),1)</f>
        <v/>
      </c>
      <c r="FM33" s="12">
        <f>FG33+FH33+FI33+FJ33+FK33+FL33</f>
        <v/>
      </c>
      <c r="FN33" s="9">
        <f>FG33*BlendedPriceEssMonthly*ES33+FH33*BlendedPricePremMonthly*ES33+FI33*BlendedPriceEliteMonthly*ES33+FJ33*BlendedPriceEssAnnual*ES33/12+FK33*BlendedPricePremAnnual*ES33/12+FL33*BlendedPriceEliteAnnual*ES33/12</f>
        <v/>
      </c>
      <c r="FO33" s="9">
        <f>FN33*12</f>
        <v/>
      </c>
      <c r="FP33" s="12">
        <f>FG33*BlendedPriceEssMonthly*ES33+FH33*BlendedPricePremMonthly*ES33+FI33*BlendedPriceEliteMonthly*ES33</f>
        <v/>
      </c>
      <c r="FQ33" s="12">
        <f>FD33*BlendedPriceEssAnnual*ES33+FE33*BlendedPricePremAnnual*ES33+FF33*BlendedPriceEliteAnnual*ES33</f>
        <v/>
      </c>
      <c r="FR33" s="12">
        <f>FD21*POWER(1-(AnnualChurn*VLOOKUP(EP33,ChurnSeasonTable,4,FALSE)),1)*BlendedPriceEssAnnual*ES33+FD9*POWER(1-(AnnualChurn*VLOOKUP(EP33,ChurnSeasonTable,4,FALSE)),2)*BlendedPriceEssAnnual*ES33+FE21*POWER(1-(AnnualChurn*VLOOKUP(EP33,ChurnSeasonTable,4,FALSE)),1)*BlendedPricePremAnnual*ES33+FE9*POWER(1-(AnnualChurn*VLOOKUP(EP33,ChurnSeasonTable,4,FALSE)),2)*BlendedPricePremAnnual*ES33+FF21*POWER(1-(AnnualChurn*VLOOKUP(EP33,ChurnSeasonTable,4,FALSE)),1)*BlendedPriceEliteAnnual*ES33+FF9*POWER(1-(AnnualChurn*VLOOKUP(EP33,ChurnSeasonTable,4,FALSE)),2)*BlendedPriceEliteAnnual*ES33</f>
        <v/>
      </c>
      <c r="FS33" s="9">
        <f>FP33+FQ33+FR33</f>
        <v/>
      </c>
      <c r="FT33" s="12">
        <f>SUM(FS22:FS33)</f>
        <v/>
      </c>
      <c r="FU33" s="12">
        <f>OR(FU32,IF(VATAgentMode,SUM($FS22:$FS33)-SUM($FZ22:$FZ33)&gt;=VATThreshold,SUM($FS22:$FS33)&gt;=VATThreshold))</f>
        <v/>
      </c>
      <c r="FV33" s="9">
        <f>IF(FU33,IF(VATAgentMode,FS33-((FS33-FZ33)-(FS33-FZ33)/(1+VATRate)),FS33/(1+VATRate)),FS33)</f>
        <v/>
      </c>
      <c r="FW33" s="12">
        <f>FS33-FV33</f>
        <v/>
      </c>
      <c r="FX33" s="12">
        <f>IF(FU33=0,0,IF(EP33=1,SUMPRODUCT(--(($EQ$5:$EQ33=$EQ33-1)*($EP$5:$EP33&gt;=10)*($EP$5:$EP33&lt;=12)),$FW$5:$FW33),IF(EP33=4,SUMPRODUCT(--(($EQ$5:$EQ33=$EQ33)*($EP$5:$EP33&gt;=1)*($EP$5:$EP33&lt;=3)),$FW$5:$FW33),IF(EP33=7,SUMPRODUCT(--(($EQ$5:$EQ33=$EQ33)*($EP$5:$EP33&gt;=4)*($EP$5:$EP33&lt;=6)),$FW$5:$FW33),IF(EP33=10,SUMPRODUCT(--(($EQ$5:$EQ33=$EQ33)*($EP$5:$EP33&gt;=7)*($EP$5:$EP33&lt;=9)),$FW$5:$FW33),0)))))</f>
        <v/>
      </c>
      <c r="FY33" s="12">
        <f>FY32+FW33-FX33</f>
        <v/>
      </c>
      <c r="FZ33" s="12">
        <f>IF(ProviderDelay&gt;=1,FG32*BlendedProvPayEss+FH32*BlendedProvPayPrem+FI32*BlendedProvPayElite+FJ32*BlendedProvPayEss+FK32*BlendedProvPayPrem+FL32*BlendedProvPayElite,FG33*BlendedProvPayEss+FH33*BlendedProvPayPrem+FI33*BlendedProvPayElite+FJ33*BlendedProvPayEss+FK33*BlendedProvPayPrem+FL33*BlendedProvPayElite)</f>
        <v/>
      </c>
      <c r="GA33" s="12">
        <f>FS33*PaymentFee</f>
        <v/>
      </c>
      <c r="GB33" s="12">
        <f>FM33*OpsAI</f>
        <v/>
      </c>
      <c r="GC33" s="12">
        <f>MonthlyFixed</f>
        <v/>
      </c>
      <c r="GD33" s="12">
        <f>EW33*ReferralReward</f>
        <v/>
      </c>
      <c r="GE33" s="12">
        <f>EU33</f>
        <v/>
      </c>
      <c r="GF33" s="9">
        <f>FV33-FZ33-GA33-GB33-GC33-GD33-GE33</f>
        <v/>
      </c>
      <c r="GG33" s="9">
        <f>GG32+FS33-(FZ33+GA33+GB33+GC33+GD33+GE33+FX33)</f>
        <v/>
      </c>
      <c r="GH33" s="12">
        <f>IF(FM33&gt;0,FN33/FM33,0)</f>
        <v/>
      </c>
      <c r="GI33" s="11">
        <f>IF(FM32&gt;0,MAX(0,(FM32+EX33-FM33)/FM32),0)</f>
        <v/>
      </c>
      <c r="GK33" s="12" t="n">
        <v>29</v>
      </c>
      <c r="GL33" s="12">
        <f>MOD(GK33-1+LaunchMonth-1,12)+1</f>
        <v/>
      </c>
      <c r="GM33" s="12">
        <f>INT((GK33-1+LaunchMonth-1)/12)+1</f>
        <v/>
      </c>
      <c r="GN33" s="12">
        <f>VLOOKUP(GL33,SeasonTable,2,FALSE)</f>
        <v/>
      </c>
      <c r="GO33" s="12">
        <f>(1+InflationRate)^INT((GK33-1)/12)</f>
        <v/>
      </c>
      <c r="GP33" s="11">
        <f>'Sens - Churn'!$A$14*VLOOKUP(GL33,ChurnSeasonTable,4,FALSE)</f>
        <v/>
      </c>
      <c r="GQ33" s="12">
        <f>MIN(MAX(MktMin19plus,HO32*MktPct19plus),MAX(0,IC32-CashBuffer))</f>
        <v/>
      </c>
      <c r="GR33" s="12">
        <f>IF(GQ33&gt;0,MAX(1,ROUND(GQ33/CAC*GN33,0)),0)</f>
        <v/>
      </c>
      <c r="GS33" s="12">
        <f>IF(GR33&gt;0,ROUND(GR33*ReferralMix/(1-ReferralMix),0),0)</f>
        <v/>
      </c>
      <c r="GT33" s="12">
        <f>GR33+GS33</f>
        <v/>
      </c>
      <c r="GU33" s="12">
        <f>ROUND(GT33*(1-AnnualMix),0)</f>
        <v/>
      </c>
      <c r="GV33" s="12">
        <f>GT33-GU33</f>
        <v/>
      </c>
      <c r="GW33" s="12">
        <f>ROUND(GU33*EssentialMix,0)</f>
        <v/>
      </c>
      <c r="GX33" s="12">
        <f>ROUND(GU33*PremiumMix,0)</f>
        <v/>
      </c>
      <c r="GY33" s="12">
        <f>GU33-GW33-GX33</f>
        <v/>
      </c>
      <c r="GZ33" s="12">
        <f>ROUND(GV33*EssentialMix,0)</f>
        <v/>
      </c>
      <c r="HA33" s="12">
        <f>ROUND(GV33*PremiumMix,0)</f>
        <v/>
      </c>
      <c r="HB33" s="12">
        <f>GV33-GZ33-HA33</f>
        <v/>
      </c>
      <c r="HC33" s="12">
        <f>GW33+GW32+GW31+MAX(0,HC32-GW32-GW31)*(1-GP33)</f>
        <v/>
      </c>
      <c r="HD33" s="12">
        <f>GX33+GX32+GX31+MAX(0,HD32-GX32-GX31)*(1-GP33)</f>
        <v/>
      </c>
      <c r="HE33" s="12">
        <f>GY33+GY32+GY31+MAX(0,HE32-GY32-GY31)*(1-GP33)</f>
        <v/>
      </c>
      <c r="HF33" s="12">
        <f>HF32+GZ33-GZ21*(AnnualChurn*VLOOKUP(GL33,ChurnSeasonTable,4,FALSE))*POWER(1-(AnnualChurn*VLOOKUP(GL33,ChurnSeasonTable,4,FALSE)),0)+GZ9*(AnnualChurn*VLOOKUP(GL33,ChurnSeasonTable,4,FALSE))*POWER(1-(AnnualChurn*VLOOKUP(GL33,ChurnSeasonTable,4,FALSE)),1)</f>
        <v/>
      </c>
      <c r="HG33" s="12">
        <f>HG32+HA33-HA21*(AnnualChurn*VLOOKUP(GL33,ChurnSeasonTable,4,FALSE))*POWER(1-(AnnualChurn*VLOOKUP(GL33,ChurnSeasonTable,4,FALSE)),0)+HA9*(AnnualChurn*VLOOKUP(GL33,ChurnSeasonTable,4,FALSE))*POWER(1-(AnnualChurn*VLOOKUP(GL33,ChurnSeasonTable,4,FALSE)),1)</f>
        <v/>
      </c>
      <c r="HH33" s="12">
        <f>HH32+HB33-HB21*(AnnualChurn*VLOOKUP(GL33,ChurnSeasonTable,4,FALSE))*POWER(1-(AnnualChurn*VLOOKUP(GL33,ChurnSeasonTable,4,FALSE)),0)+HB9*(AnnualChurn*VLOOKUP(GL33,ChurnSeasonTable,4,FALSE))*POWER(1-(AnnualChurn*VLOOKUP(GL33,ChurnSeasonTable,4,FALSE)),1)</f>
        <v/>
      </c>
      <c r="HI33" s="12">
        <f>HC33+HD33+HE33+HF33+HG33+HH33</f>
        <v/>
      </c>
      <c r="HJ33" s="9">
        <f>HC33*BlendedPriceEssMonthly*GO33+HD33*BlendedPricePremMonthly*GO33+HE33*BlendedPriceEliteMonthly*GO33+HF33*BlendedPriceEssAnnual*GO33/12+HG33*BlendedPricePremAnnual*GO33/12+HH33*BlendedPriceEliteAnnual*GO33/12</f>
        <v/>
      </c>
      <c r="HK33" s="9">
        <f>HJ33*12</f>
        <v/>
      </c>
      <c r="HL33" s="12">
        <f>HC33*BlendedPriceEssMonthly*GO33+HD33*BlendedPricePremMonthly*GO33+HE33*BlendedPriceEliteMonthly*GO33</f>
        <v/>
      </c>
      <c r="HM33" s="12">
        <f>GZ33*BlendedPriceEssAnnual*GO33+HA33*BlendedPricePremAnnual*GO33+HB33*BlendedPriceEliteAnnual*GO33</f>
        <v/>
      </c>
      <c r="HN33" s="12">
        <f>GZ21*POWER(1-(AnnualChurn*VLOOKUP(GL33,ChurnSeasonTable,4,FALSE)),1)*BlendedPriceEssAnnual*GO33+GZ9*POWER(1-(AnnualChurn*VLOOKUP(GL33,ChurnSeasonTable,4,FALSE)),2)*BlendedPriceEssAnnual*GO33+HA21*POWER(1-(AnnualChurn*VLOOKUP(GL33,ChurnSeasonTable,4,FALSE)),1)*BlendedPricePremAnnual*GO33+HA9*POWER(1-(AnnualChurn*VLOOKUP(GL33,ChurnSeasonTable,4,FALSE)),2)*BlendedPricePremAnnual*GO33+HB21*POWER(1-(AnnualChurn*VLOOKUP(GL33,ChurnSeasonTable,4,FALSE)),1)*BlendedPriceEliteAnnual*GO33+HB9*POWER(1-(AnnualChurn*VLOOKUP(GL33,ChurnSeasonTable,4,FALSE)),2)*BlendedPriceEliteAnnual*GO33</f>
        <v/>
      </c>
      <c r="HO33" s="9">
        <f>HL33+HM33+HN33</f>
        <v/>
      </c>
      <c r="HP33" s="12">
        <f>SUM(HO22:HO33)</f>
        <v/>
      </c>
      <c r="HQ33" s="12">
        <f>OR(HQ32,IF(VATAgentMode,SUM($HO22:$HO33)-SUM($HV22:$HV33)&gt;=VATThreshold,SUM($HO22:$HO33)&gt;=VATThreshold))</f>
        <v/>
      </c>
      <c r="HR33" s="9">
        <f>IF(HQ33,IF(VATAgentMode,HO33-((HO33-HV33)-(HO33-HV33)/(1+VATRate)),HO33/(1+VATRate)),HO33)</f>
        <v/>
      </c>
      <c r="HS33" s="12">
        <f>HO33-HR33</f>
        <v/>
      </c>
      <c r="HT33" s="12">
        <f>IF(HQ33=0,0,IF(GL33=1,SUMPRODUCT(--(($GM$5:$GM33=$GM33-1)*($GL$5:$GL33&gt;=10)*($GL$5:$GL33&lt;=12)),$HS$5:$HS33),IF(GL33=4,SUMPRODUCT(--(($GM$5:$GM33=$GM33)*($GL$5:$GL33&gt;=1)*($GL$5:$GL33&lt;=3)),$HS$5:$HS33),IF(GL33=7,SUMPRODUCT(--(($GM$5:$GM33=$GM33)*($GL$5:$GL33&gt;=4)*($GL$5:$GL33&lt;=6)),$HS$5:$HS33),IF(GL33=10,SUMPRODUCT(--(($GM$5:$GM33=$GM33)*($GL$5:$GL33&gt;=7)*($GL$5:$GL33&lt;=9)),$HS$5:$HS33),0)))))</f>
        <v/>
      </c>
      <c r="HU33" s="12">
        <f>HU32+HS33-HT33</f>
        <v/>
      </c>
      <c r="HV33" s="12">
        <f>IF(ProviderDelay&gt;=1,HC32*BlendedProvPayEss+HD32*BlendedProvPayPrem+HE32*BlendedProvPayElite+HF32*BlendedProvPayEss+HG32*BlendedProvPayPrem+HH32*BlendedProvPayElite,HC33*BlendedProvPayEss+HD33*BlendedProvPayPrem+HE33*BlendedProvPayElite+HF33*BlendedProvPayEss+HG33*BlendedProvPayPrem+HH33*BlendedProvPayElite)</f>
        <v/>
      </c>
      <c r="HW33" s="12">
        <f>HO33*PaymentFee</f>
        <v/>
      </c>
      <c r="HX33" s="12">
        <f>HI33*OpsAI</f>
        <v/>
      </c>
      <c r="HY33" s="12">
        <f>MonthlyFixed</f>
        <v/>
      </c>
      <c r="HZ33" s="12">
        <f>GS33*ReferralReward</f>
        <v/>
      </c>
      <c r="IA33" s="12">
        <f>GQ33</f>
        <v/>
      </c>
      <c r="IB33" s="9">
        <f>HR33-HV33-HW33-HX33-HY33-HZ33-IA33</f>
        <v/>
      </c>
      <c r="IC33" s="9">
        <f>IC32+HO33-(HV33+HW33+HX33+HY33+HZ33+IA33+HT33)</f>
        <v/>
      </c>
      <c r="ID33" s="12">
        <f>IF(HI33&gt;0,HJ33/HI33,0)</f>
        <v/>
      </c>
      <c r="IE33" s="11">
        <f>IF(HI32&gt;0,MAX(0,(HI32+GT33-HI33)/HI32),0)</f>
        <v/>
      </c>
      <c r="IG33" s="12" t="n">
        <v>29</v>
      </c>
      <c r="IH33" s="12">
        <f>MOD(IG33-1+LaunchMonth-1,12)+1</f>
        <v/>
      </c>
      <c r="II33" s="12">
        <f>INT((IG33-1+LaunchMonth-1)/12)+1</f>
        <v/>
      </c>
      <c r="IJ33" s="12">
        <f>VLOOKUP(IH33,SeasonTable,2,FALSE)</f>
        <v/>
      </c>
      <c r="IK33" s="12">
        <f>(1+InflationRate)^INT((IG33-1)/12)</f>
        <v/>
      </c>
      <c r="IL33" s="11">
        <f>'Sens - Churn'!$A$15*VLOOKUP(IH33,ChurnSeasonTable,4,FALSE)</f>
        <v/>
      </c>
      <c r="IM33" s="12">
        <f>MIN(MAX(MktMin19plus,JK32*MktPct19plus),MAX(0,JY32-CashBuffer))</f>
        <v/>
      </c>
      <c r="IN33" s="12">
        <f>IF(IM33&gt;0,MAX(1,ROUND(IM33/CAC*IJ33,0)),0)</f>
        <v/>
      </c>
      <c r="IO33" s="12">
        <f>IF(IN33&gt;0,ROUND(IN33*ReferralMix/(1-ReferralMix),0),0)</f>
        <v/>
      </c>
      <c r="IP33" s="12">
        <f>IN33+IO33</f>
        <v/>
      </c>
      <c r="IQ33" s="12">
        <f>ROUND(IP33*(1-AnnualMix),0)</f>
        <v/>
      </c>
      <c r="IR33" s="12">
        <f>IP33-IQ33</f>
        <v/>
      </c>
      <c r="IS33" s="12">
        <f>ROUND(IQ33*EssentialMix,0)</f>
        <v/>
      </c>
      <c r="IT33" s="12">
        <f>ROUND(IQ33*PremiumMix,0)</f>
        <v/>
      </c>
      <c r="IU33" s="12">
        <f>IQ33-IS33-IT33</f>
        <v/>
      </c>
      <c r="IV33" s="12">
        <f>ROUND(IR33*EssentialMix,0)</f>
        <v/>
      </c>
      <c r="IW33" s="12">
        <f>ROUND(IR33*PremiumMix,0)</f>
        <v/>
      </c>
      <c r="IX33" s="12">
        <f>IR33-IV33-IW33</f>
        <v/>
      </c>
      <c r="IY33" s="12">
        <f>IS33+IS32+IS31+MAX(0,IY32-IS32-IS31)*(1-IL33)</f>
        <v/>
      </c>
      <c r="IZ33" s="12">
        <f>IT33+IT32+IT31+MAX(0,IZ32-IT32-IT31)*(1-IL33)</f>
        <v/>
      </c>
      <c r="JA33" s="12">
        <f>IU33+IU32+IU31+MAX(0,JA32-IU32-IU31)*(1-IL33)</f>
        <v/>
      </c>
      <c r="JB33" s="12">
        <f>JB32+IV33-IV21*(AnnualChurn*VLOOKUP(IH33,ChurnSeasonTable,4,FALSE))*POWER(1-(AnnualChurn*VLOOKUP(IH33,ChurnSeasonTable,4,FALSE)),0)+IV9*(AnnualChurn*VLOOKUP(IH33,ChurnSeasonTable,4,FALSE))*POWER(1-(AnnualChurn*VLOOKUP(IH33,ChurnSeasonTable,4,FALSE)),1)</f>
        <v/>
      </c>
      <c r="JC33" s="12">
        <f>JC32+IW33-IW21*(AnnualChurn*VLOOKUP(IH33,ChurnSeasonTable,4,FALSE))*POWER(1-(AnnualChurn*VLOOKUP(IH33,ChurnSeasonTable,4,FALSE)),0)+IW9*(AnnualChurn*VLOOKUP(IH33,ChurnSeasonTable,4,FALSE))*POWER(1-(AnnualChurn*VLOOKUP(IH33,ChurnSeasonTable,4,FALSE)),1)</f>
        <v/>
      </c>
      <c r="JD33" s="12">
        <f>JD32+IX33-IX21*(AnnualChurn*VLOOKUP(IH33,ChurnSeasonTable,4,FALSE))*POWER(1-(AnnualChurn*VLOOKUP(IH33,ChurnSeasonTable,4,FALSE)),0)+IX9*(AnnualChurn*VLOOKUP(IH33,ChurnSeasonTable,4,FALSE))*POWER(1-(AnnualChurn*VLOOKUP(IH33,ChurnSeasonTable,4,FALSE)),1)</f>
        <v/>
      </c>
      <c r="JE33" s="12">
        <f>IY33+IZ33+JA33+JB33+JC33+JD33</f>
        <v/>
      </c>
      <c r="JF33" s="9">
        <f>IY33*BlendedPriceEssMonthly*IK33+IZ33*BlendedPricePremMonthly*IK33+JA33*BlendedPriceEliteMonthly*IK33+JB33*BlendedPriceEssAnnual*IK33/12+JC33*BlendedPricePremAnnual*IK33/12+JD33*BlendedPriceEliteAnnual*IK33/12</f>
        <v/>
      </c>
      <c r="JG33" s="9">
        <f>JF33*12</f>
        <v/>
      </c>
      <c r="JH33" s="12">
        <f>IY33*BlendedPriceEssMonthly*IK33+IZ33*BlendedPricePremMonthly*IK33+JA33*BlendedPriceEliteMonthly*IK33</f>
        <v/>
      </c>
      <c r="JI33" s="12">
        <f>IV33*BlendedPriceEssAnnual*IK33+IW33*BlendedPricePremAnnual*IK33+IX33*BlendedPriceEliteAnnual*IK33</f>
        <v/>
      </c>
      <c r="JJ33" s="12">
        <f>IV21*POWER(1-(AnnualChurn*VLOOKUP(IH33,ChurnSeasonTable,4,FALSE)),1)*BlendedPriceEssAnnual*IK33+IV9*POWER(1-(AnnualChurn*VLOOKUP(IH33,ChurnSeasonTable,4,FALSE)),2)*BlendedPriceEssAnnual*IK33+IW21*POWER(1-(AnnualChurn*VLOOKUP(IH33,ChurnSeasonTable,4,FALSE)),1)*BlendedPricePremAnnual*IK33+IW9*POWER(1-(AnnualChurn*VLOOKUP(IH33,ChurnSeasonTable,4,FALSE)),2)*BlendedPricePremAnnual*IK33+IX21*POWER(1-(AnnualChurn*VLOOKUP(IH33,ChurnSeasonTable,4,FALSE)),1)*BlendedPriceEliteAnnual*IK33+IX9*POWER(1-(AnnualChurn*VLOOKUP(IH33,ChurnSeasonTable,4,FALSE)),2)*BlendedPriceEliteAnnual*IK33</f>
        <v/>
      </c>
      <c r="JK33" s="9">
        <f>JH33+JI33+JJ33</f>
        <v/>
      </c>
      <c r="JL33" s="12">
        <f>SUM(JK22:JK33)</f>
        <v/>
      </c>
      <c r="JM33" s="12">
        <f>OR(JM32,IF(VATAgentMode,SUM($JK22:$JK33)-SUM($JR22:$JR33)&gt;=VATThreshold,SUM($JK22:$JK33)&gt;=VATThreshold))</f>
        <v/>
      </c>
      <c r="JN33" s="9">
        <f>IF(JM33,IF(VATAgentMode,JK33-((JK33-JR33)-(JK33-JR33)/(1+VATRate)),JK33/(1+VATRate)),JK33)</f>
        <v/>
      </c>
      <c r="JO33" s="12">
        <f>JK33-JN33</f>
        <v/>
      </c>
      <c r="JP33" s="12">
        <f>IF(JM33=0,0,IF(IH33=1,SUMPRODUCT(--(($II$5:$II33=$II33-1)*($IH$5:$IH33&gt;=10)*($IH$5:$IH33&lt;=12)),$JO$5:$JO33),IF(IH33=4,SUMPRODUCT(--(($II$5:$II33=$II33)*($IH$5:$IH33&gt;=1)*($IH$5:$IH33&lt;=3)),$JO$5:$JO33),IF(IH33=7,SUMPRODUCT(--(($II$5:$II33=$II33)*($IH$5:$IH33&gt;=4)*($IH$5:$IH33&lt;=6)),$JO$5:$JO33),IF(IH33=10,SUMPRODUCT(--(($II$5:$II33=$II33)*($IH$5:$IH33&gt;=7)*($IH$5:$IH33&lt;=9)),$JO$5:$JO33),0)))))</f>
        <v/>
      </c>
      <c r="JQ33" s="12">
        <f>JQ32+JO33-JP33</f>
        <v/>
      </c>
      <c r="JR33" s="12">
        <f>IF(ProviderDelay&gt;=1,IY32*BlendedProvPayEss+IZ32*BlendedProvPayPrem+JA32*BlendedProvPayElite+JB32*BlendedProvPayEss+JC32*BlendedProvPayPrem+JD32*BlendedProvPayElite,IY33*BlendedProvPayEss+IZ33*BlendedProvPayPrem+JA33*BlendedProvPayElite+JB33*BlendedProvPayEss+JC33*BlendedProvPayPrem+JD33*BlendedProvPayElite)</f>
        <v/>
      </c>
      <c r="JS33" s="12">
        <f>JK33*PaymentFee</f>
        <v/>
      </c>
      <c r="JT33" s="12">
        <f>JE33*OpsAI</f>
        <v/>
      </c>
      <c r="JU33" s="12">
        <f>MonthlyFixed</f>
        <v/>
      </c>
      <c r="JV33" s="12">
        <f>IO33*ReferralReward</f>
        <v/>
      </c>
      <c r="JW33" s="12">
        <f>IM33</f>
        <v/>
      </c>
      <c r="JX33" s="9">
        <f>JN33-JR33-JS33-JT33-JU33-JV33-JW33</f>
        <v/>
      </c>
      <c r="JY33" s="9">
        <f>JY32+JK33-(JR33+JS33+JT33+JU33+JV33+JW33+JP33)</f>
        <v/>
      </c>
      <c r="JZ33" s="12">
        <f>IF(JE33&gt;0,JF33/JE33,0)</f>
        <v/>
      </c>
      <c r="KA33" s="11">
        <f>IF(JE32&gt;0,MAX(0,(JE32+IP33-JE33)/JE32),0)</f>
        <v/>
      </c>
      <c r="KC33" s="12" t="n">
        <v>29</v>
      </c>
      <c r="KD33" s="12">
        <f>MOD(KC33-1+LaunchMonth-1,12)+1</f>
        <v/>
      </c>
      <c r="KE33" s="12">
        <f>INT((KC33-1+LaunchMonth-1)/12)+1</f>
        <v/>
      </c>
      <c r="KF33" s="12">
        <f>VLOOKUP(KD33,SeasonTable,2,FALSE)</f>
        <v/>
      </c>
      <c r="KG33" s="12">
        <f>(1+InflationRate)^INT((KC33-1)/12)</f>
        <v/>
      </c>
      <c r="KH33" s="11">
        <f>'Sens - Churn'!$A$16*VLOOKUP(KD33,ChurnSeasonTable,4,FALSE)</f>
        <v/>
      </c>
      <c r="KI33" s="12">
        <f>MIN(MAX(MktMin19plus,LG32*MktPct19plus),MAX(0,LU32-CashBuffer))</f>
        <v/>
      </c>
      <c r="KJ33" s="12">
        <f>IF(KI33&gt;0,MAX(1,ROUND(KI33/CAC*KF33,0)),0)</f>
        <v/>
      </c>
      <c r="KK33" s="12">
        <f>IF(KJ33&gt;0,ROUND(KJ33*ReferralMix/(1-ReferralMix),0),0)</f>
        <v/>
      </c>
      <c r="KL33" s="12">
        <f>KJ33+KK33</f>
        <v/>
      </c>
      <c r="KM33" s="12">
        <f>ROUND(KL33*(1-AnnualMix),0)</f>
        <v/>
      </c>
      <c r="KN33" s="12">
        <f>KL33-KM33</f>
        <v/>
      </c>
      <c r="KO33" s="12">
        <f>ROUND(KM33*EssentialMix,0)</f>
        <v/>
      </c>
      <c r="KP33" s="12">
        <f>ROUND(KM33*PremiumMix,0)</f>
        <v/>
      </c>
      <c r="KQ33" s="12">
        <f>KM33-KO33-KP33</f>
        <v/>
      </c>
      <c r="KR33" s="12">
        <f>ROUND(KN33*EssentialMix,0)</f>
        <v/>
      </c>
      <c r="KS33" s="12">
        <f>ROUND(KN33*PremiumMix,0)</f>
        <v/>
      </c>
      <c r="KT33" s="12">
        <f>KN33-KR33-KS33</f>
        <v/>
      </c>
      <c r="KU33" s="12">
        <f>KO33+KO32+KO31+MAX(0,KU32-KO32-KO31)*(1-KH33)</f>
        <v/>
      </c>
      <c r="KV33" s="12">
        <f>KP33+KP32+KP31+MAX(0,KV32-KP32-KP31)*(1-KH33)</f>
        <v/>
      </c>
      <c r="KW33" s="12">
        <f>KQ33+KQ32+KQ31+MAX(0,KW32-KQ32-KQ31)*(1-KH33)</f>
        <v/>
      </c>
      <c r="KX33" s="12">
        <f>KX32+KR33-KR21*(AnnualChurn*VLOOKUP(KD33,ChurnSeasonTable,4,FALSE))*POWER(1-(AnnualChurn*VLOOKUP(KD33,ChurnSeasonTable,4,FALSE)),0)+KR9*(AnnualChurn*VLOOKUP(KD33,ChurnSeasonTable,4,FALSE))*POWER(1-(AnnualChurn*VLOOKUP(KD33,ChurnSeasonTable,4,FALSE)),1)</f>
        <v/>
      </c>
      <c r="KY33" s="12">
        <f>KY32+KS33-KS21*(AnnualChurn*VLOOKUP(KD33,ChurnSeasonTable,4,FALSE))*POWER(1-(AnnualChurn*VLOOKUP(KD33,ChurnSeasonTable,4,FALSE)),0)+KS9*(AnnualChurn*VLOOKUP(KD33,ChurnSeasonTable,4,FALSE))*POWER(1-(AnnualChurn*VLOOKUP(KD33,ChurnSeasonTable,4,FALSE)),1)</f>
        <v/>
      </c>
      <c r="KZ33" s="12">
        <f>KZ32+KT33-KT21*(AnnualChurn*VLOOKUP(KD33,ChurnSeasonTable,4,FALSE))*POWER(1-(AnnualChurn*VLOOKUP(KD33,ChurnSeasonTable,4,FALSE)),0)+KT9*(AnnualChurn*VLOOKUP(KD33,ChurnSeasonTable,4,FALSE))*POWER(1-(AnnualChurn*VLOOKUP(KD33,ChurnSeasonTable,4,FALSE)),1)</f>
        <v/>
      </c>
      <c r="LA33" s="12">
        <f>KU33+KV33+KW33+KX33+KY33+KZ33</f>
        <v/>
      </c>
      <c r="LB33" s="9">
        <f>KU33*BlendedPriceEssMonthly*KG33+KV33*BlendedPricePremMonthly*KG33+KW33*BlendedPriceEliteMonthly*KG33+KX33*BlendedPriceEssAnnual*KG33/12+KY33*BlendedPricePremAnnual*KG33/12+KZ33*BlendedPriceEliteAnnual*KG33/12</f>
        <v/>
      </c>
      <c r="LC33" s="9">
        <f>LB33*12</f>
        <v/>
      </c>
      <c r="LD33" s="12">
        <f>KU33*BlendedPriceEssMonthly*KG33+KV33*BlendedPricePremMonthly*KG33+KW33*BlendedPriceEliteMonthly*KG33</f>
        <v/>
      </c>
      <c r="LE33" s="12">
        <f>KR33*BlendedPriceEssAnnual*KG33+KS33*BlendedPricePremAnnual*KG33+KT33*BlendedPriceEliteAnnual*KG33</f>
        <v/>
      </c>
      <c r="LF33" s="12">
        <f>KR21*POWER(1-(AnnualChurn*VLOOKUP(KD33,ChurnSeasonTable,4,FALSE)),1)*BlendedPriceEssAnnual*KG33+KR9*POWER(1-(AnnualChurn*VLOOKUP(KD33,ChurnSeasonTable,4,FALSE)),2)*BlendedPriceEssAnnual*KG33+KS21*POWER(1-(AnnualChurn*VLOOKUP(KD33,ChurnSeasonTable,4,FALSE)),1)*BlendedPricePremAnnual*KG33+KS9*POWER(1-(AnnualChurn*VLOOKUP(KD33,ChurnSeasonTable,4,FALSE)),2)*BlendedPricePremAnnual*KG33+KT21*POWER(1-(AnnualChurn*VLOOKUP(KD33,ChurnSeasonTable,4,FALSE)),1)*BlendedPriceEliteAnnual*KG33+KT9*POWER(1-(AnnualChurn*VLOOKUP(KD33,ChurnSeasonTable,4,FALSE)),2)*BlendedPriceEliteAnnual*KG33</f>
        <v/>
      </c>
      <c r="LG33" s="9">
        <f>LD33+LE33+LF33</f>
        <v/>
      </c>
      <c r="LH33" s="12">
        <f>SUM(LG22:LG33)</f>
        <v/>
      </c>
      <c r="LI33" s="12">
        <f>OR(LI32,IF(VATAgentMode,SUM($LG22:$LG33)-SUM($LN22:$LN33)&gt;=VATThreshold,SUM($LG22:$LG33)&gt;=VATThreshold))</f>
        <v/>
      </c>
      <c r="LJ33" s="9">
        <f>IF(LI33,IF(VATAgentMode,LG33-((LG33-LN33)-(LG33-LN33)/(1+VATRate)),LG33/(1+VATRate)),LG33)</f>
        <v/>
      </c>
      <c r="LK33" s="12">
        <f>LG33-LJ33</f>
        <v/>
      </c>
      <c r="LL33" s="12">
        <f>IF(LI33=0,0,IF(KD33=1,SUMPRODUCT(--(($KE$5:$KE33=$KE33-1)*($KD$5:$KD33&gt;=10)*($KD$5:$KD33&lt;=12)),$LK$5:$LK33),IF(KD33=4,SUMPRODUCT(--(($KE$5:$KE33=$KE33)*($KD$5:$KD33&gt;=1)*($KD$5:$KD33&lt;=3)),$LK$5:$LK33),IF(KD33=7,SUMPRODUCT(--(($KE$5:$KE33=$KE33)*($KD$5:$KD33&gt;=4)*($KD$5:$KD33&lt;=6)),$LK$5:$LK33),IF(KD33=10,SUMPRODUCT(--(($KE$5:$KE33=$KE33)*($KD$5:$KD33&gt;=7)*($KD$5:$KD33&lt;=9)),$LK$5:$LK33),0)))))</f>
        <v/>
      </c>
      <c r="LM33" s="12">
        <f>LM32+LK33-LL33</f>
        <v/>
      </c>
      <c r="LN33" s="12">
        <f>IF(ProviderDelay&gt;=1,KU32*BlendedProvPayEss+KV32*BlendedProvPayPrem+KW32*BlendedProvPayElite+KX32*BlendedProvPayEss+KY32*BlendedProvPayPrem+KZ32*BlendedProvPayElite,KU33*BlendedProvPayEss+KV33*BlendedProvPayPrem+KW33*BlendedProvPayElite+KX33*BlendedProvPayEss+KY33*BlendedProvPayPrem+KZ33*BlendedProvPayElite)</f>
        <v/>
      </c>
      <c r="LO33" s="12">
        <f>LG33*PaymentFee</f>
        <v/>
      </c>
      <c r="LP33" s="12">
        <f>LA33*OpsAI</f>
        <v/>
      </c>
      <c r="LQ33" s="12">
        <f>MonthlyFixed</f>
        <v/>
      </c>
      <c r="LR33" s="12">
        <f>KK33*ReferralReward</f>
        <v/>
      </c>
      <c r="LS33" s="12">
        <f>KI33</f>
        <v/>
      </c>
      <c r="LT33" s="9">
        <f>LJ33-LN33-LO33-LP33-LQ33-LR33-LS33</f>
        <v/>
      </c>
      <c r="LU33" s="9">
        <f>LU32+LG33-(LN33+LO33+LP33+LQ33+LR33+LS33+LL33)</f>
        <v/>
      </c>
      <c r="LV33" s="12">
        <f>IF(LA33&gt;0,LB33/LA33,0)</f>
        <v/>
      </c>
      <c r="LW33" s="11">
        <f>IF(LA32&gt;0,MAX(0,(LA32+KL33-LA33)/LA32),0)</f>
        <v/>
      </c>
      <c r="LY33" s="12" t="n">
        <v>29</v>
      </c>
      <c r="LZ33" s="12">
        <f>MOD(LY33-1+LaunchMonth-1,12)+1</f>
        <v/>
      </c>
      <c r="MA33" s="12">
        <f>INT((LY33-1+LaunchMonth-1)/12)+1</f>
        <v/>
      </c>
      <c r="MB33" s="12">
        <f>VLOOKUP(LZ33,SeasonTable,2,FALSE)</f>
        <v/>
      </c>
      <c r="MC33" s="12">
        <f>(1+InflationRate)^INT((LY33-1)/12)</f>
        <v/>
      </c>
      <c r="MD33" s="11">
        <f>'Sens - Churn'!$A$17*VLOOKUP(LZ33,ChurnSeasonTable,4,FALSE)</f>
        <v/>
      </c>
      <c r="ME33" s="12">
        <f>MIN(MAX(MktMin19plus,NC32*MktPct19plus),MAX(0,NQ32-CashBuffer))</f>
        <v/>
      </c>
      <c r="MF33" s="12">
        <f>IF(ME33&gt;0,MAX(1,ROUND(ME33/CAC*MB33,0)),0)</f>
        <v/>
      </c>
      <c r="MG33" s="12">
        <f>IF(MF33&gt;0,ROUND(MF33*ReferralMix/(1-ReferralMix),0),0)</f>
        <v/>
      </c>
      <c r="MH33" s="12">
        <f>MF33+MG33</f>
        <v/>
      </c>
      <c r="MI33" s="12">
        <f>ROUND(MH33*(1-AnnualMix),0)</f>
        <v/>
      </c>
      <c r="MJ33" s="12">
        <f>MH33-MI33</f>
        <v/>
      </c>
      <c r="MK33" s="12">
        <f>ROUND(MI33*EssentialMix,0)</f>
        <v/>
      </c>
      <c r="ML33" s="12">
        <f>ROUND(MI33*PremiumMix,0)</f>
        <v/>
      </c>
      <c r="MM33" s="12">
        <f>MI33-MK33-ML33</f>
        <v/>
      </c>
      <c r="MN33" s="12">
        <f>ROUND(MJ33*EssentialMix,0)</f>
        <v/>
      </c>
      <c r="MO33" s="12">
        <f>ROUND(MJ33*PremiumMix,0)</f>
        <v/>
      </c>
      <c r="MP33" s="12">
        <f>MJ33-MN33-MO33</f>
        <v/>
      </c>
      <c r="MQ33" s="12">
        <f>MK33+MK32+MK31+MAX(0,MQ32-MK32-MK31)*(1-MD33)</f>
        <v/>
      </c>
      <c r="MR33" s="12">
        <f>ML33+ML32+ML31+MAX(0,MR32-ML32-ML31)*(1-MD33)</f>
        <v/>
      </c>
      <c r="MS33" s="12">
        <f>MM33+MM32+MM31+MAX(0,MS32-MM32-MM31)*(1-MD33)</f>
        <v/>
      </c>
      <c r="MT33" s="12">
        <f>MT32+MN33-MN21*(AnnualChurn*VLOOKUP(LZ33,ChurnSeasonTable,4,FALSE))*POWER(1-(AnnualChurn*VLOOKUP(LZ33,ChurnSeasonTable,4,FALSE)),0)+MN9*(AnnualChurn*VLOOKUP(LZ33,ChurnSeasonTable,4,FALSE))*POWER(1-(AnnualChurn*VLOOKUP(LZ33,ChurnSeasonTable,4,FALSE)),1)</f>
        <v/>
      </c>
      <c r="MU33" s="12">
        <f>MU32+MO33-MO21*(AnnualChurn*VLOOKUP(LZ33,ChurnSeasonTable,4,FALSE))*POWER(1-(AnnualChurn*VLOOKUP(LZ33,ChurnSeasonTable,4,FALSE)),0)+MO9*(AnnualChurn*VLOOKUP(LZ33,ChurnSeasonTable,4,FALSE))*POWER(1-(AnnualChurn*VLOOKUP(LZ33,ChurnSeasonTable,4,FALSE)),1)</f>
        <v/>
      </c>
      <c r="MV33" s="12">
        <f>MV32+MP33-MP21*(AnnualChurn*VLOOKUP(LZ33,ChurnSeasonTable,4,FALSE))*POWER(1-(AnnualChurn*VLOOKUP(LZ33,ChurnSeasonTable,4,FALSE)),0)+MP9*(AnnualChurn*VLOOKUP(LZ33,ChurnSeasonTable,4,FALSE))*POWER(1-(AnnualChurn*VLOOKUP(LZ33,ChurnSeasonTable,4,FALSE)),1)</f>
        <v/>
      </c>
      <c r="MW33" s="12">
        <f>MQ33+MR33+MS33+MT33+MU33+MV33</f>
        <v/>
      </c>
      <c r="MX33" s="9">
        <f>MQ33*BlendedPriceEssMonthly*MC33+MR33*BlendedPricePremMonthly*MC33+MS33*BlendedPriceEliteMonthly*MC33+MT33*BlendedPriceEssAnnual*MC33/12+MU33*BlendedPricePremAnnual*MC33/12+MV33*BlendedPriceEliteAnnual*MC33/12</f>
        <v/>
      </c>
      <c r="MY33" s="9">
        <f>MX33*12</f>
        <v/>
      </c>
      <c r="MZ33" s="12">
        <f>MQ33*BlendedPriceEssMonthly*MC33+MR33*BlendedPricePremMonthly*MC33+MS33*BlendedPriceEliteMonthly*MC33</f>
        <v/>
      </c>
      <c r="NA33" s="12">
        <f>MN33*BlendedPriceEssAnnual*MC33+MO33*BlendedPricePremAnnual*MC33+MP33*BlendedPriceEliteAnnual*MC33</f>
        <v/>
      </c>
      <c r="NB33" s="12">
        <f>MN21*POWER(1-(AnnualChurn*VLOOKUP(LZ33,ChurnSeasonTable,4,FALSE)),1)*BlendedPriceEssAnnual*MC33+MN9*POWER(1-(AnnualChurn*VLOOKUP(LZ33,ChurnSeasonTable,4,FALSE)),2)*BlendedPriceEssAnnual*MC33+MO21*POWER(1-(AnnualChurn*VLOOKUP(LZ33,ChurnSeasonTable,4,FALSE)),1)*BlendedPricePremAnnual*MC33+MO9*POWER(1-(AnnualChurn*VLOOKUP(LZ33,ChurnSeasonTable,4,FALSE)),2)*BlendedPricePremAnnual*MC33+MP21*POWER(1-(AnnualChurn*VLOOKUP(LZ33,ChurnSeasonTable,4,FALSE)),1)*BlendedPriceEliteAnnual*MC33+MP9*POWER(1-(AnnualChurn*VLOOKUP(LZ33,ChurnSeasonTable,4,FALSE)),2)*BlendedPriceEliteAnnual*MC33</f>
        <v/>
      </c>
      <c r="NC33" s="9">
        <f>MZ33+NA33+NB33</f>
        <v/>
      </c>
      <c r="ND33" s="12">
        <f>SUM(NC22:NC33)</f>
        <v/>
      </c>
      <c r="NE33" s="12">
        <f>OR(NE32,IF(VATAgentMode,SUM($NC22:$NC33)-SUM($NJ22:$NJ33)&gt;=VATThreshold,SUM($NC22:$NC33)&gt;=VATThreshold))</f>
        <v/>
      </c>
      <c r="NF33" s="9">
        <f>IF(NE33,IF(VATAgentMode,NC33-((NC33-NJ33)-(NC33-NJ33)/(1+VATRate)),NC33/(1+VATRate)),NC33)</f>
        <v/>
      </c>
      <c r="NG33" s="12">
        <f>NC33-NF33</f>
        <v/>
      </c>
      <c r="NH33" s="12">
        <f>IF(NE33=0,0,IF(LZ33=1,SUMPRODUCT(--(($MA$5:$MA33=$MA33-1)*($LZ$5:$LZ33&gt;=10)*($LZ$5:$LZ33&lt;=12)),$NG$5:$NG33),IF(LZ33=4,SUMPRODUCT(--(($MA$5:$MA33=$MA33)*($LZ$5:$LZ33&gt;=1)*($LZ$5:$LZ33&lt;=3)),$NG$5:$NG33),IF(LZ33=7,SUMPRODUCT(--(($MA$5:$MA33=$MA33)*($LZ$5:$LZ33&gt;=4)*($LZ$5:$LZ33&lt;=6)),$NG$5:$NG33),IF(LZ33=10,SUMPRODUCT(--(($MA$5:$MA33=$MA33)*($LZ$5:$LZ33&gt;=7)*($LZ$5:$LZ33&lt;=9)),$NG$5:$NG33),0)))))</f>
        <v/>
      </c>
      <c r="NI33" s="12">
        <f>NI32+NG33-NH33</f>
        <v/>
      </c>
      <c r="NJ33" s="12">
        <f>IF(ProviderDelay&gt;=1,MQ32*BlendedProvPayEss+MR32*BlendedProvPayPrem+MS32*BlendedProvPayElite+MT32*BlendedProvPayEss+MU32*BlendedProvPayPrem+MV32*BlendedProvPayElite,MQ33*BlendedProvPayEss+MR33*BlendedProvPayPrem+MS33*BlendedProvPayElite+MT33*BlendedProvPayEss+MU33*BlendedProvPayPrem+MV33*BlendedProvPayElite)</f>
        <v/>
      </c>
      <c r="NK33" s="12">
        <f>NC33*PaymentFee</f>
        <v/>
      </c>
      <c r="NL33" s="12">
        <f>MW33*OpsAI</f>
        <v/>
      </c>
      <c r="NM33" s="12">
        <f>MonthlyFixed</f>
        <v/>
      </c>
      <c r="NN33" s="12">
        <f>MG33*ReferralReward</f>
        <v/>
      </c>
      <c r="NO33" s="12">
        <f>ME33</f>
        <v/>
      </c>
      <c r="NP33" s="9">
        <f>NF33-NJ33-NK33-NL33-NM33-NN33-NO33</f>
        <v/>
      </c>
      <c r="NQ33" s="9">
        <f>NQ32+NC33-(NJ33+NK33+NL33+NM33+NN33+NO33+NH33)</f>
        <v/>
      </c>
      <c r="NR33" s="12">
        <f>IF(MW33&gt;0,MX33/MW33,0)</f>
        <v/>
      </c>
      <c r="NS33" s="11">
        <f>IF(MW32&gt;0,MAX(0,(MW32+MH33-MW33)/MW32),0)</f>
        <v/>
      </c>
      <c r="NU33" s="12" t="n">
        <v>29</v>
      </c>
      <c r="NV33" s="12">
        <f>MOD(NU33-1+LaunchMonth-1,12)+1</f>
        <v/>
      </c>
      <c r="NW33" s="12">
        <f>INT((NU33-1+LaunchMonth-1)/12)+1</f>
        <v/>
      </c>
      <c r="NX33" s="12">
        <f>VLOOKUP(NV33,SeasonTable,2,FALSE)</f>
        <v/>
      </c>
      <c r="NY33" s="12">
        <f>(1+InflationRate)^INT((NU33-1)/12)</f>
        <v/>
      </c>
      <c r="NZ33" s="11">
        <f>'Sens - Churn'!$A$18*VLOOKUP(NV33,ChurnSeasonTable,4,FALSE)</f>
        <v/>
      </c>
      <c r="OA33" s="12">
        <f>MIN(MAX(MktMin19plus,OY32*MktPct19plus),MAX(0,PM32-CashBuffer))</f>
        <v/>
      </c>
      <c r="OB33" s="12">
        <f>IF(OA33&gt;0,MAX(1,ROUND(OA33/CAC*NX33,0)),0)</f>
        <v/>
      </c>
      <c r="OC33" s="12">
        <f>IF(OB33&gt;0,ROUND(OB33*ReferralMix/(1-ReferralMix),0),0)</f>
        <v/>
      </c>
      <c r="OD33" s="12">
        <f>OB33+OC33</f>
        <v/>
      </c>
      <c r="OE33" s="12">
        <f>ROUND(OD33*(1-AnnualMix),0)</f>
        <v/>
      </c>
      <c r="OF33" s="12">
        <f>OD33-OE33</f>
        <v/>
      </c>
      <c r="OG33" s="12">
        <f>ROUND(OE33*EssentialMix,0)</f>
        <v/>
      </c>
      <c r="OH33" s="12">
        <f>ROUND(OE33*PremiumMix,0)</f>
        <v/>
      </c>
      <c r="OI33" s="12">
        <f>OE33-OG33-OH33</f>
        <v/>
      </c>
      <c r="OJ33" s="12">
        <f>ROUND(OF33*EssentialMix,0)</f>
        <v/>
      </c>
      <c r="OK33" s="12">
        <f>ROUND(OF33*PremiumMix,0)</f>
        <v/>
      </c>
      <c r="OL33" s="12">
        <f>OF33-OJ33-OK33</f>
        <v/>
      </c>
      <c r="OM33" s="12">
        <f>OG33+OG32+OG31+MAX(0,OM32-OG32-OG31)*(1-NZ33)</f>
        <v/>
      </c>
      <c r="ON33" s="12">
        <f>OH33+OH32+OH31+MAX(0,ON32-OH32-OH31)*(1-NZ33)</f>
        <v/>
      </c>
      <c r="OO33" s="12">
        <f>OI33+OI32+OI31+MAX(0,OO32-OI32-OI31)*(1-NZ33)</f>
        <v/>
      </c>
      <c r="OP33" s="12">
        <f>OP32+OJ33-OJ21*(AnnualChurn*VLOOKUP(NV33,ChurnSeasonTable,4,FALSE))*POWER(1-(AnnualChurn*VLOOKUP(NV33,ChurnSeasonTable,4,FALSE)),0)+OJ9*(AnnualChurn*VLOOKUP(NV33,ChurnSeasonTable,4,FALSE))*POWER(1-(AnnualChurn*VLOOKUP(NV33,ChurnSeasonTable,4,FALSE)),1)</f>
        <v/>
      </c>
      <c r="OQ33" s="12">
        <f>OQ32+OK33-OK21*(AnnualChurn*VLOOKUP(NV33,ChurnSeasonTable,4,FALSE))*POWER(1-(AnnualChurn*VLOOKUP(NV33,ChurnSeasonTable,4,FALSE)),0)+OK9*(AnnualChurn*VLOOKUP(NV33,ChurnSeasonTable,4,FALSE))*POWER(1-(AnnualChurn*VLOOKUP(NV33,ChurnSeasonTable,4,FALSE)),1)</f>
        <v/>
      </c>
      <c r="OR33" s="12">
        <f>OR32+OL33-OL21*(AnnualChurn*VLOOKUP(NV33,ChurnSeasonTable,4,FALSE))*POWER(1-(AnnualChurn*VLOOKUP(NV33,ChurnSeasonTable,4,FALSE)),0)+OL9*(AnnualChurn*VLOOKUP(NV33,ChurnSeasonTable,4,FALSE))*POWER(1-(AnnualChurn*VLOOKUP(NV33,ChurnSeasonTable,4,FALSE)),1)</f>
        <v/>
      </c>
      <c r="OS33" s="12">
        <f>OM33+ON33+OO33+OP33+OQ33+OR33</f>
        <v/>
      </c>
      <c r="OT33" s="9">
        <f>OM33*BlendedPriceEssMonthly*NY33+ON33*BlendedPricePremMonthly*NY33+OO33*BlendedPriceEliteMonthly*NY33+OP33*BlendedPriceEssAnnual*NY33/12+OQ33*BlendedPricePremAnnual*NY33/12+OR33*BlendedPriceEliteAnnual*NY33/12</f>
        <v/>
      </c>
      <c r="OU33" s="9">
        <f>OT33*12</f>
        <v/>
      </c>
      <c r="OV33" s="12">
        <f>OM33*BlendedPriceEssMonthly*NY33+ON33*BlendedPricePremMonthly*NY33+OO33*BlendedPriceEliteMonthly*NY33</f>
        <v/>
      </c>
      <c r="OW33" s="12">
        <f>OJ33*BlendedPriceEssAnnual*NY33+OK33*BlendedPricePremAnnual*NY33+OL33*BlendedPriceEliteAnnual*NY33</f>
        <v/>
      </c>
      <c r="OX33" s="12">
        <f>OJ21*POWER(1-(AnnualChurn*VLOOKUP(NV33,ChurnSeasonTable,4,FALSE)),1)*BlendedPriceEssAnnual*NY33+OJ9*POWER(1-(AnnualChurn*VLOOKUP(NV33,ChurnSeasonTable,4,FALSE)),2)*BlendedPriceEssAnnual*NY33+OK21*POWER(1-(AnnualChurn*VLOOKUP(NV33,ChurnSeasonTable,4,FALSE)),1)*BlendedPricePremAnnual*NY33+OK9*POWER(1-(AnnualChurn*VLOOKUP(NV33,ChurnSeasonTable,4,FALSE)),2)*BlendedPricePremAnnual*NY33+OL21*POWER(1-(AnnualChurn*VLOOKUP(NV33,ChurnSeasonTable,4,FALSE)),1)*BlendedPriceEliteAnnual*NY33+OL9*POWER(1-(AnnualChurn*VLOOKUP(NV33,ChurnSeasonTable,4,FALSE)),2)*BlendedPriceEliteAnnual*NY33</f>
        <v/>
      </c>
      <c r="OY33" s="9">
        <f>OV33+OW33+OX33</f>
        <v/>
      </c>
      <c r="OZ33" s="12">
        <f>SUM(OY22:OY33)</f>
        <v/>
      </c>
      <c r="PA33" s="12">
        <f>OR(PA32,IF(VATAgentMode,SUM($OY22:$OY33)-SUM($PF22:$PF33)&gt;=VATThreshold,SUM($OY22:$OY33)&gt;=VATThreshold))</f>
        <v/>
      </c>
      <c r="PB33" s="9">
        <f>IF(PA33,IF(VATAgentMode,OY33-((OY33-PF33)-(OY33-PF33)/(1+VATRate)),OY33/(1+VATRate)),OY33)</f>
        <v/>
      </c>
      <c r="PC33" s="12">
        <f>OY33-PB33</f>
        <v/>
      </c>
      <c r="PD33" s="12">
        <f>IF(PA33=0,0,IF(NV33=1,SUMPRODUCT(--(($NW$5:$NW33=$NW33-1)*($NV$5:$NV33&gt;=10)*($NV$5:$NV33&lt;=12)),$PC$5:$PC33),IF(NV33=4,SUMPRODUCT(--(($NW$5:$NW33=$NW33)*($NV$5:$NV33&gt;=1)*($NV$5:$NV33&lt;=3)),$PC$5:$PC33),IF(NV33=7,SUMPRODUCT(--(($NW$5:$NW33=$NW33)*($NV$5:$NV33&gt;=4)*($NV$5:$NV33&lt;=6)),$PC$5:$PC33),IF(NV33=10,SUMPRODUCT(--(($NW$5:$NW33=$NW33)*($NV$5:$NV33&gt;=7)*($NV$5:$NV33&lt;=9)),$PC$5:$PC33),0)))))</f>
        <v/>
      </c>
      <c r="PE33" s="12">
        <f>PE32+PC33-PD33</f>
        <v/>
      </c>
      <c r="PF33" s="12">
        <f>IF(ProviderDelay&gt;=1,OM32*BlendedProvPayEss+ON32*BlendedProvPayPrem+OO32*BlendedProvPayElite+OP32*BlendedProvPayEss+OQ32*BlendedProvPayPrem+OR32*BlendedProvPayElite,OM33*BlendedProvPayEss+ON33*BlendedProvPayPrem+OO33*BlendedProvPayElite+OP33*BlendedProvPayEss+OQ33*BlendedProvPayPrem+OR33*BlendedProvPayElite)</f>
        <v/>
      </c>
      <c r="PG33" s="12">
        <f>OY33*PaymentFee</f>
        <v/>
      </c>
      <c r="PH33" s="12">
        <f>OS33*OpsAI</f>
        <v/>
      </c>
      <c r="PI33" s="12">
        <f>MonthlyFixed</f>
        <v/>
      </c>
      <c r="PJ33" s="12">
        <f>OC33*ReferralReward</f>
        <v/>
      </c>
      <c r="PK33" s="12">
        <f>OA33</f>
        <v/>
      </c>
      <c r="PL33" s="9">
        <f>PB33-PF33-PG33-PH33-PI33-PJ33-PK33</f>
        <v/>
      </c>
      <c r="PM33" s="9">
        <f>PM32+OY33-(PF33+PG33+PH33+PI33+PJ33+PK33+PD33)</f>
        <v/>
      </c>
      <c r="PN33" s="12">
        <f>IF(OS33&gt;0,OT33/OS33,0)</f>
        <v/>
      </c>
      <c r="PO33" s="11">
        <f>IF(OS32&gt;0,MAX(0,(OS32+OD33-OS33)/OS32),0)</f>
        <v/>
      </c>
      <c r="PQ33" s="12" t="n">
        <v>29</v>
      </c>
      <c r="PR33" s="12">
        <f>MOD(PQ33-1+LaunchMonth-1,12)+1</f>
        <v/>
      </c>
      <c r="PS33" s="12">
        <f>INT((PQ33-1+LaunchMonth-1)/12)+1</f>
        <v/>
      </c>
      <c r="PT33" s="12">
        <f>VLOOKUP(PR33,SeasonTable,2,FALSE)</f>
        <v/>
      </c>
      <c r="PU33" s="12">
        <f>(1+InflationRate)^INT((PQ33-1)/12)</f>
        <v/>
      </c>
      <c r="PV33" s="11">
        <f>'Sens - Churn'!$A$19*VLOOKUP(PR33,ChurnSeasonTable,4,FALSE)</f>
        <v/>
      </c>
      <c r="PW33" s="12">
        <f>MIN(MAX(MktMin19plus,QU32*MktPct19plus),MAX(0,RI32-CashBuffer))</f>
        <v/>
      </c>
      <c r="PX33" s="12">
        <f>IF(PW33&gt;0,MAX(1,ROUND(PW33/CAC*PT33,0)),0)</f>
        <v/>
      </c>
      <c r="PY33" s="12">
        <f>IF(PX33&gt;0,ROUND(PX33*ReferralMix/(1-ReferralMix),0),0)</f>
        <v/>
      </c>
      <c r="PZ33" s="12">
        <f>PX33+PY33</f>
        <v/>
      </c>
      <c r="QA33" s="12">
        <f>ROUND(PZ33*(1-AnnualMix),0)</f>
        <v/>
      </c>
      <c r="QB33" s="12">
        <f>PZ33-QA33</f>
        <v/>
      </c>
      <c r="QC33" s="12">
        <f>ROUND(QA33*EssentialMix,0)</f>
        <v/>
      </c>
      <c r="QD33" s="12">
        <f>ROUND(QA33*PremiumMix,0)</f>
        <v/>
      </c>
      <c r="QE33" s="12">
        <f>QA33-QC33-QD33</f>
        <v/>
      </c>
      <c r="QF33" s="12">
        <f>ROUND(QB33*EssentialMix,0)</f>
        <v/>
      </c>
      <c r="QG33" s="12">
        <f>ROUND(QB33*PremiumMix,0)</f>
        <v/>
      </c>
      <c r="QH33" s="12">
        <f>QB33-QF33-QG33</f>
        <v/>
      </c>
      <c r="QI33" s="12">
        <f>QC33+QC32+QC31+MAX(0,QI32-QC32-QC31)*(1-PV33)</f>
        <v/>
      </c>
      <c r="QJ33" s="12">
        <f>QD33+QD32+QD31+MAX(0,QJ32-QD32-QD31)*(1-PV33)</f>
        <v/>
      </c>
      <c r="QK33" s="12">
        <f>QE33+QE32+QE31+MAX(0,QK32-QE32-QE31)*(1-PV33)</f>
        <v/>
      </c>
      <c r="QL33" s="12">
        <f>QL32+QF33-QF21*(AnnualChurn*VLOOKUP(PR33,ChurnSeasonTable,4,FALSE))*POWER(1-(AnnualChurn*VLOOKUP(PR33,ChurnSeasonTable,4,FALSE)),0)+QF9*(AnnualChurn*VLOOKUP(PR33,ChurnSeasonTable,4,FALSE))*POWER(1-(AnnualChurn*VLOOKUP(PR33,ChurnSeasonTable,4,FALSE)),1)</f>
        <v/>
      </c>
      <c r="QM33" s="12">
        <f>QM32+QG33-QG21*(AnnualChurn*VLOOKUP(PR33,ChurnSeasonTable,4,FALSE))*POWER(1-(AnnualChurn*VLOOKUP(PR33,ChurnSeasonTable,4,FALSE)),0)+QG9*(AnnualChurn*VLOOKUP(PR33,ChurnSeasonTable,4,FALSE))*POWER(1-(AnnualChurn*VLOOKUP(PR33,ChurnSeasonTable,4,FALSE)),1)</f>
        <v/>
      </c>
      <c r="QN33" s="12">
        <f>QN32+QH33-QH21*(AnnualChurn*VLOOKUP(PR33,ChurnSeasonTable,4,FALSE))*POWER(1-(AnnualChurn*VLOOKUP(PR33,ChurnSeasonTable,4,FALSE)),0)+QH9*(AnnualChurn*VLOOKUP(PR33,ChurnSeasonTable,4,FALSE))*POWER(1-(AnnualChurn*VLOOKUP(PR33,ChurnSeasonTable,4,FALSE)),1)</f>
        <v/>
      </c>
      <c r="QO33" s="12">
        <f>QI33+QJ33+QK33+QL33+QM33+QN33</f>
        <v/>
      </c>
      <c r="QP33" s="9">
        <f>QI33*BlendedPriceEssMonthly*PU33+QJ33*BlendedPricePremMonthly*PU33+QK33*BlendedPriceEliteMonthly*PU33+QL33*BlendedPriceEssAnnual*PU33/12+QM33*BlendedPricePremAnnual*PU33/12+QN33*BlendedPriceEliteAnnual*PU33/12</f>
        <v/>
      </c>
      <c r="QQ33" s="9">
        <f>QP33*12</f>
        <v/>
      </c>
      <c r="QR33" s="12">
        <f>QI33*BlendedPriceEssMonthly*PU33+QJ33*BlendedPricePremMonthly*PU33+QK33*BlendedPriceEliteMonthly*PU33</f>
        <v/>
      </c>
      <c r="QS33" s="12">
        <f>QF33*BlendedPriceEssAnnual*PU33+QG33*BlendedPricePremAnnual*PU33+QH33*BlendedPriceEliteAnnual*PU33</f>
        <v/>
      </c>
      <c r="QT33" s="12">
        <f>QF21*POWER(1-(AnnualChurn*VLOOKUP(PR33,ChurnSeasonTable,4,FALSE)),1)*BlendedPriceEssAnnual*PU33+QF9*POWER(1-(AnnualChurn*VLOOKUP(PR33,ChurnSeasonTable,4,FALSE)),2)*BlendedPriceEssAnnual*PU33+QG21*POWER(1-(AnnualChurn*VLOOKUP(PR33,ChurnSeasonTable,4,FALSE)),1)*BlendedPricePremAnnual*PU33+QG9*POWER(1-(AnnualChurn*VLOOKUP(PR33,ChurnSeasonTable,4,FALSE)),2)*BlendedPricePremAnnual*PU33+QH21*POWER(1-(AnnualChurn*VLOOKUP(PR33,ChurnSeasonTable,4,FALSE)),1)*BlendedPriceEliteAnnual*PU33+QH9*POWER(1-(AnnualChurn*VLOOKUP(PR33,ChurnSeasonTable,4,FALSE)),2)*BlendedPriceEliteAnnual*PU33</f>
        <v/>
      </c>
      <c r="QU33" s="9">
        <f>QR33+QS33+QT33</f>
        <v/>
      </c>
      <c r="QV33" s="12">
        <f>SUM(QU22:QU33)</f>
        <v/>
      </c>
      <c r="QW33" s="12">
        <f>OR(QW32,IF(VATAgentMode,SUM($QU22:$QU33)-SUM($RB22:$RB33)&gt;=VATThreshold,SUM($QU22:$QU33)&gt;=VATThreshold))</f>
        <v/>
      </c>
      <c r="QX33" s="9">
        <f>IF(QW33,IF(VATAgentMode,QU33-((QU33-RB33)-(QU33-RB33)/(1+VATRate)),QU33/(1+VATRate)),QU33)</f>
        <v/>
      </c>
      <c r="QY33" s="12">
        <f>QU33-QX33</f>
        <v/>
      </c>
      <c r="QZ33" s="12">
        <f>IF(QW33=0,0,IF(PR33=1,SUMPRODUCT(--(($PS$5:$PS33=$PS33-1)*($PR$5:$PR33&gt;=10)*($PR$5:$PR33&lt;=12)),$QY$5:$QY33),IF(PR33=4,SUMPRODUCT(--(($PS$5:$PS33=$PS33)*($PR$5:$PR33&gt;=1)*($PR$5:$PR33&lt;=3)),$QY$5:$QY33),IF(PR33=7,SUMPRODUCT(--(($PS$5:$PS33=$PS33)*($PR$5:$PR33&gt;=4)*($PR$5:$PR33&lt;=6)),$QY$5:$QY33),IF(PR33=10,SUMPRODUCT(--(($PS$5:$PS33=$PS33)*($PR$5:$PR33&gt;=7)*($PR$5:$PR33&lt;=9)),$QY$5:$QY33),0)))))</f>
        <v/>
      </c>
      <c r="RA33" s="12">
        <f>RA32+QY33-QZ33</f>
        <v/>
      </c>
      <c r="RB33" s="12">
        <f>IF(ProviderDelay&gt;=1,QI32*BlendedProvPayEss+QJ32*BlendedProvPayPrem+QK32*BlendedProvPayElite+QL32*BlendedProvPayEss+QM32*BlendedProvPayPrem+QN32*BlendedProvPayElite,QI33*BlendedProvPayEss+QJ33*BlendedProvPayPrem+QK33*BlendedProvPayElite+QL33*BlendedProvPayEss+QM33*BlendedProvPayPrem+QN33*BlendedProvPayElite)</f>
        <v/>
      </c>
      <c r="RC33" s="12">
        <f>QU33*PaymentFee</f>
        <v/>
      </c>
      <c r="RD33" s="12">
        <f>QO33*OpsAI</f>
        <v/>
      </c>
      <c r="RE33" s="12">
        <f>MonthlyFixed</f>
        <v/>
      </c>
      <c r="RF33" s="12">
        <f>PY33*ReferralReward</f>
        <v/>
      </c>
      <c r="RG33" s="12">
        <f>PW33</f>
        <v/>
      </c>
      <c r="RH33" s="9">
        <f>QX33-RB33-RC33-RD33-RE33-RF33-RG33</f>
        <v/>
      </c>
      <c r="RI33" s="9">
        <f>RI32+QU33-(RB33+RC33+RD33+RE33+RF33+RG33+QZ33)</f>
        <v/>
      </c>
      <c r="RJ33" s="12">
        <f>IF(QO33&gt;0,QP33/QO33,0)</f>
        <v/>
      </c>
      <c r="RK33" s="11">
        <f>IF(QO32&gt;0,MAX(0,(QO32+PZ33-QO33)/QO32),0)</f>
        <v/>
      </c>
      <c r="RM33" s="12" t="n">
        <v>29</v>
      </c>
      <c r="RN33" s="12">
        <f>MOD(RM33-1+LaunchMonth-1,12)+1</f>
        <v/>
      </c>
      <c r="RO33" s="12">
        <f>INT((RM33-1+LaunchMonth-1)/12)+1</f>
        <v/>
      </c>
      <c r="RP33" s="12">
        <f>VLOOKUP(RN33,SeasonTable,2,FALSE)</f>
        <v/>
      </c>
      <c r="RQ33" s="12">
        <f>(1+InflationRate)^INT((RM33-1)/12)</f>
        <v/>
      </c>
      <c r="RR33" s="11">
        <f>'Sens - Churn'!$A$20*VLOOKUP(RN33,ChurnSeasonTable,4,FALSE)</f>
        <v/>
      </c>
      <c r="RS33" s="12">
        <f>MIN(MAX(MktMin19plus,SQ32*MktPct19plus),MAX(0,TE32-CashBuffer))</f>
        <v/>
      </c>
      <c r="RT33" s="12">
        <f>IF(RS33&gt;0,MAX(1,ROUND(RS33/CAC*RP33,0)),0)</f>
        <v/>
      </c>
      <c r="RU33" s="12">
        <f>IF(RT33&gt;0,ROUND(RT33*ReferralMix/(1-ReferralMix),0),0)</f>
        <v/>
      </c>
      <c r="RV33" s="12">
        <f>RT33+RU33</f>
        <v/>
      </c>
      <c r="RW33" s="12">
        <f>ROUND(RV33*(1-AnnualMix),0)</f>
        <v/>
      </c>
      <c r="RX33" s="12">
        <f>RV33-RW33</f>
        <v/>
      </c>
      <c r="RY33" s="12">
        <f>ROUND(RW33*EssentialMix,0)</f>
        <v/>
      </c>
      <c r="RZ33" s="12">
        <f>ROUND(RW33*PremiumMix,0)</f>
        <v/>
      </c>
      <c r="SA33" s="12">
        <f>RW33-RY33-RZ33</f>
        <v/>
      </c>
      <c r="SB33" s="12">
        <f>ROUND(RX33*EssentialMix,0)</f>
        <v/>
      </c>
      <c r="SC33" s="12">
        <f>ROUND(RX33*PremiumMix,0)</f>
        <v/>
      </c>
      <c r="SD33" s="12">
        <f>RX33-SB33-SC33</f>
        <v/>
      </c>
      <c r="SE33" s="12">
        <f>RY33+RY32+RY31+MAX(0,SE32-RY32-RY31)*(1-RR33)</f>
        <v/>
      </c>
      <c r="SF33" s="12">
        <f>RZ33+RZ32+RZ31+MAX(0,SF32-RZ32-RZ31)*(1-RR33)</f>
        <v/>
      </c>
      <c r="SG33" s="12">
        <f>SA33+SA32+SA31+MAX(0,SG32-SA32-SA31)*(1-RR33)</f>
        <v/>
      </c>
      <c r="SH33" s="12">
        <f>SH32+SB33-SB21*(AnnualChurn*VLOOKUP(RN33,ChurnSeasonTable,4,FALSE))*POWER(1-(AnnualChurn*VLOOKUP(RN33,ChurnSeasonTable,4,FALSE)),0)+SB9*(AnnualChurn*VLOOKUP(RN33,ChurnSeasonTable,4,FALSE))*POWER(1-(AnnualChurn*VLOOKUP(RN33,ChurnSeasonTable,4,FALSE)),1)</f>
        <v/>
      </c>
      <c r="SI33" s="12">
        <f>SI32+SC33-SC21*(AnnualChurn*VLOOKUP(RN33,ChurnSeasonTable,4,FALSE))*POWER(1-(AnnualChurn*VLOOKUP(RN33,ChurnSeasonTable,4,FALSE)),0)+SC9*(AnnualChurn*VLOOKUP(RN33,ChurnSeasonTable,4,FALSE))*POWER(1-(AnnualChurn*VLOOKUP(RN33,ChurnSeasonTable,4,FALSE)),1)</f>
        <v/>
      </c>
      <c r="SJ33" s="12">
        <f>SJ32+SD33-SD21*(AnnualChurn*VLOOKUP(RN33,ChurnSeasonTable,4,FALSE))*POWER(1-(AnnualChurn*VLOOKUP(RN33,ChurnSeasonTable,4,FALSE)),0)+SD9*(AnnualChurn*VLOOKUP(RN33,ChurnSeasonTable,4,FALSE))*POWER(1-(AnnualChurn*VLOOKUP(RN33,ChurnSeasonTable,4,FALSE)),1)</f>
        <v/>
      </c>
      <c r="SK33" s="12">
        <f>SE33+SF33+SG33+SH33+SI33+SJ33</f>
        <v/>
      </c>
      <c r="SL33" s="9">
        <f>SE33*BlendedPriceEssMonthly*RQ33+SF33*BlendedPricePremMonthly*RQ33+SG33*BlendedPriceEliteMonthly*RQ33+SH33*BlendedPriceEssAnnual*RQ33/12+SI33*BlendedPricePremAnnual*RQ33/12+SJ33*BlendedPriceEliteAnnual*RQ33/12</f>
        <v/>
      </c>
      <c r="SM33" s="9">
        <f>SL33*12</f>
        <v/>
      </c>
      <c r="SN33" s="12">
        <f>SE33*BlendedPriceEssMonthly*RQ33+SF33*BlendedPricePremMonthly*RQ33+SG33*BlendedPriceEliteMonthly*RQ33</f>
        <v/>
      </c>
      <c r="SO33" s="12">
        <f>SB33*BlendedPriceEssAnnual*RQ33+SC33*BlendedPricePremAnnual*RQ33+SD33*BlendedPriceEliteAnnual*RQ33</f>
        <v/>
      </c>
      <c r="SP33" s="12">
        <f>SB21*POWER(1-(AnnualChurn*VLOOKUP(RN33,ChurnSeasonTable,4,FALSE)),1)*BlendedPriceEssAnnual*RQ33+SB9*POWER(1-(AnnualChurn*VLOOKUP(RN33,ChurnSeasonTable,4,FALSE)),2)*BlendedPriceEssAnnual*RQ33+SC21*POWER(1-(AnnualChurn*VLOOKUP(RN33,ChurnSeasonTable,4,FALSE)),1)*BlendedPricePremAnnual*RQ33+SC9*POWER(1-(AnnualChurn*VLOOKUP(RN33,ChurnSeasonTable,4,FALSE)),2)*BlendedPricePremAnnual*RQ33+SD21*POWER(1-(AnnualChurn*VLOOKUP(RN33,ChurnSeasonTable,4,FALSE)),1)*BlendedPriceEliteAnnual*RQ33+SD9*POWER(1-(AnnualChurn*VLOOKUP(RN33,ChurnSeasonTable,4,FALSE)),2)*BlendedPriceEliteAnnual*RQ33</f>
        <v/>
      </c>
      <c r="SQ33" s="9">
        <f>SN33+SO33+SP33</f>
        <v/>
      </c>
      <c r="SR33" s="12">
        <f>SUM(SQ22:SQ33)</f>
        <v/>
      </c>
      <c r="SS33" s="12">
        <f>OR(SS32,IF(VATAgentMode,SUM($SQ22:$SQ33)-SUM($SX22:$SX33)&gt;=VATThreshold,SUM($SQ22:$SQ33)&gt;=VATThreshold))</f>
        <v/>
      </c>
      <c r="ST33" s="9">
        <f>IF(SS33,IF(VATAgentMode,SQ33-((SQ33-SX33)-(SQ33-SX33)/(1+VATRate)),SQ33/(1+VATRate)),SQ33)</f>
        <v/>
      </c>
      <c r="SU33" s="12">
        <f>SQ33-ST33</f>
        <v/>
      </c>
      <c r="SV33" s="12">
        <f>IF(SS33=0,0,IF(RN33=1,SUMPRODUCT(--(($RO$5:$RO33=$RO33-1)*($RN$5:$RN33&gt;=10)*($RN$5:$RN33&lt;=12)),$SU$5:$SU33),IF(RN33=4,SUMPRODUCT(--(($RO$5:$RO33=$RO33)*($RN$5:$RN33&gt;=1)*($RN$5:$RN33&lt;=3)),$SU$5:$SU33),IF(RN33=7,SUMPRODUCT(--(($RO$5:$RO33=$RO33)*($RN$5:$RN33&gt;=4)*($RN$5:$RN33&lt;=6)),$SU$5:$SU33),IF(RN33=10,SUMPRODUCT(--(($RO$5:$RO33=$RO33)*($RN$5:$RN33&gt;=7)*($RN$5:$RN33&lt;=9)),$SU$5:$SU33),0)))))</f>
        <v/>
      </c>
      <c r="SW33" s="12">
        <f>SW32+SU33-SV33</f>
        <v/>
      </c>
      <c r="SX33" s="12">
        <f>IF(ProviderDelay&gt;=1,SE32*BlendedProvPayEss+SF32*BlendedProvPayPrem+SG32*BlendedProvPayElite+SH32*BlendedProvPayEss+SI32*BlendedProvPayPrem+SJ32*BlendedProvPayElite,SE33*BlendedProvPayEss+SF33*BlendedProvPayPrem+SG33*BlendedProvPayElite+SH33*BlendedProvPayEss+SI33*BlendedProvPayPrem+SJ33*BlendedProvPayElite)</f>
        <v/>
      </c>
      <c r="SY33" s="12">
        <f>SQ33*PaymentFee</f>
        <v/>
      </c>
      <c r="SZ33" s="12">
        <f>SK33*OpsAI</f>
        <v/>
      </c>
      <c r="TA33" s="12">
        <f>MonthlyFixed</f>
        <v/>
      </c>
      <c r="TB33" s="12">
        <f>RU33*ReferralReward</f>
        <v/>
      </c>
      <c r="TC33" s="12">
        <f>RS33</f>
        <v/>
      </c>
      <c r="TD33" s="9">
        <f>ST33-SX33-SY33-SZ33-TA33-TB33-TC33</f>
        <v/>
      </c>
      <c r="TE33" s="9">
        <f>TE32+SQ33-(SX33+SY33+SZ33+TA33+TB33+TC33+SV33)</f>
        <v/>
      </c>
      <c r="TF33" s="12">
        <f>IF(SK33&gt;0,SL33/SK33,0)</f>
        <v/>
      </c>
      <c r="TG33" s="11">
        <f>IF(SK32&gt;0,MAX(0,(SK32+RV33-SK33)/SK32),0)</f>
        <v/>
      </c>
      <c r="TI33" s="12" t="n">
        <v>29</v>
      </c>
      <c r="TJ33" s="12">
        <f>MOD(TI33-1+LaunchMonth-1,12)+1</f>
        <v/>
      </c>
      <c r="TK33" s="12">
        <f>INT((TI33-1+LaunchMonth-1)/12)+1</f>
        <v/>
      </c>
      <c r="TL33" s="12">
        <f>VLOOKUP(TJ33,SeasonTable,2,FALSE)</f>
        <v/>
      </c>
      <c r="TM33" s="12">
        <f>(1+InflationRate)^INT((TI33-1)/12)</f>
        <v/>
      </c>
      <c r="TN33" s="11">
        <f>'Sens - Churn'!$A$21*VLOOKUP(TJ33,ChurnSeasonTable,4,FALSE)</f>
        <v/>
      </c>
      <c r="TO33" s="12">
        <f>MIN(MAX(MktMin19plus,UM32*MktPct19plus),MAX(0,VA32-CashBuffer))</f>
        <v/>
      </c>
      <c r="TP33" s="12">
        <f>IF(TO33&gt;0,MAX(1,ROUND(TO33/CAC*TL33,0)),0)</f>
        <v/>
      </c>
      <c r="TQ33" s="12">
        <f>IF(TP33&gt;0,ROUND(TP33*ReferralMix/(1-ReferralMix),0),0)</f>
        <v/>
      </c>
      <c r="TR33" s="12">
        <f>TP33+TQ33</f>
        <v/>
      </c>
      <c r="TS33" s="12">
        <f>ROUND(TR33*(1-AnnualMix),0)</f>
        <v/>
      </c>
      <c r="TT33" s="12">
        <f>TR33-TS33</f>
        <v/>
      </c>
      <c r="TU33" s="12">
        <f>ROUND(TS33*EssentialMix,0)</f>
        <v/>
      </c>
      <c r="TV33" s="12">
        <f>ROUND(TS33*PremiumMix,0)</f>
        <v/>
      </c>
      <c r="TW33" s="12">
        <f>TS33-TU33-TV33</f>
        <v/>
      </c>
      <c r="TX33" s="12">
        <f>ROUND(TT33*EssentialMix,0)</f>
        <v/>
      </c>
      <c r="TY33" s="12">
        <f>ROUND(TT33*PremiumMix,0)</f>
        <v/>
      </c>
      <c r="TZ33" s="12">
        <f>TT33-TX33-TY33</f>
        <v/>
      </c>
      <c r="UA33" s="12">
        <f>TU33+TU32+TU31+MAX(0,UA32-TU32-TU31)*(1-TN33)</f>
        <v/>
      </c>
      <c r="UB33" s="12">
        <f>TV33+TV32+TV31+MAX(0,UB32-TV32-TV31)*(1-TN33)</f>
        <v/>
      </c>
      <c r="UC33" s="12">
        <f>TW33+TW32+TW31+MAX(0,UC32-TW32-TW31)*(1-TN33)</f>
        <v/>
      </c>
      <c r="UD33" s="12">
        <f>UD32+TX33-TX21*(AnnualChurn*VLOOKUP(TJ33,ChurnSeasonTable,4,FALSE))*POWER(1-(AnnualChurn*VLOOKUP(TJ33,ChurnSeasonTable,4,FALSE)),0)+TX9*(AnnualChurn*VLOOKUP(TJ33,ChurnSeasonTable,4,FALSE))*POWER(1-(AnnualChurn*VLOOKUP(TJ33,ChurnSeasonTable,4,FALSE)),1)</f>
        <v/>
      </c>
      <c r="UE33" s="12">
        <f>UE32+TY33-TY21*(AnnualChurn*VLOOKUP(TJ33,ChurnSeasonTable,4,FALSE))*POWER(1-(AnnualChurn*VLOOKUP(TJ33,ChurnSeasonTable,4,FALSE)),0)+TY9*(AnnualChurn*VLOOKUP(TJ33,ChurnSeasonTable,4,FALSE))*POWER(1-(AnnualChurn*VLOOKUP(TJ33,ChurnSeasonTable,4,FALSE)),1)</f>
        <v/>
      </c>
      <c r="UF33" s="12">
        <f>UF32+TZ33-TZ21*(AnnualChurn*VLOOKUP(TJ33,ChurnSeasonTable,4,FALSE))*POWER(1-(AnnualChurn*VLOOKUP(TJ33,ChurnSeasonTable,4,FALSE)),0)+TZ9*(AnnualChurn*VLOOKUP(TJ33,ChurnSeasonTable,4,FALSE))*POWER(1-(AnnualChurn*VLOOKUP(TJ33,ChurnSeasonTable,4,FALSE)),1)</f>
        <v/>
      </c>
      <c r="UG33" s="12">
        <f>UA33+UB33+UC33+UD33+UE33+UF33</f>
        <v/>
      </c>
      <c r="UH33" s="9">
        <f>UA33*BlendedPriceEssMonthly*TM33+UB33*BlendedPricePremMonthly*TM33+UC33*BlendedPriceEliteMonthly*TM33+UD33*BlendedPriceEssAnnual*TM33/12+UE33*BlendedPricePremAnnual*TM33/12+UF33*BlendedPriceEliteAnnual*TM33/12</f>
        <v/>
      </c>
      <c r="UI33" s="9">
        <f>UH33*12</f>
        <v/>
      </c>
      <c r="UJ33" s="12">
        <f>UA33*BlendedPriceEssMonthly*TM33+UB33*BlendedPricePremMonthly*TM33+UC33*BlendedPriceEliteMonthly*TM33</f>
        <v/>
      </c>
      <c r="UK33" s="12">
        <f>TX33*BlendedPriceEssAnnual*TM33+TY33*BlendedPricePremAnnual*TM33+TZ33*BlendedPriceEliteAnnual*TM33</f>
        <v/>
      </c>
      <c r="UL33" s="12">
        <f>TX21*POWER(1-(AnnualChurn*VLOOKUP(TJ33,ChurnSeasonTable,4,FALSE)),1)*BlendedPriceEssAnnual*TM33+TX9*POWER(1-(AnnualChurn*VLOOKUP(TJ33,ChurnSeasonTable,4,FALSE)),2)*BlendedPriceEssAnnual*TM33+TY21*POWER(1-(AnnualChurn*VLOOKUP(TJ33,ChurnSeasonTable,4,FALSE)),1)*BlendedPricePremAnnual*TM33+TY9*POWER(1-(AnnualChurn*VLOOKUP(TJ33,ChurnSeasonTable,4,FALSE)),2)*BlendedPricePremAnnual*TM33+TZ21*POWER(1-(AnnualChurn*VLOOKUP(TJ33,ChurnSeasonTable,4,FALSE)),1)*BlendedPriceEliteAnnual*TM33+TZ9*POWER(1-(AnnualChurn*VLOOKUP(TJ33,ChurnSeasonTable,4,FALSE)),2)*BlendedPriceEliteAnnual*TM33</f>
        <v/>
      </c>
      <c r="UM33" s="9">
        <f>UJ33+UK33+UL33</f>
        <v/>
      </c>
      <c r="UN33" s="12">
        <f>SUM(UM22:UM33)</f>
        <v/>
      </c>
      <c r="UO33" s="12">
        <f>OR(UO32,IF(VATAgentMode,SUM($UM22:$UM33)-SUM($UT22:$UT33)&gt;=VATThreshold,SUM($UM22:$UM33)&gt;=VATThreshold))</f>
        <v/>
      </c>
      <c r="UP33" s="9">
        <f>IF(UO33,IF(VATAgentMode,UM33-((UM33-UT33)-(UM33-UT33)/(1+VATRate)),UM33/(1+VATRate)),UM33)</f>
        <v/>
      </c>
      <c r="UQ33" s="12">
        <f>UM33-UP33</f>
        <v/>
      </c>
      <c r="UR33" s="12">
        <f>IF(UO33=0,0,IF(TJ33=1,SUMPRODUCT(--(($TK$5:$TK33=$TK33-1)*($TJ$5:$TJ33&gt;=10)*($TJ$5:$TJ33&lt;=12)),$UQ$5:$UQ33),IF(TJ33=4,SUMPRODUCT(--(($TK$5:$TK33=$TK33)*($TJ$5:$TJ33&gt;=1)*($TJ$5:$TJ33&lt;=3)),$UQ$5:$UQ33),IF(TJ33=7,SUMPRODUCT(--(($TK$5:$TK33=$TK33)*($TJ$5:$TJ33&gt;=4)*($TJ$5:$TJ33&lt;=6)),$UQ$5:$UQ33),IF(TJ33=10,SUMPRODUCT(--(($TK$5:$TK33=$TK33)*($TJ$5:$TJ33&gt;=7)*($TJ$5:$TJ33&lt;=9)),$UQ$5:$UQ33),0)))))</f>
        <v/>
      </c>
      <c r="US33" s="12">
        <f>US32+UQ33-UR33</f>
        <v/>
      </c>
      <c r="UT33" s="12">
        <f>IF(ProviderDelay&gt;=1,UA32*BlendedProvPayEss+UB32*BlendedProvPayPrem+UC32*BlendedProvPayElite+UD32*BlendedProvPayEss+UE32*BlendedProvPayPrem+UF32*BlendedProvPayElite,UA33*BlendedProvPayEss+UB33*BlendedProvPayPrem+UC33*BlendedProvPayElite+UD33*BlendedProvPayEss+UE33*BlendedProvPayPrem+UF33*BlendedProvPayElite)</f>
        <v/>
      </c>
      <c r="UU33" s="12">
        <f>UM33*PaymentFee</f>
        <v/>
      </c>
      <c r="UV33" s="12">
        <f>UG33*OpsAI</f>
        <v/>
      </c>
      <c r="UW33" s="12">
        <f>MonthlyFixed</f>
        <v/>
      </c>
      <c r="UX33" s="12">
        <f>TQ33*ReferralReward</f>
        <v/>
      </c>
      <c r="UY33" s="12">
        <f>TO33</f>
        <v/>
      </c>
      <c r="UZ33" s="9">
        <f>UP33-UT33-UU33-UV33-UW33-UX33-UY33</f>
        <v/>
      </c>
      <c r="VA33" s="9">
        <f>VA32+UM33-(UT33+UU33+UV33+UW33+UX33+UY33+UR33)</f>
        <v/>
      </c>
      <c r="VB33" s="12">
        <f>IF(UG33&gt;0,UH33/UG33,0)</f>
        <v/>
      </c>
      <c r="VC33" s="11">
        <f>IF(UG32&gt;0,MAX(0,(UG32+TR33-UG33)/UG32),0)</f>
        <v/>
      </c>
      <c r="VE33" s="12" t="n">
        <v>29</v>
      </c>
      <c r="VF33" s="12">
        <f>MOD(VE33-1+LaunchMonth-1,12)+1</f>
        <v/>
      </c>
      <c r="VG33" s="12">
        <f>INT((VE33-1+LaunchMonth-1)/12)+1</f>
        <v/>
      </c>
      <c r="VH33" s="12">
        <f>VLOOKUP(VF33,SeasonTable,2,FALSE)</f>
        <v/>
      </c>
      <c r="VI33" s="12">
        <f>(1+InflationRate)^INT((VE33-1)/12)</f>
        <v/>
      </c>
      <c r="VJ33" s="11">
        <f>MonthlyChurn*VLOOKUP(VF33,ChurnSeasonTable,4,FALSE)</f>
        <v/>
      </c>
      <c r="VK33" s="12">
        <f>MIN(MAX(MktMin19plus,WI32*MktPct19plus),MAX(0,WW32-CashBuffer))</f>
        <v/>
      </c>
      <c r="VL33" s="12">
        <f>IF(VK33&gt;0,MAX(1,ROUND(VK33/CAC*VH33,0)),0)</f>
        <v/>
      </c>
      <c r="VM33" s="12">
        <f>IF(VL33&gt;0,ROUND(VL33*ReferralMix/(1-ReferralMix),0),0)</f>
        <v/>
      </c>
      <c r="VN33" s="12">
        <f>VL33+VM33</f>
        <v/>
      </c>
      <c r="VO33" s="12">
        <f>ROUND(VN33*(1-'Sens - Annual Mix'!$A$9),0)</f>
        <v/>
      </c>
      <c r="VP33" s="12">
        <f>VN33-VO33</f>
        <v/>
      </c>
      <c r="VQ33" s="12">
        <f>ROUND(VO33*EssentialMix,0)</f>
        <v/>
      </c>
      <c r="VR33" s="12">
        <f>ROUND(VO33*PremiumMix,0)</f>
        <v/>
      </c>
      <c r="VS33" s="12">
        <f>VO33-VQ33-VR33</f>
        <v/>
      </c>
      <c r="VT33" s="12">
        <f>ROUND(VP33*EssentialMix,0)</f>
        <v/>
      </c>
      <c r="VU33" s="12">
        <f>ROUND(VP33*PremiumMix,0)</f>
        <v/>
      </c>
      <c r="VV33" s="12">
        <f>VP33-VT33-VU33</f>
        <v/>
      </c>
      <c r="VW33" s="12">
        <f>VQ33+VQ32+VQ31+MAX(0,VW32-VQ32-VQ31)*(1-VJ33)</f>
        <v/>
      </c>
      <c r="VX33" s="12">
        <f>VR33+VR32+VR31+MAX(0,VX32-VR32-VR31)*(1-VJ33)</f>
        <v/>
      </c>
      <c r="VY33" s="12">
        <f>VS33+VS32+VS31+MAX(0,VY32-VS32-VS31)*(1-VJ33)</f>
        <v/>
      </c>
      <c r="VZ33" s="12">
        <f>VZ32+VT33-VT21*(AnnualChurn*VLOOKUP(VF33,ChurnSeasonTable,4,FALSE))*POWER(1-(AnnualChurn*VLOOKUP(VF33,ChurnSeasonTable,4,FALSE)),0)+VT9*(AnnualChurn*VLOOKUP(VF33,ChurnSeasonTable,4,FALSE))*POWER(1-(AnnualChurn*VLOOKUP(VF33,ChurnSeasonTable,4,FALSE)),1)</f>
        <v/>
      </c>
      <c r="WA33" s="12">
        <f>WA32+VU33-VU21*(AnnualChurn*VLOOKUP(VF33,ChurnSeasonTable,4,FALSE))*POWER(1-(AnnualChurn*VLOOKUP(VF33,ChurnSeasonTable,4,FALSE)),0)+VU9*(AnnualChurn*VLOOKUP(VF33,ChurnSeasonTable,4,FALSE))*POWER(1-(AnnualChurn*VLOOKUP(VF33,ChurnSeasonTable,4,FALSE)),1)</f>
        <v/>
      </c>
      <c r="WB33" s="12">
        <f>WB32+VV33-VV21*(AnnualChurn*VLOOKUP(VF33,ChurnSeasonTable,4,FALSE))*POWER(1-(AnnualChurn*VLOOKUP(VF33,ChurnSeasonTable,4,FALSE)),0)+VV9*(AnnualChurn*VLOOKUP(VF33,ChurnSeasonTable,4,FALSE))*POWER(1-(AnnualChurn*VLOOKUP(VF33,ChurnSeasonTable,4,FALSE)),1)</f>
        <v/>
      </c>
      <c r="WC33" s="12">
        <f>VW33+VX33+VY33+VZ33+WA33+WB33</f>
        <v/>
      </c>
      <c r="WD33" s="9">
        <f>VW33*BlendedPriceEssMonthly*VI33+VX33*BlendedPricePremMonthly*VI33+VY33*BlendedPriceEliteMonthly*VI33+VZ33*BlendedPriceEssAnnual*VI33/12+WA33*BlendedPricePremAnnual*VI33/12+WB33*BlendedPriceEliteAnnual*VI33/12</f>
        <v/>
      </c>
      <c r="WE33" s="9">
        <f>WD33*12</f>
        <v/>
      </c>
      <c r="WF33" s="12">
        <f>VW33*BlendedPriceEssMonthly*VI33+VX33*BlendedPricePremMonthly*VI33+VY33*BlendedPriceEliteMonthly*VI33</f>
        <v/>
      </c>
      <c r="WG33" s="12">
        <f>VT33*BlendedPriceEssAnnual*VI33+VU33*BlendedPricePremAnnual*VI33+VV33*BlendedPriceEliteAnnual*VI33</f>
        <v/>
      </c>
      <c r="WH33" s="12">
        <f>VT21*POWER(1-(AnnualChurn*VLOOKUP(VF33,ChurnSeasonTable,4,FALSE)),1)*BlendedPriceEssAnnual*VI33+VT9*POWER(1-(AnnualChurn*VLOOKUP(VF33,ChurnSeasonTable,4,FALSE)),2)*BlendedPriceEssAnnual*VI33+VU21*POWER(1-(AnnualChurn*VLOOKUP(VF33,ChurnSeasonTable,4,FALSE)),1)*BlendedPricePremAnnual*VI33+VU9*POWER(1-(AnnualChurn*VLOOKUP(VF33,ChurnSeasonTable,4,FALSE)),2)*BlendedPricePremAnnual*VI33+VV21*POWER(1-(AnnualChurn*VLOOKUP(VF33,ChurnSeasonTable,4,FALSE)),1)*BlendedPriceEliteAnnual*VI33+VV9*POWER(1-(AnnualChurn*VLOOKUP(VF33,ChurnSeasonTable,4,FALSE)),2)*BlendedPriceEliteAnnual*VI33</f>
        <v/>
      </c>
      <c r="WI33" s="9">
        <f>WF33+WG33+WH33</f>
        <v/>
      </c>
      <c r="WJ33" s="12">
        <f>SUM(WI22:WI33)</f>
        <v/>
      </c>
      <c r="WK33" s="12">
        <f>OR(WK32,IF(VATAgentMode,SUM($WI22:$WI33)-SUM($WP22:$WP33)&gt;=VATThreshold,SUM($WI22:$WI33)&gt;=VATThreshold))</f>
        <v/>
      </c>
      <c r="WL33" s="9">
        <f>IF(WK33,IF(VATAgentMode,WI33-((WI33-WP33)-(WI33-WP33)/(1+VATRate)),WI33/(1+VATRate)),WI33)</f>
        <v/>
      </c>
      <c r="WM33" s="12">
        <f>WI33-WL33</f>
        <v/>
      </c>
      <c r="WN33" s="12">
        <f>IF(WK33=0,0,IF(VF33=1,SUMPRODUCT(--(($VG$5:$VG33=$VG33-1)*($VF$5:$VF33&gt;=10)*($VF$5:$VF33&lt;=12)),$WM$5:$WM33),IF(VF33=4,SUMPRODUCT(--(($VG$5:$VG33=$VG33)*($VF$5:$VF33&gt;=1)*($VF$5:$VF33&lt;=3)),$WM$5:$WM33),IF(VF33=7,SUMPRODUCT(--(($VG$5:$VG33=$VG33)*($VF$5:$VF33&gt;=4)*($VF$5:$VF33&lt;=6)),$WM$5:$WM33),IF(VF33=10,SUMPRODUCT(--(($VG$5:$VG33=$VG33)*($VF$5:$VF33&gt;=7)*($VF$5:$VF33&lt;=9)),$WM$5:$WM33),0)))))</f>
        <v/>
      </c>
      <c r="WO33" s="12">
        <f>WO32+WM33-WN33</f>
        <v/>
      </c>
      <c r="WP33" s="12">
        <f>IF(ProviderDelay&gt;=1,VW32*BlendedProvPayEss+VX32*BlendedProvPayPrem+VY32*BlendedProvPayElite+VZ32*BlendedProvPayEss+WA32*BlendedProvPayPrem+WB32*BlendedProvPayElite,VW33*BlendedProvPayEss+VX33*BlendedProvPayPrem+VY33*BlendedProvPayElite+VZ33*BlendedProvPayEss+WA33*BlendedProvPayPrem+WB33*BlendedProvPayElite)</f>
        <v/>
      </c>
      <c r="WQ33" s="12">
        <f>WI33*PaymentFee</f>
        <v/>
      </c>
      <c r="WR33" s="12">
        <f>WC33*OpsAI</f>
        <v/>
      </c>
      <c r="WS33" s="12">
        <f>MonthlyFixed</f>
        <v/>
      </c>
      <c r="WT33" s="12">
        <f>VM33*ReferralReward</f>
        <v/>
      </c>
      <c r="WU33" s="12">
        <f>VK33</f>
        <v/>
      </c>
      <c r="WV33" s="9">
        <f>WL33-WP33-WQ33-WR33-WS33-WT33-WU33</f>
        <v/>
      </c>
      <c r="WW33" s="9">
        <f>WW32+WI33-(WP33+WQ33+WR33+WS33+WT33+WU33+WN33)</f>
        <v/>
      </c>
      <c r="WX33" s="12">
        <f>IF(WC33&gt;0,WD33/WC33,0)</f>
        <v/>
      </c>
      <c r="WY33" s="11">
        <f>IF(WC32&gt;0,MAX(0,(WC32+VN33-WC33)/WC32),0)</f>
        <v/>
      </c>
      <c r="XA33" s="12" t="n">
        <v>29</v>
      </c>
      <c r="XB33" s="12">
        <f>MOD(XA33-1+LaunchMonth-1,12)+1</f>
        <v/>
      </c>
      <c r="XC33" s="12">
        <f>INT((XA33-1+LaunchMonth-1)/12)+1</f>
        <v/>
      </c>
      <c r="XD33" s="12">
        <f>VLOOKUP(XB33,SeasonTable,2,FALSE)</f>
        <v/>
      </c>
      <c r="XE33" s="12">
        <f>(1+InflationRate)^INT((XA33-1)/12)</f>
        <v/>
      </c>
      <c r="XF33" s="11">
        <f>MonthlyChurn*VLOOKUP(XB33,ChurnSeasonTable,4,FALSE)</f>
        <v/>
      </c>
      <c r="XG33" s="12">
        <f>MIN(MAX(MktMin19plus,YE32*MktPct19plus),MAX(0,YS32-CashBuffer))</f>
        <v/>
      </c>
      <c r="XH33" s="12">
        <f>IF(XG33&gt;0,MAX(1,ROUND(XG33/CAC*XD33,0)),0)</f>
        <v/>
      </c>
      <c r="XI33" s="12">
        <f>IF(XH33&gt;0,ROUND(XH33*ReferralMix/(1-ReferralMix),0),0)</f>
        <v/>
      </c>
      <c r="XJ33" s="12">
        <f>XH33+XI33</f>
        <v/>
      </c>
      <c r="XK33" s="12">
        <f>ROUND(XJ33*(1-'Sens - Annual Mix'!$A$10),0)</f>
        <v/>
      </c>
      <c r="XL33" s="12">
        <f>XJ33-XK33</f>
        <v/>
      </c>
      <c r="XM33" s="12">
        <f>ROUND(XK33*EssentialMix,0)</f>
        <v/>
      </c>
      <c r="XN33" s="12">
        <f>ROUND(XK33*PremiumMix,0)</f>
        <v/>
      </c>
      <c r="XO33" s="12">
        <f>XK33-XM33-XN33</f>
        <v/>
      </c>
      <c r="XP33" s="12">
        <f>ROUND(XL33*EssentialMix,0)</f>
        <v/>
      </c>
      <c r="XQ33" s="12">
        <f>ROUND(XL33*PremiumMix,0)</f>
        <v/>
      </c>
      <c r="XR33" s="12">
        <f>XL33-XP33-XQ33</f>
        <v/>
      </c>
      <c r="XS33" s="12">
        <f>XM33+XM32+XM31+MAX(0,XS32-XM32-XM31)*(1-XF33)</f>
        <v/>
      </c>
      <c r="XT33" s="12">
        <f>XN33+XN32+XN31+MAX(0,XT32-XN32-XN31)*(1-XF33)</f>
        <v/>
      </c>
      <c r="XU33" s="12">
        <f>XO33+XO32+XO31+MAX(0,XU32-XO32-XO31)*(1-XF33)</f>
        <v/>
      </c>
      <c r="XV33" s="12">
        <f>XV32+XP33-XP21*(AnnualChurn*VLOOKUP(XB33,ChurnSeasonTable,4,FALSE))*POWER(1-(AnnualChurn*VLOOKUP(XB33,ChurnSeasonTable,4,FALSE)),0)+XP9*(AnnualChurn*VLOOKUP(XB33,ChurnSeasonTable,4,FALSE))*POWER(1-(AnnualChurn*VLOOKUP(XB33,ChurnSeasonTable,4,FALSE)),1)</f>
        <v/>
      </c>
      <c r="XW33" s="12">
        <f>XW32+XQ33-XQ21*(AnnualChurn*VLOOKUP(XB33,ChurnSeasonTable,4,FALSE))*POWER(1-(AnnualChurn*VLOOKUP(XB33,ChurnSeasonTable,4,FALSE)),0)+XQ9*(AnnualChurn*VLOOKUP(XB33,ChurnSeasonTable,4,FALSE))*POWER(1-(AnnualChurn*VLOOKUP(XB33,ChurnSeasonTable,4,FALSE)),1)</f>
        <v/>
      </c>
      <c r="XX33" s="12">
        <f>XX32+XR33-XR21*(AnnualChurn*VLOOKUP(XB33,ChurnSeasonTable,4,FALSE))*POWER(1-(AnnualChurn*VLOOKUP(XB33,ChurnSeasonTable,4,FALSE)),0)+XR9*(AnnualChurn*VLOOKUP(XB33,ChurnSeasonTable,4,FALSE))*POWER(1-(AnnualChurn*VLOOKUP(XB33,ChurnSeasonTable,4,FALSE)),1)</f>
        <v/>
      </c>
      <c r="XY33" s="12">
        <f>XS33+XT33+XU33+XV33+XW33+XX33</f>
        <v/>
      </c>
      <c r="XZ33" s="9">
        <f>XS33*BlendedPriceEssMonthly*XE33+XT33*BlendedPricePremMonthly*XE33+XU33*BlendedPriceEliteMonthly*XE33+XV33*BlendedPriceEssAnnual*XE33/12+XW33*BlendedPricePremAnnual*XE33/12+XX33*BlendedPriceEliteAnnual*XE33/12</f>
        <v/>
      </c>
      <c r="YA33" s="9">
        <f>XZ33*12</f>
        <v/>
      </c>
      <c r="YB33" s="12">
        <f>XS33*BlendedPriceEssMonthly*XE33+XT33*BlendedPricePremMonthly*XE33+XU33*BlendedPriceEliteMonthly*XE33</f>
        <v/>
      </c>
      <c r="YC33" s="12">
        <f>XP33*BlendedPriceEssAnnual*XE33+XQ33*BlendedPricePremAnnual*XE33+XR33*BlendedPriceEliteAnnual*XE33</f>
        <v/>
      </c>
      <c r="YD33" s="12">
        <f>XP21*POWER(1-(AnnualChurn*VLOOKUP(XB33,ChurnSeasonTable,4,FALSE)),1)*BlendedPriceEssAnnual*XE33+XP9*POWER(1-(AnnualChurn*VLOOKUP(XB33,ChurnSeasonTable,4,FALSE)),2)*BlendedPriceEssAnnual*XE33+XQ21*POWER(1-(AnnualChurn*VLOOKUP(XB33,ChurnSeasonTable,4,FALSE)),1)*BlendedPricePremAnnual*XE33+XQ9*POWER(1-(AnnualChurn*VLOOKUP(XB33,ChurnSeasonTable,4,FALSE)),2)*BlendedPricePremAnnual*XE33+XR21*POWER(1-(AnnualChurn*VLOOKUP(XB33,ChurnSeasonTable,4,FALSE)),1)*BlendedPriceEliteAnnual*XE33+XR9*POWER(1-(AnnualChurn*VLOOKUP(XB33,ChurnSeasonTable,4,FALSE)),2)*BlendedPriceEliteAnnual*XE33</f>
        <v/>
      </c>
      <c r="YE33" s="9">
        <f>YB33+YC33+YD33</f>
        <v/>
      </c>
      <c r="YF33" s="12">
        <f>SUM(YE22:YE33)</f>
        <v/>
      </c>
      <c r="YG33" s="12">
        <f>OR(YG32,IF(VATAgentMode,SUM($YE22:$YE33)-SUM($YL22:$YL33)&gt;=VATThreshold,SUM($YE22:$YE33)&gt;=VATThreshold))</f>
        <v/>
      </c>
      <c r="YH33" s="9">
        <f>IF(YG33,IF(VATAgentMode,YE33-((YE33-YL33)-(YE33-YL33)/(1+VATRate)),YE33/(1+VATRate)),YE33)</f>
        <v/>
      </c>
      <c r="YI33" s="12">
        <f>YE33-YH33</f>
        <v/>
      </c>
      <c r="YJ33" s="12">
        <f>IF(YG33=0,0,IF(XB33=1,SUMPRODUCT(--(($XC$5:$XC33=$XC33-1)*($XB$5:$XB33&gt;=10)*($XB$5:$XB33&lt;=12)),$YI$5:$YI33),IF(XB33=4,SUMPRODUCT(--(($XC$5:$XC33=$XC33)*($XB$5:$XB33&gt;=1)*($XB$5:$XB33&lt;=3)),$YI$5:$YI33),IF(XB33=7,SUMPRODUCT(--(($XC$5:$XC33=$XC33)*($XB$5:$XB33&gt;=4)*($XB$5:$XB33&lt;=6)),$YI$5:$YI33),IF(XB33=10,SUMPRODUCT(--(($XC$5:$XC33=$XC33)*($XB$5:$XB33&gt;=7)*($XB$5:$XB33&lt;=9)),$YI$5:$YI33),0)))))</f>
        <v/>
      </c>
      <c r="YK33" s="12">
        <f>YK32+YI33-YJ33</f>
        <v/>
      </c>
      <c r="YL33" s="12">
        <f>IF(ProviderDelay&gt;=1,XS32*BlendedProvPayEss+XT32*BlendedProvPayPrem+XU32*BlendedProvPayElite+XV32*BlendedProvPayEss+XW32*BlendedProvPayPrem+XX32*BlendedProvPayElite,XS33*BlendedProvPayEss+XT33*BlendedProvPayPrem+XU33*BlendedProvPayElite+XV33*BlendedProvPayEss+XW33*BlendedProvPayPrem+XX33*BlendedProvPayElite)</f>
        <v/>
      </c>
      <c r="YM33" s="12">
        <f>YE33*PaymentFee</f>
        <v/>
      </c>
      <c r="YN33" s="12">
        <f>XY33*OpsAI</f>
        <v/>
      </c>
      <c r="YO33" s="12">
        <f>MonthlyFixed</f>
        <v/>
      </c>
      <c r="YP33" s="12">
        <f>XI33*ReferralReward</f>
        <v/>
      </c>
      <c r="YQ33" s="12">
        <f>XG33</f>
        <v/>
      </c>
      <c r="YR33" s="9">
        <f>YH33-YL33-YM33-YN33-YO33-YP33-YQ33</f>
        <v/>
      </c>
      <c r="YS33" s="9">
        <f>YS32+YE33-(YL33+YM33+YN33+YO33+YP33+YQ33+YJ33)</f>
        <v/>
      </c>
      <c r="YT33" s="12">
        <f>IF(XY33&gt;0,XZ33/XY33,0)</f>
        <v/>
      </c>
      <c r="YU33" s="11">
        <f>IF(XY32&gt;0,MAX(0,(XY32+XJ33-XY33)/XY32),0)</f>
        <v/>
      </c>
      <c r="YW33" s="12" t="n">
        <v>29</v>
      </c>
      <c r="YX33" s="12">
        <f>MOD(YW33-1+LaunchMonth-1,12)+1</f>
        <v/>
      </c>
      <c r="YY33" s="12">
        <f>INT((YW33-1+LaunchMonth-1)/12)+1</f>
        <v/>
      </c>
      <c r="YZ33" s="12">
        <f>VLOOKUP(YX33,SeasonTable,2,FALSE)</f>
        <v/>
      </c>
      <c r="ZA33" s="12">
        <f>(1+InflationRate)^INT((YW33-1)/12)</f>
        <v/>
      </c>
      <c r="ZB33" s="11">
        <f>MonthlyChurn*VLOOKUP(YX33,ChurnSeasonTable,4,FALSE)</f>
        <v/>
      </c>
      <c r="ZC33" s="12">
        <f>MIN(MAX(MktMin19plus,AAA32*MktPct19plus),MAX(0,AAO32-CashBuffer))</f>
        <v/>
      </c>
      <c r="ZD33" s="12">
        <f>IF(ZC33&gt;0,MAX(1,ROUND(ZC33/CAC*YZ33,0)),0)</f>
        <v/>
      </c>
      <c r="ZE33" s="12">
        <f>IF(ZD33&gt;0,ROUND(ZD33*ReferralMix/(1-ReferralMix),0),0)</f>
        <v/>
      </c>
      <c r="ZF33" s="12">
        <f>ZD33+ZE33</f>
        <v/>
      </c>
      <c r="ZG33" s="12">
        <f>ROUND(ZF33*(1-'Sens - Annual Mix'!$A$11),0)</f>
        <v/>
      </c>
      <c r="ZH33" s="12">
        <f>ZF33-ZG33</f>
        <v/>
      </c>
      <c r="ZI33" s="12">
        <f>ROUND(ZG33*EssentialMix,0)</f>
        <v/>
      </c>
      <c r="ZJ33" s="12">
        <f>ROUND(ZG33*PremiumMix,0)</f>
        <v/>
      </c>
      <c r="ZK33" s="12">
        <f>ZG33-ZI33-ZJ33</f>
        <v/>
      </c>
      <c r="ZL33" s="12">
        <f>ROUND(ZH33*EssentialMix,0)</f>
        <v/>
      </c>
      <c r="ZM33" s="12">
        <f>ROUND(ZH33*PremiumMix,0)</f>
        <v/>
      </c>
      <c r="ZN33" s="12">
        <f>ZH33-ZL33-ZM33</f>
        <v/>
      </c>
      <c r="ZO33" s="12">
        <f>ZI33+ZI32+ZI31+MAX(0,ZO32-ZI32-ZI31)*(1-ZB33)</f>
        <v/>
      </c>
      <c r="ZP33" s="12">
        <f>ZJ33+ZJ32+ZJ31+MAX(0,ZP32-ZJ32-ZJ31)*(1-ZB33)</f>
        <v/>
      </c>
      <c r="ZQ33" s="12">
        <f>ZK33+ZK32+ZK31+MAX(0,ZQ32-ZK32-ZK31)*(1-ZB33)</f>
        <v/>
      </c>
      <c r="ZR33" s="12">
        <f>ZR32+ZL33-ZL21*(AnnualChurn*VLOOKUP(YX33,ChurnSeasonTable,4,FALSE))*POWER(1-(AnnualChurn*VLOOKUP(YX33,ChurnSeasonTable,4,FALSE)),0)+ZL9*(AnnualChurn*VLOOKUP(YX33,ChurnSeasonTable,4,FALSE))*POWER(1-(AnnualChurn*VLOOKUP(YX33,ChurnSeasonTable,4,FALSE)),1)</f>
        <v/>
      </c>
      <c r="ZS33" s="12">
        <f>ZS32+ZM33-ZM21*(AnnualChurn*VLOOKUP(YX33,ChurnSeasonTable,4,FALSE))*POWER(1-(AnnualChurn*VLOOKUP(YX33,ChurnSeasonTable,4,FALSE)),0)+ZM9*(AnnualChurn*VLOOKUP(YX33,ChurnSeasonTable,4,FALSE))*POWER(1-(AnnualChurn*VLOOKUP(YX33,ChurnSeasonTable,4,FALSE)),1)</f>
        <v/>
      </c>
      <c r="ZT33" s="12">
        <f>ZT32+ZN33-ZN21*(AnnualChurn*VLOOKUP(YX33,ChurnSeasonTable,4,FALSE))*POWER(1-(AnnualChurn*VLOOKUP(YX33,ChurnSeasonTable,4,FALSE)),0)+ZN9*(AnnualChurn*VLOOKUP(YX33,ChurnSeasonTable,4,FALSE))*POWER(1-(AnnualChurn*VLOOKUP(YX33,ChurnSeasonTable,4,FALSE)),1)</f>
        <v/>
      </c>
      <c r="ZU33" s="12">
        <f>ZO33+ZP33+ZQ33+ZR33+ZS33+ZT33</f>
        <v/>
      </c>
      <c r="ZV33" s="9">
        <f>ZO33*BlendedPriceEssMonthly*ZA33+ZP33*BlendedPricePremMonthly*ZA33+ZQ33*BlendedPriceEliteMonthly*ZA33+ZR33*BlendedPriceEssAnnual*ZA33/12+ZS33*BlendedPricePremAnnual*ZA33/12+ZT33*BlendedPriceEliteAnnual*ZA33/12</f>
        <v/>
      </c>
      <c r="ZW33" s="9">
        <f>ZV33*12</f>
        <v/>
      </c>
      <c r="ZX33" s="12">
        <f>ZO33*BlendedPriceEssMonthly*ZA33+ZP33*BlendedPricePremMonthly*ZA33+ZQ33*BlendedPriceEliteMonthly*ZA33</f>
        <v/>
      </c>
      <c r="ZY33" s="12">
        <f>ZL33*BlendedPriceEssAnnual*ZA33+ZM33*BlendedPricePremAnnual*ZA33+ZN33*BlendedPriceEliteAnnual*ZA33</f>
        <v/>
      </c>
      <c r="ZZ33" s="12">
        <f>ZL21*POWER(1-(AnnualChurn*VLOOKUP(YX33,ChurnSeasonTable,4,FALSE)),1)*BlendedPriceEssAnnual*ZA33+ZL9*POWER(1-(AnnualChurn*VLOOKUP(YX33,ChurnSeasonTable,4,FALSE)),2)*BlendedPriceEssAnnual*ZA33+ZM21*POWER(1-(AnnualChurn*VLOOKUP(YX33,ChurnSeasonTable,4,FALSE)),1)*BlendedPricePremAnnual*ZA33+ZM9*POWER(1-(AnnualChurn*VLOOKUP(YX33,ChurnSeasonTable,4,FALSE)),2)*BlendedPricePremAnnual*ZA33+ZN21*POWER(1-(AnnualChurn*VLOOKUP(YX33,ChurnSeasonTable,4,FALSE)),1)*BlendedPriceEliteAnnual*ZA33+ZN9*POWER(1-(AnnualChurn*VLOOKUP(YX33,ChurnSeasonTable,4,FALSE)),2)*BlendedPriceEliteAnnual*ZA33</f>
        <v/>
      </c>
      <c r="AAA33" s="9">
        <f>ZX33+ZY33+ZZ33</f>
        <v/>
      </c>
      <c r="AAB33" s="12">
        <f>SUM(AAA22:AAA33)</f>
        <v/>
      </c>
      <c r="AAC33" s="12">
        <f>OR(AAC32,IF(VATAgentMode,SUM($AAA22:$AAA33)-SUM($AAH22:$AAH33)&gt;=VATThreshold,SUM($AAA22:$AAA33)&gt;=VATThreshold))</f>
        <v/>
      </c>
      <c r="AAD33" s="9">
        <f>IF(AAC33,IF(VATAgentMode,AAA33-((AAA33-AAH33)-(AAA33-AAH33)/(1+VATRate)),AAA33/(1+VATRate)),AAA33)</f>
        <v/>
      </c>
      <c r="AAE33" s="12">
        <f>AAA33-AAD33</f>
        <v/>
      </c>
      <c r="AAF33" s="12">
        <f>IF(AAC33=0,0,IF(YX33=1,SUMPRODUCT(--(($YY$5:$YY33=$YY33-1)*($YX$5:$YX33&gt;=10)*($YX$5:$YX33&lt;=12)),$AAE$5:$AAE33),IF(YX33=4,SUMPRODUCT(--(($YY$5:$YY33=$YY33)*($YX$5:$YX33&gt;=1)*($YX$5:$YX33&lt;=3)),$AAE$5:$AAE33),IF(YX33=7,SUMPRODUCT(--(($YY$5:$YY33=$YY33)*($YX$5:$YX33&gt;=4)*($YX$5:$YX33&lt;=6)),$AAE$5:$AAE33),IF(YX33=10,SUMPRODUCT(--(($YY$5:$YY33=$YY33)*($YX$5:$YX33&gt;=7)*($YX$5:$YX33&lt;=9)),$AAE$5:$AAE33),0)))))</f>
        <v/>
      </c>
      <c r="AAG33" s="12">
        <f>AAG32+AAE33-AAF33</f>
        <v/>
      </c>
      <c r="AAH33" s="12">
        <f>IF(ProviderDelay&gt;=1,ZO32*BlendedProvPayEss+ZP32*BlendedProvPayPrem+ZQ32*BlendedProvPayElite+ZR32*BlendedProvPayEss+ZS32*BlendedProvPayPrem+ZT32*BlendedProvPayElite,ZO33*BlendedProvPayEss+ZP33*BlendedProvPayPrem+ZQ33*BlendedProvPayElite+ZR33*BlendedProvPayEss+ZS33*BlendedProvPayPrem+ZT33*BlendedProvPayElite)</f>
        <v/>
      </c>
      <c r="AAI33" s="12">
        <f>AAA33*PaymentFee</f>
        <v/>
      </c>
      <c r="AAJ33" s="12">
        <f>ZU33*OpsAI</f>
        <v/>
      </c>
      <c r="AAK33" s="12">
        <f>MonthlyFixed</f>
        <v/>
      </c>
      <c r="AAL33" s="12">
        <f>ZE33*ReferralReward</f>
        <v/>
      </c>
      <c r="AAM33" s="12">
        <f>ZC33</f>
        <v/>
      </c>
      <c r="AAN33" s="9">
        <f>AAD33-AAH33-AAI33-AAJ33-AAK33-AAL33-AAM33</f>
        <v/>
      </c>
      <c r="AAO33" s="9">
        <f>AAO32+AAA33-(AAH33+AAI33+AAJ33+AAK33+AAL33+AAM33+AAF33)</f>
        <v/>
      </c>
      <c r="AAP33" s="12">
        <f>IF(ZU33&gt;0,ZV33/ZU33,0)</f>
        <v/>
      </c>
      <c r="AAQ33" s="11">
        <f>IF(ZU32&gt;0,MAX(0,(ZU32+ZF33-ZU33)/ZU32),0)</f>
        <v/>
      </c>
      <c r="AAS33" s="12" t="n">
        <v>29</v>
      </c>
      <c r="AAT33" s="12">
        <f>MOD(AAS33-1+LaunchMonth-1,12)+1</f>
        <v/>
      </c>
      <c r="AAU33" s="12">
        <f>INT((AAS33-1+LaunchMonth-1)/12)+1</f>
        <v/>
      </c>
      <c r="AAV33" s="12">
        <f>VLOOKUP(AAT33,SeasonTable,2,FALSE)</f>
        <v/>
      </c>
      <c r="AAW33" s="12">
        <f>(1+InflationRate)^INT((AAS33-1)/12)</f>
        <v/>
      </c>
      <c r="AAX33" s="11">
        <f>MonthlyChurn*VLOOKUP(AAT33,ChurnSeasonTable,4,FALSE)</f>
        <v/>
      </c>
      <c r="AAY33" s="12">
        <f>MIN(MAX(MktMin19plus,ABW32*MktPct19plus),MAX(0,ACK32-CashBuffer))</f>
        <v/>
      </c>
      <c r="AAZ33" s="12">
        <f>IF(AAY33&gt;0,MAX(1,ROUND(AAY33/CAC*AAV33,0)),0)</f>
        <v/>
      </c>
      <c r="ABA33" s="12">
        <f>IF(AAZ33&gt;0,ROUND(AAZ33*ReferralMix/(1-ReferralMix),0),0)</f>
        <v/>
      </c>
      <c r="ABB33" s="12">
        <f>AAZ33+ABA33</f>
        <v/>
      </c>
      <c r="ABC33" s="12">
        <f>ROUND(ABB33*(1-'Sens - Annual Mix'!$A$12),0)</f>
        <v/>
      </c>
      <c r="ABD33" s="12">
        <f>ABB33-ABC33</f>
        <v/>
      </c>
      <c r="ABE33" s="12">
        <f>ROUND(ABC33*EssentialMix,0)</f>
        <v/>
      </c>
      <c r="ABF33" s="12">
        <f>ROUND(ABC33*PremiumMix,0)</f>
        <v/>
      </c>
      <c r="ABG33" s="12">
        <f>ABC33-ABE33-ABF33</f>
        <v/>
      </c>
      <c r="ABH33" s="12">
        <f>ROUND(ABD33*EssentialMix,0)</f>
        <v/>
      </c>
      <c r="ABI33" s="12">
        <f>ROUND(ABD33*PremiumMix,0)</f>
        <v/>
      </c>
      <c r="ABJ33" s="12">
        <f>ABD33-ABH33-ABI33</f>
        <v/>
      </c>
      <c r="ABK33" s="12">
        <f>ABE33+ABE32+ABE31+MAX(0,ABK32-ABE32-ABE31)*(1-AAX33)</f>
        <v/>
      </c>
      <c r="ABL33" s="12">
        <f>ABF33+ABF32+ABF31+MAX(0,ABL32-ABF32-ABF31)*(1-AAX33)</f>
        <v/>
      </c>
      <c r="ABM33" s="12">
        <f>ABG33+ABG32+ABG31+MAX(0,ABM32-ABG32-ABG31)*(1-AAX33)</f>
        <v/>
      </c>
      <c r="ABN33" s="12">
        <f>ABN32+ABH33-ABH21*(AnnualChurn*VLOOKUP(AAT33,ChurnSeasonTable,4,FALSE))*POWER(1-(AnnualChurn*VLOOKUP(AAT33,ChurnSeasonTable,4,FALSE)),0)+ABH9*(AnnualChurn*VLOOKUP(AAT33,ChurnSeasonTable,4,FALSE))*POWER(1-(AnnualChurn*VLOOKUP(AAT33,ChurnSeasonTable,4,FALSE)),1)</f>
        <v/>
      </c>
      <c r="ABO33" s="12">
        <f>ABO32+ABI33-ABI21*(AnnualChurn*VLOOKUP(AAT33,ChurnSeasonTable,4,FALSE))*POWER(1-(AnnualChurn*VLOOKUP(AAT33,ChurnSeasonTable,4,FALSE)),0)+ABI9*(AnnualChurn*VLOOKUP(AAT33,ChurnSeasonTable,4,FALSE))*POWER(1-(AnnualChurn*VLOOKUP(AAT33,ChurnSeasonTable,4,FALSE)),1)</f>
        <v/>
      </c>
      <c r="ABP33" s="12">
        <f>ABP32+ABJ33-ABJ21*(AnnualChurn*VLOOKUP(AAT33,ChurnSeasonTable,4,FALSE))*POWER(1-(AnnualChurn*VLOOKUP(AAT33,ChurnSeasonTable,4,FALSE)),0)+ABJ9*(AnnualChurn*VLOOKUP(AAT33,ChurnSeasonTable,4,FALSE))*POWER(1-(AnnualChurn*VLOOKUP(AAT33,ChurnSeasonTable,4,FALSE)),1)</f>
        <v/>
      </c>
      <c r="ABQ33" s="12">
        <f>ABK33+ABL33+ABM33+ABN33+ABO33+ABP33</f>
        <v/>
      </c>
      <c r="ABR33" s="9">
        <f>ABK33*BlendedPriceEssMonthly*AAW33+ABL33*BlendedPricePremMonthly*AAW33+ABM33*BlendedPriceEliteMonthly*AAW33+ABN33*BlendedPriceEssAnnual*AAW33/12+ABO33*BlendedPricePremAnnual*AAW33/12+ABP33*BlendedPriceEliteAnnual*AAW33/12</f>
        <v/>
      </c>
      <c r="ABS33" s="9">
        <f>ABR33*12</f>
        <v/>
      </c>
      <c r="ABT33" s="12">
        <f>ABK33*BlendedPriceEssMonthly*AAW33+ABL33*BlendedPricePremMonthly*AAW33+ABM33*BlendedPriceEliteMonthly*AAW33</f>
        <v/>
      </c>
      <c r="ABU33" s="12">
        <f>ABH33*BlendedPriceEssAnnual*AAW33+ABI33*BlendedPricePremAnnual*AAW33+ABJ33*BlendedPriceEliteAnnual*AAW33</f>
        <v/>
      </c>
      <c r="ABV33" s="12">
        <f>ABH21*POWER(1-(AnnualChurn*VLOOKUP(AAT33,ChurnSeasonTable,4,FALSE)),1)*BlendedPriceEssAnnual*AAW33+ABH9*POWER(1-(AnnualChurn*VLOOKUP(AAT33,ChurnSeasonTable,4,FALSE)),2)*BlendedPriceEssAnnual*AAW33+ABI21*POWER(1-(AnnualChurn*VLOOKUP(AAT33,ChurnSeasonTable,4,FALSE)),1)*BlendedPricePremAnnual*AAW33+ABI9*POWER(1-(AnnualChurn*VLOOKUP(AAT33,ChurnSeasonTable,4,FALSE)),2)*BlendedPricePremAnnual*AAW33+ABJ21*POWER(1-(AnnualChurn*VLOOKUP(AAT33,ChurnSeasonTable,4,FALSE)),1)*BlendedPriceEliteAnnual*AAW33+ABJ9*POWER(1-(AnnualChurn*VLOOKUP(AAT33,ChurnSeasonTable,4,FALSE)),2)*BlendedPriceEliteAnnual*AAW33</f>
        <v/>
      </c>
      <c r="ABW33" s="9">
        <f>ABT33+ABU33+ABV33</f>
        <v/>
      </c>
      <c r="ABX33" s="12">
        <f>SUM(ABW22:ABW33)</f>
        <v/>
      </c>
      <c r="ABY33" s="12">
        <f>OR(ABY32,IF(VATAgentMode,SUM($ABW22:$ABW33)-SUM($ACD22:$ACD33)&gt;=VATThreshold,SUM($ABW22:$ABW33)&gt;=VATThreshold))</f>
        <v/>
      </c>
      <c r="ABZ33" s="9">
        <f>IF(ABY33,IF(VATAgentMode,ABW33-((ABW33-ACD33)-(ABW33-ACD33)/(1+VATRate)),ABW33/(1+VATRate)),ABW33)</f>
        <v/>
      </c>
      <c r="ACA33" s="12">
        <f>ABW33-ABZ33</f>
        <v/>
      </c>
      <c r="ACB33" s="12">
        <f>IF(ABY33=0,0,IF(AAT33=1,SUMPRODUCT(--(($AAU$5:$AAU33=$AAU33-1)*($AAT$5:$AAT33&gt;=10)*($AAT$5:$AAT33&lt;=12)),$ACA$5:$ACA33),IF(AAT33=4,SUMPRODUCT(--(($AAU$5:$AAU33=$AAU33)*($AAT$5:$AAT33&gt;=1)*($AAT$5:$AAT33&lt;=3)),$ACA$5:$ACA33),IF(AAT33=7,SUMPRODUCT(--(($AAU$5:$AAU33=$AAU33)*($AAT$5:$AAT33&gt;=4)*($AAT$5:$AAT33&lt;=6)),$ACA$5:$ACA33),IF(AAT33=10,SUMPRODUCT(--(($AAU$5:$AAU33=$AAU33)*($AAT$5:$AAT33&gt;=7)*($AAT$5:$AAT33&lt;=9)),$ACA$5:$ACA33),0)))))</f>
        <v/>
      </c>
      <c r="ACC33" s="12">
        <f>ACC32+ACA33-ACB33</f>
        <v/>
      </c>
      <c r="ACD33" s="12">
        <f>IF(ProviderDelay&gt;=1,ABK32*BlendedProvPayEss+ABL32*BlendedProvPayPrem+ABM32*BlendedProvPayElite+ABN32*BlendedProvPayEss+ABO32*BlendedProvPayPrem+ABP32*BlendedProvPayElite,ABK33*BlendedProvPayEss+ABL33*BlendedProvPayPrem+ABM33*BlendedProvPayElite+ABN33*BlendedProvPayEss+ABO33*BlendedProvPayPrem+ABP33*BlendedProvPayElite)</f>
        <v/>
      </c>
      <c r="ACE33" s="12">
        <f>ABW33*PaymentFee</f>
        <v/>
      </c>
      <c r="ACF33" s="12">
        <f>ABQ33*OpsAI</f>
        <v/>
      </c>
      <c r="ACG33" s="12">
        <f>MonthlyFixed</f>
        <v/>
      </c>
      <c r="ACH33" s="12">
        <f>ABA33*ReferralReward</f>
        <v/>
      </c>
      <c r="ACI33" s="12">
        <f>AAY33</f>
        <v/>
      </c>
      <c r="ACJ33" s="9">
        <f>ABZ33-ACD33-ACE33-ACF33-ACG33-ACH33-ACI33</f>
        <v/>
      </c>
      <c r="ACK33" s="9">
        <f>ACK32+ABW33-(ACD33+ACE33+ACF33+ACG33+ACH33+ACI33+ACB33)</f>
        <v/>
      </c>
      <c r="ACL33" s="12">
        <f>IF(ABQ33&gt;0,ABR33/ABQ33,0)</f>
        <v/>
      </c>
      <c r="ACM33" s="11">
        <f>IF(ABQ32&gt;0,MAX(0,(ABQ32+ABB33-ABQ33)/ABQ32),0)</f>
        <v/>
      </c>
      <c r="ACO33" s="12" t="n">
        <v>29</v>
      </c>
      <c r="ACP33" s="12">
        <f>MOD(ACO33-1+LaunchMonth-1,12)+1</f>
        <v/>
      </c>
      <c r="ACQ33" s="12">
        <f>INT((ACO33-1+LaunchMonth-1)/12)+1</f>
        <v/>
      </c>
      <c r="ACR33" s="12">
        <f>VLOOKUP(ACP33,SeasonTable,2,FALSE)</f>
        <v/>
      </c>
      <c r="ACS33" s="12">
        <f>(1+InflationRate)^INT((ACO33-1)/12)</f>
        <v/>
      </c>
      <c r="ACT33" s="11">
        <f>MonthlyChurn*VLOOKUP(ACP33,ChurnSeasonTable,4,FALSE)</f>
        <v/>
      </c>
      <c r="ACU33" s="12">
        <f>MIN(MAX(MktMin19plus,ADS32*MktPct19plus),MAX(0,AEG32-CashBuffer))</f>
        <v/>
      </c>
      <c r="ACV33" s="12">
        <f>IF(ACU33&gt;0,MAX(1,ROUND(ACU33/CAC*ACR33,0)),0)</f>
        <v/>
      </c>
      <c r="ACW33" s="12">
        <f>IF(ACV33&gt;0,ROUND(ACV33*ReferralMix/(1-ReferralMix),0),0)</f>
        <v/>
      </c>
      <c r="ACX33" s="12">
        <f>ACV33+ACW33</f>
        <v/>
      </c>
      <c r="ACY33" s="12">
        <f>ROUND(ACX33*(1-'Sens - Annual Mix'!$A$13),0)</f>
        <v/>
      </c>
      <c r="ACZ33" s="12">
        <f>ACX33-ACY33</f>
        <v/>
      </c>
      <c r="ADA33" s="12">
        <f>ROUND(ACY33*EssentialMix,0)</f>
        <v/>
      </c>
      <c r="ADB33" s="12">
        <f>ROUND(ACY33*PremiumMix,0)</f>
        <v/>
      </c>
      <c r="ADC33" s="12">
        <f>ACY33-ADA33-ADB33</f>
        <v/>
      </c>
      <c r="ADD33" s="12">
        <f>ROUND(ACZ33*EssentialMix,0)</f>
        <v/>
      </c>
      <c r="ADE33" s="12">
        <f>ROUND(ACZ33*PremiumMix,0)</f>
        <v/>
      </c>
      <c r="ADF33" s="12">
        <f>ACZ33-ADD33-ADE33</f>
        <v/>
      </c>
      <c r="ADG33" s="12">
        <f>ADA33+ADA32+ADA31+MAX(0,ADG32-ADA32-ADA31)*(1-ACT33)</f>
        <v/>
      </c>
      <c r="ADH33" s="12">
        <f>ADB33+ADB32+ADB31+MAX(0,ADH32-ADB32-ADB31)*(1-ACT33)</f>
        <v/>
      </c>
      <c r="ADI33" s="12">
        <f>ADC33+ADC32+ADC31+MAX(0,ADI32-ADC32-ADC31)*(1-ACT33)</f>
        <v/>
      </c>
      <c r="ADJ33" s="12">
        <f>ADJ32+ADD33-ADD21*(AnnualChurn*VLOOKUP(ACP33,ChurnSeasonTable,4,FALSE))*POWER(1-(AnnualChurn*VLOOKUP(ACP33,ChurnSeasonTable,4,FALSE)),0)+ADD9*(AnnualChurn*VLOOKUP(ACP33,ChurnSeasonTable,4,FALSE))*POWER(1-(AnnualChurn*VLOOKUP(ACP33,ChurnSeasonTable,4,FALSE)),1)</f>
        <v/>
      </c>
      <c r="ADK33" s="12">
        <f>ADK32+ADE33-ADE21*(AnnualChurn*VLOOKUP(ACP33,ChurnSeasonTable,4,FALSE))*POWER(1-(AnnualChurn*VLOOKUP(ACP33,ChurnSeasonTable,4,FALSE)),0)+ADE9*(AnnualChurn*VLOOKUP(ACP33,ChurnSeasonTable,4,FALSE))*POWER(1-(AnnualChurn*VLOOKUP(ACP33,ChurnSeasonTable,4,FALSE)),1)</f>
        <v/>
      </c>
      <c r="ADL33" s="12">
        <f>ADL32+ADF33-ADF21*(AnnualChurn*VLOOKUP(ACP33,ChurnSeasonTable,4,FALSE))*POWER(1-(AnnualChurn*VLOOKUP(ACP33,ChurnSeasonTable,4,FALSE)),0)+ADF9*(AnnualChurn*VLOOKUP(ACP33,ChurnSeasonTable,4,FALSE))*POWER(1-(AnnualChurn*VLOOKUP(ACP33,ChurnSeasonTable,4,FALSE)),1)</f>
        <v/>
      </c>
      <c r="ADM33" s="12">
        <f>ADG33+ADH33+ADI33+ADJ33+ADK33+ADL33</f>
        <v/>
      </c>
      <c r="ADN33" s="9">
        <f>ADG33*BlendedPriceEssMonthly*ACS33+ADH33*BlendedPricePremMonthly*ACS33+ADI33*BlendedPriceEliteMonthly*ACS33+ADJ33*BlendedPriceEssAnnual*ACS33/12+ADK33*BlendedPricePremAnnual*ACS33/12+ADL33*BlendedPriceEliteAnnual*ACS33/12</f>
        <v/>
      </c>
      <c r="ADO33" s="9">
        <f>ADN33*12</f>
        <v/>
      </c>
      <c r="ADP33" s="12">
        <f>ADG33*BlendedPriceEssMonthly*ACS33+ADH33*BlendedPricePremMonthly*ACS33+ADI33*BlendedPriceEliteMonthly*ACS33</f>
        <v/>
      </c>
      <c r="ADQ33" s="12">
        <f>ADD33*BlendedPriceEssAnnual*ACS33+ADE33*BlendedPricePremAnnual*ACS33+ADF33*BlendedPriceEliteAnnual*ACS33</f>
        <v/>
      </c>
      <c r="ADR33" s="12">
        <f>ADD21*POWER(1-(AnnualChurn*VLOOKUP(ACP33,ChurnSeasonTable,4,FALSE)),1)*BlendedPriceEssAnnual*ACS33+ADD9*POWER(1-(AnnualChurn*VLOOKUP(ACP33,ChurnSeasonTable,4,FALSE)),2)*BlendedPriceEssAnnual*ACS33+ADE21*POWER(1-(AnnualChurn*VLOOKUP(ACP33,ChurnSeasonTable,4,FALSE)),1)*BlendedPricePremAnnual*ACS33+ADE9*POWER(1-(AnnualChurn*VLOOKUP(ACP33,ChurnSeasonTable,4,FALSE)),2)*BlendedPricePremAnnual*ACS33+ADF21*POWER(1-(AnnualChurn*VLOOKUP(ACP33,ChurnSeasonTable,4,FALSE)),1)*BlendedPriceEliteAnnual*ACS33+ADF9*POWER(1-(AnnualChurn*VLOOKUP(ACP33,ChurnSeasonTable,4,FALSE)),2)*BlendedPriceEliteAnnual*ACS33</f>
        <v/>
      </c>
      <c r="ADS33" s="9">
        <f>ADP33+ADQ33+ADR33</f>
        <v/>
      </c>
      <c r="ADT33" s="12">
        <f>SUM(ADS22:ADS33)</f>
        <v/>
      </c>
      <c r="ADU33" s="12">
        <f>OR(ADU32,IF(VATAgentMode,SUM($ADS22:$ADS33)-SUM($ADZ22:$ADZ33)&gt;=VATThreshold,SUM($ADS22:$ADS33)&gt;=VATThreshold))</f>
        <v/>
      </c>
      <c r="ADV33" s="9">
        <f>IF(ADU33,IF(VATAgentMode,ADS33-((ADS33-ADZ33)-(ADS33-ADZ33)/(1+VATRate)),ADS33/(1+VATRate)),ADS33)</f>
        <v/>
      </c>
      <c r="ADW33" s="12">
        <f>ADS33-ADV33</f>
        <v/>
      </c>
      <c r="ADX33" s="12">
        <f>IF(ADU33=0,0,IF(ACP33=1,SUMPRODUCT(--(($ACQ$5:$ACQ33=$ACQ33-1)*($ACP$5:$ACP33&gt;=10)*($ACP$5:$ACP33&lt;=12)),$ADW$5:$ADW33),IF(ACP33=4,SUMPRODUCT(--(($ACQ$5:$ACQ33=$ACQ33)*($ACP$5:$ACP33&gt;=1)*($ACP$5:$ACP33&lt;=3)),$ADW$5:$ADW33),IF(ACP33=7,SUMPRODUCT(--(($ACQ$5:$ACQ33=$ACQ33)*($ACP$5:$ACP33&gt;=4)*($ACP$5:$ACP33&lt;=6)),$ADW$5:$ADW33),IF(ACP33=10,SUMPRODUCT(--(($ACQ$5:$ACQ33=$ACQ33)*($ACP$5:$ACP33&gt;=7)*($ACP$5:$ACP33&lt;=9)),$ADW$5:$ADW33),0)))))</f>
        <v/>
      </c>
      <c r="ADY33" s="12">
        <f>ADY32+ADW33-ADX33</f>
        <v/>
      </c>
      <c r="ADZ33" s="12">
        <f>IF(ProviderDelay&gt;=1,ADG32*BlendedProvPayEss+ADH32*BlendedProvPayPrem+ADI32*BlendedProvPayElite+ADJ32*BlendedProvPayEss+ADK32*BlendedProvPayPrem+ADL32*BlendedProvPayElite,ADG33*BlendedProvPayEss+ADH33*BlendedProvPayPrem+ADI33*BlendedProvPayElite+ADJ33*BlendedProvPayEss+ADK33*BlendedProvPayPrem+ADL33*BlendedProvPayElite)</f>
        <v/>
      </c>
      <c r="AEA33" s="12">
        <f>ADS33*PaymentFee</f>
        <v/>
      </c>
      <c r="AEB33" s="12">
        <f>ADM33*OpsAI</f>
        <v/>
      </c>
      <c r="AEC33" s="12">
        <f>MonthlyFixed</f>
        <v/>
      </c>
      <c r="AED33" s="12">
        <f>ACW33*ReferralReward</f>
        <v/>
      </c>
      <c r="AEE33" s="12">
        <f>ACU33</f>
        <v/>
      </c>
      <c r="AEF33" s="9">
        <f>ADV33-ADZ33-AEA33-AEB33-AEC33-AED33-AEE33</f>
        <v/>
      </c>
      <c r="AEG33" s="9">
        <f>AEG32+ADS33-(ADZ33+AEA33+AEB33+AEC33+AED33+AEE33+ADX33)</f>
        <v/>
      </c>
      <c r="AEH33" s="12">
        <f>IF(ADM33&gt;0,ADN33/ADM33,0)</f>
        <v/>
      </c>
      <c r="AEI33" s="11">
        <f>IF(ADM32&gt;0,MAX(0,(ADM32+ACX33-ADM33)/ADM32),0)</f>
        <v/>
      </c>
      <c r="AEK33" s="12" t="n">
        <v>29</v>
      </c>
      <c r="AEL33" s="12">
        <f>MOD(AEK33-1+LaunchMonth-1,12)+1</f>
        <v/>
      </c>
      <c r="AEM33" s="12">
        <f>INT((AEK33-1+LaunchMonth-1)/12)+1</f>
        <v/>
      </c>
      <c r="AEN33" s="12">
        <f>VLOOKUP(AEL33,SeasonTable,2,FALSE)</f>
        <v/>
      </c>
      <c r="AEO33" s="12">
        <f>(1+InflationRate)^INT((AEK33-1)/12)</f>
        <v/>
      </c>
      <c r="AEP33" s="11">
        <f>MonthlyChurn*VLOOKUP(AEL33,ChurnSeasonTable,4,FALSE)</f>
        <v/>
      </c>
      <c r="AEQ33" s="12">
        <f>MIN(MAX(MktMin19plus,AFO32*MktPct19plus),MAX(0,AGC32-CashBuffer))</f>
        <v/>
      </c>
      <c r="AER33" s="12">
        <f>IF(AEQ33&gt;0,MAX(1,ROUND(AEQ33/CAC*AEN33,0)),0)</f>
        <v/>
      </c>
      <c r="AES33" s="12">
        <f>IF(AER33&gt;0,ROUND(AER33*ReferralMix/(1-ReferralMix),0),0)</f>
        <v/>
      </c>
      <c r="AET33" s="12">
        <f>AER33+AES33</f>
        <v/>
      </c>
      <c r="AEU33" s="12">
        <f>ROUND(AET33*(1-'Sens - Annual Mix'!$A$14),0)</f>
        <v/>
      </c>
      <c r="AEV33" s="12">
        <f>AET33-AEU33</f>
        <v/>
      </c>
      <c r="AEW33" s="12">
        <f>ROUND(AEU33*EssentialMix,0)</f>
        <v/>
      </c>
      <c r="AEX33" s="12">
        <f>ROUND(AEU33*PremiumMix,0)</f>
        <v/>
      </c>
      <c r="AEY33" s="12">
        <f>AEU33-AEW33-AEX33</f>
        <v/>
      </c>
      <c r="AEZ33" s="12">
        <f>ROUND(AEV33*EssentialMix,0)</f>
        <v/>
      </c>
      <c r="AFA33" s="12">
        <f>ROUND(AEV33*PremiumMix,0)</f>
        <v/>
      </c>
      <c r="AFB33" s="12">
        <f>AEV33-AEZ33-AFA33</f>
        <v/>
      </c>
      <c r="AFC33" s="12">
        <f>AEW33+AEW32+AEW31+MAX(0,AFC32-AEW32-AEW31)*(1-AEP33)</f>
        <v/>
      </c>
      <c r="AFD33" s="12">
        <f>AEX33+AEX32+AEX31+MAX(0,AFD32-AEX32-AEX31)*(1-AEP33)</f>
        <v/>
      </c>
      <c r="AFE33" s="12">
        <f>AEY33+AEY32+AEY31+MAX(0,AFE32-AEY32-AEY31)*(1-AEP33)</f>
        <v/>
      </c>
      <c r="AFF33" s="12">
        <f>AFF32+AEZ33-AEZ21*(AnnualChurn*VLOOKUP(AEL33,ChurnSeasonTable,4,FALSE))*POWER(1-(AnnualChurn*VLOOKUP(AEL33,ChurnSeasonTable,4,FALSE)),0)+AEZ9*(AnnualChurn*VLOOKUP(AEL33,ChurnSeasonTable,4,FALSE))*POWER(1-(AnnualChurn*VLOOKUP(AEL33,ChurnSeasonTable,4,FALSE)),1)</f>
        <v/>
      </c>
      <c r="AFG33" s="12">
        <f>AFG32+AFA33-AFA21*(AnnualChurn*VLOOKUP(AEL33,ChurnSeasonTable,4,FALSE))*POWER(1-(AnnualChurn*VLOOKUP(AEL33,ChurnSeasonTable,4,FALSE)),0)+AFA9*(AnnualChurn*VLOOKUP(AEL33,ChurnSeasonTable,4,FALSE))*POWER(1-(AnnualChurn*VLOOKUP(AEL33,ChurnSeasonTable,4,FALSE)),1)</f>
        <v/>
      </c>
      <c r="AFH33" s="12">
        <f>AFH32+AFB33-AFB21*(AnnualChurn*VLOOKUP(AEL33,ChurnSeasonTable,4,FALSE))*POWER(1-(AnnualChurn*VLOOKUP(AEL33,ChurnSeasonTable,4,FALSE)),0)+AFB9*(AnnualChurn*VLOOKUP(AEL33,ChurnSeasonTable,4,FALSE))*POWER(1-(AnnualChurn*VLOOKUP(AEL33,ChurnSeasonTable,4,FALSE)),1)</f>
        <v/>
      </c>
      <c r="AFI33" s="12">
        <f>AFC33+AFD33+AFE33+AFF33+AFG33+AFH33</f>
        <v/>
      </c>
      <c r="AFJ33" s="9">
        <f>AFC33*BlendedPriceEssMonthly*AEO33+AFD33*BlendedPricePremMonthly*AEO33+AFE33*BlendedPriceEliteMonthly*AEO33+AFF33*BlendedPriceEssAnnual*AEO33/12+AFG33*BlendedPricePremAnnual*AEO33/12+AFH33*BlendedPriceEliteAnnual*AEO33/12</f>
        <v/>
      </c>
      <c r="AFK33" s="9">
        <f>AFJ33*12</f>
        <v/>
      </c>
      <c r="AFL33" s="12">
        <f>AFC33*BlendedPriceEssMonthly*AEO33+AFD33*BlendedPricePremMonthly*AEO33+AFE33*BlendedPriceEliteMonthly*AEO33</f>
        <v/>
      </c>
      <c r="AFM33" s="12">
        <f>AEZ33*BlendedPriceEssAnnual*AEO33+AFA33*BlendedPricePremAnnual*AEO33+AFB33*BlendedPriceEliteAnnual*AEO33</f>
        <v/>
      </c>
      <c r="AFN33" s="12">
        <f>AEZ21*POWER(1-(AnnualChurn*VLOOKUP(AEL33,ChurnSeasonTable,4,FALSE)),1)*BlendedPriceEssAnnual*AEO33+AEZ9*POWER(1-(AnnualChurn*VLOOKUP(AEL33,ChurnSeasonTable,4,FALSE)),2)*BlendedPriceEssAnnual*AEO33+AFA21*POWER(1-(AnnualChurn*VLOOKUP(AEL33,ChurnSeasonTable,4,FALSE)),1)*BlendedPricePremAnnual*AEO33+AFA9*POWER(1-(AnnualChurn*VLOOKUP(AEL33,ChurnSeasonTable,4,FALSE)),2)*BlendedPricePremAnnual*AEO33+AFB21*POWER(1-(AnnualChurn*VLOOKUP(AEL33,ChurnSeasonTable,4,FALSE)),1)*BlendedPriceEliteAnnual*AEO33+AFB9*POWER(1-(AnnualChurn*VLOOKUP(AEL33,ChurnSeasonTable,4,FALSE)),2)*BlendedPriceEliteAnnual*AEO33</f>
        <v/>
      </c>
      <c r="AFO33" s="9">
        <f>AFL33+AFM33+AFN33</f>
        <v/>
      </c>
      <c r="AFP33" s="12">
        <f>SUM(AFO22:AFO33)</f>
        <v/>
      </c>
      <c r="AFQ33" s="12">
        <f>OR(AFQ32,IF(VATAgentMode,SUM($AFO22:$AFO33)-SUM($AFV22:$AFV33)&gt;=VATThreshold,SUM($AFO22:$AFO33)&gt;=VATThreshold))</f>
        <v/>
      </c>
      <c r="AFR33" s="9">
        <f>IF(AFQ33,IF(VATAgentMode,AFO33-((AFO33-AFV33)-(AFO33-AFV33)/(1+VATRate)),AFO33/(1+VATRate)),AFO33)</f>
        <v/>
      </c>
      <c r="AFS33" s="12">
        <f>AFO33-AFR33</f>
        <v/>
      </c>
      <c r="AFT33" s="12">
        <f>IF(AFQ33=0,0,IF(AEL33=1,SUMPRODUCT(--(($AEM$5:$AEM33=$AEM33-1)*($AEL$5:$AEL33&gt;=10)*($AEL$5:$AEL33&lt;=12)),$AFS$5:$AFS33),IF(AEL33=4,SUMPRODUCT(--(($AEM$5:$AEM33=$AEM33)*($AEL$5:$AEL33&gt;=1)*($AEL$5:$AEL33&lt;=3)),$AFS$5:$AFS33),IF(AEL33=7,SUMPRODUCT(--(($AEM$5:$AEM33=$AEM33)*($AEL$5:$AEL33&gt;=4)*($AEL$5:$AEL33&lt;=6)),$AFS$5:$AFS33),IF(AEL33=10,SUMPRODUCT(--(($AEM$5:$AEM33=$AEM33)*($AEL$5:$AEL33&gt;=7)*($AEL$5:$AEL33&lt;=9)),$AFS$5:$AFS33),0)))))</f>
        <v/>
      </c>
      <c r="AFU33" s="12">
        <f>AFU32+AFS33-AFT33</f>
        <v/>
      </c>
      <c r="AFV33" s="12">
        <f>IF(ProviderDelay&gt;=1,AFC32*BlendedProvPayEss+AFD32*BlendedProvPayPrem+AFE32*BlendedProvPayElite+AFF32*BlendedProvPayEss+AFG32*BlendedProvPayPrem+AFH32*BlendedProvPayElite,AFC33*BlendedProvPayEss+AFD33*BlendedProvPayPrem+AFE33*BlendedProvPayElite+AFF33*BlendedProvPayEss+AFG33*BlendedProvPayPrem+AFH33*BlendedProvPayElite)</f>
        <v/>
      </c>
      <c r="AFW33" s="12">
        <f>AFO33*PaymentFee</f>
        <v/>
      </c>
      <c r="AFX33" s="12">
        <f>AFI33*OpsAI</f>
        <v/>
      </c>
      <c r="AFY33" s="12">
        <f>MonthlyFixed</f>
        <v/>
      </c>
      <c r="AFZ33" s="12">
        <f>AES33*ReferralReward</f>
        <v/>
      </c>
      <c r="AGA33" s="12">
        <f>AEQ33</f>
        <v/>
      </c>
      <c r="AGB33" s="9">
        <f>AFR33-AFV33-AFW33-AFX33-AFY33-AFZ33-AGA33</f>
        <v/>
      </c>
      <c r="AGC33" s="9">
        <f>AGC32+AFO33-(AFV33+AFW33+AFX33+AFY33+AFZ33+AGA33+AFT33)</f>
        <v/>
      </c>
      <c r="AGD33" s="12">
        <f>IF(AFI33&gt;0,AFJ33/AFI33,0)</f>
        <v/>
      </c>
      <c r="AGE33" s="11">
        <f>IF(AFI32&gt;0,MAX(0,(AFI32+AET33-AFI33)/AFI32),0)</f>
        <v/>
      </c>
      <c r="AGG33" s="12" t="n">
        <v>29</v>
      </c>
      <c r="AGH33" s="12">
        <f>MOD(AGG33-1+LaunchMonth-1,12)+1</f>
        <v/>
      </c>
      <c r="AGI33" s="12">
        <f>INT((AGG33-1+LaunchMonth-1)/12)+1</f>
        <v/>
      </c>
      <c r="AGJ33" s="12">
        <f>VLOOKUP(AGH33,SeasonTable,2,FALSE)</f>
        <v/>
      </c>
      <c r="AGK33" s="12">
        <f>(1+InflationRate)^INT((AGG33-1)/12)</f>
        <v/>
      </c>
      <c r="AGL33" s="11">
        <f>MonthlyChurn*VLOOKUP(AGH33,ChurnSeasonTable,4,FALSE)</f>
        <v/>
      </c>
      <c r="AGM33" s="12">
        <f>MIN(MAX(MktMin19plus,AHK32*MktPct19plus),MAX(0,AHY32-CashBuffer))</f>
        <v/>
      </c>
      <c r="AGN33" s="12">
        <f>IF(AGM33&gt;0,MAX(1,ROUND(AGM33/CAC*AGJ33,0)),0)</f>
        <v/>
      </c>
      <c r="AGO33" s="12">
        <f>IF(AGN33&gt;0,ROUND(AGN33*ReferralMix/(1-ReferralMix),0),0)</f>
        <v/>
      </c>
      <c r="AGP33" s="12">
        <f>AGN33+AGO33</f>
        <v/>
      </c>
      <c r="AGQ33" s="12">
        <f>ROUND(AGP33*(1-'Sens - Annual Mix'!$A$15),0)</f>
        <v/>
      </c>
      <c r="AGR33" s="12">
        <f>AGP33-AGQ33</f>
        <v/>
      </c>
      <c r="AGS33" s="12">
        <f>ROUND(AGQ33*EssentialMix,0)</f>
        <v/>
      </c>
      <c r="AGT33" s="12">
        <f>ROUND(AGQ33*PremiumMix,0)</f>
        <v/>
      </c>
      <c r="AGU33" s="12">
        <f>AGQ33-AGS33-AGT33</f>
        <v/>
      </c>
      <c r="AGV33" s="12">
        <f>ROUND(AGR33*EssentialMix,0)</f>
        <v/>
      </c>
      <c r="AGW33" s="12">
        <f>ROUND(AGR33*PremiumMix,0)</f>
        <v/>
      </c>
      <c r="AGX33" s="12">
        <f>AGR33-AGV33-AGW33</f>
        <v/>
      </c>
      <c r="AGY33" s="12">
        <f>AGS33+AGS32+AGS31+MAX(0,AGY32-AGS32-AGS31)*(1-AGL33)</f>
        <v/>
      </c>
      <c r="AGZ33" s="12">
        <f>AGT33+AGT32+AGT31+MAX(0,AGZ32-AGT32-AGT31)*(1-AGL33)</f>
        <v/>
      </c>
      <c r="AHA33" s="12">
        <f>AGU33+AGU32+AGU31+MAX(0,AHA32-AGU32-AGU31)*(1-AGL33)</f>
        <v/>
      </c>
      <c r="AHB33" s="12">
        <f>AHB32+AGV33-AGV21*(AnnualChurn*VLOOKUP(AGH33,ChurnSeasonTable,4,FALSE))*POWER(1-(AnnualChurn*VLOOKUP(AGH33,ChurnSeasonTable,4,FALSE)),0)+AGV9*(AnnualChurn*VLOOKUP(AGH33,ChurnSeasonTable,4,FALSE))*POWER(1-(AnnualChurn*VLOOKUP(AGH33,ChurnSeasonTable,4,FALSE)),1)</f>
        <v/>
      </c>
      <c r="AHC33" s="12">
        <f>AHC32+AGW33-AGW21*(AnnualChurn*VLOOKUP(AGH33,ChurnSeasonTable,4,FALSE))*POWER(1-(AnnualChurn*VLOOKUP(AGH33,ChurnSeasonTable,4,FALSE)),0)+AGW9*(AnnualChurn*VLOOKUP(AGH33,ChurnSeasonTable,4,FALSE))*POWER(1-(AnnualChurn*VLOOKUP(AGH33,ChurnSeasonTable,4,FALSE)),1)</f>
        <v/>
      </c>
      <c r="AHD33" s="12">
        <f>AHD32+AGX33-AGX21*(AnnualChurn*VLOOKUP(AGH33,ChurnSeasonTable,4,FALSE))*POWER(1-(AnnualChurn*VLOOKUP(AGH33,ChurnSeasonTable,4,FALSE)),0)+AGX9*(AnnualChurn*VLOOKUP(AGH33,ChurnSeasonTable,4,FALSE))*POWER(1-(AnnualChurn*VLOOKUP(AGH33,ChurnSeasonTable,4,FALSE)),1)</f>
        <v/>
      </c>
      <c r="AHE33" s="12">
        <f>AGY33+AGZ33+AHA33+AHB33+AHC33+AHD33</f>
        <v/>
      </c>
      <c r="AHF33" s="9">
        <f>AGY33*BlendedPriceEssMonthly*AGK33+AGZ33*BlendedPricePremMonthly*AGK33+AHA33*BlendedPriceEliteMonthly*AGK33+AHB33*BlendedPriceEssAnnual*AGK33/12+AHC33*BlendedPricePremAnnual*AGK33/12+AHD33*BlendedPriceEliteAnnual*AGK33/12</f>
        <v/>
      </c>
      <c r="AHG33" s="9">
        <f>AHF33*12</f>
        <v/>
      </c>
      <c r="AHH33" s="12">
        <f>AGY33*BlendedPriceEssMonthly*AGK33+AGZ33*BlendedPricePremMonthly*AGK33+AHA33*BlendedPriceEliteMonthly*AGK33</f>
        <v/>
      </c>
      <c r="AHI33" s="12">
        <f>AGV33*BlendedPriceEssAnnual*AGK33+AGW33*BlendedPricePremAnnual*AGK33+AGX33*BlendedPriceEliteAnnual*AGK33</f>
        <v/>
      </c>
      <c r="AHJ33" s="12">
        <f>AGV21*POWER(1-(AnnualChurn*VLOOKUP(AGH33,ChurnSeasonTable,4,FALSE)),1)*BlendedPriceEssAnnual*AGK33+AGV9*POWER(1-(AnnualChurn*VLOOKUP(AGH33,ChurnSeasonTable,4,FALSE)),2)*BlendedPriceEssAnnual*AGK33+AGW21*POWER(1-(AnnualChurn*VLOOKUP(AGH33,ChurnSeasonTable,4,FALSE)),1)*BlendedPricePremAnnual*AGK33+AGW9*POWER(1-(AnnualChurn*VLOOKUP(AGH33,ChurnSeasonTable,4,FALSE)),2)*BlendedPricePremAnnual*AGK33+AGX21*POWER(1-(AnnualChurn*VLOOKUP(AGH33,ChurnSeasonTable,4,FALSE)),1)*BlendedPriceEliteAnnual*AGK33+AGX9*POWER(1-(AnnualChurn*VLOOKUP(AGH33,ChurnSeasonTable,4,FALSE)),2)*BlendedPriceEliteAnnual*AGK33</f>
        <v/>
      </c>
      <c r="AHK33" s="9">
        <f>AHH33+AHI33+AHJ33</f>
        <v/>
      </c>
      <c r="AHL33" s="12">
        <f>SUM(AHK22:AHK33)</f>
        <v/>
      </c>
      <c r="AHM33" s="12">
        <f>OR(AHM32,IF(VATAgentMode,SUM($AHK22:$AHK33)-SUM($AHR22:$AHR33)&gt;=VATThreshold,SUM($AHK22:$AHK33)&gt;=VATThreshold))</f>
        <v/>
      </c>
      <c r="AHN33" s="9">
        <f>IF(AHM33,IF(VATAgentMode,AHK33-((AHK33-AHR33)-(AHK33-AHR33)/(1+VATRate)),AHK33/(1+VATRate)),AHK33)</f>
        <v/>
      </c>
      <c r="AHO33" s="12">
        <f>AHK33-AHN33</f>
        <v/>
      </c>
      <c r="AHP33" s="12">
        <f>IF(AHM33=0,0,IF(AGH33=1,SUMPRODUCT(--(($AGI$5:$AGI33=$AGI33-1)*($AGH$5:$AGH33&gt;=10)*($AGH$5:$AGH33&lt;=12)),$AHO$5:$AHO33),IF(AGH33=4,SUMPRODUCT(--(($AGI$5:$AGI33=$AGI33)*($AGH$5:$AGH33&gt;=1)*($AGH$5:$AGH33&lt;=3)),$AHO$5:$AHO33),IF(AGH33=7,SUMPRODUCT(--(($AGI$5:$AGI33=$AGI33)*($AGH$5:$AGH33&gt;=4)*($AGH$5:$AGH33&lt;=6)),$AHO$5:$AHO33),IF(AGH33=10,SUMPRODUCT(--(($AGI$5:$AGI33=$AGI33)*($AGH$5:$AGH33&gt;=7)*($AGH$5:$AGH33&lt;=9)),$AHO$5:$AHO33),0)))))</f>
        <v/>
      </c>
      <c r="AHQ33" s="12">
        <f>AHQ32+AHO33-AHP33</f>
        <v/>
      </c>
      <c r="AHR33" s="12">
        <f>IF(ProviderDelay&gt;=1,AGY32*BlendedProvPayEss+AGZ32*BlendedProvPayPrem+AHA32*BlendedProvPayElite+AHB32*BlendedProvPayEss+AHC32*BlendedProvPayPrem+AHD32*BlendedProvPayElite,AGY33*BlendedProvPayEss+AGZ33*BlendedProvPayPrem+AHA33*BlendedProvPayElite+AHB33*BlendedProvPayEss+AHC33*BlendedProvPayPrem+AHD33*BlendedProvPayElite)</f>
        <v/>
      </c>
      <c r="AHS33" s="12">
        <f>AHK33*PaymentFee</f>
        <v/>
      </c>
      <c r="AHT33" s="12">
        <f>AHE33*OpsAI</f>
        <v/>
      </c>
      <c r="AHU33" s="12">
        <f>MonthlyFixed</f>
        <v/>
      </c>
      <c r="AHV33" s="12">
        <f>AGO33*ReferralReward</f>
        <v/>
      </c>
      <c r="AHW33" s="12">
        <f>AGM33</f>
        <v/>
      </c>
      <c r="AHX33" s="9">
        <f>AHN33-AHR33-AHS33-AHT33-AHU33-AHV33-AHW33</f>
        <v/>
      </c>
      <c r="AHY33" s="9">
        <f>AHY32+AHK33-(AHR33+AHS33+AHT33+AHU33+AHV33+AHW33+AHP33)</f>
        <v/>
      </c>
      <c r="AHZ33" s="12">
        <f>IF(AHE33&gt;0,AHF33/AHE33,0)</f>
        <v/>
      </c>
      <c r="AIA33" s="11">
        <f>IF(AHE32&gt;0,MAX(0,(AHE32+AGP33-AHE33)/AHE32),0)</f>
        <v/>
      </c>
      <c r="AIC33" s="12" t="n">
        <v>29</v>
      </c>
      <c r="AID33" s="12">
        <f>MOD(AIC33-1+LaunchMonth-1,12)+1</f>
        <v/>
      </c>
      <c r="AIE33" s="12">
        <f>INT((AIC33-1+LaunchMonth-1)/12)+1</f>
        <v/>
      </c>
      <c r="AIF33" s="12">
        <f>VLOOKUP(AID33,SeasonTable,2,FALSE)</f>
        <v/>
      </c>
      <c r="AIG33" s="12">
        <f>(1+InflationRate)^INT((AIC33-1)/12)</f>
        <v/>
      </c>
      <c r="AIH33" s="11">
        <f>MonthlyChurn*VLOOKUP(AID33,ChurnSeasonTable,4,FALSE)</f>
        <v/>
      </c>
      <c r="AII33" s="12">
        <f>MIN(MAX(MktMin19plus,AJG32*MktPct19plus),MAX(0,AJU32-CashBuffer))</f>
        <v/>
      </c>
      <c r="AIJ33" s="12">
        <f>IF(AII33&gt;0,MAX(1,ROUND(AII33/'Sens - CAC &amp; Marketing'!$A$9*AIF33,0)),0)</f>
        <v/>
      </c>
      <c r="AIK33" s="12">
        <f>IF(AIJ33&gt;0,ROUND(AIJ33*ReferralMix/(1-ReferralMix),0),0)</f>
        <v/>
      </c>
      <c r="AIL33" s="12">
        <f>AIJ33+AIK33</f>
        <v/>
      </c>
      <c r="AIM33" s="12">
        <f>ROUND(AIL33*(1-AnnualMix),0)</f>
        <v/>
      </c>
      <c r="AIN33" s="12">
        <f>AIL33-AIM33</f>
        <v/>
      </c>
      <c r="AIO33" s="12">
        <f>ROUND(AIM33*EssentialMix,0)</f>
        <v/>
      </c>
      <c r="AIP33" s="12">
        <f>ROUND(AIM33*PremiumMix,0)</f>
        <v/>
      </c>
      <c r="AIQ33" s="12">
        <f>AIM33-AIO33-AIP33</f>
        <v/>
      </c>
      <c r="AIR33" s="12">
        <f>ROUND(AIN33*EssentialMix,0)</f>
        <v/>
      </c>
      <c r="AIS33" s="12">
        <f>ROUND(AIN33*PremiumMix,0)</f>
        <v/>
      </c>
      <c r="AIT33" s="12">
        <f>AIN33-AIR33-AIS33</f>
        <v/>
      </c>
      <c r="AIU33" s="12">
        <f>AIO33+AIO32+AIO31+MAX(0,AIU32-AIO32-AIO31)*(1-AIH33)</f>
        <v/>
      </c>
      <c r="AIV33" s="12">
        <f>AIP33+AIP32+AIP31+MAX(0,AIV32-AIP32-AIP31)*(1-AIH33)</f>
        <v/>
      </c>
      <c r="AIW33" s="12">
        <f>AIQ33+AIQ32+AIQ31+MAX(0,AIW32-AIQ32-AIQ31)*(1-AIH33)</f>
        <v/>
      </c>
      <c r="AIX33" s="12">
        <f>AIX32+AIR33-AIR21*(AnnualChurn*VLOOKUP(AID33,ChurnSeasonTable,4,FALSE))*POWER(1-(AnnualChurn*VLOOKUP(AID33,ChurnSeasonTable,4,FALSE)),0)+AIR9*(AnnualChurn*VLOOKUP(AID33,ChurnSeasonTable,4,FALSE))*POWER(1-(AnnualChurn*VLOOKUP(AID33,ChurnSeasonTable,4,FALSE)),1)</f>
        <v/>
      </c>
      <c r="AIY33" s="12">
        <f>AIY32+AIS33-AIS21*(AnnualChurn*VLOOKUP(AID33,ChurnSeasonTable,4,FALSE))*POWER(1-(AnnualChurn*VLOOKUP(AID33,ChurnSeasonTable,4,FALSE)),0)+AIS9*(AnnualChurn*VLOOKUP(AID33,ChurnSeasonTable,4,FALSE))*POWER(1-(AnnualChurn*VLOOKUP(AID33,ChurnSeasonTable,4,FALSE)),1)</f>
        <v/>
      </c>
      <c r="AIZ33" s="12">
        <f>AIZ32+AIT33-AIT21*(AnnualChurn*VLOOKUP(AID33,ChurnSeasonTable,4,FALSE))*POWER(1-(AnnualChurn*VLOOKUP(AID33,ChurnSeasonTable,4,FALSE)),0)+AIT9*(AnnualChurn*VLOOKUP(AID33,ChurnSeasonTable,4,FALSE))*POWER(1-(AnnualChurn*VLOOKUP(AID33,ChurnSeasonTable,4,FALSE)),1)</f>
        <v/>
      </c>
      <c r="AJA33" s="12">
        <f>AIU33+AIV33+AIW33+AIX33+AIY33+AIZ33</f>
        <v/>
      </c>
      <c r="AJB33" s="9">
        <f>AIU33*BlendedPriceEssMonthly*AIG33+AIV33*BlendedPricePremMonthly*AIG33+AIW33*BlendedPriceEliteMonthly*AIG33+AIX33*BlendedPriceEssAnnual*AIG33/12+AIY33*BlendedPricePremAnnual*AIG33/12+AIZ33*BlendedPriceEliteAnnual*AIG33/12</f>
        <v/>
      </c>
      <c r="AJC33" s="9">
        <f>AJB33*12</f>
        <v/>
      </c>
      <c r="AJD33" s="12">
        <f>AIU33*BlendedPriceEssMonthly*AIG33+AIV33*BlendedPricePremMonthly*AIG33+AIW33*BlendedPriceEliteMonthly*AIG33</f>
        <v/>
      </c>
      <c r="AJE33" s="12">
        <f>AIR33*BlendedPriceEssAnnual*AIG33+AIS33*BlendedPricePremAnnual*AIG33+AIT33*BlendedPriceEliteAnnual*AIG33</f>
        <v/>
      </c>
      <c r="AJF33" s="12">
        <f>AIR21*POWER(1-(AnnualChurn*VLOOKUP(AID33,ChurnSeasonTable,4,FALSE)),1)*BlendedPriceEssAnnual*AIG33+AIR9*POWER(1-(AnnualChurn*VLOOKUP(AID33,ChurnSeasonTable,4,FALSE)),2)*BlendedPriceEssAnnual*AIG33+AIS21*POWER(1-(AnnualChurn*VLOOKUP(AID33,ChurnSeasonTable,4,FALSE)),1)*BlendedPricePremAnnual*AIG33+AIS9*POWER(1-(AnnualChurn*VLOOKUP(AID33,ChurnSeasonTable,4,FALSE)),2)*BlendedPricePremAnnual*AIG33+AIT21*POWER(1-(AnnualChurn*VLOOKUP(AID33,ChurnSeasonTable,4,FALSE)),1)*BlendedPriceEliteAnnual*AIG33+AIT9*POWER(1-(AnnualChurn*VLOOKUP(AID33,ChurnSeasonTable,4,FALSE)),2)*BlendedPriceEliteAnnual*AIG33</f>
        <v/>
      </c>
      <c r="AJG33" s="9">
        <f>AJD33+AJE33+AJF33</f>
        <v/>
      </c>
      <c r="AJH33" s="12">
        <f>SUM(AJG22:AJG33)</f>
        <v/>
      </c>
      <c r="AJI33" s="12">
        <f>OR(AJI32,IF(VATAgentMode,SUM($AJG22:$AJG33)-SUM($AJN22:$AJN33)&gt;=VATThreshold,SUM($AJG22:$AJG33)&gt;=VATThreshold))</f>
        <v/>
      </c>
      <c r="AJJ33" s="9">
        <f>IF(AJI33,IF(VATAgentMode,AJG33-((AJG33-AJN33)-(AJG33-AJN33)/(1+VATRate)),AJG33/(1+VATRate)),AJG33)</f>
        <v/>
      </c>
      <c r="AJK33" s="12">
        <f>AJG33-AJJ33</f>
        <v/>
      </c>
      <c r="AJL33" s="12">
        <f>IF(AJI33=0,0,IF(AID33=1,SUMPRODUCT(--(($AIE$5:$AIE33=$AIE33-1)*($AID$5:$AID33&gt;=10)*($AID$5:$AID33&lt;=12)),$AJK$5:$AJK33),IF(AID33=4,SUMPRODUCT(--(($AIE$5:$AIE33=$AIE33)*($AID$5:$AID33&gt;=1)*($AID$5:$AID33&lt;=3)),$AJK$5:$AJK33),IF(AID33=7,SUMPRODUCT(--(($AIE$5:$AIE33=$AIE33)*($AID$5:$AID33&gt;=4)*($AID$5:$AID33&lt;=6)),$AJK$5:$AJK33),IF(AID33=10,SUMPRODUCT(--(($AIE$5:$AIE33=$AIE33)*($AID$5:$AID33&gt;=7)*($AID$5:$AID33&lt;=9)),$AJK$5:$AJK33),0)))))</f>
        <v/>
      </c>
      <c r="AJM33" s="12">
        <f>AJM32+AJK33-AJL33</f>
        <v/>
      </c>
      <c r="AJN33" s="12">
        <f>IF(ProviderDelay&gt;=1,AIU32*BlendedProvPayEss+AIV32*BlendedProvPayPrem+AIW32*BlendedProvPayElite+AIX32*BlendedProvPayEss+AIY32*BlendedProvPayPrem+AIZ32*BlendedProvPayElite,AIU33*BlendedProvPayEss+AIV33*BlendedProvPayPrem+AIW33*BlendedProvPayElite+AIX33*BlendedProvPayEss+AIY33*BlendedProvPayPrem+AIZ33*BlendedProvPayElite)</f>
        <v/>
      </c>
      <c r="AJO33" s="12">
        <f>AJG33*PaymentFee</f>
        <v/>
      </c>
      <c r="AJP33" s="12">
        <f>AJA33*OpsAI</f>
        <v/>
      </c>
      <c r="AJQ33" s="12">
        <f>MonthlyFixed</f>
        <v/>
      </c>
      <c r="AJR33" s="12">
        <f>AIK33*ReferralReward</f>
        <v/>
      </c>
      <c r="AJS33" s="12">
        <f>AII33</f>
        <v/>
      </c>
      <c r="AJT33" s="9">
        <f>AJJ33-AJN33-AJO33-AJP33-AJQ33-AJR33-AJS33</f>
        <v/>
      </c>
      <c r="AJU33" s="9">
        <f>AJU32+AJG33-(AJN33+AJO33+AJP33+AJQ33+AJR33+AJS33+AJL33)</f>
        <v/>
      </c>
      <c r="AJV33" s="12">
        <f>IF(AJA33&gt;0,AJB33/AJA33,0)</f>
        <v/>
      </c>
      <c r="AJW33" s="11">
        <f>IF(AJA32&gt;0,MAX(0,(AJA32+AIL33-AJA33)/AJA32),0)</f>
        <v/>
      </c>
      <c r="AJY33" s="12" t="n">
        <v>29</v>
      </c>
      <c r="AJZ33" s="12">
        <f>MOD(AJY33-1+LaunchMonth-1,12)+1</f>
        <v/>
      </c>
      <c r="AKA33" s="12">
        <f>INT((AJY33-1+LaunchMonth-1)/12)+1</f>
        <v/>
      </c>
      <c r="AKB33" s="12">
        <f>VLOOKUP(AJZ33,SeasonTable,2,FALSE)</f>
        <v/>
      </c>
      <c r="AKC33" s="12">
        <f>(1+InflationRate)^INT((AJY33-1)/12)</f>
        <v/>
      </c>
      <c r="AKD33" s="11">
        <f>MonthlyChurn*VLOOKUP(AJZ33,ChurnSeasonTable,4,FALSE)</f>
        <v/>
      </c>
      <c r="AKE33" s="12">
        <f>MIN(MAX(MktMin19plus,ALC32*MktPct19plus),MAX(0,ALQ32-CashBuffer))</f>
        <v/>
      </c>
      <c r="AKF33" s="12">
        <f>IF(AKE33&gt;0,MAX(1,ROUND(AKE33/'Sens - CAC &amp; Marketing'!$A$10*AKB33,0)),0)</f>
        <v/>
      </c>
      <c r="AKG33" s="12">
        <f>IF(AKF33&gt;0,ROUND(AKF33*ReferralMix/(1-ReferralMix),0),0)</f>
        <v/>
      </c>
      <c r="AKH33" s="12">
        <f>AKF33+AKG33</f>
        <v/>
      </c>
      <c r="AKI33" s="12">
        <f>ROUND(AKH33*(1-AnnualMix),0)</f>
        <v/>
      </c>
      <c r="AKJ33" s="12">
        <f>AKH33-AKI33</f>
        <v/>
      </c>
      <c r="AKK33" s="12">
        <f>ROUND(AKI33*EssentialMix,0)</f>
        <v/>
      </c>
      <c r="AKL33" s="12">
        <f>ROUND(AKI33*PremiumMix,0)</f>
        <v/>
      </c>
      <c r="AKM33" s="12">
        <f>AKI33-AKK33-AKL33</f>
        <v/>
      </c>
      <c r="AKN33" s="12">
        <f>ROUND(AKJ33*EssentialMix,0)</f>
        <v/>
      </c>
      <c r="AKO33" s="12">
        <f>ROUND(AKJ33*PremiumMix,0)</f>
        <v/>
      </c>
      <c r="AKP33" s="12">
        <f>AKJ33-AKN33-AKO33</f>
        <v/>
      </c>
      <c r="AKQ33" s="12">
        <f>AKK33+AKK32+AKK31+MAX(0,AKQ32-AKK32-AKK31)*(1-AKD33)</f>
        <v/>
      </c>
      <c r="AKR33" s="12">
        <f>AKL33+AKL32+AKL31+MAX(0,AKR32-AKL32-AKL31)*(1-AKD33)</f>
        <v/>
      </c>
      <c r="AKS33" s="12">
        <f>AKM33+AKM32+AKM31+MAX(0,AKS32-AKM32-AKM31)*(1-AKD33)</f>
        <v/>
      </c>
      <c r="AKT33" s="12">
        <f>AKT32+AKN33-AKN21*(AnnualChurn*VLOOKUP(AJZ33,ChurnSeasonTable,4,FALSE))*POWER(1-(AnnualChurn*VLOOKUP(AJZ33,ChurnSeasonTable,4,FALSE)),0)+AKN9*(AnnualChurn*VLOOKUP(AJZ33,ChurnSeasonTable,4,FALSE))*POWER(1-(AnnualChurn*VLOOKUP(AJZ33,ChurnSeasonTable,4,FALSE)),1)</f>
        <v/>
      </c>
      <c r="AKU33" s="12">
        <f>AKU32+AKO33-AKO21*(AnnualChurn*VLOOKUP(AJZ33,ChurnSeasonTable,4,FALSE))*POWER(1-(AnnualChurn*VLOOKUP(AJZ33,ChurnSeasonTable,4,FALSE)),0)+AKO9*(AnnualChurn*VLOOKUP(AJZ33,ChurnSeasonTable,4,FALSE))*POWER(1-(AnnualChurn*VLOOKUP(AJZ33,ChurnSeasonTable,4,FALSE)),1)</f>
        <v/>
      </c>
      <c r="AKV33" s="12">
        <f>AKV32+AKP33-AKP21*(AnnualChurn*VLOOKUP(AJZ33,ChurnSeasonTable,4,FALSE))*POWER(1-(AnnualChurn*VLOOKUP(AJZ33,ChurnSeasonTable,4,FALSE)),0)+AKP9*(AnnualChurn*VLOOKUP(AJZ33,ChurnSeasonTable,4,FALSE))*POWER(1-(AnnualChurn*VLOOKUP(AJZ33,ChurnSeasonTable,4,FALSE)),1)</f>
        <v/>
      </c>
      <c r="AKW33" s="12">
        <f>AKQ33+AKR33+AKS33+AKT33+AKU33+AKV33</f>
        <v/>
      </c>
      <c r="AKX33" s="9">
        <f>AKQ33*BlendedPriceEssMonthly*AKC33+AKR33*BlendedPricePremMonthly*AKC33+AKS33*BlendedPriceEliteMonthly*AKC33+AKT33*BlendedPriceEssAnnual*AKC33/12+AKU33*BlendedPricePremAnnual*AKC33/12+AKV33*BlendedPriceEliteAnnual*AKC33/12</f>
        <v/>
      </c>
      <c r="AKY33" s="9">
        <f>AKX33*12</f>
        <v/>
      </c>
      <c r="AKZ33" s="12">
        <f>AKQ33*BlendedPriceEssMonthly*AKC33+AKR33*BlendedPricePremMonthly*AKC33+AKS33*BlendedPriceEliteMonthly*AKC33</f>
        <v/>
      </c>
      <c r="ALA33" s="12">
        <f>AKN33*BlendedPriceEssAnnual*AKC33+AKO33*BlendedPricePremAnnual*AKC33+AKP33*BlendedPriceEliteAnnual*AKC33</f>
        <v/>
      </c>
      <c r="ALB33" s="12">
        <f>AKN21*POWER(1-(AnnualChurn*VLOOKUP(AJZ33,ChurnSeasonTable,4,FALSE)),1)*BlendedPriceEssAnnual*AKC33+AKN9*POWER(1-(AnnualChurn*VLOOKUP(AJZ33,ChurnSeasonTable,4,FALSE)),2)*BlendedPriceEssAnnual*AKC33+AKO21*POWER(1-(AnnualChurn*VLOOKUP(AJZ33,ChurnSeasonTable,4,FALSE)),1)*BlendedPricePremAnnual*AKC33+AKO9*POWER(1-(AnnualChurn*VLOOKUP(AJZ33,ChurnSeasonTable,4,FALSE)),2)*BlendedPricePremAnnual*AKC33+AKP21*POWER(1-(AnnualChurn*VLOOKUP(AJZ33,ChurnSeasonTable,4,FALSE)),1)*BlendedPriceEliteAnnual*AKC33+AKP9*POWER(1-(AnnualChurn*VLOOKUP(AJZ33,ChurnSeasonTable,4,FALSE)),2)*BlendedPriceEliteAnnual*AKC33</f>
        <v/>
      </c>
      <c r="ALC33" s="9">
        <f>AKZ33+ALA33+ALB33</f>
        <v/>
      </c>
      <c r="ALD33" s="12">
        <f>SUM(ALC22:ALC33)</f>
        <v/>
      </c>
      <c r="ALE33" s="12">
        <f>OR(ALE32,IF(VATAgentMode,SUM($ALC22:$ALC33)-SUM($ALJ22:$ALJ33)&gt;=VATThreshold,SUM($ALC22:$ALC33)&gt;=VATThreshold))</f>
        <v/>
      </c>
      <c r="ALF33" s="9">
        <f>IF(ALE33,IF(VATAgentMode,ALC33-((ALC33-ALJ33)-(ALC33-ALJ33)/(1+VATRate)),ALC33/(1+VATRate)),ALC33)</f>
        <v/>
      </c>
      <c r="ALG33" s="12">
        <f>ALC33-ALF33</f>
        <v/>
      </c>
      <c r="ALH33" s="12">
        <f>IF(ALE33=0,0,IF(AJZ33=1,SUMPRODUCT(--(($AKA$5:$AKA33=$AKA33-1)*($AJZ$5:$AJZ33&gt;=10)*($AJZ$5:$AJZ33&lt;=12)),$ALG$5:$ALG33),IF(AJZ33=4,SUMPRODUCT(--(($AKA$5:$AKA33=$AKA33)*($AJZ$5:$AJZ33&gt;=1)*($AJZ$5:$AJZ33&lt;=3)),$ALG$5:$ALG33),IF(AJZ33=7,SUMPRODUCT(--(($AKA$5:$AKA33=$AKA33)*($AJZ$5:$AJZ33&gt;=4)*($AJZ$5:$AJZ33&lt;=6)),$ALG$5:$ALG33),IF(AJZ33=10,SUMPRODUCT(--(($AKA$5:$AKA33=$AKA33)*($AJZ$5:$AJZ33&gt;=7)*($AJZ$5:$AJZ33&lt;=9)),$ALG$5:$ALG33),0)))))</f>
        <v/>
      </c>
      <c r="ALI33" s="12">
        <f>ALI32+ALG33-ALH33</f>
        <v/>
      </c>
      <c r="ALJ33" s="12">
        <f>IF(ProviderDelay&gt;=1,AKQ32*BlendedProvPayEss+AKR32*BlendedProvPayPrem+AKS32*BlendedProvPayElite+AKT32*BlendedProvPayEss+AKU32*BlendedProvPayPrem+AKV32*BlendedProvPayElite,AKQ33*BlendedProvPayEss+AKR33*BlendedProvPayPrem+AKS33*BlendedProvPayElite+AKT33*BlendedProvPayEss+AKU33*BlendedProvPayPrem+AKV33*BlendedProvPayElite)</f>
        <v/>
      </c>
      <c r="ALK33" s="12">
        <f>ALC33*PaymentFee</f>
        <v/>
      </c>
      <c r="ALL33" s="12">
        <f>AKW33*OpsAI</f>
        <v/>
      </c>
      <c r="ALM33" s="12">
        <f>MonthlyFixed</f>
        <v/>
      </c>
      <c r="ALN33" s="12">
        <f>AKG33*ReferralReward</f>
        <v/>
      </c>
      <c r="ALO33" s="12">
        <f>AKE33</f>
        <v/>
      </c>
      <c r="ALP33" s="9">
        <f>ALF33-ALJ33-ALK33-ALL33-ALM33-ALN33-ALO33</f>
        <v/>
      </c>
      <c r="ALQ33" s="9">
        <f>ALQ32+ALC33-(ALJ33+ALK33+ALL33+ALM33+ALN33+ALO33+ALH33)</f>
        <v/>
      </c>
      <c r="ALR33" s="12">
        <f>IF(AKW33&gt;0,AKX33/AKW33,0)</f>
        <v/>
      </c>
      <c r="ALS33" s="11">
        <f>IF(AKW32&gt;0,MAX(0,(AKW32+AKH33-AKW33)/AKW32),0)</f>
        <v/>
      </c>
      <c r="ALU33" s="12" t="n">
        <v>29</v>
      </c>
      <c r="ALV33" s="12">
        <f>MOD(ALU33-1+LaunchMonth-1,12)+1</f>
        <v/>
      </c>
      <c r="ALW33" s="12">
        <f>INT((ALU33-1+LaunchMonth-1)/12)+1</f>
        <v/>
      </c>
      <c r="ALX33" s="12">
        <f>VLOOKUP(ALV33,SeasonTable,2,FALSE)</f>
        <v/>
      </c>
      <c r="ALY33" s="12">
        <f>(1+InflationRate)^INT((ALU33-1)/12)</f>
        <v/>
      </c>
      <c r="ALZ33" s="11">
        <f>MonthlyChurn*VLOOKUP(ALV33,ChurnSeasonTable,4,FALSE)</f>
        <v/>
      </c>
      <c r="AMA33" s="12">
        <f>MIN(MAX(MktMin19plus,AMY32*MktPct19plus),MAX(0,ANM32-CashBuffer))</f>
        <v/>
      </c>
      <c r="AMB33" s="12">
        <f>IF(AMA33&gt;0,MAX(1,ROUND(AMA33/'Sens - CAC &amp; Marketing'!$A$11*ALX33,0)),0)</f>
        <v/>
      </c>
      <c r="AMC33" s="12">
        <f>IF(AMB33&gt;0,ROUND(AMB33*ReferralMix/(1-ReferralMix),0),0)</f>
        <v/>
      </c>
      <c r="AMD33" s="12">
        <f>AMB33+AMC33</f>
        <v/>
      </c>
      <c r="AME33" s="12">
        <f>ROUND(AMD33*(1-AnnualMix),0)</f>
        <v/>
      </c>
      <c r="AMF33" s="12">
        <f>AMD33-AME33</f>
        <v/>
      </c>
      <c r="AMG33" s="12">
        <f>ROUND(AME33*EssentialMix,0)</f>
        <v/>
      </c>
      <c r="AMH33" s="12">
        <f>ROUND(AME33*PremiumMix,0)</f>
        <v/>
      </c>
      <c r="AMI33" s="12">
        <f>AME33-AMG33-AMH33</f>
        <v/>
      </c>
      <c r="AMJ33" s="12">
        <f>ROUND(AMF33*EssentialMix,0)</f>
        <v/>
      </c>
      <c r="AMK33" s="12">
        <f>ROUND(AMF33*PremiumMix,0)</f>
        <v/>
      </c>
      <c r="AML33" s="12">
        <f>AMF33-AMJ33-AMK33</f>
        <v/>
      </c>
      <c r="AMM33" s="12">
        <f>AMG33+AMG32+AMG31+MAX(0,AMM32-AMG32-AMG31)*(1-ALZ33)</f>
        <v/>
      </c>
      <c r="AMN33" s="12">
        <f>AMH33+AMH32+AMH31+MAX(0,AMN32-AMH32-AMH31)*(1-ALZ33)</f>
        <v/>
      </c>
      <c r="AMO33" s="12">
        <f>AMI33+AMI32+AMI31+MAX(0,AMO32-AMI32-AMI31)*(1-ALZ33)</f>
        <v/>
      </c>
      <c r="AMP33" s="12">
        <f>AMP32+AMJ33-AMJ21*(AnnualChurn*VLOOKUP(ALV33,ChurnSeasonTable,4,FALSE))*POWER(1-(AnnualChurn*VLOOKUP(ALV33,ChurnSeasonTable,4,FALSE)),0)+AMJ9*(AnnualChurn*VLOOKUP(ALV33,ChurnSeasonTable,4,FALSE))*POWER(1-(AnnualChurn*VLOOKUP(ALV33,ChurnSeasonTable,4,FALSE)),1)</f>
        <v/>
      </c>
      <c r="AMQ33" s="12">
        <f>AMQ32+AMK33-AMK21*(AnnualChurn*VLOOKUP(ALV33,ChurnSeasonTable,4,FALSE))*POWER(1-(AnnualChurn*VLOOKUP(ALV33,ChurnSeasonTable,4,FALSE)),0)+AMK9*(AnnualChurn*VLOOKUP(ALV33,ChurnSeasonTable,4,FALSE))*POWER(1-(AnnualChurn*VLOOKUP(ALV33,ChurnSeasonTable,4,FALSE)),1)</f>
        <v/>
      </c>
      <c r="AMR33" s="12">
        <f>AMR32+AML33-AML21*(AnnualChurn*VLOOKUP(ALV33,ChurnSeasonTable,4,FALSE))*POWER(1-(AnnualChurn*VLOOKUP(ALV33,ChurnSeasonTable,4,FALSE)),0)+AML9*(AnnualChurn*VLOOKUP(ALV33,ChurnSeasonTable,4,FALSE))*POWER(1-(AnnualChurn*VLOOKUP(ALV33,ChurnSeasonTable,4,FALSE)),1)</f>
        <v/>
      </c>
      <c r="AMS33" s="12">
        <f>AMM33+AMN33+AMO33+AMP33+AMQ33+AMR33</f>
        <v/>
      </c>
      <c r="AMT33" s="9">
        <f>AMM33*BlendedPriceEssMonthly*ALY33+AMN33*BlendedPricePremMonthly*ALY33+AMO33*BlendedPriceEliteMonthly*ALY33+AMP33*BlendedPriceEssAnnual*ALY33/12+AMQ33*BlendedPricePremAnnual*ALY33/12+AMR33*BlendedPriceEliteAnnual*ALY33/12</f>
        <v/>
      </c>
      <c r="AMU33" s="9">
        <f>AMT33*12</f>
        <v/>
      </c>
      <c r="AMV33" s="12">
        <f>AMM33*BlendedPriceEssMonthly*ALY33+AMN33*BlendedPricePremMonthly*ALY33+AMO33*BlendedPriceEliteMonthly*ALY33</f>
        <v/>
      </c>
      <c r="AMW33" s="12">
        <f>AMJ33*BlendedPriceEssAnnual*ALY33+AMK33*BlendedPricePremAnnual*ALY33+AML33*BlendedPriceEliteAnnual*ALY33</f>
        <v/>
      </c>
      <c r="AMX33" s="12">
        <f>AMJ21*POWER(1-(AnnualChurn*VLOOKUP(ALV33,ChurnSeasonTable,4,FALSE)),1)*BlendedPriceEssAnnual*ALY33+AMJ9*POWER(1-(AnnualChurn*VLOOKUP(ALV33,ChurnSeasonTable,4,FALSE)),2)*BlendedPriceEssAnnual*ALY33+AMK21*POWER(1-(AnnualChurn*VLOOKUP(ALV33,ChurnSeasonTable,4,FALSE)),1)*BlendedPricePremAnnual*ALY33+AMK9*POWER(1-(AnnualChurn*VLOOKUP(ALV33,ChurnSeasonTable,4,FALSE)),2)*BlendedPricePremAnnual*ALY33+AML21*POWER(1-(AnnualChurn*VLOOKUP(ALV33,ChurnSeasonTable,4,FALSE)),1)*BlendedPriceEliteAnnual*ALY33+AML9*POWER(1-(AnnualChurn*VLOOKUP(ALV33,ChurnSeasonTable,4,FALSE)),2)*BlendedPriceEliteAnnual*ALY33</f>
        <v/>
      </c>
      <c r="AMY33" s="9">
        <f>AMV33+AMW33+AMX33</f>
        <v/>
      </c>
      <c r="AMZ33" s="12">
        <f>SUM(AMY22:AMY33)</f>
        <v/>
      </c>
      <c r="ANA33" s="12">
        <f>OR(ANA32,IF(VATAgentMode,SUM($AMY22:$AMY33)-SUM($ANF22:$ANF33)&gt;=VATThreshold,SUM($AMY22:$AMY33)&gt;=VATThreshold))</f>
        <v/>
      </c>
      <c r="ANB33" s="9">
        <f>IF(ANA33,IF(VATAgentMode,AMY33-((AMY33-ANF33)-(AMY33-ANF33)/(1+VATRate)),AMY33/(1+VATRate)),AMY33)</f>
        <v/>
      </c>
      <c r="ANC33" s="12">
        <f>AMY33-ANB33</f>
        <v/>
      </c>
      <c r="AND33" s="12">
        <f>IF(ANA33=0,0,IF(ALV33=1,SUMPRODUCT(--(($ALW$5:$ALW33=$ALW33-1)*($ALV$5:$ALV33&gt;=10)*($ALV$5:$ALV33&lt;=12)),$ANC$5:$ANC33),IF(ALV33=4,SUMPRODUCT(--(($ALW$5:$ALW33=$ALW33)*($ALV$5:$ALV33&gt;=1)*($ALV$5:$ALV33&lt;=3)),$ANC$5:$ANC33),IF(ALV33=7,SUMPRODUCT(--(($ALW$5:$ALW33=$ALW33)*($ALV$5:$ALV33&gt;=4)*($ALV$5:$ALV33&lt;=6)),$ANC$5:$ANC33),IF(ALV33=10,SUMPRODUCT(--(($ALW$5:$ALW33=$ALW33)*($ALV$5:$ALV33&gt;=7)*($ALV$5:$ALV33&lt;=9)),$ANC$5:$ANC33),0)))))</f>
        <v/>
      </c>
      <c r="ANE33" s="12">
        <f>ANE32+ANC33-AND33</f>
        <v/>
      </c>
      <c r="ANF33" s="12">
        <f>IF(ProviderDelay&gt;=1,AMM32*BlendedProvPayEss+AMN32*BlendedProvPayPrem+AMO32*BlendedProvPayElite+AMP32*BlendedProvPayEss+AMQ32*BlendedProvPayPrem+AMR32*BlendedProvPayElite,AMM33*BlendedProvPayEss+AMN33*BlendedProvPayPrem+AMO33*BlendedProvPayElite+AMP33*BlendedProvPayEss+AMQ33*BlendedProvPayPrem+AMR33*BlendedProvPayElite)</f>
        <v/>
      </c>
      <c r="ANG33" s="12">
        <f>AMY33*PaymentFee</f>
        <v/>
      </c>
      <c r="ANH33" s="12">
        <f>AMS33*OpsAI</f>
        <v/>
      </c>
      <c r="ANI33" s="12">
        <f>MonthlyFixed</f>
        <v/>
      </c>
      <c r="ANJ33" s="12">
        <f>AMC33*ReferralReward</f>
        <v/>
      </c>
      <c r="ANK33" s="12">
        <f>AMA33</f>
        <v/>
      </c>
      <c r="ANL33" s="9">
        <f>ANB33-ANF33-ANG33-ANH33-ANI33-ANJ33-ANK33</f>
        <v/>
      </c>
      <c r="ANM33" s="9">
        <f>ANM32+AMY33-(ANF33+ANG33+ANH33+ANI33+ANJ33+ANK33+AND33)</f>
        <v/>
      </c>
      <c r="ANN33" s="12">
        <f>IF(AMS33&gt;0,AMT33/AMS33,0)</f>
        <v/>
      </c>
      <c r="ANO33" s="11">
        <f>IF(AMS32&gt;0,MAX(0,(AMS32+AMD33-AMS33)/AMS32),0)</f>
        <v/>
      </c>
      <c r="ANQ33" s="12" t="n">
        <v>29</v>
      </c>
      <c r="ANR33" s="12">
        <f>MOD(ANQ33-1+LaunchMonth-1,12)+1</f>
        <v/>
      </c>
      <c r="ANS33" s="12">
        <f>INT((ANQ33-1+LaunchMonth-1)/12)+1</f>
        <v/>
      </c>
      <c r="ANT33" s="12">
        <f>VLOOKUP(ANR33,SeasonTable,2,FALSE)</f>
        <v/>
      </c>
      <c r="ANU33" s="12">
        <f>(1+InflationRate)^INT((ANQ33-1)/12)</f>
        <v/>
      </c>
      <c r="ANV33" s="11">
        <f>MonthlyChurn*VLOOKUP(ANR33,ChurnSeasonTable,4,FALSE)</f>
        <v/>
      </c>
      <c r="ANW33" s="12">
        <f>MIN(MAX(MktMin19plus,AOU32*MktPct19plus),MAX(0,API32-CashBuffer))</f>
        <v/>
      </c>
      <c r="ANX33" s="12">
        <f>IF(ANW33&gt;0,MAX(1,ROUND(ANW33/'Sens - CAC &amp; Marketing'!$A$12*ANT33,0)),0)</f>
        <v/>
      </c>
      <c r="ANY33" s="12">
        <f>IF(ANX33&gt;0,ROUND(ANX33*ReferralMix/(1-ReferralMix),0),0)</f>
        <v/>
      </c>
      <c r="ANZ33" s="12">
        <f>ANX33+ANY33</f>
        <v/>
      </c>
      <c r="AOA33" s="12">
        <f>ROUND(ANZ33*(1-AnnualMix),0)</f>
        <v/>
      </c>
      <c r="AOB33" s="12">
        <f>ANZ33-AOA33</f>
        <v/>
      </c>
      <c r="AOC33" s="12">
        <f>ROUND(AOA33*EssentialMix,0)</f>
        <v/>
      </c>
      <c r="AOD33" s="12">
        <f>ROUND(AOA33*PremiumMix,0)</f>
        <v/>
      </c>
      <c r="AOE33" s="12">
        <f>AOA33-AOC33-AOD33</f>
        <v/>
      </c>
      <c r="AOF33" s="12">
        <f>ROUND(AOB33*EssentialMix,0)</f>
        <v/>
      </c>
      <c r="AOG33" s="12">
        <f>ROUND(AOB33*PremiumMix,0)</f>
        <v/>
      </c>
      <c r="AOH33" s="12">
        <f>AOB33-AOF33-AOG33</f>
        <v/>
      </c>
      <c r="AOI33" s="12">
        <f>AOC33+AOC32+AOC31+MAX(0,AOI32-AOC32-AOC31)*(1-ANV33)</f>
        <v/>
      </c>
      <c r="AOJ33" s="12">
        <f>AOD33+AOD32+AOD31+MAX(0,AOJ32-AOD32-AOD31)*(1-ANV33)</f>
        <v/>
      </c>
      <c r="AOK33" s="12">
        <f>AOE33+AOE32+AOE31+MAX(0,AOK32-AOE32-AOE31)*(1-ANV33)</f>
        <v/>
      </c>
      <c r="AOL33" s="12">
        <f>AOL32+AOF33-AOF21*(AnnualChurn*VLOOKUP(ANR33,ChurnSeasonTable,4,FALSE))*POWER(1-(AnnualChurn*VLOOKUP(ANR33,ChurnSeasonTable,4,FALSE)),0)+AOF9*(AnnualChurn*VLOOKUP(ANR33,ChurnSeasonTable,4,FALSE))*POWER(1-(AnnualChurn*VLOOKUP(ANR33,ChurnSeasonTable,4,FALSE)),1)</f>
        <v/>
      </c>
      <c r="AOM33" s="12">
        <f>AOM32+AOG33-AOG21*(AnnualChurn*VLOOKUP(ANR33,ChurnSeasonTable,4,FALSE))*POWER(1-(AnnualChurn*VLOOKUP(ANR33,ChurnSeasonTable,4,FALSE)),0)+AOG9*(AnnualChurn*VLOOKUP(ANR33,ChurnSeasonTable,4,FALSE))*POWER(1-(AnnualChurn*VLOOKUP(ANR33,ChurnSeasonTable,4,FALSE)),1)</f>
        <v/>
      </c>
      <c r="AON33" s="12">
        <f>AON32+AOH33-AOH21*(AnnualChurn*VLOOKUP(ANR33,ChurnSeasonTable,4,FALSE))*POWER(1-(AnnualChurn*VLOOKUP(ANR33,ChurnSeasonTable,4,FALSE)),0)+AOH9*(AnnualChurn*VLOOKUP(ANR33,ChurnSeasonTable,4,FALSE))*POWER(1-(AnnualChurn*VLOOKUP(ANR33,ChurnSeasonTable,4,FALSE)),1)</f>
        <v/>
      </c>
      <c r="AOO33" s="12">
        <f>AOI33+AOJ33+AOK33+AOL33+AOM33+AON33</f>
        <v/>
      </c>
      <c r="AOP33" s="9">
        <f>AOI33*BlendedPriceEssMonthly*ANU33+AOJ33*BlendedPricePremMonthly*ANU33+AOK33*BlendedPriceEliteMonthly*ANU33+AOL33*BlendedPriceEssAnnual*ANU33/12+AOM33*BlendedPricePremAnnual*ANU33/12+AON33*BlendedPriceEliteAnnual*ANU33/12</f>
        <v/>
      </c>
      <c r="AOQ33" s="9">
        <f>AOP33*12</f>
        <v/>
      </c>
      <c r="AOR33" s="12">
        <f>AOI33*BlendedPriceEssMonthly*ANU33+AOJ33*BlendedPricePremMonthly*ANU33+AOK33*BlendedPriceEliteMonthly*ANU33</f>
        <v/>
      </c>
      <c r="AOS33" s="12">
        <f>AOF33*BlendedPriceEssAnnual*ANU33+AOG33*BlendedPricePremAnnual*ANU33+AOH33*BlendedPriceEliteAnnual*ANU33</f>
        <v/>
      </c>
      <c r="AOT33" s="12">
        <f>AOF21*POWER(1-(AnnualChurn*VLOOKUP(ANR33,ChurnSeasonTable,4,FALSE)),1)*BlendedPriceEssAnnual*ANU33+AOF9*POWER(1-(AnnualChurn*VLOOKUP(ANR33,ChurnSeasonTable,4,FALSE)),2)*BlendedPriceEssAnnual*ANU33+AOG21*POWER(1-(AnnualChurn*VLOOKUP(ANR33,ChurnSeasonTable,4,FALSE)),1)*BlendedPricePremAnnual*ANU33+AOG9*POWER(1-(AnnualChurn*VLOOKUP(ANR33,ChurnSeasonTable,4,FALSE)),2)*BlendedPricePremAnnual*ANU33+AOH21*POWER(1-(AnnualChurn*VLOOKUP(ANR33,ChurnSeasonTable,4,FALSE)),1)*BlendedPriceEliteAnnual*ANU33+AOH9*POWER(1-(AnnualChurn*VLOOKUP(ANR33,ChurnSeasonTable,4,FALSE)),2)*BlendedPriceEliteAnnual*ANU33</f>
        <v/>
      </c>
      <c r="AOU33" s="9">
        <f>AOR33+AOS33+AOT33</f>
        <v/>
      </c>
      <c r="AOV33" s="12">
        <f>SUM(AOU22:AOU33)</f>
        <v/>
      </c>
      <c r="AOW33" s="12">
        <f>OR(AOW32,IF(VATAgentMode,SUM($AOU22:$AOU33)-SUM($APB22:$APB33)&gt;=VATThreshold,SUM($AOU22:$AOU33)&gt;=VATThreshold))</f>
        <v/>
      </c>
      <c r="AOX33" s="9">
        <f>IF(AOW33,IF(VATAgentMode,AOU33-((AOU33-APB33)-(AOU33-APB33)/(1+VATRate)),AOU33/(1+VATRate)),AOU33)</f>
        <v/>
      </c>
      <c r="AOY33" s="12">
        <f>AOU33-AOX33</f>
        <v/>
      </c>
      <c r="AOZ33" s="12">
        <f>IF(AOW33=0,0,IF(ANR33=1,SUMPRODUCT(--(($ANS$5:$ANS33=$ANS33-1)*($ANR$5:$ANR33&gt;=10)*($ANR$5:$ANR33&lt;=12)),$AOY$5:$AOY33),IF(ANR33=4,SUMPRODUCT(--(($ANS$5:$ANS33=$ANS33)*($ANR$5:$ANR33&gt;=1)*($ANR$5:$ANR33&lt;=3)),$AOY$5:$AOY33),IF(ANR33=7,SUMPRODUCT(--(($ANS$5:$ANS33=$ANS33)*($ANR$5:$ANR33&gt;=4)*($ANR$5:$ANR33&lt;=6)),$AOY$5:$AOY33),IF(ANR33=10,SUMPRODUCT(--(($ANS$5:$ANS33=$ANS33)*($ANR$5:$ANR33&gt;=7)*($ANR$5:$ANR33&lt;=9)),$AOY$5:$AOY33),0)))))</f>
        <v/>
      </c>
      <c r="APA33" s="12">
        <f>APA32+AOY33-AOZ33</f>
        <v/>
      </c>
      <c r="APB33" s="12">
        <f>IF(ProviderDelay&gt;=1,AOI32*BlendedProvPayEss+AOJ32*BlendedProvPayPrem+AOK32*BlendedProvPayElite+AOL32*BlendedProvPayEss+AOM32*BlendedProvPayPrem+AON32*BlendedProvPayElite,AOI33*BlendedProvPayEss+AOJ33*BlendedProvPayPrem+AOK33*BlendedProvPayElite+AOL33*BlendedProvPayEss+AOM33*BlendedProvPayPrem+AON33*BlendedProvPayElite)</f>
        <v/>
      </c>
      <c r="APC33" s="12">
        <f>AOU33*PaymentFee</f>
        <v/>
      </c>
      <c r="APD33" s="12">
        <f>AOO33*OpsAI</f>
        <v/>
      </c>
      <c r="APE33" s="12">
        <f>MonthlyFixed</f>
        <v/>
      </c>
      <c r="APF33" s="12">
        <f>ANY33*ReferralReward</f>
        <v/>
      </c>
      <c r="APG33" s="12">
        <f>ANW33</f>
        <v/>
      </c>
      <c r="APH33" s="9">
        <f>AOX33-APB33-APC33-APD33-APE33-APF33-APG33</f>
        <v/>
      </c>
      <c r="API33" s="9">
        <f>API32+AOU33-(APB33+APC33+APD33+APE33+APF33+APG33+AOZ33)</f>
        <v/>
      </c>
      <c r="APJ33" s="12">
        <f>IF(AOO33&gt;0,AOP33/AOO33,0)</f>
        <v/>
      </c>
      <c r="APK33" s="11">
        <f>IF(AOO32&gt;0,MAX(0,(AOO32+ANZ33-AOO33)/AOO32),0)</f>
        <v/>
      </c>
      <c r="APM33" s="12" t="n">
        <v>29</v>
      </c>
      <c r="APN33" s="12">
        <f>MOD(APM33-1+LaunchMonth-1,12)+1</f>
        <v/>
      </c>
      <c r="APO33" s="12">
        <f>INT((APM33-1+LaunchMonth-1)/12)+1</f>
        <v/>
      </c>
      <c r="APP33" s="12">
        <f>VLOOKUP(APN33,SeasonTable,2,FALSE)</f>
        <v/>
      </c>
      <c r="APQ33" s="12">
        <f>(1+InflationRate)^INT((APM33-1)/12)</f>
        <v/>
      </c>
      <c r="APR33" s="11">
        <f>MonthlyChurn*VLOOKUP(APN33,ChurnSeasonTable,4,FALSE)</f>
        <v/>
      </c>
      <c r="APS33" s="12">
        <f>MIN(MAX(MktMin19plus,AQQ32*MktPct19plus),MAX(0,ARE32-CashBuffer))</f>
        <v/>
      </c>
      <c r="APT33" s="12">
        <f>IF(APS33&gt;0,MAX(1,ROUND(APS33/'Sens - CAC &amp; Marketing'!$A$13*APP33,0)),0)</f>
        <v/>
      </c>
      <c r="APU33" s="12">
        <f>IF(APT33&gt;0,ROUND(APT33*ReferralMix/(1-ReferralMix),0),0)</f>
        <v/>
      </c>
      <c r="APV33" s="12">
        <f>APT33+APU33</f>
        <v/>
      </c>
      <c r="APW33" s="12">
        <f>ROUND(APV33*(1-AnnualMix),0)</f>
        <v/>
      </c>
      <c r="APX33" s="12">
        <f>APV33-APW33</f>
        <v/>
      </c>
      <c r="APY33" s="12">
        <f>ROUND(APW33*EssentialMix,0)</f>
        <v/>
      </c>
      <c r="APZ33" s="12">
        <f>ROUND(APW33*PremiumMix,0)</f>
        <v/>
      </c>
      <c r="AQA33" s="12">
        <f>APW33-APY33-APZ33</f>
        <v/>
      </c>
      <c r="AQB33" s="12">
        <f>ROUND(APX33*EssentialMix,0)</f>
        <v/>
      </c>
      <c r="AQC33" s="12">
        <f>ROUND(APX33*PremiumMix,0)</f>
        <v/>
      </c>
      <c r="AQD33" s="12">
        <f>APX33-AQB33-AQC33</f>
        <v/>
      </c>
      <c r="AQE33" s="12">
        <f>APY33+APY32+APY31+MAX(0,AQE32-APY32-APY31)*(1-APR33)</f>
        <v/>
      </c>
      <c r="AQF33" s="12">
        <f>APZ33+APZ32+APZ31+MAX(0,AQF32-APZ32-APZ31)*(1-APR33)</f>
        <v/>
      </c>
      <c r="AQG33" s="12">
        <f>AQA33+AQA32+AQA31+MAX(0,AQG32-AQA32-AQA31)*(1-APR33)</f>
        <v/>
      </c>
      <c r="AQH33" s="12">
        <f>AQH32+AQB33-AQB21*(AnnualChurn*VLOOKUP(APN33,ChurnSeasonTable,4,FALSE))*POWER(1-(AnnualChurn*VLOOKUP(APN33,ChurnSeasonTable,4,FALSE)),0)+AQB9*(AnnualChurn*VLOOKUP(APN33,ChurnSeasonTable,4,FALSE))*POWER(1-(AnnualChurn*VLOOKUP(APN33,ChurnSeasonTable,4,FALSE)),1)</f>
        <v/>
      </c>
      <c r="AQI33" s="12">
        <f>AQI32+AQC33-AQC21*(AnnualChurn*VLOOKUP(APN33,ChurnSeasonTable,4,FALSE))*POWER(1-(AnnualChurn*VLOOKUP(APN33,ChurnSeasonTable,4,FALSE)),0)+AQC9*(AnnualChurn*VLOOKUP(APN33,ChurnSeasonTable,4,FALSE))*POWER(1-(AnnualChurn*VLOOKUP(APN33,ChurnSeasonTable,4,FALSE)),1)</f>
        <v/>
      </c>
      <c r="AQJ33" s="12">
        <f>AQJ32+AQD33-AQD21*(AnnualChurn*VLOOKUP(APN33,ChurnSeasonTable,4,FALSE))*POWER(1-(AnnualChurn*VLOOKUP(APN33,ChurnSeasonTable,4,FALSE)),0)+AQD9*(AnnualChurn*VLOOKUP(APN33,ChurnSeasonTable,4,FALSE))*POWER(1-(AnnualChurn*VLOOKUP(APN33,ChurnSeasonTable,4,FALSE)),1)</f>
        <v/>
      </c>
      <c r="AQK33" s="12">
        <f>AQE33+AQF33+AQG33+AQH33+AQI33+AQJ33</f>
        <v/>
      </c>
      <c r="AQL33" s="9">
        <f>AQE33*BlendedPriceEssMonthly*APQ33+AQF33*BlendedPricePremMonthly*APQ33+AQG33*BlendedPriceEliteMonthly*APQ33+AQH33*BlendedPriceEssAnnual*APQ33/12+AQI33*BlendedPricePremAnnual*APQ33/12+AQJ33*BlendedPriceEliteAnnual*APQ33/12</f>
        <v/>
      </c>
      <c r="AQM33" s="9">
        <f>AQL33*12</f>
        <v/>
      </c>
      <c r="AQN33" s="12">
        <f>AQE33*BlendedPriceEssMonthly*APQ33+AQF33*BlendedPricePremMonthly*APQ33+AQG33*BlendedPriceEliteMonthly*APQ33</f>
        <v/>
      </c>
      <c r="AQO33" s="12">
        <f>AQB33*BlendedPriceEssAnnual*APQ33+AQC33*BlendedPricePremAnnual*APQ33+AQD33*BlendedPriceEliteAnnual*APQ33</f>
        <v/>
      </c>
      <c r="AQP33" s="12">
        <f>AQB21*POWER(1-(AnnualChurn*VLOOKUP(APN33,ChurnSeasonTable,4,FALSE)),1)*BlendedPriceEssAnnual*APQ33+AQB9*POWER(1-(AnnualChurn*VLOOKUP(APN33,ChurnSeasonTable,4,FALSE)),2)*BlendedPriceEssAnnual*APQ33+AQC21*POWER(1-(AnnualChurn*VLOOKUP(APN33,ChurnSeasonTable,4,FALSE)),1)*BlendedPricePremAnnual*APQ33+AQC9*POWER(1-(AnnualChurn*VLOOKUP(APN33,ChurnSeasonTable,4,FALSE)),2)*BlendedPricePremAnnual*APQ33+AQD21*POWER(1-(AnnualChurn*VLOOKUP(APN33,ChurnSeasonTable,4,FALSE)),1)*BlendedPriceEliteAnnual*APQ33+AQD9*POWER(1-(AnnualChurn*VLOOKUP(APN33,ChurnSeasonTable,4,FALSE)),2)*BlendedPriceEliteAnnual*APQ33</f>
        <v/>
      </c>
      <c r="AQQ33" s="9">
        <f>AQN33+AQO33+AQP33</f>
        <v/>
      </c>
      <c r="AQR33" s="12">
        <f>SUM(AQQ22:AQQ33)</f>
        <v/>
      </c>
      <c r="AQS33" s="12">
        <f>OR(AQS32,IF(VATAgentMode,SUM($AQQ22:$AQQ33)-SUM($AQX22:$AQX33)&gt;=VATThreshold,SUM($AQQ22:$AQQ33)&gt;=VATThreshold))</f>
        <v/>
      </c>
      <c r="AQT33" s="9">
        <f>IF(AQS33,IF(VATAgentMode,AQQ33-((AQQ33-AQX33)-(AQQ33-AQX33)/(1+VATRate)),AQQ33/(1+VATRate)),AQQ33)</f>
        <v/>
      </c>
      <c r="AQU33" s="12">
        <f>AQQ33-AQT33</f>
        <v/>
      </c>
      <c r="AQV33" s="12">
        <f>IF(AQS33=0,0,IF(APN33=1,SUMPRODUCT(--(($APO$5:$APO33=$APO33-1)*($APN$5:$APN33&gt;=10)*($APN$5:$APN33&lt;=12)),$AQU$5:$AQU33),IF(APN33=4,SUMPRODUCT(--(($APO$5:$APO33=$APO33)*($APN$5:$APN33&gt;=1)*($APN$5:$APN33&lt;=3)),$AQU$5:$AQU33),IF(APN33=7,SUMPRODUCT(--(($APO$5:$APO33=$APO33)*($APN$5:$APN33&gt;=4)*($APN$5:$APN33&lt;=6)),$AQU$5:$AQU33),IF(APN33=10,SUMPRODUCT(--(($APO$5:$APO33=$APO33)*($APN$5:$APN33&gt;=7)*($APN$5:$APN33&lt;=9)),$AQU$5:$AQU33),0)))))</f>
        <v/>
      </c>
      <c r="AQW33" s="12">
        <f>AQW32+AQU33-AQV33</f>
        <v/>
      </c>
      <c r="AQX33" s="12">
        <f>IF(ProviderDelay&gt;=1,AQE32*BlendedProvPayEss+AQF32*BlendedProvPayPrem+AQG32*BlendedProvPayElite+AQH32*BlendedProvPayEss+AQI32*BlendedProvPayPrem+AQJ32*BlendedProvPayElite,AQE33*BlendedProvPayEss+AQF33*BlendedProvPayPrem+AQG33*BlendedProvPayElite+AQH33*BlendedProvPayEss+AQI33*BlendedProvPayPrem+AQJ33*BlendedProvPayElite)</f>
        <v/>
      </c>
      <c r="AQY33" s="12">
        <f>AQQ33*PaymentFee</f>
        <v/>
      </c>
      <c r="AQZ33" s="12">
        <f>AQK33*OpsAI</f>
        <v/>
      </c>
      <c r="ARA33" s="12">
        <f>MonthlyFixed</f>
        <v/>
      </c>
      <c r="ARB33" s="12">
        <f>APU33*ReferralReward</f>
        <v/>
      </c>
      <c r="ARC33" s="12">
        <f>APS33</f>
        <v/>
      </c>
      <c r="ARD33" s="9">
        <f>AQT33-AQX33-AQY33-AQZ33-ARA33-ARB33-ARC33</f>
        <v/>
      </c>
      <c r="ARE33" s="9">
        <f>ARE32+AQQ33-(AQX33+AQY33+AQZ33+ARA33+ARB33+ARC33+AQV33)</f>
        <v/>
      </c>
      <c r="ARF33" s="12">
        <f>IF(AQK33&gt;0,AQL33/AQK33,0)</f>
        <v/>
      </c>
      <c r="ARG33" s="11">
        <f>IF(AQK32&gt;0,MAX(0,(AQK32+APV33-AQK33)/AQK32),0)</f>
        <v/>
      </c>
      <c r="ARI33" s="12" t="n">
        <v>29</v>
      </c>
      <c r="ARJ33" s="12">
        <f>MOD(ARI33-1+LaunchMonth-1,12)+1</f>
        <v/>
      </c>
      <c r="ARK33" s="12">
        <f>INT((ARI33-1+LaunchMonth-1)/12)+1</f>
        <v/>
      </c>
      <c r="ARL33" s="12">
        <f>VLOOKUP(ARJ33,SeasonTable,2,FALSE)</f>
        <v/>
      </c>
      <c r="ARM33" s="12">
        <f>(1+InflationRate)^INT((ARI33-1)/12)</f>
        <v/>
      </c>
      <c r="ARN33" s="11">
        <f>MonthlyChurn*VLOOKUP(ARJ33,ChurnSeasonTable,4,FALSE)</f>
        <v/>
      </c>
      <c r="ARO33" s="12">
        <f>MIN(MAX(MktMin19plus,ASM32*MktPct19plus),MAX(0,ATA32-CashBuffer))</f>
        <v/>
      </c>
      <c r="ARP33" s="12">
        <f>IF(ARO33&gt;0,MAX(1,ROUND(ARO33/'Sens - CAC &amp; Marketing'!$A$14*ARL33,0)),0)</f>
        <v/>
      </c>
      <c r="ARQ33" s="12">
        <f>IF(ARP33&gt;0,ROUND(ARP33*ReferralMix/(1-ReferralMix),0),0)</f>
        <v/>
      </c>
      <c r="ARR33" s="12">
        <f>ARP33+ARQ33</f>
        <v/>
      </c>
      <c r="ARS33" s="12">
        <f>ROUND(ARR33*(1-AnnualMix),0)</f>
        <v/>
      </c>
      <c r="ART33" s="12">
        <f>ARR33-ARS33</f>
        <v/>
      </c>
      <c r="ARU33" s="12">
        <f>ROUND(ARS33*EssentialMix,0)</f>
        <v/>
      </c>
      <c r="ARV33" s="12">
        <f>ROUND(ARS33*PremiumMix,0)</f>
        <v/>
      </c>
      <c r="ARW33" s="12">
        <f>ARS33-ARU33-ARV33</f>
        <v/>
      </c>
      <c r="ARX33" s="12">
        <f>ROUND(ART33*EssentialMix,0)</f>
        <v/>
      </c>
      <c r="ARY33" s="12">
        <f>ROUND(ART33*PremiumMix,0)</f>
        <v/>
      </c>
      <c r="ARZ33" s="12">
        <f>ART33-ARX33-ARY33</f>
        <v/>
      </c>
      <c r="ASA33" s="12">
        <f>ARU33+ARU32+ARU31+MAX(0,ASA32-ARU32-ARU31)*(1-ARN33)</f>
        <v/>
      </c>
      <c r="ASB33" s="12">
        <f>ARV33+ARV32+ARV31+MAX(0,ASB32-ARV32-ARV31)*(1-ARN33)</f>
        <v/>
      </c>
      <c r="ASC33" s="12">
        <f>ARW33+ARW32+ARW31+MAX(0,ASC32-ARW32-ARW31)*(1-ARN33)</f>
        <v/>
      </c>
      <c r="ASD33" s="12">
        <f>ASD32+ARX33-ARX21*(AnnualChurn*VLOOKUP(ARJ33,ChurnSeasonTable,4,FALSE))*POWER(1-(AnnualChurn*VLOOKUP(ARJ33,ChurnSeasonTable,4,FALSE)),0)+ARX9*(AnnualChurn*VLOOKUP(ARJ33,ChurnSeasonTable,4,FALSE))*POWER(1-(AnnualChurn*VLOOKUP(ARJ33,ChurnSeasonTable,4,FALSE)),1)</f>
        <v/>
      </c>
      <c r="ASE33" s="12">
        <f>ASE32+ARY33-ARY21*(AnnualChurn*VLOOKUP(ARJ33,ChurnSeasonTable,4,FALSE))*POWER(1-(AnnualChurn*VLOOKUP(ARJ33,ChurnSeasonTable,4,FALSE)),0)+ARY9*(AnnualChurn*VLOOKUP(ARJ33,ChurnSeasonTable,4,FALSE))*POWER(1-(AnnualChurn*VLOOKUP(ARJ33,ChurnSeasonTable,4,FALSE)),1)</f>
        <v/>
      </c>
      <c r="ASF33" s="12">
        <f>ASF32+ARZ33-ARZ21*(AnnualChurn*VLOOKUP(ARJ33,ChurnSeasonTable,4,FALSE))*POWER(1-(AnnualChurn*VLOOKUP(ARJ33,ChurnSeasonTable,4,FALSE)),0)+ARZ9*(AnnualChurn*VLOOKUP(ARJ33,ChurnSeasonTable,4,FALSE))*POWER(1-(AnnualChurn*VLOOKUP(ARJ33,ChurnSeasonTable,4,FALSE)),1)</f>
        <v/>
      </c>
      <c r="ASG33" s="12">
        <f>ASA33+ASB33+ASC33+ASD33+ASE33+ASF33</f>
        <v/>
      </c>
      <c r="ASH33" s="9">
        <f>ASA33*BlendedPriceEssMonthly*ARM33+ASB33*BlendedPricePremMonthly*ARM33+ASC33*BlendedPriceEliteMonthly*ARM33+ASD33*BlendedPriceEssAnnual*ARM33/12+ASE33*BlendedPricePremAnnual*ARM33/12+ASF33*BlendedPriceEliteAnnual*ARM33/12</f>
        <v/>
      </c>
      <c r="ASI33" s="9">
        <f>ASH33*12</f>
        <v/>
      </c>
      <c r="ASJ33" s="12">
        <f>ASA33*BlendedPriceEssMonthly*ARM33+ASB33*BlendedPricePremMonthly*ARM33+ASC33*BlendedPriceEliteMonthly*ARM33</f>
        <v/>
      </c>
      <c r="ASK33" s="12">
        <f>ARX33*BlendedPriceEssAnnual*ARM33+ARY33*BlendedPricePremAnnual*ARM33+ARZ33*BlendedPriceEliteAnnual*ARM33</f>
        <v/>
      </c>
      <c r="ASL33" s="12">
        <f>ARX21*POWER(1-(AnnualChurn*VLOOKUP(ARJ33,ChurnSeasonTable,4,FALSE)),1)*BlendedPriceEssAnnual*ARM33+ARX9*POWER(1-(AnnualChurn*VLOOKUP(ARJ33,ChurnSeasonTable,4,FALSE)),2)*BlendedPriceEssAnnual*ARM33+ARY21*POWER(1-(AnnualChurn*VLOOKUP(ARJ33,ChurnSeasonTable,4,FALSE)),1)*BlendedPricePremAnnual*ARM33+ARY9*POWER(1-(AnnualChurn*VLOOKUP(ARJ33,ChurnSeasonTable,4,FALSE)),2)*BlendedPricePremAnnual*ARM33+ARZ21*POWER(1-(AnnualChurn*VLOOKUP(ARJ33,ChurnSeasonTable,4,FALSE)),1)*BlendedPriceEliteAnnual*ARM33+ARZ9*POWER(1-(AnnualChurn*VLOOKUP(ARJ33,ChurnSeasonTable,4,FALSE)),2)*BlendedPriceEliteAnnual*ARM33</f>
        <v/>
      </c>
      <c r="ASM33" s="9">
        <f>ASJ33+ASK33+ASL33</f>
        <v/>
      </c>
      <c r="ASN33" s="12">
        <f>SUM(ASM22:ASM33)</f>
        <v/>
      </c>
      <c r="ASO33" s="12">
        <f>OR(ASO32,IF(VATAgentMode,SUM($ASM22:$ASM33)-SUM($AST22:$AST33)&gt;=VATThreshold,SUM($ASM22:$ASM33)&gt;=VATThreshold))</f>
        <v/>
      </c>
      <c r="ASP33" s="9">
        <f>IF(ASO33,IF(VATAgentMode,ASM33-((ASM33-AST33)-(ASM33-AST33)/(1+VATRate)),ASM33/(1+VATRate)),ASM33)</f>
        <v/>
      </c>
      <c r="ASQ33" s="12">
        <f>ASM33-ASP33</f>
        <v/>
      </c>
      <c r="ASR33" s="12">
        <f>IF(ASO33=0,0,IF(ARJ33=1,SUMPRODUCT(--(($ARK$5:$ARK33=$ARK33-1)*($ARJ$5:$ARJ33&gt;=10)*($ARJ$5:$ARJ33&lt;=12)),$ASQ$5:$ASQ33),IF(ARJ33=4,SUMPRODUCT(--(($ARK$5:$ARK33=$ARK33)*($ARJ$5:$ARJ33&gt;=1)*($ARJ$5:$ARJ33&lt;=3)),$ASQ$5:$ASQ33),IF(ARJ33=7,SUMPRODUCT(--(($ARK$5:$ARK33=$ARK33)*($ARJ$5:$ARJ33&gt;=4)*($ARJ$5:$ARJ33&lt;=6)),$ASQ$5:$ASQ33),IF(ARJ33=10,SUMPRODUCT(--(($ARK$5:$ARK33=$ARK33)*($ARJ$5:$ARJ33&gt;=7)*($ARJ$5:$ARJ33&lt;=9)),$ASQ$5:$ASQ33),0)))))</f>
        <v/>
      </c>
      <c r="ASS33" s="12">
        <f>ASS32+ASQ33-ASR33</f>
        <v/>
      </c>
      <c r="AST33" s="12">
        <f>IF(ProviderDelay&gt;=1,ASA32*BlendedProvPayEss+ASB32*BlendedProvPayPrem+ASC32*BlendedProvPayElite+ASD32*BlendedProvPayEss+ASE32*BlendedProvPayPrem+ASF32*BlendedProvPayElite,ASA33*BlendedProvPayEss+ASB33*BlendedProvPayPrem+ASC33*BlendedProvPayElite+ASD33*BlendedProvPayEss+ASE33*BlendedProvPayPrem+ASF33*BlendedProvPayElite)</f>
        <v/>
      </c>
      <c r="ASU33" s="12">
        <f>ASM33*PaymentFee</f>
        <v/>
      </c>
      <c r="ASV33" s="12">
        <f>ASG33*OpsAI</f>
        <v/>
      </c>
      <c r="ASW33" s="12">
        <f>MonthlyFixed</f>
        <v/>
      </c>
      <c r="ASX33" s="12">
        <f>ARQ33*ReferralReward</f>
        <v/>
      </c>
      <c r="ASY33" s="12">
        <f>ARO33</f>
        <v/>
      </c>
      <c r="ASZ33" s="9">
        <f>ASP33-AST33-ASU33-ASV33-ASW33-ASX33-ASY33</f>
        <v/>
      </c>
      <c r="ATA33" s="9">
        <f>ATA32+ASM33-(AST33+ASU33+ASV33+ASW33+ASX33+ASY33+ASR33)</f>
        <v/>
      </c>
      <c r="ATB33" s="12">
        <f>IF(ASG33&gt;0,ASH33/ASG33,0)</f>
        <v/>
      </c>
      <c r="ATC33" s="11">
        <f>IF(ASG32&gt;0,MAX(0,(ASG32+ARR33-ASG33)/ASG32),0)</f>
        <v/>
      </c>
      <c r="ATE33" s="12" t="n">
        <v>29</v>
      </c>
      <c r="ATF33" s="12">
        <f>MOD(ATE33-1+LaunchMonth-1,12)+1</f>
        <v/>
      </c>
      <c r="ATG33" s="12">
        <f>INT((ATE33-1+LaunchMonth-1)/12)+1</f>
        <v/>
      </c>
      <c r="ATH33" s="12">
        <f>VLOOKUP(ATF33,SeasonTable,2,FALSE)</f>
        <v/>
      </c>
      <c r="ATI33" s="12">
        <f>(1+InflationRate)^INT((ATE33-1)/12)</f>
        <v/>
      </c>
      <c r="ATJ33" s="11">
        <f>MonthlyChurn*VLOOKUP(ATF33,ChurnSeasonTable,4,FALSE)</f>
        <v/>
      </c>
      <c r="ATK33" s="12">
        <f>MIN(MAX(MktMin19plus,AUI32*MktPct19plus),MAX(0,AUW32-CashBuffer))</f>
        <v/>
      </c>
      <c r="ATL33" s="12">
        <f>IF(ATK33&gt;0,MAX(1,ROUND(ATK33/'Sens - CAC &amp; Marketing'!$A$15*ATH33,0)),0)</f>
        <v/>
      </c>
      <c r="ATM33" s="12">
        <f>IF(ATL33&gt;0,ROUND(ATL33*ReferralMix/(1-ReferralMix),0),0)</f>
        <v/>
      </c>
      <c r="ATN33" s="12">
        <f>ATL33+ATM33</f>
        <v/>
      </c>
      <c r="ATO33" s="12">
        <f>ROUND(ATN33*(1-AnnualMix),0)</f>
        <v/>
      </c>
      <c r="ATP33" s="12">
        <f>ATN33-ATO33</f>
        <v/>
      </c>
      <c r="ATQ33" s="12">
        <f>ROUND(ATO33*EssentialMix,0)</f>
        <v/>
      </c>
      <c r="ATR33" s="12">
        <f>ROUND(ATO33*PremiumMix,0)</f>
        <v/>
      </c>
      <c r="ATS33" s="12">
        <f>ATO33-ATQ33-ATR33</f>
        <v/>
      </c>
      <c r="ATT33" s="12">
        <f>ROUND(ATP33*EssentialMix,0)</f>
        <v/>
      </c>
      <c r="ATU33" s="12">
        <f>ROUND(ATP33*PremiumMix,0)</f>
        <v/>
      </c>
      <c r="ATV33" s="12">
        <f>ATP33-ATT33-ATU33</f>
        <v/>
      </c>
      <c r="ATW33" s="12">
        <f>ATQ33+ATQ32+ATQ31+MAX(0,ATW32-ATQ32-ATQ31)*(1-ATJ33)</f>
        <v/>
      </c>
      <c r="ATX33" s="12">
        <f>ATR33+ATR32+ATR31+MAX(0,ATX32-ATR32-ATR31)*(1-ATJ33)</f>
        <v/>
      </c>
      <c r="ATY33" s="12">
        <f>ATS33+ATS32+ATS31+MAX(0,ATY32-ATS32-ATS31)*(1-ATJ33)</f>
        <v/>
      </c>
      <c r="ATZ33" s="12">
        <f>ATZ32+ATT33-ATT21*(AnnualChurn*VLOOKUP(ATF33,ChurnSeasonTable,4,FALSE))*POWER(1-(AnnualChurn*VLOOKUP(ATF33,ChurnSeasonTable,4,FALSE)),0)+ATT9*(AnnualChurn*VLOOKUP(ATF33,ChurnSeasonTable,4,FALSE))*POWER(1-(AnnualChurn*VLOOKUP(ATF33,ChurnSeasonTable,4,FALSE)),1)</f>
        <v/>
      </c>
      <c r="AUA33" s="12">
        <f>AUA32+ATU33-ATU21*(AnnualChurn*VLOOKUP(ATF33,ChurnSeasonTable,4,FALSE))*POWER(1-(AnnualChurn*VLOOKUP(ATF33,ChurnSeasonTable,4,FALSE)),0)+ATU9*(AnnualChurn*VLOOKUP(ATF33,ChurnSeasonTable,4,FALSE))*POWER(1-(AnnualChurn*VLOOKUP(ATF33,ChurnSeasonTable,4,FALSE)),1)</f>
        <v/>
      </c>
      <c r="AUB33" s="12">
        <f>AUB32+ATV33-ATV21*(AnnualChurn*VLOOKUP(ATF33,ChurnSeasonTable,4,FALSE))*POWER(1-(AnnualChurn*VLOOKUP(ATF33,ChurnSeasonTable,4,FALSE)),0)+ATV9*(AnnualChurn*VLOOKUP(ATF33,ChurnSeasonTable,4,FALSE))*POWER(1-(AnnualChurn*VLOOKUP(ATF33,ChurnSeasonTable,4,FALSE)),1)</f>
        <v/>
      </c>
      <c r="AUC33" s="12">
        <f>ATW33+ATX33+ATY33+ATZ33+AUA33+AUB33</f>
        <v/>
      </c>
      <c r="AUD33" s="9">
        <f>ATW33*BlendedPriceEssMonthly*ATI33+ATX33*BlendedPricePremMonthly*ATI33+ATY33*BlendedPriceEliteMonthly*ATI33+ATZ33*BlendedPriceEssAnnual*ATI33/12+AUA33*BlendedPricePremAnnual*ATI33/12+AUB33*BlendedPriceEliteAnnual*ATI33/12</f>
        <v/>
      </c>
      <c r="AUE33" s="9">
        <f>AUD33*12</f>
        <v/>
      </c>
      <c r="AUF33" s="12">
        <f>ATW33*BlendedPriceEssMonthly*ATI33+ATX33*BlendedPricePremMonthly*ATI33+ATY33*BlendedPriceEliteMonthly*ATI33</f>
        <v/>
      </c>
      <c r="AUG33" s="12">
        <f>ATT33*BlendedPriceEssAnnual*ATI33+ATU33*BlendedPricePremAnnual*ATI33+ATV33*BlendedPriceEliteAnnual*ATI33</f>
        <v/>
      </c>
      <c r="AUH33" s="12">
        <f>ATT21*POWER(1-(AnnualChurn*VLOOKUP(ATF33,ChurnSeasonTable,4,FALSE)),1)*BlendedPriceEssAnnual*ATI33+ATT9*POWER(1-(AnnualChurn*VLOOKUP(ATF33,ChurnSeasonTable,4,FALSE)),2)*BlendedPriceEssAnnual*ATI33+ATU21*POWER(1-(AnnualChurn*VLOOKUP(ATF33,ChurnSeasonTable,4,FALSE)),1)*BlendedPricePremAnnual*ATI33+ATU9*POWER(1-(AnnualChurn*VLOOKUP(ATF33,ChurnSeasonTable,4,FALSE)),2)*BlendedPricePremAnnual*ATI33+ATV21*POWER(1-(AnnualChurn*VLOOKUP(ATF33,ChurnSeasonTable,4,FALSE)),1)*BlendedPriceEliteAnnual*ATI33+ATV9*POWER(1-(AnnualChurn*VLOOKUP(ATF33,ChurnSeasonTable,4,FALSE)),2)*BlendedPriceEliteAnnual*ATI33</f>
        <v/>
      </c>
      <c r="AUI33" s="9">
        <f>AUF33+AUG33+AUH33</f>
        <v/>
      </c>
      <c r="AUJ33" s="12">
        <f>SUM(AUI22:AUI33)</f>
        <v/>
      </c>
      <c r="AUK33" s="12">
        <f>OR(AUK32,IF(VATAgentMode,SUM($AUI22:$AUI33)-SUM($AUP22:$AUP33)&gt;=VATThreshold,SUM($AUI22:$AUI33)&gt;=VATThreshold))</f>
        <v/>
      </c>
      <c r="AUL33" s="9">
        <f>IF(AUK33,IF(VATAgentMode,AUI33-((AUI33-AUP33)-(AUI33-AUP33)/(1+VATRate)),AUI33/(1+VATRate)),AUI33)</f>
        <v/>
      </c>
      <c r="AUM33" s="12">
        <f>AUI33-AUL33</f>
        <v/>
      </c>
      <c r="AUN33" s="12">
        <f>IF(AUK33=0,0,IF(ATF33=1,SUMPRODUCT(--(($ATG$5:$ATG33=$ATG33-1)*($ATF$5:$ATF33&gt;=10)*($ATF$5:$ATF33&lt;=12)),$AUM$5:$AUM33),IF(ATF33=4,SUMPRODUCT(--(($ATG$5:$ATG33=$ATG33)*($ATF$5:$ATF33&gt;=1)*($ATF$5:$ATF33&lt;=3)),$AUM$5:$AUM33),IF(ATF33=7,SUMPRODUCT(--(($ATG$5:$ATG33=$ATG33)*($ATF$5:$ATF33&gt;=4)*($ATF$5:$ATF33&lt;=6)),$AUM$5:$AUM33),IF(ATF33=10,SUMPRODUCT(--(($ATG$5:$ATG33=$ATG33)*($ATF$5:$ATF33&gt;=7)*($ATF$5:$ATF33&lt;=9)),$AUM$5:$AUM33),0)))))</f>
        <v/>
      </c>
      <c r="AUO33" s="12">
        <f>AUO32+AUM33-AUN33</f>
        <v/>
      </c>
      <c r="AUP33" s="12">
        <f>IF(ProviderDelay&gt;=1,ATW32*BlendedProvPayEss+ATX32*BlendedProvPayPrem+ATY32*BlendedProvPayElite+ATZ32*BlendedProvPayEss+AUA32*BlendedProvPayPrem+AUB32*BlendedProvPayElite,ATW33*BlendedProvPayEss+ATX33*BlendedProvPayPrem+ATY33*BlendedProvPayElite+ATZ33*BlendedProvPayEss+AUA33*BlendedProvPayPrem+AUB33*BlendedProvPayElite)</f>
        <v/>
      </c>
      <c r="AUQ33" s="12">
        <f>AUI33*PaymentFee</f>
        <v/>
      </c>
      <c r="AUR33" s="12">
        <f>AUC33*OpsAI</f>
        <v/>
      </c>
      <c r="AUS33" s="12">
        <f>MonthlyFixed</f>
        <v/>
      </c>
      <c r="AUT33" s="12">
        <f>ATM33*ReferralReward</f>
        <v/>
      </c>
      <c r="AUU33" s="12">
        <f>ATK33</f>
        <v/>
      </c>
      <c r="AUV33" s="9">
        <f>AUL33-AUP33-AUQ33-AUR33-AUS33-AUT33-AUU33</f>
        <v/>
      </c>
      <c r="AUW33" s="9">
        <f>AUW32+AUI33-(AUP33+AUQ33+AUR33+AUS33+AUT33+AUU33+AUN33)</f>
        <v/>
      </c>
      <c r="AUX33" s="12">
        <f>IF(AUC33&gt;0,AUD33/AUC33,0)</f>
        <v/>
      </c>
      <c r="AUY33" s="11">
        <f>IF(AUC32&gt;0,MAX(0,(AUC32+ATN33-AUC33)/AUC32),0)</f>
        <v/>
      </c>
      <c r="AVA33" s="12" t="n">
        <v>29</v>
      </c>
      <c r="AVB33" s="12">
        <f>MOD(AVA33-1+LaunchMonth-1,12)+1</f>
        <v/>
      </c>
      <c r="AVC33" s="12">
        <f>INT((AVA33-1+LaunchMonth-1)/12)+1</f>
        <v/>
      </c>
      <c r="AVD33" s="12">
        <f>VLOOKUP(AVB33,WinterPivotSeasonTable,5,FALSE)</f>
        <v/>
      </c>
      <c r="AVE33" s="12">
        <f>(1+InflationRate)^INT((AVA33-1)/12)</f>
        <v/>
      </c>
      <c r="AVF33" s="11">
        <f>MonthlyChurn*VLOOKUP(AVB33,WinterPivotChurnTable,6,FALSE)</f>
        <v/>
      </c>
      <c r="AVG33" s="12">
        <f>MIN(MAX(MktMin19plus,AWE32*MktPct19plus),MAX(0,AWS32-CashBuffer))</f>
        <v/>
      </c>
      <c r="AVH33" s="12">
        <f>IF(AVG33&gt;0,MAX(1,ROUND(AVG33/CAC*AVD33,0)),0)</f>
        <v/>
      </c>
      <c r="AVI33" s="12">
        <f>IF(AVH33&gt;0,ROUND(AVH33*ReferralMix/(1-ReferralMix),0),0)</f>
        <v/>
      </c>
      <c r="AVJ33" s="12">
        <f>AVH33+AVI33</f>
        <v/>
      </c>
      <c r="AVK33" s="12">
        <f>ROUND(AVJ33*(1-AnnualMix),0)</f>
        <v/>
      </c>
      <c r="AVL33" s="12">
        <f>AVJ33-AVK33</f>
        <v/>
      </c>
      <c r="AVM33" s="12">
        <f>ROUND(AVK33*'Sens - Winter Pivot'!$B$6,0)</f>
        <v/>
      </c>
      <c r="AVN33" s="12">
        <f>ROUND(AVK33*PremiumMix,0)</f>
        <v/>
      </c>
      <c r="AVO33" s="12">
        <f>AVK33-AVM33-AVN33</f>
        <v/>
      </c>
      <c r="AVP33" s="12">
        <f>ROUND(AVL33*'Sens - Winter Pivot'!$B$6,0)</f>
        <v/>
      </c>
      <c r="AVQ33" s="12">
        <f>ROUND(AVL33*PremiumMix,0)</f>
        <v/>
      </c>
      <c r="AVR33" s="12">
        <f>AVL33-AVP33-AVQ33</f>
        <v/>
      </c>
      <c r="AVS33" s="12">
        <f>AVM33+AVM32+AVM31+MAX(0,AVS32-AVM32-AVM31)*(1-AVF33)</f>
        <v/>
      </c>
      <c r="AVT33" s="12">
        <f>AVN33+AVN32+AVN31+MAX(0,AVT32-AVN32-AVN31)*(1-AVF33)</f>
        <v/>
      </c>
      <c r="AVU33" s="12">
        <f>AVO33+AVO32+AVO31+MAX(0,AVU32-AVO32-AVO31)*(1-AVF33)</f>
        <v/>
      </c>
      <c r="AVV33" s="12">
        <f>AVV32+AVP33-AVP21*(AnnualChurn*VLOOKUP(AVB33,ChurnSeasonTable,4,FALSE))*POWER(1-(AnnualChurn*VLOOKUP(AVB33,ChurnSeasonTable,4,FALSE)),0)+AVP9*(AnnualChurn*VLOOKUP(AVB33,ChurnSeasonTable,4,FALSE))*POWER(1-(AnnualChurn*VLOOKUP(AVB33,ChurnSeasonTable,4,FALSE)),1)</f>
        <v/>
      </c>
      <c r="AVW33" s="12">
        <f>AVW32+AVQ33-AVQ21*(AnnualChurn*VLOOKUP(AVB33,ChurnSeasonTable,4,FALSE))*POWER(1-(AnnualChurn*VLOOKUP(AVB33,ChurnSeasonTable,4,FALSE)),0)+AVQ9*(AnnualChurn*VLOOKUP(AVB33,ChurnSeasonTable,4,FALSE))*POWER(1-(AnnualChurn*VLOOKUP(AVB33,ChurnSeasonTable,4,FALSE)),1)</f>
        <v/>
      </c>
      <c r="AVX33" s="12">
        <f>AVX32+AVR33-AVR21*(AnnualChurn*VLOOKUP(AVB33,ChurnSeasonTable,4,FALSE))*POWER(1-(AnnualChurn*VLOOKUP(AVB33,ChurnSeasonTable,4,FALSE)),0)+AVR9*(AnnualChurn*VLOOKUP(AVB33,ChurnSeasonTable,4,FALSE))*POWER(1-(AnnualChurn*VLOOKUP(AVB33,ChurnSeasonTable,4,FALSE)),1)</f>
        <v/>
      </c>
      <c r="AVY33" s="12">
        <f>AVS33+AVT33+AVU33+AVV33+AVW33+AVX33</f>
        <v/>
      </c>
      <c r="AVZ33" s="9">
        <f>AVS33*BlendedPriceEssMonthly*AVE33+AVT33*(BlendedPricePremMonthly+'Sens - Winter Pivot'!$B$7)*AVE33+AVU33*BlendedPriceEliteMonthly*AVE33+AVV33*BlendedPriceEssAnnual*AVE33/12+AVW33*(BlendedPricePremAnnual+'Sens - Winter Pivot'!$B$7*12)*AVE33/12+AVX33*BlendedPriceEliteAnnual*AVE33/12</f>
        <v/>
      </c>
      <c r="AWA33" s="9">
        <f>AVZ33*12</f>
        <v/>
      </c>
      <c r="AWB33" s="12">
        <f>AVS33*BlendedPriceEssMonthly*AVE33+AVT33*(BlendedPricePremMonthly+'Sens - Winter Pivot'!$B$7)*AVE33+AVU33*BlendedPriceEliteMonthly*AVE33</f>
        <v/>
      </c>
      <c r="AWC33" s="12">
        <f>AVP33*BlendedPriceEssAnnual*AVE33+AVQ33*(BlendedPricePremAnnual+'Sens - Winter Pivot'!$B$7*12)*AVE33+AVR33*BlendedPriceEliteAnnual*AVE33</f>
        <v/>
      </c>
      <c r="AWD33" s="12">
        <f>AVP21*POWER(1-(AnnualChurn*VLOOKUP(AVB33,ChurnSeasonTable,4,FALSE)),1)*BlendedPriceEssAnnual*AVE33+AVP9*POWER(1-(AnnualChurn*VLOOKUP(AVB33,ChurnSeasonTable,4,FALSE)),2)*BlendedPriceEssAnnual*AVE33+AVQ21*POWER(1-(AnnualChurn*VLOOKUP(AVB33,ChurnSeasonTable,4,FALSE)),1)*BlendedPricePremAnnual*AVE33+AVQ9*POWER(1-(AnnualChurn*VLOOKUP(AVB33,ChurnSeasonTable,4,FALSE)),2)*BlendedPricePremAnnual*AVE33+AVR21*POWER(1-(AnnualChurn*VLOOKUP(AVB33,ChurnSeasonTable,4,FALSE)),1)*BlendedPriceEliteAnnual*AVE33+AVR9*POWER(1-(AnnualChurn*VLOOKUP(AVB33,ChurnSeasonTable,4,FALSE)),2)*BlendedPriceEliteAnnual*AVE33</f>
        <v/>
      </c>
      <c r="AWE33" s="9">
        <f>AWB33+AWC33+AWD33</f>
        <v/>
      </c>
      <c r="AWF33" s="12">
        <f>SUM(AWE22:AWE33)</f>
        <v/>
      </c>
      <c r="AWG33" s="12">
        <f>OR(AWG32,IF(VATAgentMode,SUM($AWE22:$AWE33)-SUM($AWL22:$AWL33)&gt;=VATThreshold,SUM($AWE22:$AWE33)&gt;=VATThreshold))</f>
        <v/>
      </c>
      <c r="AWH33" s="9">
        <f>IF(AWG33,IF(VATAgentMode,AWE33-((AWE33-AWL33)-(AWE33-AWL33)/(1+VATRate)),AWE33/(1+VATRate)),AWE33)</f>
        <v/>
      </c>
      <c r="AWI33" s="12">
        <f>AWE33-AWH33</f>
        <v/>
      </c>
      <c r="AWJ33" s="12">
        <f>IF(AWG33=0,0,IF(AVB33=1,SUMPRODUCT(--(($AVC$5:$AVC33=$AVC33-1)*($AVB$5:$AVB33&gt;=10)*($AVB$5:$AVB33&lt;=12)),$AWI$5:$AWI33),IF(AVB33=4,SUMPRODUCT(--(($AVC$5:$AVC33=$AVC33)*($AVB$5:$AVB33&gt;=1)*($AVB$5:$AVB33&lt;=3)),$AWI$5:$AWI33),IF(AVB33=7,SUMPRODUCT(--(($AVC$5:$AVC33=$AVC33)*($AVB$5:$AVB33&gt;=4)*($AVB$5:$AVB33&lt;=6)),$AWI$5:$AWI33),IF(AVB33=10,SUMPRODUCT(--(($AVC$5:$AVC33=$AVC33)*($AVB$5:$AVB33&gt;=7)*($AVB$5:$AVB33&lt;=9)),$AWI$5:$AWI33),0)))))</f>
        <v/>
      </c>
      <c r="AWK33" s="12">
        <f>AWK32+AWI33-AWJ33</f>
        <v/>
      </c>
      <c r="AWL33" s="12">
        <f>IF(ProviderDelay&gt;=1,AVS32*BlendedProvPayEss+AVT32*BlendedProvPayPrem+AVU32*BlendedProvPayElite+AVV32*BlendedProvPayEss+AVW32*BlendedProvPayPrem+AVX32*BlendedProvPayElite,AVS33*BlendedProvPayEss+AVT33*BlendedProvPayPrem+AVU33*BlendedProvPayElite+AVV33*BlendedProvPayEss+AVW33*BlendedProvPayPrem+AVX33*BlendedProvPayElite)</f>
        <v/>
      </c>
      <c r="AWM33" s="12">
        <f>AWE33*PaymentFee</f>
        <v/>
      </c>
      <c r="AWN33" s="12">
        <f>AVY33*OpsAI</f>
        <v/>
      </c>
      <c r="AWO33" s="12">
        <f>MonthlyFixed</f>
        <v/>
      </c>
      <c r="AWP33" s="12">
        <f>AVI33*ReferralReward</f>
        <v/>
      </c>
      <c r="AWQ33" s="12">
        <f>AVG33</f>
        <v/>
      </c>
      <c r="AWR33" s="9">
        <f>AWH33-AWL33-AWM33-AWN33-AWO33-AWP33-AWQ33</f>
        <v/>
      </c>
      <c r="AWS33" s="9">
        <f>AWS32+AWE33-(AWL33+AWM33+AWN33+AWO33+AWP33+AWQ33+AWJ33)</f>
        <v/>
      </c>
      <c r="AWT33" s="12">
        <f>IF(AVY33&gt;0,AVZ33/AVY33,0)</f>
        <v/>
      </c>
      <c r="AWU33" s="11">
        <f>IF(AVY32&gt;0,MAX(0,(AVY32+AVJ33-AVY33)/AVY32),0)</f>
        <v/>
      </c>
    </row>
    <row r="34">
      <c r="A34" s="12" t="n">
        <v>30</v>
      </c>
      <c r="B34" s="12">
        <f>MOD(A34-1+LaunchMonth-1,12)+1</f>
        <v/>
      </c>
      <c r="C34" s="12">
        <f>INT((A34-1+LaunchMonth-1)/12)+1</f>
        <v/>
      </c>
      <c r="D34" s="12">
        <f>VLOOKUP(B34,SeasonTable,2,FALSE)</f>
        <v/>
      </c>
      <c r="E34" s="12">
        <f>(1+InflationRate)^INT((A34-1)/12)</f>
        <v/>
      </c>
      <c r="F34" s="11">
        <f>'Sens - Scenarios'!$B$5*VLOOKUP(B34,ChurnSeasonTable,4,FALSE)</f>
        <v/>
      </c>
      <c r="G34" s="12">
        <f>MIN(MAX(MktMin19plus,AE33*MktPct19plus),MAX(0,AS33-CashBuffer))</f>
        <v/>
      </c>
      <c r="H34" s="12">
        <f>IF(G34&gt;0,MAX(1,ROUND(G34/'Sens - Scenarios'!$B$8*D34,0)),0)</f>
        <v/>
      </c>
      <c r="I34" s="12">
        <f>IF(H34&gt;0,ROUND(H34*ReferralMix/(1-ReferralMix),0),0)</f>
        <v/>
      </c>
      <c r="J34" s="12">
        <f>H34+I34</f>
        <v/>
      </c>
      <c r="K34" s="12">
        <f>ROUND(J34*(1-'Sens - Scenarios'!$B$7),0)</f>
        <v/>
      </c>
      <c r="L34" s="12">
        <f>J34-K34</f>
        <v/>
      </c>
      <c r="M34" s="12">
        <f>ROUND(K34*EssentialMix,0)</f>
        <v/>
      </c>
      <c r="N34" s="12">
        <f>ROUND(K34*PremiumMix,0)</f>
        <v/>
      </c>
      <c r="O34" s="12">
        <f>K34-M34-N34</f>
        <v/>
      </c>
      <c r="P34" s="12">
        <f>ROUND(L34*EssentialMix,0)</f>
        <v/>
      </c>
      <c r="Q34" s="12">
        <f>ROUND(L34*PremiumMix,0)</f>
        <v/>
      </c>
      <c r="R34" s="12">
        <f>L34-P34-Q34</f>
        <v/>
      </c>
      <c r="S34" s="12">
        <f>M34+M33+M32+MAX(0,S33-M33-M32)*(1-F34)</f>
        <v/>
      </c>
      <c r="T34" s="12">
        <f>N34+N33+N32+MAX(0,T33-N33-N32)*(1-F34)</f>
        <v/>
      </c>
      <c r="U34" s="12">
        <f>O34+O33+O32+MAX(0,U33-O33-O32)*(1-F34)</f>
        <v/>
      </c>
      <c r="V34" s="12">
        <f>V33+P34-P22*('Sens - Scenarios'!$B$6*VLOOKUP(B34,ChurnSeasonTable,4,FALSE))*POWER(1-('Sens - Scenarios'!$B$6*VLOOKUP(B34,ChurnSeasonTable,4,FALSE)),0)+P10*('Sens - Scenarios'!$B$6*VLOOKUP(B34,ChurnSeasonTable,4,FALSE))*POWER(1-('Sens - Scenarios'!$B$6*VLOOKUP(B34,ChurnSeasonTable,4,FALSE)),1)</f>
        <v/>
      </c>
      <c r="W34" s="12">
        <f>W33+Q34-Q22*('Sens - Scenarios'!$B$6*VLOOKUP(B34,ChurnSeasonTable,4,FALSE))*POWER(1-('Sens - Scenarios'!$B$6*VLOOKUP(B34,ChurnSeasonTable,4,FALSE)),0)+Q10*('Sens - Scenarios'!$B$6*VLOOKUP(B34,ChurnSeasonTable,4,FALSE))*POWER(1-('Sens - Scenarios'!$B$6*VLOOKUP(B34,ChurnSeasonTable,4,FALSE)),1)</f>
        <v/>
      </c>
      <c r="X34" s="12">
        <f>X33+R34-R22*('Sens - Scenarios'!$B$6*VLOOKUP(B34,ChurnSeasonTable,4,FALSE))*POWER(1-('Sens - Scenarios'!$B$6*VLOOKUP(B34,ChurnSeasonTable,4,FALSE)),0)+R10*('Sens - Scenarios'!$B$6*VLOOKUP(B34,ChurnSeasonTable,4,FALSE))*POWER(1-('Sens - Scenarios'!$B$6*VLOOKUP(B34,ChurnSeasonTable,4,FALSE)),1)</f>
        <v/>
      </c>
      <c r="Y34" s="12">
        <f>S34+T34+U34+V34+W34+X34</f>
        <v/>
      </c>
      <c r="Z34" s="9">
        <f>S34*BlendedPriceEssMonthly*E34+T34*BlendedPricePremMonthly*E34+U34*BlendedPriceEliteMonthly*E34+V34*BlendedPriceEssAnnual*E34/12+W34*BlendedPricePremAnnual*E34/12+X34*BlendedPriceEliteAnnual*E34/12</f>
        <v/>
      </c>
      <c r="AA34" s="9">
        <f>Z34*12</f>
        <v/>
      </c>
      <c r="AB34" s="12">
        <f>S34*BlendedPriceEssMonthly*E34+T34*BlendedPricePremMonthly*E34+U34*BlendedPriceEliteMonthly*E34</f>
        <v/>
      </c>
      <c r="AC34" s="12">
        <f>P34*BlendedPriceEssAnnual*E34+Q34*BlendedPricePremAnnual*E34+R34*BlendedPriceEliteAnnual*E34</f>
        <v/>
      </c>
      <c r="AD34" s="12">
        <f>P22*POWER(1-('Sens - Scenarios'!$B$6*VLOOKUP(B34,ChurnSeasonTable,4,FALSE)),1)*BlendedPriceEssAnnual*E34+P10*POWER(1-('Sens - Scenarios'!$B$6*VLOOKUP(B34,ChurnSeasonTable,4,FALSE)),2)*BlendedPriceEssAnnual*E34+Q22*POWER(1-('Sens - Scenarios'!$B$6*VLOOKUP(B34,ChurnSeasonTable,4,FALSE)),1)*BlendedPricePremAnnual*E34+Q10*POWER(1-('Sens - Scenarios'!$B$6*VLOOKUP(B34,ChurnSeasonTable,4,FALSE)),2)*BlendedPricePremAnnual*E34+R22*POWER(1-('Sens - Scenarios'!$B$6*VLOOKUP(B34,ChurnSeasonTable,4,FALSE)),1)*BlendedPriceEliteAnnual*E34+R10*POWER(1-('Sens - Scenarios'!$B$6*VLOOKUP(B34,ChurnSeasonTable,4,FALSE)),2)*BlendedPriceEliteAnnual*E34</f>
        <v/>
      </c>
      <c r="AE34" s="9">
        <f>AB34+AC34+AD34</f>
        <v/>
      </c>
      <c r="AF34" s="12">
        <f>SUM(AE23:AE34)</f>
        <v/>
      </c>
      <c r="AG34" s="12">
        <f>OR(AG33,IF(VATAgentMode,SUM($AE23:$AE34)-SUM($AL23:$AL34)&gt;=VATThreshold,SUM($AE23:$AE34)&gt;=VATThreshold))</f>
        <v/>
      </c>
      <c r="AH34" s="9">
        <f>IF(AG34,IF(VATAgentMode,AE34-((AE34-AL34)-(AE34-AL34)/(1+VATRate)),AE34/(1+VATRate)),AE34)</f>
        <v/>
      </c>
      <c r="AI34" s="12">
        <f>AE34-AH34</f>
        <v/>
      </c>
      <c r="AJ34" s="12">
        <f>IF(AG34=0,0,IF(B34=1,SUMPRODUCT(--(($C$5:$C34=$C34-1)*($B$5:$B34&gt;=10)*($B$5:$B34&lt;=12)),$AI$5:$AI34),IF(B34=4,SUMPRODUCT(--(($C$5:$C34=$C34)*($B$5:$B34&gt;=1)*($B$5:$B34&lt;=3)),$AI$5:$AI34),IF(B34=7,SUMPRODUCT(--(($C$5:$C34=$C34)*($B$5:$B34&gt;=4)*($B$5:$B34&lt;=6)),$AI$5:$AI34),IF(B34=10,SUMPRODUCT(--(($C$5:$C34=$C34)*($B$5:$B34&gt;=7)*($B$5:$B34&lt;=9)),$AI$5:$AI34),0)))))</f>
        <v/>
      </c>
      <c r="AK34" s="12">
        <f>AK33+AI34-AJ34</f>
        <v/>
      </c>
      <c r="AL34" s="12">
        <f>IF(ProviderDelay&gt;=1,S33*BlendedProvPayEss+T33*BlendedProvPayPrem+U33*BlendedProvPayElite+V33*BlendedProvPayEss+W33*BlendedProvPayPrem+X33*BlendedProvPayElite,S34*BlendedProvPayEss+T34*BlendedProvPayPrem+U34*BlendedProvPayElite+V34*BlendedProvPayEss+W34*BlendedProvPayPrem+X34*BlendedProvPayElite)</f>
        <v/>
      </c>
      <c r="AM34" s="12">
        <f>AE34*PaymentFee</f>
        <v/>
      </c>
      <c r="AN34" s="12">
        <f>Y34*OpsAI</f>
        <v/>
      </c>
      <c r="AO34" s="12">
        <f>MonthlyFixed</f>
        <v/>
      </c>
      <c r="AP34" s="12">
        <f>I34*ReferralReward</f>
        <v/>
      </c>
      <c r="AQ34" s="12">
        <f>G34</f>
        <v/>
      </c>
      <c r="AR34" s="9">
        <f>AH34-AL34-AM34-AN34-AO34-AP34-AQ34</f>
        <v/>
      </c>
      <c r="AS34" s="9">
        <f>AS33+AE34-(AL34+AM34+AN34+AO34+AP34+AQ34+AJ34)</f>
        <v/>
      </c>
      <c r="AT34" s="12">
        <f>IF(Y34&gt;0,Z34/Y34,0)</f>
        <v/>
      </c>
      <c r="AU34" s="11">
        <f>IF(Y33&gt;0,MAX(0,(Y33+J34-Y34)/Y33),0)</f>
        <v/>
      </c>
      <c r="AW34" s="12" t="n">
        <v>30</v>
      </c>
      <c r="AX34" s="12">
        <f>MOD(AW34-1+LaunchMonth-1,12)+1</f>
        <v/>
      </c>
      <c r="AY34" s="12">
        <f>INT((AW34-1+LaunchMonth-1)/12)+1</f>
        <v/>
      </c>
      <c r="AZ34" s="12">
        <f>VLOOKUP(AX34,SeasonTable,2,FALSE)</f>
        <v/>
      </c>
      <c r="BA34" s="12">
        <f>(1+InflationRate)^INT((AW34-1)/12)</f>
        <v/>
      </c>
      <c r="BB34" s="11">
        <f>MonthlyChurn*VLOOKUP(AX34,ChurnSeasonTable,4,FALSE)</f>
        <v/>
      </c>
      <c r="BC34" s="12">
        <f>MIN(MAX(MktMin19plus,CA33*MktPct19plus),MAX(0,CO33-CashBuffer))</f>
        <v/>
      </c>
      <c r="BD34" s="12">
        <f>IF(BC34&gt;0,MAX(1,ROUND(BC34/CAC*AZ34,0)),0)</f>
        <v/>
      </c>
      <c r="BE34" s="12">
        <f>IF(BD34&gt;0,ROUND(BD34*ReferralMix/(1-ReferralMix),0),0)</f>
        <v/>
      </c>
      <c r="BF34" s="12">
        <f>BD34+BE34</f>
        <v/>
      </c>
      <c r="BG34" s="12">
        <f>ROUND(BF34*(1-AnnualMix),0)</f>
        <v/>
      </c>
      <c r="BH34" s="12">
        <f>BF34-BG34</f>
        <v/>
      </c>
      <c r="BI34" s="12">
        <f>ROUND(BG34*EssentialMix,0)</f>
        <v/>
      </c>
      <c r="BJ34" s="12">
        <f>ROUND(BG34*PremiumMix,0)</f>
        <v/>
      </c>
      <c r="BK34" s="12">
        <f>BG34-BI34-BJ34</f>
        <v/>
      </c>
      <c r="BL34" s="12">
        <f>ROUND(BH34*EssentialMix,0)</f>
        <v/>
      </c>
      <c r="BM34" s="12">
        <f>ROUND(BH34*PremiumMix,0)</f>
        <v/>
      </c>
      <c r="BN34" s="12">
        <f>BH34-BL34-BM34</f>
        <v/>
      </c>
      <c r="BO34" s="12">
        <f>BI34+BI33+BI32+MAX(0,BO33-BI33-BI32)*(1-BB34)</f>
        <v/>
      </c>
      <c r="BP34" s="12">
        <f>BJ34+BJ33+BJ32+MAX(0,BP33-BJ33-BJ32)*(1-BB34)</f>
        <v/>
      </c>
      <c r="BQ34" s="12">
        <f>BK34+BK33+BK32+MAX(0,BQ33-BK33-BK32)*(1-BB34)</f>
        <v/>
      </c>
      <c r="BR34" s="12">
        <f>BR33+BL34-BL22*(AnnualChurn*VLOOKUP(AX34,ChurnSeasonTable,4,FALSE))*POWER(1-(AnnualChurn*VLOOKUP(AX34,ChurnSeasonTable,4,FALSE)),0)+BL10*(AnnualChurn*VLOOKUP(AX34,ChurnSeasonTable,4,FALSE))*POWER(1-(AnnualChurn*VLOOKUP(AX34,ChurnSeasonTable,4,FALSE)),1)</f>
        <v/>
      </c>
      <c r="BS34" s="12">
        <f>BS33+BM34-BM22*(AnnualChurn*VLOOKUP(AX34,ChurnSeasonTable,4,FALSE))*POWER(1-(AnnualChurn*VLOOKUP(AX34,ChurnSeasonTable,4,FALSE)),0)+BM10*(AnnualChurn*VLOOKUP(AX34,ChurnSeasonTable,4,FALSE))*POWER(1-(AnnualChurn*VLOOKUP(AX34,ChurnSeasonTable,4,FALSE)),1)</f>
        <v/>
      </c>
      <c r="BT34" s="12">
        <f>BT33+BN34-BN22*(AnnualChurn*VLOOKUP(AX34,ChurnSeasonTable,4,FALSE))*POWER(1-(AnnualChurn*VLOOKUP(AX34,ChurnSeasonTable,4,FALSE)),0)+BN10*(AnnualChurn*VLOOKUP(AX34,ChurnSeasonTable,4,FALSE))*POWER(1-(AnnualChurn*VLOOKUP(AX34,ChurnSeasonTable,4,FALSE)),1)</f>
        <v/>
      </c>
      <c r="BU34" s="12">
        <f>BO34+BP34+BQ34+BR34+BS34+BT34</f>
        <v/>
      </c>
      <c r="BV34" s="9">
        <f>BO34*BlendedPriceEssMonthly*BA34+BP34*BlendedPricePremMonthly*BA34+BQ34*BlendedPriceEliteMonthly*BA34+BR34*BlendedPriceEssAnnual*BA34/12+BS34*BlendedPricePremAnnual*BA34/12+BT34*BlendedPriceEliteAnnual*BA34/12</f>
        <v/>
      </c>
      <c r="BW34" s="9">
        <f>BV34*12</f>
        <v/>
      </c>
      <c r="BX34" s="12">
        <f>BO34*BlendedPriceEssMonthly*BA34+BP34*BlendedPricePremMonthly*BA34+BQ34*BlendedPriceEliteMonthly*BA34</f>
        <v/>
      </c>
      <c r="BY34" s="12">
        <f>BL34*BlendedPriceEssAnnual*BA34+BM34*BlendedPricePremAnnual*BA34+BN34*BlendedPriceEliteAnnual*BA34</f>
        <v/>
      </c>
      <c r="BZ34" s="12">
        <f>BL22*POWER(1-(AnnualChurn*VLOOKUP(AX34,ChurnSeasonTable,4,FALSE)),1)*BlendedPriceEssAnnual*BA34+BL10*POWER(1-(AnnualChurn*VLOOKUP(AX34,ChurnSeasonTable,4,FALSE)),2)*BlendedPriceEssAnnual*BA34+BM22*POWER(1-(AnnualChurn*VLOOKUP(AX34,ChurnSeasonTable,4,FALSE)),1)*BlendedPricePremAnnual*BA34+BM10*POWER(1-(AnnualChurn*VLOOKUP(AX34,ChurnSeasonTable,4,FALSE)),2)*BlendedPricePremAnnual*BA34+BN22*POWER(1-(AnnualChurn*VLOOKUP(AX34,ChurnSeasonTable,4,FALSE)),1)*BlendedPriceEliteAnnual*BA34+BN10*POWER(1-(AnnualChurn*VLOOKUP(AX34,ChurnSeasonTable,4,FALSE)),2)*BlendedPriceEliteAnnual*BA34</f>
        <v/>
      </c>
      <c r="CA34" s="9">
        <f>BX34+BY34+BZ34</f>
        <v/>
      </c>
      <c r="CB34" s="12">
        <f>SUM(CA23:CA34)</f>
        <v/>
      </c>
      <c r="CC34" s="12">
        <f>OR(CC33,IF(VATAgentMode,SUM($CA23:$CA34)-SUM($CH23:$CH34)&gt;=VATThreshold,SUM($CA23:$CA34)&gt;=VATThreshold))</f>
        <v/>
      </c>
      <c r="CD34" s="9">
        <f>IF(CC34,IF(VATAgentMode,CA34-((CA34-CH34)-(CA34-CH34)/(1+VATRate)),CA34/(1+VATRate)),CA34)</f>
        <v/>
      </c>
      <c r="CE34" s="12">
        <f>CA34-CD34</f>
        <v/>
      </c>
      <c r="CF34" s="12">
        <f>IF(CC34=0,0,IF(AX34=1,SUMPRODUCT(--(($AY$5:$AY34=$AY34-1)*($AX$5:$AX34&gt;=10)*($AX$5:$AX34&lt;=12)),$CE$5:$CE34),IF(AX34=4,SUMPRODUCT(--(($AY$5:$AY34=$AY34)*($AX$5:$AX34&gt;=1)*($AX$5:$AX34&lt;=3)),$CE$5:$CE34),IF(AX34=7,SUMPRODUCT(--(($AY$5:$AY34=$AY34)*($AX$5:$AX34&gt;=4)*($AX$5:$AX34&lt;=6)),$CE$5:$CE34),IF(AX34=10,SUMPRODUCT(--(($AY$5:$AY34=$AY34)*($AX$5:$AX34&gt;=7)*($AX$5:$AX34&lt;=9)),$CE$5:$CE34),0)))))</f>
        <v/>
      </c>
      <c r="CG34" s="12">
        <f>CG33+CE34-CF34</f>
        <v/>
      </c>
      <c r="CH34" s="12">
        <f>IF(ProviderDelay&gt;=1,BO33*BlendedProvPayEss+BP33*BlendedProvPayPrem+BQ33*BlendedProvPayElite+BR33*BlendedProvPayEss+BS33*BlendedProvPayPrem+BT33*BlendedProvPayElite,BO34*BlendedProvPayEss+BP34*BlendedProvPayPrem+BQ34*BlendedProvPayElite+BR34*BlendedProvPayEss+BS34*BlendedProvPayPrem+BT34*BlendedProvPayElite)</f>
        <v/>
      </c>
      <c r="CI34" s="12">
        <f>CA34*PaymentFee</f>
        <v/>
      </c>
      <c r="CJ34" s="12">
        <f>BU34*OpsAI</f>
        <v/>
      </c>
      <c r="CK34" s="12">
        <f>MonthlyFixed</f>
        <v/>
      </c>
      <c r="CL34" s="12">
        <f>BE34*ReferralReward</f>
        <v/>
      </c>
      <c r="CM34" s="12">
        <f>BC34</f>
        <v/>
      </c>
      <c r="CN34" s="9">
        <f>CD34-CH34-CI34-CJ34-CK34-CL34-CM34</f>
        <v/>
      </c>
      <c r="CO34" s="9">
        <f>CO33+CA34-(CH34+CI34+CJ34+CK34+CL34+CM34+CF34)</f>
        <v/>
      </c>
      <c r="CP34" s="12">
        <f>IF(BU34&gt;0,BV34/BU34,0)</f>
        <v/>
      </c>
      <c r="CQ34" s="11">
        <f>IF(BU33&gt;0,MAX(0,(BU33+BF34-BU34)/BU33),0)</f>
        <v/>
      </c>
      <c r="CS34" s="12" t="n">
        <v>30</v>
      </c>
      <c r="CT34" s="12">
        <f>MOD(CS34-1+LaunchMonth-1,12)+1</f>
        <v/>
      </c>
      <c r="CU34" s="12">
        <f>INT((CS34-1+LaunchMonth-1)/12)+1</f>
        <v/>
      </c>
      <c r="CV34" s="12">
        <f>VLOOKUP(CT34,SeasonTable,2,FALSE)</f>
        <v/>
      </c>
      <c r="CW34" s="12">
        <f>(1+InflationRate)^INT((CS34-1)/12)</f>
        <v/>
      </c>
      <c r="CX34" s="11">
        <f>'Sens - Scenarios'!$D$5*VLOOKUP(CT34,ChurnSeasonTable,4,FALSE)</f>
        <v/>
      </c>
      <c r="CY34" s="12">
        <f>MIN(MAX(MktMin19plus,DW33*MktPct19plus),MAX(0,EK33-CashBuffer))</f>
        <v/>
      </c>
      <c r="CZ34" s="12">
        <f>IF(CY34&gt;0,MAX(1,ROUND(CY34/'Sens - Scenarios'!$D$8*CV34,0)),0)</f>
        <v/>
      </c>
      <c r="DA34" s="12">
        <f>IF(CZ34&gt;0,ROUND(CZ34*ReferralMix/(1-ReferralMix),0),0)</f>
        <v/>
      </c>
      <c r="DB34" s="12">
        <f>CZ34+DA34</f>
        <v/>
      </c>
      <c r="DC34" s="12">
        <f>ROUND(DB34*(1-'Sens - Scenarios'!$D$7),0)</f>
        <v/>
      </c>
      <c r="DD34" s="12">
        <f>DB34-DC34</f>
        <v/>
      </c>
      <c r="DE34" s="12">
        <f>ROUND(DC34*EssentialMix,0)</f>
        <v/>
      </c>
      <c r="DF34" s="12">
        <f>ROUND(DC34*PremiumMix,0)</f>
        <v/>
      </c>
      <c r="DG34" s="12">
        <f>DC34-DE34-DF34</f>
        <v/>
      </c>
      <c r="DH34" s="12">
        <f>ROUND(DD34*EssentialMix,0)</f>
        <v/>
      </c>
      <c r="DI34" s="12">
        <f>ROUND(DD34*PremiumMix,0)</f>
        <v/>
      </c>
      <c r="DJ34" s="12">
        <f>DD34-DH34-DI34</f>
        <v/>
      </c>
      <c r="DK34" s="12">
        <f>DE34+DE33+DE32+MAX(0,DK33-DE33-DE32)*(1-CX34)</f>
        <v/>
      </c>
      <c r="DL34" s="12">
        <f>DF34+DF33+DF32+MAX(0,DL33-DF33-DF32)*(1-CX34)</f>
        <v/>
      </c>
      <c r="DM34" s="12">
        <f>DG34+DG33+DG32+MAX(0,DM33-DG33-DG32)*(1-CX34)</f>
        <v/>
      </c>
      <c r="DN34" s="12">
        <f>DN33+DH34-DH22*('Sens - Scenarios'!$D$6*VLOOKUP(CT34,ChurnSeasonTable,4,FALSE))*POWER(1-('Sens - Scenarios'!$D$6*VLOOKUP(CT34,ChurnSeasonTable,4,FALSE)),0)+DH10*('Sens - Scenarios'!$D$6*VLOOKUP(CT34,ChurnSeasonTable,4,FALSE))*POWER(1-('Sens - Scenarios'!$D$6*VLOOKUP(CT34,ChurnSeasonTable,4,FALSE)),1)</f>
        <v/>
      </c>
      <c r="DO34" s="12">
        <f>DO33+DI34-DI22*('Sens - Scenarios'!$D$6*VLOOKUP(CT34,ChurnSeasonTable,4,FALSE))*POWER(1-('Sens - Scenarios'!$D$6*VLOOKUP(CT34,ChurnSeasonTable,4,FALSE)),0)+DI10*('Sens - Scenarios'!$D$6*VLOOKUP(CT34,ChurnSeasonTable,4,FALSE))*POWER(1-('Sens - Scenarios'!$D$6*VLOOKUP(CT34,ChurnSeasonTable,4,FALSE)),1)</f>
        <v/>
      </c>
      <c r="DP34" s="12">
        <f>DP33+DJ34-DJ22*('Sens - Scenarios'!$D$6*VLOOKUP(CT34,ChurnSeasonTable,4,FALSE))*POWER(1-('Sens - Scenarios'!$D$6*VLOOKUP(CT34,ChurnSeasonTable,4,FALSE)),0)+DJ10*('Sens - Scenarios'!$D$6*VLOOKUP(CT34,ChurnSeasonTable,4,FALSE))*POWER(1-('Sens - Scenarios'!$D$6*VLOOKUP(CT34,ChurnSeasonTable,4,FALSE)),1)</f>
        <v/>
      </c>
      <c r="DQ34" s="12">
        <f>DK34+DL34+DM34+DN34+DO34+DP34</f>
        <v/>
      </c>
      <c r="DR34" s="9">
        <f>DK34*BlendedPriceEssMonthly*CW34+DL34*BlendedPricePremMonthly*CW34+DM34*BlendedPriceEliteMonthly*CW34+DN34*BlendedPriceEssAnnual*CW34/12+DO34*BlendedPricePremAnnual*CW34/12+DP34*BlendedPriceEliteAnnual*CW34/12</f>
        <v/>
      </c>
      <c r="DS34" s="9">
        <f>DR34*12</f>
        <v/>
      </c>
      <c r="DT34" s="12">
        <f>DK34*BlendedPriceEssMonthly*CW34+DL34*BlendedPricePremMonthly*CW34+DM34*BlendedPriceEliteMonthly*CW34</f>
        <v/>
      </c>
      <c r="DU34" s="12">
        <f>DH34*BlendedPriceEssAnnual*CW34+DI34*BlendedPricePremAnnual*CW34+DJ34*BlendedPriceEliteAnnual*CW34</f>
        <v/>
      </c>
      <c r="DV34" s="12">
        <f>DH22*POWER(1-('Sens - Scenarios'!$D$6*VLOOKUP(CT34,ChurnSeasonTable,4,FALSE)),1)*BlendedPriceEssAnnual*CW34+DH10*POWER(1-('Sens - Scenarios'!$D$6*VLOOKUP(CT34,ChurnSeasonTable,4,FALSE)),2)*BlendedPriceEssAnnual*CW34+DI22*POWER(1-('Sens - Scenarios'!$D$6*VLOOKUP(CT34,ChurnSeasonTable,4,FALSE)),1)*BlendedPricePremAnnual*CW34+DI10*POWER(1-('Sens - Scenarios'!$D$6*VLOOKUP(CT34,ChurnSeasonTable,4,FALSE)),2)*BlendedPricePremAnnual*CW34+DJ22*POWER(1-('Sens - Scenarios'!$D$6*VLOOKUP(CT34,ChurnSeasonTable,4,FALSE)),1)*BlendedPriceEliteAnnual*CW34+DJ10*POWER(1-('Sens - Scenarios'!$D$6*VLOOKUP(CT34,ChurnSeasonTable,4,FALSE)),2)*BlendedPriceEliteAnnual*CW34</f>
        <v/>
      </c>
      <c r="DW34" s="9">
        <f>DT34+DU34+DV34</f>
        <v/>
      </c>
      <c r="DX34" s="12">
        <f>SUM(DW23:DW34)</f>
        <v/>
      </c>
      <c r="DY34" s="12">
        <f>OR(DY33,IF(VATAgentMode,SUM($DW23:$DW34)-SUM($ED23:$ED34)&gt;=VATThreshold,SUM($DW23:$DW34)&gt;=VATThreshold))</f>
        <v/>
      </c>
      <c r="DZ34" s="9">
        <f>IF(DY34,IF(VATAgentMode,DW34-((DW34-ED34)-(DW34-ED34)/(1+VATRate)),DW34/(1+VATRate)),DW34)</f>
        <v/>
      </c>
      <c r="EA34" s="12">
        <f>DW34-DZ34</f>
        <v/>
      </c>
      <c r="EB34" s="12">
        <f>IF(DY34=0,0,IF(CT34=1,SUMPRODUCT(--(($CU$5:$CU34=$CU34-1)*($CT$5:$CT34&gt;=10)*($CT$5:$CT34&lt;=12)),$EA$5:$EA34),IF(CT34=4,SUMPRODUCT(--(($CU$5:$CU34=$CU34)*($CT$5:$CT34&gt;=1)*($CT$5:$CT34&lt;=3)),$EA$5:$EA34),IF(CT34=7,SUMPRODUCT(--(($CU$5:$CU34=$CU34)*($CT$5:$CT34&gt;=4)*($CT$5:$CT34&lt;=6)),$EA$5:$EA34),IF(CT34=10,SUMPRODUCT(--(($CU$5:$CU34=$CU34)*($CT$5:$CT34&gt;=7)*($CT$5:$CT34&lt;=9)),$EA$5:$EA34),0)))))</f>
        <v/>
      </c>
      <c r="EC34" s="12">
        <f>EC33+EA34-EB34</f>
        <v/>
      </c>
      <c r="ED34" s="12">
        <f>IF(ProviderDelay&gt;=1,DK33*BlendedProvPayEss+DL33*BlendedProvPayPrem+DM33*BlendedProvPayElite+DN33*BlendedProvPayEss+DO33*BlendedProvPayPrem+DP33*BlendedProvPayElite,DK34*BlendedProvPayEss+DL34*BlendedProvPayPrem+DM34*BlendedProvPayElite+DN34*BlendedProvPayEss+DO34*BlendedProvPayPrem+DP34*BlendedProvPayElite)</f>
        <v/>
      </c>
      <c r="EE34" s="12">
        <f>DW34*PaymentFee</f>
        <v/>
      </c>
      <c r="EF34" s="12">
        <f>DQ34*OpsAI</f>
        <v/>
      </c>
      <c r="EG34" s="12">
        <f>MonthlyFixed</f>
        <v/>
      </c>
      <c r="EH34" s="12">
        <f>DA34*ReferralReward</f>
        <v/>
      </c>
      <c r="EI34" s="12">
        <f>CY34</f>
        <v/>
      </c>
      <c r="EJ34" s="9">
        <f>DZ34-ED34-EE34-EF34-EG34-EH34-EI34</f>
        <v/>
      </c>
      <c r="EK34" s="9">
        <f>EK33+DW34-(ED34+EE34+EF34+EG34+EH34+EI34+EB34)</f>
        <v/>
      </c>
      <c r="EL34" s="12">
        <f>IF(DQ34&gt;0,DR34/DQ34,0)</f>
        <v/>
      </c>
      <c r="EM34" s="11">
        <f>IF(DQ33&gt;0,MAX(0,(DQ33+DB34-DQ34)/DQ33),0)</f>
        <v/>
      </c>
      <c r="EO34" s="12" t="n">
        <v>30</v>
      </c>
      <c r="EP34" s="12">
        <f>MOD(EO34-1+LaunchMonth-1,12)+1</f>
        <v/>
      </c>
      <c r="EQ34" s="12">
        <f>INT((EO34-1+LaunchMonth-1)/12)+1</f>
        <v/>
      </c>
      <c r="ER34" s="12">
        <f>VLOOKUP(EP34,SeasonTable,2,FALSE)</f>
        <v/>
      </c>
      <c r="ES34" s="12">
        <f>(1+InflationRate)^INT((EO34-1)/12)</f>
        <v/>
      </c>
      <c r="ET34" s="11">
        <f>'Sens - Churn'!$A$13*VLOOKUP(EP34,ChurnSeasonTable,4,FALSE)</f>
        <v/>
      </c>
      <c r="EU34" s="12">
        <f>MIN(MAX(MktMin19plus,FS33*MktPct19plus),MAX(0,GG33-CashBuffer))</f>
        <v/>
      </c>
      <c r="EV34" s="12">
        <f>IF(EU34&gt;0,MAX(1,ROUND(EU34/CAC*ER34,0)),0)</f>
        <v/>
      </c>
      <c r="EW34" s="12">
        <f>IF(EV34&gt;0,ROUND(EV34*ReferralMix/(1-ReferralMix),0),0)</f>
        <v/>
      </c>
      <c r="EX34" s="12">
        <f>EV34+EW34</f>
        <v/>
      </c>
      <c r="EY34" s="12">
        <f>ROUND(EX34*(1-AnnualMix),0)</f>
        <v/>
      </c>
      <c r="EZ34" s="12">
        <f>EX34-EY34</f>
        <v/>
      </c>
      <c r="FA34" s="12">
        <f>ROUND(EY34*EssentialMix,0)</f>
        <v/>
      </c>
      <c r="FB34" s="12">
        <f>ROUND(EY34*PremiumMix,0)</f>
        <v/>
      </c>
      <c r="FC34" s="12">
        <f>EY34-FA34-FB34</f>
        <v/>
      </c>
      <c r="FD34" s="12">
        <f>ROUND(EZ34*EssentialMix,0)</f>
        <v/>
      </c>
      <c r="FE34" s="12">
        <f>ROUND(EZ34*PremiumMix,0)</f>
        <v/>
      </c>
      <c r="FF34" s="12">
        <f>EZ34-FD34-FE34</f>
        <v/>
      </c>
      <c r="FG34" s="12">
        <f>FA34+FA33+FA32+MAX(0,FG33-FA33-FA32)*(1-ET34)</f>
        <v/>
      </c>
      <c r="FH34" s="12">
        <f>FB34+FB33+FB32+MAX(0,FH33-FB33-FB32)*(1-ET34)</f>
        <v/>
      </c>
      <c r="FI34" s="12">
        <f>FC34+FC33+FC32+MAX(0,FI33-FC33-FC32)*(1-ET34)</f>
        <v/>
      </c>
      <c r="FJ34" s="12">
        <f>FJ33+FD34-FD22*(AnnualChurn*VLOOKUP(EP34,ChurnSeasonTable,4,FALSE))*POWER(1-(AnnualChurn*VLOOKUP(EP34,ChurnSeasonTable,4,FALSE)),0)+FD10*(AnnualChurn*VLOOKUP(EP34,ChurnSeasonTable,4,FALSE))*POWER(1-(AnnualChurn*VLOOKUP(EP34,ChurnSeasonTable,4,FALSE)),1)</f>
        <v/>
      </c>
      <c r="FK34" s="12">
        <f>FK33+FE34-FE22*(AnnualChurn*VLOOKUP(EP34,ChurnSeasonTable,4,FALSE))*POWER(1-(AnnualChurn*VLOOKUP(EP34,ChurnSeasonTable,4,FALSE)),0)+FE10*(AnnualChurn*VLOOKUP(EP34,ChurnSeasonTable,4,FALSE))*POWER(1-(AnnualChurn*VLOOKUP(EP34,ChurnSeasonTable,4,FALSE)),1)</f>
        <v/>
      </c>
      <c r="FL34" s="12">
        <f>FL33+FF34-FF22*(AnnualChurn*VLOOKUP(EP34,ChurnSeasonTable,4,FALSE))*POWER(1-(AnnualChurn*VLOOKUP(EP34,ChurnSeasonTable,4,FALSE)),0)+FF10*(AnnualChurn*VLOOKUP(EP34,ChurnSeasonTable,4,FALSE))*POWER(1-(AnnualChurn*VLOOKUP(EP34,ChurnSeasonTable,4,FALSE)),1)</f>
        <v/>
      </c>
      <c r="FM34" s="12">
        <f>FG34+FH34+FI34+FJ34+FK34+FL34</f>
        <v/>
      </c>
      <c r="FN34" s="9">
        <f>FG34*BlendedPriceEssMonthly*ES34+FH34*BlendedPricePremMonthly*ES34+FI34*BlendedPriceEliteMonthly*ES34+FJ34*BlendedPriceEssAnnual*ES34/12+FK34*BlendedPricePremAnnual*ES34/12+FL34*BlendedPriceEliteAnnual*ES34/12</f>
        <v/>
      </c>
      <c r="FO34" s="9">
        <f>FN34*12</f>
        <v/>
      </c>
      <c r="FP34" s="12">
        <f>FG34*BlendedPriceEssMonthly*ES34+FH34*BlendedPricePremMonthly*ES34+FI34*BlendedPriceEliteMonthly*ES34</f>
        <v/>
      </c>
      <c r="FQ34" s="12">
        <f>FD34*BlendedPriceEssAnnual*ES34+FE34*BlendedPricePremAnnual*ES34+FF34*BlendedPriceEliteAnnual*ES34</f>
        <v/>
      </c>
      <c r="FR34" s="12">
        <f>FD22*POWER(1-(AnnualChurn*VLOOKUP(EP34,ChurnSeasonTable,4,FALSE)),1)*BlendedPriceEssAnnual*ES34+FD10*POWER(1-(AnnualChurn*VLOOKUP(EP34,ChurnSeasonTable,4,FALSE)),2)*BlendedPriceEssAnnual*ES34+FE22*POWER(1-(AnnualChurn*VLOOKUP(EP34,ChurnSeasonTable,4,FALSE)),1)*BlendedPricePremAnnual*ES34+FE10*POWER(1-(AnnualChurn*VLOOKUP(EP34,ChurnSeasonTable,4,FALSE)),2)*BlendedPricePremAnnual*ES34+FF22*POWER(1-(AnnualChurn*VLOOKUP(EP34,ChurnSeasonTable,4,FALSE)),1)*BlendedPriceEliteAnnual*ES34+FF10*POWER(1-(AnnualChurn*VLOOKUP(EP34,ChurnSeasonTable,4,FALSE)),2)*BlendedPriceEliteAnnual*ES34</f>
        <v/>
      </c>
      <c r="FS34" s="9">
        <f>FP34+FQ34+FR34</f>
        <v/>
      </c>
      <c r="FT34" s="12">
        <f>SUM(FS23:FS34)</f>
        <v/>
      </c>
      <c r="FU34" s="12">
        <f>OR(FU33,IF(VATAgentMode,SUM($FS23:$FS34)-SUM($FZ23:$FZ34)&gt;=VATThreshold,SUM($FS23:$FS34)&gt;=VATThreshold))</f>
        <v/>
      </c>
      <c r="FV34" s="9">
        <f>IF(FU34,IF(VATAgentMode,FS34-((FS34-FZ34)-(FS34-FZ34)/(1+VATRate)),FS34/(1+VATRate)),FS34)</f>
        <v/>
      </c>
      <c r="FW34" s="12">
        <f>FS34-FV34</f>
        <v/>
      </c>
      <c r="FX34" s="12">
        <f>IF(FU34=0,0,IF(EP34=1,SUMPRODUCT(--(($EQ$5:$EQ34=$EQ34-1)*($EP$5:$EP34&gt;=10)*($EP$5:$EP34&lt;=12)),$FW$5:$FW34),IF(EP34=4,SUMPRODUCT(--(($EQ$5:$EQ34=$EQ34)*($EP$5:$EP34&gt;=1)*($EP$5:$EP34&lt;=3)),$FW$5:$FW34),IF(EP34=7,SUMPRODUCT(--(($EQ$5:$EQ34=$EQ34)*($EP$5:$EP34&gt;=4)*($EP$5:$EP34&lt;=6)),$FW$5:$FW34),IF(EP34=10,SUMPRODUCT(--(($EQ$5:$EQ34=$EQ34)*($EP$5:$EP34&gt;=7)*($EP$5:$EP34&lt;=9)),$FW$5:$FW34),0)))))</f>
        <v/>
      </c>
      <c r="FY34" s="12">
        <f>FY33+FW34-FX34</f>
        <v/>
      </c>
      <c r="FZ34" s="12">
        <f>IF(ProviderDelay&gt;=1,FG33*BlendedProvPayEss+FH33*BlendedProvPayPrem+FI33*BlendedProvPayElite+FJ33*BlendedProvPayEss+FK33*BlendedProvPayPrem+FL33*BlendedProvPayElite,FG34*BlendedProvPayEss+FH34*BlendedProvPayPrem+FI34*BlendedProvPayElite+FJ34*BlendedProvPayEss+FK34*BlendedProvPayPrem+FL34*BlendedProvPayElite)</f>
        <v/>
      </c>
      <c r="GA34" s="12">
        <f>FS34*PaymentFee</f>
        <v/>
      </c>
      <c r="GB34" s="12">
        <f>FM34*OpsAI</f>
        <v/>
      </c>
      <c r="GC34" s="12">
        <f>MonthlyFixed</f>
        <v/>
      </c>
      <c r="GD34" s="12">
        <f>EW34*ReferralReward</f>
        <v/>
      </c>
      <c r="GE34" s="12">
        <f>EU34</f>
        <v/>
      </c>
      <c r="GF34" s="9">
        <f>FV34-FZ34-GA34-GB34-GC34-GD34-GE34</f>
        <v/>
      </c>
      <c r="GG34" s="9">
        <f>GG33+FS34-(FZ34+GA34+GB34+GC34+GD34+GE34+FX34)</f>
        <v/>
      </c>
      <c r="GH34" s="12">
        <f>IF(FM34&gt;0,FN34/FM34,0)</f>
        <v/>
      </c>
      <c r="GI34" s="11">
        <f>IF(FM33&gt;0,MAX(0,(FM33+EX34-FM34)/FM33),0)</f>
        <v/>
      </c>
      <c r="GK34" s="12" t="n">
        <v>30</v>
      </c>
      <c r="GL34" s="12">
        <f>MOD(GK34-1+LaunchMonth-1,12)+1</f>
        <v/>
      </c>
      <c r="GM34" s="12">
        <f>INT((GK34-1+LaunchMonth-1)/12)+1</f>
        <v/>
      </c>
      <c r="GN34" s="12">
        <f>VLOOKUP(GL34,SeasonTable,2,FALSE)</f>
        <v/>
      </c>
      <c r="GO34" s="12">
        <f>(1+InflationRate)^INT((GK34-1)/12)</f>
        <v/>
      </c>
      <c r="GP34" s="11">
        <f>'Sens - Churn'!$A$14*VLOOKUP(GL34,ChurnSeasonTable,4,FALSE)</f>
        <v/>
      </c>
      <c r="GQ34" s="12">
        <f>MIN(MAX(MktMin19plus,HO33*MktPct19plus),MAX(0,IC33-CashBuffer))</f>
        <v/>
      </c>
      <c r="GR34" s="12">
        <f>IF(GQ34&gt;0,MAX(1,ROUND(GQ34/CAC*GN34,0)),0)</f>
        <v/>
      </c>
      <c r="GS34" s="12">
        <f>IF(GR34&gt;0,ROUND(GR34*ReferralMix/(1-ReferralMix),0),0)</f>
        <v/>
      </c>
      <c r="GT34" s="12">
        <f>GR34+GS34</f>
        <v/>
      </c>
      <c r="GU34" s="12">
        <f>ROUND(GT34*(1-AnnualMix),0)</f>
        <v/>
      </c>
      <c r="GV34" s="12">
        <f>GT34-GU34</f>
        <v/>
      </c>
      <c r="GW34" s="12">
        <f>ROUND(GU34*EssentialMix,0)</f>
        <v/>
      </c>
      <c r="GX34" s="12">
        <f>ROUND(GU34*PremiumMix,0)</f>
        <v/>
      </c>
      <c r="GY34" s="12">
        <f>GU34-GW34-GX34</f>
        <v/>
      </c>
      <c r="GZ34" s="12">
        <f>ROUND(GV34*EssentialMix,0)</f>
        <v/>
      </c>
      <c r="HA34" s="12">
        <f>ROUND(GV34*PremiumMix,0)</f>
        <v/>
      </c>
      <c r="HB34" s="12">
        <f>GV34-GZ34-HA34</f>
        <v/>
      </c>
      <c r="HC34" s="12">
        <f>GW34+GW33+GW32+MAX(0,HC33-GW33-GW32)*(1-GP34)</f>
        <v/>
      </c>
      <c r="HD34" s="12">
        <f>GX34+GX33+GX32+MAX(0,HD33-GX33-GX32)*(1-GP34)</f>
        <v/>
      </c>
      <c r="HE34" s="12">
        <f>GY34+GY33+GY32+MAX(0,HE33-GY33-GY32)*(1-GP34)</f>
        <v/>
      </c>
      <c r="HF34" s="12">
        <f>HF33+GZ34-GZ22*(AnnualChurn*VLOOKUP(GL34,ChurnSeasonTable,4,FALSE))*POWER(1-(AnnualChurn*VLOOKUP(GL34,ChurnSeasonTable,4,FALSE)),0)+GZ10*(AnnualChurn*VLOOKUP(GL34,ChurnSeasonTable,4,FALSE))*POWER(1-(AnnualChurn*VLOOKUP(GL34,ChurnSeasonTable,4,FALSE)),1)</f>
        <v/>
      </c>
      <c r="HG34" s="12">
        <f>HG33+HA34-HA22*(AnnualChurn*VLOOKUP(GL34,ChurnSeasonTable,4,FALSE))*POWER(1-(AnnualChurn*VLOOKUP(GL34,ChurnSeasonTable,4,FALSE)),0)+HA10*(AnnualChurn*VLOOKUP(GL34,ChurnSeasonTable,4,FALSE))*POWER(1-(AnnualChurn*VLOOKUP(GL34,ChurnSeasonTable,4,FALSE)),1)</f>
        <v/>
      </c>
      <c r="HH34" s="12">
        <f>HH33+HB34-HB22*(AnnualChurn*VLOOKUP(GL34,ChurnSeasonTable,4,FALSE))*POWER(1-(AnnualChurn*VLOOKUP(GL34,ChurnSeasonTable,4,FALSE)),0)+HB10*(AnnualChurn*VLOOKUP(GL34,ChurnSeasonTable,4,FALSE))*POWER(1-(AnnualChurn*VLOOKUP(GL34,ChurnSeasonTable,4,FALSE)),1)</f>
        <v/>
      </c>
      <c r="HI34" s="12">
        <f>HC34+HD34+HE34+HF34+HG34+HH34</f>
        <v/>
      </c>
      <c r="HJ34" s="9">
        <f>HC34*BlendedPriceEssMonthly*GO34+HD34*BlendedPricePremMonthly*GO34+HE34*BlendedPriceEliteMonthly*GO34+HF34*BlendedPriceEssAnnual*GO34/12+HG34*BlendedPricePremAnnual*GO34/12+HH34*BlendedPriceEliteAnnual*GO34/12</f>
        <v/>
      </c>
      <c r="HK34" s="9">
        <f>HJ34*12</f>
        <v/>
      </c>
      <c r="HL34" s="12">
        <f>HC34*BlendedPriceEssMonthly*GO34+HD34*BlendedPricePremMonthly*GO34+HE34*BlendedPriceEliteMonthly*GO34</f>
        <v/>
      </c>
      <c r="HM34" s="12">
        <f>GZ34*BlendedPriceEssAnnual*GO34+HA34*BlendedPricePremAnnual*GO34+HB34*BlendedPriceEliteAnnual*GO34</f>
        <v/>
      </c>
      <c r="HN34" s="12">
        <f>GZ22*POWER(1-(AnnualChurn*VLOOKUP(GL34,ChurnSeasonTable,4,FALSE)),1)*BlendedPriceEssAnnual*GO34+GZ10*POWER(1-(AnnualChurn*VLOOKUP(GL34,ChurnSeasonTable,4,FALSE)),2)*BlendedPriceEssAnnual*GO34+HA22*POWER(1-(AnnualChurn*VLOOKUP(GL34,ChurnSeasonTable,4,FALSE)),1)*BlendedPricePremAnnual*GO34+HA10*POWER(1-(AnnualChurn*VLOOKUP(GL34,ChurnSeasonTable,4,FALSE)),2)*BlendedPricePremAnnual*GO34+HB22*POWER(1-(AnnualChurn*VLOOKUP(GL34,ChurnSeasonTable,4,FALSE)),1)*BlendedPriceEliteAnnual*GO34+HB10*POWER(1-(AnnualChurn*VLOOKUP(GL34,ChurnSeasonTable,4,FALSE)),2)*BlendedPriceEliteAnnual*GO34</f>
        <v/>
      </c>
      <c r="HO34" s="9">
        <f>HL34+HM34+HN34</f>
        <v/>
      </c>
      <c r="HP34" s="12">
        <f>SUM(HO23:HO34)</f>
        <v/>
      </c>
      <c r="HQ34" s="12">
        <f>OR(HQ33,IF(VATAgentMode,SUM($HO23:$HO34)-SUM($HV23:$HV34)&gt;=VATThreshold,SUM($HO23:$HO34)&gt;=VATThreshold))</f>
        <v/>
      </c>
      <c r="HR34" s="9">
        <f>IF(HQ34,IF(VATAgentMode,HO34-((HO34-HV34)-(HO34-HV34)/(1+VATRate)),HO34/(1+VATRate)),HO34)</f>
        <v/>
      </c>
      <c r="HS34" s="12">
        <f>HO34-HR34</f>
        <v/>
      </c>
      <c r="HT34" s="12">
        <f>IF(HQ34=0,0,IF(GL34=1,SUMPRODUCT(--(($GM$5:$GM34=$GM34-1)*($GL$5:$GL34&gt;=10)*($GL$5:$GL34&lt;=12)),$HS$5:$HS34),IF(GL34=4,SUMPRODUCT(--(($GM$5:$GM34=$GM34)*($GL$5:$GL34&gt;=1)*($GL$5:$GL34&lt;=3)),$HS$5:$HS34),IF(GL34=7,SUMPRODUCT(--(($GM$5:$GM34=$GM34)*($GL$5:$GL34&gt;=4)*($GL$5:$GL34&lt;=6)),$HS$5:$HS34),IF(GL34=10,SUMPRODUCT(--(($GM$5:$GM34=$GM34)*($GL$5:$GL34&gt;=7)*($GL$5:$GL34&lt;=9)),$HS$5:$HS34),0)))))</f>
        <v/>
      </c>
      <c r="HU34" s="12">
        <f>HU33+HS34-HT34</f>
        <v/>
      </c>
      <c r="HV34" s="12">
        <f>IF(ProviderDelay&gt;=1,HC33*BlendedProvPayEss+HD33*BlendedProvPayPrem+HE33*BlendedProvPayElite+HF33*BlendedProvPayEss+HG33*BlendedProvPayPrem+HH33*BlendedProvPayElite,HC34*BlendedProvPayEss+HD34*BlendedProvPayPrem+HE34*BlendedProvPayElite+HF34*BlendedProvPayEss+HG34*BlendedProvPayPrem+HH34*BlendedProvPayElite)</f>
        <v/>
      </c>
      <c r="HW34" s="12">
        <f>HO34*PaymentFee</f>
        <v/>
      </c>
      <c r="HX34" s="12">
        <f>HI34*OpsAI</f>
        <v/>
      </c>
      <c r="HY34" s="12">
        <f>MonthlyFixed</f>
        <v/>
      </c>
      <c r="HZ34" s="12">
        <f>GS34*ReferralReward</f>
        <v/>
      </c>
      <c r="IA34" s="12">
        <f>GQ34</f>
        <v/>
      </c>
      <c r="IB34" s="9">
        <f>HR34-HV34-HW34-HX34-HY34-HZ34-IA34</f>
        <v/>
      </c>
      <c r="IC34" s="9">
        <f>IC33+HO34-(HV34+HW34+HX34+HY34+HZ34+IA34+HT34)</f>
        <v/>
      </c>
      <c r="ID34" s="12">
        <f>IF(HI34&gt;0,HJ34/HI34,0)</f>
        <v/>
      </c>
      <c r="IE34" s="11">
        <f>IF(HI33&gt;0,MAX(0,(HI33+GT34-HI34)/HI33),0)</f>
        <v/>
      </c>
      <c r="IG34" s="12" t="n">
        <v>30</v>
      </c>
      <c r="IH34" s="12">
        <f>MOD(IG34-1+LaunchMonth-1,12)+1</f>
        <v/>
      </c>
      <c r="II34" s="12">
        <f>INT((IG34-1+LaunchMonth-1)/12)+1</f>
        <v/>
      </c>
      <c r="IJ34" s="12">
        <f>VLOOKUP(IH34,SeasonTable,2,FALSE)</f>
        <v/>
      </c>
      <c r="IK34" s="12">
        <f>(1+InflationRate)^INT((IG34-1)/12)</f>
        <v/>
      </c>
      <c r="IL34" s="11">
        <f>'Sens - Churn'!$A$15*VLOOKUP(IH34,ChurnSeasonTable,4,FALSE)</f>
        <v/>
      </c>
      <c r="IM34" s="12">
        <f>MIN(MAX(MktMin19plus,JK33*MktPct19plus),MAX(0,JY33-CashBuffer))</f>
        <v/>
      </c>
      <c r="IN34" s="12">
        <f>IF(IM34&gt;0,MAX(1,ROUND(IM34/CAC*IJ34,0)),0)</f>
        <v/>
      </c>
      <c r="IO34" s="12">
        <f>IF(IN34&gt;0,ROUND(IN34*ReferralMix/(1-ReferralMix),0),0)</f>
        <v/>
      </c>
      <c r="IP34" s="12">
        <f>IN34+IO34</f>
        <v/>
      </c>
      <c r="IQ34" s="12">
        <f>ROUND(IP34*(1-AnnualMix),0)</f>
        <v/>
      </c>
      <c r="IR34" s="12">
        <f>IP34-IQ34</f>
        <v/>
      </c>
      <c r="IS34" s="12">
        <f>ROUND(IQ34*EssentialMix,0)</f>
        <v/>
      </c>
      <c r="IT34" s="12">
        <f>ROUND(IQ34*PremiumMix,0)</f>
        <v/>
      </c>
      <c r="IU34" s="12">
        <f>IQ34-IS34-IT34</f>
        <v/>
      </c>
      <c r="IV34" s="12">
        <f>ROUND(IR34*EssentialMix,0)</f>
        <v/>
      </c>
      <c r="IW34" s="12">
        <f>ROUND(IR34*PremiumMix,0)</f>
        <v/>
      </c>
      <c r="IX34" s="12">
        <f>IR34-IV34-IW34</f>
        <v/>
      </c>
      <c r="IY34" s="12">
        <f>IS34+IS33+IS32+MAX(0,IY33-IS33-IS32)*(1-IL34)</f>
        <v/>
      </c>
      <c r="IZ34" s="12">
        <f>IT34+IT33+IT32+MAX(0,IZ33-IT33-IT32)*(1-IL34)</f>
        <v/>
      </c>
      <c r="JA34" s="12">
        <f>IU34+IU33+IU32+MAX(0,JA33-IU33-IU32)*(1-IL34)</f>
        <v/>
      </c>
      <c r="JB34" s="12">
        <f>JB33+IV34-IV22*(AnnualChurn*VLOOKUP(IH34,ChurnSeasonTable,4,FALSE))*POWER(1-(AnnualChurn*VLOOKUP(IH34,ChurnSeasonTable,4,FALSE)),0)+IV10*(AnnualChurn*VLOOKUP(IH34,ChurnSeasonTable,4,FALSE))*POWER(1-(AnnualChurn*VLOOKUP(IH34,ChurnSeasonTable,4,FALSE)),1)</f>
        <v/>
      </c>
      <c r="JC34" s="12">
        <f>JC33+IW34-IW22*(AnnualChurn*VLOOKUP(IH34,ChurnSeasonTable,4,FALSE))*POWER(1-(AnnualChurn*VLOOKUP(IH34,ChurnSeasonTable,4,FALSE)),0)+IW10*(AnnualChurn*VLOOKUP(IH34,ChurnSeasonTable,4,FALSE))*POWER(1-(AnnualChurn*VLOOKUP(IH34,ChurnSeasonTable,4,FALSE)),1)</f>
        <v/>
      </c>
      <c r="JD34" s="12">
        <f>JD33+IX34-IX22*(AnnualChurn*VLOOKUP(IH34,ChurnSeasonTable,4,FALSE))*POWER(1-(AnnualChurn*VLOOKUP(IH34,ChurnSeasonTable,4,FALSE)),0)+IX10*(AnnualChurn*VLOOKUP(IH34,ChurnSeasonTable,4,FALSE))*POWER(1-(AnnualChurn*VLOOKUP(IH34,ChurnSeasonTable,4,FALSE)),1)</f>
        <v/>
      </c>
      <c r="JE34" s="12">
        <f>IY34+IZ34+JA34+JB34+JC34+JD34</f>
        <v/>
      </c>
      <c r="JF34" s="9">
        <f>IY34*BlendedPriceEssMonthly*IK34+IZ34*BlendedPricePremMonthly*IK34+JA34*BlendedPriceEliteMonthly*IK34+JB34*BlendedPriceEssAnnual*IK34/12+JC34*BlendedPricePremAnnual*IK34/12+JD34*BlendedPriceEliteAnnual*IK34/12</f>
        <v/>
      </c>
      <c r="JG34" s="9">
        <f>JF34*12</f>
        <v/>
      </c>
      <c r="JH34" s="12">
        <f>IY34*BlendedPriceEssMonthly*IK34+IZ34*BlendedPricePremMonthly*IK34+JA34*BlendedPriceEliteMonthly*IK34</f>
        <v/>
      </c>
      <c r="JI34" s="12">
        <f>IV34*BlendedPriceEssAnnual*IK34+IW34*BlendedPricePremAnnual*IK34+IX34*BlendedPriceEliteAnnual*IK34</f>
        <v/>
      </c>
      <c r="JJ34" s="12">
        <f>IV22*POWER(1-(AnnualChurn*VLOOKUP(IH34,ChurnSeasonTable,4,FALSE)),1)*BlendedPriceEssAnnual*IK34+IV10*POWER(1-(AnnualChurn*VLOOKUP(IH34,ChurnSeasonTable,4,FALSE)),2)*BlendedPriceEssAnnual*IK34+IW22*POWER(1-(AnnualChurn*VLOOKUP(IH34,ChurnSeasonTable,4,FALSE)),1)*BlendedPricePremAnnual*IK34+IW10*POWER(1-(AnnualChurn*VLOOKUP(IH34,ChurnSeasonTable,4,FALSE)),2)*BlendedPricePremAnnual*IK34+IX22*POWER(1-(AnnualChurn*VLOOKUP(IH34,ChurnSeasonTable,4,FALSE)),1)*BlendedPriceEliteAnnual*IK34+IX10*POWER(1-(AnnualChurn*VLOOKUP(IH34,ChurnSeasonTable,4,FALSE)),2)*BlendedPriceEliteAnnual*IK34</f>
        <v/>
      </c>
      <c r="JK34" s="9">
        <f>JH34+JI34+JJ34</f>
        <v/>
      </c>
      <c r="JL34" s="12">
        <f>SUM(JK23:JK34)</f>
        <v/>
      </c>
      <c r="JM34" s="12">
        <f>OR(JM33,IF(VATAgentMode,SUM($JK23:$JK34)-SUM($JR23:$JR34)&gt;=VATThreshold,SUM($JK23:$JK34)&gt;=VATThreshold))</f>
        <v/>
      </c>
      <c r="JN34" s="9">
        <f>IF(JM34,IF(VATAgentMode,JK34-((JK34-JR34)-(JK34-JR34)/(1+VATRate)),JK34/(1+VATRate)),JK34)</f>
        <v/>
      </c>
      <c r="JO34" s="12">
        <f>JK34-JN34</f>
        <v/>
      </c>
      <c r="JP34" s="12">
        <f>IF(JM34=0,0,IF(IH34=1,SUMPRODUCT(--(($II$5:$II34=$II34-1)*($IH$5:$IH34&gt;=10)*($IH$5:$IH34&lt;=12)),$JO$5:$JO34),IF(IH34=4,SUMPRODUCT(--(($II$5:$II34=$II34)*($IH$5:$IH34&gt;=1)*($IH$5:$IH34&lt;=3)),$JO$5:$JO34),IF(IH34=7,SUMPRODUCT(--(($II$5:$II34=$II34)*($IH$5:$IH34&gt;=4)*($IH$5:$IH34&lt;=6)),$JO$5:$JO34),IF(IH34=10,SUMPRODUCT(--(($II$5:$II34=$II34)*($IH$5:$IH34&gt;=7)*($IH$5:$IH34&lt;=9)),$JO$5:$JO34),0)))))</f>
        <v/>
      </c>
      <c r="JQ34" s="12">
        <f>JQ33+JO34-JP34</f>
        <v/>
      </c>
      <c r="JR34" s="12">
        <f>IF(ProviderDelay&gt;=1,IY33*BlendedProvPayEss+IZ33*BlendedProvPayPrem+JA33*BlendedProvPayElite+JB33*BlendedProvPayEss+JC33*BlendedProvPayPrem+JD33*BlendedProvPayElite,IY34*BlendedProvPayEss+IZ34*BlendedProvPayPrem+JA34*BlendedProvPayElite+JB34*BlendedProvPayEss+JC34*BlendedProvPayPrem+JD34*BlendedProvPayElite)</f>
        <v/>
      </c>
      <c r="JS34" s="12">
        <f>JK34*PaymentFee</f>
        <v/>
      </c>
      <c r="JT34" s="12">
        <f>JE34*OpsAI</f>
        <v/>
      </c>
      <c r="JU34" s="12">
        <f>MonthlyFixed</f>
        <v/>
      </c>
      <c r="JV34" s="12">
        <f>IO34*ReferralReward</f>
        <v/>
      </c>
      <c r="JW34" s="12">
        <f>IM34</f>
        <v/>
      </c>
      <c r="JX34" s="9">
        <f>JN34-JR34-JS34-JT34-JU34-JV34-JW34</f>
        <v/>
      </c>
      <c r="JY34" s="9">
        <f>JY33+JK34-(JR34+JS34+JT34+JU34+JV34+JW34+JP34)</f>
        <v/>
      </c>
      <c r="JZ34" s="12">
        <f>IF(JE34&gt;0,JF34/JE34,0)</f>
        <v/>
      </c>
      <c r="KA34" s="11">
        <f>IF(JE33&gt;0,MAX(0,(JE33+IP34-JE34)/JE33),0)</f>
        <v/>
      </c>
      <c r="KC34" s="12" t="n">
        <v>30</v>
      </c>
      <c r="KD34" s="12">
        <f>MOD(KC34-1+LaunchMonth-1,12)+1</f>
        <v/>
      </c>
      <c r="KE34" s="12">
        <f>INT((KC34-1+LaunchMonth-1)/12)+1</f>
        <v/>
      </c>
      <c r="KF34" s="12">
        <f>VLOOKUP(KD34,SeasonTable,2,FALSE)</f>
        <v/>
      </c>
      <c r="KG34" s="12">
        <f>(1+InflationRate)^INT((KC34-1)/12)</f>
        <v/>
      </c>
      <c r="KH34" s="11">
        <f>'Sens - Churn'!$A$16*VLOOKUP(KD34,ChurnSeasonTable,4,FALSE)</f>
        <v/>
      </c>
      <c r="KI34" s="12">
        <f>MIN(MAX(MktMin19plus,LG33*MktPct19plus),MAX(0,LU33-CashBuffer))</f>
        <v/>
      </c>
      <c r="KJ34" s="12">
        <f>IF(KI34&gt;0,MAX(1,ROUND(KI34/CAC*KF34,0)),0)</f>
        <v/>
      </c>
      <c r="KK34" s="12">
        <f>IF(KJ34&gt;0,ROUND(KJ34*ReferralMix/(1-ReferralMix),0),0)</f>
        <v/>
      </c>
      <c r="KL34" s="12">
        <f>KJ34+KK34</f>
        <v/>
      </c>
      <c r="KM34" s="12">
        <f>ROUND(KL34*(1-AnnualMix),0)</f>
        <v/>
      </c>
      <c r="KN34" s="12">
        <f>KL34-KM34</f>
        <v/>
      </c>
      <c r="KO34" s="12">
        <f>ROUND(KM34*EssentialMix,0)</f>
        <v/>
      </c>
      <c r="KP34" s="12">
        <f>ROUND(KM34*PremiumMix,0)</f>
        <v/>
      </c>
      <c r="KQ34" s="12">
        <f>KM34-KO34-KP34</f>
        <v/>
      </c>
      <c r="KR34" s="12">
        <f>ROUND(KN34*EssentialMix,0)</f>
        <v/>
      </c>
      <c r="KS34" s="12">
        <f>ROUND(KN34*PremiumMix,0)</f>
        <v/>
      </c>
      <c r="KT34" s="12">
        <f>KN34-KR34-KS34</f>
        <v/>
      </c>
      <c r="KU34" s="12">
        <f>KO34+KO33+KO32+MAX(0,KU33-KO33-KO32)*(1-KH34)</f>
        <v/>
      </c>
      <c r="KV34" s="12">
        <f>KP34+KP33+KP32+MAX(0,KV33-KP33-KP32)*(1-KH34)</f>
        <v/>
      </c>
      <c r="KW34" s="12">
        <f>KQ34+KQ33+KQ32+MAX(0,KW33-KQ33-KQ32)*(1-KH34)</f>
        <v/>
      </c>
      <c r="KX34" s="12">
        <f>KX33+KR34-KR22*(AnnualChurn*VLOOKUP(KD34,ChurnSeasonTable,4,FALSE))*POWER(1-(AnnualChurn*VLOOKUP(KD34,ChurnSeasonTable,4,FALSE)),0)+KR10*(AnnualChurn*VLOOKUP(KD34,ChurnSeasonTable,4,FALSE))*POWER(1-(AnnualChurn*VLOOKUP(KD34,ChurnSeasonTable,4,FALSE)),1)</f>
        <v/>
      </c>
      <c r="KY34" s="12">
        <f>KY33+KS34-KS22*(AnnualChurn*VLOOKUP(KD34,ChurnSeasonTable,4,FALSE))*POWER(1-(AnnualChurn*VLOOKUP(KD34,ChurnSeasonTable,4,FALSE)),0)+KS10*(AnnualChurn*VLOOKUP(KD34,ChurnSeasonTable,4,FALSE))*POWER(1-(AnnualChurn*VLOOKUP(KD34,ChurnSeasonTable,4,FALSE)),1)</f>
        <v/>
      </c>
      <c r="KZ34" s="12">
        <f>KZ33+KT34-KT22*(AnnualChurn*VLOOKUP(KD34,ChurnSeasonTable,4,FALSE))*POWER(1-(AnnualChurn*VLOOKUP(KD34,ChurnSeasonTable,4,FALSE)),0)+KT10*(AnnualChurn*VLOOKUP(KD34,ChurnSeasonTable,4,FALSE))*POWER(1-(AnnualChurn*VLOOKUP(KD34,ChurnSeasonTable,4,FALSE)),1)</f>
        <v/>
      </c>
      <c r="LA34" s="12">
        <f>KU34+KV34+KW34+KX34+KY34+KZ34</f>
        <v/>
      </c>
      <c r="LB34" s="9">
        <f>KU34*BlendedPriceEssMonthly*KG34+KV34*BlendedPricePremMonthly*KG34+KW34*BlendedPriceEliteMonthly*KG34+KX34*BlendedPriceEssAnnual*KG34/12+KY34*BlendedPricePremAnnual*KG34/12+KZ34*BlendedPriceEliteAnnual*KG34/12</f>
        <v/>
      </c>
      <c r="LC34" s="9">
        <f>LB34*12</f>
        <v/>
      </c>
      <c r="LD34" s="12">
        <f>KU34*BlendedPriceEssMonthly*KG34+KV34*BlendedPricePremMonthly*KG34+KW34*BlendedPriceEliteMonthly*KG34</f>
        <v/>
      </c>
      <c r="LE34" s="12">
        <f>KR34*BlendedPriceEssAnnual*KG34+KS34*BlendedPricePremAnnual*KG34+KT34*BlendedPriceEliteAnnual*KG34</f>
        <v/>
      </c>
      <c r="LF34" s="12">
        <f>KR22*POWER(1-(AnnualChurn*VLOOKUP(KD34,ChurnSeasonTable,4,FALSE)),1)*BlendedPriceEssAnnual*KG34+KR10*POWER(1-(AnnualChurn*VLOOKUP(KD34,ChurnSeasonTable,4,FALSE)),2)*BlendedPriceEssAnnual*KG34+KS22*POWER(1-(AnnualChurn*VLOOKUP(KD34,ChurnSeasonTable,4,FALSE)),1)*BlendedPricePremAnnual*KG34+KS10*POWER(1-(AnnualChurn*VLOOKUP(KD34,ChurnSeasonTable,4,FALSE)),2)*BlendedPricePremAnnual*KG34+KT22*POWER(1-(AnnualChurn*VLOOKUP(KD34,ChurnSeasonTable,4,FALSE)),1)*BlendedPriceEliteAnnual*KG34+KT10*POWER(1-(AnnualChurn*VLOOKUP(KD34,ChurnSeasonTable,4,FALSE)),2)*BlendedPriceEliteAnnual*KG34</f>
        <v/>
      </c>
      <c r="LG34" s="9">
        <f>LD34+LE34+LF34</f>
        <v/>
      </c>
      <c r="LH34" s="12">
        <f>SUM(LG23:LG34)</f>
        <v/>
      </c>
      <c r="LI34" s="12">
        <f>OR(LI33,IF(VATAgentMode,SUM($LG23:$LG34)-SUM($LN23:$LN34)&gt;=VATThreshold,SUM($LG23:$LG34)&gt;=VATThreshold))</f>
        <v/>
      </c>
      <c r="LJ34" s="9">
        <f>IF(LI34,IF(VATAgentMode,LG34-((LG34-LN34)-(LG34-LN34)/(1+VATRate)),LG34/(1+VATRate)),LG34)</f>
        <v/>
      </c>
      <c r="LK34" s="12">
        <f>LG34-LJ34</f>
        <v/>
      </c>
      <c r="LL34" s="12">
        <f>IF(LI34=0,0,IF(KD34=1,SUMPRODUCT(--(($KE$5:$KE34=$KE34-1)*($KD$5:$KD34&gt;=10)*($KD$5:$KD34&lt;=12)),$LK$5:$LK34),IF(KD34=4,SUMPRODUCT(--(($KE$5:$KE34=$KE34)*($KD$5:$KD34&gt;=1)*($KD$5:$KD34&lt;=3)),$LK$5:$LK34),IF(KD34=7,SUMPRODUCT(--(($KE$5:$KE34=$KE34)*($KD$5:$KD34&gt;=4)*($KD$5:$KD34&lt;=6)),$LK$5:$LK34),IF(KD34=10,SUMPRODUCT(--(($KE$5:$KE34=$KE34)*($KD$5:$KD34&gt;=7)*($KD$5:$KD34&lt;=9)),$LK$5:$LK34),0)))))</f>
        <v/>
      </c>
      <c r="LM34" s="12">
        <f>LM33+LK34-LL34</f>
        <v/>
      </c>
      <c r="LN34" s="12">
        <f>IF(ProviderDelay&gt;=1,KU33*BlendedProvPayEss+KV33*BlendedProvPayPrem+KW33*BlendedProvPayElite+KX33*BlendedProvPayEss+KY33*BlendedProvPayPrem+KZ33*BlendedProvPayElite,KU34*BlendedProvPayEss+KV34*BlendedProvPayPrem+KW34*BlendedProvPayElite+KX34*BlendedProvPayEss+KY34*BlendedProvPayPrem+KZ34*BlendedProvPayElite)</f>
        <v/>
      </c>
      <c r="LO34" s="12">
        <f>LG34*PaymentFee</f>
        <v/>
      </c>
      <c r="LP34" s="12">
        <f>LA34*OpsAI</f>
        <v/>
      </c>
      <c r="LQ34" s="12">
        <f>MonthlyFixed</f>
        <v/>
      </c>
      <c r="LR34" s="12">
        <f>KK34*ReferralReward</f>
        <v/>
      </c>
      <c r="LS34" s="12">
        <f>KI34</f>
        <v/>
      </c>
      <c r="LT34" s="9">
        <f>LJ34-LN34-LO34-LP34-LQ34-LR34-LS34</f>
        <v/>
      </c>
      <c r="LU34" s="9">
        <f>LU33+LG34-(LN34+LO34+LP34+LQ34+LR34+LS34+LL34)</f>
        <v/>
      </c>
      <c r="LV34" s="12">
        <f>IF(LA34&gt;0,LB34/LA34,0)</f>
        <v/>
      </c>
      <c r="LW34" s="11">
        <f>IF(LA33&gt;0,MAX(0,(LA33+KL34-LA34)/LA33),0)</f>
        <v/>
      </c>
      <c r="LY34" s="12" t="n">
        <v>30</v>
      </c>
      <c r="LZ34" s="12">
        <f>MOD(LY34-1+LaunchMonth-1,12)+1</f>
        <v/>
      </c>
      <c r="MA34" s="12">
        <f>INT((LY34-1+LaunchMonth-1)/12)+1</f>
        <v/>
      </c>
      <c r="MB34" s="12">
        <f>VLOOKUP(LZ34,SeasonTable,2,FALSE)</f>
        <v/>
      </c>
      <c r="MC34" s="12">
        <f>(1+InflationRate)^INT((LY34-1)/12)</f>
        <v/>
      </c>
      <c r="MD34" s="11">
        <f>'Sens - Churn'!$A$17*VLOOKUP(LZ34,ChurnSeasonTable,4,FALSE)</f>
        <v/>
      </c>
      <c r="ME34" s="12">
        <f>MIN(MAX(MktMin19plus,NC33*MktPct19plus),MAX(0,NQ33-CashBuffer))</f>
        <v/>
      </c>
      <c r="MF34" s="12">
        <f>IF(ME34&gt;0,MAX(1,ROUND(ME34/CAC*MB34,0)),0)</f>
        <v/>
      </c>
      <c r="MG34" s="12">
        <f>IF(MF34&gt;0,ROUND(MF34*ReferralMix/(1-ReferralMix),0),0)</f>
        <v/>
      </c>
      <c r="MH34" s="12">
        <f>MF34+MG34</f>
        <v/>
      </c>
      <c r="MI34" s="12">
        <f>ROUND(MH34*(1-AnnualMix),0)</f>
        <v/>
      </c>
      <c r="MJ34" s="12">
        <f>MH34-MI34</f>
        <v/>
      </c>
      <c r="MK34" s="12">
        <f>ROUND(MI34*EssentialMix,0)</f>
        <v/>
      </c>
      <c r="ML34" s="12">
        <f>ROUND(MI34*PremiumMix,0)</f>
        <v/>
      </c>
      <c r="MM34" s="12">
        <f>MI34-MK34-ML34</f>
        <v/>
      </c>
      <c r="MN34" s="12">
        <f>ROUND(MJ34*EssentialMix,0)</f>
        <v/>
      </c>
      <c r="MO34" s="12">
        <f>ROUND(MJ34*PremiumMix,0)</f>
        <v/>
      </c>
      <c r="MP34" s="12">
        <f>MJ34-MN34-MO34</f>
        <v/>
      </c>
      <c r="MQ34" s="12">
        <f>MK34+MK33+MK32+MAX(0,MQ33-MK33-MK32)*(1-MD34)</f>
        <v/>
      </c>
      <c r="MR34" s="12">
        <f>ML34+ML33+ML32+MAX(0,MR33-ML33-ML32)*(1-MD34)</f>
        <v/>
      </c>
      <c r="MS34" s="12">
        <f>MM34+MM33+MM32+MAX(0,MS33-MM33-MM32)*(1-MD34)</f>
        <v/>
      </c>
      <c r="MT34" s="12">
        <f>MT33+MN34-MN22*(AnnualChurn*VLOOKUP(LZ34,ChurnSeasonTable,4,FALSE))*POWER(1-(AnnualChurn*VLOOKUP(LZ34,ChurnSeasonTable,4,FALSE)),0)+MN10*(AnnualChurn*VLOOKUP(LZ34,ChurnSeasonTable,4,FALSE))*POWER(1-(AnnualChurn*VLOOKUP(LZ34,ChurnSeasonTable,4,FALSE)),1)</f>
        <v/>
      </c>
      <c r="MU34" s="12">
        <f>MU33+MO34-MO22*(AnnualChurn*VLOOKUP(LZ34,ChurnSeasonTable,4,FALSE))*POWER(1-(AnnualChurn*VLOOKUP(LZ34,ChurnSeasonTable,4,FALSE)),0)+MO10*(AnnualChurn*VLOOKUP(LZ34,ChurnSeasonTable,4,FALSE))*POWER(1-(AnnualChurn*VLOOKUP(LZ34,ChurnSeasonTable,4,FALSE)),1)</f>
        <v/>
      </c>
      <c r="MV34" s="12">
        <f>MV33+MP34-MP22*(AnnualChurn*VLOOKUP(LZ34,ChurnSeasonTable,4,FALSE))*POWER(1-(AnnualChurn*VLOOKUP(LZ34,ChurnSeasonTable,4,FALSE)),0)+MP10*(AnnualChurn*VLOOKUP(LZ34,ChurnSeasonTable,4,FALSE))*POWER(1-(AnnualChurn*VLOOKUP(LZ34,ChurnSeasonTable,4,FALSE)),1)</f>
        <v/>
      </c>
      <c r="MW34" s="12">
        <f>MQ34+MR34+MS34+MT34+MU34+MV34</f>
        <v/>
      </c>
      <c r="MX34" s="9">
        <f>MQ34*BlendedPriceEssMonthly*MC34+MR34*BlendedPricePremMonthly*MC34+MS34*BlendedPriceEliteMonthly*MC34+MT34*BlendedPriceEssAnnual*MC34/12+MU34*BlendedPricePremAnnual*MC34/12+MV34*BlendedPriceEliteAnnual*MC34/12</f>
        <v/>
      </c>
      <c r="MY34" s="9">
        <f>MX34*12</f>
        <v/>
      </c>
      <c r="MZ34" s="12">
        <f>MQ34*BlendedPriceEssMonthly*MC34+MR34*BlendedPricePremMonthly*MC34+MS34*BlendedPriceEliteMonthly*MC34</f>
        <v/>
      </c>
      <c r="NA34" s="12">
        <f>MN34*BlendedPriceEssAnnual*MC34+MO34*BlendedPricePremAnnual*MC34+MP34*BlendedPriceEliteAnnual*MC34</f>
        <v/>
      </c>
      <c r="NB34" s="12">
        <f>MN22*POWER(1-(AnnualChurn*VLOOKUP(LZ34,ChurnSeasonTable,4,FALSE)),1)*BlendedPriceEssAnnual*MC34+MN10*POWER(1-(AnnualChurn*VLOOKUP(LZ34,ChurnSeasonTable,4,FALSE)),2)*BlendedPriceEssAnnual*MC34+MO22*POWER(1-(AnnualChurn*VLOOKUP(LZ34,ChurnSeasonTable,4,FALSE)),1)*BlendedPricePremAnnual*MC34+MO10*POWER(1-(AnnualChurn*VLOOKUP(LZ34,ChurnSeasonTable,4,FALSE)),2)*BlendedPricePremAnnual*MC34+MP22*POWER(1-(AnnualChurn*VLOOKUP(LZ34,ChurnSeasonTable,4,FALSE)),1)*BlendedPriceEliteAnnual*MC34+MP10*POWER(1-(AnnualChurn*VLOOKUP(LZ34,ChurnSeasonTable,4,FALSE)),2)*BlendedPriceEliteAnnual*MC34</f>
        <v/>
      </c>
      <c r="NC34" s="9">
        <f>MZ34+NA34+NB34</f>
        <v/>
      </c>
      <c r="ND34" s="12">
        <f>SUM(NC23:NC34)</f>
        <v/>
      </c>
      <c r="NE34" s="12">
        <f>OR(NE33,IF(VATAgentMode,SUM($NC23:$NC34)-SUM($NJ23:$NJ34)&gt;=VATThreshold,SUM($NC23:$NC34)&gt;=VATThreshold))</f>
        <v/>
      </c>
      <c r="NF34" s="9">
        <f>IF(NE34,IF(VATAgentMode,NC34-((NC34-NJ34)-(NC34-NJ34)/(1+VATRate)),NC34/(1+VATRate)),NC34)</f>
        <v/>
      </c>
      <c r="NG34" s="12">
        <f>NC34-NF34</f>
        <v/>
      </c>
      <c r="NH34" s="12">
        <f>IF(NE34=0,0,IF(LZ34=1,SUMPRODUCT(--(($MA$5:$MA34=$MA34-1)*($LZ$5:$LZ34&gt;=10)*($LZ$5:$LZ34&lt;=12)),$NG$5:$NG34),IF(LZ34=4,SUMPRODUCT(--(($MA$5:$MA34=$MA34)*($LZ$5:$LZ34&gt;=1)*($LZ$5:$LZ34&lt;=3)),$NG$5:$NG34),IF(LZ34=7,SUMPRODUCT(--(($MA$5:$MA34=$MA34)*($LZ$5:$LZ34&gt;=4)*($LZ$5:$LZ34&lt;=6)),$NG$5:$NG34),IF(LZ34=10,SUMPRODUCT(--(($MA$5:$MA34=$MA34)*($LZ$5:$LZ34&gt;=7)*($LZ$5:$LZ34&lt;=9)),$NG$5:$NG34),0)))))</f>
        <v/>
      </c>
      <c r="NI34" s="12">
        <f>NI33+NG34-NH34</f>
        <v/>
      </c>
      <c r="NJ34" s="12">
        <f>IF(ProviderDelay&gt;=1,MQ33*BlendedProvPayEss+MR33*BlendedProvPayPrem+MS33*BlendedProvPayElite+MT33*BlendedProvPayEss+MU33*BlendedProvPayPrem+MV33*BlendedProvPayElite,MQ34*BlendedProvPayEss+MR34*BlendedProvPayPrem+MS34*BlendedProvPayElite+MT34*BlendedProvPayEss+MU34*BlendedProvPayPrem+MV34*BlendedProvPayElite)</f>
        <v/>
      </c>
      <c r="NK34" s="12">
        <f>NC34*PaymentFee</f>
        <v/>
      </c>
      <c r="NL34" s="12">
        <f>MW34*OpsAI</f>
        <v/>
      </c>
      <c r="NM34" s="12">
        <f>MonthlyFixed</f>
        <v/>
      </c>
      <c r="NN34" s="12">
        <f>MG34*ReferralReward</f>
        <v/>
      </c>
      <c r="NO34" s="12">
        <f>ME34</f>
        <v/>
      </c>
      <c r="NP34" s="9">
        <f>NF34-NJ34-NK34-NL34-NM34-NN34-NO34</f>
        <v/>
      </c>
      <c r="NQ34" s="9">
        <f>NQ33+NC34-(NJ34+NK34+NL34+NM34+NN34+NO34+NH34)</f>
        <v/>
      </c>
      <c r="NR34" s="12">
        <f>IF(MW34&gt;0,MX34/MW34,0)</f>
        <v/>
      </c>
      <c r="NS34" s="11">
        <f>IF(MW33&gt;0,MAX(0,(MW33+MH34-MW34)/MW33),0)</f>
        <v/>
      </c>
      <c r="NU34" s="12" t="n">
        <v>30</v>
      </c>
      <c r="NV34" s="12">
        <f>MOD(NU34-1+LaunchMonth-1,12)+1</f>
        <v/>
      </c>
      <c r="NW34" s="12">
        <f>INT((NU34-1+LaunchMonth-1)/12)+1</f>
        <v/>
      </c>
      <c r="NX34" s="12">
        <f>VLOOKUP(NV34,SeasonTable,2,FALSE)</f>
        <v/>
      </c>
      <c r="NY34" s="12">
        <f>(1+InflationRate)^INT((NU34-1)/12)</f>
        <v/>
      </c>
      <c r="NZ34" s="11">
        <f>'Sens - Churn'!$A$18*VLOOKUP(NV34,ChurnSeasonTable,4,FALSE)</f>
        <v/>
      </c>
      <c r="OA34" s="12">
        <f>MIN(MAX(MktMin19plus,OY33*MktPct19plus),MAX(0,PM33-CashBuffer))</f>
        <v/>
      </c>
      <c r="OB34" s="12">
        <f>IF(OA34&gt;0,MAX(1,ROUND(OA34/CAC*NX34,0)),0)</f>
        <v/>
      </c>
      <c r="OC34" s="12">
        <f>IF(OB34&gt;0,ROUND(OB34*ReferralMix/(1-ReferralMix),0),0)</f>
        <v/>
      </c>
      <c r="OD34" s="12">
        <f>OB34+OC34</f>
        <v/>
      </c>
      <c r="OE34" s="12">
        <f>ROUND(OD34*(1-AnnualMix),0)</f>
        <v/>
      </c>
      <c r="OF34" s="12">
        <f>OD34-OE34</f>
        <v/>
      </c>
      <c r="OG34" s="12">
        <f>ROUND(OE34*EssentialMix,0)</f>
        <v/>
      </c>
      <c r="OH34" s="12">
        <f>ROUND(OE34*PremiumMix,0)</f>
        <v/>
      </c>
      <c r="OI34" s="12">
        <f>OE34-OG34-OH34</f>
        <v/>
      </c>
      <c r="OJ34" s="12">
        <f>ROUND(OF34*EssentialMix,0)</f>
        <v/>
      </c>
      <c r="OK34" s="12">
        <f>ROUND(OF34*PremiumMix,0)</f>
        <v/>
      </c>
      <c r="OL34" s="12">
        <f>OF34-OJ34-OK34</f>
        <v/>
      </c>
      <c r="OM34" s="12">
        <f>OG34+OG33+OG32+MAX(0,OM33-OG33-OG32)*(1-NZ34)</f>
        <v/>
      </c>
      <c r="ON34" s="12">
        <f>OH34+OH33+OH32+MAX(0,ON33-OH33-OH32)*(1-NZ34)</f>
        <v/>
      </c>
      <c r="OO34" s="12">
        <f>OI34+OI33+OI32+MAX(0,OO33-OI33-OI32)*(1-NZ34)</f>
        <v/>
      </c>
      <c r="OP34" s="12">
        <f>OP33+OJ34-OJ22*(AnnualChurn*VLOOKUP(NV34,ChurnSeasonTable,4,FALSE))*POWER(1-(AnnualChurn*VLOOKUP(NV34,ChurnSeasonTable,4,FALSE)),0)+OJ10*(AnnualChurn*VLOOKUP(NV34,ChurnSeasonTable,4,FALSE))*POWER(1-(AnnualChurn*VLOOKUP(NV34,ChurnSeasonTable,4,FALSE)),1)</f>
        <v/>
      </c>
      <c r="OQ34" s="12">
        <f>OQ33+OK34-OK22*(AnnualChurn*VLOOKUP(NV34,ChurnSeasonTable,4,FALSE))*POWER(1-(AnnualChurn*VLOOKUP(NV34,ChurnSeasonTable,4,FALSE)),0)+OK10*(AnnualChurn*VLOOKUP(NV34,ChurnSeasonTable,4,FALSE))*POWER(1-(AnnualChurn*VLOOKUP(NV34,ChurnSeasonTable,4,FALSE)),1)</f>
        <v/>
      </c>
      <c r="OR34" s="12">
        <f>OR33+OL34-OL22*(AnnualChurn*VLOOKUP(NV34,ChurnSeasonTable,4,FALSE))*POWER(1-(AnnualChurn*VLOOKUP(NV34,ChurnSeasonTable,4,FALSE)),0)+OL10*(AnnualChurn*VLOOKUP(NV34,ChurnSeasonTable,4,FALSE))*POWER(1-(AnnualChurn*VLOOKUP(NV34,ChurnSeasonTable,4,FALSE)),1)</f>
        <v/>
      </c>
      <c r="OS34" s="12">
        <f>OM34+ON34+OO34+OP34+OQ34+OR34</f>
        <v/>
      </c>
      <c r="OT34" s="9">
        <f>OM34*BlendedPriceEssMonthly*NY34+ON34*BlendedPricePremMonthly*NY34+OO34*BlendedPriceEliteMonthly*NY34+OP34*BlendedPriceEssAnnual*NY34/12+OQ34*BlendedPricePremAnnual*NY34/12+OR34*BlendedPriceEliteAnnual*NY34/12</f>
        <v/>
      </c>
      <c r="OU34" s="9">
        <f>OT34*12</f>
        <v/>
      </c>
      <c r="OV34" s="12">
        <f>OM34*BlendedPriceEssMonthly*NY34+ON34*BlendedPricePremMonthly*NY34+OO34*BlendedPriceEliteMonthly*NY34</f>
        <v/>
      </c>
      <c r="OW34" s="12">
        <f>OJ34*BlendedPriceEssAnnual*NY34+OK34*BlendedPricePremAnnual*NY34+OL34*BlendedPriceEliteAnnual*NY34</f>
        <v/>
      </c>
      <c r="OX34" s="12">
        <f>OJ22*POWER(1-(AnnualChurn*VLOOKUP(NV34,ChurnSeasonTable,4,FALSE)),1)*BlendedPriceEssAnnual*NY34+OJ10*POWER(1-(AnnualChurn*VLOOKUP(NV34,ChurnSeasonTable,4,FALSE)),2)*BlendedPriceEssAnnual*NY34+OK22*POWER(1-(AnnualChurn*VLOOKUP(NV34,ChurnSeasonTable,4,FALSE)),1)*BlendedPricePremAnnual*NY34+OK10*POWER(1-(AnnualChurn*VLOOKUP(NV34,ChurnSeasonTable,4,FALSE)),2)*BlendedPricePremAnnual*NY34+OL22*POWER(1-(AnnualChurn*VLOOKUP(NV34,ChurnSeasonTable,4,FALSE)),1)*BlendedPriceEliteAnnual*NY34+OL10*POWER(1-(AnnualChurn*VLOOKUP(NV34,ChurnSeasonTable,4,FALSE)),2)*BlendedPriceEliteAnnual*NY34</f>
        <v/>
      </c>
      <c r="OY34" s="9">
        <f>OV34+OW34+OX34</f>
        <v/>
      </c>
      <c r="OZ34" s="12">
        <f>SUM(OY23:OY34)</f>
        <v/>
      </c>
      <c r="PA34" s="12">
        <f>OR(PA33,IF(VATAgentMode,SUM($OY23:$OY34)-SUM($PF23:$PF34)&gt;=VATThreshold,SUM($OY23:$OY34)&gt;=VATThreshold))</f>
        <v/>
      </c>
      <c r="PB34" s="9">
        <f>IF(PA34,IF(VATAgentMode,OY34-((OY34-PF34)-(OY34-PF34)/(1+VATRate)),OY34/(1+VATRate)),OY34)</f>
        <v/>
      </c>
      <c r="PC34" s="12">
        <f>OY34-PB34</f>
        <v/>
      </c>
      <c r="PD34" s="12">
        <f>IF(PA34=0,0,IF(NV34=1,SUMPRODUCT(--(($NW$5:$NW34=$NW34-1)*($NV$5:$NV34&gt;=10)*($NV$5:$NV34&lt;=12)),$PC$5:$PC34),IF(NV34=4,SUMPRODUCT(--(($NW$5:$NW34=$NW34)*($NV$5:$NV34&gt;=1)*($NV$5:$NV34&lt;=3)),$PC$5:$PC34),IF(NV34=7,SUMPRODUCT(--(($NW$5:$NW34=$NW34)*($NV$5:$NV34&gt;=4)*($NV$5:$NV34&lt;=6)),$PC$5:$PC34),IF(NV34=10,SUMPRODUCT(--(($NW$5:$NW34=$NW34)*($NV$5:$NV34&gt;=7)*($NV$5:$NV34&lt;=9)),$PC$5:$PC34),0)))))</f>
        <v/>
      </c>
      <c r="PE34" s="12">
        <f>PE33+PC34-PD34</f>
        <v/>
      </c>
      <c r="PF34" s="12">
        <f>IF(ProviderDelay&gt;=1,OM33*BlendedProvPayEss+ON33*BlendedProvPayPrem+OO33*BlendedProvPayElite+OP33*BlendedProvPayEss+OQ33*BlendedProvPayPrem+OR33*BlendedProvPayElite,OM34*BlendedProvPayEss+ON34*BlendedProvPayPrem+OO34*BlendedProvPayElite+OP34*BlendedProvPayEss+OQ34*BlendedProvPayPrem+OR34*BlendedProvPayElite)</f>
        <v/>
      </c>
      <c r="PG34" s="12">
        <f>OY34*PaymentFee</f>
        <v/>
      </c>
      <c r="PH34" s="12">
        <f>OS34*OpsAI</f>
        <v/>
      </c>
      <c r="PI34" s="12">
        <f>MonthlyFixed</f>
        <v/>
      </c>
      <c r="PJ34" s="12">
        <f>OC34*ReferralReward</f>
        <v/>
      </c>
      <c r="PK34" s="12">
        <f>OA34</f>
        <v/>
      </c>
      <c r="PL34" s="9">
        <f>PB34-PF34-PG34-PH34-PI34-PJ34-PK34</f>
        <v/>
      </c>
      <c r="PM34" s="9">
        <f>PM33+OY34-(PF34+PG34+PH34+PI34+PJ34+PK34+PD34)</f>
        <v/>
      </c>
      <c r="PN34" s="12">
        <f>IF(OS34&gt;0,OT34/OS34,0)</f>
        <v/>
      </c>
      <c r="PO34" s="11">
        <f>IF(OS33&gt;0,MAX(0,(OS33+OD34-OS34)/OS33),0)</f>
        <v/>
      </c>
      <c r="PQ34" s="12" t="n">
        <v>30</v>
      </c>
      <c r="PR34" s="12">
        <f>MOD(PQ34-1+LaunchMonth-1,12)+1</f>
        <v/>
      </c>
      <c r="PS34" s="12">
        <f>INT((PQ34-1+LaunchMonth-1)/12)+1</f>
        <v/>
      </c>
      <c r="PT34" s="12">
        <f>VLOOKUP(PR34,SeasonTable,2,FALSE)</f>
        <v/>
      </c>
      <c r="PU34" s="12">
        <f>(1+InflationRate)^INT((PQ34-1)/12)</f>
        <v/>
      </c>
      <c r="PV34" s="11">
        <f>'Sens - Churn'!$A$19*VLOOKUP(PR34,ChurnSeasonTable,4,FALSE)</f>
        <v/>
      </c>
      <c r="PW34" s="12">
        <f>MIN(MAX(MktMin19plus,QU33*MktPct19plus),MAX(0,RI33-CashBuffer))</f>
        <v/>
      </c>
      <c r="PX34" s="12">
        <f>IF(PW34&gt;0,MAX(1,ROUND(PW34/CAC*PT34,0)),0)</f>
        <v/>
      </c>
      <c r="PY34" s="12">
        <f>IF(PX34&gt;0,ROUND(PX34*ReferralMix/(1-ReferralMix),0),0)</f>
        <v/>
      </c>
      <c r="PZ34" s="12">
        <f>PX34+PY34</f>
        <v/>
      </c>
      <c r="QA34" s="12">
        <f>ROUND(PZ34*(1-AnnualMix),0)</f>
        <v/>
      </c>
      <c r="QB34" s="12">
        <f>PZ34-QA34</f>
        <v/>
      </c>
      <c r="QC34" s="12">
        <f>ROUND(QA34*EssentialMix,0)</f>
        <v/>
      </c>
      <c r="QD34" s="12">
        <f>ROUND(QA34*PremiumMix,0)</f>
        <v/>
      </c>
      <c r="QE34" s="12">
        <f>QA34-QC34-QD34</f>
        <v/>
      </c>
      <c r="QF34" s="12">
        <f>ROUND(QB34*EssentialMix,0)</f>
        <v/>
      </c>
      <c r="QG34" s="12">
        <f>ROUND(QB34*PremiumMix,0)</f>
        <v/>
      </c>
      <c r="QH34" s="12">
        <f>QB34-QF34-QG34</f>
        <v/>
      </c>
      <c r="QI34" s="12">
        <f>QC34+QC33+QC32+MAX(0,QI33-QC33-QC32)*(1-PV34)</f>
        <v/>
      </c>
      <c r="QJ34" s="12">
        <f>QD34+QD33+QD32+MAX(0,QJ33-QD33-QD32)*(1-PV34)</f>
        <v/>
      </c>
      <c r="QK34" s="12">
        <f>QE34+QE33+QE32+MAX(0,QK33-QE33-QE32)*(1-PV34)</f>
        <v/>
      </c>
      <c r="QL34" s="12">
        <f>QL33+QF34-QF22*(AnnualChurn*VLOOKUP(PR34,ChurnSeasonTable,4,FALSE))*POWER(1-(AnnualChurn*VLOOKUP(PR34,ChurnSeasonTable,4,FALSE)),0)+QF10*(AnnualChurn*VLOOKUP(PR34,ChurnSeasonTable,4,FALSE))*POWER(1-(AnnualChurn*VLOOKUP(PR34,ChurnSeasonTable,4,FALSE)),1)</f>
        <v/>
      </c>
      <c r="QM34" s="12">
        <f>QM33+QG34-QG22*(AnnualChurn*VLOOKUP(PR34,ChurnSeasonTable,4,FALSE))*POWER(1-(AnnualChurn*VLOOKUP(PR34,ChurnSeasonTable,4,FALSE)),0)+QG10*(AnnualChurn*VLOOKUP(PR34,ChurnSeasonTable,4,FALSE))*POWER(1-(AnnualChurn*VLOOKUP(PR34,ChurnSeasonTable,4,FALSE)),1)</f>
        <v/>
      </c>
      <c r="QN34" s="12">
        <f>QN33+QH34-QH22*(AnnualChurn*VLOOKUP(PR34,ChurnSeasonTable,4,FALSE))*POWER(1-(AnnualChurn*VLOOKUP(PR34,ChurnSeasonTable,4,FALSE)),0)+QH10*(AnnualChurn*VLOOKUP(PR34,ChurnSeasonTable,4,FALSE))*POWER(1-(AnnualChurn*VLOOKUP(PR34,ChurnSeasonTable,4,FALSE)),1)</f>
        <v/>
      </c>
      <c r="QO34" s="12">
        <f>QI34+QJ34+QK34+QL34+QM34+QN34</f>
        <v/>
      </c>
      <c r="QP34" s="9">
        <f>QI34*BlendedPriceEssMonthly*PU34+QJ34*BlendedPricePremMonthly*PU34+QK34*BlendedPriceEliteMonthly*PU34+QL34*BlendedPriceEssAnnual*PU34/12+QM34*BlendedPricePremAnnual*PU34/12+QN34*BlendedPriceEliteAnnual*PU34/12</f>
        <v/>
      </c>
      <c r="QQ34" s="9">
        <f>QP34*12</f>
        <v/>
      </c>
      <c r="QR34" s="12">
        <f>QI34*BlendedPriceEssMonthly*PU34+QJ34*BlendedPricePremMonthly*PU34+QK34*BlendedPriceEliteMonthly*PU34</f>
        <v/>
      </c>
      <c r="QS34" s="12">
        <f>QF34*BlendedPriceEssAnnual*PU34+QG34*BlendedPricePremAnnual*PU34+QH34*BlendedPriceEliteAnnual*PU34</f>
        <v/>
      </c>
      <c r="QT34" s="12">
        <f>QF22*POWER(1-(AnnualChurn*VLOOKUP(PR34,ChurnSeasonTable,4,FALSE)),1)*BlendedPriceEssAnnual*PU34+QF10*POWER(1-(AnnualChurn*VLOOKUP(PR34,ChurnSeasonTable,4,FALSE)),2)*BlendedPriceEssAnnual*PU34+QG22*POWER(1-(AnnualChurn*VLOOKUP(PR34,ChurnSeasonTable,4,FALSE)),1)*BlendedPricePremAnnual*PU34+QG10*POWER(1-(AnnualChurn*VLOOKUP(PR34,ChurnSeasonTable,4,FALSE)),2)*BlendedPricePremAnnual*PU34+QH22*POWER(1-(AnnualChurn*VLOOKUP(PR34,ChurnSeasonTable,4,FALSE)),1)*BlendedPriceEliteAnnual*PU34+QH10*POWER(1-(AnnualChurn*VLOOKUP(PR34,ChurnSeasonTable,4,FALSE)),2)*BlendedPriceEliteAnnual*PU34</f>
        <v/>
      </c>
      <c r="QU34" s="9">
        <f>QR34+QS34+QT34</f>
        <v/>
      </c>
      <c r="QV34" s="12">
        <f>SUM(QU23:QU34)</f>
        <v/>
      </c>
      <c r="QW34" s="12">
        <f>OR(QW33,IF(VATAgentMode,SUM($QU23:$QU34)-SUM($RB23:$RB34)&gt;=VATThreshold,SUM($QU23:$QU34)&gt;=VATThreshold))</f>
        <v/>
      </c>
      <c r="QX34" s="9">
        <f>IF(QW34,IF(VATAgentMode,QU34-((QU34-RB34)-(QU34-RB34)/(1+VATRate)),QU34/(1+VATRate)),QU34)</f>
        <v/>
      </c>
      <c r="QY34" s="12">
        <f>QU34-QX34</f>
        <v/>
      </c>
      <c r="QZ34" s="12">
        <f>IF(QW34=0,0,IF(PR34=1,SUMPRODUCT(--(($PS$5:$PS34=$PS34-1)*($PR$5:$PR34&gt;=10)*($PR$5:$PR34&lt;=12)),$QY$5:$QY34),IF(PR34=4,SUMPRODUCT(--(($PS$5:$PS34=$PS34)*($PR$5:$PR34&gt;=1)*($PR$5:$PR34&lt;=3)),$QY$5:$QY34),IF(PR34=7,SUMPRODUCT(--(($PS$5:$PS34=$PS34)*($PR$5:$PR34&gt;=4)*($PR$5:$PR34&lt;=6)),$QY$5:$QY34),IF(PR34=10,SUMPRODUCT(--(($PS$5:$PS34=$PS34)*($PR$5:$PR34&gt;=7)*($PR$5:$PR34&lt;=9)),$QY$5:$QY34),0)))))</f>
        <v/>
      </c>
      <c r="RA34" s="12">
        <f>RA33+QY34-QZ34</f>
        <v/>
      </c>
      <c r="RB34" s="12">
        <f>IF(ProviderDelay&gt;=1,QI33*BlendedProvPayEss+QJ33*BlendedProvPayPrem+QK33*BlendedProvPayElite+QL33*BlendedProvPayEss+QM33*BlendedProvPayPrem+QN33*BlendedProvPayElite,QI34*BlendedProvPayEss+QJ34*BlendedProvPayPrem+QK34*BlendedProvPayElite+QL34*BlendedProvPayEss+QM34*BlendedProvPayPrem+QN34*BlendedProvPayElite)</f>
        <v/>
      </c>
      <c r="RC34" s="12">
        <f>QU34*PaymentFee</f>
        <v/>
      </c>
      <c r="RD34" s="12">
        <f>QO34*OpsAI</f>
        <v/>
      </c>
      <c r="RE34" s="12">
        <f>MonthlyFixed</f>
        <v/>
      </c>
      <c r="RF34" s="12">
        <f>PY34*ReferralReward</f>
        <v/>
      </c>
      <c r="RG34" s="12">
        <f>PW34</f>
        <v/>
      </c>
      <c r="RH34" s="9">
        <f>QX34-RB34-RC34-RD34-RE34-RF34-RG34</f>
        <v/>
      </c>
      <c r="RI34" s="9">
        <f>RI33+QU34-(RB34+RC34+RD34+RE34+RF34+RG34+QZ34)</f>
        <v/>
      </c>
      <c r="RJ34" s="12">
        <f>IF(QO34&gt;0,QP34/QO34,0)</f>
        <v/>
      </c>
      <c r="RK34" s="11">
        <f>IF(QO33&gt;0,MAX(0,(QO33+PZ34-QO34)/QO33),0)</f>
        <v/>
      </c>
      <c r="RM34" s="12" t="n">
        <v>30</v>
      </c>
      <c r="RN34" s="12">
        <f>MOD(RM34-1+LaunchMonth-1,12)+1</f>
        <v/>
      </c>
      <c r="RO34" s="12">
        <f>INT((RM34-1+LaunchMonth-1)/12)+1</f>
        <v/>
      </c>
      <c r="RP34" s="12">
        <f>VLOOKUP(RN34,SeasonTable,2,FALSE)</f>
        <v/>
      </c>
      <c r="RQ34" s="12">
        <f>(1+InflationRate)^INT((RM34-1)/12)</f>
        <v/>
      </c>
      <c r="RR34" s="11">
        <f>'Sens - Churn'!$A$20*VLOOKUP(RN34,ChurnSeasonTable,4,FALSE)</f>
        <v/>
      </c>
      <c r="RS34" s="12">
        <f>MIN(MAX(MktMin19plus,SQ33*MktPct19plus),MAX(0,TE33-CashBuffer))</f>
        <v/>
      </c>
      <c r="RT34" s="12">
        <f>IF(RS34&gt;0,MAX(1,ROUND(RS34/CAC*RP34,0)),0)</f>
        <v/>
      </c>
      <c r="RU34" s="12">
        <f>IF(RT34&gt;0,ROUND(RT34*ReferralMix/(1-ReferralMix),0),0)</f>
        <v/>
      </c>
      <c r="RV34" s="12">
        <f>RT34+RU34</f>
        <v/>
      </c>
      <c r="RW34" s="12">
        <f>ROUND(RV34*(1-AnnualMix),0)</f>
        <v/>
      </c>
      <c r="RX34" s="12">
        <f>RV34-RW34</f>
        <v/>
      </c>
      <c r="RY34" s="12">
        <f>ROUND(RW34*EssentialMix,0)</f>
        <v/>
      </c>
      <c r="RZ34" s="12">
        <f>ROUND(RW34*PremiumMix,0)</f>
        <v/>
      </c>
      <c r="SA34" s="12">
        <f>RW34-RY34-RZ34</f>
        <v/>
      </c>
      <c r="SB34" s="12">
        <f>ROUND(RX34*EssentialMix,0)</f>
        <v/>
      </c>
      <c r="SC34" s="12">
        <f>ROUND(RX34*PremiumMix,0)</f>
        <v/>
      </c>
      <c r="SD34" s="12">
        <f>RX34-SB34-SC34</f>
        <v/>
      </c>
      <c r="SE34" s="12">
        <f>RY34+RY33+RY32+MAX(0,SE33-RY33-RY32)*(1-RR34)</f>
        <v/>
      </c>
      <c r="SF34" s="12">
        <f>RZ34+RZ33+RZ32+MAX(0,SF33-RZ33-RZ32)*(1-RR34)</f>
        <v/>
      </c>
      <c r="SG34" s="12">
        <f>SA34+SA33+SA32+MAX(0,SG33-SA33-SA32)*(1-RR34)</f>
        <v/>
      </c>
      <c r="SH34" s="12">
        <f>SH33+SB34-SB22*(AnnualChurn*VLOOKUP(RN34,ChurnSeasonTable,4,FALSE))*POWER(1-(AnnualChurn*VLOOKUP(RN34,ChurnSeasonTable,4,FALSE)),0)+SB10*(AnnualChurn*VLOOKUP(RN34,ChurnSeasonTable,4,FALSE))*POWER(1-(AnnualChurn*VLOOKUP(RN34,ChurnSeasonTable,4,FALSE)),1)</f>
        <v/>
      </c>
      <c r="SI34" s="12">
        <f>SI33+SC34-SC22*(AnnualChurn*VLOOKUP(RN34,ChurnSeasonTable,4,FALSE))*POWER(1-(AnnualChurn*VLOOKUP(RN34,ChurnSeasonTable,4,FALSE)),0)+SC10*(AnnualChurn*VLOOKUP(RN34,ChurnSeasonTable,4,FALSE))*POWER(1-(AnnualChurn*VLOOKUP(RN34,ChurnSeasonTable,4,FALSE)),1)</f>
        <v/>
      </c>
      <c r="SJ34" s="12">
        <f>SJ33+SD34-SD22*(AnnualChurn*VLOOKUP(RN34,ChurnSeasonTable,4,FALSE))*POWER(1-(AnnualChurn*VLOOKUP(RN34,ChurnSeasonTable,4,FALSE)),0)+SD10*(AnnualChurn*VLOOKUP(RN34,ChurnSeasonTable,4,FALSE))*POWER(1-(AnnualChurn*VLOOKUP(RN34,ChurnSeasonTable,4,FALSE)),1)</f>
        <v/>
      </c>
      <c r="SK34" s="12">
        <f>SE34+SF34+SG34+SH34+SI34+SJ34</f>
        <v/>
      </c>
      <c r="SL34" s="9">
        <f>SE34*BlendedPriceEssMonthly*RQ34+SF34*BlendedPricePremMonthly*RQ34+SG34*BlendedPriceEliteMonthly*RQ34+SH34*BlendedPriceEssAnnual*RQ34/12+SI34*BlendedPricePremAnnual*RQ34/12+SJ34*BlendedPriceEliteAnnual*RQ34/12</f>
        <v/>
      </c>
      <c r="SM34" s="9">
        <f>SL34*12</f>
        <v/>
      </c>
      <c r="SN34" s="12">
        <f>SE34*BlendedPriceEssMonthly*RQ34+SF34*BlendedPricePremMonthly*RQ34+SG34*BlendedPriceEliteMonthly*RQ34</f>
        <v/>
      </c>
      <c r="SO34" s="12">
        <f>SB34*BlendedPriceEssAnnual*RQ34+SC34*BlendedPricePremAnnual*RQ34+SD34*BlendedPriceEliteAnnual*RQ34</f>
        <v/>
      </c>
      <c r="SP34" s="12">
        <f>SB22*POWER(1-(AnnualChurn*VLOOKUP(RN34,ChurnSeasonTable,4,FALSE)),1)*BlendedPriceEssAnnual*RQ34+SB10*POWER(1-(AnnualChurn*VLOOKUP(RN34,ChurnSeasonTable,4,FALSE)),2)*BlendedPriceEssAnnual*RQ34+SC22*POWER(1-(AnnualChurn*VLOOKUP(RN34,ChurnSeasonTable,4,FALSE)),1)*BlendedPricePremAnnual*RQ34+SC10*POWER(1-(AnnualChurn*VLOOKUP(RN34,ChurnSeasonTable,4,FALSE)),2)*BlendedPricePremAnnual*RQ34+SD22*POWER(1-(AnnualChurn*VLOOKUP(RN34,ChurnSeasonTable,4,FALSE)),1)*BlendedPriceEliteAnnual*RQ34+SD10*POWER(1-(AnnualChurn*VLOOKUP(RN34,ChurnSeasonTable,4,FALSE)),2)*BlendedPriceEliteAnnual*RQ34</f>
        <v/>
      </c>
      <c r="SQ34" s="9">
        <f>SN34+SO34+SP34</f>
        <v/>
      </c>
      <c r="SR34" s="12">
        <f>SUM(SQ23:SQ34)</f>
        <v/>
      </c>
      <c r="SS34" s="12">
        <f>OR(SS33,IF(VATAgentMode,SUM($SQ23:$SQ34)-SUM($SX23:$SX34)&gt;=VATThreshold,SUM($SQ23:$SQ34)&gt;=VATThreshold))</f>
        <v/>
      </c>
      <c r="ST34" s="9">
        <f>IF(SS34,IF(VATAgentMode,SQ34-((SQ34-SX34)-(SQ34-SX34)/(1+VATRate)),SQ34/(1+VATRate)),SQ34)</f>
        <v/>
      </c>
      <c r="SU34" s="12">
        <f>SQ34-ST34</f>
        <v/>
      </c>
      <c r="SV34" s="12">
        <f>IF(SS34=0,0,IF(RN34=1,SUMPRODUCT(--(($RO$5:$RO34=$RO34-1)*($RN$5:$RN34&gt;=10)*($RN$5:$RN34&lt;=12)),$SU$5:$SU34),IF(RN34=4,SUMPRODUCT(--(($RO$5:$RO34=$RO34)*($RN$5:$RN34&gt;=1)*($RN$5:$RN34&lt;=3)),$SU$5:$SU34),IF(RN34=7,SUMPRODUCT(--(($RO$5:$RO34=$RO34)*($RN$5:$RN34&gt;=4)*($RN$5:$RN34&lt;=6)),$SU$5:$SU34),IF(RN34=10,SUMPRODUCT(--(($RO$5:$RO34=$RO34)*($RN$5:$RN34&gt;=7)*($RN$5:$RN34&lt;=9)),$SU$5:$SU34),0)))))</f>
        <v/>
      </c>
      <c r="SW34" s="12">
        <f>SW33+SU34-SV34</f>
        <v/>
      </c>
      <c r="SX34" s="12">
        <f>IF(ProviderDelay&gt;=1,SE33*BlendedProvPayEss+SF33*BlendedProvPayPrem+SG33*BlendedProvPayElite+SH33*BlendedProvPayEss+SI33*BlendedProvPayPrem+SJ33*BlendedProvPayElite,SE34*BlendedProvPayEss+SF34*BlendedProvPayPrem+SG34*BlendedProvPayElite+SH34*BlendedProvPayEss+SI34*BlendedProvPayPrem+SJ34*BlendedProvPayElite)</f>
        <v/>
      </c>
      <c r="SY34" s="12">
        <f>SQ34*PaymentFee</f>
        <v/>
      </c>
      <c r="SZ34" s="12">
        <f>SK34*OpsAI</f>
        <v/>
      </c>
      <c r="TA34" s="12">
        <f>MonthlyFixed</f>
        <v/>
      </c>
      <c r="TB34" s="12">
        <f>RU34*ReferralReward</f>
        <v/>
      </c>
      <c r="TC34" s="12">
        <f>RS34</f>
        <v/>
      </c>
      <c r="TD34" s="9">
        <f>ST34-SX34-SY34-SZ34-TA34-TB34-TC34</f>
        <v/>
      </c>
      <c r="TE34" s="9">
        <f>TE33+SQ34-(SX34+SY34+SZ34+TA34+TB34+TC34+SV34)</f>
        <v/>
      </c>
      <c r="TF34" s="12">
        <f>IF(SK34&gt;0,SL34/SK34,0)</f>
        <v/>
      </c>
      <c r="TG34" s="11">
        <f>IF(SK33&gt;0,MAX(0,(SK33+RV34-SK34)/SK33),0)</f>
        <v/>
      </c>
      <c r="TI34" s="12" t="n">
        <v>30</v>
      </c>
      <c r="TJ34" s="12">
        <f>MOD(TI34-1+LaunchMonth-1,12)+1</f>
        <v/>
      </c>
      <c r="TK34" s="12">
        <f>INT((TI34-1+LaunchMonth-1)/12)+1</f>
        <v/>
      </c>
      <c r="TL34" s="12">
        <f>VLOOKUP(TJ34,SeasonTable,2,FALSE)</f>
        <v/>
      </c>
      <c r="TM34" s="12">
        <f>(1+InflationRate)^INT((TI34-1)/12)</f>
        <v/>
      </c>
      <c r="TN34" s="11">
        <f>'Sens - Churn'!$A$21*VLOOKUP(TJ34,ChurnSeasonTable,4,FALSE)</f>
        <v/>
      </c>
      <c r="TO34" s="12">
        <f>MIN(MAX(MktMin19plus,UM33*MktPct19plus),MAX(0,VA33-CashBuffer))</f>
        <v/>
      </c>
      <c r="TP34" s="12">
        <f>IF(TO34&gt;0,MAX(1,ROUND(TO34/CAC*TL34,0)),0)</f>
        <v/>
      </c>
      <c r="TQ34" s="12">
        <f>IF(TP34&gt;0,ROUND(TP34*ReferralMix/(1-ReferralMix),0),0)</f>
        <v/>
      </c>
      <c r="TR34" s="12">
        <f>TP34+TQ34</f>
        <v/>
      </c>
      <c r="TS34" s="12">
        <f>ROUND(TR34*(1-AnnualMix),0)</f>
        <v/>
      </c>
      <c r="TT34" s="12">
        <f>TR34-TS34</f>
        <v/>
      </c>
      <c r="TU34" s="12">
        <f>ROUND(TS34*EssentialMix,0)</f>
        <v/>
      </c>
      <c r="TV34" s="12">
        <f>ROUND(TS34*PremiumMix,0)</f>
        <v/>
      </c>
      <c r="TW34" s="12">
        <f>TS34-TU34-TV34</f>
        <v/>
      </c>
      <c r="TX34" s="12">
        <f>ROUND(TT34*EssentialMix,0)</f>
        <v/>
      </c>
      <c r="TY34" s="12">
        <f>ROUND(TT34*PremiumMix,0)</f>
        <v/>
      </c>
      <c r="TZ34" s="12">
        <f>TT34-TX34-TY34</f>
        <v/>
      </c>
      <c r="UA34" s="12">
        <f>TU34+TU33+TU32+MAX(0,UA33-TU33-TU32)*(1-TN34)</f>
        <v/>
      </c>
      <c r="UB34" s="12">
        <f>TV34+TV33+TV32+MAX(0,UB33-TV33-TV32)*(1-TN34)</f>
        <v/>
      </c>
      <c r="UC34" s="12">
        <f>TW34+TW33+TW32+MAX(0,UC33-TW33-TW32)*(1-TN34)</f>
        <v/>
      </c>
      <c r="UD34" s="12">
        <f>UD33+TX34-TX22*(AnnualChurn*VLOOKUP(TJ34,ChurnSeasonTable,4,FALSE))*POWER(1-(AnnualChurn*VLOOKUP(TJ34,ChurnSeasonTable,4,FALSE)),0)+TX10*(AnnualChurn*VLOOKUP(TJ34,ChurnSeasonTable,4,FALSE))*POWER(1-(AnnualChurn*VLOOKUP(TJ34,ChurnSeasonTable,4,FALSE)),1)</f>
        <v/>
      </c>
      <c r="UE34" s="12">
        <f>UE33+TY34-TY22*(AnnualChurn*VLOOKUP(TJ34,ChurnSeasonTable,4,FALSE))*POWER(1-(AnnualChurn*VLOOKUP(TJ34,ChurnSeasonTable,4,FALSE)),0)+TY10*(AnnualChurn*VLOOKUP(TJ34,ChurnSeasonTable,4,FALSE))*POWER(1-(AnnualChurn*VLOOKUP(TJ34,ChurnSeasonTable,4,FALSE)),1)</f>
        <v/>
      </c>
      <c r="UF34" s="12">
        <f>UF33+TZ34-TZ22*(AnnualChurn*VLOOKUP(TJ34,ChurnSeasonTable,4,FALSE))*POWER(1-(AnnualChurn*VLOOKUP(TJ34,ChurnSeasonTable,4,FALSE)),0)+TZ10*(AnnualChurn*VLOOKUP(TJ34,ChurnSeasonTable,4,FALSE))*POWER(1-(AnnualChurn*VLOOKUP(TJ34,ChurnSeasonTable,4,FALSE)),1)</f>
        <v/>
      </c>
      <c r="UG34" s="12">
        <f>UA34+UB34+UC34+UD34+UE34+UF34</f>
        <v/>
      </c>
      <c r="UH34" s="9">
        <f>UA34*BlendedPriceEssMonthly*TM34+UB34*BlendedPricePremMonthly*TM34+UC34*BlendedPriceEliteMonthly*TM34+UD34*BlendedPriceEssAnnual*TM34/12+UE34*BlendedPricePremAnnual*TM34/12+UF34*BlendedPriceEliteAnnual*TM34/12</f>
        <v/>
      </c>
      <c r="UI34" s="9">
        <f>UH34*12</f>
        <v/>
      </c>
      <c r="UJ34" s="12">
        <f>UA34*BlendedPriceEssMonthly*TM34+UB34*BlendedPricePremMonthly*TM34+UC34*BlendedPriceEliteMonthly*TM34</f>
        <v/>
      </c>
      <c r="UK34" s="12">
        <f>TX34*BlendedPriceEssAnnual*TM34+TY34*BlendedPricePremAnnual*TM34+TZ34*BlendedPriceEliteAnnual*TM34</f>
        <v/>
      </c>
      <c r="UL34" s="12">
        <f>TX22*POWER(1-(AnnualChurn*VLOOKUP(TJ34,ChurnSeasonTable,4,FALSE)),1)*BlendedPriceEssAnnual*TM34+TX10*POWER(1-(AnnualChurn*VLOOKUP(TJ34,ChurnSeasonTable,4,FALSE)),2)*BlendedPriceEssAnnual*TM34+TY22*POWER(1-(AnnualChurn*VLOOKUP(TJ34,ChurnSeasonTable,4,FALSE)),1)*BlendedPricePremAnnual*TM34+TY10*POWER(1-(AnnualChurn*VLOOKUP(TJ34,ChurnSeasonTable,4,FALSE)),2)*BlendedPricePremAnnual*TM34+TZ22*POWER(1-(AnnualChurn*VLOOKUP(TJ34,ChurnSeasonTable,4,FALSE)),1)*BlendedPriceEliteAnnual*TM34+TZ10*POWER(1-(AnnualChurn*VLOOKUP(TJ34,ChurnSeasonTable,4,FALSE)),2)*BlendedPriceEliteAnnual*TM34</f>
        <v/>
      </c>
      <c r="UM34" s="9">
        <f>UJ34+UK34+UL34</f>
        <v/>
      </c>
      <c r="UN34" s="12">
        <f>SUM(UM23:UM34)</f>
        <v/>
      </c>
      <c r="UO34" s="12">
        <f>OR(UO33,IF(VATAgentMode,SUM($UM23:$UM34)-SUM($UT23:$UT34)&gt;=VATThreshold,SUM($UM23:$UM34)&gt;=VATThreshold))</f>
        <v/>
      </c>
      <c r="UP34" s="9">
        <f>IF(UO34,IF(VATAgentMode,UM34-((UM34-UT34)-(UM34-UT34)/(1+VATRate)),UM34/(1+VATRate)),UM34)</f>
        <v/>
      </c>
      <c r="UQ34" s="12">
        <f>UM34-UP34</f>
        <v/>
      </c>
      <c r="UR34" s="12">
        <f>IF(UO34=0,0,IF(TJ34=1,SUMPRODUCT(--(($TK$5:$TK34=$TK34-1)*($TJ$5:$TJ34&gt;=10)*($TJ$5:$TJ34&lt;=12)),$UQ$5:$UQ34),IF(TJ34=4,SUMPRODUCT(--(($TK$5:$TK34=$TK34)*($TJ$5:$TJ34&gt;=1)*($TJ$5:$TJ34&lt;=3)),$UQ$5:$UQ34),IF(TJ34=7,SUMPRODUCT(--(($TK$5:$TK34=$TK34)*($TJ$5:$TJ34&gt;=4)*($TJ$5:$TJ34&lt;=6)),$UQ$5:$UQ34),IF(TJ34=10,SUMPRODUCT(--(($TK$5:$TK34=$TK34)*($TJ$5:$TJ34&gt;=7)*($TJ$5:$TJ34&lt;=9)),$UQ$5:$UQ34),0)))))</f>
        <v/>
      </c>
      <c r="US34" s="12">
        <f>US33+UQ34-UR34</f>
        <v/>
      </c>
      <c r="UT34" s="12">
        <f>IF(ProviderDelay&gt;=1,UA33*BlendedProvPayEss+UB33*BlendedProvPayPrem+UC33*BlendedProvPayElite+UD33*BlendedProvPayEss+UE33*BlendedProvPayPrem+UF33*BlendedProvPayElite,UA34*BlendedProvPayEss+UB34*BlendedProvPayPrem+UC34*BlendedProvPayElite+UD34*BlendedProvPayEss+UE34*BlendedProvPayPrem+UF34*BlendedProvPayElite)</f>
        <v/>
      </c>
      <c r="UU34" s="12">
        <f>UM34*PaymentFee</f>
        <v/>
      </c>
      <c r="UV34" s="12">
        <f>UG34*OpsAI</f>
        <v/>
      </c>
      <c r="UW34" s="12">
        <f>MonthlyFixed</f>
        <v/>
      </c>
      <c r="UX34" s="12">
        <f>TQ34*ReferralReward</f>
        <v/>
      </c>
      <c r="UY34" s="12">
        <f>TO34</f>
        <v/>
      </c>
      <c r="UZ34" s="9">
        <f>UP34-UT34-UU34-UV34-UW34-UX34-UY34</f>
        <v/>
      </c>
      <c r="VA34" s="9">
        <f>VA33+UM34-(UT34+UU34+UV34+UW34+UX34+UY34+UR34)</f>
        <v/>
      </c>
      <c r="VB34" s="12">
        <f>IF(UG34&gt;0,UH34/UG34,0)</f>
        <v/>
      </c>
      <c r="VC34" s="11">
        <f>IF(UG33&gt;0,MAX(0,(UG33+TR34-UG34)/UG33),0)</f>
        <v/>
      </c>
      <c r="VE34" s="12" t="n">
        <v>30</v>
      </c>
      <c r="VF34" s="12">
        <f>MOD(VE34-1+LaunchMonth-1,12)+1</f>
        <v/>
      </c>
      <c r="VG34" s="12">
        <f>INT((VE34-1+LaunchMonth-1)/12)+1</f>
        <v/>
      </c>
      <c r="VH34" s="12">
        <f>VLOOKUP(VF34,SeasonTable,2,FALSE)</f>
        <v/>
      </c>
      <c r="VI34" s="12">
        <f>(1+InflationRate)^INT((VE34-1)/12)</f>
        <v/>
      </c>
      <c r="VJ34" s="11">
        <f>MonthlyChurn*VLOOKUP(VF34,ChurnSeasonTable,4,FALSE)</f>
        <v/>
      </c>
      <c r="VK34" s="12">
        <f>MIN(MAX(MktMin19plus,WI33*MktPct19plus),MAX(0,WW33-CashBuffer))</f>
        <v/>
      </c>
      <c r="VL34" s="12">
        <f>IF(VK34&gt;0,MAX(1,ROUND(VK34/CAC*VH34,0)),0)</f>
        <v/>
      </c>
      <c r="VM34" s="12">
        <f>IF(VL34&gt;0,ROUND(VL34*ReferralMix/(1-ReferralMix),0),0)</f>
        <v/>
      </c>
      <c r="VN34" s="12">
        <f>VL34+VM34</f>
        <v/>
      </c>
      <c r="VO34" s="12">
        <f>ROUND(VN34*(1-'Sens - Annual Mix'!$A$9),0)</f>
        <v/>
      </c>
      <c r="VP34" s="12">
        <f>VN34-VO34</f>
        <v/>
      </c>
      <c r="VQ34" s="12">
        <f>ROUND(VO34*EssentialMix,0)</f>
        <v/>
      </c>
      <c r="VR34" s="12">
        <f>ROUND(VO34*PremiumMix,0)</f>
        <v/>
      </c>
      <c r="VS34" s="12">
        <f>VO34-VQ34-VR34</f>
        <v/>
      </c>
      <c r="VT34" s="12">
        <f>ROUND(VP34*EssentialMix,0)</f>
        <v/>
      </c>
      <c r="VU34" s="12">
        <f>ROUND(VP34*PremiumMix,0)</f>
        <v/>
      </c>
      <c r="VV34" s="12">
        <f>VP34-VT34-VU34</f>
        <v/>
      </c>
      <c r="VW34" s="12">
        <f>VQ34+VQ33+VQ32+MAX(0,VW33-VQ33-VQ32)*(1-VJ34)</f>
        <v/>
      </c>
      <c r="VX34" s="12">
        <f>VR34+VR33+VR32+MAX(0,VX33-VR33-VR32)*(1-VJ34)</f>
        <v/>
      </c>
      <c r="VY34" s="12">
        <f>VS34+VS33+VS32+MAX(0,VY33-VS33-VS32)*(1-VJ34)</f>
        <v/>
      </c>
      <c r="VZ34" s="12">
        <f>VZ33+VT34-VT22*(AnnualChurn*VLOOKUP(VF34,ChurnSeasonTable,4,FALSE))*POWER(1-(AnnualChurn*VLOOKUP(VF34,ChurnSeasonTable,4,FALSE)),0)+VT10*(AnnualChurn*VLOOKUP(VF34,ChurnSeasonTable,4,FALSE))*POWER(1-(AnnualChurn*VLOOKUP(VF34,ChurnSeasonTable,4,FALSE)),1)</f>
        <v/>
      </c>
      <c r="WA34" s="12">
        <f>WA33+VU34-VU22*(AnnualChurn*VLOOKUP(VF34,ChurnSeasonTable,4,FALSE))*POWER(1-(AnnualChurn*VLOOKUP(VF34,ChurnSeasonTable,4,FALSE)),0)+VU10*(AnnualChurn*VLOOKUP(VF34,ChurnSeasonTable,4,FALSE))*POWER(1-(AnnualChurn*VLOOKUP(VF34,ChurnSeasonTable,4,FALSE)),1)</f>
        <v/>
      </c>
      <c r="WB34" s="12">
        <f>WB33+VV34-VV22*(AnnualChurn*VLOOKUP(VF34,ChurnSeasonTable,4,FALSE))*POWER(1-(AnnualChurn*VLOOKUP(VF34,ChurnSeasonTable,4,FALSE)),0)+VV10*(AnnualChurn*VLOOKUP(VF34,ChurnSeasonTable,4,FALSE))*POWER(1-(AnnualChurn*VLOOKUP(VF34,ChurnSeasonTable,4,FALSE)),1)</f>
        <v/>
      </c>
      <c r="WC34" s="12">
        <f>VW34+VX34+VY34+VZ34+WA34+WB34</f>
        <v/>
      </c>
      <c r="WD34" s="9">
        <f>VW34*BlendedPriceEssMonthly*VI34+VX34*BlendedPricePremMonthly*VI34+VY34*BlendedPriceEliteMonthly*VI34+VZ34*BlendedPriceEssAnnual*VI34/12+WA34*BlendedPricePremAnnual*VI34/12+WB34*BlendedPriceEliteAnnual*VI34/12</f>
        <v/>
      </c>
      <c r="WE34" s="9">
        <f>WD34*12</f>
        <v/>
      </c>
      <c r="WF34" s="12">
        <f>VW34*BlendedPriceEssMonthly*VI34+VX34*BlendedPricePremMonthly*VI34+VY34*BlendedPriceEliteMonthly*VI34</f>
        <v/>
      </c>
      <c r="WG34" s="12">
        <f>VT34*BlendedPriceEssAnnual*VI34+VU34*BlendedPricePremAnnual*VI34+VV34*BlendedPriceEliteAnnual*VI34</f>
        <v/>
      </c>
      <c r="WH34" s="12">
        <f>VT22*POWER(1-(AnnualChurn*VLOOKUP(VF34,ChurnSeasonTable,4,FALSE)),1)*BlendedPriceEssAnnual*VI34+VT10*POWER(1-(AnnualChurn*VLOOKUP(VF34,ChurnSeasonTable,4,FALSE)),2)*BlendedPriceEssAnnual*VI34+VU22*POWER(1-(AnnualChurn*VLOOKUP(VF34,ChurnSeasonTable,4,FALSE)),1)*BlendedPricePremAnnual*VI34+VU10*POWER(1-(AnnualChurn*VLOOKUP(VF34,ChurnSeasonTable,4,FALSE)),2)*BlendedPricePremAnnual*VI34+VV22*POWER(1-(AnnualChurn*VLOOKUP(VF34,ChurnSeasonTable,4,FALSE)),1)*BlendedPriceEliteAnnual*VI34+VV10*POWER(1-(AnnualChurn*VLOOKUP(VF34,ChurnSeasonTable,4,FALSE)),2)*BlendedPriceEliteAnnual*VI34</f>
        <v/>
      </c>
      <c r="WI34" s="9">
        <f>WF34+WG34+WH34</f>
        <v/>
      </c>
      <c r="WJ34" s="12">
        <f>SUM(WI23:WI34)</f>
        <v/>
      </c>
      <c r="WK34" s="12">
        <f>OR(WK33,IF(VATAgentMode,SUM($WI23:$WI34)-SUM($WP23:$WP34)&gt;=VATThreshold,SUM($WI23:$WI34)&gt;=VATThreshold))</f>
        <v/>
      </c>
      <c r="WL34" s="9">
        <f>IF(WK34,IF(VATAgentMode,WI34-((WI34-WP34)-(WI34-WP34)/(1+VATRate)),WI34/(1+VATRate)),WI34)</f>
        <v/>
      </c>
      <c r="WM34" s="12">
        <f>WI34-WL34</f>
        <v/>
      </c>
      <c r="WN34" s="12">
        <f>IF(WK34=0,0,IF(VF34=1,SUMPRODUCT(--(($VG$5:$VG34=$VG34-1)*($VF$5:$VF34&gt;=10)*($VF$5:$VF34&lt;=12)),$WM$5:$WM34),IF(VF34=4,SUMPRODUCT(--(($VG$5:$VG34=$VG34)*($VF$5:$VF34&gt;=1)*($VF$5:$VF34&lt;=3)),$WM$5:$WM34),IF(VF34=7,SUMPRODUCT(--(($VG$5:$VG34=$VG34)*($VF$5:$VF34&gt;=4)*($VF$5:$VF34&lt;=6)),$WM$5:$WM34),IF(VF34=10,SUMPRODUCT(--(($VG$5:$VG34=$VG34)*($VF$5:$VF34&gt;=7)*($VF$5:$VF34&lt;=9)),$WM$5:$WM34),0)))))</f>
        <v/>
      </c>
      <c r="WO34" s="12">
        <f>WO33+WM34-WN34</f>
        <v/>
      </c>
      <c r="WP34" s="12">
        <f>IF(ProviderDelay&gt;=1,VW33*BlendedProvPayEss+VX33*BlendedProvPayPrem+VY33*BlendedProvPayElite+VZ33*BlendedProvPayEss+WA33*BlendedProvPayPrem+WB33*BlendedProvPayElite,VW34*BlendedProvPayEss+VX34*BlendedProvPayPrem+VY34*BlendedProvPayElite+VZ34*BlendedProvPayEss+WA34*BlendedProvPayPrem+WB34*BlendedProvPayElite)</f>
        <v/>
      </c>
      <c r="WQ34" s="12">
        <f>WI34*PaymentFee</f>
        <v/>
      </c>
      <c r="WR34" s="12">
        <f>WC34*OpsAI</f>
        <v/>
      </c>
      <c r="WS34" s="12">
        <f>MonthlyFixed</f>
        <v/>
      </c>
      <c r="WT34" s="12">
        <f>VM34*ReferralReward</f>
        <v/>
      </c>
      <c r="WU34" s="12">
        <f>VK34</f>
        <v/>
      </c>
      <c r="WV34" s="9">
        <f>WL34-WP34-WQ34-WR34-WS34-WT34-WU34</f>
        <v/>
      </c>
      <c r="WW34" s="9">
        <f>WW33+WI34-(WP34+WQ34+WR34+WS34+WT34+WU34+WN34)</f>
        <v/>
      </c>
      <c r="WX34" s="12">
        <f>IF(WC34&gt;0,WD34/WC34,0)</f>
        <v/>
      </c>
      <c r="WY34" s="11">
        <f>IF(WC33&gt;0,MAX(0,(WC33+VN34-WC34)/WC33),0)</f>
        <v/>
      </c>
      <c r="XA34" s="12" t="n">
        <v>30</v>
      </c>
      <c r="XB34" s="12">
        <f>MOD(XA34-1+LaunchMonth-1,12)+1</f>
        <v/>
      </c>
      <c r="XC34" s="12">
        <f>INT((XA34-1+LaunchMonth-1)/12)+1</f>
        <v/>
      </c>
      <c r="XD34" s="12">
        <f>VLOOKUP(XB34,SeasonTable,2,FALSE)</f>
        <v/>
      </c>
      <c r="XE34" s="12">
        <f>(1+InflationRate)^INT((XA34-1)/12)</f>
        <v/>
      </c>
      <c r="XF34" s="11">
        <f>MonthlyChurn*VLOOKUP(XB34,ChurnSeasonTable,4,FALSE)</f>
        <v/>
      </c>
      <c r="XG34" s="12">
        <f>MIN(MAX(MktMin19plus,YE33*MktPct19plus),MAX(0,YS33-CashBuffer))</f>
        <v/>
      </c>
      <c r="XH34" s="12">
        <f>IF(XG34&gt;0,MAX(1,ROUND(XG34/CAC*XD34,0)),0)</f>
        <v/>
      </c>
      <c r="XI34" s="12">
        <f>IF(XH34&gt;0,ROUND(XH34*ReferralMix/(1-ReferralMix),0),0)</f>
        <v/>
      </c>
      <c r="XJ34" s="12">
        <f>XH34+XI34</f>
        <v/>
      </c>
      <c r="XK34" s="12">
        <f>ROUND(XJ34*(1-'Sens - Annual Mix'!$A$10),0)</f>
        <v/>
      </c>
      <c r="XL34" s="12">
        <f>XJ34-XK34</f>
        <v/>
      </c>
      <c r="XM34" s="12">
        <f>ROUND(XK34*EssentialMix,0)</f>
        <v/>
      </c>
      <c r="XN34" s="12">
        <f>ROUND(XK34*PremiumMix,0)</f>
        <v/>
      </c>
      <c r="XO34" s="12">
        <f>XK34-XM34-XN34</f>
        <v/>
      </c>
      <c r="XP34" s="12">
        <f>ROUND(XL34*EssentialMix,0)</f>
        <v/>
      </c>
      <c r="XQ34" s="12">
        <f>ROUND(XL34*PremiumMix,0)</f>
        <v/>
      </c>
      <c r="XR34" s="12">
        <f>XL34-XP34-XQ34</f>
        <v/>
      </c>
      <c r="XS34" s="12">
        <f>XM34+XM33+XM32+MAX(0,XS33-XM33-XM32)*(1-XF34)</f>
        <v/>
      </c>
      <c r="XT34" s="12">
        <f>XN34+XN33+XN32+MAX(0,XT33-XN33-XN32)*(1-XF34)</f>
        <v/>
      </c>
      <c r="XU34" s="12">
        <f>XO34+XO33+XO32+MAX(0,XU33-XO33-XO32)*(1-XF34)</f>
        <v/>
      </c>
      <c r="XV34" s="12">
        <f>XV33+XP34-XP22*(AnnualChurn*VLOOKUP(XB34,ChurnSeasonTable,4,FALSE))*POWER(1-(AnnualChurn*VLOOKUP(XB34,ChurnSeasonTable,4,FALSE)),0)+XP10*(AnnualChurn*VLOOKUP(XB34,ChurnSeasonTable,4,FALSE))*POWER(1-(AnnualChurn*VLOOKUP(XB34,ChurnSeasonTable,4,FALSE)),1)</f>
        <v/>
      </c>
      <c r="XW34" s="12">
        <f>XW33+XQ34-XQ22*(AnnualChurn*VLOOKUP(XB34,ChurnSeasonTable,4,FALSE))*POWER(1-(AnnualChurn*VLOOKUP(XB34,ChurnSeasonTable,4,FALSE)),0)+XQ10*(AnnualChurn*VLOOKUP(XB34,ChurnSeasonTable,4,FALSE))*POWER(1-(AnnualChurn*VLOOKUP(XB34,ChurnSeasonTable,4,FALSE)),1)</f>
        <v/>
      </c>
      <c r="XX34" s="12">
        <f>XX33+XR34-XR22*(AnnualChurn*VLOOKUP(XB34,ChurnSeasonTable,4,FALSE))*POWER(1-(AnnualChurn*VLOOKUP(XB34,ChurnSeasonTable,4,FALSE)),0)+XR10*(AnnualChurn*VLOOKUP(XB34,ChurnSeasonTable,4,FALSE))*POWER(1-(AnnualChurn*VLOOKUP(XB34,ChurnSeasonTable,4,FALSE)),1)</f>
        <v/>
      </c>
      <c r="XY34" s="12">
        <f>XS34+XT34+XU34+XV34+XW34+XX34</f>
        <v/>
      </c>
      <c r="XZ34" s="9">
        <f>XS34*BlendedPriceEssMonthly*XE34+XT34*BlendedPricePremMonthly*XE34+XU34*BlendedPriceEliteMonthly*XE34+XV34*BlendedPriceEssAnnual*XE34/12+XW34*BlendedPricePremAnnual*XE34/12+XX34*BlendedPriceEliteAnnual*XE34/12</f>
        <v/>
      </c>
      <c r="YA34" s="9">
        <f>XZ34*12</f>
        <v/>
      </c>
      <c r="YB34" s="12">
        <f>XS34*BlendedPriceEssMonthly*XE34+XT34*BlendedPricePremMonthly*XE34+XU34*BlendedPriceEliteMonthly*XE34</f>
        <v/>
      </c>
      <c r="YC34" s="12">
        <f>XP34*BlendedPriceEssAnnual*XE34+XQ34*BlendedPricePremAnnual*XE34+XR34*BlendedPriceEliteAnnual*XE34</f>
        <v/>
      </c>
      <c r="YD34" s="12">
        <f>XP22*POWER(1-(AnnualChurn*VLOOKUP(XB34,ChurnSeasonTable,4,FALSE)),1)*BlendedPriceEssAnnual*XE34+XP10*POWER(1-(AnnualChurn*VLOOKUP(XB34,ChurnSeasonTable,4,FALSE)),2)*BlendedPriceEssAnnual*XE34+XQ22*POWER(1-(AnnualChurn*VLOOKUP(XB34,ChurnSeasonTable,4,FALSE)),1)*BlendedPricePremAnnual*XE34+XQ10*POWER(1-(AnnualChurn*VLOOKUP(XB34,ChurnSeasonTable,4,FALSE)),2)*BlendedPricePremAnnual*XE34+XR22*POWER(1-(AnnualChurn*VLOOKUP(XB34,ChurnSeasonTable,4,FALSE)),1)*BlendedPriceEliteAnnual*XE34+XR10*POWER(1-(AnnualChurn*VLOOKUP(XB34,ChurnSeasonTable,4,FALSE)),2)*BlendedPriceEliteAnnual*XE34</f>
        <v/>
      </c>
      <c r="YE34" s="9">
        <f>YB34+YC34+YD34</f>
        <v/>
      </c>
      <c r="YF34" s="12">
        <f>SUM(YE23:YE34)</f>
        <v/>
      </c>
      <c r="YG34" s="12">
        <f>OR(YG33,IF(VATAgentMode,SUM($YE23:$YE34)-SUM($YL23:$YL34)&gt;=VATThreshold,SUM($YE23:$YE34)&gt;=VATThreshold))</f>
        <v/>
      </c>
      <c r="YH34" s="9">
        <f>IF(YG34,IF(VATAgentMode,YE34-((YE34-YL34)-(YE34-YL34)/(1+VATRate)),YE34/(1+VATRate)),YE34)</f>
        <v/>
      </c>
      <c r="YI34" s="12">
        <f>YE34-YH34</f>
        <v/>
      </c>
      <c r="YJ34" s="12">
        <f>IF(YG34=0,0,IF(XB34=1,SUMPRODUCT(--(($XC$5:$XC34=$XC34-1)*($XB$5:$XB34&gt;=10)*($XB$5:$XB34&lt;=12)),$YI$5:$YI34),IF(XB34=4,SUMPRODUCT(--(($XC$5:$XC34=$XC34)*($XB$5:$XB34&gt;=1)*($XB$5:$XB34&lt;=3)),$YI$5:$YI34),IF(XB34=7,SUMPRODUCT(--(($XC$5:$XC34=$XC34)*($XB$5:$XB34&gt;=4)*($XB$5:$XB34&lt;=6)),$YI$5:$YI34),IF(XB34=10,SUMPRODUCT(--(($XC$5:$XC34=$XC34)*($XB$5:$XB34&gt;=7)*($XB$5:$XB34&lt;=9)),$YI$5:$YI34),0)))))</f>
        <v/>
      </c>
      <c r="YK34" s="12">
        <f>YK33+YI34-YJ34</f>
        <v/>
      </c>
      <c r="YL34" s="12">
        <f>IF(ProviderDelay&gt;=1,XS33*BlendedProvPayEss+XT33*BlendedProvPayPrem+XU33*BlendedProvPayElite+XV33*BlendedProvPayEss+XW33*BlendedProvPayPrem+XX33*BlendedProvPayElite,XS34*BlendedProvPayEss+XT34*BlendedProvPayPrem+XU34*BlendedProvPayElite+XV34*BlendedProvPayEss+XW34*BlendedProvPayPrem+XX34*BlendedProvPayElite)</f>
        <v/>
      </c>
      <c r="YM34" s="12">
        <f>YE34*PaymentFee</f>
        <v/>
      </c>
      <c r="YN34" s="12">
        <f>XY34*OpsAI</f>
        <v/>
      </c>
      <c r="YO34" s="12">
        <f>MonthlyFixed</f>
        <v/>
      </c>
      <c r="YP34" s="12">
        <f>XI34*ReferralReward</f>
        <v/>
      </c>
      <c r="YQ34" s="12">
        <f>XG34</f>
        <v/>
      </c>
      <c r="YR34" s="9">
        <f>YH34-YL34-YM34-YN34-YO34-YP34-YQ34</f>
        <v/>
      </c>
      <c r="YS34" s="9">
        <f>YS33+YE34-(YL34+YM34+YN34+YO34+YP34+YQ34+YJ34)</f>
        <v/>
      </c>
      <c r="YT34" s="12">
        <f>IF(XY34&gt;0,XZ34/XY34,0)</f>
        <v/>
      </c>
      <c r="YU34" s="11">
        <f>IF(XY33&gt;0,MAX(0,(XY33+XJ34-XY34)/XY33),0)</f>
        <v/>
      </c>
      <c r="YW34" s="12" t="n">
        <v>30</v>
      </c>
      <c r="YX34" s="12">
        <f>MOD(YW34-1+LaunchMonth-1,12)+1</f>
        <v/>
      </c>
      <c r="YY34" s="12">
        <f>INT((YW34-1+LaunchMonth-1)/12)+1</f>
        <v/>
      </c>
      <c r="YZ34" s="12">
        <f>VLOOKUP(YX34,SeasonTable,2,FALSE)</f>
        <v/>
      </c>
      <c r="ZA34" s="12">
        <f>(1+InflationRate)^INT((YW34-1)/12)</f>
        <v/>
      </c>
      <c r="ZB34" s="11">
        <f>MonthlyChurn*VLOOKUP(YX34,ChurnSeasonTable,4,FALSE)</f>
        <v/>
      </c>
      <c r="ZC34" s="12">
        <f>MIN(MAX(MktMin19plus,AAA33*MktPct19plus),MAX(0,AAO33-CashBuffer))</f>
        <v/>
      </c>
      <c r="ZD34" s="12">
        <f>IF(ZC34&gt;0,MAX(1,ROUND(ZC34/CAC*YZ34,0)),0)</f>
        <v/>
      </c>
      <c r="ZE34" s="12">
        <f>IF(ZD34&gt;0,ROUND(ZD34*ReferralMix/(1-ReferralMix),0),0)</f>
        <v/>
      </c>
      <c r="ZF34" s="12">
        <f>ZD34+ZE34</f>
        <v/>
      </c>
      <c r="ZG34" s="12">
        <f>ROUND(ZF34*(1-'Sens - Annual Mix'!$A$11),0)</f>
        <v/>
      </c>
      <c r="ZH34" s="12">
        <f>ZF34-ZG34</f>
        <v/>
      </c>
      <c r="ZI34" s="12">
        <f>ROUND(ZG34*EssentialMix,0)</f>
        <v/>
      </c>
      <c r="ZJ34" s="12">
        <f>ROUND(ZG34*PremiumMix,0)</f>
        <v/>
      </c>
      <c r="ZK34" s="12">
        <f>ZG34-ZI34-ZJ34</f>
        <v/>
      </c>
      <c r="ZL34" s="12">
        <f>ROUND(ZH34*EssentialMix,0)</f>
        <v/>
      </c>
      <c r="ZM34" s="12">
        <f>ROUND(ZH34*PremiumMix,0)</f>
        <v/>
      </c>
      <c r="ZN34" s="12">
        <f>ZH34-ZL34-ZM34</f>
        <v/>
      </c>
      <c r="ZO34" s="12">
        <f>ZI34+ZI33+ZI32+MAX(0,ZO33-ZI33-ZI32)*(1-ZB34)</f>
        <v/>
      </c>
      <c r="ZP34" s="12">
        <f>ZJ34+ZJ33+ZJ32+MAX(0,ZP33-ZJ33-ZJ32)*(1-ZB34)</f>
        <v/>
      </c>
      <c r="ZQ34" s="12">
        <f>ZK34+ZK33+ZK32+MAX(0,ZQ33-ZK33-ZK32)*(1-ZB34)</f>
        <v/>
      </c>
      <c r="ZR34" s="12">
        <f>ZR33+ZL34-ZL22*(AnnualChurn*VLOOKUP(YX34,ChurnSeasonTable,4,FALSE))*POWER(1-(AnnualChurn*VLOOKUP(YX34,ChurnSeasonTable,4,FALSE)),0)+ZL10*(AnnualChurn*VLOOKUP(YX34,ChurnSeasonTable,4,FALSE))*POWER(1-(AnnualChurn*VLOOKUP(YX34,ChurnSeasonTable,4,FALSE)),1)</f>
        <v/>
      </c>
      <c r="ZS34" s="12">
        <f>ZS33+ZM34-ZM22*(AnnualChurn*VLOOKUP(YX34,ChurnSeasonTable,4,FALSE))*POWER(1-(AnnualChurn*VLOOKUP(YX34,ChurnSeasonTable,4,FALSE)),0)+ZM10*(AnnualChurn*VLOOKUP(YX34,ChurnSeasonTable,4,FALSE))*POWER(1-(AnnualChurn*VLOOKUP(YX34,ChurnSeasonTable,4,FALSE)),1)</f>
        <v/>
      </c>
      <c r="ZT34" s="12">
        <f>ZT33+ZN34-ZN22*(AnnualChurn*VLOOKUP(YX34,ChurnSeasonTable,4,FALSE))*POWER(1-(AnnualChurn*VLOOKUP(YX34,ChurnSeasonTable,4,FALSE)),0)+ZN10*(AnnualChurn*VLOOKUP(YX34,ChurnSeasonTable,4,FALSE))*POWER(1-(AnnualChurn*VLOOKUP(YX34,ChurnSeasonTable,4,FALSE)),1)</f>
        <v/>
      </c>
      <c r="ZU34" s="12">
        <f>ZO34+ZP34+ZQ34+ZR34+ZS34+ZT34</f>
        <v/>
      </c>
      <c r="ZV34" s="9">
        <f>ZO34*BlendedPriceEssMonthly*ZA34+ZP34*BlendedPricePremMonthly*ZA34+ZQ34*BlendedPriceEliteMonthly*ZA34+ZR34*BlendedPriceEssAnnual*ZA34/12+ZS34*BlendedPricePremAnnual*ZA34/12+ZT34*BlendedPriceEliteAnnual*ZA34/12</f>
        <v/>
      </c>
      <c r="ZW34" s="9">
        <f>ZV34*12</f>
        <v/>
      </c>
      <c r="ZX34" s="12">
        <f>ZO34*BlendedPriceEssMonthly*ZA34+ZP34*BlendedPricePremMonthly*ZA34+ZQ34*BlendedPriceEliteMonthly*ZA34</f>
        <v/>
      </c>
      <c r="ZY34" s="12">
        <f>ZL34*BlendedPriceEssAnnual*ZA34+ZM34*BlendedPricePremAnnual*ZA34+ZN34*BlendedPriceEliteAnnual*ZA34</f>
        <v/>
      </c>
      <c r="ZZ34" s="12">
        <f>ZL22*POWER(1-(AnnualChurn*VLOOKUP(YX34,ChurnSeasonTable,4,FALSE)),1)*BlendedPriceEssAnnual*ZA34+ZL10*POWER(1-(AnnualChurn*VLOOKUP(YX34,ChurnSeasonTable,4,FALSE)),2)*BlendedPriceEssAnnual*ZA34+ZM22*POWER(1-(AnnualChurn*VLOOKUP(YX34,ChurnSeasonTable,4,FALSE)),1)*BlendedPricePremAnnual*ZA34+ZM10*POWER(1-(AnnualChurn*VLOOKUP(YX34,ChurnSeasonTable,4,FALSE)),2)*BlendedPricePremAnnual*ZA34+ZN22*POWER(1-(AnnualChurn*VLOOKUP(YX34,ChurnSeasonTable,4,FALSE)),1)*BlendedPriceEliteAnnual*ZA34+ZN10*POWER(1-(AnnualChurn*VLOOKUP(YX34,ChurnSeasonTable,4,FALSE)),2)*BlendedPriceEliteAnnual*ZA34</f>
        <v/>
      </c>
      <c r="AAA34" s="9">
        <f>ZX34+ZY34+ZZ34</f>
        <v/>
      </c>
      <c r="AAB34" s="12">
        <f>SUM(AAA23:AAA34)</f>
        <v/>
      </c>
      <c r="AAC34" s="12">
        <f>OR(AAC33,IF(VATAgentMode,SUM($AAA23:$AAA34)-SUM($AAH23:$AAH34)&gt;=VATThreshold,SUM($AAA23:$AAA34)&gt;=VATThreshold))</f>
        <v/>
      </c>
      <c r="AAD34" s="9">
        <f>IF(AAC34,IF(VATAgentMode,AAA34-((AAA34-AAH34)-(AAA34-AAH34)/(1+VATRate)),AAA34/(1+VATRate)),AAA34)</f>
        <v/>
      </c>
      <c r="AAE34" s="12">
        <f>AAA34-AAD34</f>
        <v/>
      </c>
      <c r="AAF34" s="12">
        <f>IF(AAC34=0,0,IF(YX34=1,SUMPRODUCT(--(($YY$5:$YY34=$YY34-1)*($YX$5:$YX34&gt;=10)*($YX$5:$YX34&lt;=12)),$AAE$5:$AAE34),IF(YX34=4,SUMPRODUCT(--(($YY$5:$YY34=$YY34)*($YX$5:$YX34&gt;=1)*($YX$5:$YX34&lt;=3)),$AAE$5:$AAE34),IF(YX34=7,SUMPRODUCT(--(($YY$5:$YY34=$YY34)*($YX$5:$YX34&gt;=4)*($YX$5:$YX34&lt;=6)),$AAE$5:$AAE34),IF(YX34=10,SUMPRODUCT(--(($YY$5:$YY34=$YY34)*($YX$5:$YX34&gt;=7)*($YX$5:$YX34&lt;=9)),$AAE$5:$AAE34),0)))))</f>
        <v/>
      </c>
      <c r="AAG34" s="12">
        <f>AAG33+AAE34-AAF34</f>
        <v/>
      </c>
      <c r="AAH34" s="12">
        <f>IF(ProviderDelay&gt;=1,ZO33*BlendedProvPayEss+ZP33*BlendedProvPayPrem+ZQ33*BlendedProvPayElite+ZR33*BlendedProvPayEss+ZS33*BlendedProvPayPrem+ZT33*BlendedProvPayElite,ZO34*BlendedProvPayEss+ZP34*BlendedProvPayPrem+ZQ34*BlendedProvPayElite+ZR34*BlendedProvPayEss+ZS34*BlendedProvPayPrem+ZT34*BlendedProvPayElite)</f>
        <v/>
      </c>
      <c r="AAI34" s="12">
        <f>AAA34*PaymentFee</f>
        <v/>
      </c>
      <c r="AAJ34" s="12">
        <f>ZU34*OpsAI</f>
        <v/>
      </c>
      <c r="AAK34" s="12">
        <f>MonthlyFixed</f>
        <v/>
      </c>
      <c r="AAL34" s="12">
        <f>ZE34*ReferralReward</f>
        <v/>
      </c>
      <c r="AAM34" s="12">
        <f>ZC34</f>
        <v/>
      </c>
      <c r="AAN34" s="9">
        <f>AAD34-AAH34-AAI34-AAJ34-AAK34-AAL34-AAM34</f>
        <v/>
      </c>
      <c r="AAO34" s="9">
        <f>AAO33+AAA34-(AAH34+AAI34+AAJ34+AAK34+AAL34+AAM34+AAF34)</f>
        <v/>
      </c>
      <c r="AAP34" s="12">
        <f>IF(ZU34&gt;0,ZV34/ZU34,0)</f>
        <v/>
      </c>
      <c r="AAQ34" s="11">
        <f>IF(ZU33&gt;0,MAX(0,(ZU33+ZF34-ZU34)/ZU33),0)</f>
        <v/>
      </c>
      <c r="AAS34" s="12" t="n">
        <v>30</v>
      </c>
      <c r="AAT34" s="12">
        <f>MOD(AAS34-1+LaunchMonth-1,12)+1</f>
        <v/>
      </c>
      <c r="AAU34" s="12">
        <f>INT((AAS34-1+LaunchMonth-1)/12)+1</f>
        <v/>
      </c>
      <c r="AAV34" s="12">
        <f>VLOOKUP(AAT34,SeasonTable,2,FALSE)</f>
        <v/>
      </c>
      <c r="AAW34" s="12">
        <f>(1+InflationRate)^INT((AAS34-1)/12)</f>
        <v/>
      </c>
      <c r="AAX34" s="11">
        <f>MonthlyChurn*VLOOKUP(AAT34,ChurnSeasonTable,4,FALSE)</f>
        <v/>
      </c>
      <c r="AAY34" s="12">
        <f>MIN(MAX(MktMin19plus,ABW33*MktPct19plus),MAX(0,ACK33-CashBuffer))</f>
        <v/>
      </c>
      <c r="AAZ34" s="12">
        <f>IF(AAY34&gt;0,MAX(1,ROUND(AAY34/CAC*AAV34,0)),0)</f>
        <v/>
      </c>
      <c r="ABA34" s="12">
        <f>IF(AAZ34&gt;0,ROUND(AAZ34*ReferralMix/(1-ReferralMix),0),0)</f>
        <v/>
      </c>
      <c r="ABB34" s="12">
        <f>AAZ34+ABA34</f>
        <v/>
      </c>
      <c r="ABC34" s="12">
        <f>ROUND(ABB34*(1-'Sens - Annual Mix'!$A$12),0)</f>
        <v/>
      </c>
      <c r="ABD34" s="12">
        <f>ABB34-ABC34</f>
        <v/>
      </c>
      <c r="ABE34" s="12">
        <f>ROUND(ABC34*EssentialMix,0)</f>
        <v/>
      </c>
      <c r="ABF34" s="12">
        <f>ROUND(ABC34*PremiumMix,0)</f>
        <v/>
      </c>
      <c r="ABG34" s="12">
        <f>ABC34-ABE34-ABF34</f>
        <v/>
      </c>
      <c r="ABH34" s="12">
        <f>ROUND(ABD34*EssentialMix,0)</f>
        <v/>
      </c>
      <c r="ABI34" s="12">
        <f>ROUND(ABD34*PremiumMix,0)</f>
        <v/>
      </c>
      <c r="ABJ34" s="12">
        <f>ABD34-ABH34-ABI34</f>
        <v/>
      </c>
      <c r="ABK34" s="12">
        <f>ABE34+ABE33+ABE32+MAX(0,ABK33-ABE33-ABE32)*(1-AAX34)</f>
        <v/>
      </c>
      <c r="ABL34" s="12">
        <f>ABF34+ABF33+ABF32+MAX(0,ABL33-ABF33-ABF32)*(1-AAX34)</f>
        <v/>
      </c>
      <c r="ABM34" s="12">
        <f>ABG34+ABG33+ABG32+MAX(0,ABM33-ABG33-ABG32)*(1-AAX34)</f>
        <v/>
      </c>
      <c r="ABN34" s="12">
        <f>ABN33+ABH34-ABH22*(AnnualChurn*VLOOKUP(AAT34,ChurnSeasonTable,4,FALSE))*POWER(1-(AnnualChurn*VLOOKUP(AAT34,ChurnSeasonTable,4,FALSE)),0)+ABH10*(AnnualChurn*VLOOKUP(AAT34,ChurnSeasonTable,4,FALSE))*POWER(1-(AnnualChurn*VLOOKUP(AAT34,ChurnSeasonTable,4,FALSE)),1)</f>
        <v/>
      </c>
      <c r="ABO34" s="12">
        <f>ABO33+ABI34-ABI22*(AnnualChurn*VLOOKUP(AAT34,ChurnSeasonTable,4,FALSE))*POWER(1-(AnnualChurn*VLOOKUP(AAT34,ChurnSeasonTable,4,FALSE)),0)+ABI10*(AnnualChurn*VLOOKUP(AAT34,ChurnSeasonTable,4,FALSE))*POWER(1-(AnnualChurn*VLOOKUP(AAT34,ChurnSeasonTable,4,FALSE)),1)</f>
        <v/>
      </c>
      <c r="ABP34" s="12">
        <f>ABP33+ABJ34-ABJ22*(AnnualChurn*VLOOKUP(AAT34,ChurnSeasonTable,4,FALSE))*POWER(1-(AnnualChurn*VLOOKUP(AAT34,ChurnSeasonTable,4,FALSE)),0)+ABJ10*(AnnualChurn*VLOOKUP(AAT34,ChurnSeasonTable,4,FALSE))*POWER(1-(AnnualChurn*VLOOKUP(AAT34,ChurnSeasonTable,4,FALSE)),1)</f>
        <v/>
      </c>
      <c r="ABQ34" s="12">
        <f>ABK34+ABL34+ABM34+ABN34+ABO34+ABP34</f>
        <v/>
      </c>
      <c r="ABR34" s="9">
        <f>ABK34*BlendedPriceEssMonthly*AAW34+ABL34*BlendedPricePremMonthly*AAW34+ABM34*BlendedPriceEliteMonthly*AAW34+ABN34*BlendedPriceEssAnnual*AAW34/12+ABO34*BlendedPricePremAnnual*AAW34/12+ABP34*BlendedPriceEliteAnnual*AAW34/12</f>
        <v/>
      </c>
      <c r="ABS34" s="9">
        <f>ABR34*12</f>
        <v/>
      </c>
      <c r="ABT34" s="12">
        <f>ABK34*BlendedPriceEssMonthly*AAW34+ABL34*BlendedPricePremMonthly*AAW34+ABM34*BlendedPriceEliteMonthly*AAW34</f>
        <v/>
      </c>
      <c r="ABU34" s="12">
        <f>ABH34*BlendedPriceEssAnnual*AAW34+ABI34*BlendedPricePremAnnual*AAW34+ABJ34*BlendedPriceEliteAnnual*AAW34</f>
        <v/>
      </c>
      <c r="ABV34" s="12">
        <f>ABH22*POWER(1-(AnnualChurn*VLOOKUP(AAT34,ChurnSeasonTable,4,FALSE)),1)*BlendedPriceEssAnnual*AAW34+ABH10*POWER(1-(AnnualChurn*VLOOKUP(AAT34,ChurnSeasonTable,4,FALSE)),2)*BlendedPriceEssAnnual*AAW34+ABI22*POWER(1-(AnnualChurn*VLOOKUP(AAT34,ChurnSeasonTable,4,FALSE)),1)*BlendedPricePremAnnual*AAW34+ABI10*POWER(1-(AnnualChurn*VLOOKUP(AAT34,ChurnSeasonTable,4,FALSE)),2)*BlendedPricePremAnnual*AAW34+ABJ22*POWER(1-(AnnualChurn*VLOOKUP(AAT34,ChurnSeasonTable,4,FALSE)),1)*BlendedPriceEliteAnnual*AAW34+ABJ10*POWER(1-(AnnualChurn*VLOOKUP(AAT34,ChurnSeasonTable,4,FALSE)),2)*BlendedPriceEliteAnnual*AAW34</f>
        <v/>
      </c>
      <c r="ABW34" s="9">
        <f>ABT34+ABU34+ABV34</f>
        <v/>
      </c>
      <c r="ABX34" s="12">
        <f>SUM(ABW23:ABW34)</f>
        <v/>
      </c>
      <c r="ABY34" s="12">
        <f>OR(ABY33,IF(VATAgentMode,SUM($ABW23:$ABW34)-SUM($ACD23:$ACD34)&gt;=VATThreshold,SUM($ABW23:$ABW34)&gt;=VATThreshold))</f>
        <v/>
      </c>
      <c r="ABZ34" s="9">
        <f>IF(ABY34,IF(VATAgentMode,ABW34-((ABW34-ACD34)-(ABW34-ACD34)/(1+VATRate)),ABW34/(1+VATRate)),ABW34)</f>
        <v/>
      </c>
      <c r="ACA34" s="12">
        <f>ABW34-ABZ34</f>
        <v/>
      </c>
      <c r="ACB34" s="12">
        <f>IF(ABY34=0,0,IF(AAT34=1,SUMPRODUCT(--(($AAU$5:$AAU34=$AAU34-1)*($AAT$5:$AAT34&gt;=10)*($AAT$5:$AAT34&lt;=12)),$ACA$5:$ACA34),IF(AAT34=4,SUMPRODUCT(--(($AAU$5:$AAU34=$AAU34)*($AAT$5:$AAT34&gt;=1)*($AAT$5:$AAT34&lt;=3)),$ACA$5:$ACA34),IF(AAT34=7,SUMPRODUCT(--(($AAU$5:$AAU34=$AAU34)*($AAT$5:$AAT34&gt;=4)*($AAT$5:$AAT34&lt;=6)),$ACA$5:$ACA34),IF(AAT34=10,SUMPRODUCT(--(($AAU$5:$AAU34=$AAU34)*($AAT$5:$AAT34&gt;=7)*($AAT$5:$AAT34&lt;=9)),$ACA$5:$ACA34),0)))))</f>
        <v/>
      </c>
      <c r="ACC34" s="12">
        <f>ACC33+ACA34-ACB34</f>
        <v/>
      </c>
      <c r="ACD34" s="12">
        <f>IF(ProviderDelay&gt;=1,ABK33*BlendedProvPayEss+ABL33*BlendedProvPayPrem+ABM33*BlendedProvPayElite+ABN33*BlendedProvPayEss+ABO33*BlendedProvPayPrem+ABP33*BlendedProvPayElite,ABK34*BlendedProvPayEss+ABL34*BlendedProvPayPrem+ABM34*BlendedProvPayElite+ABN34*BlendedProvPayEss+ABO34*BlendedProvPayPrem+ABP34*BlendedProvPayElite)</f>
        <v/>
      </c>
      <c r="ACE34" s="12">
        <f>ABW34*PaymentFee</f>
        <v/>
      </c>
      <c r="ACF34" s="12">
        <f>ABQ34*OpsAI</f>
        <v/>
      </c>
      <c r="ACG34" s="12">
        <f>MonthlyFixed</f>
        <v/>
      </c>
      <c r="ACH34" s="12">
        <f>ABA34*ReferralReward</f>
        <v/>
      </c>
      <c r="ACI34" s="12">
        <f>AAY34</f>
        <v/>
      </c>
      <c r="ACJ34" s="9">
        <f>ABZ34-ACD34-ACE34-ACF34-ACG34-ACH34-ACI34</f>
        <v/>
      </c>
      <c r="ACK34" s="9">
        <f>ACK33+ABW34-(ACD34+ACE34+ACF34+ACG34+ACH34+ACI34+ACB34)</f>
        <v/>
      </c>
      <c r="ACL34" s="12">
        <f>IF(ABQ34&gt;0,ABR34/ABQ34,0)</f>
        <v/>
      </c>
      <c r="ACM34" s="11">
        <f>IF(ABQ33&gt;0,MAX(0,(ABQ33+ABB34-ABQ34)/ABQ33),0)</f>
        <v/>
      </c>
      <c r="ACO34" s="12" t="n">
        <v>30</v>
      </c>
      <c r="ACP34" s="12">
        <f>MOD(ACO34-1+LaunchMonth-1,12)+1</f>
        <v/>
      </c>
      <c r="ACQ34" s="12">
        <f>INT((ACO34-1+LaunchMonth-1)/12)+1</f>
        <v/>
      </c>
      <c r="ACR34" s="12">
        <f>VLOOKUP(ACP34,SeasonTable,2,FALSE)</f>
        <v/>
      </c>
      <c r="ACS34" s="12">
        <f>(1+InflationRate)^INT((ACO34-1)/12)</f>
        <v/>
      </c>
      <c r="ACT34" s="11">
        <f>MonthlyChurn*VLOOKUP(ACP34,ChurnSeasonTable,4,FALSE)</f>
        <v/>
      </c>
      <c r="ACU34" s="12">
        <f>MIN(MAX(MktMin19plus,ADS33*MktPct19plus),MAX(0,AEG33-CashBuffer))</f>
        <v/>
      </c>
      <c r="ACV34" s="12">
        <f>IF(ACU34&gt;0,MAX(1,ROUND(ACU34/CAC*ACR34,0)),0)</f>
        <v/>
      </c>
      <c r="ACW34" s="12">
        <f>IF(ACV34&gt;0,ROUND(ACV34*ReferralMix/(1-ReferralMix),0),0)</f>
        <v/>
      </c>
      <c r="ACX34" s="12">
        <f>ACV34+ACW34</f>
        <v/>
      </c>
      <c r="ACY34" s="12">
        <f>ROUND(ACX34*(1-'Sens - Annual Mix'!$A$13),0)</f>
        <v/>
      </c>
      <c r="ACZ34" s="12">
        <f>ACX34-ACY34</f>
        <v/>
      </c>
      <c r="ADA34" s="12">
        <f>ROUND(ACY34*EssentialMix,0)</f>
        <v/>
      </c>
      <c r="ADB34" s="12">
        <f>ROUND(ACY34*PremiumMix,0)</f>
        <v/>
      </c>
      <c r="ADC34" s="12">
        <f>ACY34-ADA34-ADB34</f>
        <v/>
      </c>
      <c r="ADD34" s="12">
        <f>ROUND(ACZ34*EssentialMix,0)</f>
        <v/>
      </c>
      <c r="ADE34" s="12">
        <f>ROUND(ACZ34*PremiumMix,0)</f>
        <v/>
      </c>
      <c r="ADF34" s="12">
        <f>ACZ34-ADD34-ADE34</f>
        <v/>
      </c>
      <c r="ADG34" s="12">
        <f>ADA34+ADA33+ADA32+MAX(0,ADG33-ADA33-ADA32)*(1-ACT34)</f>
        <v/>
      </c>
      <c r="ADH34" s="12">
        <f>ADB34+ADB33+ADB32+MAX(0,ADH33-ADB33-ADB32)*(1-ACT34)</f>
        <v/>
      </c>
      <c r="ADI34" s="12">
        <f>ADC34+ADC33+ADC32+MAX(0,ADI33-ADC33-ADC32)*(1-ACT34)</f>
        <v/>
      </c>
      <c r="ADJ34" s="12">
        <f>ADJ33+ADD34-ADD22*(AnnualChurn*VLOOKUP(ACP34,ChurnSeasonTable,4,FALSE))*POWER(1-(AnnualChurn*VLOOKUP(ACP34,ChurnSeasonTable,4,FALSE)),0)+ADD10*(AnnualChurn*VLOOKUP(ACP34,ChurnSeasonTable,4,FALSE))*POWER(1-(AnnualChurn*VLOOKUP(ACP34,ChurnSeasonTable,4,FALSE)),1)</f>
        <v/>
      </c>
      <c r="ADK34" s="12">
        <f>ADK33+ADE34-ADE22*(AnnualChurn*VLOOKUP(ACP34,ChurnSeasonTable,4,FALSE))*POWER(1-(AnnualChurn*VLOOKUP(ACP34,ChurnSeasonTable,4,FALSE)),0)+ADE10*(AnnualChurn*VLOOKUP(ACP34,ChurnSeasonTable,4,FALSE))*POWER(1-(AnnualChurn*VLOOKUP(ACP34,ChurnSeasonTable,4,FALSE)),1)</f>
        <v/>
      </c>
      <c r="ADL34" s="12">
        <f>ADL33+ADF34-ADF22*(AnnualChurn*VLOOKUP(ACP34,ChurnSeasonTable,4,FALSE))*POWER(1-(AnnualChurn*VLOOKUP(ACP34,ChurnSeasonTable,4,FALSE)),0)+ADF10*(AnnualChurn*VLOOKUP(ACP34,ChurnSeasonTable,4,FALSE))*POWER(1-(AnnualChurn*VLOOKUP(ACP34,ChurnSeasonTable,4,FALSE)),1)</f>
        <v/>
      </c>
      <c r="ADM34" s="12">
        <f>ADG34+ADH34+ADI34+ADJ34+ADK34+ADL34</f>
        <v/>
      </c>
      <c r="ADN34" s="9">
        <f>ADG34*BlendedPriceEssMonthly*ACS34+ADH34*BlendedPricePremMonthly*ACS34+ADI34*BlendedPriceEliteMonthly*ACS34+ADJ34*BlendedPriceEssAnnual*ACS34/12+ADK34*BlendedPricePremAnnual*ACS34/12+ADL34*BlendedPriceEliteAnnual*ACS34/12</f>
        <v/>
      </c>
      <c r="ADO34" s="9">
        <f>ADN34*12</f>
        <v/>
      </c>
      <c r="ADP34" s="12">
        <f>ADG34*BlendedPriceEssMonthly*ACS34+ADH34*BlendedPricePremMonthly*ACS34+ADI34*BlendedPriceEliteMonthly*ACS34</f>
        <v/>
      </c>
      <c r="ADQ34" s="12">
        <f>ADD34*BlendedPriceEssAnnual*ACS34+ADE34*BlendedPricePremAnnual*ACS34+ADF34*BlendedPriceEliteAnnual*ACS34</f>
        <v/>
      </c>
      <c r="ADR34" s="12">
        <f>ADD22*POWER(1-(AnnualChurn*VLOOKUP(ACP34,ChurnSeasonTable,4,FALSE)),1)*BlendedPriceEssAnnual*ACS34+ADD10*POWER(1-(AnnualChurn*VLOOKUP(ACP34,ChurnSeasonTable,4,FALSE)),2)*BlendedPriceEssAnnual*ACS34+ADE22*POWER(1-(AnnualChurn*VLOOKUP(ACP34,ChurnSeasonTable,4,FALSE)),1)*BlendedPricePremAnnual*ACS34+ADE10*POWER(1-(AnnualChurn*VLOOKUP(ACP34,ChurnSeasonTable,4,FALSE)),2)*BlendedPricePremAnnual*ACS34+ADF22*POWER(1-(AnnualChurn*VLOOKUP(ACP34,ChurnSeasonTable,4,FALSE)),1)*BlendedPriceEliteAnnual*ACS34+ADF10*POWER(1-(AnnualChurn*VLOOKUP(ACP34,ChurnSeasonTable,4,FALSE)),2)*BlendedPriceEliteAnnual*ACS34</f>
        <v/>
      </c>
      <c r="ADS34" s="9">
        <f>ADP34+ADQ34+ADR34</f>
        <v/>
      </c>
      <c r="ADT34" s="12">
        <f>SUM(ADS23:ADS34)</f>
        <v/>
      </c>
      <c r="ADU34" s="12">
        <f>OR(ADU33,IF(VATAgentMode,SUM($ADS23:$ADS34)-SUM($ADZ23:$ADZ34)&gt;=VATThreshold,SUM($ADS23:$ADS34)&gt;=VATThreshold))</f>
        <v/>
      </c>
      <c r="ADV34" s="9">
        <f>IF(ADU34,IF(VATAgentMode,ADS34-((ADS34-ADZ34)-(ADS34-ADZ34)/(1+VATRate)),ADS34/(1+VATRate)),ADS34)</f>
        <v/>
      </c>
      <c r="ADW34" s="12">
        <f>ADS34-ADV34</f>
        <v/>
      </c>
      <c r="ADX34" s="12">
        <f>IF(ADU34=0,0,IF(ACP34=1,SUMPRODUCT(--(($ACQ$5:$ACQ34=$ACQ34-1)*($ACP$5:$ACP34&gt;=10)*($ACP$5:$ACP34&lt;=12)),$ADW$5:$ADW34),IF(ACP34=4,SUMPRODUCT(--(($ACQ$5:$ACQ34=$ACQ34)*($ACP$5:$ACP34&gt;=1)*($ACP$5:$ACP34&lt;=3)),$ADW$5:$ADW34),IF(ACP34=7,SUMPRODUCT(--(($ACQ$5:$ACQ34=$ACQ34)*($ACP$5:$ACP34&gt;=4)*($ACP$5:$ACP34&lt;=6)),$ADW$5:$ADW34),IF(ACP34=10,SUMPRODUCT(--(($ACQ$5:$ACQ34=$ACQ34)*($ACP$5:$ACP34&gt;=7)*($ACP$5:$ACP34&lt;=9)),$ADW$5:$ADW34),0)))))</f>
        <v/>
      </c>
      <c r="ADY34" s="12">
        <f>ADY33+ADW34-ADX34</f>
        <v/>
      </c>
      <c r="ADZ34" s="12">
        <f>IF(ProviderDelay&gt;=1,ADG33*BlendedProvPayEss+ADH33*BlendedProvPayPrem+ADI33*BlendedProvPayElite+ADJ33*BlendedProvPayEss+ADK33*BlendedProvPayPrem+ADL33*BlendedProvPayElite,ADG34*BlendedProvPayEss+ADH34*BlendedProvPayPrem+ADI34*BlendedProvPayElite+ADJ34*BlendedProvPayEss+ADK34*BlendedProvPayPrem+ADL34*BlendedProvPayElite)</f>
        <v/>
      </c>
      <c r="AEA34" s="12">
        <f>ADS34*PaymentFee</f>
        <v/>
      </c>
      <c r="AEB34" s="12">
        <f>ADM34*OpsAI</f>
        <v/>
      </c>
      <c r="AEC34" s="12">
        <f>MonthlyFixed</f>
        <v/>
      </c>
      <c r="AED34" s="12">
        <f>ACW34*ReferralReward</f>
        <v/>
      </c>
      <c r="AEE34" s="12">
        <f>ACU34</f>
        <v/>
      </c>
      <c r="AEF34" s="9">
        <f>ADV34-ADZ34-AEA34-AEB34-AEC34-AED34-AEE34</f>
        <v/>
      </c>
      <c r="AEG34" s="9">
        <f>AEG33+ADS34-(ADZ34+AEA34+AEB34+AEC34+AED34+AEE34+ADX34)</f>
        <v/>
      </c>
      <c r="AEH34" s="12">
        <f>IF(ADM34&gt;0,ADN34/ADM34,0)</f>
        <v/>
      </c>
      <c r="AEI34" s="11">
        <f>IF(ADM33&gt;0,MAX(0,(ADM33+ACX34-ADM34)/ADM33),0)</f>
        <v/>
      </c>
      <c r="AEK34" s="12" t="n">
        <v>30</v>
      </c>
      <c r="AEL34" s="12">
        <f>MOD(AEK34-1+LaunchMonth-1,12)+1</f>
        <v/>
      </c>
      <c r="AEM34" s="12">
        <f>INT((AEK34-1+LaunchMonth-1)/12)+1</f>
        <v/>
      </c>
      <c r="AEN34" s="12">
        <f>VLOOKUP(AEL34,SeasonTable,2,FALSE)</f>
        <v/>
      </c>
      <c r="AEO34" s="12">
        <f>(1+InflationRate)^INT((AEK34-1)/12)</f>
        <v/>
      </c>
      <c r="AEP34" s="11">
        <f>MonthlyChurn*VLOOKUP(AEL34,ChurnSeasonTable,4,FALSE)</f>
        <v/>
      </c>
      <c r="AEQ34" s="12">
        <f>MIN(MAX(MktMin19plus,AFO33*MktPct19plus),MAX(0,AGC33-CashBuffer))</f>
        <v/>
      </c>
      <c r="AER34" s="12">
        <f>IF(AEQ34&gt;0,MAX(1,ROUND(AEQ34/CAC*AEN34,0)),0)</f>
        <v/>
      </c>
      <c r="AES34" s="12">
        <f>IF(AER34&gt;0,ROUND(AER34*ReferralMix/(1-ReferralMix),0),0)</f>
        <v/>
      </c>
      <c r="AET34" s="12">
        <f>AER34+AES34</f>
        <v/>
      </c>
      <c r="AEU34" s="12">
        <f>ROUND(AET34*(1-'Sens - Annual Mix'!$A$14),0)</f>
        <v/>
      </c>
      <c r="AEV34" s="12">
        <f>AET34-AEU34</f>
        <v/>
      </c>
      <c r="AEW34" s="12">
        <f>ROUND(AEU34*EssentialMix,0)</f>
        <v/>
      </c>
      <c r="AEX34" s="12">
        <f>ROUND(AEU34*PremiumMix,0)</f>
        <v/>
      </c>
      <c r="AEY34" s="12">
        <f>AEU34-AEW34-AEX34</f>
        <v/>
      </c>
      <c r="AEZ34" s="12">
        <f>ROUND(AEV34*EssentialMix,0)</f>
        <v/>
      </c>
      <c r="AFA34" s="12">
        <f>ROUND(AEV34*PremiumMix,0)</f>
        <v/>
      </c>
      <c r="AFB34" s="12">
        <f>AEV34-AEZ34-AFA34</f>
        <v/>
      </c>
      <c r="AFC34" s="12">
        <f>AEW34+AEW33+AEW32+MAX(0,AFC33-AEW33-AEW32)*(1-AEP34)</f>
        <v/>
      </c>
      <c r="AFD34" s="12">
        <f>AEX34+AEX33+AEX32+MAX(0,AFD33-AEX33-AEX32)*(1-AEP34)</f>
        <v/>
      </c>
      <c r="AFE34" s="12">
        <f>AEY34+AEY33+AEY32+MAX(0,AFE33-AEY33-AEY32)*(1-AEP34)</f>
        <v/>
      </c>
      <c r="AFF34" s="12">
        <f>AFF33+AEZ34-AEZ22*(AnnualChurn*VLOOKUP(AEL34,ChurnSeasonTable,4,FALSE))*POWER(1-(AnnualChurn*VLOOKUP(AEL34,ChurnSeasonTable,4,FALSE)),0)+AEZ10*(AnnualChurn*VLOOKUP(AEL34,ChurnSeasonTable,4,FALSE))*POWER(1-(AnnualChurn*VLOOKUP(AEL34,ChurnSeasonTable,4,FALSE)),1)</f>
        <v/>
      </c>
      <c r="AFG34" s="12">
        <f>AFG33+AFA34-AFA22*(AnnualChurn*VLOOKUP(AEL34,ChurnSeasonTable,4,FALSE))*POWER(1-(AnnualChurn*VLOOKUP(AEL34,ChurnSeasonTable,4,FALSE)),0)+AFA10*(AnnualChurn*VLOOKUP(AEL34,ChurnSeasonTable,4,FALSE))*POWER(1-(AnnualChurn*VLOOKUP(AEL34,ChurnSeasonTable,4,FALSE)),1)</f>
        <v/>
      </c>
      <c r="AFH34" s="12">
        <f>AFH33+AFB34-AFB22*(AnnualChurn*VLOOKUP(AEL34,ChurnSeasonTable,4,FALSE))*POWER(1-(AnnualChurn*VLOOKUP(AEL34,ChurnSeasonTable,4,FALSE)),0)+AFB10*(AnnualChurn*VLOOKUP(AEL34,ChurnSeasonTable,4,FALSE))*POWER(1-(AnnualChurn*VLOOKUP(AEL34,ChurnSeasonTable,4,FALSE)),1)</f>
        <v/>
      </c>
      <c r="AFI34" s="12">
        <f>AFC34+AFD34+AFE34+AFF34+AFG34+AFH34</f>
        <v/>
      </c>
      <c r="AFJ34" s="9">
        <f>AFC34*BlendedPriceEssMonthly*AEO34+AFD34*BlendedPricePremMonthly*AEO34+AFE34*BlendedPriceEliteMonthly*AEO34+AFF34*BlendedPriceEssAnnual*AEO34/12+AFG34*BlendedPricePremAnnual*AEO34/12+AFH34*BlendedPriceEliteAnnual*AEO34/12</f>
        <v/>
      </c>
      <c r="AFK34" s="9">
        <f>AFJ34*12</f>
        <v/>
      </c>
      <c r="AFL34" s="12">
        <f>AFC34*BlendedPriceEssMonthly*AEO34+AFD34*BlendedPricePremMonthly*AEO34+AFE34*BlendedPriceEliteMonthly*AEO34</f>
        <v/>
      </c>
      <c r="AFM34" s="12">
        <f>AEZ34*BlendedPriceEssAnnual*AEO34+AFA34*BlendedPricePremAnnual*AEO34+AFB34*BlendedPriceEliteAnnual*AEO34</f>
        <v/>
      </c>
      <c r="AFN34" s="12">
        <f>AEZ22*POWER(1-(AnnualChurn*VLOOKUP(AEL34,ChurnSeasonTable,4,FALSE)),1)*BlendedPriceEssAnnual*AEO34+AEZ10*POWER(1-(AnnualChurn*VLOOKUP(AEL34,ChurnSeasonTable,4,FALSE)),2)*BlendedPriceEssAnnual*AEO34+AFA22*POWER(1-(AnnualChurn*VLOOKUP(AEL34,ChurnSeasonTable,4,FALSE)),1)*BlendedPricePremAnnual*AEO34+AFA10*POWER(1-(AnnualChurn*VLOOKUP(AEL34,ChurnSeasonTable,4,FALSE)),2)*BlendedPricePremAnnual*AEO34+AFB22*POWER(1-(AnnualChurn*VLOOKUP(AEL34,ChurnSeasonTable,4,FALSE)),1)*BlendedPriceEliteAnnual*AEO34+AFB10*POWER(1-(AnnualChurn*VLOOKUP(AEL34,ChurnSeasonTable,4,FALSE)),2)*BlendedPriceEliteAnnual*AEO34</f>
        <v/>
      </c>
      <c r="AFO34" s="9">
        <f>AFL34+AFM34+AFN34</f>
        <v/>
      </c>
      <c r="AFP34" s="12">
        <f>SUM(AFO23:AFO34)</f>
        <v/>
      </c>
      <c r="AFQ34" s="12">
        <f>OR(AFQ33,IF(VATAgentMode,SUM($AFO23:$AFO34)-SUM($AFV23:$AFV34)&gt;=VATThreshold,SUM($AFO23:$AFO34)&gt;=VATThreshold))</f>
        <v/>
      </c>
      <c r="AFR34" s="9">
        <f>IF(AFQ34,IF(VATAgentMode,AFO34-((AFO34-AFV34)-(AFO34-AFV34)/(1+VATRate)),AFO34/(1+VATRate)),AFO34)</f>
        <v/>
      </c>
      <c r="AFS34" s="12">
        <f>AFO34-AFR34</f>
        <v/>
      </c>
      <c r="AFT34" s="12">
        <f>IF(AFQ34=0,0,IF(AEL34=1,SUMPRODUCT(--(($AEM$5:$AEM34=$AEM34-1)*($AEL$5:$AEL34&gt;=10)*($AEL$5:$AEL34&lt;=12)),$AFS$5:$AFS34),IF(AEL34=4,SUMPRODUCT(--(($AEM$5:$AEM34=$AEM34)*($AEL$5:$AEL34&gt;=1)*($AEL$5:$AEL34&lt;=3)),$AFS$5:$AFS34),IF(AEL34=7,SUMPRODUCT(--(($AEM$5:$AEM34=$AEM34)*($AEL$5:$AEL34&gt;=4)*($AEL$5:$AEL34&lt;=6)),$AFS$5:$AFS34),IF(AEL34=10,SUMPRODUCT(--(($AEM$5:$AEM34=$AEM34)*($AEL$5:$AEL34&gt;=7)*($AEL$5:$AEL34&lt;=9)),$AFS$5:$AFS34),0)))))</f>
        <v/>
      </c>
      <c r="AFU34" s="12">
        <f>AFU33+AFS34-AFT34</f>
        <v/>
      </c>
      <c r="AFV34" s="12">
        <f>IF(ProviderDelay&gt;=1,AFC33*BlendedProvPayEss+AFD33*BlendedProvPayPrem+AFE33*BlendedProvPayElite+AFF33*BlendedProvPayEss+AFG33*BlendedProvPayPrem+AFH33*BlendedProvPayElite,AFC34*BlendedProvPayEss+AFD34*BlendedProvPayPrem+AFE34*BlendedProvPayElite+AFF34*BlendedProvPayEss+AFG34*BlendedProvPayPrem+AFH34*BlendedProvPayElite)</f>
        <v/>
      </c>
      <c r="AFW34" s="12">
        <f>AFO34*PaymentFee</f>
        <v/>
      </c>
      <c r="AFX34" s="12">
        <f>AFI34*OpsAI</f>
        <v/>
      </c>
      <c r="AFY34" s="12">
        <f>MonthlyFixed</f>
        <v/>
      </c>
      <c r="AFZ34" s="12">
        <f>AES34*ReferralReward</f>
        <v/>
      </c>
      <c r="AGA34" s="12">
        <f>AEQ34</f>
        <v/>
      </c>
      <c r="AGB34" s="9">
        <f>AFR34-AFV34-AFW34-AFX34-AFY34-AFZ34-AGA34</f>
        <v/>
      </c>
      <c r="AGC34" s="9">
        <f>AGC33+AFO34-(AFV34+AFW34+AFX34+AFY34+AFZ34+AGA34+AFT34)</f>
        <v/>
      </c>
      <c r="AGD34" s="12">
        <f>IF(AFI34&gt;0,AFJ34/AFI34,0)</f>
        <v/>
      </c>
      <c r="AGE34" s="11">
        <f>IF(AFI33&gt;0,MAX(0,(AFI33+AET34-AFI34)/AFI33),0)</f>
        <v/>
      </c>
      <c r="AGG34" s="12" t="n">
        <v>30</v>
      </c>
      <c r="AGH34" s="12">
        <f>MOD(AGG34-1+LaunchMonth-1,12)+1</f>
        <v/>
      </c>
      <c r="AGI34" s="12">
        <f>INT((AGG34-1+LaunchMonth-1)/12)+1</f>
        <v/>
      </c>
      <c r="AGJ34" s="12">
        <f>VLOOKUP(AGH34,SeasonTable,2,FALSE)</f>
        <v/>
      </c>
      <c r="AGK34" s="12">
        <f>(1+InflationRate)^INT((AGG34-1)/12)</f>
        <v/>
      </c>
      <c r="AGL34" s="11">
        <f>MonthlyChurn*VLOOKUP(AGH34,ChurnSeasonTable,4,FALSE)</f>
        <v/>
      </c>
      <c r="AGM34" s="12">
        <f>MIN(MAX(MktMin19plus,AHK33*MktPct19plus),MAX(0,AHY33-CashBuffer))</f>
        <v/>
      </c>
      <c r="AGN34" s="12">
        <f>IF(AGM34&gt;0,MAX(1,ROUND(AGM34/CAC*AGJ34,0)),0)</f>
        <v/>
      </c>
      <c r="AGO34" s="12">
        <f>IF(AGN34&gt;0,ROUND(AGN34*ReferralMix/(1-ReferralMix),0),0)</f>
        <v/>
      </c>
      <c r="AGP34" s="12">
        <f>AGN34+AGO34</f>
        <v/>
      </c>
      <c r="AGQ34" s="12">
        <f>ROUND(AGP34*(1-'Sens - Annual Mix'!$A$15),0)</f>
        <v/>
      </c>
      <c r="AGR34" s="12">
        <f>AGP34-AGQ34</f>
        <v/>
      </c>
      <c r="AGS34" s="12">
        <f>ROUND(AGQ34*EssentialMix,0)</f>
        <v/>
      </c>
      <c r="AGT34" s="12">
        <f>ROUND(AGQ34*PremiumMix,0)</f>
        <v/>
      </c>
      <c r="AGU34" s="12">
        <f>AGQ34-AGS34-AGT34</f>
        <v/>
      </c>
      <c r="AGV34" s="12">
        <f>ROUND(AGR34*EssentialMix,0)</f>
        <v/>
      </c>
      <c r="AGW34" s="12">
        <f>ROUND(AGR34*PremiumMix,0)</f>
        <v/>
      </c>
      <c r="AGX34" s="12">
        <f>AGR34-AGV34-AGW34</f>
        <v/>
      </c>
      <c r="AGY34" s="12">
        <f>AGS34+AGS33+AGS32+MAX(0,AGY33-AGS33-AGS32)*(1-AGL34)</f>
        <v/>
      </c>
      <c r="AGZ34" s="12">
        <f>AGT34+AGT33+AGT32+MAX(0,AGZ33-AGT33-AGT32)*(1-AGL34)</f>
        <v/>
      </c>
      <c r="AHA34" s="12">
        <f>AGU34+AGU33+AGU32+MAX(0,AHA33-AGU33-AGU32)*(1-AGL34)</f>
        <v/>
      </c>
      <c r="AHB34" s="12">
        <f>AHB33+AGV34-AGV22*(AnnualChurn*VLOOKUP(AGH34,ChurnSeasonTable,4,FALSE))*POWER(1-(AnnualChurn*VLOOKUP(AGH34,ChurnSeasonTable,4,FALSE)),0)+AGV10*(AnnualChurn*VLOOKUP(AGH34,ChurnSeasonTable,4,FALSE))*POWER(1-(AnnualChurn*VLOOKUP(AGH34,ChurnSeasonTable,4,FALSE)),1)</f>
        <v/>
      </c>
      <c r="AHC34" s="12">
        <f>AHC33+AGW34-AGW22*(AnnualChurn*VLOOKUP(AGH34,ChurnSeasonTable,4,FALSE))*POWER(1-(AnnualChurn*VLOOKUP(AGH34,ChurnSeasonTable,4,FALSE)),0)+AGW10*(AnnualChurn*VLOOKUP(AGH34,ChurnSeasonTable,4,FALSE))*POWER(1-(AnnualChurn*VLOOKUP(AGH34,ChurnSeasonTable,4,FALSE)),1)</f>
        <v/>
      </c>
      <c r="AHD34" s="12">
        <f>AHD33+AGX34-AGX22*(AnnualChurn*VLOOKUP(AGH34,ChurnSeasonTable,4,FALSE))*POWER(1-(AnnualChurn*VLOOKUP(AGH34,ChurnSeasonTable,4,FALSE)),0)+AGX10*(AnnualChurn*VLOOKUP(AGH34,ChurnSeasonTable,4,FALSE))*POWER(1-(AnnualChurn*VLOOKUP(AGH34,ChurnSeasonTable,4,FALSE)),1)</f>
        <v/>
      </c>
      <c r="AHE34" s="12">
        <f>AGY34+AGZ34+AHA34+AHB34+AHC34+AHD34</f>
        <v/>
      </c>
      <c r="AHF34" s="9">
        <f>AGY34*BlendedPriceEssMonthly*AGK34+AGZ34*BlendedPricePremMonthly*AGK34+AHA34*BlendedPriceEliteMonthly*AGK34+AHB34*BlendedPriceEssAnnual*AGK34/12+AHC34*BlendedPricePremAnnual*AGK34/12+AHD34*BlendedPriceEliteAnnual*AGK34/12</f>
        <v/>
      </c>
      <c r="AHG34" s="9">
        <f>AHF34*12</f>
        <v/>
      </c>
      <c r="AHH34" s="12">
        <f>AGY34*BlendedPriceEssMonthly*AGK34+AGZ34*BlendedPricePremMonthly*AGK34+AHA34*BlendedPriceEliteMonthly*AGK34</f>
        <v/>
      </c>
      <c r="AHI34" s="12">
        <f>AGV34*BlendedPriceEssAnnual*AGK34+AGW34*BlendedPricePremAnnual*AGK34+AGX34*BlendedPriceEliteAnnual*AGK34</f>
        <v/>
      </c>
      <c r="AHJ34" s="12">
        <f>AGV22*POWER(1-(AnnualChurn*VLOOKUP(AGH34,ChurnSeasonTable,4,FALSE)),1)*BlendedPriceEssAnnual*AGK34+AGV10*POWER(1-(AnnualChurn*VLOOKUP(AGH34,ChurnSeasonTable,4,FALSE)),2)*BlendedPriceEssAnnual*AGK34+AGW22*POWER(1-(AnnualChurn*VLOOKUP(AGH34,ChurnSeasonTable,4,FALSE)),1)*BlendedPricePremAnnual*AGK34+AGW10*POWER(1-(AnnualChurn*VLOOKUP(AGH34,ChurnSeasonTable,4,FALSE)),2)*BlendedPricePremAnnual*AGK34+AGX22*POWER(1-(AnnualChurn*VLOOKUP(AGH34,ChurnSeasonTable,4,FALSE)),1)*BlendedPriceEliteAnnual*AGK34+AGX10*POWER(1-(AnnualChurn*VLOOKUP(AGH34,ChurnSeasonTable,4,FALSE)),2)*BlendedPriceEliteAnnual*AGK34</f>
        <v/>
      </c>
      <c r="AHK34" s="9">
        <f>AHH34+AHI34+AHJ34</f>
        <v/>
      </c>
      <c r="AHL34" s="12">
        <f>SUM(AHK23:AHK34)</f>
        <v/>
      </c>
      <c r="AHM34" s="12">
        <f>OR(AHM33,IF(VATAgentMode,SUM($AHK23:$AHK34)-SUM($AHR23:$AHR34)&gt;=VATThreshold,SUM($AHK23:$AHK34)&gt;=VATThreshold))</f>
        <v/>
      </c>
      <c r="AHN34" s="9">
        <f>IF(AHM34,IF(VATAgentMode,AHK34-((AHK34-AHR34)-(AHK34-AHR34)/(1+VATRate)),AHK34/(1+VATRate)),AHK34)</f>
        <v/>
      </c>
      <c r="AHO34" s="12">
        <f>AHK34-AHN34</f>
        <v/>
      </c>
      <c r="AHP34" s="12">
        <f>IF(AHM34=0,0,IF(AGH34=1,SUMPRODUCT(--(($AGI$5:$AGI34=$AGI34-1)*($AGH$5:$AGH34&gt;=10)*($AGH$5:$AGH34&lt;=12)),$AHO$5:$AHO34),IF(AGH34=4,SUMPRODUCT(--(($AGI$5:$AGI34=$AGI34)*($AGH$5:$AGH34&gt;=1)*($AGH$5:$AGH34&lt;=3)),$AHO$5:$AHO34),IF(AGH34=7,SUMPRODUCT(--(($AGI$5:$AGI34=$AGI34)*($AGH$5:$AGH34&gt;=4)*($AGH$5:$AGH34&lt;=6)),$AHO$5:$AHO34),IF(AGH34=10,SUMPRODUCT(--(($AGI$5:$AGI34=$AGI34)*($AGH$5:$AGH34&gt;=7)*($AGH$5:$AGH34&lt;=9)),$AHO$5:$AHO34),0)))))</f>
        <v/>
      </c>
      <c r="AHQ34" s="12">
        <f>AHQ33+AHO34-AHP34</f>
        <v/>
      </c>
      <c r="AHR34" s="12">
        <f>IF(ProviderDelay&gt;=1,AGY33*BlendedProvPayEss+AGZ33*BlendedProvPayPrem+AHA33*BlendedProvPayElite+AHB33*BlendedProvPayEss+AHC33*BlendedProvPayPrem+AHD33*BlendedProvPayElite,AGY34*BlendedProvPayEss+AGZ34*BlendedProvPayPrem+AHA34*BlendedProvPayElite+AHB34*BlendedProvPayEss+AHC34*BlendedProvPayPrem+AHD34*BlendedProvPayElite)</f>
        <v/>
      </c>
      <c r="AHS34" s="12">
        <f>AHK34*PaymentFee</f>
        <v/>
      </c>
      <c r="AHT34" s="12">
        <f>AHE34*OpsAI</f>
        <v/>
      </c>
      <c r="AHU34" s="12">
        <f>MonthlyFixed</f>
        <v/>
      </c>
      <c r="AHV34" s="12">
        <f>AGO34*ReferralReward</f>
        <v/>
      </c>
      <c r="AHW34" s="12">
        <f>AGM34</f>
        <v/>
      </c>
      <c r="AHX34" s="9">
        <f>AHN34-AHR34-AHS34-AHT34-AHU34-AHV34-AHW34</f>
        <v/>
      </c>
      <c r="AHY34" s="9">
        <f>AHY33+AHK34-(AHR34+AHS34+AHT34+AHU34+AHV34+AHW34+AHP34)</f>
        <v/>
      </c>
      <c r="AHZ34" s="12">
        <f>IF(AHE34&gt;0,AHF34/AHE34,0)</f>
        <v/>
      </c>
      <c r="AIA34" s="11">
        <f>IF(AHE33&gt;0,MAX(0,(AHE33+AGP34-AHE34)/AHE33),0)</f>
        <v/>
      </c>
      <c r="AIC34" s="12" t="n">
        <v>30</v>
      </c>
      <c r="AID34" s="12">
        <f>MOD(AIC34-1+LaunchMonth-1,12)+1</f>
        <v/>
      </c>
      <c r="AIE34" s="12">
        <f>INT((AIC34-1+LaunchMonth-1)/12)+1</f>
        <v/>
      </c>
      <c r="AIF34" s="12">
        <f>VLOOKUP(AID34,SeasonTable,2,FALSE)</f>
        <v/>
      </c>
      <c r="AIG34" s="12">
        <f>(1+InflationRate)^INT((AIC34-1)/12)</f>
        <v/>
      </c>
      <c r="AIH34" s="11">
        <f>MonthlyChurn*VLOOKUP(AID34,ChurnSeasonTable,4,FALSE)</f>
        <v/>
      </c>
      <c r="AII34" s="12">
        <f>MIN(MAX(MktMin19plus,AJG33*MktPct19plus),MAX(0,AJU33-CashBuffer))</f>
        <v/>
      </c>
      <c r="AIJ34" s="12">
        <f>IF(AII34&gt;0,MAX(1,ROUND(AII34/'Sens - CAC &amp; Marketing'!$A$9*AIF34,0)),0)</f>
        <v/>
      </c>
      <c r="AIK34" s="12">
        <f>IF(AIJ34&gt;0,ROUND(AIJ34*ReferralMix/(1-ReferralMix),0),0)</f>
        <v/>
      </c>
      <c r="AIL34" s="12">
        <f>AIJ34+AIK34</f>
        <v/>
      </c>
      <c r="AIM34" s="12">
        <f>ROUND(AIL34*(1-AnnualMix),0)</f>
        <v/>
      </c>
      <c r="AIN34" s="12">
        <f>AIL34-AIM34</f>
        <v/>
      </c>
      <c r="AIO34" s="12">
        <f>ROUND(AIM34*EssentialMix,0)</f>
        <v/>
      </c>
      <c r="AIP34" s="12">
        <f>ROUND(AIM34*PremiumMix,0)</f>
        <v/>
      </c>
      <c r="AIQ34" s="12">
        <f>AIM34-AIO34-AIP34</f>
        <v/>
      </c>
      <c r="AIR34" s="12">
        <f>ROUND(AIN34*EssentialMix,0)</f>
        <v/>
      </c>
      <c r="AIS34" s="12">
        <f>ROUND(AIN34*PremiumMix,0)</f>
        <v/>
      </c>
      <c r="AIT34" s="12">
        <f>AIN34-AIR34-AIS34</f>
        <v/>
      </c>
      <c r="AIU34" s="12">
        <f>AIO34+AIO33+AIO32+MAX(0,AIU33-AIO33-AIO32)*(1-AIH34)</f>
        <v/>
      </c>
      <c r="AIV34" s="12">
        <f>AIP34+AIP33+AIP32+MAX(0,AIV33-AIP33-AIP32)*(1-AIH34)</f>
        <v/>
      </c>
      <c r="AIW34" s="12">
        <f>AIQ34+AIQ33+AIQ32+MAX(0,AIW33-AIQ33-AIQ32)*(1-AIH34)</f>
        <v/>
      </c>
      <c r="AIX34" s="12">
        <f>AIX33+AIR34-AIR22*(AnnualChurn*VLOOKUP(AID34,ChurnSeasonTable,4,FALSE))*POWER(1-(AnnualChurn*VLOOKUP(AID34,ChurnSeasonTable,4,FALSE)),0)+AIR10*(AnnualChurn*VLOOKUP(AID34,ChurnSeasonTable,4,FALSE))*POWER(1-(AnnualChurn*VLOOKUP(AID34,ChurnSeasonTable,4,FALSE)),1)</f>
        <v/>
      </c>
      <c r="AIY34" s="12">
        <f>AIY33+AIS34-AIS22*(AnnualChurn*VLOOKUP(AID34,ChurnSeasonTable,4,FALSE))*POWER(1-(AnnualChurn*VLOOKUP(AID34,ChurnSeasonTable,4,FALSE)),0)+AIS10*(AnnualChurn*VLOOKUP(AID34,ChurnSeasonTable,4,FALSE))*POWER(1-(AnnualChurn*VLOOKUP(AID34,ChurnSeasonTable,4,FALSE)),1)</f>
        <v/>
      </c>
      <c r="AIZ34" s="12">
        <f>AIZ33+AIT34-AIT22*(AnnualChurn*VLOOKUP(AID34,ChurnSeasonTable,4,FALSE))*POWER(1-(AnnualChurn*VLOOKUP(AID34,ChurnSeasonTable,4,FALSE)),0)+AIT10*(AnnualChurn*VLOOKUP(AID34,ChurnSeasonTable,4,FALSE))*POWER(1-(AnnualChurn*VLOOKUP(AID34,ChurnSeasonTable,4,FALSE)),1)</f>
        <v/>
      </c>
      <c r="AJA34" s="12">
        <f>AIU34+AIV34+AIW34+AIX34+AIY34+AIZ34</f>
        <v/>
      </c>
      <c r="AJB34" s="9">
        <f>AIU34*BlendedPriceEssMonthly*AIG34+AIV34*BlendedPricePremMonthly*AIG34+AIW34*BlendedPriceEliteMonthly*AIG34+AIX34*BlendedPriceEssAnnual*AIG34/12+AIY34*BlendedPricePremAnnual*AIG34/12+AIZ34*BlendedPriceEliteAnnual*AIG34/12</f>
        <v/>
      </c>
      <c r="AJC34" s="9">
        <f>AJB34*12</f>
        <v/>
      </c>
      <c r="AJD34" s="12">
        <f>AIU34*BlendedPriceEssMonthly*AIG34+AIV34*BlendedPricePremMonthly*AIG34+AIW34*BlendedPriceEliteMonthly*AIG34</f>
        <v/>
      </c>
      <c r="AJE34" s="12">
        <f>AIR34*BlendedPriceEssAnnual*AIG34+AIS34*BlendedPricePremAnnual*AIG34+AIT34*BlendedPriceEliteAnnual*AIG34</f>
        <v/>
      </c>
      <c r="AJF34" s="12">
        <f>AIR22*POWER(1-(AnnualChurn*VLOOKUP(AID34,ChurnSeasonTable,4,FALSE)),1)*BlendedPriceEssAnnual*AIG34+AIR10*POWER(1-(AnnualChurn*VLOOKUP(AID34,ChurnSeasonTable,4,FALSE)),2)*BlendedPriceEssAnnual*AIG34+AIS22*POWER(1-(AnnualChurn*VLOOKUP(AID34,ChurnSeasonTable,4,FALSE)),1)*BlendedPricePremAnnual*AIG34+AIS10*POWER(1-(AnnualChurn*VLOOKUP(AID34,ChurnSeasonTable,4,FALSE)),2)*BlendedPricePremAnnual*AIG34+AIT22*POWER(1-(AnnualChurn*VLOOKUP(AID34,ChurnSeasonTable,4,FALSE)),1)*BlendedPriceEliteAnnual*AIG34+AIT10*POWER(1-(AnnualChurn*VLOOKUP(AID34,ChurnSeasonTable,4,FALSE)),2)*BlendedPriceEliteAnnual*AIG34</f>
        <v/>
      </c>
      <c r="AJG34" s="9">
        <f>AJD34+AJE34+AJF34</f>
        <v/>
      </c>
      <c r="AJH34" s="12">
        <f>SUM(AJG23:AJG34)</f>
        <v/>
      </c>
      <c r="AJI34" s="12">
        <f>OR(AJI33,IF(VATAgentMode,SUM($AJG23:$AJG34)-SUM($AJN23:$AJN34)&gt;=VATThreshold,SUM($AJG23:$AJG34)&gt;=VATThreshold))</f>
        <v/>
      </c>
      <c r="AJJ34" s="9">
        <f>IF(AJI34,IF(VATAgentMode,AJG34-((AJG34-AJN34)-(AJG34-AJN34)/(1+VATRate)),AJG34/(1+VATRate)),AJG34)</f>
        <v/>
      </c>
      <c r="AJK34" s="12">
        <f>AJG34-AJJ34</f>
        <v/>
      </c>
      <c r="AJL34" s="12">
        <f>IF(AJI34=0,0,IF(AID34=1,SUMPRODUCT(--(($AIE$5:$AIE34=$AIE34-1)*($AID$5:$AID34&gt;=10)*($AID$5:$AID34&lt;=12)),$AJK$5:$AJK34),IF(AID34=4,SUMPRODUCT(--(($AIE$5:$AIE34=$AIE34)*($AID$5:$AID34&gt;=1)*($AID$5:$AID34&lt;=3)),$AJK$5:$AJK34),IF(AID34=7,SUMPRODUCT(--(($AIE$5:$AIE34=$AIE34)*($AID$5:$AID34&gt;=4)*($AID$5:$AID34&lt;=6)),$AJK$5:$AJK34),IF(AID34=10,SUMPRODUCT(--(($AIE$5:$AIE34=$AIE34)*($AID$5:$AID34&gt;=7)*($AID$5:$AID34&lt;=9)),$AJK$5:$AJK34),0)))))</f>
        <v/>
      </c>
      <c r="AJM34" s="12">
        <f>AJM33+AJK34-AJL34</f>
        <v/>
      </c>
      <c r="AJN34" s="12">
        <f>IF(ProviderDelay&gt;=1,AIU33*BlendedProvPayEss+AIV33*BlendedProvPayPrem+AIW33*BlendedProvPayElite+AIX33*BlendedProvPayEss+AIY33*BlendedProvPayPrem+AIZ33*BlendedProvPayElite,AIU34*BlendedProvPayEss+AIV34*BlendedProvPayPrem+AIW34*BlendedProvPayElite+AIX34*BlendedProvPayEss+AIY34*BlendedProvPayPrem+AIZ34*BlendedProvPayElite)</f>
        <v/>
      </c>
      <c r="AJO34" s="12">
        <f>AJG34*PaymentFee</f>
        <v/>
      </c>
      <c r="AJP34" s="12">
        <f>AJA34*OpsAI</f>
        <v/>
      </c>
      <c r="AJQ34" s="12">
        <f>MonthlyFixed</f>
        <v/>
      </c>
      <c r="AJR34" s="12">
        <f>AIK34*ReferralReward</f>
        <v/>
      </c>
      <c r="AJS34" s="12">
        <f>AII34</f>
        <v/>
      </c>
      <c r="AJT34" s="9">
        <f>AJJ34-AJN34-AJO34-AJP34-AJQ34-AJR34-AJS34</f>
        <v/>
      </c>
      <c r="AJU34" s="9">
        <f>AJU33+AJG34-(AJN34+AJO34+AJP34+AJQ34+AJR34+AJS34+AJL34)</f>
        <v/>
      </c>
      <c r="AJV34" s="12">
        <f>IF(AJA34&gt;0,AJB34/AJA34,0)</f>
        <v/>
      </c>
      <c r="AJW34" s="11">
        <f>IF(AJA33&gt;0,MAX(0,(AJA33+AIL34-AJA34)/AJA33),0)</f>
        <v/>
      </c>
      <c r="AJY34" s="12" t="n">
        <v>30</v>
      </c>
      <c r="AJZ34" s="12">
        <f>MOD(AJY34-1+LaunchMonth-1,12)+1</f>
        <v/>
      </c>
      <c r="AKA34" s="12">
        <f>INT((AJY34-1+LaunchMonth-1)/12)+1</f>
        <v/>
      </c>
      <c r="AKB34" s="12">
        <f>VLOOKUP(AJZ34,SeasonTable,2,FALSE)</f>
        <v/>
      </c>
      <c r="AKC34" s="12">
        <f>(1+InflationRate)^INT((AJY34-1)/12)</f>
        <v/>
      </c>
      <c r="AKD34" s="11">
        <f>MonthlyChurn*VLOOKUP(AJZ34,ChurnSeasonTable,4,FALSE)</f>
        <v/>
      </c>
      <c r="AKE34" s="12">
        <f>MIN(MAX(MktMin19plus,ALC33*MktPct19plus),MAX(0,ALQ33-CashBuffer))</f>
        <v/>
      </c>
      <c r="AKF34" s="12">
        <f>IF(AKE34&gt;0,MAX(1,ROUND(AKE34/'Sens - CAC &amp; Marketing'!$A$10*AKB34,0)),0)</f>
        <v/>
      </c>
      <c r="AKG34" s="12">
        <f>IF(AKF34&gt;0,ROUND(AKF34*ReferralMix/(1-ReferralMix),0),0)</f>
        <v/>
      </c>
      <c r="AKH34" s="12">
        <f>AKF34+AKG34</f>
        <v/>
      </c>
      <c r="AKI34" s="12">
        <f>ROUND(AKH34*(1-AnnualMix),0)</f>
        <v/>
      </c>
      <c r="AKJ34" s="12">
        <f>AKH34-AKI34</f>
        <v/>
      </c>
      <c r="AKK34" s="12">
        <f>ROUND(AKI34*EssentialMix,0)</f>
        <v/>
      </c>
      <c r="AKL34" s="12">
        <f>ROUND(AKI34*PremiumMix,0)</f>
        <v/>
      </c>
      <c r="AKM34" s="12">
        <f>AKI34-AKK34-AKL34</f>
        <v/>
      </c>
      <c r="AKN34" s="12">
        <f>ROUND(AKJ34*EssentialMix,0)</f>
        <v/>
      </c>
      <c r="AKO34" s="12">
        <f>ROUND(AKJ34*PremiumMix,0)</f>
        <v/>
      </c>
      <c r="AKP34" s="12">
        <f>AKJ34-AKN34-AKO34</f>
        <v/>
      </c>
      <c r="AKQ34" s="12">
        <f>AKK34+AKK33+AKK32+MAX(0,AKQ33-AKK33-AKK32)*(1-AKD34)</f>
        <v/>
      </c>
      <c r="AKR34" s="12">
        <f>AKL34+AKL33+AKL32+MAX(0,AKR33-AKL33-AKL32)*(1-AKD34)</f>
        <v/>
      </c>
      <c r="AKS34" s="12">
        <f>AKM34+AKM33+AKM32+MAX(0,AKS33-AKM33-AKM32)*(1-AKD34)</f>
        <v/>
      </c>
      <c r="AKT34" s="12">
        <f>AKT33+AKN34-AKN22*(AnnualChurn*VLOOKUP(AJZ34,ChurnSeasonTable,4,FALSE))*POWER(1-(AnnualChurn*VLOOKUP(AJZ34,ChurnSeasonTable,4,FALSE)),0)+AKN10*(AnnualChurn*VLOOKUP(AJZ34,ChurnSeasonTable,4,FALSE))*POWER(1-(AnnualChurn*VLOOKUP(AJZ34,ChurnSeasonTable,4,FALSE)),1)</f>
        <v/>
      </c>
      <c r="AKU34" s="12">
        <f>AKU33+AKO34-AKO22*(AnnualChurn*VLOOKUP(AJZ34,ChurnSeasonTable,4,FALSE))*POWER(1-(AnnualChurn*VLOOKUP(AJZ34,ChurnSeasonTable,4,FALSE)),0)+AKO10*(AnnualChurn*VLOOKUP(AJZ34,ChurnSeasonTable,4,FALSE))*POWER(1-(AnnualChurn*VLOOKUP(AJZ34,ChurnSeasonTable,4,FALSE)),1)</f>
        <v/>
      </c>
      <c r="AKV34" s="12">
        <f>AKV33+AKP34-AKP22*(AnnualChurn*VLOOKUP(AJZ34,ChurnSeasonTable,4,FALSE))*POWER(1-(AnnualChurn*VLOOKUP(AJZ34,ChurnSeasonTable,4,FALSE)),0)+AKP10*(AnnualChurn*VLOOKUP(AJZ34,ChurnSeasonTable,4,FALSE))*POWER(1-(AnnualChurn*VLOOKUP(AJZ34,ChurnSeasonTable,4,FALSE)),1)</f>
        <v/>
      </c>
      <c r="AKW34" s="12">
        <f>AKQ34+AKR34+AKS34+AKT34+AKU34+AKV34</f>
        <v/>
      </c>
      <c r="AKX34" s="9">
        <f>AKQ34*BlendedPriceEssMonthly*AKC34+AKR34*BlendedPricePremMonthly*AKC34+AKS34*BlendedPriceEliteMonthly*AKC34+AKT34*BlendedPriceEssAnnual*AKC34/12+AKU34*BlendedPricePremAnnual*AKC34/12+AKV34*BlendedPriceEliteAnnual*AKC34/12</f>
        <v/>
      </c>
      <c r="AKY34" s="9">
        <f>AKX34*12</f>
        <v/>
      </c>
      <c r="AKZ34" s="12">
        <f>AKQ34*BlendedPriceEssMonthly*AKC34+AKR34*BlendedPricePremMonthly*AKC34+AKS34*BlendedPriceEliteMonthly*AKC34</f>
        <v/>
      </c>
      <c r="ALA34" s="12">
        <f>AKN34*BlendedPriceEssAnnual*AKC34+AKO34*BlendedPricePremAnnual*AKC34+AKP34*BlendedPriceEliteAnnual*AKC34</f>
        <v/>
      </c>
      <c r="ALB34" s="12">
        <f>AKN22*POWER(1-(AnnualChurn*VLOOKUP(AJZ34,ChurnSeasonTable,4,FALSE)),1)*BlendedPriceEssAnnual*AKC34+AKN10*POWER(1-(AnnualChurn*VLOOKUP(AJZ34,ChurnSeasonTable,4,FALSE)),2)*BlendedPriceEssAnnual*AKC34+AKO22*POWER(1-(AnnualChurn*VLOOKUP(AJZ34,ChurnSeasonTable,4,FALSE)),1)*BlendedPricePremAnnual*AKC34+AKO10*POWER(1-(AnnualChurn*VLOOKUP(AJZ34,ChurnSeasonTable,4,FALSE)),2)*BlendedPricePremAnnual*AKC34+AKP22*POWER(1-(AnnualChurn*VLOOKUP(AJZ34,ChurnSeasonTable,4,FALSE)),1)*BlendedPriceEliteAnnual*AKC34+AKP10*POWER(1-(AnnualChurn*VLOOKUP(AJZ34,ChurnSeasonTable,4,FALSE)),2)*BlendedPriceEliteAnnual*AKC34</f>
        <v/>
      </c>
      <c r="ALC34" s="9">
        <f>AKZ34+ALA34+ALB34</f>
        <v/>
      </c>
      <c r="ALD34" s="12">
        <f>SUM(ALC23:ALC34)</f>
        <v/>
      </c>
      <c r="ALE34" s="12">
        <f>OR(ALE33,IF(VATAgentMode,SUM($ALC23:$ALC34)-SUM($ALJ23:$ALJ34)&gt;=VATThreshold,SUM($ALC23:$ALC34)&gt;=VATThreshold))</f>
        <v/>
      </c>
      <c r="ALF34" s="9">
        <f>IF(ALE34,IF(VATAgentMode,ALC34-((ALC34-ALJ34)-(ALC34-ALJ34)/(1+VATRate)),ALC34/(1+VATRate)),ALC34)</f>
        <v/>
      </c>
      <c r="ALG34" s="12">
        <f>ALC34-ALF34</f>
        <v/>
      </c>
      <c r="ALH34" s="12">
        <f>IF(ALE34=0,0,IF(AJZ34=1,SUMPRODUCT(--(($AKA$5:$AKA34=$AKA34-1)*($AJZ$5:$AJZ34&gt;=10)*($AJZ$5:$AJZ34&lt;=12)),$ALG$5:$ALG34),IF(AJZ34=4,SUMPRODUCT(--(($AKA$5:$AKA34=$AKA34)*($AJZ$5:$AJZ34&gt;=1)*($AJZ$5:$AJZ34&lt;=3)),$ALG$5:$ALG34),IF(AJZ34=7,SUMPRODUCT(--(($AKA$5:$AKA34=$AKA34)*($AJZ$5:$AJZ34&gt;=4)*($AJZ$5:$AJZ34&lt;=6)),$ALG$5:$ALG34),IF(AJZ34=10,SUMPRODUCT(--(($AKA$5:$AKA34=$AKA34)*($AJZ$5:$AJZ34&gt;=7)*($AJZ$5:$AJZ34&lt;=9)),$ALG$5:$ALG34),0)))))</f>
        <v/>
      </c>
      <c r="ALI34" s="12">
        <f>ALI33+ALG34-ALH34</f>
        <v/>
      </c>
      <c r="ALJ34" s="12">
        <f>IF(ProviderDelay&gt;=1,AKQ33*BlendedProvPayEss+AKR33*BlendedProvPayPrem+AKS33*BlendedProvPayElite+AKT33*BlendedProvPayEss+AKU33*BlendedProvPayPrem+AKV33*BlendedProvPayElite,AKQ34*BlendedProvPayEss+AKR34*BlendedProvPayPrem+AKS34*BlendedProvPayElite+AKT34*BlendedProvPayEss+AKU34*BlendedProvPayPrem+AKV34*BlendedProvPayElite)</f>
        <v/>
      </c>
      <c r="ALK34" s="12">
        <f>ALC34*PaymentFee</f>
        <v/>
      </c>
      <c r="ALL34" s="12">
        <f>AKW34*OpsAI</f>
        <v/>
      </c>
      <c r="ALM34" s="12">
        <f>MonthlyFixed</f>
        <v/>
      </c>
      <c r="ALN34" s="12">
        <f>AKG34*ReferralReward</f>
        <v/>
      </c>
      <c r="ALO34" s="12">
        <f>AKE34</f>
        <v/>
      </c>
      <c r="ALP34" s="9">
        <f>ALF34-ALJ34-ALK34-ALL34-ALM34-ALN34-ALO34</f>
        <v/>
      </c>
      <c r="ALQ34" s="9">
        <f>ALQ33+ALC34-(ALJ34+ALK34+ALL34+ALM34+ALN34+ALO34+ALH34)</f>
        <v/>
      </c>
      <c r="ALR34" s="12">
        <f>IF(AKW34&gt;0,AKX34/AKW34,0)</f>
        <v/>
      </c>
      <c r="ALS34" s="11">
        <f>IF(AKW33&gt;0,MAX(0,(AKW33+AKH34-AKW34)/AKW33),0)</f>
        <v/>
      </c>
      <c r="ALU34" s="12" t="n">
        <v>30</v>
      </c>
      <c r="ALV34" s="12">
        <f>MOD(ALU34-1+LaunchMonth-1,12)+1</f>
        <v/>
      </c>
      <c r="ALW34" s="12">
        <f>INT((ALU34-1+LaunchMonth-1)/12)+1</f>
        <v/>
      </c>
      <c r="ALX34" s="12">
        <f>VLOOKUP(ALV34,SeasonTable,2,FALSE)</f>
        <v/>
      </c>
      <c r="ALY34" s="12">
        <f>(1+InflationRate)^INT((ALU34-1)/12)</f>
        <v/>
      </c>
      <c r="ALZ34" s="11">
        <f>MonthlyChurn*VLOOKUP(ALV34,ChurnSeasonTable,4,FALSE)</f>
        <v/>
      </c>
      <c r="AMA34" s="12">
        <f>MIN(MAX(MktMin19plus,AMY33*MktPct19plus),MAX(0,ANM33-CashBuffer))</f>
        <v/>
      </c>
      <c r="AMB34" s="12">
        <f>IF(AMA34&gt;0,MAX(1,ROUND(AMA34/'Sens - CAC &amp; Marketing'!$A$11*ALX34,0)),0)</f>
        <v/>
      </c>
      <c r="AMC34" s="12">
        <f>IF(AMB34&gt;0,ROUND(AMB34*ReferralMix/(1-ReferralMix),0),0)</f>
        <v/>
      </c>
      <c r="AMD34" s="12">
        <f>AMB34+AMC34</f>
        <v/>
      </c>
      <c r="AME34" s="12">
        <f>ROUND(AMD34*(1-AnnualMix),0)</f>
        <v/>
      </c>
      <c r="AMF34" s="12">
        <f>AMD34-AME34</f>
        <v/>
      </c>
      <c r="AMG34" s="12">
        <f>ROUND(AME34*EssentialMix,0)</f>
        <v/>
      </c>
      <c r="AMH34" s="12">
        <f>ROUND(AME34*PremiumMix,0)</f>
        <v/>
      </c>
      <c r="AMI34" s="12">
        <f>AME34-AMG34-AMH34</f>
        <v/>
      </c>
      <c r="AMJ34" s="12">
        <f>ROUND(AMF34*EssentialMix,0)</f>
        <v/>
      </c>
      <c r="AMK34" s="12">
        <f>ROUND(AMF34*PremiumMix,0)</f>
        <v/>
      </c>
      <c r="AML34" s="12">
        <f>AMF34-AMJ34-AMK34</f>
        <v/>
      </c>
      <c r="AMM34" s="12">
        <f>AMG34+AMG33+AMG32+MAX(0,AMM33-AMG33-AMG32)*(1-ALZ34)</f>
        <v/>
      </c>
      <c r="AMN34" s="12">
        <f>AMH34+AMH33+AMH32+MAX(0,AMN33-AMH33-AMH32)*(1-ALZ34)</f>
        <v/>
      </c>
      <c r="AMO34" s="12">
        <f>AMI34+AMI33+AMI32+MAX(0,AMO33-AMI33-AMI32)*(1-ALZ34)</f>
        <v/>
      </c>
      <c r="AMP34" s="12">
        <f>AMP33+AMJ34-AMJ22*(AnnualChurn*VLOOKUP(ALV34,ChurnSeasonTable,4,FALSE))*POWER(1-(AnnualChurn*VLOOKUP(ALV34,ChurnSeasonTable,4,FALSE)),0)+AMJ10*(AnnualChurn*VLOOKUP(ALV34,ChurnSeasonTable,4,FALSE))*POWER(1-(AnnualChurn*VLOOKUP(ALV34,ChurnSeasonTable,4,FALSE)),1)</f>
        <v/>
      </c>
      <c r="AMQ34" s="12">
        <f>AMQ33+AMK34-AMK22*(AnnualChurn*VLOOKUP(ALV34,ChurnSeasonTable,4,FALSE))*POWER(1-(AnnualChurn*VLOOKUP(ALV34,ChurnSeasonTable,4,FALSE)),0)+AMK10*(AnnualChurn*VLOOKUP(ALV34,ChurnSeasonTable,4,FALSE))*POWER(1-(AnnualChurn*VLOOKUP(ALV34,ChurnSeasonTable,4,FALSE)),1)</f>
        <v/>
      </c>
      <c r="AMR34" s="12">
        <f>AMR33+AML34-AML22*(AnnualChurn*VLOOKUP(ALV34,ChurnSeasonTable,4,FALSE))*POWER(1-(AnnualChurn*VLOOKUP(ALV34,ChurnSeasonTable,4,FALSE)),0)+AML10*(AnnualChurn*VLOOKUP(ALV34,ChurnSeasonTable,4,FALSE))*POWER(1-(AnnualChurn*VLOOKUP(ALV34,ChurnSeasonTable,4,FALSE)),1)</f>
        <v/>
      </c>
      <c r="AMS34" s="12">
        <f>AMM34+AMN34+AMO34+AMP34+AMQ34+AMR34</f>
        <v/>
      </c>
      <c r="AMT34" s="9">
        <f>AMM34*BlendedPriceEssMonthly*ALY34+AMN34*BlendedPricePremMonthly*ALY34+AMO34*BlendedPriceEliteMonthly*ALY34+AMP34*BlendedPriceEssAnnual*ALY34/12+AMQ34*BlendedPricePremAnnual*ALY34/12+AMR34*BlendedPriceEliteAnnual*ALY34/12</f>
        <v/>
      </c>
      <c r="AMU34" s="9">
        <f>AMT34*12</f>
        <v/>
      </c>
      <c r="AMV34" s="12">
        <f>AMM34*BlendedPriceEssMonthly*ALY34+AMN34*BlendedPricePremMonthly*ALY34+AMO34*BlendedPriceEliteMonthly*ALY34</f>
        <v/>
      </c>
      <c r="AMW34" s="12">
        <f>AMJ34*BlendedPriceEssAnnual*ALY34+AMK34*BlendedPricePremAnnual*ALY34+AML34*BlendedPriceEliteAnnual*ALY34</f>
        <v/>
      </c>
      <c r="AMX34" s="12">
        <f>AMJ22*POWER(1-(AnnualChurn*VLOOKUP(ALV34,ChurnSeasonTable,4,FALSE)),1)*BlendedPriceEssAnnual*ALY34+AMJ10*POWER(1-(AnnualChurn*VLOOKUP(ALV34,ChurnSeasonTable,4,FALSE)),2)*BlendedPriceEssAnnual*ALY34+AMK22*POWER(1-(AnnualChurn*VLOOKUP(ALV34,ChurnSeasonTable,4,FALSE)),1)*BlendedPricePremAnnual*ALY34+AMK10*POWER(1-(AnnualChurn*VLOOKUP(ALV34,ChurnSeasonTable,4,FALSE)),2)*BlendedPricePremAnnual*ALY34+AML22*POWER(1-(AnnualChurn*VLOOKUP(ALV34,ChurnSeasonTable,4,FALSE)),1)*BlendedPriceEliteAnnual*ALY34+AML10*POWER(1-(AnnualChurn*VLOOKUP(ALV34,ChurnSeasonTable,4,FALSE)),2)*BlendedPriceEliteAnnual*ALY34</f>
        <v/>
      </c>
      <c r="AMY34" s="9">
        <f>AMV34+AMW34+AMX34</f>
        <v/>
      </c>
      <c r="AMZ34" s="12">
        <f>SUM(AMY23:AMY34)</f>
        <v/>
      </c>
      <c r="ANA34" s="12">
        <f>OR(ANA33,IF(VATAgentMode,SUM($AMY23:$AMY34)-SUM($ANF23:$ANF34)&gt;=VATThreshold,SUM($AMY23:$AMY34)&gt;=VATThreshold))</f>
        <v/>
      </c>
      <c r="ANB34" s="9">
        <f>IF(ANA34,IF(VATAgentMode,AMY34-((AMY34-ANF34)-(AMY34-ANF34)/(1+VATRate)),AMY34/(1+VATRate)),AMY34)</f>
        <v/>
      </c>
      <c r="ANC34" s="12">
        <f>AMY34-ANB34</f>
        <v/>
      </c>
      <c r="AND34" s="12">
        <f>IF(ANA34=0,0,IF(ALV34=1,SUMPRODUCT(--(($ALW$5:$ALW34=$ALW34-1)*($ALV$5:$ALV34&gt;=10)*($ALV$5:$ALV34&lt;=12)),$ANC$5:$ANC34),IF(ALV34=4,SUMPRODUCT(--(($ALW$5:$ALW34=$ALW34)*($ALV$5:$ALV34&gt;=1)*($ALV$5:$ALV34&lt;=3)),$ANC$5:$ANC34),IF(ALV34=7,SUMPRODUCT(--(($ALW$5:$ALW34=$ALW34)*($ALV$5:$ALV34&gt;=4)*($ALV$5:$ALV34&lt;=6)),$ANC$5:$ANC34),IF(ALV34=10,SUMPRODUCT(--(($ALW$5:$ALW34=$ALW34)*($ALV$5:$ALV34&gt;=7)*($ALV$5:$ALV34&lt;=9)),$ANC$5:$ANC34),0)))))</f>
        <v/>
      </c>
      <c r="ANE34" s="12">
        <f>ANE33+ANC34-AND34</f>
        <v/>
      </c>
      <c r="ANF34" s="12">
        <f>IF(ProviderDelay&gt;=1,AMM33*BlendedProvPayEss+AMN33*BlendedProvPayPrem+AMO33*BlendedProvPayElite+AMP33*BlendedProvPayEss+AMQ33*BlendedProvPayPrem+AMR33*BlendedProvPayElite,AMM34*BlendedProvPayEss+AMN34*BlendedProvPayPrem+AMO34*BlendedProvPayElite+AMP34*BlendedProvPayEss+AMQ34*BlendedProvPayPrem+AMR34*BlendedProvPayElite)</f>
        <v/>
      </c>
      <c r="ANG34" s="12">
        <f>AMY34*PaymentFee</f>
        <v/>
      </c>
      <c r="ANH34" s="12">
        <f>AMS34*OpsAI</f>
        <v/>
      </c>
      <c r="ANI34" s="12">
        <f>MonthlyFixed</f>
        <v/>
      </c>
      <c r="ANJ34" s="12">
        <f>AMC34*ReferralReward</f>
        <v/>
      </c>
      <c r="ANK34" s="12">
        <f>AMA34</f>
        <v/>
      </c>
      <c r="ANL34" s="9">
        <f>ANB34-ANF34-ANG34-ANH34-ANI34-ANJ34-ANK34</f>
        <v/>
      </c>
      <c r="ANM34" s="9">
        <f>ANM33+AMY34-(ANF34+ANG34+ANH34+ANI34+ANJ34+ANK34+AND34)</f>
        <v/>
      </c>
      <c r="ANN34" s="12">
        <f>IF(AMS34&gt;0,AMT34/AMS34,0)</f>
        <v/>
      </c>
      <c r="ANO34" s="11">
        <f>IF(AMS33&gt;0,MAX(0,(AMS33+AMD34-AMS34)/AMS33),0)</f>
        <v/>
      </c>
      <c r="ANQ34" s="12" t="n">
        <v>30</v>
      </c>
      <c r="ANR34" s="12">
        <f>MOD(ANQ34-1+LaunchMonth-1,12)+1</f>
        <v/>
      </c>
      <c r="ANS34" s="12">
        <f>INT((ANQ34-1+LaunchMonth-1)/12)+1</f>
        <v/>
      </c>
      <c r="ANT34" s="12">
        <f>VLOOKUP(ANR34,SeasonTable,2,FALSE)</f>
        <v/>
      </c>
      <c r="ANU34" s="12">
        <f>(1+InflationRate)^INT((ANQ34-1)/12)</f>
        <v/>
      </c>
      <c r="ANV34" s="11">
        <f>MonthlyChurn*VLOOKUP(ANR34,ChurnSeasonTable,4,FALSE)</f>
        <v/>
      </c>
      <c r="ANW34" s="12">
        <f>MIN(MAX(MktMin19plus,AOU33*MktPct19plus),MAX(0,API33-CashBuffer))</f>
        <v/>
      </c>
      <c r="ANX34" s="12">
        <f>IF(ANW34&gt;0,MAX(1,ROUND(ANW34/'Sens - CAC &amp; Marketing'!$A$12*ANT34,0)),0)</f>
        <v/>
      </c>
      <c r="ANY34" s="12">
        <f>IF(ANX34&gt;0,ROUND(ANX34*ReferralMix/(1-ReferralMix),0),0)</f>
        <v/>
      </c>
      <c r="ANZ34" s="12">
        <f>ANX34+ANY34</f>
        <v/>
      </c>
      <c r="AOA34" s="12">
        <f>ROUND(ANZ34*(1-AnnualMix),0)</f>
        <v/>
      </c>
      <c r="AOB34" s="12">
        <f>ANZ34-AOA34</f>
        <v/>
      </c>
      <c r="AOC34" s="12">
        <f>ROUND(AOA34*EssentialMix,0)</f>
        <v/>
      </c>
      <c r="AOD34" s="12">
        <f>ROUND(AOA34*PremiumMix,0)</f>
        <v/>
      </c>
      <c r="AOE34" s="12">
        <f>AOA34-AOC34-AOD34</f>
        <v/>
      </c>
      <c r="AOF34" s="12">
        <f>ROUND(AOB34*EssentialMix,0)</f>
        <v/>
      </c>
      <c r="AOG34" s="12">
        <f>ROUND(AOB34*PremiumMix,0)</f>
        <v/>
      </c>
      <c r="AOH34" s="12">
        <f>AOB34-AOF34-AOG34</f>
        <v/>
      </c>
      <c r="AOI34" s="12">
        <f>AOC34+AOC33+AOC32+MAX(0,AOI33-AOC33-AOC32)*(1-ANV34)</f>
        <v/>
      </c>
      <c r="AOJ34" s="12">
        <f>AOD34+AOD33+AOD32+MAX(0,AOJ33-AOD33-AOD32)*(1-ANV34)</f>
        <v/>
      </c>
      <c r="AOK34" s="12">
        <f>AOE34+AOE33+AOE32+MAX(0,AOK33-AOE33-AOE32)*(1-ANV34)</f>
        <v/>
      </c>
      <c r="AOL34" s="12">
        <f>AOL33+AOF34-AOF22*(AnnualChurn*VLOOKUP(ANR34,ChurnSeasonTable,4,FALSE))*POWER(1-(AnnualChurn*VLOOKUP(ANR34,ChurnSeasonTable,4,FALSE)),0)+AOF10*(AnnualChurn*VLOOKUP(ANR34,ChurnSeasonTable,4,FALSE))*POWER(1-(AnnualChurn*VLOOKUP(ANR34,ChurnSeasonTable,4,FALSE)),1)</f>
        <v/>
      </c>
      <c r="AOM34" s="12">
        <f>AOM33+AOG34-AOG22*(AnnualChurn*VLOOKUP(ANR34,ChurnSeasonTable,4,FALSE))*POWER(1-(AnnualChurn*VLOOKUP(ANR34,ChurnSeasonTable,4,FALSE)),0)+AOG10*(AnnualChurn*VLOOKUP(ANR34,ChurnSeasonTable,4,FALSE))*POWER(1-(AnnualChurn*VLOOKUP(ANR34,ChurnSeasonTable,4,FALSE)),1)</f>
        <v/>
      </c>
      <c r="AON34" s="12">
        <f>AON33+AOH34-AOH22*(AnnualChurn*VLOOKUP(ANR34,ChurnSeasonTable,4,FALSE))*POWER(1-(AnnualChurn*VLOOKUP(ANR34,ChurnSeasonTable,4,FALSE)),0)+AOH10*(AnnualChurn*VLOOKUP(ANR34,ChurnSeasonTable,4,FALSE))*POWER(1-(AnnualChurn*VLOOKUP(ANR34,ChurnSeasonTable,4,FALSE)),1)</f>
        <v/>
      </c>
      <c r="AOO34" s="12">
        <f>AOI34+AOJ34+AOK34+AOL34+AOM34+AON34</f>
        <v/>
      </c>
      <c r="AOP34" s="9">
        <f>AOI34*BlendedPriceEssMonthly*ANU34+AOJ34*BlendedPricePremMonthly*ANU34+AOK34*BlendedPriceEliteMonthly*ANU34+AOL34*BlendedPriceEssAnnual*ANU34/12+AOM34*BlendedPricePremAnnual*ANU34/12+AON34*BlendedPriceEliteAnnual*ANU34/12</f>
        <v/>
      </c>
      <c r="AOQ34" s="9">
        <f>AOP34*12</f>
        <v/>
      </c>
      <c r="AOR34" s="12">
        <f>AOI34*BlendedPriceEssMonthly*ANU34+AOJ34*BlendedPricePremMonthly*ANU34+AOK34*BlendedPriceEliteMonthly*ANU34</f>
        <v/>
      </c>
      <c r="AOS34" s="12">
        <f>AOF34*BlendedPriceEssAnnual*ANU34+AOG34*BlendedPricePremAnnual*ANU34+AOH34*BlendedPriceEliteAnnual*ANU34</f>
        <v/>
      </c>
      <c r="AOT34" s="12">
        <f>AOF22*POWER(1-(AnnualChurn*VLOOKUP(ANR34,ChurnSeasonTable,4,FALSE)),1)*BlendedPriceEssAnnual*ANU34+AOF10*POWER(1-(AnnualChurn*VLOOKUP(ANR34,ChurnSeasonTable,4,FALSE)),2)*BlendedPriceEssAnnual*ANU34+AOG22*POWER(1-(AnnualChurn*VLOOKUP(ANR34,ChurnSeasonTable,4,FALSE)),1)*BlendedPricePremAnnual*ANU34+AOG10*POWER(1-(AnnualChurn*VLOOKUP(ANR34,ChurnSeasonTable,4,FALSE)),2)*BlendedPricePremAnnual*ANU34+AOH22*POWER(1-(AnnualChurn*VLOOKUP(ANR34,ChurnSeasonTable,4,FALSE)),1)*BlendedPriceEliteAnnual*ANU34+AOH10*POWER(1-(AnnualChurn*VLOOKUP(ANR34,ChurnSeasonTable,4,FALSE)),2)*BlendedPriceEliteAnnual*ANU34</f>
        <v/>
      </c>
      <c r="AOU34" s="9">
        <f>AOR34+AOS34+AOT34</f>
        <v/>
      </c>
      <c r="AOV34" s="12">
        <f>SUM(AOU23:AOU34)</f>
        <v/>
      </c>
      <c r="AOW34" s="12">
        <f>OR(AOW33,IF(VATAgentMode,SUM($AOU23:$AOU34)-SUM($APB23:$APB34)&gt;=VATThreshold,SUM($AOU23:$AOU34)&gt;=VATThreshold))</f>
        <v/>
      </c>
      <c r="AOX34" s="9">
        <f>IF(AOW34,IF(VATAgentMode,AOU34-((AOU34-APB34)-(AOU34-APB34)/(1+VATRate)),AOU34/(1+VATRate)),AOU34)</f>
        <v/>
      </c>
      <c r="AOY34" s="12">
        <f>AOU34-AOX34</f>
        <v/>
      </c>
      <c r="AOZ34" s="12">
        <f>IF(AOW34=0,0,IF(ANR34=1,SUMPRODUCT(--(($ANS$5:$ANS34=$ANS34-1)*($ANR$5:$ANR34&gt;=10)*($ANR$5:$ANR34&lt;=12)),$AOY$5:$AOY34),IF(ANR34=4,SUMPRODUCT(--(($ANS$5:$ANS34=$ANS34)*($ANR$5:$ANR34&gt;=1)*($ANR$5:$ANR34&lt;=3)),$AOY$5:$AOY34),IF(ANR34=7,SUMPRODUCT(--(($ANS$5:$ANS34=$ANS34)*($ANR$5:$ANR34&gt;=4)*($ANR$5:$ANR34&lt;=6)),$AOY$5:$AOY34),IF(ANR34=10,SUMPRODUCT(--(($ANS$5:$ANS34=$ANS34)*($ANR$5:$ANR34&gt;=7)*($ANR$5:$ANR34&lt;=9)),$AOY$5:$AOY34),0)))))</f>
        <v/>
      </c>
      <c r="APA34" s="12">
        <f>APA33+AOY34-AOZ34</f>
        <v/>
      </c>
      <c r="APB34" s="12">
        <f>IF(ProviderDelay&gt;=1,AOI33*BlendedProvPayEss+AOJ33*BlendedProvPayPrem+AOK33*BlendedProvPayElite+AOL33*BlendedProvPayEss+AOM33*BlendedProvPayPrem+AON33*BlendedProvPayElite,AOI34*BlendedProvPayEss+AOJ34*BlendedProvPayPrem+AOK34*BlendedProvPayElite+AOL34*BlendedProvPayEss+AOM34*BlendedProvPayPrem+AON34*BlendedProvPayElite)</f>
        <v/>
      </c>
      <c r="APC34" s="12">
        <f>AOU34*PaymentFee</f>
        <v/>
      </c>
      <c r="APD34" s="12">
        <f>AOO34*OpsAI</f>
        <v/>
      </c>
      <c r="APE34" s="12">
        <f>MonthlyFixed</f>
        <v/>
      </c>
      <c r="APF34" s="12">
        <f>ANY34*ReferralReward</f>
        <v/>
      </c>
      <c r="APG34" s="12">
        <f>ANW34</f>
        <v/>
      </c>
      <c r="APH34" s="9">
        <f>AOX34-APB34-APC34-APD34-APE34-APF34-APG34</f>
        <v/>
      </c>
      <c r="API34" s="9">
        <f>API33+AOU34-(APB34+APC34+APD34+APE34+APF34+APG34+AOZ34)</f>
        <v/>
      </c>
      <c r="APJ34" s="12">
        <f>IF(AOO34&gt;0,AOP34/AOO34,0)</f>
        <v/>
      </c>
      <c r="APK34" s="11">
        <f>IF(AOO33&gt;0,MAX(0,(AOO33+ANZ34-AOO34)/AOO33),0)</f>
        <v/>
      </c>
      <c r="APM34" s="12" t="n">
        <v>30</v>
      </c>
      <c r="APN34" s="12">
        <f>MOD(APM34-1+LaunchMonth-1,12)+1</f>
        <v/>
      </c>
      <c r="APO34" s="12">
        <f>INT((APM34-1+LaunchMonth-1)/12)+1</f>
        <v/>
      </c>
      <c r="APP34" s="12">
        <f>VLOOKUP(APN34,SeasonTable,2,FALSE)</f>
        <v/>
      </c>
      <c r="APQ34" s="12">
        <f>(1+InflationRate)^INT((APM34-1)/12)</f>
        <v/>
      </c>
      <c r="APR34" s="11">
        <f>MonthlyChurn*VLOOKUP(APN34,ChurnSeasonTable,4,FALSE)</f>
        <v/>
      </c>
      <c r="APS34" s="12">
        <f>MIN(MAX(MktMin19plus,AQQ33*MktPct19plus),MAX(0,ARE33-CashBuffer))</f>
        <v/>
      </c>
      <c r="APT34" s="12">
        <f>IF(APS34&gt;0,MAX(1,ROUND(APS34/'Sens - CAC &amp; Marketing'!$A$13*APP34,0)),0)</f>
        <v/>
      </c>
      <c r="APU34" s="12">
        <f>IF(APT34&gt;0,ROUND(APT34*ReferralMix/(1-ReferralMix),0),0)</f>
        <v/>
      </c>
      <c r="APV34" s="12">
        <f>APT34+APU34</f>
        <v/>
      </c>
      <c r="APW34" s="12">
        <f>ROUND(APV34*(1-AnnualMix),0)</f>
        <v/>
      </c>
      <c r="APX34" s="12">
        <f>APV34-APW34</f>
        <v/>
      </c>
      <c r="APY34" s="12">
        <f>ROUND(APW34*EssentialMix,0)</f>
        <v/>
      </c>
      <c r="APZ34" s="12">
        <f>ROUND(APW34*PremiumMix,0)</f>
        <v/>
      </c>
      <c r="AQA34" s="12">
        <f>APW34-APY34-APZ34</f>
        <v/>
      </c>
      <c r="AQB34" s="12">
        <f>ROUND(APX34*EssentialMix,0)</f>
        <v/>
      </c>
      <c r="AQC34" s="12">
        <f>ROUND(APX34*PremiumMix,0)</f>
        <v/>
      </c>
      <c r="AQD34" s="12">
        <f>APX34-AQB34-AQC34</f>
        <v/>
      </c>
      <c r="AQE34" s="12">
        <f>APY34+APY33+APY32+MAX(0,AQE33-APY33-APY32)*(1-APR34)</f>
        <v/>
      </c>
      <c r="AQF34" s="12">
        <f>APZ34+APZ33+APZ32+MAX(0,AQF33-APZ33-APZ32)*(1-APR34)</f>
        <v/>
      </c>
      <c r="AQG34" s="12">
        <f>AQA34+AQA33+AQA32+MAX(0,AQG33-AQA33-AQA32)*(1-APR34)</f>
        <v/>
      </c>
      <c r="AQH34" s="12">
        <f>AQH33+AQB34-AQB22*(AnnualChurn*VLOOKUP(APN34,ChurnSeasonTable,4,FALSE))*POWER(1-(AnnualChurn*VLOOKUP(APN34,ChurnSeasonTable,4,FALSE)),0)+AQB10*(AnnualChurn*VLOOKUP(APN34,ChurnSeasonTable,4,FALSE))*POWER(1-(AnnualChurn*VLOOKUP(APN34,ChurnSeasonTable,4,FALSE)),1)</f>
        <v/>
      </c>
      <c r="AQI34" s="12">
        <f>AQI33+AQC34-AQC22*(AnnualChurn*VLOOKUP(APN34,ChurnSeasonTable,4,FALSE))*POWER(1-(AnnualChurn*VLOOKUP(APN34,ChurnSeasonTable,4,FALSE)),0)+AQC10*(AnnualChurn*VLOOKUP(APN34,ChurnSeasonTable,4,FALSE))*POWER(1-(AnnualChurn*VLOOKUP(APN34,ChurnSeasonTable,4,FALSE)),1)</f>
        <v/>
      </c>
      <c r="AQJ34" s="12">
        <f>AQJ33+AQD34-AQD22*(AnnualChurn*VLOOKUP(APN34,ChurnSeasonTable,4,FALSE))*POWER(1-(AnnualChurn*VLOOKUP(APN34,ChurnSeasonTable,4,FALSE)),0)+AQD10*(AnnualChurn*VLOOKUP(APN34,ChurnSeasonTable,4,FALSE))*POWER(1-(AnnualChurn*VLOOKUP(APN34,ChurnSeasonTable,4,FALSE)),1)</f>
        <v/>
      </c>
      <c r="AQK34" s="12">
        <f>AQE34+AQF34+AQG34+AQH34+AQI34+AQJ34</f>
        <v/>
      </c>
      <c r="AQL34" s="9">
        <f>AQE34*BlendedPriceEssMonthly*APQ34+AQF34*BlendedPricePremMonthly*APQ34+AQG34*BlendedPriceEliteMonthly*APQ34+AQH34*BlendedPriceEssAnnual*APQ34/12+AQI34*BlendedPricePremAnnual*APQ34/12+AQJ34*BlendedPriceEliteAnnual*APQ34/12</f>
        <v/>
      </c>
      <c r="AQM34" s="9">
        <f>AQL34*12</f>
        <v/>
      </c>
      <c r="AQN34" s="12">
        <f>AQE34*BlendedPriceEssMonthly*APQ34+AQF34*BlendedPricePremMonthly*APQ34+AQG34*BlendedPriceEliteMonthly*APQ34</f>
        <v/>
      </c>
      <c r="AQO34" s="12">
        <f>AQB34*BlendedPriceEssAnnual*APQ34+AQC34*BlendedPricePremAnnual*APQ34+AQD34*BlendedPriceEliteAnnual*APQ34</f>
        <v/>
      </c>
      <c r="AQP34" s="12">
        <f>AQB22*POWER(1-(AnnualChurn*VLOOKUP(APN34,ChurnSeasonTable,4,FALSE)),1)*BlendedPriceEssAnnual*APQ34+AQB10*POWER(1-(AnnualChurn*VLOOKUP(APN34,ChurnSeasonTable,4,FALSE)),2)*BlendedPriceEssAnnual*APQ34+AQC22*POWER(1-(AnnualChurn*VLOOKUP(APN34,ChurnSeasonTable,4,FALSE)),1)*BlendedPricePremAnnual*APQ34+AQC10*POWER(1-(AnnualChurn*VLOOKUP(APN34,ChurnSeasonTable,4,FALSE)),2)*BlendedPricePremAnnual*APQ34+AQD22*POWER(1-(AnnualChurn*VLOOKUP(APN34,ChurnSeasonTable,4,FALSE)),1)*BlendedPriceEliteAnnual*APQ34+AQD10*POWER(1-(AnnualChurn*VLOOKUP(APN34,ChurnSeasonTable,4,FALSE)),2)*BlendedPriceEliteAnnual*APQ34</f>
        <v/>
      </c>
      <c r="AQQ34" s="9">
        <f>AQN34+AQO34+AQP34</f>
        <v/>
      </c>
      <c r="AQR34" s="12">
        <f>SUM(AQQ23:AQQ34)</f>
        <v/>
      </c>
      <c r="AQS34" s="12">
        <f>OR(AQS33,IF(VATAgentMode,SUM($AQQ23:$AQQ34)-SUM($AQX23:$AQX34)&gt;=VATThreshold,SUM($AQQ23:$AQQ34)&gt;=VATThreshold))</f>
        <v/>
      </c>
      <c r="AQT34" s="9">
        <f>IF(AQS34,IF(VATAgentMode,AQQ34-((AQQ34-AQX34)-(AQQ34-AQX34)/(1+VATRate)),AQQ34/(1+VATRate)),AQQ34)</f>
        <v/>
      </c>
      <c r="AQU34" s="12">
        <f>AQQ34-AQT34</f>
        <v/>
      </c>
      <c r="AQV34" s="12">
        <f>IF(AQS34=0,0,IF(APN34=1,SUMPRODUCT(--(($APO$5:$APO34=$APO34-1)*($APN$5:$APN34&gt;=10)*($APN$5:$APN34&lt;=12)),$AQU$5:$AQU34),IF(APN34=4,SUMPRODUCT(--(($APO$5:$APO34=$APO34)*($APN$5:$APN34&gt;=1)*($APN$5:$APN34&lt;=3)),$AQU$5:$AQU34),IF(APN34=7,SUMPRODUCT(--(($APO$5:$APO34=$APO34)*($APN$5:$APN34&gt;=4)*($APN$5:$APN34&lt;=6)),$AQU$5:$AQU34),IF(APN34=10,SUMPRODUCT(--(($APO$5:$APO34=$APO34)*($APN$5:$APN34&gt;=7)*($APN$5:$APN34&lt;=9)),$AQU$5:$AQU34),0)))))</f>
        <v/>
      </c>
      <c r="AQW34" s="12">
        <f>AQW33+AQU34-AQV34</f>
        <v/>
      </c>
      <c r="AQX34" s="12">
        <f>IF(ProviderDelay&gt;=1,AQE33*BlendedProvPayEss+AQF33*BlendedProvPayPrem+AQG33*BlendedProvPayElite+AQH33*BlendedProvPayEss+AQI33*BlendedProvPayPrem+AQJ33*BlendedProvPayElite,AQE34*BlendedProvPayEss+AQF34*BlendedProvPayPrem+AQG34*BlendedProvPayElite+AQH34*BlendedProvPayEss+AQI34*BlendedProvPayPrem+AQJ34*BlendedProvPayElite)</f>
        <v/>
      </c>
      <c r="AQY34" s="12">
        <f>AQQ34*PaymentFee</f>
        <v/>
      </c>
      <c r="AQZ34" s="12">
        <f>AQK34*OpsAI</f>
        <v/>
      </c>
      <c r="ARA34" s="12">
        <f>MonthlyFixed</f>
        <v/>
      </c>
      <c r="ARB34" s="12">
        <f>APU34*ReferralReward</f>
        <v/>
      </c>
      <c r="ARC34" s="12">
        <f>APS34</f>
        <v/>
      </c>
      <c r="ARD34" s="9">
        <f>AQT34-AQX34-AQY34-AQZ34-ARA34-ARB34-ARC34</f>
        <v/>
      </c>
      <c r="ARE34" s="9">
        <f>ARE33+AQQ34-(AQX34+AQY34+AQZ34+ARA34+ARB34+ARC34+AQV34)</f>
        <v/>
      </c>
      <c r="ARF34" s="12">
        <f>IF(AQK34&gt;0,AQL34/AQK34,0)</f>
        <v/>
      </c>
      <c r="ARG34" s="11">
        <f>IF(AQK33&gt;0,MAX(0,(AQK33+APV34-AQK34)/AQK33),0)</f>
        <v/>
      </c>
      <c r="ARI34" s="12" t="n">
        <v>30</v>
      </c>
      <c r="ARJ34" s="12">
        <f>MOD(ARI34-1+LaunchMonth-1,12)+1</f>
        <v/>
      </c>
      <c r="ARK34" s="12">
        <f>INT((ARI34-1+LaunchMonth-1)/12)+1</f>
        <v/>
      </c>
      <c r="ARL34" s="12">
        <f>VLOOKUP(ARJ34,SeasonTable,2,FALSE)</f>
        <v/>
      </c>
      <c r="ARM34" s="12">
        <f>(1+InflationRate)^INT((ARI34-1)/12)</f>
        <v/>
      </c>
      <c r="ARN34" s="11">
        <f>MonthlyChurn*VLOOKUP(ARJ34,ChurnSeasonTable,4,FALSE)</f>
        <v/>
      </c>
      <c r="ARO34" s="12">
        <f>MIN(MAX(MktMin19plus,ASM33*MktPct19plus),MAX(0,ATA33-CashBuffer))</f>
        <v/>
      </c>
      <c r="ARP34" s="12">
        <f>IF(ARO34&gt;0,MAX(1,ROUND(ARO34/'Sens - CAC &amp; Marketing'!$A$14*ARL34,0)),0)</f>
        <v/>
      </c>
      <c r="ARQ34" s="12">
        <f>IF(ARP34&gt;0,ROUND(ARP34*ReferralMix/(1-ReferralMix),0),0)</f>
        <v/>
      </c>
      <c r="ARR34" s="12">
        <f>ARP34+ARQ34</f>
        <v/>
      </c>
      <c r="ARS34" s="12">
        <f>ROUND(ARR34*(1-AnnualMix),0)</f>
        <v/>
      </c>
      <c r="ART34" s="12">
        <f>ARR34-ARS34</f>
        <v/>
      </c>
      <c r="ARU34" s="12">
        <f>ROUND(ARS34*EssentialMix,0)</f>
        <v/>
      </c>
      <c r="ARV34" s="12">
        <f>ROUND(ARS34*PremiumMix,0)</f>
        <v/>
      </c>
      <c r="ARW34" s="12">
        <f>ARS34-ARU34-ARV34</f>
        <v/>
      </c>
      <c r="ARX34" s="12">
        <f>ROUND(ART34*EssentialMix,0)</f>
        <v/>
      </c>
      <c r="ARY34" s="12">
        <f>ROUND(ART34*PremiumMix,0)</f>
        <v/>
      </c>
      <c r="ARZ34" s="12">
        <f>ART34-ARX34-ARY34</f>
        <v/>
      </c>
      <c r="ASA34" s="12">
        <f>ARU34+ARU33+ARU32+MAX(0,ASA33-ARU33-ARU32)*(1-ARN34)</f>
        <v/>
      </c>
      <c r="ASB34" s="12">
        <f>ARV34+ARV33+ARV32+MAX(0,ASB33-ARV33-ARV32)*(1-ARN34)</f>
        <v/>
      </c>
      <c r="ASC34" s="12">
        <f>ARW34+ARW33+ARW32+MAX(0,ASC33-ARW33-ARW32)*(1-ARN34)</f>
        <v/>
      </c>
      <c r="ASD34" s="12">
        <f>ASD33+ARX34-ARX22*(AnnualChurn*VLOOKUP(ARJ34,ChurnSeasonTable,4,FALSE))*POWER(1-(AnnualChurn*VLOOKUP(ARJ34,ChurnSeasonTable,4,FALSE)),0)+ARX10*(AnnualChurn*VLOOKUP(ARJ34,ChurnSeasonTable,4,FALSE))*POWER(1-(AnnualChurn*VLOOKUP(ARJ34,ChurnSeasonTable,4,FALSE)),1)</f>
        <v/>
      </c>
      <c r="ASE34" s="12">
        <f>ASE33+ARY34-ARY22*(AnnualChurn*VLOOKUP(ARJ34,ChurnSeasonTable,4,FALSE))*POWER(1-(AnnualChurn*VLOOKUP(ARJ34,ChurnSeasonTable,4,FALSE)),0)+ARY10*(AnnualChurn*VLOOKUP(ARJ34,ChurnSeasonTable,4,FALSE))*POWER(1-(AnnualChurn*VLOOKUP(ARJ34,ChurnSeasonTable,4,FALSE)),1)</f>
        <v/>
      </c>
      <c r="ASF34" s="12">
        <f>ASF33+ARZ34-ARZ22*(AnnualChurn*VLOOKUP(ARJ34,ChurnSeasonTable,4,FALSE))*POWER(1-(AnnualChurn*VLOOKUP(ARJ34,ChurnSeasonTable,4,FALSE)),0)+ARZ10*(AnnualChurn*VLOOKUP(ARJ34,ChurnSeasonTable,4,FALSE))*POWER(1-(AnnualChurn*VLOOKUP(ARJ34,ChurnSeasonTable,4,FALSE)),1)</f>
        <v/>
      </c>
      <c r="ASG34" s="12">
        <f>ASA34+ASB34+ASC34+ASD34+ASE34+ASF34</f>
        <v/>
      </c>
      <c r="ASH34" s="9">
        <f>ASA34*BlendedPriceEssMonthly*ARM34+ASB34*BlendedPricePremMonthly*ARM34+ASC34*BlendedPriceEliteMonthly*ARM34+ASD34*BlendedPriceEssAnnual*ARM34/12+ASE34*BlendedPricePremAnnual*ARM34/12+ASF34*BlendedPriceEliteAnnual*ARM34/12</f>
        <v/>
      </c>
      <c r="ASI34" s="9">
        <f>ASH34*12</f>
        <v/>
      </c>
      <c r="ASJ34" s="12">
        <f>ASA34*BlendedPriceEssMonthly*ARM34+ASB34*BlendedPricePremMonthly*ARM34+ASC34*BlendedPriceEliteMonthly*ARM34</f>
        <v/>
      </c>
      <c r="ASK34" s="12">
        <f>ARX34*BlendedPriceEssAnnual*ARM34+ARY34*BlendedPricePremAnnual*ARM34+ARZ34*BlendedPriceEliteAnnual*ARM34</f>
        <v/>
      </c>
      <c r="ASL34" s="12">
        <f>ARX22*POWER(1-(AnnualChurn*VLOOKUP(ARJ34,ChurnSeasonTable,4,FALSE)),1)*BlendedPriceEssAnnual*ARM34+ARX10*POWER(1-(AnnualChurn*VLOOKUP(ARJ34,ChurnSeasonTable,4,FALSE)),2)*BlendedPriceEssAnnual*ARM34+ARY22*POWER(1-(AnnualChurn*VLOOKUP(ARJ34,ChurnSeasonTable,4,FALSE)),1)*BlendedPricePremAnnual*ARM34+ARY10*POWER(1-(AnnualChurn*VLOOKUP(ARJ34,ChurnSeasonTable,4,FALSE)),2)*BlendedPricePremAnnual*ARM34+ARZ22*POWER(1-(AnnualChurn*VLOOKUP(ARJ34,ChurnSeasonTable,4,FALSE)),1)*BlendedPriceEliteAnnual*ARM34+ARZ10*POWER(1-(AnnualChurn*VLOOKUP(ARJ34,ChurnSeasonTable,4,FALSE)),2)*BlendedPriceEliteAnnual*ARM34</f>
        <v/>
      </c>
      <c r="ASM34" s="9">
        <f>ASJ34+ASK34+ASL34</f>
        <v/>
      </c>
      <c r="ASN34" s="12">
        <f>SUM(ASM23:ASM34)</f>
        <v/>
      </c>
      <c r="ASO34" s="12">
        <f>OR(ASO33,IF(VATAgentMode,SUM($ASM23:$ASM34)-SUM($AST23:$AST34)&gt;=VATThreshold,SUM($ASM23:$ASM34)&gt;=VATThreshold))</f>
        <v/>
      </c>
      <c r="ASP34" s="9">
        <f>IF(ASO34,IF(VATAgentMode,ASM34-((ASM34-AST34)-(ASM34-AST34)/(1+VATRate)),ASM34/(1+VATRate)),ASM34)</f>
        <v/>
      </c>
      <c r="ASQ34" s="12">
        <f>ASM34-ASP34</f>
        <v/>
      </c>
      <c r="ASR34" s="12">
        <f>IF(ASO34=0,0,IF(ARJ34=1,SUMPRODUCT(--(($ARK$5:$ARK34=$ARK34-1)*($ARJ$5:$ARJ34&gt;=10)*($ARJ$5:$ARJ34&lt;=12)),$ASQ$5:$ASQ34),IF(ARJ34=4,SUMPRODUCT(--(($ARK$5:$ARK34=$ARK34)*($ARJ$5:$ARJ34&gt;=1)*($ARJ$5:$ARJ34&lt;=3)),$ASQ$5:$ASQ34),IF(ARJ34=7,SUMPRODUCT(--(($ARK$5:$ARK34=$ARK34)*($ARJ$5:$ARJ34&gt;=4)*($ARJ$5:$ARJ34&lt;=6)),$ASQ$5:$ASQ34),IF(ARJ34=10,SUMPRODUCT(--(($ARK$5:$ARK34=$ARK34)*($ARJ$5:$ARJ34&gt;=7)*($ARJ$5:$ARJ34&lt;=9)),$ASQ$5:$ASQ34),0)))))</f>
        <v/>
      </c>
      <c r="ASS34" s="12">
        <f>ASS33+ASQ34-ASR34</f>
        <v/>
      </c>
      <c r="AST34" s="12">
        <f>IF(ProviderDelay&gt;=1,ASA33*BlendedProvPayEss+ASB33*BlendedProvPayPrem+ASC33*BlendedProvPayElite+ASD33*BlendedProvPayEss+ASE33*BlendedProvPayPrem+ASF33*BlendedProvPayElite,ASA34*BlendedProvPayEss+ASB34*BlendedProvPayPrem+ASC34*BlendedProvPayElite+ASD34*BlendedProvPayEss+ASE34*BlendedProvPayPrem+ASF34*BlendedProvPayElite)</f>
        <v/>
      </c>
      <c r="ASU34" s="12">
        <f>ASM34*PaymentFee</f>
        <v/>
      </c>
      <c r="ASV34" s="12">
        <f>ASG34*OpsAI</f>
        <v/>
      </c>
      <c r="ASW34" s="12">
        <f>MonthlyFixed</f>
        <v/>
      </c>
      <c r="ASX34" s="12">
        <f>ARQ34*ReferralReward</f>
        <v/>
      </c>
      <c r="ASY34" s="12">
        <f>ARO34</f>
        <v/>
      </c>
      <c r="ASZ34" s="9">
        <f>ASP34-AST34-ASU34-ASV34-ASW34-ASX34-ASY34</f>
        <v/>
      </c>
      <c r="ATA34" s="9">
        <f>ATA33+ASM34-(AST34+ASU34+ASV34+ASW34+ASX34+ASY34+ASR34)</f>
        <v/>
      </c>
      <c r="ATB34" s="12">
        <f>IF(ASG34&gt;0,ASH34/ASG34,0)</f>
        <v/>
      </c>
      <c r="ATC34" s="11">
        <f>IF(ASG33&gt;0,MAX(0,(ASG33+ARR34-ASG34)/ASG33),0)</f>
        <v/>
      </c>
      <c r="ATE34" s="12" t="n">
        <v>30</v>
      </c>
      <c r="ATF34" s="12">
        <f>MOD(ATE34-1+LaunchMonth-1,12)+1</f>
        <v/>
      </c>
      <c r="ATG34" s="12">
        <f>INT((ATE34-1+LaunchMonth-1)/12)+1</f>
        <v/>
      </c>
      <c r="ATH34" s="12">
        <f>VLOOKUP(ATF34,SeasonTable,2,FALSE)</f>
        <v/>
      </c>
      <c r="ATI34" s="12">
        <f>(1+InflationRate)^INT((ATE34-1)/12)</f>
        <v/>
      </c>
      <c r="ATJ34" s="11">
        <f>MonthlyChurn*VLOOKUP(ATF34,ChurnSeasonTable,4,FALSE)</f>
        <v/>
      </c>
      <c r="ATK34" s="12">
        <f>MIN(MAX(MktMin19plus,AUI33*MktPct19plus),MAX(0,AUW33-CashBuffer))</f>
        <v/>
      </c>
      <c r="ATL34" s="12">
        <f>IF(ATK34&gt;0,MAX(1,ROUND(ATK34/'Sens - CAC &amp; Marketing'!$A$15*ATH34,0)),0)</f>
        <v/>
      </c>
      <c r="ATM34" s="12">
        <f>IF(ATL34&gt;0,ROUND(ATL34*ReferralMix/(1-ReferralMix),0),0)</f>
        <v/>
      </c>
      <c r="ATN34" s="12">
        <f>ATL34+ATM34</f>
        <v/>
      </c>
      <c r="ATO34" s="12">
        <f>ROUND(ATN34*(1-AnnualMix),0)</f>
        <v/>
      </c>
      <c r="ATP34" s="12">
        <f>ATN34-ATO34</f>
        <v/>
      </c>
      <c r="ATQ34" s="12">
        <f>ROUND(ATO34*EssentialMix,0)</f>
        <v/>
      </c>
      <c r="ATR34" s="12">
        <f>ROUND(ATO34*PremiumMix,0)</f>
        <v/>
      </c>
      <c r="ATS34" s="12">
        <f>ATO34-ATQ34-ATR34</f>
        <v/>
      </c>
      <c r="ATT34" s="12">
        <f>ROUND(ATP34*EssentialMix,0)</f>
        <v/>
      </c>
      <c r="ATU34" s="12">
        <f>ROUND(ATP34*PremiumMix,0)</f>
        <v/>
      </c>
      <c r="ATV34" s="12">
        <f>ATP34-ATT34-ATU34</f>
        <v/>
      </c>
      <c r="ATW34" s="12">
        <f>ATQ34+ATQ33+ATQ32+MAX(0,ATW33-ATQ33-ATQ32)*(1-ATJ34)</f>
        <v/>
      </c>
      <c r="ATX34" s="12">
        <f>ATR34+ATR33+ATR32+MAX(0,ATX33-ATR33-ATR32)*(1-ATJ34)</f>
        <v/>
      </c>
      <c r="ATY34" s="12">
        <f>ATS34+ATS33+ATS32+MAX(0,ATY33-ATS33-ATS32)*(1-ATJ34)</f>
        <v/>
      </c>
      <c r="ATZ34" s="12">
        <f>ATZ33+ATT34-ATT22*(AnnualChurn*VLOOKUP(ATF34,ChurnSeasonTable,4,FALSE))*POWER(1-(AnnualChurn*VLOOKUP(ATF34,ChurnSeasonTable,4,FALSE)),0)+ATT10*(AnnualChurn*VLOOKUP(ATF34,ChurnSeasonTable,4,FALSE))*POWER(1-(AnnualChurn*VLOOKUP(ATF34,ChurnSeasonTable,4,FALSE)),1)</f>
        <v/>
      </c>
      <c r="AUA34" s="12">
        <f>AUA33+ATU34-ATU22*(AnnualChurn*VLOOKUP(ATF34,ChurnSeasonTable,4,FALSE))*POWER(1-(AnnualChurn*VLOOKUP(ATF34,ChurnSeasonTable,4,FALSE)),0)+ATU10*(AnnualChurn*VLOOKUP(ATF34,ChurnSeasonTable,4,FALSE))*POWER(1-(AnnualChurn*VLOOKUP(ATF34,ChurnSeasonTable,4,FALSE)),1)</f>
        <v/>
      </c>
      <c r="AUB34" s="12">
        <f>AUB33+ATV34-ATV22*(AnnualChurn*VLOOKUP(ATF34,ChurnSeasonTable,4,FALSE))*POWER(1-(AnnualChurn*VLOOKUP(ATF34,ChurnSeasonTable,4,FALSE)),0)+ATV10*(AnnualChurn*VLOOKUP(ATF34,ChurnSeasonTable,4,FALSE))*POWER(1-(AnnualChurn*VLOOKUP(ATF34,ChurnSeasonTable,4,FALSE)),1)</f>
        <v/>
      </c>
      <c r="AUC34" s="12">
        <f>ATW34+ATX34+ATY34+ATZ34+AUA34+AUB34</f>
        <v/>
      </c>
      <c r="AUD34" s="9">
        <f>ATW34*BlendedPriceEssMonthly*ATI34+ATX34*BlendedPricePremMonthly*ATI34+ATY34*BlendedPriceEliteMonthly*ATI34+ATZ34*BlendedPriceEssAnnual*ATI34/12+AUA34*BlendedPricePremAnnual*ATI34/12+AUB34*BlendedPriceEliteAnnual*ATI34/12</f>
        <v/>
      </c>
      <c r="AUE34" s="9">
        <f>AUD34*12</f>
        <v/>
      </c>
      <c r="AUF34" s="12">
        <f>ATW34*BlendedPriceEssMonthly*ATI34+ATX34*BlendedPricePremMonthly*ATI34+ATY34*BlendedPriceEliteMonthly*ATI34</f>
        <v/>
      </c>
      <c r="AUG34" s="12">
        <f>ATT34*BlendedPriceEssAnnual*ATI34+ATU34*BlendedPricePremAnnual*ATI34+ATV34*BlendedPriceEliteAnnual*ATI34</f>
        <v/>
      </c>
      <c r="AUH34" s="12">
        <f>ATT22*POWER(1-(AnnualChurn*VLOOKUP(ATF34,ChurnSeasonTable,4,FALSE)),1)*BlendedPriceEssAnnual*ATI34+ATT10*POWER(1-(AnnualChurn*VLOOKUP(ATF34,ChurnSeasonTable,4,FALSE)),2)*BlendedPriceEssAnnual*ATI34+ATU22*POWER(1-(AnnualChurn*VLOOKUP(ATF34,ChurnSeasonTable,4,FALSE)),1)*BlendedPricePremAnnual*ATI34+ATU10*POWER(1-(AnnualChurn*VLOOKUP(ATF34,ChurnSeasonTable,4,FALSE)),2)*BlendedPricePremAnnual*ATI34+ATV22*POWER(1-(AnnualChurn*VLOOKUP(ATF34,ChurnSeasonTable,4,FALSE)),1)*BlendedPriceEliteAnnual*ATI34+ATV10*POWER(1-(AnnualChurn*VLOOKUP(ATF34,ChurnSeasonTable,4,FALSE)),2)*BlendedPriceEliteAnnual*ATI34</f>
        <v/>
      </c>
      <c r="AUI34" s="9">
        <f>AUF34+AUG34+AUH34</f>
        <v/>
      </c>
      <c r="AUJ34" s="12">
        <f>SUM(AUI23:AUI34)</f>
        <v/>
      </c>
      <c r="AUK34" s="12">
        <f>OR(AUK33,IF(VATAgentMode,SUM($AUI23:$AUI34)-SUM($AUP23:$AUP34)&gt;=VATThreshold,SUM($AUI23:$AUI34)&gt;=VATThreshold))</f>
        <v/>
      </c>
      <c r="AUL34" s="9">
        <f>IF(AUK34,IF(VATAgentMode,AUI34-((AUI34-AUP34)-(AUI34-AUP34)/(1+VATRate)),AUI34/(1+VATRate)),AUI34)</f>
        <v/>
      </c>
      <c r="AUM34" s="12">
        <f>AUI34-AUL34</f>
        <v/>
      </c>
      <c r="AUN34" s="12">
        <f>IF(AUK34=0,0,IF(ATF34=1,SUMPRODUCT(--(($ATG$5:$ATG34=$ATG34-1)*($ATF$5:$ATF34&gt;=10)*($ATF$5:$ATF34&lt;=12)),$AUM$5:$AUM34),IF(ATF34=4,SUMPRODUCT(--(($ATG$5:$ATG34=$ATG34)*($ATF$5:$ATF34&gt;=1)*($ATF$5:$ATF34&lt;=3)),$AUM$5:$AUM34),IF(ATF34=7,SUMPRODUCT(--(($ATG$5:$ATG34=$ATG34)*($ATF$5:$ATF34&gt;=4)*($ATF$5:$ATF34&lt;=6)),$AUM$5:$AUM34),IF(ATF34=10,SUMPRODUCT(--(($ATG$5:$ATG34=$ATG34)*($ATF$5:$ATF34&gt;=7)*($ATF$5:$ATF34&lt;=9)),$AUM$5:$AUM34),0)))))</f>
        <v/>
      </c>
      <c r="AUO34" s="12">
        <f>AUO33+AUM34-AUN34</f>
        <v/>
      </c>
      <c r="AUP34" s="12">
        <f>IF(ProviderDelay&gt;=1,ATW33*BlendedProvPayEss+ATX33*BlendedProvPayPrem+ATY33*BlendedProvPayElite+ATZ33*BlendedProvPayEss+AUA33*BlendedProvPayPrem+AUB33*BlendedProvPayElite,ATW34*BlendedProvPayEss+ATX34*BlendedProvPayPrem+ATY34*BlendedProvPayElite+ATZ34*BlendedProvPayEss+AUA34*BlendedProvPayPrem+AUB34*BlendedProvPayElite)</f>
        <v/>
      </c>
      <c r="AUQ34" s="12">
        <f>AUI34*PaymentFee</f>
        <v/>
      </c>
      <c r="AUR34" s="12">
        <f>AUC34*OpsAI</f>
        <v/>
      </c>
      <c r="AUS34" s="12">
        <f>MonthlyFixed</f>
        <v/>
      </c>
      <c r="AUT34" s="12">
        <f>ATM34*ReferralReward</f>
        <v/>
      </c>
      <c r="AUU34" s="12">
        <f>ATK34</f>
        <v/>
      </c>
      <c r="AUV34" s="9">
        <f>AUL34-AUP34-AUQ34-AUR34-AUS34-AUT34-AUU34</f>
        <v/>
      </c>
      <c r="AUW34" s="9">
        <f>AUW33+AUI34-(AUP34+AUQ34+AUR34+AUS34+AUT34+AUU34+AUN34)</f>
        <v/>
      </c>
      <c r="AUX34" s="12">
        <f>IF(AUC34&gt;0,AUD34/AUC34,0)</f>
        <v/>
      </c>
      <c r="AUY34" s="11">
        <f>IF(AUC33&gt;0,MAX(0,(AUC33+ATN34-AUC34)/AUC33),0)</f>
        <v/>
      </c>
      <c r="AVA34" s="12" t="n">
        <v>30</v>
      </c>
      <c r="AVB34" s="12">
        <f>MOD(AVA34-1+LaunchMonth-1,12)+1</f>
        <v/>
      </c>
      <c r="AVC34" s="12">
        <f>INT((AVA34-1+LaunchMonth-1)/12)+1</f>
        <v/>
      </c>
      <c r="AVD34" s="12">
        <f>VLOOKUP(AVB34,WinterPivotSeasonTable,5,FALSE)</f>
        <v/>
      </c>
      <c r="AVE34" s="12">
        <f>(1+InflationRate)^INT((AVA34-1)/12)</f>
        <v/>
      </c>
      <c r="AVF34" s="11">
        <f>MonthlyChurn*VLOOKUP(AVB34,WinterPivotChurnTable,6,FALSE)</f>
        <v/>
      </c>
      <c r="AVG34" s="12">
        <f>MIN(MAX(MktMin19plus,AWE33*MktPct19plus),MAX(0,AWS33-CashBuffer))</f>
        <v/>
      </c>
      <c r="AVH34" s="12">
        <f>IF(AVG34&gt;0,MAX(1,ROUND(AVG34/CAC*AVD34,0)),0)</f>
        <v/>
      </c>
      <c r="AVI34" s="12">
        <f>IF(AVH34&gt;0,ROUND(AVH34*ReferralMix/(1-ReferralMix),0),0)</f>
        <v/>
      </c>
      <c r="AVJ34" s="12">
        <f>AVH34+AVI34</f>
        <v/>
      </c>
      <c r="AVK34" s="12">
        <f>ROUND(AVJ34*(1-AnnualMix),0)</f>
        <v/>
      </c>
      <c r="AVL34" s="12">
        <f>AVJ34-AVK34</f>
        <v/>
      </c>
      <c r="AVM34" s="12">
        <f>ROUND(AVK34*'Sens - Winter Pivot'!$B$6,0)</f>
        <v/>
      </c>
      <c r="AVN34" s="12">
        <f>ROUND(AVK34*PremiumMix,0)</f>
        <v/>
      </c>
      <c r="AVO34" s="12">
        <f>AVK34-AVM34-AVN34</f>
        <v/>
      </c>
      <c r="AVP34" s="12">
        <f>ROUND(AVL34*'Sens - Winter Pivot'!$B$6,0)</f>
        <v/>
      </c>
      <c r="AVQ34" s="12">
        <f>ROUND(AVL34*PremiumMix,0)</f>
        <v/>
      </c>
      <c r="AVR34" s="12">
        <f>AVL34-AVP34-AVQ34</f>
        <v/>
      </c>
      <c r="AVS34" s="12">
        <f>AVM34+AVM33+AVM32+MAX(0,AVS33-AVM33-AVM32)*(1-AVF34)</f>
        <v/>
      </c>
      <c r="AVT34" s="12">
        <f>AVN34+AVN33+AVN32+MAX(0,AVT33-AVN33-AVN32)*(1-AVF34)</f>
        <v/>
      </c>
      <c r="AVU34" s="12">
        <f>AVO34+AVO33+AVO32+MAX(0,AVU33-AVO33-AVO32)*(1-AVF34)</f>
        <v/>
      </c>
      <c r="AVV34" s="12">
        <f>AVV33+AVP34-AVP22*(AnnualChurn*VLOOKUP(AVB34,ChurnSeasonTable,4,FALSE))*POWER(1-(AnnualChurn*VLOOKUP(AVB34,ChurnSeasonTable,4,FALSE)),0)+AVP10*(AnnualChurn*VLOOKUP(AVB34,ChurnSeasonTable,4,FALSE))*POWER(1-(AnnualChurn*VLOOKUP(AVB34,ChurnSeasonTable,4,FALSE)),1)</f>
        <v/>
      </c>
      <c r="AVW34" s="12">
        <f>AVW33+AVQ34-AVQ22*(AnnualChurn*VLOOKUP(AVB34,ChurnSeasonTable,4,FALSE))*POWER(1-(AnnualChurn*VLOOKUP(AVB34,ChurnSeasonTable,4,FALSE)),0)+AVQ10*(AnnualChurn*VLOOKUP(AVB34,ChurnSeasonTable,4,FALSE))*POWER(1-(AnnualChurn*VLOOKUP(AVB34,ChurnSeasonTable,4,FALSE)),1)</f>
        <v/>
      </c>
      <c r="AVX34" s="12">
        <f>AVX33+AVR34-AVR22*(AnnualChurn*VLOOKUP(AVB34,ChurnSeasonTable,4,FALSE))*POWER(1-(AnnualChurn*VLOOKUP(AVB34,ChurnSeasonTable,4,FALSE)),0)+AVR10*(AnnualChurn*VLOOKUP(AVB34,ChurnSeasonTable,4,FALSE))*POWER(1-(AnnualChurn*VLOOKUP(AVB34,ChurnSeasonTable,4,FALSE)),1)</f>
        <v/>
      </c>
      <c r="AVY34" s="12">
        <f>AVS34+AVT34+AVU34+AVV34+AVW34+AVX34</f>
        <v/>
      </c>
      <c r="AVZ34" s="9">
        <f>AVS34*BlendedPriceEssMonthly*AVE34+AVT34*(BlendedPricePremMonthly+'Sens - Winter Pivot'!$B$7)*AVE34+AVU34*BlendedPriceEliteMonthly*AVE34+AVV34*BlendedPriceEssAnnual*AVE34/12+AVW34*(BlendedPricePremAnnual+'Sens - Winter Pivot'!$B$7*12)*AVE34/12+AVX34*BlendedPriceEliteAnnual*AVE34/12</f>
        <v/>
      </c>
      <c r="AWA34" s="9">
        <f>AVZ34*12</f>
        <v/>
      </c>
      <c r="AWB34" s="12">
        <f>AVS34*BlendedPriceEssMonthly*AVE34+AVT34*(BlendedPricePremMonthly+'Sens - Winter Pivot'!$B$7)*AVE34+AVU34*BlendedPriceEliteMonthly*AVE34</f>
        <v/>
      </c>
      <c r="AWC34" s="12">
        <f>AVP34*BlendedPriceEssAnnual*AVE34+AVQ34*(BlendedPricePremAnnual+'Sens - Winter Pivot'!$B$7*12)*AVE34+AVR34*BlendedPriceEliteAnnual*AVE34</f>
        <v/>
      </c>
      <c r="AWD34" s="12">
        <f>AVP22*POWER(1-(AnnualChurn*VLOOKUP(AVB34,ChurnSeasonTable,4,FALSE)),1)*BlendedPriceEssAnnual*AVE34+AVP10*POWER(1-(AnnualChurn*VLOOKUP(AVB34,ChurnSeasonTable,4,FALSE)),2)*BlendedPriceEssAnnual*AVE34+AVQ22*POWER(1-(AnnualChurn*VLOOKUP(AVB34,ChurnSeasonTable,4,FALSE)),1)*BlendedPricePremAnnual*AVE34+AVQ10*POWER(1-(AnnualChurn*VLOOKUP(AVB34,ChurnSeasonTable,4,FALSE)),2)*BlendedPricePremAnnual*AVE34+AVR22*POWER(1-(AnnualChurn*VLOOKUP(AVB34,ChurnSeasonTable,4,FALSE)),1)*BlendedPriceEliteAnnual*AVE34+AVR10*POWER(1-(AnnualChurn*VLOOKUP(AVB34,ChurnSeasonTable,4,FALSE)),2)*BlendedPriceEliteAnnual*AVE34</f>
        <v/>
      </c>
      <c r="AWE34" s="9">
        <f>AWB34+AWC34+AWD34</f>
        <v/>
      </c>
      <c r="AWF34" s="12">
        <f>SUM(AWE23:AWE34)</f>
        <v/>
      </c>
      <c r="AWG34" s="12">
        <f>OR(AWG33,IF(VATAgentMode,SUM($AWE23:$AWE34)-SUM($AWL23:$AWL34)&gt;=VATThreshold,SUM($AWE23:$AWE34)&gt;=VATThreshold))</f>
        <v/>
      </c>
      <c r="AWH34" s="9">
        <f>IF(AWG34,IF(VATAgentMode,AWE34-((AWE34-AWL34)-(AWE34-AWL34)/(1+VATRate)),AWE34/(1+VATRate)),AWE34)</f>
        <v/>
      </c>
      <c r="AWI34" s="12">
        <f>AWE34-AWH34</f>
        <v/>
      </c>
      <c r="AWJ34" s="12">
        <f>IF(AWG34=0,0,IF(AVB34=1,SUMPRODUCT(--(($AVC$5:$AVC34=$AVC34-1)*($AVB$5:$AVB34&gt;=10)*($AVB$5:$AVB34&lt;=12)),$AWI$5:$AWI34),IF(AVB34=4,SUMPRODUCT(--(($AVC$5:$AVC34=$AVC34)*($AVB$5:$AVB34&gt;=1)*($AVB$5:$AVB34&lt;=3)),$AWI$5:$AWI34),IF(AVB34=7,SUMPRODUCT(--(($AVC$5:$AVC34=$AVC34)*($AVB$5:$AVB34&gt;=4)*($AVB$5:$AVB34&lt;=6)),$AWI$5:$AWI34),IF(AVB34=10,SUMPRODUCT(--(($AVC$5:$AVC34=$AVC34)*($AVB$5:$AVB34&gt;=7)*($AVB$5:$AVB34&lt;=9)),$AWI$5:$AWI34),0)))))</f>
        <v/>
      </c>
      <c r="AWK34" s="12">
        <f>AWK33+AWI34-AWJ34</f>
        <v/>
      </c>
      <c r="AWL34" s="12">
        <f>IF(ProviderDelay&gt;=1,AVS33*BlendedProvPayEss+AVT33*BlendedProvPayPrem+AVU33*BlendedProvPayElite+AVV33*BlendedProvPayEss+AVW33*BlendedProvPayPrem+AVX33*BlendedProvPayElite,AVS34*BlendedProvPayEss+AVT34*BlendedProvPayPrem+AVU34*BlendedProvPayElite+AVV34*BlendedProvPayEss+AVW34*BlendedProvPayPrem+AVX34*BlendedProvPayElite)</f>
        <v/>
      </c>
      <c r="AWM34" s="12">
        <f>AWE34*PaymentFee</f>
        <v/>
      </c>
      <c r="AWN34" s="12">
        <f>AVY34*OpsAI</f>
        <v/>
      </c>
      <c r="AWO34" s="12">
        <f>MonthlyFixed</f>
        <v/>
      </c>
      <c r="AWP34" s="12">
        <f>AVI34*ReferralReward</f>
        <v/>
      </c>
      <c r="AWQ34" s="12">
        <f>AVG34</f>
        <v/>
      </c>
      <c r="AWR34" s="9">
        <f>AWH34-AWL34-AWM34-AWN34-AWO34-AWP34-AWQ34</f>
        <v/>
      </c>
      <c r="AWS34" s="9">
        <f>AWS33+AWE34-(AWL34+AWM34+AWN34+AWO34+AWP34+AWQ34+AWJ34)</f>
        <v/>
      </c>
      <c r="AWT34" s="12">
        <f>IF(AVY34&gt;0,AVZ34/AVY34,0)</f>
        <v/>
      </c>
      <c r="AWU34" s="11">
        <f>IF(AVY33&gt;0,MAX(0,(AVY33+AVJ34-AVY34)/AVY33),0)</f>
        <v/>
      </c>
    </row>
    <row r="35">
      <c r="A35" s="12" t="n">
        <v>31</v>
      </c>
      <c r="B35" s="12">
        <f>MOD(A35-1+LaunchMonth-1,12)+1</f>
        <v/>
      </c>
      <c r="C35" s="12">
        <f>INT((A35-1+LaunchMonth-1)/12)+1</f>
        <v/>
      </c>
      <c r="D35" s="12">
        <f>VLOOKUP(B35,SeasonTable,2,FALSE)</f>
        <v/>
      </c>
      <c r="E35" s="12">
        <f>(1+InflationRate)^INT((A35-1)/12)</f>
        <v/>
      </c>
      <c r="F35" s="11">
        <f>'Sens - Scenarios'!$B$5*VLOOKUP(B35,ChurnSeasonTable,4,FALSE)</f>
        <v/>
      </c>
      <c r="G35" s="12">
        <f>MIN(MAX(MktMin19plus,AE34*MktPct19plus),MAX(0,AS34-CashBuffer))</f>
        <v/>
      </c>
      <c r="H35" s="12">
        <f>IF(G35&gt;0,MAX(1,ROUND(G35/'Sens - Scenarios'!$B$8*D35,0)),0)</f>
        <v/>
      </c>
      <c r="I35" s="12">
        <f>IF(H35&gt;0,ROUND(H35*ReferralMix/(1-ReferralMix),0),0)</f>
        <v/>
      </c>
      <c r="J35" s="12">
        <f>H35+I35</f>
        <v/>
      </c>
      <c r="K35" s="12">
        <f>ROUND(J35*(1-'Sens - Scenarios'!$B$7),0)</f>
        <v/>
      </c>
      <c r="L35" s="12">
        <f>J35-K35</f>
        <v/>
      </c>
      <c r="M35" s="12">
        <f>ROUND(K35*EssentialMix,0)</f>
        <v/>
      </c>
      <c r="N35" s="12">
        <f>ROUND(K35*PremiumMix,0)</f>
        <v/>
      </c>
      <c r="O35" s="12">
        <f>K35-M35-N35</f>
        <v/>
      </c>
      <c r="P35" s="12">
        <f>ROUND(L35*EssentialMix,0)</f>
        <v/>
      </c>
      <c r="Q35" s="12">
        <f>ROUND(L35*PremiumMix,0)</f>
        <v/>
      </c>
      <c r="R35" s="12">
        <f>L35-P35-Q35</f>
        <v/>
      </c>
      <c r="S35" s="12">
        <f>M35+M34+M33+MAX(0,S34-M34-M33)*(1-F35)</f>
        <v/>
      </c>
      <c r="T35" s="12">
        <f>N35+N34+N33+MAX(0,T34-N34-N33)*(1-F35)</f>
        <v/>
      </c>
      <c r="U35" s="12">
        <f>O35+O34+O33+MAX(0,U34-O34-O33)*(1-F35)</f>
        <v/>
      </c>
      <c r="V35" s="12">
        <f>V34+P35-P23*('Sens - Scenarios'!$B$6*VLOOKUP(B35,ChurnSeasonTable,4,FALSE))*POWER(1-('Sens - Scenarios'!$B$6*VLOOKUP(B35,ChurnSeasonTable,4,FALSE)),0)+P11*('Sens - Scenarios'!$B$6*VLOOKUP(B35,ChurnSeasonTable,4,FALSE))*POWER(1-('Sens - Scenarios'!$B$6*VLOOKUP(B35,ChurnSeasonTable,4,FALSE)),1)</f>
        <v/>
      </c>
      <c r="W35" s="12">
        <f>W34+Q35-Q23*('Sens - Scenarios'!$B$6*VLOOKUP(B35,ChurnSeasonTable,4,FALSE))*POWER(1-('Sens - Scenarios'!$B$6*VLOOKUP(B35,ChurnSeasonTable,4,FALSE)),0)+Q11*('Sens - Scenarios'!$B$6*VLOOKUP(B35,ChurnSeasonTable,4,FALSE))*POWER(1-('Sens - Scenarios'!$B$6*VLOOKUP(B35,ChurnSeasonTable,4,FALSE)),1)</f>
        <v/>
      </c>
      <c r="X35" s="12">
        <f>X34+R35-R23*('Sens - Scenarios'!$B$6*VLOOKUP(B35,ChurnSeasonTable,4,FALSE))*POWER(1-('Sens - Scenarios'!$B$6*VLOOKUP(B35,ChurnSeasonTable,4,FALSE)),0)+R11*('Sens - Scenarios'!$B$6*VLOOKUP(B35,ChurnSeasonTable,4,FALSE))*POWER(1-('Sens - Scenarios'!$B$6*VLOOKUP(B35,ChurnSeasonTable,4,FALSE)),1)</f>
        <v/>
      </c>
      <c r="Y35" s="12">
        <f>S35+T35+U35+V35+W35+X35</f>
        <v/>
      </c>
      <c r="Z35" s="9">
        <f>S35*BlendedPriceEssMonthly*E35+T35*BlendedPricePremMonthly*E35+U35*BlendedPriceEliteMonthly*E35+V35*BlendedPriceEssAnnual*E35/12+W35*BlendedPricePremAnnual*E35/12+X35*BlendedPriceEliteAnnual*E35/12</f>
        <v/>
      </c>
      <c r="AA35" s="9">
        <f>Z35*12</f>
        <v/>
      </c>
      <c r="AB35" s="12">
        <f>S35*BlendedPriceEssMonthly*E35+T35*BlendedPricePremMonthly*E35+U35*BlendedPriceEliteMonthly*E35</f>
        <v/>
      </c>
      <c r="AC35" s="12">
        <f>P35*BlendedPriceEssAnnual*E35+Q35*BlendedPricePremAnnual*E35+R35*BlendedPriceEliteAnnual*E35</f>
        <v/>
      </c>
      <c r="AD35" s="12">
        <f>P23*POWER(1-('Sens - Scenarios'!$B$6*VLOOKUP(B35,ChurnSeasonTable,4,FALSE)),1)*BlendedPriceEssAnnual*E35+P11*POWER(1-('Sens - Scenarios'!$B$6*VLOOKUP(B35,ChurnSeasonTable,4,FALSE)),2)*BlendedPriceEssAnnual*E35+Q23*POWER(1-('Sens - Scenarios'!$B$6*VLOOKUP(B35,ChurnSeasonTable,4,FALSE)),1)*BlendedPricePremAnnual*E35+Q11*POWER(1-('Sens - Scenarios'!$B$6*VLOOKUP(B35,ChurnSeasonTable,4,FALSE)),2)*BlendedPricePremAnnual*E35+R23*POWER(1-('Sens - Scenarios'!$B$6*VLOOKUP(B35,ChurnSeasonTable,4,FALSE)),1)*BlendedPriceEliteAnnual*E35+R11*POWER(1-('Sens - Scenarios'!$B$6*VLOOKUP(B35,ChurnSeasonTable,4,FALSE)),2)*BlendedPriceEliteAnnual*E35</f>
        <v/>
      </c>
      <c r="AE35" s="9">
        <f>AB35+AC35+AD35</f>
        <v/>
      </c>
      <c r="AF35" s="12">
        <f>SUM(AE24:AE35)</f>
        <v/>
      </c>
      <c r="AG35" s="12">
        <f>OR(AG34,IF(VATAgentMode,SUM($AE24:$AE35)-SUM($AL24:$AL35)&gt;=VATThreshold,SUM($AE24:$AE35)&gt;=VATThreshold))</f>
        <v/>
      </c>
      <c r="AH35" s="9">
        <f>IF(AG35,IF(VATAgentMode,AE35-((AE35-AL35)-(AE35-AL35)/(1+VATRate)),AE35/(1+VATRate)),AE35)</f>
        <v/>
      </c>
      <c r="AI35" s="12">
        <f>AE35-AH35</f>
        <v/>
      </c>
      <c r="AJ35" s="12">
        <f>IF(AG35=0,0,IF(B35=1,SUMPRODUCT(--(($C$5:$C35=$C35-1)*($B$5:$B35&gt;=10)*($B$5:$B35&lt;=12)),$AI$5:$AI35),IF(B35=4,SUMPRODUCT(--(($C$5:$C35=$C35)*($B$5:$B35&gt;=1)*($B$5:$B35&lt;=3)),$AI$5:$AI35),IF(B35=7,SUMPRODUCT(--(($C$5:$C35=$C35)*($B$5:$B35&gt;=4)*($B$5:$B35&lt;=6)),$AI$5:$AI35),IF(B35=10,SUMPRODUCT(--(($C$5:$C35=$C35)*($B$5:$B35&gt;=7)*($B$5:$B35&lt;=9)),$AI$5:$AI35),0)))))</f>
        <v/>
      </c>
      <c r="AK35" s="12">
        <f>AK34+AI35-AJ35</f>
        <v/>
      </c>
      <c r="AL35" s="12">
        <f>IF(ProviderDelay&gt;=1,S34*BlendedProvPayEss+T34*BlendedProvPayPrem+U34*BlendedProvPayElite+V34*BlendedProvPayEss+W34*BlendedProvPayPrem+X34*BlendedProvPayElite,S35*BlendedProvPayEss+T35*BlendedProvPayPrem+U35*BlendedProvPayElite+V35*BlendedProvPayEss+W35*BlendedProvPayPrem+X35*BlendedProvPayElite)</f>
        <v/>
      </c>
      <c r="AM35" s="12">
        <f>AE35*PaymentFee</f>
        <v/>
      </c>
      <c r="AN35" s="12">
        <f>Y35*OpsAI</f>
        <v/>
      </c>
      <c r="AO35" s="12">
        <f>MonthlyFixed</f>
        <v/>
      </c>
      <c r="AP35" s="12">
        <f>I35*ReferralReward</f>
        <v/>
      </c>
      <c r="AQ35" s="12">
        <f>G35</f>
        <v/>
      </c>
      <c r="AR35" s="9">
        <f>AH35-AL35-AM35-AN35-AO35-AP35-AQ35</f>
        <v/>
      </c>
      <c r="AS35" s="9">
        <f>AS34+AE35-(AL35+AM35+AN35+AO35+AP35+AQ35+AJ35)</f>
        <v/>
      </c>
      <c r="AT35" s="12">
        <f>IF(Y35&gt;0,Z35/Y35,0)</f>
        <v/>
      </c>
      <c r="AU35" s="11">
        <f>IF(Y34&gt;0,MAX(0,(Y34+J35-Y35)/Y34),0)</f>
        <v/>
      </c>
      <c r="AW35" s="12" t="n">
        <v>31</v>
      </c>
      <c r="AX35" s="12">
        <f>MOD(AW35-1+LaunchMonth-1,12)+1</f>
        <v/>
      </c>
      <c r="AY35" s="12">
        <f>INT((AW35-1+LaunchMonth-1)/12)+1</f>
        <v/>
      </c>
      <c r="AZ35" s="12">
        <f>VLOOKUP(AX35,SeasonTable,2,FALSE)</f>
        <v/>
      </c>
      <c r="BA35" s="12">
        <f>(1+InflationRate)^INT((AW35-1)/12)</f>
        <v/>
      </c>
      <c r="BB35" s="11">
        <f>MonthlyChurn*VLOOKUP(AX35,ChurnSeasonTable,4,FALSE)</f>
        <v/>
      </c>
      <c r="BC35" s="12">
        <f>MIN(MAX(MktMin19plus,CA34*MktPct19plus),MAX(0,CO34-CashBuffer))</f>
        <v/>
      </c>
      <c r="BD35" s="12">
        <f>IF(BC35&gt;0,MAX(1,ROUND(BC35/CAC*AZ35,0)),0)</f>
        <v/>
      </c>
      <c r="BE35" s="12">
        <f>IF(BD35&gt;0,ROUND(BD35*ReferralMix/(1-ReferralMix),0),0)</f>
        <v/>
      </c>
      <c r="BF35" s="12">
        <f>BD35+BE35</f>
        <v/>
      </c>
      <c r="BG35" s="12">
        <f>ROUND(BF35*(1-AnnualMix),0)</f>
        <v/>
      </c>
      <c r="BH35" s="12">
        <f>BF35-BG35</f>
        <v/>
      </c>
      <c r="BI35" s="12">
        <f>ROUND(BG35*EssentialMix,0)</f>
        <v/>
      </c>
      <c r="BJ35" s="12">
        <f>ROUND(BG35*PremiumMix,0)</f>
        <v/>
      </c>
      <c r="BK35" s="12">
        <f>BG35-BI35-BJ35</f>
        <v/>
      </c>
      <c r="BL35" s="12">
        <f>ROUND(BH35*EssentialMix,0)</f>
        <v/>
      </c>
      <c r="BM35" s="12">
        <f>ROUND(BH35*PremiumMix,0)</f>
        <v/>
      </c>
      <c r="BN35" s="12">
        <f>BH35-BL35-BM35</f>
        <v/>
      </c>
      <c r="BO35" s="12">
        <f>BI35+BI34+BI33+MAX(0,BO34-BI34-BI33)*(1-BB35)</f>
        <v/>
      </c>
      <c r="BP35" s="12">
        <f>BJ35+BJ34+BJ33+MAX(0,BP34-BJ34-BJ33)*(1-BB35)</f>
        <v/>
      </c>
      <c r="BQ35" s="12">
        <f>BK35+BK34+BK33+MAX(0,BQ34-BK34-BK33)*(1-BB35)</f>
        <v/>
      </c>
      <c r="BR35" s="12">
        <f>BR34+BL35-BL23*(AnnualChurn*VLOOKUP(AX35,ChurnSeasonTable,4,FALSE))*POWER(1-(AnnualChurn*VLOOKUP(AX35,ChurnSeasonTable,4,FALSE)),0)+BL11*(AnnualChurn*VLOOKUP(AX35,ChurnSeasonTable,4,FALSE))*POWER(1-(AnnualChurn*VLOOKUP(AX35,ChurnSeasonTable,4,FALSE)),1)</f>
        <v/>
      </c>
      <c r="BS35" s="12">
        <f>BS34+BM35-BM23*(AnnualChurn*VLOOKUP(AX35,ChurnSeasonTable,4,FALSE))*POWER(1-(AnnualChurn*VLOOKUP(AX35,ChurnSeasonTable,4,FALSE)),0)+BM11*(AnnualChurn*VLOOKUP(AX35,ChurnSeasonTable,4,FALSE))*POWER(1-(AnnualChurn*VLOOKUP(AX35,ChurnSeasonTable,4,FALSE)),1)</f>
        <v/>
      </c>
      <c r="BT35" s="12">
        <f>BT34+BN35-BN23*(AnnualChurn*VLOOKUP(AX35,ChurnSeasonTable,4,FALSE))*POWER(1-(AnnualChurn*VLOOKUP(AX35,ChurnSeasonTable,4,FALSE)),0)+BN11*(AnnualChurn*VLOOKUP(AX35,ChurnSeasonTable,4,FALSE))*POWER(1-(AnnualChurn*VLOOKUP(AX35,ChurnSeasonTable,4,FALSE)),1)</f>
        <v/>
      </c>
      <c r="BU35" s="12">
        <f>BO35+BP35+BQ35+BR35+BS35+BT35</f>
        <v/>
      </c>
      <c r="BV35" s="9">
        <f>BO35*BlendedPriceEssMonthly*BA35+BP35*BlendedPricePremMonthly*BA35+BQ35*BlendedPriceEliteMonthly*BA35+BR35*BlendedPriceEssAnnual*BA35/12+BS35*BlendedPricePremAnnual*BA35/12+BT35*BlendedPriceEliteAnnual*BA35/12</f>
        <v/>
      </c>
      <c r="BW35" s="9">
        <f>BV35*12</f>
        <v/>
      </c>
      <c r="BX35" s="12">
        <f>BO35*BlendedPriceEssMonthly*BA35+BP35*BlendedPricePremMonthly*BA35+BQ35*BlendedPriceEliteMonthly*BA35</f>
        <v/>
      </c>
      <c r="BY35" s="12">
        <f>BL35*BlendedPriceEssAnnual*BA35+BM35*BlendedPricePremAnnual*BA35+BN35*BlendedPriceEliteAnnual*BA35</f>
        <v/>
      </c>
      <c r="BZ35" s="12">
        <f>BL23*POWER(1-(AnnualChurn*VLOOKUP(AX35,ChurnSeasonTable,4,FALSE)),1)*BlendedPriceEssAnnual*BA35+BL11*POWER(1-(AnnualChurn*VLOOKUP(AX35,ChurnSeasonTable,4,FALSE)),2)*BlendedPriceEssAnnual*BA35+BM23*POWER(1-(AnnualChurn*VLOOKUP(AX35,ChurnSeasonTable,4,FALSE)),1)*BlendedPricePremAnnual*BA35+BM11*POWER(1-(AnnualChurn*VLOOKUP(AX35,ChurnSeasonTable,4,FALSE)),2)*BlendedPricePremAnnual*BA35+BN23*POWER(1-(AnnualChurn*VLOOKUP(AX35,ChurnSeasonTable,4,FALSE)),1)*BlendedPriceEliteAnnual*BA35+BN11*POWER(1-(AnnualChurn*VLOOKUP(AX35,ChurnSeasonTable,4,FALSE)),2)*BlendedPriceEliteAnnual*BA35</f>
        <v/>
      </c>
      <c r="CA35" s="9">
        <f>BX35+BY35+BZ35</f>
        <v/>
      </c>
      <c r="CB35" s="12">
        <f>SUM(CA24:CA35)</f>
        <v/>
      </c>
      <c r="CC35" s="12">
        <f>OR(CC34,IF(VATAgentMode,SUM($CA24:$CA35)-SUM($CH24:$CH35)&gt;=VATThreshold,SUM($CA24:$CA35)&gt;=VATThreshold))</f>
        <v/>
      </c>
      <c r="CD35" s="9">
        <f>IF(CC35,IF(VATAgentMode,CA35-((CA35-CH35)-(CA35-CH35)/(1+VATRate)),CA35/(1+VATRate)),CA35)</f>
        <v/>
      </c>
      <c r="CE35" s="12">
        <f>CA35-CD35</f>
        <v/>
      </c>
      <c r="CF35" s="12">
        <f>IF(CC35=0,0,IF(AX35=1,SUMPRODUCT(--(($AY$5:$AY35=$AY35-1)*($AX$5:$AX35&gt;=10)*($AX$5:$AX35&lt;=12)),$CE$5:$CE35),IF(AX35=4,SUMPRODUCT(--(($AY$5:$AY35=$AY35)*($AX$5:$AX35&gt;=1)*($AX$5:$AX35&lt;=3)),$CE$5:$CE35),IF(AX35=7,SUMPRODUCT(--(($AY$5:$AY35=$AY35)*($AX$5:$AX35&gt;=4)*($AX$5:$AX35&lt;=6)),$CE$5:$CE35),IF(AX35=10,SUMPRODUCT(--(($AY$5:$AY35=$AY35)*($AX$5:$AX35&gt;=7)*($AX$5:$AX35&lt;=9)),$CE$5:$CE35),0)))))</f>
        <v/>
      </c>
      <c r="CG35" s="12">
        <f>CG34+CE35-CF35</f>
        <v/>
      </c>
      <c r="CH35" s="12">
        <f>IF(ProviderDelay&gt;=1,BO34*BlendedProvPayEss+BP34*BlendedProvPayPrem+BQ34*BlendedProvPayElite+BR34*BlendedProvPayEss+BS34*BlendedProvPayPrem+BT34*BlendedProvPayElite,BO35*BlendedProvPayEss+BP35*BlendedProvPayPrem+BQ35*BlendedProvPayElite+BR35*BlendedProvPayEss+BS35*BlendedProvPayPrem+BT35*BlendedProvPayElite)</f>
        <v/>
      </c>
      <c r="CI35" s="12">
        <f>CA35*PaymentFee</f>
        <v/>
      </c>
      <c r="CJ35" s="12">
        <f>BU35*OpsAI</f>
        <v/>
      </c>
      <c r="CK35" s="12">
        <f>MonthlyFixed</f>
        <v/>
      </c>
      <c r="CL35" s="12">
        <f>BE35*ReferralReward</f>
        <v/>
      </c>
      <c r="CM35" s="12">
        <f>BC35</f>
        <v/>
      </c>
      <c r="CN35" s="9">
        <f>CD35-CH35-CI35-CJ35-CK35-CL35-CM35</f>
        <v/>
      </c>
      <c r="CO35" s="9">
        <f>CO34+CA35-(CH35+CI35+CJ35+CK35+CL35+CM35+CF35)</f>
        <v/>
      </c>
      <c r="CP35" s="12">
        <f>IF(BU35&gt;0,BV35/BU35,0)</f>
        <v/>
      </c>
      <c r="CQ35" s="11">
        <f>IF(BU34&gt;0,MAX(0,(BU34+BF35-BU35)/BU34),0)</f>
        <v/>
      </c>
      <c r="CS35" s="12" t="n">
        <v>31</v>
      </c>
      <c r="CT35" s="12">
        <f>MOD(CS35-1+LaunchMonth-1,12)+1</f>
        <v/>
      </c>
      <c r="CU35" s="12">
        <f>INT((CS35-1+LaunchMonth-1)/12)+1</f>
        <v/>
      </c>
      <c r="CV35" s="12">
        <f>VLOOKUP(CT35,SeasonTable,2,FALSE)</f>
        <v/>
      </c>
      <c r="CW35" s="12">
        <f>(1+InflationRate)^INT((CS35-1)/12)</f>
        <v/>
      </c>
      <c r="CX35" s="11">
        <f>'Sens - Scenarios'!$D$5*VLOOKUP(CT35,ChurnSeasonTable,4,FALSE)</f>
        <v/>
      </c>
      <c r="CY35" s="12">
        <f>MIN(MAX(MktMin19plus,DW34*MktPct19plus),MAX(0,EK34-CashBuffer))</f>
        <v/>
      </c>
      <c r="CZ35" s="12">
        <f>IF(CY35&gt;0,MAX(1,ROUND(CY35/'Sens - Scenarios'!$D$8*CV35,0)),0)</f>
        <v/>
      </c>
      <c r="DA35" s="12">
        <f>IF(CZ35&gt;0,ROUND(CZ35*ReferralMix/(1-ReferralMix),0),0)</f>
        <v/>
      </c>
      <c r="DB35" s="12">
        <f>CZ35+DA35</f>
        <v/>
      </c>
      <c r="DC35" s="12">
        <f>ROUND(DB35*(1-'Sens - Scenarios'!$D$7),0)</f>
        <v/>
      </c>
      <c r="DD35" s="12">
        <f>DB35-DC35</f>
        <v/>
      </c>
      <c r="DE35" s="12">
        <f>ROUND(DC35*EssentialMix,0)</f>
        <v/>
      </c>
      <c r="DF35" s="12">
        <f>ROUND(DC35*PremiumMix,0)</f>
        <v/>
      </c>
      <c r="DG35" s="12">
        <f>DC35-DE35-DF35</f>
        <v/>
      </c>
      <c r="DH35" s="12">
        <f>ROUND(DD35*EssentialMix,0)</f>
        <v/>
      </c>
      <c r="DI35" s="12">
        <f>ROUND(DD35*PremiumMix,0)</f>
        <v/>
      </c>
      <c r="DJ35" s="12">
        <f>DD35-DH35-DI35</f>
        <v/>
      </c>
      <c r="DK35" s="12">
        <f>DE35+DE34+DE33+MAX(0,DK34-DE34-DE33)*(1-CX35)</f>
        <v/>
      </c>
      <c r="DL35" s="12">
        <f>DF35+DF34+DF33+MAX(0,DL34-DF34-DF33)*(1-CX35)</f>
        <v/>
      </c>
      <c r="DM35" s="12">
        <f>DG35+DG34+DG33+MAX(0,DM34-DG34-DG33)*(1-CX35)</f>
        <v/>
      </c>
      <c r="DN35" s="12">
        <f>DN34+DH35-DH23*('Sens - Scenarios'!$D$6*VLOOKUP(CT35,ChurnSeasonTable,4,FALSE))*POWER(1-('Sens - Scenarios'!$D$6*VLOOKUP(CT35,ChurnSeasonTable,4,FALSE)),0)+DH11*('Sens - Scenarios'!$D$6*VLOOKUP(CT35,ChurnSeasonTable,4,FALSE))*POWER(1-('Sens - Scenarios'!$D$6*VLOOKUP(CT35,ChurnSeasonTable,4,FALSE)),1)</f>
        <v/>
      </c>
      <c r="DO35" s="12">
        <f>DO34+DI35-DI23*('Sens - Scenarios'!$D$6*VLOOKUP(CT35,ChurnSeasonTable,4,FALSE))*POWER(1-('Sens - Scenarios'!$D$6*VLOOKUP(CT35,ChurnSeasonTable,4,FALSE)),0)+DI11*('Sens - Scenarios'!$D$6*VLOOKUP(CT35,ChurnSeasonTable,4,FALSE))*POWER(1-('Sens - Scenarios'!$D$6*VLOOKUP(CT35,ChurnSeasonTable,4,FALSE)),1)</f>
        <v/>
      </c>
      <c r="DP35" s="12">
        <f>DP34+DJ35-DJ23*('Sens - Scenarios'!$D$6*VLOOKUP(CT35,ChurnSeasonTable,4,FALSE))*POWER(1-('Sens - Scenarios'!$D$6*VLOOKUP(CT35,ChurnSeasonTable,4,FALSE)),0)+DJ11*('Sens - Scenarios'!$D$6*VLOOKUP(CT35,ChurnSeasonTable,4,FALSE))*POWER(1-('Sens - Scenarios'!$D$6*VLOOKUP(CT35,ChurnSeasonTable,4,FALSE)),1)</f>
        <v/>
      </c>
      <c r="DQ35" s="12">
        <f>DK35+DL35+DM35+DN35+DO35+DP35</f>
        <v/>
      </c>
      <c r="DR35" s="9">
        <f>DK35*BlendedPriceEssMonthly*CW35+DL35*BlendedPricePremMonthly*CW35+DM35*BlendedPriceEliteMonthly*CW35+DN35*BlendedPriceEssAnnual*CW35/12+DO35*BlendedPricePremAnnual*CW35/12+DP35*BlendedPriceEliteAnnual*CW35/12</f>
        <v/>
      </c>
      <c r="DS35" s="9">
        <f>DR35*12</f>
        <v/>
      </c>
      <c r="DT35" s="12">
        <f>DK35*BlendedPriceEssMonthly*CW35+DL35*BlendedPricePremMonthly*CW35+DM35*BlendedPriceEliteMonthly*CW35</f>
        <v/>
      </c>
      <c r="DU35" s="12">
        <f>DH35*BlendedPriceEssAnnual*CW35+DI35*BlendedPricePremAnnual*CW35+DJ35*BlendedPriceEliteAnnual*CW35</f>
        <v/>
      </c>
      <c r="DV35" s="12">
        <f>DH23*POWER(1-('Sens - Scenarios'!$D$6*VLOOKUP(CT35,ChurnSeasonTable,4,FALSE)),1)*BlendedPriceEssAnnual*CW35+DH11*POWER(1-('Sens - Scenarios'!$D$6*VLOOKUP(CT35,ChurnSeasonTable,4,FALSE)),2)*BlendedPriceEssAnnual*CW35+DI23*POWER(1-('Sens - Scenarios'!$D$6*VLOOKUP(CT35,ChurnSeasonTable,4,FALSE)),1)*BlendedPricePremAnnual*CW35+DI11*POWER(1-('Sens - Scenarios'!$D$6*VLOOKUP(CT35,ChurnSeasonTable,4,FALSE)),2)*BlendedPricePremAnnual*CW35+DJ23*POWER(1-('Sens - Scenarios'!$D$6*VLOOKUP(CT35,ChurnSeasonTable,4,FALSE)),1)*BlendedPriceEliteAnnual*CW35+DJ11*POWER(1-('Sens - Scenarios'!$D$6*VLOOKUP(CT35,ChurnSeasonTable,4,FALSE)),2)*BlendedPriceEliteAnnual*CW35</f>
        <v/>
      </c>
      <c r="DW35" s="9">
        <f>DT35+DU35+DV35</f>
        <v/>
      </c>
      <c r="DX35" s="12">
        <f>SUM(DW24:DW35)</f>
        <v/>
      </c>
      <c r="DY35" s="12">
        <f>OR(DY34,IF(VATAgentMode,SUM($DW24:$DW35)-SUM($ED24:$ED35)&gt;=VATThreshold,SUM($DW24:$DW35)&gt;=VATThreshold))</f>
        <v/>
      </c>
      <c r="DZ35" s="9">
        <f>IF(DY35,IF(VATAgentMode,DW35-((DW35-ED35)-(DW35-ED35)/(1+VATRate)),DW35/(1+VATRate)),DW35)</f>
        <v/>
      </c>
      <c r="EA35" s="12">
        <f>DW35-DZ35</f>
        <v/>
      </c>
      <c r="EB35" s="12">
        <f>IF(DY35=0,0,IF(CT35=1,SUMPRODUCT(--(($CU$5:$CU35=$CU35-1)*($CT$5:$CT35&gt;=10)*($CT$5:$CT35&lt;=12)),$EA$5:$EA35),IF(CT35=4,SUMPRODUCT(--(($CU$5:$CU35=$CU35)*($CT$5:$CT35&gt;=1)*($CT$5:$CT35&lt;=3)),$EA$5:$EA35),IF(CT35=7,SUMPRODUCT(--(($CU$5:$CU35=$CU35)*($CT$5:$CT35&gt;=4)*($CT$5:$CT35&lt;=6)),$EA$5:$EA35),IF(CT35=10,SUMPRODUCT(--(($CU$5:$CU35=$CU35)*($CT$5:$CT35&gt;=7)*($CT$5:$CT35&lt;=9)),$EA$5:$EA35),0)))))</f>
        <v/>
      </c>
      <c r="EC35" s="12">
        <f>EC34+EA35-EB35</f>
        <v/>
      </c>
      <c r="ED35" s="12">
        <f>IF(ProviderDelay&gt;=1,DK34*BlendedProvPayEss+DL34*BlendedProvPayPrem+DM34*BlendedProvPayElite+DN34*BlendedProvPayEss+DO34*BlendedProvPayPrem+DP34*BlendedProvPayElite,DK35*BlendedProvPayEss+DL35*BlendedProvPayPrem+DM35*BlendedProvPayElite+DN35*BlendedProvPayEss+DO35*BlendedProvPayPrem+DP35*BlendedProvPayElite)</f>
        <v/>
      </c>
      <c r="EE35" s="12">
        <f>DW35*PaymentFee</f>
        <v/>
      </c>
      <c r="EF35" s="12">
        <f>DQ35*OpsAI</f>
        <v/>
      </c>
      <c r="EG35" s="12">
        <f>MonthlyFixed</f>
        <v/>
      </c>
      <c r="EH35" s="12">
        <f>DA35*ReferralReward</f>
        <v/>
      </c>
      <c r="EI35" s="12">
        <f>CY35</f>
        <v/>
      </c>
      <c r="EJ35" s="9">
        <f>DZ35-ED35-EE35-EF35-EG35-EH35-EI35</f>
        <v/>
      </c>
      <c r="EK35" s="9">
        <f>EK34+DW35-(ED35+EE35+EF35+EG35+EH35+EI35+EB35)</f>
        <v/>
      </c>
      <c r="EL35" s="12">
        <f>IF(DQ35&gt;0,DR35/DQ35,0)</f>
        <v/>
      </c>
      <c r="EM35" s="11">
        <f>IF(DQ34&gt;0,MAX(0,(DQ34+DB35-DQ35)/DQ34),0)</f>
        <v/>
      </c>
      <c r="EO35" s="12" t="n">
        <v>31</v>
      </c>
      <c r="EP35" s="12">
        <f>MOD(EO35-1+LaunchMonth-1,12)+1</f>
        <v/>
      </c>
      <c r="EQ35" s="12">
        <f>INT((EO35-1+LaunchMonth-1)/12)+1</f>
        <v/>
      </c>
      <c r="ER35" s="12">
        <f>VLOOKUP(EP35,SeasonTable,2,FALSE)</f>
        <v/>
      </c>
      <c r="ES35" s="12">
        <f>(1+InflationRate)^INT((EO35-1)/12)</f>
        <v/>
      </c>
      <c r="ET35" s="11">
        <f>'Sens - Churn'!$A$13*VLOOKUP(EP35,ChurnSeasonTable,4,FALSE)</f>
        <v/>
      </c>
      <c r="EU35" s="12">
        <f>MIN(MAX(MktMin19plus,FS34*MktPct19plus),MAX(0,GG34-CashBuffer))</f>
        <v/>
      </c>
      <c r="EV35" s="12">
        <f>IF(EU35&gt;0,MAX(1,ROUND(EU35/CAC*ER35,0)),0)</f>
        <v/>
      </c>
      <c r="EW35" s="12">
        <f>IF(EV35&gt;0,ROUND(EV35*ReferralMix/(1-ReferralMix),0),0)</f>
        <v/>
      </c>
      <c r="EX35" s="12">
        <f>EV35+EW35</f>
        <v/>
      </c>
      <c r="EY35" s="12">
        <f>ROUND(EX35*(1-AnnualMix),0)</f>
        <v/>
      </c>
      <c r="EZ35" s="12">
        <f>EX35-EY35</f>
        <v/>
      </c>
      <c r="FA35" s="12">
        <f>ROUND(EY35*EssentialMix,0)</f>
        <v/>
      </c>
      <c r="FB35" s="12">
        <f>ROUND(EY35*PremiumMix,0)</f>
        <v/>
      </c>
      <c r="FC35" s="12">
        <f>EY35-FA35-FB35</f>
        <v/>
      </c>
      <c r="FD35" s="12">
        <f>ROUND(EZ35*EssentialMix,0)</f>
        <v/>
      </c>
      <c r="FE35" s="12">
        <f>ROUND(EZ35*PremiumMix,0)</f>
        <v/>
      </c>
      <c r="FF35" s="12">
        <f>EZ35-FD35-FE35</f>
        <v/>
      </c>
      <c r="FG35" s="12">
        <f>FA35+FA34+FA33+MAX(0,FG34-FA34-FA33)*(1-ET35)</f>
        <v/>
      </c>
      <c r="FH35" s="12">
        <f>FB35+FB34+FB33+MAX(0,FH34-FB34-FB33)*(1-ET35)</f>
        <v/>
      </c>
      <c r="FI35" s="12">
        <f>FC35+FC34+FC33+MAX(0,FI34-FC34-FC33)*(1-ET35)</f>
        <v/>
      </c>
      <c r="FJ35" s="12">
        <f>FJ34+FD35-FD23*(AnnualChurn*VLOOKUP(EP35,ChurnSeasonTable,4,FALSE))*POWER(1-(AnnualChurn*VLOOKUP(EP35,ChurnSeasonTable,4,FALSE)),0)+FD11*(AnnualChurn*VLOOKUP(EP35,ChurnSeasonTable,4,FALSE))*POWER(1-(AnnualChurn*VLOOKUP(EP35,ChurnSeasonTable,4,FALSE)),1)</f>
        <v/>
      </c>
      <c r="FK35" s="12">
        <f>FK34+FE35-FE23*(AnnualChurn*VLOOKUP(EP35,ChurnSeasonTable,4,FALSE))*POWER(1-(AnnualChurn*VLOOKUP(EP35,ChurnSeasonTable,4,FALSE)),0)+FE11*(AnnualChurn*VLOOKUP(EP35,ChurnSeasonTable,4,FALSE))*POWER(1-(AnnualChurn*VLOOKUP(EP35,ChurnSeasonTable,4,FALSE)),1)</f>
        <v/>
      </c>
      <c r="FL35" s="12">
        <f>FL34+FF35-FF23*(AnnualChurn*VLOOKUP(EP35,ChurnSeasonTable,4,FALSE))*POWER(1-(AnnualChurn*VLOOKUP(EP35,ChurnSeasonTable,4,FALSE)),0)+FF11*(AnnualChurn*VLOOKUP(EP35,ChurnSeasonTable,4,FALSE))*POWER(1-(AnnualChurn*VLOOKUP(EP35,ChurnSeasonTable,4,FALSE)),1)</f>
        <v/>
      </c>
      <c r="FM35" s="12">
        <f>FG35+FH35+FI35+FJ35+FK35+FL35</f>
        <v/>
      </c>
      <c r="FN35" s="9">
        <f>FG35*BlendedPriceEssMonthly*ES35+FH35*BlendedPricePremMonthly*ES35+FI35*BlendedPriceEliteMonthly*ES35+FJ35*BlendedPriceEssAnnual*ES35/12+FK35*BlendedPricePremAnnual*ES35/12+FL35*BlendedPriceEliteAnnual*ES35/12</f>
        <v/>
      </c>
      <c r="FO35" s="9">
        <f>FN35*12</f>
        <v/>
      </c>
      <c r="FP35" s="12">
        <f>FG35*BlendedPriceEssMonthly*ES35+FH35*BlendedPricePremMonthly*ES35+FI35*BlendedPriceEliteMonthly*ES35</f>
        <v/>
      </c>
      <c r="FQ35" s="12">
        <f>FD35*BlendedPriceEssAnnual*ES35+FE35*BlendedPricePremAnnual*ES35+FF35*BlendedPriceEliteAnnual*ES35</f>
        <v/>
      </c>
      <c r="FR35" s="12">
        <f>FD23*POWER(1-(AnnualChurn*VLOOKUP(EP35,ChurnSeasonTable,4,FALSE)),1)*BlendedPriceEssAnnual*ES35+FD11*POWER(1-(AnnualChurn*VLOOKUP(EP35,ChurnSeasonTable,4,FALSE)),2)*BlendedPriceEssAnnual*ES35+FE23*POWER(1-(AnnualChurn*VLOOKUP(EP35,ChurnSeasonTable,4,FALSE)),1)*BlendedPricePremAnnual*ES35+FE11*POWER(1-(AnnualChurn*VLOOKUP(EP35,ChurnSeasonTable,4,FALSE)),2)*BlendedPricePremAnnual*ES35+FF23*POWER(1-(AnnualChurn*VLOOKUP(EP35,ChurnSeasonTable,4,FALSE)),1)*BlendedPriceEliteAnnual*ES35+FF11*POWER(1-(AnnualChurn*VLOOKUP(EP35,ChurnSeasonTable,4,FALSE)),2)*BlendedPriceEliteAnnual*ES35</f>
        <v/>
      </c>
      <c r="FS35" s="9">
        <f>FP35+FQ35+FR35</f>
        <v/>
      </c>
      <c r="FT35" s="12">
        <f>SUM(FS24:FS35)</f>
        <v/>
      </c>
      <c r="FU35" s="12">
        <f>OR(FU34,IF(VATAgentMode,SUM($FS24:$FS35)-SUM($FZ24:$FZ35)&gt;=VATThreshold,SUM($FS24:$FS35)&gt;=VATThreshold))</f>
        <v/>
      </c>
      <c r="FV35" s="9">
        <f>IF(FU35,IF(VATAgentMode,FS35-((FS35-FZ35)-(FS35-FZ35)/(1+VATRate)),FS35/(1+VATRate)),FS35)</f>
        <v/>
      </c>
      <c r="FW35" s="12">
        <f>FS35-FV35</f>
        <v/>
      </c>
      <c r="FX35" s="12">
        <f>IF(FU35=0,0,IF(EP35=1,SUMPRODUCT(--(($EQ$5:$EQ35=$EQ35-1)*($EP$5:$EP35&gt;=10)*($EP$5:$EP35&lt;=12)),$FW$5:$FW35),IF(EP35=4,SUMPRODUCT(--(($EQ$5:$EQ35=$EQ35)*($EP$5:$EP35&gt;=1)*($EP$5:$EP35&lt;=3)),$FW$5:$FW35),IF(EP35=7,SUMPRODUCT(--(($EQ$5:$EQ35=$EQ35)*($EP$5:$EP35&gt;=4)*($EP$5:$EP35&lt;=6)),$FW$5:$FW35),IF(EP35=10,SUMPRODUCT(--(($EQ$5:$EQ35=$EQ35)*($EP$5:$EP35&gt;=7)*($EP$5:$EP35&lt;=9)),$FW$5:$FW35),0)))))</f>
        <v/>
      </c>
      <c r="FY35" s="12">
        <f>FY34+FW35-FX35</f>
        <v/>
      </c>
      <c r="FZ35" s="12">
        <f>IF(ProviderDelay&gt;=1,FG34*BlendedProvPayEss+FH34*BlendedProvPayPrem+FI34*BlendedProvPayElite+FJ34*BlendedProvPayEss+FK34*BlendedProvPayPrem+FL34*BlendedProvPayElite,FG35*BlendedProvPayEss+FH35*BlendedProvPayPrem+FI35*BlendedProvPayElite+FJ35*BlendedProvPayEss+FK35*BlendedProvPayPrem+FL35*BlendedProvPayElite)</f>
        <v/>
      </c>
      <c r="GA35" s="12">
        <f>FS35*PaymentFee</f>
        <v/>
      </c>
      <c r="GB35" s="12">
        <f>FM35*OpsAI</f>
        <v/>
      </c>
      <c r="GC35" s="12">
        <f>MonthlyFixed</f>
        <v/>
      </c>
      <c r="GD35" s="12">
        <f>EW35*ReferralReward</f>
        <v/>
      </c>
      <c r="GE35" s="12">
        <f>EU35</f>
        <v/>
      </c>
      <c r="GF35" s="9">
        <f>FV35-FZ35-GA35-GB35-GC35-GD35-GE35</f>
        <v/>
      </c>
      <c r="GG35" s="9">
        <f>GG34+FS35-(FZ35+GA35+GB35+GC35+GD35+GE35+FX35)</f>
        <v/>
      </c>
      <c r="GH35" s="12">
        <f>IF(FM35&gt;0,FN35/FM35,0)</f>
        <v/>
      </c>
      <c r="GI35" s="11">
        <f>IF(FM34&gt;0,MAX(0,(FM34+EX35-FM35)/FM34),0)</f>
        <v/>
      </c>
      <c r="GK35" s="12" t="n">
        <v>31</v>
      </c>
      <c r="GL35" s="12">
        <f>MOD(GK35-1+LaunchMonth-1,12)+1</f>
        <v/>
      </c>
      <c r="GM35" s="12">
        <f>INT((GK35-1+LaunchMonth-1)/12)+1</f>
        <v/>
      </c>
      <c r="GN35" s="12">
        <f>VLOOKUP(GL35,SeasonTable,2,FALSE)</f>
        <v/>
      </c>
      <c r="GO35" s="12">
        <f>(1+InflationRate)^INT((GK35-1)/12)</f>
        <v/>
      </c>
      <c r="GP35" s="11">
        <f>'Sens - Churn'!$A$14*VLOOKUP(GL35,ChurnSeasonTable,4,FALSE)</f>
        <v/>
      </c>
      <c r="GQ35" s="12">
        <f>MIN(MAX(MktMin19plus,HO34*MktPct19plus),MAX(0,IC34-CashBuffer))</f>
        <v/>
      </c>
      <c r="GR35" s="12">
        <f>IF(GQ35&gt;0,MAX(1,ROUND(GQ35/CAC*GN35,0)),0)</f>
        <v/>
      </c>
      <c r="GS35" s="12">
        <f>IF(GR35&gt;0,ROUND(GR35*ReferralMix/(1-ReferralMix),0),0)</f>
        <v/>
      </c>
      <c r="GT35" s="12">
        <f>GR35+GS35</f>
        <v/>
      </c>
      <c r="GU35" s="12">
        <f>ROUND(GT35*(1-AnnualMix),0)</f>
        <v/>
      </c>
      <c r="GV35" s="12">
        <f>GT35-GU35</f>
        <v/>
      </c>
      <c r="GW35" s="12">
        <f>ROUND(GU35*EssentialMix,0)</f>
        <v/>
      </c>
      <c r="GX35" s="12">
        <f>ROUND(GU35*PremiumMix,0)</f>
        <v/>
      </c>
      <c r="GY35" s="12">
        <f>GU35-GW35-GX35</f>
        <v/>
      </c>
      <c r="GZ35" s="12">
        <f>ROUND(GV35*EssentialMix,0)</f>
        <v/>
      </c>
      <c r="HA35" s="12">
        <f>ROUND(GV35*PremiumMix,0)</f>
        <v/>
      </c>
      <c r="HB35" s="12">
        <f>GV35-GZ35-HA35</f>
        <v/>
      </c>
      <c r="HC35" s="12">
        <f>GW35+GW34+GW33+MAX(0,HC34-GW34-GW33)*(1-GP35)</f>
        <v/>
      </c>
      <c r="HD35" s="12">
        <f>GX35+GX34+GX33+MAX(0,HD34-GX34-GX33)*(1-GP35)</f>
        <v/>
      </c>
      <c r="HE35" s="12">
        <f>GY35+GY34+GY33+MAX(0,HE34-GY34-GY33)*(1-GP35)</f>
        <v/>
      </c>
      <c r="HF35" s="12">
        <f>HF34+GZ35-GZ23*(AnnualChurn*VLOOKUP(GL35,ChurnSeasonTable,4,FALSE))*POWER(1-(AnnualChurn*VLOOKUP(GL35,ChurnSeasonTable,4,FALSE)),0)+GZ11*(AnnualChurn*VLOOKUP(GL35,ChurnSeasonTable,4,FALSE))*POWER(1-(AnnualChurn*VLOOKUP(GL35,ChurnSeasonTable,4,FALSE)),1)</f>
        <v/>
      </c>
      <c r="HG35" s="12">
        <f>HG34+HA35-HA23*(AnnualChurn*VLOOKUP(GL35,ChurnSeasonTable,4,FALSE))*POWER(1-(AnnualChurn*VLOOKUP(GL35,ChurnSeasonTable,4,FALSE)),0)+HA11*(AnnualChurn*VLOOKUP(GL35,ChurnSeasonTable,4,FALSE))*POWER(1-(AnnualChurn*VLOOKUP(GL35,ChurnSeasonTable,4,FALSE)),1)</f>
        <v/>
      </c>
      <c r="HH35" s="12">
        <f>HH34+HB35-HB23*(AnnualChurn*VLOOKUP(GL35,ChurnSeasonTable,4,FALSE))*POWER(1-(AnnualChurn*VLOOKUP(GL35,ChurnSeasonTable,4,FALSE)),0)+HB11*(AnnualChurn*VLOOKUP(GL35,ChurnSeasonTable,4,FALSE))*POWER(1-(AnnualChurn*VLOOKUP(GL35,ChurnSeasonTable,4,FALSE)),1)</f>
        <v/>
      </c>
      <c r="HI35" s="12">
        <f>HC35+HD35+HE35+HF35+HG35+HH35</f>
        <v/>
      </c>
      <c r="HJ35" s="9">
        <f>HC35*BlendedPriceEssMonthly*GO35+HD35*BlendedPricePremMonthly*GO35+HE35*BlendedPriceEliteMonthly*GO35+HF35*BlendedPriceEssAnnual*GO35/12+HG35*BlendedPricePremAnnual*GO35/12+HH35*BlendedPriceEliteAnnual*GO35/12</f>
        <v/>
      </c>
      <c r="HK35" s="9">
        <f>HJ35*12</f>
        <v/>
      </c>
      <c r="HL35" s="12">
        <f>HC35*BlendedPriceEssMonthly*GO35+HD35*BlendedPricePremMonthly*GO35+HE35*BlendedPriceEliteMonthly*GO35</f>
        <v/>
      </c>
      <c r="HM35" s="12">
        <f>GZ35*BlendedPriceEssAnnual*GO35+HA35*BlendedPricePremAnnual*GO35+HB35*BlendedPriceEliteAnnual*GO35</f>
        <v/>
      </c>
      <c r="HN35" s="12">
        <f>GZ23*POWER(1-(AnnualChurn*VLOOKUP(GL35,ChurnSeasonTable,4,FALSE)),1)*BlendedPriceEssAnnual*GO35+GZ11*POWER(1-(AnnualChurn*VLOOKUP(GL35,ChurnSeasonTable,4,FALSE)),2)*BlendedPriceEssAnnual*GO35+HA23*POWER(1-(AnnualChurn*VLOOKUP(GL35,ChurnSeasonTable,4,FALSE)),1)*BlendedPricePremAnnual*GO35+HA11*POWER(1-(AnnualChurn*VLOOKUP(GL35,ChurnSeasonTable,4,FALSE)),2)*BlendedPricePremAnnual*GO35+HB23*POWER(1-(AnnualChurn*VLOOKUP(GL35,ChurnSeasonTable,4,FALSE)),1)*BlendedPriceEliteAnnual*GO35+HB11*POWER(1-(AnnualChurn*VLOOKUP(GL35,ChurnSeasonTable,4,FALSE)),2)*BlendedPriceEliteAnnual*GO35</f>
        <v/>
      </c>
      <c r="HO35" s="9">
        <f>HL35+HM35+HN35</f>
        <v/>
      </c>
      <c r="HP35" s="12">
        <f>SUM(HO24:HO35)</f>
        <v/>
      </c>
      <c r="HQ35" s="12">
        <f>OR(HQ34,IF(VATAgentMode,SUM($HO24:$HO35)-SUM($HV24:$HV35)&gt;=VATThreshold,SUM($HO24:$HO35)&gt;=VATThreshold))</f>
        <v/>
      </c>
      <c r="HR35" s="9">
        <f>IF(HQ35,IF(VATAgentMode,HO35-((HO35-HV35)-(HO35-HV35)/(1+VATRate)),HO35/(1+VATRate)),HO35)</f>
        <v/>
      </c>
      <c r="HS35" s="12">
        <f>HO35-HR35</f>
        <v/>
      </c>
      <c r="HT35" s="12">
        <f>IF(HQ35=0,0,IF(GL35=1,SUMPRODUCT(--(($GM$5:$GM35=$GM35-1)*($GL$5:$GL35&gt;=10)*($GL$5:$GL35&lt;=12)),$HS$5:$HS35),IF(GL35=4,SUMPRODUCT(--(($GM$5:$GM35=$GM35)*($GL$5:$GL35&gt;=1)*($GL$5:$GL35&lt;=3)),$HS$5:$HS35),IF(GL35=7,SUMPRODUCT(--(($GM$5:$GM35=$GM35)*($GL$5:$GL35&gt;=4)*($GL$5:$GL35&lt;=6)),$HS$5:$HS35),IF(GL35=10,SUMPRODUCT(--(($GM$5:$GM35=$GM35)*($GL$5:$GL35&gt;=7)*($GL$5:$GL35&lt;=9)),$HS$5:$HS35),0)))))</f>
        <v/>
      </c>
      <c r="HU35" s="12">
        <f>HU34+HS35-HT35</f>
        <v/>
      </c>
      <c r="HV35" s="12">
        <f>IF(ProviderDelay&gt;=1,HC34*BlendedProvPayEss+HD34*BlendedProvPayPrem+HE34*BlendedProvPayElite+HF34*BlendedProvPayEss+HG34*BlendedProvPayPrem+HH34*BlendedProvPayElite,HC35*BlendedProvPayEss+HD35*BlendedProvPayPrem+HE35*BlendedProvPayElite+HF35*BlendedProvPayEss+HG35*BlendedProvPayPrem+HH35*BlendedProvPayElite)</f>
        <v/>
      </c>
      <c r="HW35" s="12">
        <f>HO35*PaymentFee</f>
        <v/>
      </c>
      <c r="HX35" s="12">
        <f>HI35*OpsAI</f>
        <v/>
      </c>
      <c r="HY35" s="12">
        <f>MonthlyFixed</f>
        <v/>
      </c>
      <c r="HZ35" s="12">
        <f>GS35*ReferralReward</f>
        <v/>
      </c>
      <c r="IA35" s="12">
        <f>GQ35</f>
        <v/>
      </c>
      <c r="IB35" s="9">
        <f>HR35-HV35-HW35-HX35-HY35-HZ35-IA35</f>
        <v/>
      </c>
      <c r="IC35" s="9">
        <f>IC34+HO35-(HV35+HW35+HX35+HY35+HZ35+IA35+HT35)</f>
        <v/>
      </c>
      <c r="ID35" s="12">
        <f>IF(HI35&gt;0,HJ35/HI35,0)</f>
        <v/>
      </c>
      <c r="IE35" s="11">
        <f>IF(HI34&gt;0,MAX(0,(HI34+GT35-HI35)/HI34),0)</f>
        <v/>
      </c>
      <c r="IG35" s="12" t="n">
        <v>31</v>
      </c>
      <c r="IH35" s="12">
        <f>MOD(IG35-1+LaunchMonth-1,12)+1</f>
        <v/>
      </c>
      <c r="II35" s="12">
        <f>INT((IG35-1+LaunchMonth-1)/12)+1</f>
        <v/>
      </c>
      <c r="IJ35" s="12">
        <f>VLOOKUP(IH35,SeasonTable,2,FALSE)</f>
        <v/>
      </c>
      <c r="IK35" s="12">
        <f>(1+InflationRate)^INT((IG35-1)/12)</f>
        <v/>
      </c>
      <c r="IL35" s="11">
        <f>'Sens - Churn'!$A$15*VLOOKUP(IH35,ChurnSeasonTable,4,FALSE)</f>
        <v/>
      </c>
      <c r="IM35" s="12">
        <f>MIN(MAX(MktMin19plus,JK34*MktPct19plus),MAX(0,JY34-CashBuffer))</f>
        <v/>
      </c>
      <c r="IN35" s="12">
        <f>IF(IM35&gt;0,MAX(1,ROUND(IM35/CAC*IJ35,0)),0)</f>
        <v/>
      </c>
      <c r="IO35" s="12">
        <f>IF(IN35&gt;0,ROUND(IN35*ReferralMix/(1-ReferralMix),0),0)</f>
        <v/>
      </c>
      <c r="IP35" s="12">
        <f>IN35+IO35</f>
        <v/>
      </c>
      <c r="IQ35" s="12">
        <f>ROUND(IP35*(1-AnnualMix),0)</f>
        <v/>
      </c>
      <c r="IR35" s="12">
        <f>IP35-IQ35</f>
        <v/>
      </c>
      <c r="IS35" s="12">
        <f>ROUND(IQ35*EssentialMix,0)</f>
        <v/>
      </c>
      <c r="IT35" s="12">
        <f>ROUND(IQ35*PremiumMix,0)</f>
        <v/>
      </c>
      <c r="IU35" s="12">
        <f>IQ35-IS35-IT35</f>
        <v/>
      </c>
      <c r="IV35" s="12">
        <f>ROUND(IR35*EssentialMix,0)</f>
        <v/>
      </c>
      <c r="IW35" s="12">
        <f>ROUND(IR35*PremiumMix,0)</f>
        <v/>
      </c>
      <c r="IX35" s="12">
        <f>IR35-IV35-IW35</f>
        <v/>
      </c>
      <c r="IY35" s="12">
        <f>IS35+IS34+IS33+MAX(0,IY34-IS34-IS33)*(1-IL35)</f>
        <v/>
      </c>
      <c r="IZ35" s="12">
        <f>IT35+IT34+IT33+MAX(0,IZ34-IT34-IT33)*(1-IL35)</f>
        <v/>
      </c>
      <c r="JA35" s="12">
        <f>IU35+IU34+IU33+MAX(0,JA34-IU34-IU33)*(1-IL35)</f>
        <v/>
      </c>
      <c r="JB35" s="12">
        <f>JB34+IV35-IV23*(AnnualChurn*VLOOKUP(IH35,ChurnSeasonTable,4,FALSE))*POWER(1-(AnnualChurn*VLOOKUP(IH35,ChurnSeasonTable,4,FALSE)),0)+IV11*(AnnualChurn*VLOOKUP(IH35,ChurnSeasonTable,4,FALSE))*POWER(1-(AnnualChurn*VLOOKUP(IH35,ChurnSeasonTable,4,FALSE)),1)</f>
        <v/>
      </c>
      <c r="JC35" s="12">
        <f>JC34+IW35-IW23*(AnnualChurn*VLOOKUP(IH35,ChurnSeasonTable,4,FALSE))*POWER(1-(AnnualChurn*VLOOKUP(IH35,ChurnSeasonTable,4,FALSE)),0)+IW11*(AnnualChurn*VLOOKUP(IH35,ChurnSeasonTable,4,FALSE))*POWER(1-(AnnualChurn*VLOOKUP(IH35,ChurnSeasonTable,4,FALSE)),1)</f>
        <v/>
      </c>
      <c r="JD35" s="12">
        <f>JD34+IX35-IX23*(AnnualChurn*VLOOKUP(IH35,ChurnSeasonTable,4,FALSE))*POWER(1-(AnnualChurn*VLOOKUP(IH35,ChurnSeasonTable,4,FALSE)),0)+IX11*(AnnualChurn*VLOOKUP(IH35,ChurnSeasonTable,4,FALSE))*POWER(1-(AnnualChurn*VLOOKUP(IH35,ChurnSeasonTable,4,FALSE)),1)</f>
        <v/>
      </c>
      <c r="JE35" s="12">
        <f>IY35+IZ35+JA35+JB35+JC35+JD35</f>
        <v/>
      </c>
      <c r="JF35" s="9">
        <f>IY35*BlendedPriceEssMonthly*IK35+IZ35*BlendedPricePremMonthly*IK35+JA35*BlendedPriceEliteMonthly*IK35+JB35*BlendedPriceEssAnnual*IK35/12+JC35*BlendedPricePremAnnual*IK35/12+JD35*BlendedPriceEliteAnnual*IK35/12</f>
        <v/>
      </c>
      <c r="JG35" s="9">
        <f>JF35*12</f>
        <v/>
      </c>
      <c r="JH35" s="12">
        <f>IY35*BlendedPriceEssMonthly*IK35+IZ35*BlendedPricePremMonthly*IK35+JA35*BlendedPriceEliteMonthly*IK35</f>
        <v/>
      </c>
      <c r="JI35" s="12">
        <f>IV35*BlendedPriceEssAnnual*IK35+IW35*BlendedPricePremAnnual*IK35+IX35*BlendedPriceEliteAnnual*IK35</f>
        <v/>
      </c>
      <c r="JJ35" s="12">
        <f>IV23*POWER(1-(AnnualChurn*VLOOKUP(IH35,ChurnSeasonTable,4,FALSE)),1)*BlendedPriceEssAnnual*IK35+IV11*POWER(1-(AnnualChurn*VLOOKUP(IH35,ChurnSeasonTable,4,FALSE)),2)*BlendedPriceEssAnnual*IK35+IW23*POWER(1-(AnnualChurn*VLOOKUP(IH35,ChurnSeasonTable,4,FALSE)),1)*BlendedPricePremAnnual*IK35+IW11*POWER(1-(AnnualChurn*VLOOKUP(IH35,ChurnSeasonTable,4,FALSE)),2)*BlendedPricePremAnnual*IK35+IX23*POWER(1-(AnnualChurn*VLOOKUP(IH35,ChurnSeasonTable,4,FALSE)),1)*BlendedPriceEliteAnnual*IK35+IX11*POWER(1-(AnnualChurn*VLOOKUP(IH35,ChurnSeasonTable,4,FALSE)),2)*BlendedPriceEliteAnnual*IK35</f>
        <v/>
      </c>
      <c r="JK35" s="9">
        <f>JH35+JI35+JJ35</f>
        <v/>
      </c>
      <c r="JL35" s="12">
        <f>SUM(JK24:JK35)</f>
        <v/>
      </c>
      <c r="JM35" s="12">
        <f>OR(JM34,IF(VATAgentMode,SUM($JK24:$JK35)-SUM($JR24:$JR35)&gt;=VATThreshold,SUM($JK24:$JK35)&gt;=VATThreshold))</f>
        <v/>
      </c>
      <c r="JN35" s="9">
        <f>IF(JM35,IF(VATAgentMode,JK35-((JK35-JR35)-(JK35-JR35)/(1+VATRate)),JK35/(1+VATRate)),JK35)</f>
        <v/>
      </c>
      <c r="JO35" s="12">
        <f>JK35-JN35</f>
        <v/>
      </c>
      <c r="JP35" s="12">
        <f>IF(JM35=0,0,IF(IH35=1,SUMPRODUCT(--(($II$5:$II35=$II35-1)*($IH$5:$IH35&gt;=10)*($IH$5:$IH35&lt;=12)),$JO$5:$JO35),IF(IH35=4,SUMPRODUCT(--(($II$5:$II35=$II35)*($IH$5:$IH35&gt;=1)*($IH$5:$IH35&lt;=3)),$JO$5:$JO35),IF(IH35=7,SUMPRODUCT(--(($II$5:$II35=$II35)*($IH$5:$IH35&gt;=4)*($IH$5:$IH35&lt;=6)),$JO$5:$JO35),IF(IH35=10,SUMPRODUCT(--(($II$5:$II35=$II35)*($IH$5:$IH35&gt;=7)*($IH$5:$IH35&lt;=9)),$JO$5:$JO35),0)))))</f>
        <v/>
      </c>
      <c r="JQ35" s="12">
        <f>JQ34+JO35-JP35</f>
        <v/>
      </c>
      <c r="JR35" s="12">
        <f>IF(ProviderDelay&gt;=1,IY34*BlendedProvPayEss+IZ34*BlendedProvPayPrem+JA34*BlendedProvPayElite+JB34*BlendedProvPayEss+JC34*BlendedProvPayPrem+JD34*BlendedProvPayElite,IY35*BlendedProvPayEss+IZ35*BlendedProvPayPrem+JA35*BlendedProvPayElite+JB35*BlendedProvPayEss+JC35*BlendedProvPayPrem+JD35*BlendedProvPayElite)</f>
        <v/>
      </c>
      <c r="JS35" s="12">
        <f>JK35*PaymentFee</f>
        <v/>
      </c>
      <c r="JT35" s="12">
        <f>JE35*OpsAI</f>
        <v/>
      </c>
      <c r="JU35" s="12">
        <f>MonthlyFixed</f>
        <v/>
      </c>
      <c r="JV35" s="12">
        <f>IO35*ReferralReward</f>
        <v/>
      </c>
      <c r="JW35" s="12">
        <f>IM35</f>
        <v/>
      </c>
      <c r="JX35" s="9">
        <f>JN35-JR35-JS35-JT35-JU35-JV35-JW35</f>
        <v/>
      </c>
      <c r="JY35" s="9">
        <f>JY34+JK35-(JR35+JS35+JT35+JU35+JV35+JW35+JP35)</f>
        <v/>
      </c>
      <c r="JZ35" s="12">
        <f>IF(JE35&gt;0,JF35/JE35,0)</f>
        <v/>
      </c>
      <c r="KA35" s="11">
        <f>IF(JE34&gt;0,MAX(0,(JE34+IP35-JE35)/JE34),0)</f>
        <v/>
      </c>
      <c r="KC35" s="12" t="n">
        <v>31</v>
      </c>
      <c r="KD35" s="12">
        <f>MOD(KC35-1+LaunchMonth-1,12)+1</f>
        <v/>
      </c>
      <c r="KE35" s="12">
        <f>INT((KC35-1+LaunchMonth-1)/12)+1</f>
        <v/>
      </c>
      <c r="KF35" s="12">
        <f>VLOOKUP(KD35,SeasonTable,2,FALSE)</f>
        <v/>
      </c>
      <c r="KG35" s="12">
        <f>(1+InflationRate)^INT((KC35-1)/12)</f>
        <v/>
      </c>
      <c r="KH35" s="11">
        <f>'Sens - Churn'!$A$16*VLOOKUP(KD35,ChurnSeasonTable,4,FALSE)</f>
        <v/>
      </c>
      <c r="KI35" s="12">
        <f>MIN(MAX(MktMin19plus,LG34*MktPct19plus),MAX(0,LU34-CashBuffer))</f>
        <v/>
      </c>
      <c r="KJ35" s="12">
        <f>IF(KI35&gt;0,MAX(1,ROUND(KI35/CAC*KF35,0)),0)</f>
        <v/>
      </c>
      <c r="KK35" s="12">
        <f>IF(KJ35&gt;0,ROUND(KJ35*ReferralMix/(1-ReferralMix),0),0)</f>
        <v/>
      </c>
      <c r="KL35" s="12">
        <f>KJ35+KK35</f>
        <v/>
      </c>
      <c r="KM35" s="12">
        <f>ROUND(KL35*(1-AnnualMix),0)</f>
        <v/>
      </c>
      <c r="KN35" s="12">
        <f>KL35-KM35</f>
        <v/>
      </c>
      <c r="KO35" s="12">
        <f>ROUND(KM35*EssentialMix,0)</f>
        <v/>
      </c>
      <c r="KP35" s="12">
        <f>ROUND(KM35*PremiumMix,0)</f>
        <v/>
      </c>
      <c r="KQ35" s="12">
        <f>KM35-KO35-KP35</f>
        <v/>
      </c>
      <c r="KR35" s="12">
        <f>ROUND(KN35*EssentialMix,0)</f>
        <v/>
      </c>
      <c r="KS35" s="12">
        <f>ROUND(KN35*PremiumMix,0)</f>
        <v/>
      </c>
      <c r="KT35" s="12">
        <f>KN35-KR35-KS35</f>
        <v/>
      </c>
      <c r="KU35" s="12">
        <f>KO35+KO34+KO33+MAX(0,KU34-KO34-KO33)*(1-KH35)</f>
        <v/>
      </c>
      <c r="KV35" s="12">
        <f>KP35+KP34+KP33+MAX(0,KV34-KP34-KP33)*(1-KH35)</f>
        <v/>
      </c>
      <c r="KW35" s="12">
        <f>KQ35+KQ34+KQ33+MAX(0,KW34-KQ34-KQ33)*(1-KH35)</f>
        <v/>
      </c>
      <c r="KX35" s="12">
        <f>KX34+KR35-KR23*(AnnualChurn*VLOOKUP(KD35,ChurnSeasonTable,4,FALSE))*POWER(1-(AnnualChurn*VLOOKUP(KD35,ChurnSeasonTable,4,FALSE)),0)+KR11*(AnnualChurn*VLOOKUP(KD35,ChurnSeasonTable,4,FALSE))*POWER(1-(AnnualChurn*VLOOKUP(KD35,ChurnSeasonTable,4,FALSE)),1)</f>
        <v/>
      </c>
      <c r="KY35" s="12">
        <f>KY34+KS35-KS23*(AnnualChurn*VLOOKUP(KD35,ChurnSeasonTable,4,FALSE))*POWER(1-(AnnualChurn*VLOOKUP(KD35,ChurnSeasonTable,4,FALSE)),0)+KS11*(AnnualChurn*VLOOKUP(KD35,ChurnSeasonTable,4,FALSE))*POWER(1-(AnnualChurn*VLOOKUP(KD35,ChurnSeasonTable,4,FALSE)),1)</f>
        <v/>
      </c>
      <c r="KZ35" s="12">
        <f>KZ34+KT35-KT23*(AnnualChurn*VLOOKUP(KD35,ChurnSeasonTable,4,FALSE))*POWER(1-(AnnualChurn*VLOOKUP(KD35,ChurnSeasonTable,4,FALSE)),0)+KT11*(AnnualChurn*VLOOKUP(KD35,ChurnSeasonTable,4,FALSE))*POWER(1-(AnnualChurn*VLOOKUP(KD35,ChurnSeasonTable,4,FALSE)),1)</f>
        <v/>
      </c>
      <c r="LA35" s="12">
        <f>KU35+KV35+KW35+KX35+KY35+KZ35</f>
        <v/>
      </c>
      <c r="LB35" s="9">
        <f>KU35*BlendedPriceEssMonthly*KG35+KV35*BlendedPricePremMonthly*KG35+KW35*BlendedPriceEliteMonthly*KG35+KX35*BlendedPriceEssAnnual*KG35/12+KY35*BlendedPricePremAnnual*KG35/12+KZ35*BlendedPriceEliteAnnual*KG35/12</f>
        <v/>
      </c>
      <c r="LC35" s="9">
        <f>LB35*12</f>
        <v/>
      </c>
      <c r="LD35" s="12">
        <f>KU35*BlendedPriceEssMonthly*KG35+KV35*BlendedPricePremMonthly*KG35+KW35*BlendedPriceEliteMonthly*KG35</f>
        <v/>
      </c>
      <c r="LE35" s="12">
        <f>KR35*BlendedPriceEssAnnual*KG35+KS35*BlendedPricePremAnnual*KG35+KT35*BlendedPriceEliteAnnual*KG35</f>
        <v/>
      </c>
      <c r="LF35" s="12">
        <f>KR23*POWER(1-(AnnualChurn*VLOOKUP(KD35,ChurnSeasonTable,4,FALSE)),1)*BlendedPriceEssAnnual*KG35+KR11*POWER(1-(AnnualChurn*VLOOKUP(KD35,ChurnSeasonTable,4,FALSE)),2)*BlendedPriceEssAnnual*KG35+KS23*POWER(1-(AnnualChurn*VLOOKUP(KD35,ChurnSeasonTable,4,FALSE)),1)*BlendedPricePremAnnual*KG35+KS11*POWER(1-(AnnualChurn*VLOOKUP(KD35,ChurnSeasonTable,4,FALSE)),2)*BlendedPricePremAnnual*KG35+KT23*POWER(1-(AnnualChurn*VLOOKUP(KD35,ChurnSeasonTable,4,FALSE)),1)*BlendedPriceEliteAnnual*KG35+KT11*POWER(1-(AnnualChurn*VLOOKUP(KD35,ChurnSeasonTable,4,FALSE)),2)*BlendedPriceEliteAnnual*KG35</f>
        <v/>
      </c>
      <c r="LG35" s="9">
        <f>LD35+LE35+LF35</f>
        <v/>
      </c>
      <c r="LH35" s="12">
        <f>SUM(LG24:LG35)</f>
        <v/>
      </c>
      <c r="LI35" s="12">
        <f>OR(LI34,IF(VATAgentMode,SUM($LG24:$LG35)-SUM($LN24:$LN35)&gt;=VATThreshold,SUM($LG24:$LG35)&gt;=VATThreshold))</f>
        <v/>
      </c>
      <c r="LJ35" s="9">
        <f>IF(LI35,IF(VATAgentMode,LG35-((LG35-LN35)-(LG35-LN35)/(1+VATRate)),LG35/(1+VATRate)),LG35)</f>
        <v/>
      </c>
      <c r="LK35" s="12">
        <f>LG35-LJ35</f>
        <v/>
      </c>
      <c r="LL35" s="12">
        <f>IF(LI35=0,0,IF(KD35=1,SUMPRODUCT(--(($KE$5:$KE35=$KE35-1)*($KD$5:$KD35&gt;=10)*($KD$5:$KD35&lt;=12)),$LK$5:$LK35),IF(KD35=4,SUMPRODUCT(--(($KE$5:$KE35=$KE35)*($KD$5:$KD35&gt;=1)*($KD$5:$KD35&lt;=3)),$LK$5:$LK35),IF(KD35=7,SUMPRODUCT(--(($KE$5:$KE35=$KE35)*($KD$5:$KD35&gt;=4)*($KD$5:$KD35&lt;=6)),$LK$5:$LK35),IF(KD35=10,SUMPRODUCT(--(($KE$5:$KE35=$KE35)*($KD$5:$KD35&gt;=7)*($KD$5:$KD35&lt;=9)),$LK$5:$LK35),0)))))</f>
        <v/>
      </c>
      <c r="LM35" s="12">
        <f>LM34+LK35-LL35</f>
        <v/>
      </c>
      <c r="LN35" s="12">
        <f>IF(ProviderDelay&gt;=1,KU34*BlendedProvPayEss+KV34*BlendedProvPayPrem+KW34*BlendedProvPayElite+KX34*BlendedProvPayEss+KY34*BlendedProvPayPrem+KZ34*BlendedProvPayElite,KU35*BlendedProvPayEss+KV35*BlendedProvPayPrem+KW35*BlendedProvPayElite+KX35*BlendedProvPayEss+KY35*BlendedProvPayPrem+KZ35*BlendedProvPayElite)</f>
        <v/>
      </c>
      <c r="LO35" s="12">
        <f>LG35*PaymentFee</f>
        <v/>
      </c>
      <c r="LP35" s="12">
        <f>LA35*OpsAI</f>
        <v/>
      </c>
      <c r="LQ35" s="12">
        <f>MonthlyFixed</f>
        <v/>
      </c>
      <c r="LR35" s="12">
        <f>KK35*ReferralReward</f>
        <v/>
      </c>
      <c r="LS35" s="12">
        <f>KI35</f>
        <v/>
      </c>
      <c r="LT35" s="9">
        <f>LJ35-LN35-LO35-LP35-LQ35-LR35-LS35</f>
        <v/>
      </c>
      <c r="LU35" s="9">
        <f>LU34+LG35-(LN35+LO35+LP35+LQ35+LR35+LS35+LL35)</f>
        <v/>
      </c>
      <c r="LV35" s="12">
        <f>IF(LA35&gt;0,LB35/LA35,0)</f>
        <v/>
      </c>
      <c r="LW35" s="11">
        <f>IF(LA34&gt;0,MAX(0,(LA34+KL35-LA35)/LA34),0)</f>
        <v/>
      </c>
      <c r="LY35" s="12" t="n">
        <v>31</v>
      </c>
      <c r="LZ35" s="12">
        <f>MOD(LY35-1+LaunchMonth-1,12)+1</f>
        <v/>
      </c>
      <c r="MA35" s="12">
        <f>INT((LY35-1+LaunchMonth-1)/12)+1</f>
        <v/>
      </c>
      <c r="MB35" s="12">
        <f>VLOOKUP(LZ35,SeasonTable,2,FALSE)</f>
        <v/>
      </c>
      <c r="MC35" s="12">
        <f>(1+InflationRate)^INT((LY35-1)/12)</f>
        <v/>
      </c>
      <c r="MD35" s="11">
        <f>'Sens - Churn'!$A$17*VLOOKUP(LZ35,ChurnSeasonTable,4,FALSE)</f>
        <v/>
      </c>
      <c r="ME35" s="12">
        <f>MIN(MAX(MktMin19plus,NC34*MktPct19plus),MAX(0,NQ34-CashBuffer))</f>
        <v/>
      </c>
      <c r="MF35" s="12">
        <f>IF(ME35&gt;0,MAX(1,ROUND(ME35/CAC*MB35,0)),0)</f>
        <v/>
      </c>
      <c r="MG35" s="12">
        <f>IF(MF35&gt;0,ROUND(MF35*ReferralMix/(1-ReferralMix),0),0)</f>
        <v/>
      </c>
      <c r="MH35" s="12">
        <f>MF35+MG35</f>
        <v/>
      </c>
      <c r="MI35" s="12">
        <f>ROUND(MH35*(1-AnnualMix),0)</f>
        <v/>
      </c>
      <c r="MJ35" s="12">
        <f>MH35-MI35</f>
        <v/>
      </c>
      <c r="MK35" s="12">
        <f>ROUND(MI35*EssentialMix,0)</f>
        <v/>
      </c>
      <c r="ML35" s="12">
        <f>ROUND(MI35*PremiumMix,0)</f>
        <v/>
      </c>
      <c r="MM35" s="12">
        <f>MI35-MK35-ML35</f>
        <v/>
      </c>
      <c r="MN35" s="12">
        <f>ROUND(MJ35*EssentialMix,0)</f>
        <v/>
      </c>
      <c r="MO35" s="12">
        <f>ROUND(MJ35*PremiumMix,0)</f>
        <v/>
      </c>
      <c r="MP35" s="12">
        <f>MJ35-MN35-MO35</f>
        <v/>
      </c>
      <c r="MQ35" s="12">
        <f>MK35+MK34+MK33+MAX(0,MQ34-MK34-MK33)*(1-MD35)</f>
        <v/>
      </c>
      <c r="MR35" s="12">
        <f>ML35+ML34+ML33+MAX(0,MR34-ML34-ML33)*(1-MD35)</f>
        <v/>
      </c>
      <c r="MS35" s="12">
        <f>MM35+MM34+MM33+MAX(0,MS34-MM34-MM33)*(1-MD35)</f>
        <v/>
      </c>
      <c r="MT35" s="12">
        <f>MT34+MN35-MN23*(AnnualChurn*VLOOKUP(LZ35,ChurnSeasonTable,4,FALSE))*POWER(1-(AnnualChurn*VLOOKUP(LZ35,ChurnSeasonTable,4,FALSE)),0)+MN11*(AnnualChurn*VLOOKUP(LZ35,ChurnSeasonTable,4,FALSE))*POWER(1-(AnnualChurn*VLOOKUP(LZ35,ChurnSeasonTable,4,FALSE)),1)</f>
        <v/>
      </c>
      <c r="MU35" s="12">
        <f>MU34+MO35-MO23*(AnnualChurn*VLOOKUP(LZ35,ChurnSeasonTable,4,FALSE))*POWER(1-(AnnualChurn*VLOOKUP(LZ35,ChurnSeasonTable,4,FALSE)),0)+MO11*(AnnualChurn*VLOOKUP(LZ35,ChurnSeasonTable,4,FALSE))*POWER(1-(AnnualChurn*VLOOKUP(LZ35,ChurnSeasonTable,4,FALSE)),1)</f>
        <v/>
      </c>
      <c r="MV35" s="12">
        <f>MV34+MP35-MP23*(AnnualChurn*VLOOKUP(LZ35,ChurnSeasonTable,4,FALSE))*POWER(1-(AnnualChurn*VLOOKUP(LZ35,ChurnSeasonTable,4,FALSE)),0)+MP11*(AnnualChurn*VLOOKUP(LZ35,ChurnSeasonTable,4,FALSE))*POWER(1-(AnnualChurn*VLOOKUP(LZ35,ChurnSeasonTable,4,FALSE)),1)</f>
        <v/>
      </c>
      <c r="MW35" s="12">
        <f>MQ35+MR35+MS35+MT35+MU35+MV35</f>
        <v/>
      </c>
      <c r="MX35" s="9">
        <f>MQ35*BlendedPriceEssMonthly*MC35+MR35*BlendedPricePremMonthly*MC35+MS35*BlendedPriceEliteMonthly*MC35+MT35*BlendedPriceEssAnnual*MC35/12+MU35*BlendedPricePremAnnual*MC35/12+MV35*BlendedPriceEliteAnnual*MC35/12</f>
        <v/>
      </c>
      <c r="MY35" s="9">
        <f>MX35*12</f>
        <v/>
      </c>
      <c r="MZ35" s="12">
        <f>MQ35*BlendedPriceEssMonthly*MC35+MR35*BlendedPricePremMonthly*MC35+MS35*BlendedPriceEliteMonthly*MC35</f>
        <v/>
      </c>
      <c r="NA35" s="12">
        <f>MN35*BlendedPriceEssAnnual*MC35+MO35*BlendedPricePremAnnual*MC35+MP35*BlendedPriceEliteAnnual*MC35</f>
        <v/>
      </c>
      <c r="NB35" s="12">
        <f>MN23*POWER(1-(AnnualChurn*VLOOKUP(LZ35,ChurnSeasonTable,4,FALSE)),1)*BlendedPriceEssAnnual*MC35+MN11*POWER(1-(AnnualChurn*VLOOKUP(LZ35,ChurnSeasonTable,4,FALSE)),2)*BlendedPriceEssAnnual*MC35+MO23*POWER(1-(AnnualChurn*VLOOKUP(LZ35,ChurnSeasonTable,4,FALSE)),1)*BlendedPricePremAnnual*MC35+MO11*POWER(1-(AnnualChurn*VLOOKUP(LZ35,ChurnSeasonTable,4,FALSE)),2)*BlendedPricePremAnnual*MC35+MP23*POWER(1-(AnnualChurn*VLOOKUP(LZ35,ChurnSeasonTable,4,FALSE)),1)*BlendedPriceEliteAnnual*MC35+MP11*POWER(1-(AnnualChurn*VLOOKUP(LZ35,ChurnSeasonTable,4,FALSE)),2)*BlendedPriceEliteAnnual*MC35</f>
        <v/>
      </c>
      <c r="NC35" s="9">
        <f>MZ35+NA35+NB35</f>
        <v/>
      </c>
      <c r="ND35" s="12">
        <f>SUM(NC24:NC35)</f>
        <v/>
      </c>
      <c r="NE35" s="12">
        <f>OR(NE34,IF(VATAgentMode,SUM($NC24:$NC35)-SUM($NJ24:$NJ35)&gt;=VATThreshold,SUM($NC24:$NC35)&gt;=VATThreshold))</f>
        <v/>
      </c>
      <c r="NF35" s="9">
        <f>IF(NE35,IF(VATAgentMode,NC35-((NC35-NJ35)-(NC35-NJ35)/(1+VATRate)),NC35/(1+VATRate)),NC35)</f>
        <v/>
      </c>
      <c r="NG35" s="12">
        <f>NC35-NF35</f>
        <v/>
      </c>
      <c r="NH35" s="12">
        <f>IF(NE35=0,0,IF(LZ35=1,SUMPRODUCT(--(($MA$5:$MA35=$MA35-1)*($LZ$5:$LZ35&gt;=10)*($LZ$5:$LZ35&lt;=12)),$NG$5:$NG35),IF(LZ35=4,SUMPRODUCT(--(($MA$5:$MA35=$MA35)*($LZ$5:$LZ35&gt;=1)*($LZ$5:$LZ35&lt;=3)),$NG$5:$NG35),IF(LZ35=7,SUMPRODUCT(--(($MA$5:$MA35=$MA35)*($LZ$5:$LZ35&gt;=4)*($LZ$5:$LZ35&lt;=6)),$NG$5:$NG35),IF(LZ35=10,SUMPRODUCT(--(($MA$5:$MA35=$MA35)*($LZ$5:$LZ35&gt;=7)*($LZ$5:$LZ35&lt;=9)),$NG$5:$NG35),0)))))</f>
        <v/>
      </c>
      <c r="NI35" s="12">
        <f>NI34+NG35-NH35</f>
        <v/>
      </c>
      <c r="NJ35" s="12">
        <f>IF(ProviderDelay&gt;=1,MQ34*BlendedProvPayEss+MR34*BlendedProvPayPrem+MS34*BlendedProvPayElite+MT34*BlendedProvPayEss+MU34*BlendedProvPayPrem+MV34*BlendedProvPayElite,MQ35*BlendedProvPayEss+MR35*BlendedProvPayPrem+MS35*BlendedProvPayElite+MT35*BlendedProvPayEss+MU35*BlendedProvPayPrem+MV35*BlendedProvPayElite)</f>
        <v/>
      </c>
      <c r="NK35" s="12">
        <f>NC35*PaymentFee</f>
        <v/>
      </c>
      <c r="NL35" s="12">
        <f>MW35*OpsAI</f>
        <v/>
      </c>
      <c r="NM35" s="12">
        <f>MonthlyFixed</f>
        <v/>
      </c>
      <c r="NN35" s="12">
        <f>MG35*ReferralReward</f>
        <v/>
      </c>
      <c r="NO35" s="12">
        <f>ME35</f>
        <v/>
      </c>
      <c r="NP35" s="9">
        <f>NF35-NJ35-NK35-NL35-NM35-NN35-NO35</f>
        <v/>
      </c>
      <c r="NQ35" s="9">
        <f>NQ34+NC35-(NJ35+NK35+NL35+NM35+NN35+NO35+NH35)</f>
        <v/>
      </c>
      <c r="NR35" s="12">
        <f>IF(MW35&gt;0,MX35/MW35,0)</f>
        <v/>
      </c>
      <c r="NS35" s="11">
        <f>IF(MW34&gt;0,MAX(0,(MW34+MH35-MW35)/MW34),0)</f>
        <v/>
      </c>
      <c r="NU35" s="12" t="n">
        <v>31</v>
      </c>
      <c r="NV35" s="12">
        <f>MOD(NU35-1+LaunchMonth-1,12)+1</f>
        <v/>
      </c>
      <c r="NW35" s="12">
        <f>INT((NU35-1+LaunchMonth-1)/12)+1</f>
        <v/>
      </c>
      <c r="NX35" s="12">
        <f>VLOOKUP(NV35,SeasonTable,2,FALSE)</f>
        <v/>
      </c>
      <c r="NY35" s="12">
        <f>(1+InflationRate)^INT((NU35-1)/12)</f>
        <v/>
      </c>
      <c r="NZ35" s="11">
        <f>'Sens - Churn'!$A$18*VLOOKUP(NV35,ChurnSeasonTable,4,FALSE)</f>
        <v/>
      </c>
      <c r="OA35" s="12">
        <f>MIN(MAX(MktMin19plus,OY34*MktPct19plus),MAX(0,PM34-CashBuffer))</f>
        <v/>
      </c>
      <c r="OB35" s="12">
        <f>IF(OA35&gt;0,MAX(1,ROUND(OA35/CAC*NX35,0)),0)</f>
        <v/>
      </c>
      <c r="OC35" s="12">
        <f>IF(OB35&gt;0,ROUND(OB35*ReferralMix/(1-ReferralMix),0),0)</f>
        <v/>
      </c>
      <c r="OD35" s="12">
        <f>OB35+OC35</f>
        <v/>
      </c>
      <c r="OE35" s="12">
        <f>ROUND(OD35*(1-AnnualMix),0)</f>
        <v/>
      </c>
      <c r="OF35" s="12">
        <f>OD35-OE35</f>
        <v/>
      </c>
      <c r="OG35" s="12">
        <f>ROUND(OE35*EssentialMix,0)</f>
        <v/>
      </c>
      <c r="OH35" s="12">
        <f>ROUND(OE35*PremiumMix,0)</f>
        <v/>
      </c>
      <c r="OI35" s="12">
        <f>OE35-OG35-OH35</f>
        <v/>
      </c>
      <c r="OJ35" s="12">
        <f>ROUND(OF35*EssentialMix,0)</f>
        <v/>
      </c>
      <c r="OK35" s="12">
        <f>ROUND(OF35*PremiumMix,0)</f>
        <v/>
      </c>
      <c r="OL35" s="12">
        <f>OF35-OJ35-OK35</f>
        <v/>
      </c>
      <c r="OM35" s="12">
        <f>OG35+OG34+OG33+MAX(0,OM34-OG34-OG33)*(1-NZ35)</f>
        <v/>
      </c>
      <c r="ON35" s="12">
        <f>OH35+OH34+OH33+MAX(0,ON34-OH34-OH33)*(1-NZ35)</f>
        <v/>
      </c>
      <c r="OO35" s="12">
        <f>OI35+OI34+OI33+MAX(0,OO34-OI34-OI33)*(1-NZ35)</f>
        <v/>
      </c>
      <c r="OP35" s="12">
        <f>OP34+OJ35-OJ23*(AnnualChurn*VLOOKUP(NV35,ChurnSeasonTable,4,FALSE))*POWER(1-(AnnualChurn*VLOOKUP(NV35,ChurnSeasonTable,4,FALSE)),0)+OJ11*(AnnualChurn*VLOOKUP(NV35,ChurnSeasonTable,4,FALSE))*POWER(1-(AnnualChurn*VLOOKUP(NV35,ChurnSeasonTable,4,FALSE)),1)</f>
        <v/>
      </c>
      <c r="OQ35" s="12">
        <f>OQ34+OK35-OK23*(AnnualChurn*VLOOKUP(NV35,ChurnSeasonTable,4,FALSE))*POWER(1-(AnnualChurn*VLOOKUP(NV35,ChurnSeasonTable,4,FALSE)),0)+OK11*(AnnualChurn*VLOOKUP(NV35,ChurnSeasonTable,4,FALSE))*POWER(1-(AnnualChurn*VLOOKUP(NV35,ChurnSeasonTable,4,FALSE)),1)</f>
        <v/>
      </c>
      <c r="OR35" s="12">
        <f>OR34+OL35-OL23*(AnnualChurn*VLOOKUP(NV35,ChurnSeasonTable,4,FALSE))*POWER(1-(AnnualChurn*VLOOKUP(NV35,ChurnSeasonTable,4,FALSE)),0)+OL11*(AnnualChurn*VLOOKUP(NV35,ChurnSeasonTable,4,FALSE))*POWER(1-(AnnualChurn*VLOOKUP(NV35,ChurnSeasonTable,4,FALSE)),1)</f>
        <v/>
      </c>
      <c r="OS35" s="12">
        <f>OM35+ON35+OO35+OP35+OQ35+OR35</f>
        <v/>
      </c>
      <c r="OT35" s="9">
        <f>OM35*BlendedPriceEssMonthly*NY35+ON35*BlendedPricePremMonthly*NY35+OO35*BlendedPriceEliteMonthly*NY35+OP35*BlendedPriceEssAnnual*NY35/12+OQ35*BlendedPricePremAnnual*NY35/12+OR35*BlendedPriceEliteAnnual*NY35/12</f>
        <v/>
      </c>
      <c r="OU35" s="9">
        <f>OT35*12</f>
        <v/>
      </c>
      <c r="OV35" s="12">
        <f>OM35*BlendedPriceEssMonthly*NY35+ON35*BlendedPricePremMonthly*NY35+OO35*BlendedPriceEliteMonthly*NY35</f>
        <v/>
      </c>
      <c r="OW35" s="12">
        <f>OJ35*BlendedPriceEssAnnual*NY35+OK35*BlendedPricePremAnnual*NY35+OL35*BlendedPriceEliteAnnual*NY35</f>
        <v/>
      </c>
      <c r="OX35" s="12">
        <f>OJ23*POWER(1-(AnnualChurn*VLOOKUP(NV35,ChurnSeasonTable,4,FALSE)),1)*BlendedPriceEssAnnual*NY35+OJ11*POWER(1-(AnnualChurn*VLOOKUP(NV35,ChurnSeasonTable,4,FALSE)),2)*BlendedPriceEssAnnual*NY35+OK23*POWER(1-(AnnualChurn*VLOOKUP(NV35,ChurnSeasonTable,4,FALSE)),1)*BlendedPricePremAnnual*NY35+OK11*POWER(1-(AnnualChurn*VLOOKUP(NV35,ChurnSeasonTable,4,FALSE)),2)*BlendedPricePremAnnual*NY35+OL23*POWER(1-(AnnualChurn*VLOOKUP(NV35,ChurnSeasonTable,4,FALSE)),1)*BlendedPriceEliteAnnual*NY35+OL11*POWER(1-(AnnualChurn*VLOOKUP(NV35,ChurnSeasonTable,4,FALSE)),2)*BlendedPriceEliteAnnual*NY35</f>
        <v/>
      </c>
      <c r="OY35" s="9">
        <f>OV35+OW35+OX35</f>
        <v/>
      </c>
      <c r="OZ35" s="12">
        <f>SUM(OY24:OY35)</f>
        <v/>
      </c>
      <c r="PA35" s="12">
        <f>OR(PA34,IF(VATAgentMode,SUM($OY24:$OY35)-SUM($PF24:$PF35)&gt;=VATThreshold,SUM($OY24:$OY35)&gt;=VATThreshold))</f>
        <v/>
      </c>
      <c r="PB35" s="9">
        <f>IF(PA35,IF(VATAgentMode,OY35-((OY35-PF35)-(OY35-PF35)/(1+VATRate)),OY35/(1+VATRate)),OY35)</f>
        <v/>
      </c>
      <c r="PC35" s="12">
        <f>OY35-PB35</f>
        <v/>
      </c>
      <c r="PD35" s="12">
        <f>IF(PA35=0,0,IF(NV35=1,SUMPRODUCT(--(($NW$5:$NW35=$NW35-1)*($NV$5:$NV35&gt;=10)*($NV$5:$NV35&lt;=12)),$PC$5:$PC35),IF(NV35=4,SUMPRODUCT(--(($NW$5:$NW35=$NW35)*($NV$5:$NV35&gt;=1)*($NV$5:$NV35&lt;=3)),$PC$5:$PC35),IF(NV35=7,SUMPRODUCT(--(($NW$5:$NW35=$NW35)*($NV$5:$NV35&gt;=4)*($NV$5:$NV35&lt;=6)),$PC$5:$PC35),IF(NV35=10,SUMPRODUCT(--(($NW$5:$NW35=$NW35)*($NV$5:$NV35&gt;=7)*($NV$5:$NV35&lt;=9)),$PC$5:$PC35),0)))))</f>
        <v/>
      </c>
      <c r="PE35" s="12">
        <f>PE34+PC35-PD35</f>
        <v/>
      </c>
      <c r="PF35" s="12">
        <f>IF(ProviderDelay&gt;=1,OM34*BlendedProvPayEss+ON34*BlendedProvPayPrem+OO34*BlendedProvPayElite+OP34*BlendedProvPayEss+OQ34*BlendedProvPayPrem+OR34*BlendedProvPayElite,OM35*BlendedProvPayEss+ON35*BlendedProvPayPrem+OO35*BlendedProvPayElite+OP35*BlendedProvPayEss+OQ35*BlendedProvPayPrem+OR35*BlendedProvPayElite)</f>
        <v/>
      </c>
      <c r="PG35" s="12">
        <f>OY35*PaymentFee</f>
        <v/>
      </c>
      <c r="PH35" s="12">
        <f>OS35*OpsAI</f>
        <v/>
      </c>
      <c r="PI35" s="12">
        <f>MonthlyFixed</f>
        <v/>
      </c>
      <c r="PJ35" s="12">
        <f>OC35*ReferralReward</f>
        <v/>
      </c>
      <c r="PK35" s="12">
        <f>OA35</f>
        <v/>
      </c>
      <c r="PL35" s="9">
        <f>PB35-PF35-PG35-PH35-PI35-PJ35-PK35</f>
        <v/>
      </c>
      <c r="PM35" s="9">
        <f>PM34+OY35-(PF35+PG35+PH35+PI35+PJ35+PK35+PD35)</f>
        <v/>
      </c>
      <c r="PN35" s="12">
        <f>IF(OS35&gt;0,OT35/OS35,0)</f>
        <v/>
      </c>
      <c r="PO35" s="11">
        <f>IF(OS34&gt;0,MAX(0,(OS34+OD35-OS35)/OS34),0)</f>
        <v/>
      </c>
      <c r="PQ35" s="12" t="n">
        <v>31</v>
      </c>
      <c r="PR35" s="12">
        <f>MOD(PQ35-1+LaunchMonth-1,12)+1</f>
        <v/>
      </c>
      <c r="PS35" s="12">
        <f>INT((PQ35-1+LaunchMonth-1)/12)+1</f>
        <v/>
      </c>
      <c r="PT35" s="12">
        <f>VLOOKUP(PR35,SeasonTable,2,FALSE)</f>
        <v/>
      </c>
      <c r="PU35" s="12">
        <f>(1+InflationRate)^INT((PQ35-1)/12)</f>
        <v/>
      </c>
      <c r="PV35" s="11">
        <f>'Sens - Churn'!$A$19*VLOOKUP(PR35,ChurnSeasonTable,4,FALSE)</f>
        <v/>
      </c>
      <c r="PW35" s="12">
        <f>MIN(MAX(MktMin19plus,QU34*MktPct19plus),MAX(0,RI34-CashBuffer))</f>
        <v/>
      </c>
      <c r="PX35" s="12">
        <f>IF(PW35&gt;0,MAX(1,ROUND(PW35/CAC*PT35,0)),0)</f>
        <v/>
      </c>
      <c r="PY35" s="12">
        <f>IF(PX35&gt;0,ROUND(PX35*ReferralMix/(1-ReferralMix),0),0)</f>
        <v/>
      </c>
      <c r="PZ35" s="12">
        <f>PX35+PY35</f>
        <v/>
      </c>
      <c r="QA35" s="12">
        <f>ROUND(PZ35*(1-AnnualMix),0)</f>
        <v/>
      </c>
      <c r="QB35" s="12">
        <f>PZ35-QA35</f>
        <v/>
      </c>
      <c r="QC35" s="12">
        <f>ROUND(QA35*EssentialMix,0)</f>
        <v/>
      </c>
      <c r="QD35" s="12">
        <f>ROUND(QA35*PremiumMix,0)</f>
        <v/>
      </c>
      <c r="QE35" s="12">
        <f>QA35-QC35-QD35</f>
        <v/>
      </c>
      <c r="QF35" s="12">
        <f>ROUND(QB35*EssentialMix,0)</f>
        <v/>
      </c>
      <c r="QG35" s="12">
        <f>ROUND(QB35*PremiumMix,0)</f>
        <v/>
      </c>
      <c r="QH35" s="12">
        <f>QB35-QF35-QG35</f>
        <v/>
      </c>
      <c r="QI35" s="12">
        <f>QC35+QC34+QC33+MAX(0,QI34-QC34-QC33)*(1-PV35)</f>
        <v/>
      </c>
      <c r="QJ35" s="12">
        <f>QD35+QD34+QD33+MAX(0,QJ34-QD34-QD33)*(1-PV35)</f>
        <v/>
      </c>
      <c r="QK35" s="12">
        <f>QE35+QE34+QE33+MAX(0,QK34-QE34-QE33)*(1-PV35)</f>
        <v/>
      </c>
      <c r="QL35" s="12">
        <f>QL34+QF35-QF23*(AnnualChurn*VLOOKUP(PR35,ChurnSeasonTable,4,FALSE))*POWER(1-(AnnualChurn*VLOOKUP(PR35,ChurnSeasonTable,4,FALSE)),0)+QF11*(AnnualChurn*VLOOKUP(PR35,ChurnSeasonTable,4,FALSE))*POWER(1-(AnnualChurn*VLOOKUP(PR35,ChurnSeasonTable,4,FALSE)),1)</f>
        <v/>
      </c>
      <c r="QM35" s="12">
        <f>QM34+QG35-QG23*(AnnualChurn*VLOOKUP(PR35,ChurnSeasonTable,4,FALSE))*POWER(1-(AnnualChurn*VLOOKUP(PR35,ChurnSeasonTable,4,FALSE)),0)+QG11*(AnnualChurn*VLOOKUP(PR35,ChurnSeasonTable,4,FALSE))*POWER(1-(AnnualChurn*VLOOKUP(PR35,ChurnSeasonTable,4,FALSE)),1)</f>
        <v/>
      </c>
      <c r="QN35" s="12">
        <f>QN34+QH35-QH23*(AnnualChurn*VLOOKUP(PR35,ChurnSeasonTable,4,FALSE))*POWER(1-(AnnualChurn*VLOOKUP(PR35,ChurnSeasonTable,4,FALSE)),0)+QH11*(AnnualChurn*VLOOKUP(PR35,ChurnSeasonTable,4,FALSE))*POWER(1-(AnnualChurn*VLOOKUP(PR35,ChurnSeasonTable,4,FALSE)),1)</f>
        <v/>
      </c>
      <c r="QO35" s="12">
        <f>QI35+QJ35+QK35+QL35+QM35+QN35</f>
        <v/>
      </c>
      <c r="QP35" s="9">
        <f>QI35*BlendedPriceEssMonthly*PU35+QJ35*BlendedPricePremMonthly*PU35+QK35*BlendedPriceEliteMonthly*PU35+QL35*BlendedPriceEssAnnual*PU35/12+QM35*BlendedPricePremAnnual*PU35/12+QN35*BlendedPriceEliteAnnual*PU35/12</f>
        <v/>
      </c>
      <c r="QQ35" s="9">
        <f>QP35*12</f>
        <v/>
      </c>
      <c r="QR35" s="12">
        <f>QI35*BlendedPriceEssMonthly*PU35+QJ35*BlendedPricePremMonthly*PU35+QK35*BlendedPriceEliteMonthly*PU35</f>
        <v/>
      </c>
      <c r="QS35" s="12">
        <f>QF35*BlendedPriceEssAnnual*PU35+QG35*BlendedPricePremAnnual*PU35+QH35*BlendedPriceEliteAnnual*PU35</f>
        <v/>
      </c>
      <c r="QT35" s="12">
        <f>QF23*POWER(1-(AnnualChurn*VLOOKUP(PR35,ChurnSeasonTable,4,FALSE)),1)*BlendedPriceEssAnnual*PU35+QF11*POWER(1-(AnnualChurn*VLOOKUP(PR35,ChurnSeasonTable,4,FALSE)),2)*BlendedPriceEssAnnual*PU35+QG23*POWER(1-(AnnualChurn*VLOOKUP(PR35,ChurnSeasonTable,4,FALSE)),1)*BlendedPricePremAnnual*PU35+QG11*POWER(1-(AnnualChurn*VLOOKUP(PR35,ChurnSeasonTable,4,FALSE)),2)*BlendedPricePremAnnual*PU35+QH23*POWER(1-(AnnualChurn*VLOOKUP(PR35,ChurnSeasonTable,4,FALSE)),1)*BlendedPriceEliteAnnual*PU35+QH11*POWER(1-(AnnualChurn*VLOOKUP(PR35,ChurnSeasonTable,4,FALSE)),2)*BlendedPriceEliteAnnual*PU35</f>
        <v/>
      </c>
      <c r="QU35" s="9">
        <f>QR35+QS35+QT35</f>
        <v/>
      </c>
      <c r="QV35" s="12">
        <f>SUM(QU24:QU35)</f>
        <v/>
      </c>
      <c r="QW35" s="12">
        <f>OR(QW34,IF(VATAgentMode,SUM($QU24:$QU35)-SUM($RB24:$RB35)&gt;=VATThreshold,SUM($QU24:$QU35)&gt;=VATThreshold))</f>
        <v/>
      </c>
      <c r="QX35" s="9">
        <f>IF(QW35,IF(VATAgentMode,QU35-((QU35-RB35)-(QU35-RB35)/(1+VATRate)),QU35/(1+VATRate)),QU35)</f>
        <v/>
      </c>
      <c r="QY35" s="12">
        <f>QU35-QX35</f>
        <v/>
      </c>
      <c r="QZ35" s="12">
        <f>IF(QW35=0,0,IF(PR35=1,SUMPRODUCT(--(($PS$5:$PS35=$PS35-1)*($PR$5:$PR35&gt;=10)*($PR$5:$PR35&lt;=12)),$QY$5:$QY35),IF(PR35=4,SUMPRODUCT(--(($PS$5:$PS35=$PS35)*($PR$5:$PR35&gt;=1)*($PR$5:$PR35&lt;=3)),$QY$5:$QY35),IF(PR35=7,SUMPRODUCT(--(($PS$5:$PS35=$PS35)*($PR$5:$PR35&gt;=4)*($PR$5:$PR35&lt;=6)),$QY$5:$QY35),IF(PR35=10,SUMPRODUCT(--(($PS$5:$PS35=$PS35)*($PR$5:$PR35&gt;=7)*($PR$5:$PR35&lt;=9)),$QY$5:$QY35),0)))))</f>
        <v/>
      </c>
      <c r="RA35" s="12">
        <f>RA34+QY35-QZ35</f>
        <v/>
      </c>
      <c r="RB35" s="12">
        <f>IF(ProviderDelay&gt;=1,QI34*BlendedProvPayEss+QJ34*BlendedProvPayPrem+QK34*BlendedProvPayElite+QL34*BlendedProvPayEss+QM34*BlendedProvPayPrem+QN34*BlendedProvPayElite,QI35*BlendedProvPayEss+QJ35*BlendedProvPayPrem+QK35*BlendedProvPayElite+QL35*BlendedProvPayEss+QM35*BlendedProvPayPrem+QN35*BlendedProvPayElite)</f>
        <v/>
      </c>
      <c r="RC35" s="12">
        <f>QU35*PaymentFee</f>
        <v/>
      </c>
      <c r="RD35" s="12">
        <f>QO35*OpsAI</f>
        <v/>
      </c>
      <c r="RE35" s="12">
        <f>MonthlyFixed</f>
        <v/>
      </c>
      <c r="RF35" s="12">
        <f>PY35*ReferralReward</f>
        <v/>
      </c>
      <c r="RG35" s="12">
        <f>PW35</f>
        <v/>
      </c>
      <c r="RH35" s="9">
        <f>QX35-RB35-RC35-RD35-RE35-RF35-RG35</f>
        <v/>
      </c>
      <c r="RI35" s="9">
        <f>RI34+QU35-(RB35+RC35+RD35+RE35+RF35+RG35+QZ35)</f>
        <v/>
      </c>
      <c r="RJ35" s="12">
        <f>IF(QO35&gt;0,QP35/QO35,0)</f>
        <v/>
      </c>
      <c r="RK35" s="11">
        <f>IF(QO34&gt;0,MAX(0,(QO34+PZ35-QO35)/QO34),0)</f>
        <v/>
      </c>
      <c r="RM35" s="12" t="n">
        <v>31</v>
      </c>
      <c r="RN35" s="12">
        <f>MOD(RM35-1+LaunchMonth-1,12)+1</f>
        <v/>
      </c>
      <c r="RO35" s="12">
        <f>INT((RM35-1+LaunchMonth-1)/12)+1</f>
        <v/>
      </c>
      <c r="RP35" s="12">
        <f>VLOOKUP(RN35,SeasonTable,2,FALSE)</f>
        <v/>
      </c>
      <c r="RQ35" s="12">
        <f>(1+InflationRate)^INT((RM35-1)/12)</f>
        <v/>
      </c>
      <c r="RR35" s="11">
        <f>'Sens - Churn'!$A$20*VLOOKUP(RN35,ChurnSeasonTable,4,FALSE)</f>
        <v/>
      </c>
      <c r="RS35" s="12">
        <f>MIN(MAX(MktMin19plus,SQ34*MktPct19plus),MAX(0,TE34-CashBuffer))</f>
        <v/>
      </c>
      <c r="RT35" s="12">
        <f>IF(RS35&gt;0,MAX(1,ROUND(RS35/CAC*RP35,0)),0)</f>
        <v/>
      </c>
      <c r="RU35" s="12">
        <f>IF(RT35&gt;0,ROUND(RT35*ReferralMix/(1-ReferralMix),0),0)</f>
        <v/>
      </c>
      <c r="RV35" s="12">
        <f>RT35+RU35</f>
        <v/>
      </c>
      <c r="RW35" s="12">
        <f>ROUND(RV35*(1-AnnualMix),0)</f>
        <v/>
      </c>
      <c r="RX35" s="12">
        <f>RV35-RW35</f>
        <v/>
      </c>
      <c r="RY35" s="12">
        <f>ROUND(RW35*EssentialMix,0)</f>
        <v/>
      </c>
      <c r="RZ35" s="12">
        <f>ROUND(RW35*PremiumMix,0)</f>
        <v/>
      </c>
      <c r="SA35" s="12">
        <f>RW35-RY35-RZ35</f>
        <v/>
      </c>
      <c r="SB35" s="12">
        <f>ROUND(RX35*EssentialMix,0)</f>
        <v/>
      </c>
      <c r="SC35" s="12">
        <f>ROUND(RX35*PremiumMix,0)</f>
        <v/>
      </c>
      <c r="SD35" s="12">
        <f>RX35-SB35-SC35</f>
        <v/>
      </c>
      <c r="SE35" s="12">
        <f>RY35+RY34+RY33+MAX(0,SE34-RY34-RY33)*(1-RR35)</f>
        <v/>
      </c>
      <c r="SF35" s="12">
        <f>RZ35+RZ34+RZ33+MAX(0,SF34-RZ34-RZ33)*(1-RR35)</f>
        <v/>
      </c>
      <c r="SG35" s="12">
        <f>SA35+SA34+SA33+MAX(0,SG34-SA34-SA33)*(1-RR35)</f>
        <v/>
      </c>
      <c r="SH35" s="12">
        <f>SH34+SB35-SB23*(AnnualChurn*VLOOKUP(RN35,ChurnSeasonTable,4,FALSE))*POWER(1-(AnnualChurn*VLOOKUP(RN35,ChurnSeasonTable,4,FALSE)),0)+SB11*(AnnualChurn*VLOOKUP(RN35,ChurnSeasonTable,4,FALSE))*POWER(1-(AnnualChurn*VLOOKUP(RN35,ChurnSeasonTable,4,FALSE)),1)</f>
        <v/>
      </c>
      <c r="SI35" s="12">
        <f>SI34+SC35-SC23*(AnnualChurn*VLOOKUP(RN35,ChurnSeasonTable,4,FALSE))*POWER(1-(AnnualChurn*VLOOKUP(RN35,ChurnSeasonTable,4,FALSE)),0)+SC11*(AnnualChurn*VLOOKUP(RN35,ChurnSeasonTable,4,FALSE))*POWER(1-(AnnualChurn*VLOOKUP(RN35,ChurnSeasonTable,4,FALSE)),1)</f>
        <v/>
      </c>
      <c r="SJ35" s="12">
        <f>SJ34+SD35-SD23*(AnnualChurn*VLOOKUP(RN35,ChurnSeasonTable,4,FALSE))*POWER(1-(AnnualChurn*VLOOKUP(RN35,ChurnSeasonTable,4,FALSE)),0)+SD11*(AnnualChurn*VLOOKUP(RN35,ChurnSeasonTable,4,FALSE))*POWER(1-(AnnualChurn*VLOOKUP(RN35,ChurnSeasonTable,4,FALSE)),1)</f>
        <v/>
      </c>
      <c r="SK35" s="12">
        <f>SE35+SF35+SG35+SH35+SI35+SJ35</f>
        <v/>
      </c>
      <c r="SL35" s="9">
        <f>SE35*BlendedPriceEssMonthly*RQ35+SF35*BlendedPricePremMonthly*RQ35+SG35*BlendedPriceEliteMonthly*RQ35+SH35*BlendedPriceEssAnnual*RQ35/12+SI35*BlendedPricePremAnnual*RQ35/12+SJ35*BlendedPriceEliteAnnual*RQ35/12</f>
        <v/>
      </c>
      <c r="SM35" s="9">
        <f>SL35*12</f>
        <v/>
      </c>
      <c r="SN35" s="12">
        <f>SE35*BlendedPriceEssMonthly*RQ35+SF35*BlendedPricePremMonthly*RQ35+SG35*BlendedPriceEliteMonthly*RQ35</f>
        <v/>
      </c>
      <c r="SO35" s="12">
        <f>SB35*BlendedPriceEssAnnual*RQ35+SC35*BlendedPricePremAnnual*RQ35+SD35*BlendedPriceEliteAnnual*RQ35</f>
        <v/>
      </c>
      <c r="SP35" s="12">
        <f>SB23*POWER(1-(AnnualChurn*VLOOKUP(RN35,ChurnSeasonTable,4,FALSE)),1)*BlendedPriceEssAnnual*RQ35+SB11*POWER(1-(AnnualChurn*VLOOKUP(RN35,ChurnSeasonTable,4,FALSE)),2)*BlendedPriceEssAnnual*RQ35+SC23*POWER(1-(AnnualChurn*VLOOKUP(RN35,ChurnSeasonTable,4,FALSE)),1)*BlendedPricePremAnnual*RQ35+SC11*POWER(1-(AnnualChurn*VLOOKUP(RN35,ChurnSeasonTable,4,FALSE)),2)*BlendedPricePremAnnual*RQ35+SD23*POWER(1-(AnnualChurn*VLOOKUP(RN35,ChurnSeasonTable,4,FALSE)),1)*BlendedPriceEliteAnnual*RQ35+SD11*POWER(1-(AnnualChurn*VLOOKUP(RN35,ChurnSeasonTable,4,FALSE)),2)*BlendedPriceEliteAnnual*RQ35</f>
        <v/>
      </c>
      <c r="SQ35" s="9">
        <f>SN35+SO35+SP35</f>
        <v/>
      </c>
      <c r="SR35" s="12">
        <f>SUM(SQ24:SQ35)</f>
        <v/>
      </c>
      <c r="SS35" s="12">
        <f>OR(SS34,IF(VATAgentMode,SUM($SQ24:$SQ35)-SUM($SX24:$SX35)&gt;=VATThreshold,SUM($SQ24:$SQ35)&gt;=VATThreshold))</f>
        <v/>
      </c>
      <c r="ST35" s="9">
        <f>IF(SS35,IF(VATAgentMode,SQ35-((SQ35-SX35)-(SQ35-SX35)/(1+VATRate)),SQ35/(1+VATRate)),SQ35)</f>
        <v/>
      </c>
      <c r="SU35" s="12">
        <f>SQ35-ST35</f>
        <v/>
      </c>
      <c r="SV35" s="12">
        <f>IF(SS35=0,0,IF(RN35=1,SUMPRODUCT(--(($RO$5:$RO35=$RO35-1)*($RN$5:$RN35&gt;=10)*($RN$5:$RN35&lt;=12)),$SU$5:$SU35),IF(RN35=4,SUMPRODUCT(--(($RO$5:$RO35=$RO35)*($RN$5:$RN35&gt;=1)*($RN$5:$RN35&lt;=3)),$SU$5:$SU35),IF(RN35=7,SUMPRODUCT(--(($RO$5:$RO35=$RO35)*($RN$5:$RN35&gt;=4)*($RN$5:$RN35&lt;=6)),$SU$5:$SU35),IF(RN35=10,SUMPRODUCT(--(($RO$5:$RO35=$RO35)*($RN$5:$RN35&gt;=7)*($RN$5:$RN35&lt;=9)),$SU$5:$SU35),0)))))</f>
        <v/>
      </c>
      <c r="SW35" s="12">
        <f>SW34+SU35-SV35</f>
        <v/>
      </c>
      <c r="SX35" s="12">
        <f>IF(ProviderDelay&gt;=1,SE34*BlendedProvPayEss+SF34*BlendedProvPayPrem+SG34*BlendedProvPayElite+SH34*BlendedProvPayEss+SI34*BlendedProvPayPrem+SJ34*BlendedProvPayElite,SE35*BlendedProvPayEss+SF35*BlendedProvPayPrem+SG35*BlendedProvPayElite+SH35*BlendedProvPayEss+SI35*BlendedProvPayPrem+SJ35*BlendedProvPayElite)</f>
        <v/>
      </c>
      <c r="SY35" s="12">
        <f>SQ35*PaymentFee</f>
        <v/>
      </c>
      <c r="SZ35" s="12">
        <f>SK35*OpsAI</f>
        <v/>
      </c>
      <c r="TA35" s="12">
        <f>MonthlyFixed</f>
        <v/>
      </c>
      <c r="TB35" s="12">
        <f>RU35*ReferralReward</f>
        <v/>
      </c>
      <c r="TC35" s="12">
        <f>RS35</f>
        <v/>
      </c>
      <c r="TD35" s="9">
        <f>ST35-SX35-SY35-SZ35-TA35-TB35-TC35</f>
        <v/>
      </c>
      <c r="TE35" s="9">
        <f>TE34+SQ35-(SX35+SY35+SZ35+TA35+TB35+TC35+SV35)</f>
        <v/>
      </c>
      <c r="TF35" s="12">
        <f>IF(SK35&gt;0,SL35/SK35,0)</f>
        <v/>
      </c>
      <c r="TG35" s="11">
        <f>IF(SK34&gt;0,MAX(0,(SK34+RV35-SK35)/SK34),0)</f>
        <v/>
      </c>
      <c r="TI35" s="12" t="n">
        <v>31</v>
      </c>
      <c r="TJ35" s="12">
        <f>MOD(TI35-1+LaunchMonth-1,12)+1</f>
        <v/>
      </c>
      <c r="TK35" s="12">
        <f>INT((TI35-1+LaunchMonth-1)/12)+1</f>
        <v/>
      </c>
      <c r="TL35" s="12">
        <f>VLOOKUP(TJ35,SeasonTable,2,FALSE)</f>
        <v/>
      </c>
      <c r="TM35" s="12">
        <f>(1+InflationRate)^INT((TI35-1)/12)</f>
        <v/>
      </c>
      <c r="TN35" s="11">
        <f>'Sens - Churn'!$A$21*VLOOKUP(TJ35,ChurnSeasonTable,4,FALSE)</f>
        <v/>
      </c>
      <c r="TO35" s="12">
        <f>MIN(MAX(MktMin19plus,UM34*MktPct19plus),MAX(0,VA34-CashBuffer))</f>
        <v/>
      </c>
      <c r="TP35" s="12">
        <f>IF(TO35&gt;0,MAX(1,ROUND(TO35/CAC*TL35,0)),0)</f>
        <v/>
      </c>
      <c r="TQ35" s="12">
        <f>IF(TP35&gt;0,ROUND(TP35*ReferralMix/(1-ReferralMix),0),0)</f>
        <v/>
      </c>
      <c r="TR35" s="12">
        <f>TP35+TQ35</f>
        <v/>
      </c>
      <c r="TS35" s="12">
        <f>ROUND(TR35*(1-AnnualMix),0)</f>
        <v/>
      </c>
      <c r="TT35" s="12">
        <f>TR35-TS35</f>
        <v/>
      </c>
      <c r="TU35" s="12">
        <f>ROUND(TS35*EssentialMix,0)</f>
        <v/>
      </c>
      <c r="TV35" s="12">
        <f>ROUND(TS35*PremiumMix,0)</f>
        <v/>
      </c>
      <c r="TW35" s="12">
        <f>TS35-TU35-TV35</f>
        <v/>
      </c>
      <c r="TX35" s="12">
        <f>ROUND(TT35*EssentialMix,0)</f>
        <v/>
      </c>
      <c r="TY35" s="12">
        <f>ROUND(TT35*PremiumMix,0)</f>
        <v/>
      </c>
      <c r="TZ35" s="12">
        <f>TT35-TX35-TY35</f>
        <v/>
      </c>
      <c r="UA35" s="12">
        <f>TU35+TU34+TU33+MAX(0,UA34-TU34-TU33)*(1-TN35)</f>
        <v/>
      </c>
      <c r="UB35" s="12">
        <f>TV35+TV34+TV33+MAX(0,UB34-TV34-TV33)*(1-TN35)</f>
        <v/>
      </c>
      <c r="UC35" s="12">
        <f>TW35+TW34+TW33+MAX(0,UC34-TW34-TW33)*(1-TN35)</f>
        <v/>
      </c>
      <c r="UD35" s="12">
        <f>UD34+TX35-TX23*(AnnualChurn*VLOOKUP(TJ35,ChurnSeasonTable,4,FALSE))*POWER(1-(AnnualChurn*VLOOKUP(TJ35,ChurnSeasonTable,4,FALSE)),0)+TX11*(AnnualChurn*VLOOKUP(TJ35,ChurnSeasonTable,4,FALSE))*POWER(1-(AnnualChurn*VLOOKUP(TJ35,ChurnSeasonTable,4,FALSE)),1)</f>
        <v/>
      </c>
      <c r="UE35" s="12">
        <f>UE34+TY35-TY23*(AnnualChurn*VLOOKUP(TJ35,ChurnSeasonTable,4,FALSE))*POWER(1-(AnnualChurn*VLOOKUP(TJ35,ChurnSeasonTable,4,FALSE)),0)+TY11*(AnnualChurn*VLOOKUP(TJ35,ChurnSeasonTable,4,FALSE))*POWER(1-(AnnualChurn*VLOOKUP(TJ35,ChurnSeasonTable,4,FALSE)),1)</f>
        <v/>
      </c>
      <c r="UF35" s="12">
        <f>UF34+TZ35-TZ23*(AnnualChurn*VLOOKUP(TJ35,ChurnSeasonTable,4,FALSE))*POWER(1-(AnnualChurn*VLOOKUP(TJ35,ChurnSeasonTable,4,FALSE)),0)+TZ11*(AnnualChurn*VLOOKUP(TJ35,ChurnSeasonTable,4,FALSE))*POWER(1-(AnnualChurn*VLOOKUP(TJ35,ChurnSeasonTable,4,FALSE)),1)</f>
        <v/>
      </c>
      <c r="UG35" s="12">
        <f>UA35+UB35+UC35+UD35+UE35+UF35</f>
        <v/>
      </c>
      <c r="UH35" s="9">
        <f>UA35*BlendedPriceEssMonthly*TM35+UB35*BlendedPricePremMonthly*TM35+UC35*BlendedPriceEliteMonthly*TM35+UD35*BlendedPriceEssAnnual*TM35/12+UE35*BlendedPricePremAnnual*TM35/12+UF35*BlendedPriceEliteAnnual*TM35/12</f>
        <v/>
      </c>
      <c r="UI35" s="9">
        <f>UH35*12</f>
        <v/>
      </c>
      <c r="UJ35" s="12">
        <f>UA35*BlendedPriceEssMonthly*TM35+UB35*BlendedPricePremMonthly*TM35+UC35*BlendedPriceEliteMonthly*TM35</f>
        <v/>
      </c>
      <c r="UK35" s="12">
        <f>TX35*BlendedPriceEssAnnual*TM35+TY35*BlendedPricePremAnnual*TM35+TZ35*BlendedPriceEliteAnnual*TM35</f>
        <v/>
      </c>
      <c r="UL35" s="12">
        <f>TX23*POWER(1-(AnnualChurn*VLOOKUP(TJ35,ChurnSeasonTable,4,FALSE)),1)*BlendedPriceEssAnnual*TM35+TX11*POWER(1-(AnnualChurn*VLOOKUP(TJ35,ChurnSeasonTable,4,FALSE)),2)*BlendedPriceEssAnnual*TM35+TY23*POWER(1-(AnnualChurn*VLOOKUP(TJ35,ChurnSeasonTable,4,FALSE)),1)*BlendedPricePremAnnual*TM35+TY11*POWER(1-(AnnualChurn*VLOOKUP(TJ35,ChurnSeasonTable,4,FALSE)),2)*BlendedPricePremAnnual*TM35+TZ23*POWER(1-(AnnualChurn*VLOOKUP(TJ35,ChurnSeasonTable,4,FALSE)),1)*BlendedPriceEliteAnnual*TM35+TZ11*POWER(1-(AnnualChurn*VLOOKUP(TJ35,ChurnSeasonTable,4,FALSE)),2)*BlendedPriceEliteAnnual*TM35</f>
        <v/>
      </c>
      <c r="UM35" s="9">
        <f>UJ35+UK35+UL35</f>
        <v/>
      </c>
      <c r="UN35" s="12">
        <f>SUM(UM24:UM35)</f>
        <v/>
      </c>
      <c r="UO35" s="12">
        <f>OR(UO34,IF(VATAgentMode,SUM($UM24:$UM35)-SUM($UT24:$UT35)&gt;=VATThreshold,SUM($UM24:$UM35)&gt;=VATThreshold))</f>
        <v/>
      </c>
      <c r="UP35" s="9">
        <f>IF(UO35,IF(VATAgentMode,UM35-((UM35-UT35)-(UM35-UT35)/(1+VATRate)),UM35/(1+VATRate)),UM35)</f>
        <v/>
      </c>
      <c r="UQ35" s="12">
        <f>UM35-UP35</f>
        <v/>
      </c>
      <c r="UR35" s="12">
        <f>IF(UO35=0,0,IF(TJ35=1,SUMPRODUCT(--(($TK$5:$TK35=$TK35-1)*($TJ$5:$TJ35&gt;=10)*($TJ$5:$TJ35&lt;=12)),$UQ$5:$UQ35),IF(TJ35=4,SUMPRODUCT(--(($TK$5:$TK35=$TK35)*($TJ$5:$TJ35&gt;=1)*($TJ$5:$TJ35&lt;=3)),$UQ$5:$UQ35),IF(TJ35=7,SUMPRODUCT(--(($TK$5:$TK35=$TK35)*($TJ$5:$TJ35&gt;=4)*($TJ$5:$TJ35&lt;=6)),$UQ$5:$UQ35),IF(TJ35=10,SUMPRODUCT(--(($TK$5:$TK35=$TK35)*($TJ$5:$TJ35&gt;=7)*($TJ$5:$TJ35&lt;=9)),$UQ$5:$UQ35),0)))))</f>
        <v/>
      </c>
      <c r="US35" s="12">
        <f>US34+UQ35-UR35</f>
        <v/>
      </c>
      <c r="UT35" s="12">
        <f>IF(ProviderDelay&gt;=1,UA34*BlendedProvPayEss+UB34*BlendedProvPayPrem+UC34*BlendedProvPayElite+UD34*BlendedProvPayEss+UE34*BlendedProvPayPrem+UF34*BlendedProvPayElite,UA35*BlendedProvPayEss+UB35*BlendedProvPayPrem+UC35*BlendedProvPayElite+UD35*BlendedProvPayEss+UE35*BlendedProvPayPrem+UF35*BlendedProvPayElite)</f>
        <v/>
      </c>
      <c r="UU35" s="12">
        <f>UM35*PaymentFee</f>
        <v/>
      </c>
      <c r="UV35" s="12">
        <f>UG35*OpsAI</f>
        <v/>
      </c>
      <c r="UW35" s="12">
        <f>MonthlyFixed</f>
        <v/>
      </c>
      <c r="UX35" s="12">
        <f>TQ35*ReferralReward</f>
        <v/>
      </c>
      <c r="UY35" s="12">
        <f>TO35</f>
        <v/>
      </c>
      <c r="UZ35" s="9">
        <f>UP35-UT35-UU35-UV35-UW35-UX35-UY35</f>
        <v/>
      </c>
      <c r="VA35" s="9">
        <f>VA34+UM35-(UT35+UU35+UV35+UW35+UX35+UY35+UR35)</f>
        <v/>
      </c>
      <c r="VB35" s="12">
        <f>IF(UG35&gt;0,UH35/UG35,0)</f>
        <v/>
      </c>
      <c r="VC35" s="11">
        <f>IF(UG34&gt;0,MAX(0,(UG34+TR35-UG35)/UG34),0)</f>
        <v/>
      </c>
      <c r="VE35" s="12" t="n">
        <v>31</v>
      </c>
      <c r="VF35" s="12">
        <f>MOD(VE35-1+LaunchMonth-1,12)+1</f>
        <v/>
      </c>
      <c r="VG35" s="12">
        <f>INT((VE35-1+LaunchMonth-1)/12)+1</f>
        <v/>
      </c>
      <c r="VH35" s="12">
        <f>VLOOKUP(VF35,SeasonTable,2,FALSE)</f>
        <v/>
      </c>
      <c r="VI35" s="12">
        <f>(1+InflationRate)^INT((VE35-1)/12)</f>
        <v/>
      </c>
      <c r="VJ35" s="11">
        <f>MonthlyChurn*VLOOKUP(VF35,ChurnSeasonTable,4,FALSE)</f>
        <v/>
      </c>
      <c r="VK35" s="12">
        <f>MIN(MAX(MktMin19plus,WI34*MktPct19plus),MAX(0,WW34-CashBuffer))</f>
        <v/>
      </c>
      <c r="VL35" s="12">
        <f>IF(VK35&gt;0,MAX(1,ROUND(VK35/CAC*VH35,0)),0)</f>
        <v/>
      </c>
      <c r="VM35" s="12">
        <f>IF(VL35&gt;0,ROUND(VL35*ReferralMix/(1-ReferralMix),0),0)</f>
        <v/>
      </c>
      <c r="VN35" s="12">
        <f>VL35+VM35</f>
        <v/>
      </c>
      <c r="VO35" s="12">
        <f>ROUND(VN35*(1-'Sens - Annual Mix'!$A$9),0)</f>
        <v/>
      </c>
      <c r="VP35" s="12">
        <f>VN35-VO35</f>
        <v/>
      </c>
      <c r="VQ35" s="12">
        <f>ROUND(VO35*EssentialMix,0)</f>
        <v/>
      </c>
      <c r="VR35" s="12">
        <f>ROUND(VO35*PremiumMix,0)</f>
        <v/>
      </c>
      <c r="VS35" s="12">
        <f>VO35-VQ35-VR35</f>
        <v/>
      </c>
      <c r="VT35" s="12">
        <f>ROUND(VP35*EssentialMix,0)</f>
        <v/>
      </c>
      <c r="VU35" s="12">
        <f>ROUND(VP35*PremiumMix,0)</f>
        <v/>
      </c>
      <c r="VV35" s="12">
        <f>VP35-VT35-VU35</f>
        <v/>
      </c>
      <c r="VW35" s="12">
        <f>VQ35+VQ34+VQ33+MAX(0,VW34-VQ34-VQ33)*(1-VJ35)</f>
        <v/>
      </c>
      <c r="VX35" s="12">
        <f>VR35+VR34+VR33+MAX(0,VX34-VR34-VR33)*(1-VJ35)</f>
        <v/>
      </c>
      <c r="VY35" s="12">
        <f>VS35+VS34+VS33+MAX(0,VY34-VS34-VS33)*(1-VJ35)</f>
        <v/>
      </c>
      <c r="VZ35" s="12">
        <f>VZ34+VT35-VT23*(AnnualChurn*VLOOKUP(VF35,ChurnSeasonTable,4,FALSE))*POWER(1-(AnnualChurn*VLOOKUP(VF35,ChurnSeasonTable,4,FALSE)),0)+VT11*(AnnualChurn*VLOOKUP(VF35,ChurnSeasonTable,4,FALSE))*POWER(1-(AnnualChurn*VLOOKUP(VF35,ChurnSeasonTable,4,FALSE)),1)</f>
        <v/>
      </c>
      <c r="WA35" s="12">
        <f>WA34+VU35-VU23*(AnnualChurn*VLOOKUP(VF35,ChurnSeasonTable,4,FALSE))*POWER(1-(AnnualChurn*VLOOKUP(VF35,ChurnSeasonTable,4,FALSE)),0)+VU11*(AnnualChurn*VLOOKUP(VF35,ChurnSeasonTable,4,FALSE))*POWER(1-(AnnualChurn*VLOOKUP(VF35,ChurnSeasonTable,4,FALSE)),1)</f>
        <v/>
      </c>
      <c r="WB35" s="12">
        <f>WB34+VV35-VV23*(AnnualChurn*VLOOKUP(VF35,ChurnSeasonTable,4,FALSE))*POWER(1-(AnnualChurn*VLOOKUP(VF35,ChurnSeasonTable,4,FALSE)),0)+VV11*(AnnualChurn*VLOOKUP(VF35,ChurnSeasonTable,4,FALSE))*POWER(1-(AnnualChurn*VLOOKUP(VF35,ChurnSeasonTable,4,FALSE)),1)</f>
        <v/>
      </c>
      <c r="WC35" s="12">
        <f>VW35+VX35+VY35+VZ35+WA35+WB35</f>
        <v/>
      </c>
      <c r="WD35" s="9">
        <f>VW35*BlendedPriceEssMonthly*VI35+VX35*BlendedPricePremMonthly*VI35+VY35*BlendedPriceEliteMonthly*VI35+VZ35*BlendedPriceEssAnnual*VI35/12+WA35*BlendedPricePremAnnual*VI35/12+WB35*BlendedPriceEliteAnnual*VI35/12</f>
        <v/>
      </c>
      <c r="WE35" s="9">
        <f>WD35*12</f>
        <v/>
      </c>
      <c r="WF35" s="12">
        <f>VW35*BlendedPriceEssMonthly*VI35+VX35*BlendedPricePremMonthly*VI35+VY35*BlendedPriceEliteMonthly*VI35</f>
        <v/>
      </c>
      <c r="WG35" s="12">
        <f>VT35*BlendedPriceEssAnnual*VI35+VU35*BlendedPricePremAnnual*VI35+VV35*BlendedPriceEliteAnnual*VI35</f>
        <v/>
      </c>
      <c r="WH35" s="12">
        <f>VT23*POWER(1-(AnnualChurn*VLOOKUP(VF35,ChurnSeasonTable,4,FALSE)),1)*BlendedPriceEssAnnual*VI35+VT11*POWER(1-(AnnualChurn*VLOOKUP(VF35,ChurnSeasonTable,4,FALSE)),2)*BlendedPriceEssAnnual*VI35+VU23*POWER(1-(AnnualChurn*VLOOKUP(VF35,ChurnSeasonTable,4,FALSE)),1)*BlendedPricePremAnnual*VI35+VU11*POWER(1-(AnnualChurn*VLOOKUP(VF35,ChurnSeasonTable,4,FALSE)),2)*BlendedPricePremAnnual*VI35+VV23*POWER(1-(AnnualChurn*VLOOKUP(VF35,ChurnSeasonTable,4,FALSE)),1)*BlendedPriceEliteAnnual*VI35+VV11*POWER(1-(AnnualChurn*VLOOKUP(VF35,ChurnSeasonTable,4,FALSE)),2)*BlendedPriceEliteAnnual*VI35</f>
        <v/>
      </c>
      <c r="WI35" s="9">
        <f>WF35+WG35+WH35</f>
        <v/>
      </c>
      <c r="WJ35" s="12">
        <f>SUM(WI24:WI35)</f>
        <v/>
      </c>
      <c r="WK35" s="12">
        <f>OR(WK34,IF(VATAgentMode,SUM($WI24:$WI35)-SUM($WP24:$WP35)&gt;=VATThreshold,SUM($WI24:$WI35)&gt;=VATThreshold))</f>
        <v/>
      </c>
      <c r="WL35" s="9">
        <f>IF(WK35,IF(VATAgentMode,WI35-((WI35-WP35)-(WI35-WP35)/(1+VATRate)),WI35/(1+VATRate)),WI35)</f>
        <v/>
      </c>
      <c r="WM35" s="12">
        <f>WI35-WL35</f>
        <v/>
      </c>
      <c r="WN35" s="12">
        <f>IF(WK35=0,0,IF(VF35=1,SUMPRODUCT(--(($VG$5:$VG35=$VG35-1)*($VF$5:$VF35&gt;=10)*($VF$5:$VF35&lt;=12)),$WM$5:$WM35),IF(VF35=4,SUMPRODUCT(--(($VG$5:$VG35=$VG35)*($VF$5:$VF35&gt;=1)*($VF$5:$VF35&lt;=3)),$WM$5:$WM35),IF(VF35=7,SUMPRODUCT(--(($VG$5:$VG35=$VG35)*($VF$5:$VF35&gt;=4)*($VF$5:$VF35&lt;=6)),$WM$5:$WM35),IF(VF35=10,SUMPRODUCT(--(($VG$5:$VG35=$VG35)*($VF$5:$VF35&gt;=7)*($VF$5:$VF35&lt;=9)),$WM$5:$WM35),0)))))</f>
        <v/>
      </c>
      <c r="WO35" s="12">
        <f>WO34+WM35-WN35</f>
        <v/>
      </c>
      <c r="WP35" s="12">
        <f>IF(ProviderDelay&gt;=1,VW34*BlendedProvPayEss+VX34*BlendedProvPayPrem+VY34*BlendedProvPayElite+VZ34*BlendedProvPayEss+WA34*BlendedProvPayPrem+WB34*BlendedProvPayElite,VW35*BlendedProvPayEss+VX35*BlendedProvPayPrem+VY35*BlendedProvPayElite+VZ35*BlendedProvPayEss+WA35*BlendedProvPayPrem+WB35*BlendedProvPayElite)</f>
        <v/>
      </c>
      <c r="WQ35" s="12">
        <f>WI35*PaymentFee</f>
        <v/>
      </c>
      <c r="WR35" s="12">
        <f>WC35*OpsAI</f>
        <v/>
      </c>
      <c r="WS35" s="12">
        <f>MonthlyFixed</f>
        <v/>
      </c>
      <c r="WT35" s="12">
        <f>VM35*ReferralReward</f>
        <v/>
      </c>
      <c r="WU35" s="12">
        <f>VK35</f>
        <v/>
      </c>
      <c r="WV35" s="9">
        <f>WL35-WP35-WQ35-WR35-WS35-WT35-WU35</f>
        <v/>
      </c>
      <c r="WW35" s="9">
        <f>WW34+WI35-(WP35+WQ35+WR35+WS35+WT35+WU35+WN35)</f>
        <v/>
      </c>
      <c r="WX35" s="12">
        <f>IF(WC35&gt;0,WD35/WC35,0)</f>
        <v/>
      </c>
      <c r="WY35" s="11">
        <f>IF(WC34&gt;0,MAX(0,(WC34+VN35-WC35)/WC34),0)</f>
        <v/>
      </c>
      <c r="XA35" s="12" t="n">
        <v>31</v>
      </c>
      <c r="XB35" s="12">
        <f>MOD(XA35-1+LaunchMonth-1,12)+1</f>
        <v/>
      </c>
      <c r="XC35" s="12">
        <f>INT((XA35-1+LaunchMonth-1)/12)+1</f>
        <v/>
      </c>
      <c r="XD35" s="12">
        <f>VLOOKUP(XB35,SeasonTable,2,FALSE)</f>
        <v/>
      </c>
      <c r="XE35" s="12">
        <f>(1+InflationRate)^INT((XA35-1)/12)</f>
        <v/>
      </c>
      <c r="XF35" s="11">
        <f>MonthlyChurn*VLOOKUP(XB35,ChurnSeasonTable,4,FALSE)</f>
        <v/>
      </c>
      <c r="XG35" s="12">
        <f>MIN(MAX(MktMin19plus,YE34*MktPct19plus),MAX(0,YS34-CashBuffer))</f>
        <v/>
      </c>
      <c r="XH35" s="12">
        <f>IF(XG35&gt;0,MAX(1,ROUND(XG35/CAC*XD35,0)),0)</f>
        <v/>
      </c>
      <c r="XI35" s="12">
        <f>IF(XH35&gt;0,ROUND(XH35*ReferralMix/(1-ReferralMix),0),0)</f>
        <v/>
      </c>
      <c r="XJ35" s="12">
        <f>XH35+XI35</f>
        <v/>
      </c>
      <c r="XK35" s="12">
        <f>ROUND(XJ35*(1-'Sens - Annual Mix'!$A$10),0)</f>
        <v/>
      </c>
      <c r="XL35" s="12">
        <f>XJ35-XK35</f>
        <v/>
      </c>
      <c r="XM35" s="12">
        <f>ROUND(XK35*EssentialMix,0)</f>
        <v/>
      </c>
      <c r="XN35" s="12">
        <f>ROUND(XK35*PremiumMix,0)</f>
        <v/>
      </c>
      <c r="XO35" s="12">
        <f>XK35-XM35-XN35</f>
        <v/>
      </c>
      <c r="XP35" s="12">
        <f>ROUND(XL35*EssentialMix,0)</f>
        <v/>
      </c>
      <c r="XQ35" s="12">
        <f>ROUND(XL35*PremiumMix,0)</f>
        <v/>
      </c>
      <c r="XR35" s="12">
        <f>XL35-XP35-XQ35</f>
        <v/>
      </c>
      <c r="XS35" s="12">
        <f>XM35+XM34+XM33+MAX(0,XS34-XM34-XM33)*(1-XF35)</f>
        <v/>
      </c>
      <c r="XT35" s="12">
        <f>XN35+XN34+XN33+MAX(0,XT34-XN34-XN33)*(1-XF35)</f>
        <v/>
      </c>
      <c r="XU35" s="12">
        <f>XO35+XO34+XO33+MAX(0,XU34-XO34-XO33)*(1-XF35)</f>
        <v/>
      </c>
      <c r="XV35" s="12">
        <f>XV34+XP35-XP23*(AnnualChurn*VLOOKUP(XB35,ChurnSeasonTable,4,FALSE))*POWER(1-(AnnualChurn*VLOOKUP(XB35,ChurnSeasonTable,4,FALSE)),0)+XP11*(AnnualChurn*VLOOKUP(XB35,ChurnSeasonTable,4,FALSE))*POWER(1-(AnnualChurn*VLOOKUP(XB35,ChurnSeasonTable,4,FALSE)),1)</f>
        <v/>
      </c>
      <c r="XW35" s="12">
        <f>XW34+XQ35-XQ23*(AnnualChurn*VLOOKUP(XB35,ChurnSeasonTable,4,FALSE))*POWER(1-(AnnualChurn*VLOOKUP(XB35,ChurnSeasonTable,4,FALSE)),0)+XQ11*(AnnualChurn*VLOOKUP(XB35,ChurnSeasonTable,4,FALSE))*POWER(1-(AnnualChurn*VLOOKUP(XB35,ChurnSeasonTable,4,FALSE)),1)</f>
        <v/>
      </c>
      <c r="XX35" s="12">
        <f>XX34+XR35-XR23*(AnnualChurn*VLOOKUP(XB35,ChurnSeasonTable,4,FALSE))*POWER(1-(AnnualChurn*VLOOKUP(XB35,ChurnSeasonTable,4,FALSE)),0)+XR11*(AnnualChurn*VLOOKUP(XB35,ChurnSeasonTable,4,FALSE))*POWER(1-(AnnualChurn*VLOOKUP(XB35,ChurnSeasonTable,4,FALSE)),1)</f>
        <v/>
      </c>
      <c r="XY35" s="12">
        <f>XS35+XT35+XU35+XV35+XW35+XX35</f>
        <v/>
      </c>
      <c r="XZ35" s="9">
        <f>XS35*BlendedPriceEssMonthly*XE35+XT35*BlendedPricePremMonthly*XE35+XU35*BlendedPriceEliteMonthly*XE35+XV35*BlendedPriceEssAnnual*XE35/12+XW35*BlendedPricePremAnnual*XE35/12+XX35*BlendedPriceEliteAnnual*XE35/12</f>
        <v/>
      </c>
      <c r="YA35" s="9">
        <f>XZ35*12</f>
        <v/>
      </c>
      <c r="YB35" s="12">
        <f>XS35*BlendedPriceEssMonthly*XE35+XT35*BlendedPricePremMonthly*XE35+XU35*BlendedPriceEliteMonthly*XE35</f>
        <v/>
      </c>
      <c r="YC35" s="12">
        <f>XP35*BlendedPriceEssAnnual*XE35+XQ35*BlendedPricePremAnnual*XE35+XR35*BlendedPriceEliteAnnual*XE35</f>
        <v/>
      </c>
      <c r="YD35" s="12">
        <f>XP23*POWER(1-(AnnualChurn*VLOOKUP(XB35,ChurnSeasonTable,4,FALSE)),1)*BlendedPriceEssAnnual*XE35+XP11*POWER(1-(AnnualChurn*VLOOKUP(XB35,ChurnSeasonTable,4,FALSE)),2)*BlendedPriceEssAnnual*XE35+XQ23*POWER(1-(AnnualChurn*VLOOKUP(XB35,ChurnSeasonTable,4,FALSE)),1)*BlendedPricePremAnnual*XE35+XQ11*POWER(1-(AnnualChurn*VLOOKUP(XB35,ChurnSeasonTable,4,FALSE)),2)*BlendedPricePremAnnual*XE35+XR23*POWER(1-(AnnualChurn*VLOOKUP(XB35,ChurnSeasonTable,4,FALSE)),1)*BlendedPriceEliteAnnual*XE35+XR11*POWER(1-(AnnualChurn*VLOOKUP(XB35,ChurnSeasonTable,4,FALSE)),2)*BlendedPriceEliteAnnual*XE35</f>
        <v/>
      </c>
      <c r="YE35" s="9">
        <f>YB35+YC35+YD35</f>
        <v/>
      </c>
      <c r="YF35" s="12">
        <f>SUM(YE24:YE35)</f>
        <v/>
      </c>
      <c r="YG35" s="12">
        <f>OR(YG34,IF(VATAgentMode,SUM($YE24:$YE35)-SUM($YL24:$YL35)&gt;=VATThreshold,SUM($YE24:$YE35)&gt;=VATThreshold))</f>
        <v/>
      </c>
      <c r="YH35" s="9">
        <f>IF(YG35,IF(VATAgentMode,YE35-((YE35-YL35)-(YE35-YL35)/(1+VATRate)),YE35/(1+VATRate)),YE35)</f>
        <v/>
      </c>
      <c r="YI35" s="12">
        <f>YE35-YH35</f>
        <v/>
      </c>
      <c r="YJ35" s="12">
        <f>IF(YG35=0,0,IF(XB35=1,SUMPRODUCT(--(($XC$5:$XC35=$XC35-1)*($XB$5:$XB35&gt;=10)*($XB$5:$XB35&lt;=12)),$YI$5:$YI35),IF(XB35=4,SUMPRODUCT(--(($XC$5:$XC35=$XC35)*($XB$5:$XB35&gt;=1)*($XB$5:$XB35&lt;=3)),$YI$5:$YI35),IF(XB35=7,SUMPRODUCT(--(($XC$5:$XC35=$XC35)*($XB$5:$XB35&gt;=4)*($XB$5:$XB35&lt;=6)),$YI$5:$YI35),IF(XB35=10,SUMPRODUCT(--(($XC$5:$XC35=$XC35)*($XB$5:$XB35&gt;=7)*($XB$5:$XB35&lt;=9)),$YI$5:$YI35),0)))))</f>
        <v/>
      </c>
      <c r="YK35" s="12">
        <f>YK34+YI35-YJ35</f>
        <v/>
      </c>
      <c r="YL35" s="12">
        <f>IF(ProviderDelay&gt;=1,XS34*BlendedProvPayEss+XT34*BlendedProvPayPrem+XU34*BlendedProvPayElite+XV34*BlendedProvPayEss+XW34*BlendedProvPayPrem+XX34*BlendedProvPayElite,XS35*BlendedProvPayEss+XT35*BlendedProvPayPrem+XU35*BlendedProvPayElite+XV35*BlendedProvPayEss+XW35*BlendedProvPayPrem+XX35*BlendedProvPayElite)</f>
        <v/>
      </c>
      <c r="YM35" s="12">
        <f>YE35*PaymentFee</f>
        <v/>
      </c>
      <c r="YN35" s="12">
        <f>XY35*OpsAI</f>
        <v/>
      </c>
      <c r="YO35" s="12">
        <f>MonthlyFixed</f>
        <v/>
      </c>
      <c r="YP35" s="12">
        <f>XI35*ReferralReward</f>
        <v/>
      </c>
      <c r="YQ35" s="12">
        <f>XG35</f>
        <v/>
      </c>
      <c r="YR35" s="9">
        <f>YH35-YL35-YM35-YN35-YO35-YP35-YQ35</f>
        <v/>
      </c>
      <c r="YS35" s="9">
        <f>YS34+YE35-(YL35+YM35+YN35+YO35+YP35+YQ35+YJ35)</f>
        <v/>
      </c>
      <c r="YT35" s="12">
        <f>IF(XY35&gt;0,XZ35/XY35,0)</f>
        <v/>
      </c>
      <c r="YU35" s="11">
        <f>IF(XY34&gt;0,MAX(0,(XY34+XJ35-XY35)/XY34),0)</f>
        <v/>
      </c>
      <c r="YW35" s="12" t="n">
        <v>31</v>
      </c>
      <c r="YX35" s="12">
        <f>MOD(YW35-1+LaunchMonth-1,12)+1</f>
        <v/>
      </c>
      <c r="YY35" s="12">
        <f>INT((YW35-1+LaunchMonth-1)/12)+1</f>
        <v/>
      </c>
      <c r="YZ35" s="12">
        <f>VLOOKUP(YX35,SeasonTable,2,FALSE)</f>
        <v/>
      </c>
      <c r="ZA35" s="12">
        <f>(1+InflationRate)^INT((YW35-1)/12)</f>
        <v/>
      </c>
      <c r="ZB35" s="11">
        <f>MonthlyChurn*VLOOKUP(YX35,ChurnSeasonTable,4,FALSE)</f>
        <v/>
      </c>
      <c r="ZC35" s="12">
        <f>MIN(MAX(MktMin19plus,AAA34*MktPct19plus),MAX(0,AAO34-CashBuffer))</f>
        <v/>
      </c>
      <c r="ZD35" s="12">
        <f>IF(ZC35&gt;0,MAX(1,ROUND(ZC35/CAC*YZ35,0)),0)</f>
        <v/>
      </c>
      <c r="ZE35" s="12">
        <f>IF(ZD35&gt;0,ROUND(ZD35*ReferralMix/(1-ReferralMix),0),0)</f>
        <v/>
      </c>
      <c r="ZF35" s="12">
        <f>ZD35+ZE35</f>
        <v/>
      </c>
      <c r="ZG35" s="12">
        <f>ROUND(ZF35*(1-'Sens - Annual Mix'!$A$11),0)</f>
        <v/>
      </c>
      <c r="ZH35" s="12">
        <f>ZF35-ZG35</f>
        <v/>
      </c>
      <c r="ZI35" s="12">
        <f>ROUND(ZG35*EssentialMix,0)</f>
        <v/>
      </c>
      <c r="ZJ35" s="12">
        <f>ROUND(ZG35*PremiumMix,0)</f>
        <v/>
      </c>
      <c r="ZK35" s="12">
        <f>ZG35-ZI35-ZJ35</f>
        <v/>
      </c>
      <c r="ZL35" s="12">
        <f>ROUND(ZH35*EssentialMix,0)</f>
        <v/>
      </c>
      <c r="ZM35" s="12">
        <f>ROUND(ZH35*PremiumMix,0)</f>
        <v/>
      </c>
      <c r="ZN35" s="12">
        <f>ZH35-ZL35-ZM35</f>
        <v/>
      </c>
      <c r="ZO35" s="12">
        <f>ZI35+ZI34+ZI33+MAX(0,ZO34-ZI34-ZI33)*(1-ZB35)</f>
        <v/>
      </c>
      <c r="ZP35" s="12">
        <f>ZJ35+ZJ34+ZJ33+MAX(0,ZP34-ZJ34-ZJ33)*(1-ZB35)</f>
        <v/>
      </c>
      <c r="ZQ35" s="12">
        <f>ZK35+ZK34+ZK33+MAX(0,ZQ34-ZK34-ZK33)*(1-ZB35)</f>
        <v/>
      </c>
      <c r="ZR35" s="12">
        <f>ZR34+ZL35-ZL23*(AnnualChurn*VLOOKUP(YX35,ChurnSeasonTable,4,FALSE))*POWER(1-(AnnualChurn*VLOOKUP(YX35,ChurnSeasonTable,4,FALSE)),0)+ZL11*(AnnualChurn*VLOOKUP(YX35,ChurnSeasonTable,4,FALSE))*POWER(1-(AnnualChurn*VLOOKUP(YX35,ChurnSeasonTable,4,FALSE)),1)</f>
        <v/>
      </c>
      <c r="ZS35" s="12">
        <f>ZS34+ZM35-ZM23*(AnnualChurn*VLOOKUP(YX35,ChurnSeasonTable,4,FALSE))*POWER(1-(AnnualChurn*VLOOKUP(YX35,ChurnSeasonTable,4,FALSE)),0)+ZM11*(AnnualChurn*VLOOKUP(YX35,ChurnSeasonTable,4,FALSE))*POWER(1-(AnnualChurn*VLOOKUP(YX35,ChurnSeasonTable,4,FALSE)),1)</f>
        <v/>
      </c>
      <c r="ZT35" s="12">
        <f>ZT34+ZN35-ZN23*(AnnualChurn*VLOOKUP(YX35,ChurnSeasonTable,4,FALSE))*POWER(1-(AnnualChurn*VLOOKUP(YX35,ChurnSeasonTable,4,FALSE)),0)+ZN11*(AnnualChurn*VLOOKUP(YX35,ChurnSeasonTable,4,FALSE))*POWER(1-(AnnualChurn*VLOOKUP(YX35,ChurnSeasonTable,4,FALSE)),1)</f>
        <v/>
      </c>
      <c r="ZU35" s="12">
        <f>ZO35+ZP35+ZQ35+ZR35+ZS35+ZT35</f>
        <v/>
      </c>
      <c r="ZV35" s="9">
        <f>ZO35*BlendedPriceEssMonthly*ZA35+ZP35*BlendedPricePremMonthly*ZA35+ZQ35*BlendedPriceEliteMonthly*ZA35+ZR35*BlendedPriceEssAnnual*ZA35/12+ZS35*BlendedPricePremAnnual*ZA35/12+ZT35*BlendedPriceEliteAnnual*ZA35/12</f>
        <v/>
      </c>
      <c r="ZW35" s="9">
        <f>ZV35*12</f>
        <v/>
      </c>
      <c r="ZX35" s="12">
        <f>ZO35*BlendedPriceEssMonthly*ZA35+ZP35*BlendedPricePremMonthly*ZA35+ZQ35*BlendedPriceEliteMonthly*ZA35</f>
        <v/>
      </c>
      <c r="ZY35" s="12">
        <f>ZL35*BlendedPriceEssAnnual*ZA35+ZM35*BlendedPricePremAnnual*ZA35+ZN35*BlendedPriceEliteAnnual*ZA35</f>
        <v/>
      </c>
      <c r="ZZ35" s="12">
        <f>ZL23*POWER(1-(AnnualChurn*VLOOKUP(YX35,ChurnSeasonTable,4,FALSE)),1)*BlendedPriceEssAnnual*ZA35+ZL11*POWER(1-(AnnualChurn*VLOOKUP(YX35,ChurnSeasonTable,4,FALSE)),2)*BlendedPriceEssAnnual*ZA35+ZM23*POWER(1-(AnnualChurn*VLOOKUP(YX35,ChurnSeasonTable,4,FALSE)),1)*BlendedPricePremAnnual*ZA35+ZM11*POWER(1-(AnnualChurn*VLOOKUP(YX35,ChurnSeasonTable,4,FALSE)),2)*BlendedPricePremAnnual*ZA35+ZN23*POWER(1-(AnnualChurn*VLOOKUP(YX35,ChurnSeasonTable,4,FALSE)),1)*BlendedPriceEliteAnnual*ZA35+ZN11*POWER(1-(AnnualChurn*VLOOKUP(YX35,ChurnSeasonTable,4,FALSE)),2)*BlendedPriceEliteAnnual*ZA35</f>
        <v/>
      </c>
      <c r="AAA35" s="9">
        <f>ZX35+ZY35+ZZ35</f>
        <v/>
      </c>
      <c r="AAB35" s="12">
        <f>SUM(AAA24:AAA35)</f>
        <v/>
      </c>
      <c r="AAC35" s="12">
        <f>OR(AAC34,IF(VATAgentMode,SUM($AAA24:$AAA35)-SUM($AAH24:$AAH35)&gt;=VATThreshold,SUM($AAA24:$AAA35)&gt;=VATThreshold))</f>
        <v/>
      </c>
      <c r="AAD35" s="9">
        <f>IF(AAC35,IF(VATAgentMode,AAA35-((AAA35-AAH35)-(AAA35-AAH35)/(1+VATRate)),AAA35/(1+VATRate)),AAA35)</f>
        <v/>
      </c>
      <c r="AAE35" s="12">
        <f>AAA35-AAD35</f>
        <v/>
      </c>
      <c r="AAF35" s="12">
        <f>IF(AAC35=0,0,IF(YX35=1,SUMPRODUCT(--(($YY$5:$YY35=$YY35-1)*($YX$5:$YX35&gt;=10)*($YX$5:$YX35&lt;=12)),$AAE$5:$AAE35),IF(YX35=4,SUMPRODUCT(--(($YY$5:$YY35=$YY35)*($YX$5:$YX35&gt;=1)*($YX$5:$YX35&lt;=3)),$AAE$5:$AAE35),IF(YX35=7,SUMPRODUCT(--(($YY$5:$YY35=$YY35)*($YX$5:$YX35&gt;=4)*($YX$5:$YX35&lt;=6)),$AAE$5:$AAE35),IF(YX35=10,SUMPRODUCT(--(($YY$5:$YY35=$YY35)*($YX$5:$YX35&gt;=7)*($YX$5:$YX35&lt;=9)),$AAE$5:$AAE35),0)))))</f>
        <v/>
      </c>
      <c r="AAG35" s="12">
        <f>AAG34+AAE35-AAF35</f>
        <v/>
      </c>
      <c r="AAH35" s="12">
        <f>IF(ProviderDelay&gt;=1,ZO34*BlendedProvPayEss+ZP34*BlendedProvPayPrem+ZQ34*BlendedProvPayElite+ZR34*BlendedProvPayEss+ZS34*BlendedProvPayPrem+ZT34*BlendedProvPayElite,ZO35*BlendedProvPayEss+ZP35*BlendedProvPayPrem+ZQ35*BlendedProvPayElite+ZR35*BlendedProvPayEss+ZS35*BlendedProvPayPrem+ZT35*BlendedProvPayElite)</f>
        <v/>
      </c>
      <c r="AAI35" s="12">
        <f>AAA35*PaymentFee</f>
        <v/>
      </c>
      <c r="AAJ35" s="12">
        <f>ZU35*OpsAI</f>
        <v/>
      </c>
      <c r="AAK35" s="12">
        <f>MonthlyFixed</f>
        <v/>
      </c>
      <c r="AAL35" s="12">
        <f>ZE35*ReferralReward</f>
        <v/>
      </c>
      <c r="AAM35" s="12">
        <f>ZC35</f>
        <v/>
      </c>
      <c r="AAN35" s="9">
        <f>AAD35-AAH35-AAI35-AAJ35-AAK35-AAL35-AAM35</f>
        <v/>
      </c>
      <c r="AAO35" s="9">
        <f>AAO34+AAA35-(AAH35+AAI35+AAJ35+AAK35+AAL35+AAM35+AAF35)</f>
        <v/>
      </c>
      <c r="AAP35" s="12">
        <f>IF(ZU35&gt;0,ZV35/ZU35,0)</f>
        <v/>
      </c>
      <c r="AAQ35" s="11">
        <f>IF(ZU34&gt;0,MAX(0,(ZU34+ZF35-ZU35)/ZU34),0)</f>
        <v/>
      </c>
      <c r="AAS35" s="12" t="n">
        <v>31</v>
      </c>
      <c r="AAT35" s="12">
        <f>MOD(AAS35-1+LaunchMonth-1,12)+1</f>
        <v/>
      </c>
      <c r="AAU35" s="12">
        <f>INT((AAS35-1+LaunchMonth-1)/12)+1</f>
        <v/>
      </c>
      <c r="AAV35" s="12">
        <f>VLOOKUP(AAT35,SeasonTable,2,FALSE)</f>
        <v/>
      </c>
      <c r="AAW35" s="12">
        <f>(1+InflationRate)^INT((AAS35-1)/12)</f>
        <v/>
      </c>
      <c r="AAX35" s="11">
        <f>MonthlyChurn*VLOOKUP(AAT35,ChurnSeasonTable,4,FALSE)</f>
        <v/>
      </c>
      <c r="AAY35" s="12">
        <f>MIN(MAX(MktMin19plus,ABW34*MktPct19plus),MAX(0,ACK34-CashBuffer))</f>
        <v/>
      </c>
      <c r="AAZ35" s="12">
        <f>IF(AAY35&gt;0,MAX(1,ROUND(AAY35/CAC*AAV35,0)),0)</f>
        <v/>
      </c>
      <c r="ABA35" s="12">
        <f>IF(AAZ35&gt;0,ROUND(AAZ35*ReferralMix/(1-ReferralMix),0),0)</f>
        <v/>
      </c>
      <c r="ABB35" s="12">
        <f>AAZ35+ABA35</f>
        <v/>
      </c>
      <c r="ABC35" s="12">
        <f>ROUND(ABB35*(1-'Sens - Annual Mix'!$A$12),0)</f>
        <v/>
      </c>
      <c r="ABD35" s="12">
        <f>ABB35-ABC35</f>
        <v/>
      </c>
      <c r="ABE35" s="12">
        <f>ROUND(ABC35*EssentialMix,0)</f>
        <v/>
      </c>
      <c r="ABF35" s="12">
        <f>ROUND(ABC35*PremiumMix,0)</f>
        <v/>
      </c>
      <c r="ABG35" s="12">
        <f>ABC35-ABE35-ABF35</f>
        <v/>
      </c>
      <c r="ABH35" s="12">
        <f>ROUND(ABD35*EssentialMix,0)</f>
        <v/>
      </c>
      <c r="ABI35" s="12">
        <f>ROUND(ABD35*PremiumMix,0)</f>
        <v/>
      </c>
      <c r="ABJ35" s="12">
        <f>ABD35-ABH35-ABI35</f>
        <v/>
      </c>
      <c r="ABK35" s="12">
        <f>ABE35+ABE34+ABE33+MAX(0,ABK34-ABE34-ABE33)*(1-AAX35)</f>
        <v/>
      </c>
      <c r="ABL35" s="12">
        <f>ABF35+ABF34+ABF33+MAX(0,ABL34-ABF34-ABF33)*(1-AAX35)</f>
        <v/>
      </c>
      <c r="ABM35" s="12">
        <f>ABG35+ABG34+ABG33+MAX(0,ABM34-ABG34-ABG33)*(1-AAX35)</f>
        <v/>
      </c>
      <c r="ABN35" s="12">
        <f>ABN34+ABH35-ABH23*(AnnualChurn*VLOOKUP(AAT35,ChurnSeasonTable,4,FALSE))*POWER(1-(AnnualChurn*VLOOKUP(AAT35,ChurnSeasonTable,4,FALSE)),0)+ABH11*(AnnualChurn*VLOOKUP(AAT35,ChurnSeasonTable,4,FALSE))*POWER(1-(AnnualChurn*VLOOKUP(AAT35,ChurnSeasonTable,4,FALSE)),1)</f>
        <v/>
      </c>
      <c r="ABO35" s="12">
        <f>ABO34+ABI35-ABI23*(AnnualChurn*VLOOKUP(AAT35,ChurnSeasonTable,4,FALSE))*POWER(1-(AnnualChurn*VLOOKUP(AAT35,ChurnSeasonTable,4,FALSE)),0)+ABI11*(AnnualChurn*VLOOKUP(AAT35,ChurnSeasonTable,4,FALSE))*POWER(1-(AnnualChurn*VLOOKUP(AAT35,ChurnSeasonTable,4,FALSE)),1)</f>
        <v/>
      </c>
      <c r="ABP35" s="12">
        <f>ABP34+ABJ35-ABJ23*(AnnualChurn*VLOOKUP(AAT35,ChurnSeasonTable,4,FALSE))*POWER(1-(AnnualChurn*VLOOKUP(AAT35,ChurnSeasonTable,4,FALSE)),0)+ABJ11*(AnnualChurn*VLOOKUP(AAT35,ChurnSeasonTable,4,FALSE))*POWER(1-(AnnualChurn*VLOOKUP(AAT35,ChurnSeasonTable,4,FALSE)),1)</f>
        <v/>
      </c>
      <c r="ABQ35" s="12">
        <f>ABK35+ABL35+ABM35+ABN35+ABO35+ABP35</f>
        <v/>
      </c>
      <c r="ABR35" s="9">
        <f>ABK35*BlendedPriceEssMonthly*AAW35+ABL35*BlendedPricePremMonthly*AAW35+ABM35*BlendedPriceEliteMonthly*AAW35+ABN35*BlendedPriceEssAnnual*AAW35/12+ABO35*BlendedPricePremAnnual*AAW35/12+ABP35*BlendedPriceEliteAnnual*AAW35/12</f>
        <v/>
      </c>
      <c r="ABS35" s="9">
        <f>ABR35*12</f>
        <v/>
      </c>
      <c r="ABT35" s="12">
        <f>ABK35*BlendedPriceEssMonthly*AAW35+ABL35*BlendedPricePremMonthly*AAW35+ABM35*BlendedPriceEliteMonthly*AAW35</f>
        <v/>
      </c>
      <c r="ABU35" s="12">
        <f>ABH35*BlendedPriceEssAnnual*AAW35+ABI35*BlendedPricePremAnnual*AAW35+ABJ35*BlendedPriceEliteAnnual*AAW35</f>
        <v/>
      </c>
      <c r="ABV35" s="12">
        <f>ABH23*POWER(1-(AnnualChurn*VLOOKUP(AAT35,ChurnSeasonTable,4,FALSE)),1)*BlendedPriceEssAnnual*AAW35+ABH11*POWER(1-(AnnualChurn*VLOOKUP(AAT35,ChurnSeasonTable,4,FALSE)),2)*BlendedPriceEssAnnual*AAW35+ABI23*POWER(1-(AnnualChurn*VLOOKUP(AAT35,ChurnSeasonTable,4,FALSE)),1)*BlendedPricePremAnnual*AAW35+ABI11*POWER(1-(AnnualChurn*VLOOKUP(AAT35,ChurnSeasonTable,4,FALSE)),2)*BlendedPricePremAnnual*AAW35+ABJ23*POWER(1-(AnnualChurn*VLOOKUP(AAT35,ChurnSeasonTable,4,FALSE)),1)*BlendedPriceEliteAnnual*AAW35+ABJ11*POWER(1-(AnnualChurn*VLOOKUP(AAT35,ChurnSeasonTable,4,FALSE)),2)*BlendedPriceEliteAnnual*AAW35</f>
        <v/>
      </c>
      <c r="ABW35" s="9">
        <f>ABT35+ABU35+ABV35</f>
        <v/>
      </c>
      <c r="ABX35" s="12">
        <f>SUM(ABW24:ABW35)</f>
        <v/>
      </c>
      <c r="ABY35" s="12">
        <f>OR(ABY34,IF(VATAgentMode,SUM($ABW24:$ABW35)-SUM($ACD24:$ACD35)&gt;=VATThreshold,SUM($ABW24:$ABW35)&gt;=VATThreshold))</f>
        <v/>
      </c>
      <c r="ABZ35" s="9">
        <f>IF(ABY35,IF(VATAgentMode,ABW35-((ABW35-ACD35)-(ABW35-ACD35)/(1+VATRate)),ABW35/(1+VATRate)),ABW35)</f>
        <v/>
      </c>
      <c r="ACA35" s="12">
        <f>ABW35-ABZ35</f>
        <v/>
      </c>
      <c r="ACB35" s="12">
        <f>IF(ABY35=0,0,IF(AAT35=1,SUMPRODUCT(--(($AAU$5:$AAU35=$AAU35-1)*($AAT$5:$AAT35&gt;=10)*($AAT$5:$AAT35&lt;=12)),$ACA$5:$ACA35),IF(AAT35=4,SUMPRODUCT(--(($AAU$5:$AAU35=$AAU35)*($AAT$5:$AAT35&gt;=1)*($AAT$5:$AAT35&lt;=3)),$ACA$5:$ACA35),IF(AAT35=7,SUMPRODUCT(--(($AAU$5:$AAU35=$AAU35)*($AAT$5:$AAT35&gt;=4)*($AAT$5:$AAT35&lt;=6)),$ACA$5:$ACA35),IF(AAT35=10,SUMPRODUCT(--(($AAU$5:$AAU35=$AAU35)*($AAT$5:$AAT35&gt;=7)*($AAT$5:$AAT35&lt;=9)),$ACA$5:$ACA35),0)))))</f>
        <v/>
      </c>
      <c r="ACC35" s="12">
        <f>ACC34+ACA35-ACB35</f>
        <v/>
      </c>
      <c r="ACD35" s="12">
        <f>IF(ProviderDelay&gt;=1,ABK34*BlendedProvPayEss+ABL34*BlendedProvPayPrem+ABM34*BlendedProvPayElite+ABN34*BlendedProvPayEss+ABO34*BlendedProvPayPrem+ABP34*BlendedProvPayElite,ABK35*BlendedProvPayEss+ABL35*BlendedProvPayPrem+ABM35*BlendedProvPayElite+ABN35*BlendedProvPayEss+ABO35*BlendedProvPayPrem+ABP35*BlendedProvPayElite)</f>
        <v/>
      </c>
      <c r="ACE35" s="12">
        <f>ABW35*PaymentFee</f>
        <v/>
      </c>
      <c r="ACF35" s="12">
        <f>ABQ35*OpsAI</f>
        <v/>
      </c>
      <c r="ACG35" s="12">
        <f>MonthlyFixed</f>
        <v/>
      </c>
      <c r="ACH35" s="12">
        <f>ABA35*ReferralReward</f>
        <v/>
      </c>
      <c r="ACI35" s="12">
        <f>AAY35</f>
        <v/>
      </c>
      <c r="ACJ35" s="9">
        <f>ABZ35-ACD35-ACE35-ACF35-ACG35-ACH35-ACI35</f>
        <v/>
      </c>
      <c r="ACK35" s="9">
        <f>ACK34+ABW35-(ACD35+ACE35+ACF35+ACG35+ACH35+ACI35+ACB35)</f>
        <v/>
      </c>
      <c r="ACL35" s="12">
        <f>IF(ABQ35&gt;0,ABR35/ABQ35,0)</f>
        <v/>
      </c>
      <c r="ACM35" s="11">
        <f>IF(ABQ34&gt;0,MAX(0,(ABQ34+ABB35-ABQ35)/ABQ34),0)</f>
        <v/>
      </c>
      <c r="ACO35" s="12" t="n">
        <v>31</v>
      </c>
      <c r="ACP35" s="12">
        <f>MOD(ACO35-1+LaunchMonth-1,12)+1</f>
        <v/>
      </c>
      <c r="ACQ35" s="12">
        <f>INT((ACO35-1+LaunchMonth-1)/12)+1</f>
        <v/>
      </c>
      <c r="ACR35" s="12">
        <f>VLOOKUP(ACP35,SeasonTable,2,FALSE)</f>
        <v/>
      </c>
      <c r="ACS35" s="12">
        <f>(1+InflationRate)^INT((ACO35-1)/12)</f>
        <v/>
      </c>
      <c r="ACT35" s="11">
        <f>MonthlyChurn*VLOOKUP(ACP35,ChurnSeasonTable,4,FALSE)</f>
        <v/>
      </c>
      <c r="ACU35" s="12">
        <f>MIN(MAX(MktMin19plus,ADS34*MktPct19plus),MAX(0,AEG34-CashBuffer))</f>
        <v/>
      </c>
      <c r="ACV35" s="12">
        <f>IF(ACU35&gt;0,MAX(1,ROUND(ACU35/CAC*ACR35,0)),0)</f>
        <v/>
      </c>
      <c r="ACW35" s="12">
        <f>IF(ACV35&gt;0,ROUND(ACV35*ReferralMix/(1-ReferralMix),0),0)</f>
        <v/>
      </c>
      <c r="ACX35" s="12">
        <f>ACV35+ACW35</f>
        <v/>
      </c>
      <c r="ACY35" s="12">
        <f>ROUND(ACX35*(1-'Sens - Annual Mix'!$A$13),0)</f>
        <v/>
      </c>
      <c r="ACZ35" s="12">
        <f>ACX35-ACY35</f>
        <v/>
      </c>
      <c r="ADA35" s="12">
        <f>ROUND(ACY35*EssentialMix,0)</f>
        <v/>
      </c>
      <c r="ADB35" s="12">
        <f>ROUND(ACY35*PremiumMix,0)</f>
        <v/>
      </c>
      <c r="ADC35" s="12">
        <f>ACY35-ADA35-ADB35</f>
        <v/>
      </c>
      <c r="ADD35" s="12">
        <f>ROUND(ACZ35*EssentialMix,0)</f>
        <v/>
      </c>
      <c r="ADE35" s="12">
        <f>ROUND(ACZ35*PremiumMix,0)</f>
        <v/>
      </c>
      <c r="ADF35" s="12">
        <f>ACZ35-ADD35-ADE35</f>
        <v/>
      </c>
      <c r="ADG35" s="12">
        <f>ADA35+ADA34+ADA33+MAX(0,ADG34-ADA34-ADA33)*(1-ACT35)</f>
        <v/>
      </c>
      <c r="ADH35" s="12">
        <f>ADB35+ADB34+ADB33+MAX(0,ADH34-ADB34-ADB33)*(1-ACT35)</f>
        <v/>
      </c>
      <c r="ADI35" s="12">
        <f>ADC35+ADC34+ADC33+MAX(0,ADI34-ADC34-ADC33)*(1-ACT35)</f>
        <v/>
      </c>
      <c r="ADJ35" s="12">
        <f>ADJ34+ADD35-ADD23*(AnnualChurn*VLOOKUP(ACP35,ChurnSeasonTable,4,FALSE))*POWER(1-(AnnualChurn*VLOOKUP(ACP35,ChurnSeasonTable,4,FALSE)),0)+ADD11*(AnnualChurn*VLOOKUP(ACP35,ChurnSeasonTable,4,FALSE))*POWER(1-(AnnualChurn*VLOOKUP(ACP35,ChurnSeasonTable,4,FALSE)),1)</f>
        <v/>
      </c>
      <c r="ADK35" s="12">
        <f>ADK34+ADE35-ADE23*(AnnualChurn*VLOOKUP(ACP35,ChurnSeasonTable,4,FALSE))*POWER(1-(AnnualChurn*VLOOKUP(ACP35,ChurnSeasonTable,4,FALSE)),0)+ADE11*(AnnualChurn*VLOOKUP(ACP35,ChurnSeasonTable,4,FALSE))*POWER(1-(AnnualChurn*VLOOKUP(ACP35,ChurnSeasonTable,4,FALSE)),1)</f>
        <v/>
      </c>
      <c r="ADL35" s="12">
        <f>ADL34+ADF35-ADF23*(AnnualChurn*VLOOKUP(ACP35,ChurnSeasonTable,4,FALSE))*POWER(1-(AnnualChurn*VLOOKUP(ACP35,ChurnSeasonTable,4,FALSE)),0)+ADF11*(AnnualChurn*VLOOKUP(ACP35,ChurnSeasonTable,4,FALSE))*POWER(1-(AnnualChurn*VLOOKUP(ACP35,ChurnSeasonTable,4,FALSE)),1)</f>
        <v/>
      </c>
      <c r="ADM35" s="12">
        <f>ADG35+ADH35+ADI35+ADJ35+ADK35+ADL35</f>
        <v/>
      </c>
      <c r="ADN35" s="9">
        <f>ADG35*BlendedPriceEssMonthly*ACS35+ADH35*BlendedPricePremMonthly*ACS35+ADI35*BlendedPriceEliteMonthly*ACS35+ADJ35*BlendedPriceEssAnnual*ACS35/12+ADK35*BlendedPricePremAnnual*ACS35/12+ADL35*BlendedPriceEliteAnnual*ACS35/12</f>
        <v/>
      </c>
      <c r="ADO35" s="9">
        <f>ADN35*12</f>
        <v/>
      </c>
      <c r="ADP35" s="12">
        <f>ADG35*BlendedPriceEssMonthly*ACS35+ADH35*BlendedPricePremMonthly*ACS35+ADI35*BlendedPriceEliteMonthly*ACS35</f>
        <v/>
      </c>
      <c r="ADQ35" s="12">
        <f>ADD35*BlendedPriceEssAnnual*ACS35+ADE35*BlendedPricePremAnnual*ACS35+ADF35*BlendedPriceEliteAnnual*ACS35</f>
        <v/>
      </c>
      <c r="ADR35" s="12">
        <f>ADD23*POWER(1-(AnnualChurn*VLOOKUP(ACP35,ChurnSeasonTable,4,FALSE)),1)*BlendedPriceEssAnnual*ACS35+ADD11*POWER(1-(AnnualChurn*VLOOKUP(ACP35,ChurnSeasonTable,4,FALSE)),2)*BlendedPriceEssAnnual*ACS35+ADE23*POWER(1-(AnnualChurn*VLOOKUP(ACP35,ChurnSeasonTable,4,FALSE)),1)*BlendedPricePremAnnual*ACS35+ADE11*POWER(1-(AnnualChurn*VLOOKUP(ACP35,ChurnSeasonTable,4,FALSE)),2)*BlendedPricePremAnnual*ACS35+ADF23*POWER(1-(AnnualChurn*VLOOKUP(ACP35,ChurnSeasonTable,4,FALSE)),1)*BlendedPriceEliteAnnual*ACS35+ADF11*POWER(1-(AnnualChurn*VLOOKUP(ACP35,ChurnSeasonTable,4,FALSE)),2)*BlendedPriceEliteAnnual*ACS35</f>
        <v/>
      </c>
      <c r="ADS35" s="9">
        <f>ADP35+ADQ35+ADR35</f>
        <v/>
      </c>
      <c r="ADT35" s="12">
        <f>SUM(ADS24:ADS35)</f>
        <v/>
      </c>
      <c r="ADU35" s="12">
        <f>OR(ADU34,IF(VATAgentMode,SUM($ADS24:$ADS35)-SUM($ADZ24:$ADZ35)&gt;=VATThreshold,SUM($ADS24:$ADS35)&gt;=VATThreshold))</f>
        <v/>
      </c>
      <c r="ADV35" s="9">
        <f>IF(ADU35,IF(VATAgentMode,ADS35-((ADS35-ADZ35)-(ADS35-ADZ35)/(1+VATRate)),ADS35/(1+VATRate)),ADS35)</f>
        <v/>
      </c>
      <c r="ADW35" s="12">
        <f>ADS35-ADV35</f>
        <v/>
      </c>
      <c r="ADX35" s="12">
        <f>IF(ADU35=0,0,IF(ACP35=1,SUMPRODUCT(--(($ACQ$5:$ACQ35=$ACQ35-1)*($ACP$5:$ACP35&gt;=10)*($ACP$5:$ACP35&lt;=12)),$ADW$5:$ADW35),IF(ACP35=4,SUMPRODUCT(--(($ACQ$5:$ACQ35=$ACQ35)*($ACP$5:$ACP35&gt;=1)*($ACP$5:$ACP35&lt;=3)),$ADW$5:$ADW35),IF(ACP35=7,SUMPRODUCT(--(($ACQ$5:$ACQ35=$ACQ35)*($ACP$5:$ACP35&gt;=4)*($ACP$5:$ACP35&lt;=6)),$ADW$5:$ADW35),IF(ACP35=10,SUMPRODUCT(--(($ACQ$5:$ACQ35=$ACQ35)*($ACP$5:$ACP35&gt;=7)*($ACP$5:$ACP35&lt;=9)),$ADW$5:$ADW35),0)))))</f>
        <v/>
      </c>
      <c r="ADY35" s="12">
        <f>ADY34+ADW35-ADX35</f>
        <v/>
      </c>
      <c r="ADZ35" s="12">
        <f>IF(ProviderDelay&gt;=1,ADG34*BlendedProvPayEss+ADH34*BlendedProvPayPrem+ADI34*BlendedProvPayElite+ADJ34*BlendedProvPayEss+ADK34*BlendedProvPayPrem+ADL34*BlendedProvPayElite,ADG35*BlendedProvPayEss+ADH35*BlendedProvPayPrem+ADI35*BlendedProvPayElite+ADJ35*BlendedProvPayEss+ADK35*BlendedProvPayPrem+ADL35*BlendedProvPayElite)</f>
        <v/>
      </c>
      <c r="AEA35" s="12">
        <f>ADS35*PaymentFee</f>
        <v/>
      </c>
      <c r="AEB35" s="12">
        <f>ADM35*OpsAI</f>
        <v/>
      </c>
      <c r="AEC35" s="12">
        <f>MonthlyFixed</f>
        <v/>
      </c>
      <c r="AED35" s="12">
        <f>ACW35*ReferralReward</f>
        <v/>
      </c>
      <c r="AEE35" s="12">
        <f>ACU35</f>
        <v/>
      </c>
      <c r="AEF35" s="9">
        <f>ADV35-ADZ35-AEA35-AEB35-AEC35-AED35-AEE35</f>
        <v/>
      </c>
      <c r="AEG35" s="9">
        <f>AEG34+ADS35-(ADZ35+AEA35+AEB35+AEC35+AED35+AEE35+ADX35)</f>
        <v/>
      </c>
      <c r="AEH35" s="12">
        <f>IF(ADM35&gt;0,ADN35/ADM35,0)</f>
        <v/>
      </c>
      <c r="AEI35" s="11">
        <f>IF(ADM34&gt;0,MAX(0,(ADM34+ACX35-ADM35)/ADM34),0)</f>
        <v/>
      </c>
      <c r="AEK35" s="12" t="n">
        <v>31</v>
      </c>
      <c r="AEL35" s="12">
        <f>MOD(AEK35-1+LaunchMonth-1,12)+1</f>
        <v/>
      </c>
      <c r="AEM35" s="12">
        <f>INT((AEK35-1+LaunchMonth-1)/12)+1</f>
        <v/>
      </c>
      <c r="AEN35" s="12">
        <f>VLOOKUP(AEL35,SeasonTable,2,FALSE)</f>
        <v/>
      </c>
      <c r="AEO35" s="12">
        <f>(1+InflationRate)^INT((AEK35-1)/12)</f>
        <v/>
      </c>
      <c r="AEP35" s="11">
        <f>MonthlyChurn*VLOOKUP(AEL35,ChurnSeasonTable,4,FALSE)</f>
        <v/>
      </c>
      <c r="AEQ35" s="12">
        <f>MIN(MAX(MktMin19plus,AFO34*MktPct19plus),MAX(0,AGC34-CashBuffer))</f>
        <v/>
      </c>
      <c r="AER35" s="12">
        <f>IF(AEQ35&gt;0,MAX(1,ROUND(AEQ35/CAC*AEN35,0)),0)</f>
        <v/>
      </c>
      <c r="AES35" s="12">
        <f>IF(AER35&gt;0,ROUND(AER35*ReferralMix/(1-ReferralMix),0),0)</f>
        <v/>
      </c>
      <c r="AET35" s="12">
        <f>AER35+AES35</f>
        <v/>
      </c>
      <c r="AEU35" s="12">
        <f>ROUND(AET35*(1-'Sens - Annual Mix'!$A$14),0)</f>
        <v/>
      </c>
      <c r="AEV35" s="12">
        <f>AET35-AEU35</f>
        <v/>
      </c>
      <c r="AEW35" s="12">
        <f>ROUND(AEU35*EssentialMix,0)</f>
        <v/>
      </c>
      <c r="AEX35" s="12">
        <f>ROUND(AEU35*PremiumMix,0)</f>
        <v/>
      </c>
      <c r="AEY35" s="12">
        <f>AEU35-AEW35-AEX35</f>
        <v/>
      </c>
      <c r="AEZ35" s="12">
        <f>ROUND(AEV35*EssentialMix,0)</f>
        <v/>
      </c>
      <c r="AFA35" s="12">
        <f>ROUND(AEV35*PremiumMix,0)</f>
        <v/>
      </c>
      <c r="AFB35" s="12">
        <f>AEV35-AEZ35-AFA35</f>
        <v/>
      </c>
      <c r="AFC35" s="12">
        <f>AEW35+AEW34+AEW33+MAX(0,AFC34-AEW34-AEW33)*(1-AEP35)</f>
        <v/>
      </c>
      <c r="AFD35" s="12">
        <f>AEX35+AEX34+AEX33+MAX(0,AFD34-AEX34-AEX33)*(1-AEP35)</f>
        <v/>
      </c>
      <c r="AFE35" s="12">
        <f>AEY35+AEY34+AEY33+MAX(0,AFE34-AEY34-AEY33)*(1-AEP35)</f>
        <v/>
      </c>
      <c r="AFF35" s="12">
        <f>AFF34+AEZ35-AEZ23*(AnnualChurn*VLOOKUP(AEL35,ChurnSeasonTable,4,FALSE))*POWER(1-(AnnualChurn*VLOOKUP(AEL35,ChurnSeasonTable,4,FALSE)),0)+AEZ11*(AnnualChurn*VLOOKUP(AEL35,ChurnSeasonTable,4,FALSE))*POWER(1-(AnnualChurn*VLOOKUP(AEL35,ChurnSeasonTable,4,FALSE)),1)</f>
        <v/>
      </c>
      <c r="AFG35" s="12">
        <f>AFG34+AFA35-AFA23*(AnnualChurn*VLOOKUP(AEL35,ChurnSeasonTable,4,FALSE))*POWER(1-(AnnualChurn*VLOOKUP(AEL35,ChurnSeasonTable,4,FALSE)),0)+AFA11*(AnnualChurn*VLOOKUP(AEL35,ChurnSeasonTable,4,FALSE))*POWER(1-(AnnualChurn*VLOOKUP(AEL35,ChurnSeasonTable,4,FALSE)),1)</f>
        <v/>
      </c>
      <c r="AFH35" s="12">
        <f>AFH34+AFB35-AFB23*(AnnualChurn*VLOOKUP(AEL35,ChurnSeasonTable,4,FALSE))*POWER(1-(AnnualChurn*VLOOKUP(AEL35,ChurnSeasonTable,4,FALSE)),0)+AFB11*(AnnualChurn*VLOOKUP(AEL35,ChurnSeasonTable,4,FALSE))*POWER(1-(AnnualChurn*VLOOKUP(AEL35,ChurnSeasonTable,4,FALSE)),1)</f>
        <v/>
      </c>
      <c r="AFI35" s="12">
        <f>AFC35+AFD35+AFE35+AFF35+AFG35+AFH35</f>
        <v/>
      </c>
      <c r="AFJ35" s="9">
        <f>AFC35*BlendedPriceEssMonthly*AEO35+AFD35*BlendedPricePremMonthly*AEO35+AFE35*BlendedPriceEliteMonthly*AEO35+AFF35*BlendedPriceEssAnnual*AEO35/12+AFG35*BlendedPricePremAnnual*AEO35/12+AFH35*BlendedPriceEliteAnnual*AEO35/12</f>
        <v/>
      </c>
      <c r="AFK35" s="9">
        <f>AFJ35*12</f>
        <v/>
      </c>
      <c r="AFL35" s="12">
        <f>AFC35*BlendedPriceEssMonthly*AEO35+AFD35*BlendedPricePremMonthly*AEO35+AFE35*BlendedPriceEliteMonthly*AEO35</f>
        <v/>
      </c>
      <c r="AFM35" s="12">
        <f>AEZ35*BlendedPriceEssAnnual*AEO35+AFA35*BlendedPricePremAnnual*AEO35+AFB35*BlendedPriceEliteAnnual*AEO35</f>
        <v/>
      </c>
      <c r="AFN35" s="12">
        <f>AEZ23*POWER(1-(AnnualChurn*VLOOKUP(AEL35,ChurnSeasonTable,4,FALSE)),1)*BlendedPriceEssAnnual*AEO35+AEZ11*POWER(1-(AnnualChurn*VLOOKUP(AEL35,ChurnSeasonTable,4,FALSE)),2)*BlendedPriceEssAnnual*AEO35+AFA23*POWER(1-(AnnualChurn*VLOOKUP(AEL35,ChurnSeasonTable,4,FALSE)),1)*BlendedPricePremAnnual*AEO35+AFA11*POWER(1-(AnnualChurn*VLOOKUP(AEL35,ChurnSeasonTable,4,FALSE)),2)*BlendedPricePremAnnual*AEO35+AFB23*POWER(1-(AnnualChurn*VLOOKUP(AEL35,ChurnSeasonTable,4,FALSE)),1)*BlendedPriceEliteAnnual*AEO35+AFB11*POWER(1-(AnnualChurn*VLOOKUP(AEL35,ChurnSeasonTable,4,FALSE)),2)*BlendedPriceEliteAnnual*AEO35</f>
        <v/>
      </c>
      <c r="AFO35" s="9">
        <f>AFL35+AFM35+AFN35</f>
        <v/>
      </c>
      <c r="AFP35" s="12">
        <f>SUM(AFO24:AFO35)</f>
        <v/>
      </c>
      <c r="AFQ35" s="12">
        <f>OR(AFQ34,IF(VATAgentMode,SUM($AFO24:$AFO35)-SUM($AFV24:$AFV35)&gt;=VATThreshold,SUM($AFO24:$AFO35)&gt;=VATThreshold))</f>
        <v/>
      </c>
      <c r="AFR35" s="9">
        <f>IF(AFQ35,IF(VATAgentMode,AFO35-((AFO35-AFV35)-(AFO35-AFV35)/(1+VATRate)),AFO35/(1+VATRate)),AFO35)</f>
        <v/>
      </c>
      <c r="AFS35" s="12">
        <f>AFO35-AFR35</f>
        <v/>
      </c>
      <c r="AFT35" s="12">
        <f>IF(AFQ35=0,0,IF(AEL35=1,SUMPRODUCT(--(($AEM$5:$AEM35=$AEM35-1)*($AEL$5:$AEL35&gt;=10)*($AEL$5:$AEL35&lt;=12)),$AFS$5:$AFS35),IF(AEL35=4,SUMPRODUCT(--(($AEM$5:$AEM35=$AEM35)*($AEL$5:$AEL35&gt;=1)*($AEL$5:$AEL35&lt;=3)),$AFS$5:$AFS35),IF(AEL35=7,SUMPRODUCT(--(($AEM$5:$AEM35=$AEM35)*($AEL$5:$AEL35&gt;=4)*($AEL$5:$AEL35&lt;=6)),$AFS$5:$AFS35),IF(AEL35=10,SUMPRODUCT(--(($AEM$5:$AEM35=$AEM35)*($AEL$5:$AEL35&gt;=7)*($AEL$5:$AEL35&lt;=9)),$AFS$5:$AFS35),0)))))</f>
        <v/>
      </c>
      <c r="AFU35" s="12">
        <f>AFU34+AFS35-AFT35</f>
        <v/>
      </c>
      <c r="AFV35" s="12">
        <f>IF(ProviderDelay&gt;=1,AFC34*BlendedProvPayEss+AFD34*BlendedProvPayPrem+AFE34*BlendedProvPayElite+AFF34*BlendedProvPayEss+AFG34*BlendedProvPayPrem+AFH34*BlendedProvPayElite,AFC35*BlendedProvPayEss+AFD35*BlendedProvPayPrem+AFE35*BlendedProvPayElite+AFF35*BlendedProvPayEss+AFG35*BlendedProvPayPrem+AFH35*BlendedProvPayElite)</f>
        <v/>
      </c>
      <c r="AFW35" s="12">
        <f>AFO35*PaymentFee</f>
        <v/>
      </c>
      <c r="AFX35" s="12">
        <f>AFI35*OpsAI</f>
        <v/>
      </c>
      <c r="AFY35" s="12">
        <f>MonthlyFixed</f>
        <v/>
      </c>
      <c r="AFZ35" s="12">
        <f>AES35*ReferralReward</f>
        <v/>
      </c>
      <c r="AGA35" s="12">
        <f>AEQ35</f>
        <v/>
      </c>
      <c r="AGB35" s="9">
        <f>AFR35-AFV35-AFW35-AFX35-AFY35-AFZ35-AGA35</f>
        <v/>
      </c>
      <c r="AGC35" s="9">
        <f>AGC34+AFO35-(AFV35+AFW35+AFX35+AFY35+AFZ35+AGA35+AFT35)</f>
        <v/>
      </c>
      <c r="AGD35" s="12">
        <f>IF(AFI35&gt;0,AFJ35/AFI35,0)</f>
        <v/>
      </c>
      <c r="AGE35" s="11">
        <f>IF(AFI34&gt;0,MAX(0,(AFI34+AET35-AFI35)/AFI34),0)</f>
        <v/>
      </c>
      <c r="AGG35" s="12" t="n">
        <v>31</v>
      </c>
      <c r="AGH35" s="12">
        <f>MOD(AGG35-1+LaunchMonth-1,12)+1</f>
        <v/>
      </c>
      <c r="AGI35" s="12">
        <f>INT((AGG35-1+LaunchMonth-1)/12)+1</f>
        <v/>
      </c>
      <c r="AGJ35" s="12">
        <f>VLOOKUP(AGH35,SeasonTable,2,FALSE)</f>
        <v/>
      </c>
      <c r="AGK35" s="12">
        <f>(1+InflationRate)^INT((AGG35-1)/12)</f>
        <v/>
      </c>
      <c r="AGL35" s="11">
        <f>MonthlyChurn*VLOOKUP(AGH35,ChurnSeasonTable,4,FALSE)</f>
        <v/>
      </c>
      <c r="AGM35" s="12">
        <f>MIN(MAX(MktMin19plus,AHK34*MktPct19plus),MAX(0,AHY34-CashBuffer))</f>
        <v/>
      </c>
      <c r="AGN35" s="12">
        <f>IF(AGM35&gt;0,MAX(1,ROUND(AGM35/CAC*AGJ35,0)),0)</f>
        <v/>
      </c>
      <c r="AGO35" s="12">
        <f>IF(AGN35&gt;0,ROUND(AGN35*ReferralMix/(1-ReferralMix),0),0)</f>
        <v/>
      </c>
      <c r="AGP35" s="12">
        <f>AGN35+AGO35</f>
        <v/>
      </c>
      <c r="AGQ35" s="12">
        <f>ROUND(AGP35*(1-'Sens - Annual Mix'!$A$15),0)</f>
        <v/>
      </c>
      <c r="AGR35" s="12">
        <f>AGP35-AGQ35</f>
        <v/>
      </c>
      <c r="AGS35" s="12">
        <f>ROUND(AGQ35*EssentialMix,0)</f>
        <v/>
      </c>
      <c r="AGT35" s="12">
        <f>ROUND(AGQ35*PremiumMix,0)</f>
        <v/>
      </c>
      <c r="AGU35" s="12">
        <f>AGQ35-AGS35-AGT35</f>
        <v/>
      </c>
      <c r="AGV35" s="12">
        <f>ROUND(AGR35*EssentialMix,0)</f>
        <v/>
      </c>
      <c r="AGW35" s="12">
        <f>ROUND(AGR35*PremiumMix,0)</f>
        <v/>
      </c>
      <c r="AGX35" s="12">
        <f>AGR35-AGV35-AGW35</f>
        <v/>
      </c>
      <c r="AGY35" s="12">
        <f>AGS35+AGS34+AGS33+MAX(0,AGY34-AGS34-AGS33)*(1-AGL35)</f>
        <v/>
      </c>
      <c r="AGZ35" s="12">
        <f>AGT35+AGT34+AGT33+MAX(0,AGZ34-AGT34-AGT33)*(1-AGL35)</f>
        <v/>
      </c>
      <c r="AHA35" s="12">
        <f>AGU35+AGU34+AGU33+MAX(0,AHA34-AGU34-AGU33)*(1-AGL35)</f>
        <v/>
      </c>
      <c r="AHB35" s="12">
        <f>AHB34+AGV35-AGV23*(AnnualChurn*VLOOKUP(AGH35,ChurnSeasonTable,4,FALSE))*POWER(1-(AnnualChurn*VLOOKUP(AGH35,ChurnSeasonTable,4,FALSE)),0)+AGV11*(AnnualChurn*VLOOKUP(AGH35,ChurnSeasonTable,4,FALSE))*POWER(1-(AnnualChurn*VLOOKUP(AGH35,ChurnSeasonTable,4,FALSE)),1)</f>
        <v/>
      </c>
      <c r="AHC35" s="12">
        <f>AHC34+AGW35-AGW23*(AnnualChurn*VLOOKUP(AGH35,ChurnSeasonTable,4,FALSE))*POWER(1-(AnnualChurn*VLOOKUP(AGH35,ChurnSeasonTable,4,FALSE)),0)+AGW11*(AnnualChurn*VLOOKUP(AGH35,ChurnSeasonTable,4,FALSE))*POWER(1-(AnnualChurn*VLOOKUP(AGH35,ChurnSeasonTable,4,FALSE)),1)</f>
        <v/>
      </c>
      <c r="AHD35" s="12">
        <f>AHD34+AGX35-AGX23*(AnnualChurn*VLOOKUP(AGH35,ChurnSeasonTable,4,FALSE))*POWER(1-(AnnualChurn*VLOOKUP(AGH35,ChurnSeasonTable,4,FALSE)),0)+AGX11*(AnnualChurn*VLOOKUP(AGH35,ChurnSeasonTable,4,FALSE))*POWER(1-(AnnualChurn*VLOOKUP(AGH35,ChurnSeasonTable,4,FALSE)),1)</f>
        <v/>
      </c>
      <c r="AHE35" s="12">
        <f>AGY35+AGZ35+AHA35+AHB35+AHC35+AHD35</f>
        <v/>
      </c>
      <c r="AHF35" s="9">
        <f>AGY35*BlendedPriceEssMonthly*AGK35+AGZ35*BlendedPricePremMonthly*AGK35+AHA35*BlendedPriceEliteMonthly*AGK35+AHB35*BlendedPriceEssAnnual*AGK35/12+AHC35*BlendedPricePremAnnual*AGK35/12+AHD35*BlendedPriceEliteAnnual*AGK35/12</f>
        <v/>
      </c>
      <c r="AHG35" s="9">
        <f>AHF35*12</f>
        <v/>
      </c>
      <c r="AHH35" s="12">
        <f>AGY35*BlendedPriceEssMonthly*AGK35+AGZ35*BlendedPricePremMonthly*AGK35+AHA35*BlendedPriceEliteMonthly*AGK35</f>
        <v/>
      </c>
      <c r="AHI35" s="12">
        <f>AGV35*BlendedPriceEssAnnual*AGK35+AGW35*BlendedPricePremAnnual*AGK35+AGX35*BlendedPriceEliteAnnual*AGK35</f>
        <v/>
      </c>
      <c r="AHJ35" s="12">
        <f>AGV23*POWER(1-(AnnualChurn*VLOOKUP(AGH35,ChurnSeasonTable,4,FALSE)),1)*BlendedPriceEssAnnual*AGK35+AGV11*POWER(1-(AnnualChurn*VLOOKUP(AGH35,ChurnSeasonTable,4,FALSE)),2)*BlendedPriceEssAnnual*AGK35+AGW23*POWER(1-(AnnualChurn*VLOOKUP(AGH35,ChurnSeasonTable,4,FALSE)),1)*BlendedPricePremAnnual*AGK35+AGW11*POWER(1-(AnnualChurn*VLOOKUP(AGH35,ChurnSeasonTable,4,FALSE)),2)*BlendedPricePremAnnual*AGK35+AGX23*POWER(1-(AnnualChurn*VLOOKUP(AGH35,ChurnSeasonTable,4,FALSE)),1)*BlendedPriceEliteAnnual*AGK35+AGX11*POWER(1-(AnnualChurn*VLOOKUP(AGH35,ChurnSeasonTable,4,FALSE)),2)*BlendedPriceEliteAnnual*AGK35</f>
        <v/>
      </c>
      <c r="AHK35" s="9">
        <f>AHH35+AHI35+AHJ35</f>
        <v/>
      </c>
      <c r="AHL35" s="12">
        <f>SUM(AHK24:AHK35)</f>
        <v/>
      </c>
      <c r="AHM35" s="12">
        <f>OR(AHM34,IF(VATAgentMode,SUM($AHK24:$AHK35)-SUM($AHR24:$AHR35)&gt;=VATThreshold,SUM($AHK24:$AHK35)&gt;=VATThreshold))</f>
        <v/>
      </c>
      <c r="AHN35" s="9">
        <f>IF(AHM35,IF(VATAgentMode,AHK35-((AHK35-AHR35)-(AHK35-AHR35)/(1+VATRate)),AHK35/(1+VATRate)),AHK35)</f>
        <v/>
      </c>
      <c r="AHO35" s="12">
        <f>AHK35-AHN35</f>
        <v/>
      </c>
      <c r="AHP35" s="12">
        <f>IF(AHM35=0,0,IF(AGH35=1,SUMPRODUCT(--(($AGI$5:$AGI35=$AGI35-1)*($AGH$5:$AGH35&gt;=10)*($AGH$5:$AGH35&lt;=12)),$AHO$5:$AHO35),IF(AGH35=4,SUMPRODUCT(--(($AGI$5:$AGI35=$AGI35)*($AGH$5:$AGH35&gt;=1)*($AGH$5:$AGH35&lt;=3)),$AHO$5:$AHO35),IF(AGH35=7,SUMPRODUCT(--(($AGI$5:$AGI35=$AGI35)*($AGH$5:$AGH35&gt;=4)*($AGH$5:$AGH35&lt;=6)),$AHO$5:$AHO35),IF(AGH35=10,SUMPRODUCT(--(($AGI$5:$AGI35=$AGI35)*($AGH$5:$AGH35&gt;=7)*($AGH$5:$AGH35&lt;=9)),$AHO$5:$AHO35),0)))))</f>
        <v/>
      </c>
      <c r="AHQ35" s="12">
        <f>AHQ34+AHO35-AHP35</f>
        <v/>
      </c>
      <c r="AHR35" s="12">
        <f>IF(ProviderDelay&gt;=1,AGY34*BlendedProvPayEss+AGZ34*BlendedProvPayPrem+AHA34*BlendedProvPayElite+AHB34*BlendedProvPayEss+AHC34*BlendedProvPayPrem+AHD34*BlendedProvPayElite,AGY35*BlendedProvPayEss+AGZ35*BlendedProvPayPrem+AHA35*BlendedProvPayElite+AHB35*BlendedProvPayEss+AHC35*BlendedProvPayPrem+AHD35*BlendedProvPayElite)</f>
        <v/>
      </c>
      <c r="AHS35" s="12">
        <f>AHK35*PaymentFee</f>
        <v/>
      </c>
      <c r="AHT35" s="12">
        <f>AHE35*OpsAI</f>
        <v/>
      </c>
      <c r="AHU35" s="12">
        <f>MonthlyFixed</f>
        <v/>
      </c>
      <c r="AHV35" s="12">
        <f>AGO35*ReferralReward</f>
        <v/>
      </c>
      <c r="AHW35" s="12">
        <f>AGM35</f>
        <v/>
      </c>
      <c r="AHX35" s="9">
        <f>AHN35-AHR35-AHS35-AHT35-AHU35-AHV35-AHW35</f>
        <v/>
      </c>
      <c r="AHY35" s="9">
        <f>AHY34+AHK35-(AHR35+AHS35+AHT35+AHU35+AHV35+AHW35+AHP35)</f>
        <v/>
      </c>
      <c r="AHZ35" s="12">
        <f>IF(AHE35&gt;0,AHF35/AHE35,0)</f>
        <v/>
      </c>
      <c r="AIA35" s="11">
        <f>IF(AHE34&gt;0,MAX(0,(AHE34+AGP35-AHE35)/AHE34),0)</f>
        <v/>
      </c>
      <c r="AIC35" s="12" t="n">
        <v>31</v>
      </c>
      <c r="AID35" s="12">
        <f>MOD(AIC35-1+LaunchMonth-1,12)+1</f>
        <v/>
      </c>
      <c r="AIE35" s="12">
        <f>INT((AIC35-1+LaunchMonth-1)/12)+1</f>
        <v/>
      </c>
      <c r="AIF35" s="12">
        <f>VLOOKUP(AID35,SeasonTable,2,FALSE)</f>
        <v/>
      </c>
      <c r="AIG35" s="12">
        <f>(1+InflationRate)^INT((AIC35-1)/12)</f>
        <v/>
      </c>
      <c r="AIH35" s="11">
        <f>MonthlyChurn*VLOOKUP(AID35,ChurnSeasonTable,4,FALSE)</f>
        <v/>
      </c>
      <c r="AII35" s="12">
        <f>MIN(MAX(MktMin19plus,AJG34*MktPct19plus),MAX(0,AJU34-CashBuffer))</f>
        <v/>
      </c>
      <c r="AIJ35" s="12">
        <f>IF(AII35&gt;0,MAX(1,ROUND(AII35/'Sens - CAC &amp; Marketing'!$A$9*AIF35,0)),0)</f>
        <v/>
      </c>
      <c r="AIK35" s="12">
        <f>IF(AIJ35&gt;0,ROUND(AIJ35*ReferralMix/(1-ReferralMix),0),0)</f>
        <v/>
      </c>
      <c r="AIL35" s="12">
        <f>AIJ35+AIK35</f>
        <v/>
      </c>
      <c r="AIM35" s="12">
        <f>ROUND(AIL35*(1-AnnualMix),0)</f>
        <v/>
      </c>
      <c r="AIN35" s="12">
        <f>AIL35-AIM35</f>
        <v/>
      </c>
      <c r="AIO35" s="12">
        <f>ROUND(AIM35*EssentialMix,0)</f>
        <v/>
      </c>
      <c r="AIP35" s="12">
        <f>ROUND(AIM35*PremiumMix,0)</f>
        <v/>
      </c>
      <c r="AIQ35" s="12">
        <f>AIM35-AIO35-AIP35</f>
        <v/>
      </c>
      <c r="AIR35" s="12">
        <f>ROUND(AIN35*EssentialMix,0)</f>
        <v/>
      </c>
      <c r="AIS35" s="12">
        <f>ROUND(AIN35*PremiumMix,0)</f>
        <v/>
      </c>
      <c r="AIT35" s="12">
        <f>AIN35-AIR35-AIS35</f>
        <v/>
      </c>
      <c r="AIU35" s="12">
        <f>AIO35+AIO34+AIO33+MAX(0,AIU34-AIO34-AIO33)*(1-AIH35)</f>
        <v/>
      </c>
      <c r="AIV35" s="12">
        <f>AIP35+AIP34+AIP33+MAX(0,AIV34-AIP34-AIP33)*(1-AIH35)</f>
        <v/>
      </c>
      <c r="AIW35" s="12">
        <f>AIQ35+AIQ34+AIQ33+MAX(0,AIW34-AIQ34-AIQ33)*(1-AIH35)</f>
        <v/>
      </c>
      <c r="AIX35" s="12">
        <f>AIX34+AIR35-AIR23*(AnnualChurn*VLOOKUP(AID35,ChurnSeasonTable,4,FALSE))*POWER(1-(AnnualChurn*VLOOKUP(AID35,ChurnSeasonTable,4,FALSE)),0)+AIR11*(AnnualChurn*VLOOKUP(AID35,ChurnSeasonTable,4,FALSE))*POWER(1-(AnnualChurn*VLOOKUP(AID35,ChurnSeasonTable,4,FALSE)),1)</f>
        <v/>
      </c>
      <c r="AIY35" s="12">
        <f>AIY34+AIS35-AIS23*(AnnualChurn*VLOOKUP(AID35,ChurnSeasonTable,4,FALSE))*POWER(1-(AnnualChurn*VLOOKUP(AID35,ChurnSeasonTable,4,FALSE)),0)+AIS11*(AnnualChurn*VLOOKUP(AID35,ChurnSeasonTable,4,FALSE))*POWER(1-(AnnualChurn*VLOOKUP(AID35,ChurnSeasonTable,4,FALSE)),1)</f>
        <v/>
      </c>
      <c r="AIZ35" s="12">
        <f>AIZ34+AIT35-AIT23*(AnnualChurn*VLOOKUP(AID35,ChurnSeasonTable,4,FALSE))*POWER(1-(AnnualChurn*VLOOKUP(AID35,ChurnSeasonTable,4,FALSE)),0)+AIT11*(AnnualChurn*VLOOKUP(AID35,ChurnSeasonTable,4,FALSE))*POWER(1-(AnnualChurn*VLOOKUP(AID35,ChurnSeasonTable,4,FALSE)),1)</f>
        <v/>
      </c>
      <c r="AJA35" s="12">
        <f>AIU35+AIV35+AIW35+AIX35+AIY35+AIZ35</f>
        <v/>
      </c>
      <c r="AJB35" s="9">
        <f>AIU35*BlendedPriceEssMonthly*AIG35+AIV35*BlendedPricePremMonthly*AIG35+AIW35*BlendedPriceEliteMonthly*AIG35+AIX35*BlendedPriceEssAnnual*AIG35/12+AIY35*BlendedPricePremAnnual*AIG35/12+AIZ35*BlendedPriceEliteAnnual*AIG35/12</f>
        <v/>
      </c>
      <c r="AJC35" s="9">
        <f>AJB35*12</f>
        <v/>
      </c>
      <c r="AJD35" s="12">
        <f>AIU35*BlendedPriceEssMonthly*AIG35+AIV35*BlendedPricePremMonthly*AIG35+AIW35*BlendedPriceEliteMonthly*AIG35</f>
        <v/>
      </c>
      <c r="AJE35" s="12">
        <f>AIR35*BlendedPriceEssAnnual*AIG35+AIS35*BlendedPricePremAnnual*AIG35+AIT35*BlendedPriceEliteAnnual*AIG35</f>
        <v/>
      </c>
      <c r="AJF35" s="12">
        <f>AIR23*POWER(1-(AnnualChurn*VLOOKUP(AID35,ChurnSeasonTable,4,FALSE)),1)*BlendedPriceEssAnnual*AIG35+AIR11*POWER(1-(AnnualChurn*VLOOKUP(AID35,ChurnSeasonTable,4,FALSE)),2)*BlendedPriceEssAnnual*AIG35+AIS23*POWER(1-(AnnualChurn*VLOOKUP(AID35,ChurnSeasonTable,4,FALSE)),1)*BlendedPricePremAnnual*AIG35+AIS11*POWER(1-(AnnualChurn*VLOOKUP(AID35,ChurnSeasonTable,4,FALSE)),2)*BlendedPricePremAnnual*AIG35+AIT23*POWER(1-(AnnualChurn*VLOOKUP(AID35,ChurnSeasonTable,4,FALSE)),1)*BlendedPriceEliteAnnual*AIG35+AIT11*POWER(1-(AnnualChurn*VLOOKUP(AID35,ChurnSeasonTable,4,FALSE)),2)*BlendedPriceEliteAnnual*AIG35</f>
        <v/>
      </c>
      <c r="AJG35" s="9">
        <f>AJD35+AJE35+AJF35</f>
        <v/>
      </c>
      <c r="AJH35" s="12">
        <f>SUM(AJG24:AJG35)</f>
        <v/>
      </c>
      <c r="AJI35" s="12">
        <f>OR(AJI34,IF(VATAgentMode,SUM($AJG24:$AJG35)-SUM($AJN24:$AJN35)&gt;=VATThreshold,SUM($AJG24:$AJG35)&gt;=VATThreshold))</f>
        <v/>
      </c>
      <c r="AJJ35" s="9">
        <f>IF(AJI35,IF(VATAgentMode,AJG35-((AJG35-AJN35)-(AJG35-AJN35)/(1+VATRate)),AJG35/(1+VATRate)),AJG35)</f>
        <v/>
      </c>
      <c r="AJK35" s="12">
        <f>AJG35-AJJ35</f>
        <v/>
      </c>
      <c r="AJL35" s="12">
        <f>IF(AJI35=0,0,IF(AID35=1,SUMPRODUCT(--(($AIE$5:$AIE35=$AIE35-1)*($AID$5:$AID35&gt;=10)*($AID$5:$AID35&lt;=12)),$AJK$5:$AJK35),IF(AID35=4,SUMPRODUCT(--(($AIE$5:$AIE35=$AIE35)*($AID$5:$AID35&gt;=1)*($AID$5:$AID35&lt;=3)),$AJK$5:$AJK35),IF(AID35=7,SUMPRODUCT(--(($AIE$5:$AIE35=$AIE35)*($AID$5:$AID35&gt;=4)*($AID$5:$AID35&lt;=6)),$AJK$5:$AJK35),IF(AID35=10,SUMPRODUCT(--(($AIE$5:$AIE35=$AIE35)*($AID$5:$AID35&gt;=7)*($AID$5:$AID35&lt;=9)),$AJK$5:$AJK35),0)))))</f>
        <v/>
      </c>
      <c r="AJM35" s="12">
        <f>AJM34+AJK35-AJL35</f>
        <v/>
      </c>
      <c r="AJN35" s="12">
        <f>IF(ProviderDelay&gt;=1,AIU34*BlendedProvPayEss+AIV34*BlendedProvPayPrem+AIW34*BlendedProvPayElite+AIX34*BlendedProvPayEss+AIY34*BlendedProvPayPrem+AIZ34*BlendedProvPayElite,AIU35*BlendedProvPayEss+AIV35*BlendedProvPayPrem+AIW35*BlendedProvPayElite+AIX35*BlendedProvPayEss+AIY35*BlendedProvPayPrem+AIZ35*BlendedProvPayElite)</f>
        <v/>
      </c>
      <c r="AJO35" s="12">
        <f>AJG35*PaymentFee</f>
        <v/>
      </c>
      <c r="AJP35" s="12">
        <f>AJA35*OpsAI</f>
        <v/>
      </c>
      <c r="AJQ35" s="12">
        <f>MonthlyFixed</f>
        <v/>
      </c>
      <c r="AJR35" s="12">
        <f>AIK35*ReferralReward</f>
        <v/>
      </c>
      <c r="AJS35" s="12">
        <f>AII35</f>
        <v/>
      </c>
      <c r="AJT35" s="9">
        <f>AJJ35-AJN35-AJO35-AJP35-AJQ35-AJR35-AJS35</f>
        <v/>
      </c>
      <c r="AJU35" s="9">
        <f>AJU34+AJG35-(AJN35+AJO35+AJP35+AJQ35+AJR35+AJS35+AJL35)</f>
        <v/>
      </c>
      <c r="AJV35" s="12">
        <f>IF(AJA35&gt;0,AJB35/AJA35,0)</f>
        <v/>
      </c>
      <c r="AJW35" s="11">
        <f>IF(AJA34&gt;0,MAX(0,(AJA34+AIL35-AJA35)/AJA34),0)</f>
        <v/>
      </c>
      <c r="AJY35" s="12" t="n">
        <v>31</v>
      </c>
      <c r="AJZ35" s="12">
        <f>MOD(AJY35-1+LaunchMonth-1,12)+1</f>
        <v/>
      </c>
      <c r="AKA35" s="12">
        <f>INT((AJY35-1+LaunchMonth-1)/12)+1</f>
        <v/>
      </c>
      <c r="AKB35" s="12">
        <f>VLOOKUP(AJZ35,SeasonTable,2,FALSE)</f>
        <v/>
      </c>
      <c r="AKC35" s="12">
        <f>(1+InflationRate)^INT((AJY35-1)/12)</f>
        <v/>
      </c>
      <c r="AKD35" s="11">
        <f>MonthlyChurn*VLOOKUP(AJZ35,ChurnSeasonTable,4,FALSE)</f>
        <v/>
      </c>
      <c r="AKE35" s="12">
        <f>MIN(MAX(MktMin19plus,ALC34*MktPct19plus),MAX(0,ALQ34-CashBuffer))</f>
        <v/>
      </c>
      <c r="AKF35" s="12">
        <f>IF(AKE35&gt;0,MAX(1,ROUND(AKE35/'Sens - CAC &amp; Marketing'!$A$10*AKB35,0)),0)</f>
        <v/>
      </c>
      <c r="AKG35" s="12">
        <f>IF(AKF35&gt;0,ROUND(AKF35*ReferralMix/(1-ReferralMix),0),0)</f>
        <v/>
      </c>
      <c r="AKH35" s="12">
        <f>AKF35+AKG35</f>
        <v/>
      </c>
      <c r="AKI35" s="12">
        <f>ROUND(AKH35*(1-AnnualMix),0)</f>
        <v/>
      </c>
      <c r="AKJ35" s="12">
        <f>AKH35-AKI35</f>
        <v/>
      </c>
      <c r="AKK35" s="12">
        <f>ROUND(AKI35*EssentialMix,0)</f>
        <v/>
      </c>
      <c r="AKL35" s="12">
        <f>ROUND(AKI35*PremiumMix,0)</f>
        <v/>
      </c>
      <c r="AKM35" s="12">
        <f>AKI35-AKK35-AKL35</f>
        <v/>
      </c>
      <c r="AKN35" s="12">
        <f>ROUND(AKJ35*EssentialMix,0)</f>
        <v/>
      </c>
      <c r="AKO35" s="12">
        <f>ROUND(AKJ35*PremiumMix,0)</f>
        <v/>
      </c>
      <c r="AKP35" s="12">
        <f>AKJ35-AKN35-AKO35</f>
        <v/>
      </c>
      <c r="AKQ35" s="12">
        <f>AKK35+AKK34+AKK33+MAX(0,AKQ34-AKK34-AKK33)*(1-AKD35)</f>
        <v/>
      </c>
      <c r="AKR35" s="12">
        <f>AKL35+AKL34+AKL33+MAX(0,AKR34-AKL34-AKL33)*(1-AKD35)</f>
        <v/>
      </c>
      <c r="AKS35" s="12">
        <f>AKM35+AKM34+AKM33+MAX(0,AKS34-AKM34-AKM33)*(1-AKD35)</f>
        <v/>
      </c>
      <c r="AKT35" s="12">
        <f>AKT34+AKN35-AKN23*(AnnualChurn*VLOOKUP(AJZ35,ChurnSeasonTable,4,FALSE))*POWER(1-(AnnualChurn*VLOOKUP(AJZ35,ChurnSeasonTable,4,FALSE)),0)+AKN11*(AnnualChurn*VLOOKUP(AJZ35,ChurnSeasonTable,4,FALSE))*POWER(1-(AnnualChurn*VLOOKUP(AJZ35,ChurnSeasonTable,4,FALSE)),1)</f>
        <v/>
      </c>
      <c r="AKU35" s="12">
        <f>AKU34+AKO35-AKO23*(AnnualChurn*VLOOKUP(AJZ35,ChurnSeasonTable,4,FALSE))*POWER(1-(AnnualChurn*VLOOKUP(AJZ35,ChurnSeasonTable,4,FALSE)),0)+AKO11*(AnnualChurn*VLOOKUP(AJZ35,ChurnSeasonTable,4,FALSE))*POWER(1-(AnnualChurn*VLOOKUP(AJZ35,ChurnSeasonTable,4,FALSE)),1)</f>
        <v/>
      </c>
      <c r="AKV35" s="12">
        <f>AKV34+AKP35-AKP23*(AnnualChurn*VLOOKUP(AJZ35,ChurnSeasonTable,4,FALSE))*POWER(1-(AnnualChurn*VLOOKUP(AJZ35,ChurnSeasonTable,4,FALSE)),0)+AKP11*(AnnualChurn*VLOOKUP(AJZ35,ChurnSeasonTable,4,FALSE))*POWER(1-(AnnualChurn*VLOOKUP(AJZ35,ChurnSeasonTable,4,FALSE)),1)</f>
        <v/>
      </c>
      <c r="AKW35" s="12">
        <f>AKQ35+AKR35+AKS35+AKT35+AKU35+AKV35</f>
        <v/>
      </c>
      <c r="AKX35" s="9">
        <f>AKQ35*BlendedPriceEssMonthly*AKC35+AKR35*BlendedPricePremMonthly*AKC35+AKS35*BlendedPriceEliteMonthly*AKC35+AKT35*BlendedPriceEssAnnual*AKC35/12+AKU35*BlendedPricePremAnnual*AKC35/12+AKV35*BlendedPriceEliteAnnual*AKC35/12</f>
        <v/>
      </c>
      <c r="AKY35" s="9">
        <f>AKX35*12</f>
        <v/>
      </c>
      <c r="AKZ35" s="12">
        <f>AKQ35*BlendedPriceEssMonthly*AKC35+AKR35*BlendedPricePremMonthly*AKC35+AKS35*BlendedPriceEliteMonthly*AKC35</f>
        <v/>
      </c>
      <c r="ALA35" s="12">
        <f>AKN35*BlendedPriceEssAnnual*AKC35+AKO35*BlendedPricePremAnnual*AKC35+AKP35*BlendedPriceEliteAnnual*AKC35</f>
        <v/>
      </c>
      <c r="ALB35" s="12">
        <f>AKN23*POWER(1-(AnnualChurn*VLOOKUP(AJZ35,ChurnSeasonTable,4,FALSE)),1)*BlendedPriceEssAnnual*AKC35+AKN11*POWER(1-(AnnualChurn*VLOOKUP(AJZ35,ChurnSeasonTable,4,FALSE)),2)*BlendedPriceEssAnnual*AKC35+AKO23*POWER(1-(AnnualChurn*VLOOKUP(AJZ35,ChurnSeasonTable,4,FALSE)),1)*BlendedPricePremAnnual*AKC35+AKO11*POWER(1-(AnnualChurn*VLOOKUP(AJZ35,ChurnSeasonTable,4,FALSE)),2)*BlendedPricePremAnnual*AKC35+AKP23*POWER(1-(AnnualChurn*VLOOKUP(AJZ35,ChurnSeasonTable,4,FALSE)),1)*BlendedPriceEliteAnnual*AKC35+AKP11*POWER(1-(AnnualChurn*VLOOKUP(AJZ35,ChurnSeasonTable,4,FALSE)),2)*BlendedPriceEliteAnnual*AKC35</f>
        <v/>
      </c>
      <c r="ALC35" s="9">
        <f>AKZ35+ALA35+ALB35</f>
        <v/>
      </c>
      <c r="ALD35" s="12">
        <f>SUM(ALC24:ALC35)</f>
        <v/>
      </c>
      <c r="ALE35" s="12">
        <f>OR(ALE34,IF(VATAgentMode,SUM($ALC24:$ALC35)-SUM($ALJ24:$ALJ35)&gt;=VATThreshold,SUM($ALC24:$ALC35)&gt;=VATThreshold))</f>
        <v/>
      </c>
      <c r="ALF35" s="9">
        <f>IF(ALE35,IF(VATAgentMode,ALC35-((ALC35-ALJ35)-(ALC35-ALJ35)/(1+VATRate)),ALC35/(1+VATRate)),ALC35)</f>
        <v/>
      </c>
      <c r="ALG35" s="12">
        <f>ALC35-ALF35</f>
        <v/>
      </c>
      <c r="ALH35" s="12">
        <f>IF(ALE35=0,0,IF(AJZ35=1,SUMPRODUCT(--(($AKA$5:$AKA35=$AKA35-1)*($AJZ$5:$AJZ35&gt;=10)*($AJZ$5:$AJZ35&lt;=12)),$ALG$5:$ALG35),IF(AJZ35=4,SUMPRODUCT(--(($AKA$5:$AKA35=$AKA35)*($AJZ$5:$AJZ35&gt;=1)*($AJZ$5:$AJZ35&lt;=3)),$ALG$5:$ALG35),IF(AJZ35=7,SUMPRODUCT(--(($AKA$5:$AKA35=$AKA35)*($AJZ$5:$AJZ35&gt;=4)*($AJZ$5:$AJZ35&lt;=6)),$ALG$5:$ALG35),IF(AJZ35=10,SUMPRODUCT(--(($AKA$5:$AKA35=$AKA35)*($AJZ$5:$AJZ35&gt;=7)*($AJZ$5:$AJZ35&lt;=9)),$ALG$5:$ALG35),0)))))</f>
        <v/>
      </c>
      <c r="ALI35" s="12">
        <f>ALI34+ALG35-ALH35</f>
        <v/>
      </c>
      <c r="ALJ35" s="12">
        <f>IF(ProviderDelay&gt;=1,AKQ34*BlendedProvPayEss+AKR34*BlendedProvPayPrem+AKS34*BlendedProvPayElite+AKT34*BlendedProvPayEss+AKU34*BlendedProvPayPrem+AKV34*BlendedProvPayElite,AKQ35*BlendedProvPayEss+AKR35*BlendedProvPayPrem+AKS35*BlendedProvPayElite+AKT35*BlendedProvPayEss+AKU35*BlendedProvPayPrem+AKV35*BlendedProvPayElite)</f>
        <v/>
      </c>
      <c r="ALK35" s="12">
        <f>ALC35*PaymentFee</f>
        <v/>
      </c>
      <c r="ALL35" s="12">
        <f>AKW35*OpsAI</f>
        <v/>
      </c>
      <c r="ALM35" s="12">
        <f>MonthlyFixed</f>
        <v/>
      </c>
      <c r="ALN35" s="12">
        <f>AKG35*ReferralReward</f>
        <v/>
      </c>
      <c r="ALO35" s="12">
        <f>AKE35</f>
        <v/>
      </c>
      <c r="ALP35" s="9">
        <f>ALF35-ALJ35-ALK35-ALL35-ALM35-ALN35-ALO35</f>
        <v/>
      </c>
      <c r="ALQ35" s="9">
        <f>ALQ34+ALC35-(ALJ35+ALK35+ALL35+ALM35+ALN35+ALO35+ALH35)</f>
        <v/>
      </c>
      <c r="ALR35" s="12">
        <f>IF(AKW35&gt;0,AKX35/AKW35,0)</f>
        <v/>
      </c>
      <c r="ALS35" s="11">
        <f>IF(AKW34&gt;0,MAX(0,(AKW34+AKH35-AKW35)/AKW34),0)</f>
        <v/>
      </c>
      <c r="ALU35" s="12" t="n">
        <v>31</v>
      </c>
      <c r="ALV35" s="12">
        <f>MOD(ALU35-1+LaunchMonth-1,12)+1</f>
        <v/>
      </c>
      <c r="ALW35" s="12">
        <f>INT((ALU35-1+LaunchMonth-1)/12)+1</f>
        <v/>
      </c>
      <c r="ALX35" s="12">
        <f>VLOOKUP(ALV35,SeasonTable,2,FALSE)</f>
        <v/>
      </c>
      <c r="ALY35" s="12">
        <f>(1+InflationRate)^INT((ALU35-1)/12)</f>
        <v/>
      </c>
      <c r="ALZ35" s="11">
        <f>MonthlyChurn*VLOOKUP(ALV35,ChurnSeasonTable,4,FALSE)</f>
        <v/>
      </c>
      <c r="AMA35" s="12">
        <f>MIN(MAX(MktMin19plus,AMY34*MktPct19plus),MAX(0,ANM34-CashBuffer))</f>
        <v/>
      </c>
      <c r="AMB35" s="12">
        <f>IF(AMA35&gt;0,MAX(1,ROUND(AMA35/'Sens - CAC &amp; Marketing'!$A$11*ALX35,0)),0)</f>
        <v/>
      </c>
      <c r="AMC35" s="12">
        <f>IF(AMB35&gt;0,ROUND(AMB35*ReferralMix/(1-ReferralMix),0),0)</f>
        <v/>
      </c>
      <c r="AMD35" s="12">
        <f>AMB35+AMC35</f>
        <v/>
      </c>
      <c r="AME35" s="12">
        <f>ROUND(AMD35*(1-AnnualMix),0)</f>
        <v/>
      </c>
      <c r="AMF35" s="12">
        <f>AMD35-AME35</f>
        <v/>
      </c>
      <c r="AMG35" s="12">
        <f>ROUND(AME35*EssentialMix,0)</f>
        <v/>
      </c>
      <c r="AMH35" s="12">
        <f>ROUND(AME35*PremiumMix,0)</f>
        <v/>
      </c>
      <c r="AMI35" s="12">
        <f>AME35-AMG35-AMH35</f>
        <v/>
      </c>
      <c r="AMJ35" s="12">
        <f>ROUND(AMF35*EssentialMix,0)</f>
        <v/>
      </c>
      <c r="AMK35" s="12">
        <f>ROUND(AMF35*PremiumMix,0)</f>
        <v/>
      </c>
      <c r="AML35" s="12">
        <f>AMF35-AMJ35-AMK35</f>
        <v/>
      </c>
      <c r="AMM35" s="12">
        <f>AMG35+AMG34+AMG33+MAX(0,AMM34-AMG34-AMG33)*(1-ALZ35)</f>
        <v/>
      </c>
      <c r="AMN35" s="12">
        <f>AMH35+AMH34+AMH33+MAX(0,AMN34-AMH34-AMH33)*(1-ALZ35)</f>
        <v/>
      </c>
      <c r="AMO35" s="12">
        <f>AMI35+AMI34+AMI33+MAX(0,AMO34-AMI34-AMI33)*(1-ALZ35)</f>
        <v/>
      </c>
      <c r="AMP35" s="12">
        <f>AMP34+AMJ35-AMJ23*(AnnualChurn*VLOOKUP(ALV35,ChurnSeasonTable,4,FALSE))*POWER(1-(AnnualChurn*VLOOKUP(ALV35,ChurnSeasonTable,4,FALSE)),0)+AMJ11*(AnnualChurn*VLOOKUP(ALV35,ChurnSeasonTable,4,FALSE))*POWER(1-(AnnualChurn*VLOOKUP(ALV35,ChurnSeasonTable,4,FALSE)),1)</f>
        <v/>
      </c>
      <c r="AMQ35" s="12">
        <f>AMQ34+AMK35-AMK23*(AnnualChurn*VLOOKUP(ALV35,ChurnSeasonTable,4,FALSE))*POWER(1-(AnnualChurn*VLOOKUP(ALV35,ChurnSeasonTable,4,FALSE)),0)+AMK11*(AnnualChurn*VLOOKUP(ALV35,ChurnSeasonTable,4,FALSE))*POWER(1-(AnnualChurn*VLOOKUP(ALV35,ChurnSeasonTable,4,FALSE)),1)</f>
        <v/>
      </c>
      <c r="AMR35" s="12">
        <f>AMR34+AML35-AML23*(AnnualChurn*VLOOKUP(ALV35,ChurnSeasonTable,4,FALSE))*POWER(1-(AnnualChurn*VLOOKUP(ALV35,ChurnSeasonTable,4,FALSE)),0)+AML11*(AnnualChurn*VLOOKUP(ALV35,ChurnSeasonTable,4,FALSE))*POWER(1-(AnnualChurn*VLOOKUP(ALV35,ChurnSeasonTable,4,FALSE)),1)</f>
        <v/>
      </c>
      <c r="AMS35" s="12">
        <f>AMM35+AMN35+AMO35+AMP35+AMQ35+AMR35</f>
        <v/>
      </c>
      <c r="AMT35" s="9">
        <f>AMM35*BlendedPriceEssMonthly*ALY35+AMN35*BlendedPricePremMonthly*ALY35+AMO35*BlendedPriceEliteMonthly*ALY35+AMP35*BlendedPriceEssAnnual*ALY35/12+AMQ35*BlendedPricePremAnnual*ALY35/12+AMR35*BlendedPriceEliteAnnual*ALY35/12</f>
        <v/>
      </c>
      <c r="AMU35" s="9">
        <f>AMT35*12</f>
        <v/>
      </c>
      <c r="AMV35" s="12">
        <f>AMM35*BlendedPriceEssMonthly*ALY35+AMN35*BlendedPricePremMonthly*ALY35+AMO35*BlendedPriceEliteMonthly*ALY35</f>
        <v/>
      </c>
      <c r="AMW35" s="12">
        <f>AMJ35*BlendedPriceEssAnnual*ALY35+AMK35*BlendedPricePremAnnual*ALY35+AML35*BlendedPriceEliteAnnual*ALY35</f>
        <v/>
      </c>
      <c r="AMX35" s="12">
        <f>AMJ23*POWER(1-(AnnualChurn*VLOOKUP(ALV35,ChurnSeasonTable,4,FALSE)),1)*BlendedPriceEssAnnual*ALY35+AMJ11*POWER(1-(AnnualChurn*VLOOKUP(ALV35,ChurnSeasonTable,4,FALSE)),2)*BlendedPriceEssAnnual*ALY35+AMK23*POWER(1-(AnnualChurn*VLOOKUP(ALV35,ChurnSeasonTable,4,FALSE)),1)*BlendedPricePremAnnual*ALY35+AMK11*POWER(1-(AnnualChurn*VLOOKUP(ALV35,ChurnSeasonTable,4,FALSE)),2)*BlendedPricePremAnnual*ALY35+AML23*POWER(1-(AnnualChurn*VLOOKUP(ALV35,ChurnSeasonTable,4,FALSE)),1)*BlendedPriceEliteAnnual*ALY35+AML11*POWER(1-(AnnualChurn*VLOOKUP(ALV35,ChurnSeasonTable,4,FALSE)),2)*BlendedPriceEliteAnnual*ALY35</f>
        <v/>
      </c>
      <c r="AMY35" s="9">
        <f>AMV35+AMW35+AMX35</f>
        <v/>
      </c>
      <c r="AMZ35" s="12">
        <f>SUM(AMY24:AMY35)</f>
        <v/>
      </c>
      <c r="ANA35" s="12">
        <f>OR(ANA34,IF(VATAgentMode,SUM($AMY24:$AMY35)-SUM($ANF24:$ANF35)&gt;=VATThreshold,SUM($AMY24:$AMY35)&gt;=VATThreshold))</f>
        <v/>
      </c>
      <c r="ANB35" s="9">
        <f>IF(ANA35,IF(VATAgentMode,AMY35-((AMY35-ANF35)-(AMY35-ANF35)/(1+VATRate)),AMY35/(1+VATRate)),AMY35)</f>
        <v/>
      </c>
      <c r="ANC35" s="12">
        <f>AMY35-ANB35</f>
        <v/>
      </c>
      <c r="AND35" s="12">
        <f>IF(ANA35=0,0,IF(ALV35=1,SUMPRODUCT(--(($ALW$5:$ALW35=$ALW35-1)*($ALV$5:$ALV35&gt;=10)*($ALV$5:$ALV35&lt;=12)),$ANC$5:$ANC35),IF(ALV35=4,SUMPRODUCT(--(($ALW$5:$ALW35=$ALW35)*($ALV$5:$ALV35&gt;=1)*($ALV$5:$ALV35&lt;=3)),$ANC$5:$ANC35),IF(ALV35=7,SUMPRODUCT(--(($ALW$5:$ALW35=$ALW35)*($ALV$5:$ALV35&gt;=4)*($ALV$5:$ALV35&lt;=6)),$ANC$5:$ANC35),IF(ALV35=10,SUMPRODUCT(--(($ALW$5:$ALW35=$ALW35)*($ALV$5:$ALV35&gt;=7)*($ALV$5:$ALV35&lt;=9)),$ANC$5:$ANC35),0)))))</f>
        <v/>
      </c>
      <c r="ANE35" s="12">
        <f>ANE34+ANC35-AND35</f>
        <v/>
      </c>
      <c r="ANF35" s="12">
        <f>IF(ProviderDelay&gt;=1,AMM34*BlendedProvPayEss+AMN34*BlendedProvPayPrem+AMO34*BlendedProvPayElite+AMP34*BlendedProvPayEss+AMQ34*BlendedProvPayPrem+AMR34*BlendedProvPayElite,AMM35*BlendedProvPayEss+AMN35*BlendedProvPayPrem+AMO35*BlendedProvPayElite+AMP35*BlendedProvPayEss+AMQ35*BlendedProvPayPrem+AMR35*BlendedProvPayElite)</f>
        <v/>
      </c>
      <c r="ANG35" s="12">
        <f>AMY35*PaymentFee</f>
        <v/>
      </c>
      <c r="ANH35" s="12">
        <f>AMS35*OpsAI</f>
        <v/>
      </c>
      <c r="ANI35" s="12">
        <f>MonthlyFixed</f>
        <v/>
      </c>
      <c r="ANJ35" s="12">
        <f>AMC35*ReferralReward</f>
        <v/>
      </c>
      <c r="ANK35" s="12">
        <f>AMA35</f>
        <v/>
      </c>
      <c r="ANL35" s="9">
        <f>ANB35-ANF35-ANG35-ANH35-ANI35-ANJ35-ANK35</f>
        <v/>
      </c>
      <c r="ANM35" s="9">
        <f>ANM34+AMY35-(ANF35+ANG35+ANH35+ANI35+ANJ35+ANK35+AND35)</f>
        <v/>
      </c>
      <c r="ANN35" s="12">
        <f>IF(AMS35&gt;0,AMT35/AMS35,0)</f>
        <v/>
      </c>
      <c r="ANO35" s="11">
        <f>IF(AMS34&gt;0,MAX(0,(AMS34+AMD35-AMS35)/AMS34),0)</f>
        <v/>
      </c>
      <c r="ANQ35" s="12" t="n">
        <v>31</v>
      </c>
      <c r="ANR35" s="12">
        <f>MOD(ANQ35-1+LaunchMonth-1,12)+1</f>
        <v/>
      </c>
      <c r="ANS35" s="12">
        <f>INT((ANQ35-1+LaunchMonth-1)/12)+1</f>
        <v/>
      </c>
      <c r="ANT35" s="12">
        <f>VLOOKUP(ANR35,SeasonTable,2,FALSE)</f>
        <v/>
      </c>
      <c r="ANU35" s="12">
        <f>(1+InflationRate)^INT((ANQ35-1)/12)</f>
        <v/>
      </c>
      <c r="ANV35" s="11">
        <f>MonthlyChurn*VLOOKUP(ANR35,ChurnSeasonTable,4,FALSE)</f>
        <v/>
      </c>
      <c r="ANW35" s="12">
        <f>MIN(MAX(MktMin19plus,AOU34*MktPct19plus),MAX(0,API34-CashBuffer))</f>
        <v/>
      </c>
      <c r="ANX35" s="12">
        <f>IF(ANW35&gt;0,MAX(1,ROUND(ANW35/'Sens - CAC &amp; Marketing'!$A$12*ANT35,0)),0)</f>
        <v/>
      </c>
      <c r="ANY35" s="12">
        <f>IF(ANX35&gt;0,ROUND(ANX35*ReferralMix/(1-ReferralMix),0),0)</f>
        <v/>
      </c>
      <c r="ANZ35" s="12">
        <f>ANX35+ANY35</f>
        <v/>
      </c>
      <c r="AOA35" s="12">
        <f>ROUND(ANZ35*(1-AnnualMix),0)</f>
        <v/>
      </c>
      <c r="AOB35" s="12">
        <f>ANZ35-AOA35</f>
        <v/>
      </c>
      <c r="AOC35" s="12">
        <f>ROUND(AOA35*EssentialMix,0)</f>
        <v/>
      </c>
      <c r="AOD35" s="12">
        <f>ROUND(AOA35*PremiumMix,0)</f>
        <v/>
      </c>
      <c r="AOE35" s="12">
        <f>AOA35-AOC35-AOD35</f>
        <v/>
      </c>
      <c r="AOF35" s="12">
        <f>ROUND(AOB35*EssentialMix,0)</f>
        <v/>
      </c>
      <c r="AOG35" s="12">
        <f>ROUND(AOB35*PremiumMix,0)</f>
        <v/>
      </c>
      <c r="AOH35" s="12">
        <f>AOB35-AOF35-AOG35</f>
        <v/>
      </c>
      <c r="AOI35" s="12">
        <f>AOC35+AOC34+AOC33+MAX(0,AOI34-AOC34-AOC33)*(1-ANV35)</f>
        <v/>
      </c>
      <c r="AOJ35" s="12">
        <f>AOD35+AOD34+AOD33+MAX(0,AOJ34-AOD34-AOD33)*(1-ANV35)</f>
        <v/>
      </c>
      <c r="AOK35" s="12">
        <f>AOE35+AOE34+AOE33+MAX(0,AOK34-AOE34-AOE33)*(1-ANV35)</f>
        <v/>
      </c>
      <c r="AOL35" s="12">
        <f>AOL34+AOF35-AOF23*(AnnualChurn*VLOOKUP(ANR35,ChurnSeasonTable,4,FALSE))*POWER(1-(AnnualChurn*VLOOKUP(ANR35,ChurnSeasonTable,4,FALSE)),0)+AOF11*(AnnualChurn*VLOOKUP(ANR35,ChurnSeasonTable,4,FALSE))*POWER(1-(AnnualChurn*VLOOKUP(ANR35,ChurnSeasonTable,4,FALSE)),1)</f>
        <v/>
      </c>
      <c r="AOM35" s="12">
        <f>AOM34+AOG35-AOG23*(AnnualChurn*VLOOKUP(ANR35,ChurnSeasonTable,4,FALSE))*POWER(1-(AnnualChurn*VLOOKUP(ANR35,ChurnSeasonTable,4,FALSE)),0)+AOG11*(AnnualChurn*VLOOKUP(ANR35,ChurnSeasonTable,4,FALSE))*POWER(1-(AnnualChurn*VLOOKUP(ANR35,ChurnSeasonTable,4,FALSE)),1)</f>
        <v/>
      </c>
      <c r="AON35" s="12">
        <f>AON34+AOH35-AOH23*(AnnualChurn*VLOOKUP(ANR35,ChurnSeasonTable,4,FALSE))*POWER(1-(AnnualChurn*VLOOKUP(ANR35,ChurnSeasonTable,4,FALSE)),0)+AOH11*(AnnualChurn*VLOOKUP(ANR35,ChurnSeasonTable,4,FALSE))*POWER(1-(AnnualChurn*VLOOKUP(ANR35,ChurnSeasonTable,4,FALSE)),1)</f>
        <v/>
      </c>
      <c r="AOO35" s="12">
        <f>AOI35+AOJ35+AOK35+AOL35+AOM35+AON35</f>
        <v/>
      </c>
      <c r="AOP35" s="9">
        <f>AOI35*BlendedPriceEssMonthly*ANU35+AOJ35*BlendedPricePremMonthly*ANU35+AOK35*BlendedPriceEliteMonthly*ANU35+AOL35*BlendedPriceEssAnnual*ANU35/12+AOM35*BlendedPricePremAnnual*ANU35/12+AON35*BlendedPriceEliteAnnual*ANU35/12</f>
        <v/>
      </c>
      <c r="AOQ35" s="9">
        <f>AOP35*12</f>
        <v/>
      </c>
      <c r="AOR35" s="12">
        <f>AOI35*BlendedPriceEssMonthly*ANU35+AOJ35*BlendedPricePremMonthly*ANU35+AOK35*BlendedPriceEliteMonthly*ANU35</f>
        <v/>
      </c>
      <c r="AOS35" s="12">
        <f>AOF35*BlendedPriceEssAnnual*ANU35+AOG35*BlendedPricePremAnnual*ANU35+AOH35*BlendedPriceEliteAnnual*ANU35</f>
        <v/>
      </c>
      <c r="AOT35" s="12">
        <f>AOF23*POWER(1-(AnnualChurn*VLOOKUP(ANR35,ChurnSeasonTable,4,FALSE)),1)*BlendedPriceEssAnnual*ANU35+AOF11*POWER(1-(AnnualChurn*VLOOKUP(ANR35,ChurnSeasonTable,4,FALSE)),2)*BlendedPriceEssAnnual*ANU35+AOG23*POWER(1-(AnnualChurn*VLOOKUP(ANR35,ChurnSeasonTable,4,FALSE)),1)*BlendedPricePremAnnual*ANU35+AOG11*POWER(1-(AnnualChurn*VLOOKUP(ANR35,ChurnSeasonTable,4,FALSE)),2)*BlendedPricePremAnnual*ANU35+AOH23*POWER(1-(AnnualChurn*VLOOKUP(ANR35,ChurnSeasonTable,4,FALSE)),1)*BlendedPriceEliteAnnual*ANU35+AOH11*POWER(1-(AnnualChurn*VLOOKUP(ANR35,ChurnSeasonTable,4,FALSE)),2)*BlendedPriceEliteAnnual*ANU35</f>
        <v/>
      </c>
      <c r="AOU35" s="9">
        <f>AOR35+AOS35+AOT35</f>
        <v/>
      </c>
      <c r="AOV35" s="12">
        <f>SUM(AOU24:AOU35)</f>
        <v/>
      </c>
      <c r="AOW35" s="12">
        <f>OR(AOW34,IF(VATAgentMode,SUM($AOU24:$AOU35)-SUM($APB24:$APB35)&gt;=VATThreshold,SUM($AOU24:$AOU35)&gt;=VATThreshold))</f>
        <v/>
      </c>
      <c r="AOX35" s="9">
        <f>IF(AOW35,IF(VATAgentMode,AOU35-((AOU35-APB35)-(AOU35-APB35)/(1+VATRate)),AOU35/(1+VATRate)),AOU35)</f>
        <v/>
      </c>
      <c r="AOY35" s="12">
        <f>AOU35-AOX35</f>
        <v/>
      </c>
      <c r="AOZ35" s="12">
        <f>IF(AOW35=0,0,IF(ANR35=1,SUMPRODUCT(--(($ANS$5:$ANS35=$ANS35-1)*($ANR$5:$ANR35&gt;=10)*($ANR$5:$ANR35&lt;=12)),$AOY$5:$AOY35),IF(ANR35=4,SUMPRODUCT(--(($ANS$5:$ANS35=$ANS35)*($ANR$5:$ANR35&gt;=1)*($ANR$5:$ANR35&lt;=3)),$AOY$5:$AOY35),IF(ANR35=7,SUMPRODUCT(--(($ANS$5:$ANS35=$ANS35)*($ANR$5:$ANR35&gt;=4)*($ANR$5:$ANR35&lt;=6)),$AOY$5:$AOY35),IF(ANR35=10,SUMPRODUCT(--(($ANS$5:$ANS35=$ANS35)*($ANR$5:$ANR35&gt;=7)*($ANR$5:$ANR35&lt;=9)),$AOY$5:$AOY35),0)))))</f>
        <v/>
      </c>
      <c r="APA35" s="12">
        <f>APA34+AOY35-AOZ35</f>
        <v/>
      </c>
      <c r="APB35" s="12">
        <f>IF(ProviderDelay&gt;=1,AOI34*BlendedProvPayEss+AOJ34*BlendedProvPayPrem+AOK34*BlendedProvPayElite+AOL34*BlendedProvPayEss+AOM34*BlendedProvPayPrem+AON34*BlendedProvPayElite,AOI35*BlendedProvPayEss+AOJ35*BlendedProvPayPrem+AOK35*BlendedProvPayElite+AOL35*BlendedProvPayEss+AOM35*BlendedProvPayPrem+AON35*BlendedProvPayElite)</f>
        <v/>
      </c>
      <c r="APC35" s="12">
        <f>AOU35*PaymentFee</f>
        <v/>
      </c>
      <c r="APD35" s="12">
        <f>AOO35*OpsAI</f>
        <v/>
      </c>
      <c r="APE35" s="12">
        <f>MonthlyFixed</f>
        <v/>
      </c>
      <c r="APF35" s="12">
        <f>ANY35*ReferralReward</f>
        <v/>
      </c>
      <c r="APG35" s="12">
        <f>ANW35</f>
        <v/>
      </c>
      <c r="APH35" s="9">
        <f>AOX35-APB35-APC35-APD35-APE35-APF35-APG35</f>
        <v/>
      </c>
      <c r="API35" s="9">
        <f>API34+AOU35-(APB35+APC35+APD35+APE35+APF35+APG35+AOZ35)</f>
        <v/>
      </c>
      <c r="APJ35" s="12">
        <f>IF(AOO35&gt;0,AOP35/AOO35,0)</f>
        <v/>
      </c>
      <c r="APK35" s="11">
        <f>IF(AOO34&gt;0,MAX(0,(AOO34+ANZ35-AOO35)/AOO34),0)</f>
        <v/>
      </c>
      <c r="APM35" s="12" t="n">
        <v>31</v>
      </c>
      <c r="APN35" s="12">
        <f>MOD(APM35-1+LaunchMonth-1,12)+1</f>
        <v/>
      </c>
      <c r="APO35" s="12">
        <f>INT((APM35-1+LaunchMonth-1)/12)+1</f>
        <v/>
      </c>
      <c r="APP35" s="12">
        <f>VLOOKUP(APN35,SeasonTable,2,FALSE)</f>
        <v/>
      </c>
      <c r="APQ35" s="12">
        <f>(1+InflationRate)^INT((APM35-1)/12)</f>
        <v/>
      </c>
      <c r="APR35" s="11">
        <f>MonthlyChurn*VLOOKUP(APN35,ChurnSeasonTable,4,FALSE)</f>
        <v/>
      </c>
      <c r="APS35" s="12">
        <f>MIN(MAX(MktMin19plus,AQQ34*MktPct19plus),MAX(0,ARE34-CashBuffer))</f>
        <v/>
      </c>
      <c r="APT35" s="12">
        <f>IF(APS35&gt;0,MAX(1,ROUND(APS35/'Sens - CAC &amp; Marketing'!$A$13*APP35,0)),0)</f>
        <v/>
      </c>
      <c r="APU35" s="12">
        <f>IF(APT35&gt;0,ROUND(APT35*ReferralMix/(1-ReferralMix),0),0)</f>
        <v/>
      </c>
      <c r="APV35" s="12">
        <f>APT35+APU35</f>
        <v/>
      </c>
      <c r="APW35" s="12">
        <f>ROUND(APV35*(1-AnnualMix),0)</f>
        <v/>
      </c>
      <c r="APX35" s="12">
        <f>APV35-APW35</f>
        <v/>
      </c>
      <c r="APY35" s="12">
        <f>ROUND(APW35*EssentialMix,0)</f>
        <v/>
      </c>
      <c r="APZ35" s="12">
        <f>ROUND(APW35*PremiumMix,0)</f>
        <v/>
      </c>
      <c r="AQA35" s="12">
        <f>APW35-APY35-APZ35</f>
        <v/>
      </c>
      <c r="AQB35" s="12">
        <f>ROUND(APX35*EssentialMix,0)</f>
        <v/>
      </c>
      <c r="AQC35" s="12">
        <f>ROUND(APX35*PremiumMix,0)</f>
        <v/>
      </c>
      <c r="AQD35" s="12">
        <f>APX35-AQB35-AQC35</f>
        <v/>
      </c>
      <c r="AQE35" s="12">
        <f>APY35+APY34+APY33+MAX(0,AQE34-APY34-APY33)*(1-APR35)</f>
        <v/>
      </c>
      <c r="AQF35" s="12">
        <f>APZ35+APZ34+APZ33+MAX(0,AQF34-APZ34-APZ33)*(1-APR35)</f>
        <v/>
      </c>
      <c r="AQG35" s="12">
        <f>AQA35+AQA34+AQA33+MAX(0,AQG34-AQA34-AQA33)*(1-APR35)</f>
        <v/>
      </c>
      <c r="AQH35" s="12">
        <f>AQH34+AQB35-AQB23*(AnnualChurn*VLOOKUP(APN35,ChurnSeasonTable,4,FALSE))*POWER(1-(AnnualChurn*VLOOKUP(APN35,ChurnSeasonTable,4,FALSE)),0)+AQB11*(AnnualChurn*VLOOKUP(APN35,ChurnSeasonTable,4,FALSE))*POWER(1-(AnnualChurn*VLOOKUP(APN35,ChurnSeasonTable,4,FALSE)),1)</f>
        <v/>
      </c>
      <c r="AQI35" s="12">
        <f>AQI34+AQC35-AQC23*(AnnualChurn*VLOOKUP(APN35,ChurnSeasonTable,4,FALSE))*POWER(1-(AnnualChurn*VLOOKUP(APN35,ChurnSeasonTable,4,FALSE)),0)+AQC11*(AnnualChurn*VLOOKUP(APN35,ChurnSeasonTable,4,FALSE))*POWER(1-(AnnualChurn*VLOOKUP(APN35,ChurnSeasonTable,4,FALSE)),1)</f>
        <v/>
      </c>
      <c r="AQJ35" s="12">
        <f>AQJ34+AQD35-AQD23*(AnnualChurn*VLOOKUP(APN35,ChurnSeasonTable,4,FALSE))*POWER(1-(AnnualChurn*VLOOKUP(APN35,ChurnSeasonTable,4,FALSE)),0)+AQD11*(AnnualChurn*VLOOKUP(APN35,ChurnSeasonTable,4,FALSE))*POWER(1-(AnnualChurn*VLOOKUP(APN35,ChurnSeasonTable,4,FALSE)),1)</f>
        <v/>
      </c>
      <c r="AQK35" s="12">
        <f>AQE35+AQF35+AQG35+AQH35+AQI35+AQJ35</f>
        <v/>
      </c>
      <c r="AQL35" s="9">
        <f>AQE35*BlendedPriceEssMonthly*APQ35+AQF35*BlendedPricePremMonthly*APQ35+AQG35*BlendedPriceEliteMonthly*APQ35+AQH35*BlendedPriceEssAnnual*APQ35/12+AQI35*BlendedPricePremAnnual*APQ35/12+AQJ35*BlendedPriceEliteAnnual*APQ35/12</f>
        <v/>
      </c>
      <c r="AQM35" s="9">
        <f>AQL35*12</f>
        <v/>
      </c>
      <c r="AQN35" s="12">
        <f>AQE35*BlendedPriceEssMonthly*APQ35+AQF35*BlendedPricePremMonthly*APQ35+AQG35*BlendedPriceEliteMonthly*APQ35</f>
        <v/>
      </c>
      <c r="AQO35" s="12">
        <f>AQB35*BlendedPriceEssAnnual*APQ35+AQC35*BlendedPricePremAnnual*APQ35+AQD35*BlendedPriceEliteAnnual*APQ35</f>
        <v/>
      </c>
      <c r="AQP35" s="12">
        <f>AQB23*POWER(1-(AnnualChurn*VLOOKUP(APN35,ChurnSeasonTable,4,FALSE)),1)*BlendedPriceEssAnnual*APQ35+AQB11*POWER(1-(AnnualChurn*VLOOKUP(APN35,ChurnSeasonTable,4,FALSE)),2)*BlendedPriceEssAnnual*APQ35+AQC23*POWER(1-(AnnualChurn*VLOOKUP(APN35,ChurnSeasonTable,4,FALSE)),1)*BlendedPricePremAnnual*APQ35+AQC11*POWER(1-(AnnualChurn*VLOOKUP(APN35,ChurnSeasonTable,4,FALSE)),2)*BlendedPricePremAnnual*APQ35+AQD23*POWER(1-(AnnualChurn*VLOOKUP(APN35,ChurnSeasonTable,4,FALSE)),1)*BlendedPriceEliteAnnual*APQ35+AQD11*POWER(1-(AnnualChurn*VLOOKUP(APN35,ChurnSeasonTable,4,FALSE)),2)*BlendedPriceEliteAnnual*APQ35</f>
        <v/>
      </c>
      <c r="AQQ35" s="9">
        <f>AQN35+AQO35+AQP35</f>
        <v/>
      </c>
      <c r="AQR35" s="12">
        <f>SUM(AQQ24:AQQ35)</f>
        <v/>
      </c>
      <c r="AQS35" s="12">
        <f>OR(AQS34,IF(VATAgentMode,SUM($AQQ24:$AQQ35)-SUM($AQX24:$AQX35)&gt;=VATThreshold,SUM($AQQ24:$AQQ35)&gt;=VATThreshold))</f>
        <v/>
      </c>
      <c r="AQT35" s="9">
        <f>IF(AQS35,IF(VATAgentMode,AQQ35-((AQQ35-AQX35)-(AQQ35-AQX35)/(1+VATRate)),AQQ35/(1+VATRate)),AQQ35)</f>
        <v/>
      </c>
      <c r="AQU35" s="12">
        <f>AQQ35-AQT35</f>
        <v/>
      </c>
      <c r="AQV35" s="12">
        <f>IF(AQS35=0,0,IF(APN35=1,SUMPRODUCT(--(($APO$5:$APO35=$APO35-1)*($APN$5:$APN35&gt;=10)*($APN$5:$APN35&lt;=12)),$AQU$5:$AQU35),IF(APN35=4,SUMPRODUCT(--(($APO$5:$APO35=$APO35)*($APN$5:$APN35&gt;=1)*($APN$5:$APN35&lt;=3)),$AQU$5:$AQU35),IF(APN35=7,SUMPRODUCT(--(($APO$5:$APO35=$APO35)*($APN$5:$APN35&gt;=4)*($APN$5:$APN35&lt;=6)),$AQU$5:$AQU35),IF(APN35=10,SUMPRODUCT(--(($APO$5:$APO35=$APO35)*($APN$5:$APN35&gt;=7)*($APN$5:$APN35&lt;=9)),$AQU$5:$AQU35),0)))))</f>
        <v/>
      </c>
      <c r="AQW35" s="12">
        <f>AQW34+AQU35-AQV35</f>
        <v/>
      </c>
      <c r="AQX35" s="12">
        <f>IF(ProviderDelay&gt;=1,AQE34*BlendedProvPayEss+AQF34*BlendedProvPayPrem+AQG34*BlendedProvPayElite+AQH34*BlendedProvPayEss+AQI34*BlendedProvPayPrem+AQJ34*BlendedProvPayElite,AQE35*BlendedProvPayEss+AQF35*BlendedProvPayPrem+AQG35*BlendedProvPayElite+AQH35*BlendedProvPayEss+AQI35*BlendedProvPayPrem+AQJ35*BlendedProvPayElite)</f>
        <v/>
      </c>
      <c r="AQY35" s="12">
        <f>AQQ35*PaymentFee</f>
        <v/>
      </c>
      <c r="AQZ35" s="12">
        <f>AQK35*OpsAI</f>
        <v/>
      </c>
      <c r="ARA35" s="12">
        <f>MonthlyFixed</f>
        <v/>
      </c>
      <c r="ARB35" s="12">
        <f>APU35*ReferralReward</f>
        <v/>
      </c>
      <c r="ARC35" s="12">
        <f>APS35</f>
        <v/>
      </c>
      <c r="ARD35" s="9">
        <f>AQT35-AQX35-AQY35-AQZ35-ARA35-ARB35-ARC35</f>
        <v/>
      </c>
      <c r="ARE35" s="9">
        <f>ARE34+AQQ35-(AQX35+AQY35+AQZ35+ARA35+ARB35+ARC35+AQV35)</f>
        <v/>
      </c>
      <c r="ARF35" s="12">
        <f>IF(AQK35&gt;0,AQL35/AQK35,0)</f>
        <v/>
      </c>
      <c r="ARG35" s="11">
        <f>IF(AQK34&gt;0,MAX(0,(AQK34+APV35-AQK35)/AQK34),0)</f>
        <v/>
      </c>
      <c r="ARI35" s="12" t="n">
        <v>31</v>
      </c>
      <c r="ARJ35" s="12">
        <f>MOD(ARI35-1+LaunchMonth-1,12)+1</f>
        <v/>
      </c>
      <c r="ARK35" s="12">
        <f>INT((ARI35-1+LaunchMonth-1)/12)+1</f>
        <v/>
      </c>
      <c r="ARL35" s="12">
        <f>VLOOKUP(ARJ35,SeasonTable,2,FALSE)</f>
        <v/>
      </c>
      <c r="ARM35" s="12">
        <f>(1+InflationRate)^INT((ARI35-1)/12)</f>
        <v/>
      </c>
      <c r="ARN35" s="11">
        <f>MonthlyChurn*VLOOKUP(ARJ35,ChurnSeasonTable,4,FALSE)</f>
        <v/>
      </c>
      <c r="ARO35" s="12">
        <f>MIN(MAX(MktMin19plus,ASM34*MktPct19plus),MAX(0,ATA34-CashBuffer))</f>
        <v/>
      </c>
      <c r="ARP35" s="12">
        <f>IF(ARO35&gt;0,MAX(1,ROUND(ARO35/'Sens - CAC &amp; Marketing'!$A$14*ARL35,0)),0)</f>
        <v/>
      </c>
      <c r="ARQ35" s="12">
        <f>IF(ARP35&gt;0,ROUND(ARP35*ReferralMix/(1-ReferralMix),0),0)</f>
        <v/>
      </c>
      <c r="ARR35" s="12">
        <f>ARP35+ARQ35</f>
        <v/>
      </c>
      <c r="ARS35" s="12">
        <f>ROUND(ARR35*(1-AnnualMix),0)</f>
        <v/>
      </c>
      <c r="ART35" s="12">
        <f>ARR35-ARS35</f>
        <v/>
      </c>
      <c r="ARU35" s="12">
        <f>ROUND(ARS35*EssentialMix,0)</f>
        <v/>
      </c>
      <c r="ARV35" s="12">
        <f>ROUND(ARS35*PremiumMix,0)</f>
        <v/>
      </c>
      <c r="ARW35" s="12">
        <f>ARS35-ARU35-ARV35</f>
        <v/>
      </c>
      <c r="ARX35" s="12">
        <f>ROUND(ART35*EssentialMix,0)</f>
        <v/>
      </c>
      <c r="ARY35" s="12">
        <f>ROUND(ART35*PremiumMix,0)</f>
        <v/>
      </c>
      <c r="ARZ35" s="12">
        <f>ART35-ARX35-ARY35</f>
        <v/>
      </c>
      <c r="ASA35" s="12">
        <f>ARU35+ARU34+ARU33+MAX(0,ASA34-ARU34-ARU33)*(1-ARN35)</f>
        <v/>
      </c>
      <c r="ASB35" s="12">
        <f>ARV35+ARV34+ARV33+MAX(0,ASB34-ARV34-ARV33)*(1-ARN35)</f>
        <v/>
      </c>
      <c r="ASC35" s="12">
        <f>ARW35+ARW34+ARW33+MAX(0,ASC34-ARW34-ARW33)*(1-ARN35)</f>
        <v/>
      </c>
      <c r="ASD35" s="12">
        <f>ASD34+ARX35-ARX23*(AnnualChurn*VLOOKUP(ARJ35,ChurnSeasonTable,4,FALSE))*POWER(1-(AnnualChurn*VLOOKUP(ARJ35,ChurnSeasonTable,4,FALSE)),0)+ARX11*(AnnualChurn*VLOOKUP(ARJ35,ChurnSeasonTable,4,FALSE))*POWER(1-(AnnualChurn*VLOOKUP(ARJ35,ChurnSeasonTable,4,FALSE)),1)</f>
        <v/>
      </c>
      <c r="ASE35" s="12">
        <f>ASE34+ARY35-ARY23*(AnnualChurn*VLOOKUP(ARJ35,ChurnSeasonTable,4,FALSE))*POWER(1-(AnnualChurn*VLOOKUP(ARJ35,ChurnSeasonTable,4,FALSE)),0)+ARY11*(AnnualChurn*VLOOKUP(ARJ35,ChurnSeasonTable,4,FALSE))*POWER(1-(AnnualChurn*VLOOKUP(ARJ35,ChurnSeasonTable,4,FALSE)),1)</f>
        <v/>
      </c>
      <c r="ASF35" s="12">
        <f>ASF34+ARZ35-ARZ23*(AnnualChurn*VLOOKUP(ARJ35,ChurnSeasonTable,4,FALSE))*POWER(1-(AnnualChurn*VLOOKUP(ARJ35,ChurnSeasonTable,4,FALSE)),0)+ARZ11*(AnnualChurn*VLOOKUP(ARJ35,ChurnSeasonTable,4,FALSE))*POWER(1-(AnnualChurn*VLOOKUP(ARJ35,ChurnSeasonTable,4,FALSE)),1)</f>
        <v/>
      </c>
      <c r="ASG35" s="12">
        <f>ASA35+ASB35+ASC35+ASD35+ASE35+ASF35</f>
        <v/>
      </c>
      <c r="ASH35" s="9">
        <f>ASA35*BlendedPriceEssMonthly*ARM35+ASB35*BlendedPricePremMonthly*ARM35+ASC35*BlendedPriceEliteMonthly*ARM35+ASD35*BlendedPriceEssAnnual*ARM35/12+ASE35*BlendedPricePremAnnual*ARM35/12+ASF35*BlendedPriceEliteAnnual*ARM35/12</f>
        <v/>
      </c>
      <c r="ASI35" s="9">
        <f>ASH35*12</f>
        <v/>
      </c>
      <c r="ASJ35" s="12">
        <f>ASA35*BlendedPriceEssMonthly*ARM35+ASB35*BlendedPricePremMonthly*ARM35+ASC35*BlendedPriceEliteMonthly*ARM35</f>
        <v/>
      </c>
      <c r="ASK35" s="12">
        <f>ARX35*BlendedPriceEssAnnual*ARM35+ARY35*BlendedPricePremAnnual*ARM35+ARZ35*BlendedPriceEliteAnnual*ARM35</f>
        <v/>
      </c>
      <c r="ASL35" s="12">
        <f>ARX23*POWER(1-(AnnualChurn*VLOOKUP(ARJ35,ChurnSeasonTable,4,FALSE)),1)*BlendedPriceEssAnnual*ARM35+ARX11*POWER(1-(AnnualChurn*VLOOKUP(ARJ35,ChurnSeasonTable,4,FALSE)),2)*BlendedPriceEssAnnual*ARM35+ARY23*POWER(1-(AnnualChurn*VLOOKUP(ARJ35,ChurnSeasonTable,4,FALSE)),1)*BlendedPricePremAnnual*ARM35+ARY11*POWER(1-(AnnualChurn*VLOOKUP(ARJ35,ChurnSeasonTable,4,FALSE)),2)*BlendedPricePremAnnual*ARM35+ARZ23*POWER(1-(AnnualChurn*VLOOKUP(ARJ35,ChurnSeasonTable,4,FALSE)),1)*BlendedPriceEliteAnnual*ARM35+ARZ11*POWER(1-(AnnualChurn*VLOOKUP(ARJ35,ChurnSeasonTable,4,FALSE)),2)*BlendedPriceEliteAnnual*ARM35</f>
        <v/>
      </c>
      <c r="ASM35" s="9">
        <f>ASJ35+ASK35+ASL35</f>
        <v/>
      </c>
      <c r="ASN35" s="12">
        <f>SUM(ASM24:ASM35)</f>
        <v/>
      </c>
      <c r="ASO35" s="12">
        <f>OR(ASO34,IF(VATAgentMode,SUM($ASM24:$ASM35)-SUM($AST24:$AST35)&gt;=VATThreshold,SUM($ASM24:$ASM35)&gt;=VATThreshold))</f>
        <v/>
      </c>
      <c r="ASP35" s="9">
        <f>IF(ASO35,IF(VATAgentMode,ASM35-((ASM35-AST35)-(ASM35-AST35)/(1+VATRate)),ASM35/(1+VATRate)),ASM35)</f>
        <v/>
      </c>
      <c r="ASQ35" s="12">
        <f>ASM35-ASP35</f>
        <v/>
      </c>
      <c r="ASR35" s="12">
        <f>IF(ASO35=0,0,IF(ARJ35=1,SUMPRODUCT(--(($ARK$5:$ARK35=$ARK35-1)*($ARJ$5:$ARJ35&gt;=10)*($ARJ$5:$ARJ35&lt;=12)),$ASQ$5:$ASQ35),IF(ARJ35=4,SUMPRODUCT(--(($ARK$5:$ARK35=$ARK35)*($ARJ$5:$ARJ35&gt;=1)*($ARJ$5:$ARJ35&lt;=3)),$ASQ$5:$ASQ35),IF(ARJ35=7,SUMPRODUCT(--(($ARK$5:$ARK35=$ARK35)*($ARJ$5:$ARJ35&gt;=4)*($ARJ$5:$ARJ35&lt;=6)),$ASQ$5:$ASQ35),IF(ARJ35=10,SUMPRODUCT(--(($ARK$5:$ARK35=$ARK35)*($ARJ$5:$ARJ35&gt;=7)*($ARJ$5:$ARJ35&lt;=9)),$ASQ$5:$ASQ35),0)))))</f>
        <v/>
      </c>
      <c r="ASS35" s="12">
        <f>ASS34+ASQ35-ASR35</f>
        <v/>
      </c>
      <c r="AST35" s="12">
        <f>IF(ProviderDelay&gt;=1,ASA34*BlendedProvPayEss+ASB34*BlendedProvPayPrem+ASC34*BlendedProvPayElite+ASD34*BlendedProvPayEss+ASE34*BlendedProvPayPrem+ASF34*BlendedProvPayElite,ASA35*BlendedProvPayEss+ASB35*BlendedProvPayPrem+ASC35*BlendedProvPayElite+ASD35*BlendedProvPayEss+ASE35*BlendedProvPayPrem+ASF35*BlendedProvPayElite)</f>
        <v/>
      </c>
      <c r="ASU35" s="12">
        <f>ASM35*PaymentFee</f>
        <v/>
      </c>
      <c r="ASV35" s="12">
        <f>ASG35*OpsAI</f>
        <v/>
      </c>
      <c r="ASW35" s="12">
        <f>MonthlyFixed</f>
        <v/>
      </c>
      <c r="ASX35" s="12">
        <f>ARQ35*ReferralReward</f>
        <v/>
      </c>
      <c r="ASY35" s="12">
        <f>ARO35</f>
        <v/>
      </c>
      <c r="ASZ35" s="9">
        <f>ASP35-AST35-ASU35-ASV35-ASW35-ASX35-ASY35</f>
        <v/>
      </c>
      <c r="ATA35" s="9">
        <f>ATA34+ASM35-(AST35+ASU35+ASV35+ASW35+ASX35+ASY35+ASR35)</f>
        <v/>
      </c>
      <c r="ATB35" s="12">
        <f>IF(ASG35&gt;0,ASH35/ASG35,0)</f>
        <v/>
      </c>
      <c r="ATC35" s="11">
        <f>IF(ASG34&gt;0,MAX(0,(ASG34+ARR35-ASG35)/ASG34),0)</f>
        <v/>
      </c>
      <c r="ATE35" s="12" t="n">
        <v>31</v>
      </c>
      <c r="ATF35" s="12">
        <f>MOD(ATE35-1+LaunchMonth-1,12)+1</f>
        <v/>
      </c>
      <c r="ATG35" s="12">
        <f>INT((ATE35-1+LaunchMonth-1)/12)+1</f>
        <v/>
      </c>
      <c r="ATH35" s="12">
        <f>VLOOKUP(ATF35,SeasonTable,2,FALSE)</f>
        <v/>
      </c>
      <c r="ATI35" s="12">
        <f>(1+InflationRate)^INT((ATE35-1)/12)</f>
        <v/>
      </c>
      <c r="ATJ35" s="11">
        <f>MonthlyChurn*VLOOKUP(ATF35,ChurnSeasonTable,4,FALSE)</f>
        <v/>
      </c>
      <c r="ATK35" s="12">
        <f>MIN(MAX(MktMin19plus,AUI34*MktPct19plus),MAX(0,AUW34-CashBuffer))</f>
        <v/>
      </c>
      <c r="ATL35" s="12">
        <f>IF(ATK35&gt;0,MAX(1,ROUND(ATK35/'Sens - CAC &amp; Marketing'!$A$15*ATH35,0)),0)</f>
        <v/>
      </c>
      <c r="ATM35" s="12">
        <f>IF(ATL35&gt;0,ROUND(ATL35*ReferralMix/(1-ReferralMix),0),0)</f>
        <v/>
      </c>
      <c r="ATN35" s="12">
        <f>ATL35+ATM35</f>
        <v/>
      </c>
      <c r="ATO35" s="12">
        <f>ROUND(ATN35*(1-AnnualMix),0)</f>
        <v/>
      </c>
      <c r="ATP35" s="12">
        <f>ATN35-ATO35</f>
        <v/>
      </c>
      <c r="ATQ35" s="12">
        <f>ROUND(ATO35*EssentialMix,0)</f>
        <v/>
      </c>
      <c r="ATR35" s="12">
        <f>ROUND(ATO35*PremiumMix,0)</f>
        <v/>
      </c>
      <c r="ATS35" s="12">
        <f>ATO35-ATQ35-ATR35</f>
        <v/>
      </c>
      <c r="ATT35" s="12">
        <f>ROUND(ATP35*EssentialMix,0)</f>
        <v/>
      </c>
      <c r="ATU35" s="12">
        <f>ROUND(ATP35*PremiumMix,0)</f>
        <v/>
      </c>
      <c r="ATV35" s="12">
        <f>ATP35-ATT35-ATU35</f>
        <v/>
      </c>
      <c r="ATW35" s="12">
        <f>ATQ35+ATQ34+ATQ33+MAX(0,ATW34-ATQ34-ATQ33)*(1-ATJ35)</f>
        <v/>
      </c>
      <c r="ATX35" s="12">
        <f>ATR35+ATR34+ATR33+MAX(0,ATX34-ATR34-ATR33)*(1-ATJ35)</f>
        <v/>
      </c>
      <c r="ATY35" s="12">
        <f>ATS35+ATS34+ATS33+MAX(0,ATY34-ATS34-ATS33)*(1-ATJ35)</f>
        <v/>
      </c>
      <c r="ATZ35" s="12">
        <f>ATZ34+ATT35-ATT23*(AnnualChurn*VLOOKUP(ATF35,ChurnSeasonTable,4,FALSE))*POWER(1-(AnnualChurn*VLOOKUP(ATF35,ChurnSeasonTable,4,FALSE)),0)+ATT11*(AnnualChurn*VLOOKUP(ATF35,ChurnSeasonTable,4,FALSE))*POWER(1-(AnnualChurn*VLOOKUP(ATF35,ChurnSeasonTable,4,FALSE)),1)</f>
        <v/>
      </c>
      <c r="AUA35" s="12">
        <f>AUA34+ATU35-ATU23*(AnnualChurn*VLOOKUP(ATF35,ChurnSeasonTable,4,FALSE))*POWER(1-(AnnualChurn*VLOOKUP(ATF35,ChurnSeasonTable,4,FALSE)),0)+ATU11*(AnnualChurn*VLOOKUP(ATF35,ChurnSeasonTable,4,FALSE))*POWER(1-(AnnualChurn*VLOOKUP(ATF35,ChurnSeasonTable,4,FALSE)),1)</f>
        <v/>
      </c>
      <c r="AUB35" s="12">
        <f>AUB34+ATV35-ATV23*(AnnualChurn*VLOOKUP(ATF35,ChurnSeasonTable,4,FALSE))*POWER(1-(AnnualChurn*VLOOKUP(ATF35,ChurnSeasonTable,4,FALSE)),0)+ATV11*(AnnualChurn*VLOOKUP(ATF35,ChurnSeasonTable,4,FALSE))*POWER(1-(AnnualChurn*VLOOKUP(ATF35,ChurnSeasonTable,4,FALSE)),1)</f>
        <v/>
      </c>
      <c r="AUC35" s="12">
        <f>ATW35+ATX35+ATY35+ATZ35+AUA35+AUB35</f>
        <v/>
      </c>
      <c r="AUD35" s="9">
        <f>ATW35*BlendedPriceEssMonthly*ATI35+ATX35*BlendedPricePremMonthly*ATI35+ATY35*BlendedPriceEliteMonthly*ATI35+ATZ35*BlendedPriceEssAnnual*ATI35/12+AUA35*BlendedPricePremAnnual*ATI35/12+AUB35*BlendedPriceEliteAnnual*ATI35/12</f>
        <v/>
      </c>
      <c r="AUE35" s="9">
        <f>AUD35*12</f>
        <v/>
      </c>
      <c r="AUF35" s="12">
        <f>ATW35*BlendedPriceEssMonthly*ATI35+ATX35*BlendedPricePremMonthly*ATI35+ATY35*BlendedPriceEliteMonthly*ATI35</f>
        <v/>
      </c>
      <c r="AUG35" s="12">
        <f>ATT35*BlendedPriceEssAnnual*ATI35+ATU35*BlendedPricePremAnnual*ATI35+ATV35*BlendedPriceEliteAnnual*ATI35</f>
        <v/>
      </c>
      <c r="AUH35" s="12">
        <f>ATT23*POWER(1-(AnnualChurn*VLOOKUP(ATF35,ChurnSeasonTable,4,FALSE)),1)*BlendedPriceEssAnnual*ATI35+ATT11*POWER(1-(AnnualChurn*VLOOKUP(ATF35,ChurnSeasonTable,4,FALSE)),2)*BlendedPriceEssAnnual*ATI35+ATU23*POWER(1-(AnnualChurn*VLOOKUP(ATF35,ChurnSeasonTable,4,FALSE)),1)*BlendedPricePremAnnual*ATI35+ATU11*POWER(1-(AnnualChurn*VLOOKUP(ATF35,ChurnSeasonTable,4,FALSE)),2)*BlendedPricePremAnnual*ATI35+ATV23*POWER(1-(AnnualChurn*VLOOKUP(ATF35,ChurnSeasonTable,4,FALSE)),1)*BlendedPriceEliteAnnual*ATI35+ATV11*POWER(1-(AnnualChurn*VLOOKUP(ATF35,ChurnSeasonTable,4,FALSE)),2)*BlendedPriceEliteAnnual*ATI35</f>
        <v/>
      </c>
      <c r="AUI35" s="9">
        <f>AUF35+AUG35+AUH35</f>
        <v/>
      </c>
      <c r="AUJ35" s="12">
        <f>SUM(AUI24:AUI35)</f>
        <v/>
      </c>
      <c r="AUK35" s="12">
        <f>OR(AUK34,IF(VATAgentMode,SUM($AUI24:$AUI35)-SUM($AUP24:$AUP35)&gt;=VATThreshold,SUM($AUI24:$AUI35)&gt;=VATThreshold))</f>
        <v/>
      </c>
      <c r="AUL35" s="9">
        <f>IF(AUK35,IF(VATAgentMode,AUI35-((AUI35-AUP35)-(AUI35-AUP35)/(1+VATRate)),AUI35/(1+VATRate)),AUI35)</f>
        <v/>
      </c>
      <c r="AUM35" s="12">
        <f>AUI35-AUL35</f>
        <v/>
      </c>
      <c r="AUN35" s="12">
        <f>IF(AUK35=0,0,IF(ATF35=1,SUMPRODUCT(--(($ATG$5:$ATG35=$ATG35-1)*($ATF$5:$ATF35&gt;=10)*($ATF$5:$ATF35&lt;=12)),$AUM$5:$AUM35),IF(ATF35=4,SUMPRODUCT(--(($ATG$5:$ATG35=$ATG35)*($ATF$5:$ATF35&gt;=1)*($ATF$5:$ATF35&lt;=3)),$AUM$5:$AUM35),IF(ATF35=7,SUMPRODUCT(--(($ATG$5:$ATG35=$ATG35)*($ATF$5:$ATF35&gt;=4)*($ATF$5:$ATF35&lt;=6)),$AUM$5:$AUM35),IF(ATF35=10,SUMPRODUCT(--(($ATG$5:$ATG35=$ATG35)*($ATF$5:$ATF35&gt;=7)*($ATF$5:$ATF35&lt;=9)),$AUM$5:$AUM35),0)))))</f>
        <v/>
      </c>
      <c r="AUO35" s="12">
        <f>AUO34+AUM35-AUN35</f>
        <v/>
      </c>
      <c r="AUP35" s="12">
        <f>IF(ProviderDelay&gt;=1,ATW34*BlendedProvPayEss+ATX34*BlendedProvPayPrem+ATY34*BlendedProvPayElite+ATZ34*BlendedProvPayEss+AUA34*BlendedProvPayPrem+AUB34*BlendedProvPayElite,ATW35*BlendedProvPayEss+ATX35*BlendedProvPayPrem+ATY35*BlendedProvPayElite+ATZ35*BlendedProvPayEss+AUA35*BlendedProvPayPrem+AUB35*BlendedProvPayElite)</f>
        <v/>
      </c>
      <c r="AUQ35" s="12">
        <f>AUI35*PaymentFee</f>
        <v/>
      </c>
      <c r="AUR35" s="12">
        <f>AUC35*OpsAI</f>
        <v/>
      </c>
      <c r="AUS35" s="12">
        <f>MonthlyFixed</f>
        <v/>
      </c>
      <c r="AUT35" s="12">
        <f>ATM35*ReferralReward</f>
        <v/>
      </c>
      <c r="AUU35" s="12">
        <f>ATK35</f>
        <v/>
      </c>
      <c r="AUV35" s="9">
        <f>AUL35-AUP35-AUQ35-AUR35-AUS35-AUT35-AUU35</f>
        <v/>
      </c>
      <c r="AUW35" s="9">
        <f>AUW34+AUI35-(AUP35+AUQ35+AUR35+AUS35+AUT35+AUU35+AUN35)</f>
        <v/>
      </c>
      <c r="AUX35" s="12">
        <f>IF(AUC35&gt;0,AUD35/AUC35,0)</f>
        <v/>
      </c>
      <c r="AUY35" s="11">
        <f>IF(AUC34&gt;0,MAX(0,(AUC34+ATN35-AUC35)/AUC34),0)</f>
        <v/>
      </c>
      <c r="AVA35" s="12" t="n">
        <v>31</v>
      </c>
      <c r="AVB35" s="12">
        <f>MOD(AVA35-1+LaunchMonth-1,12)+1</f>
        <v/>
      </c>
      <c r="AVC35" s="12">
        <f>INT((AVA35-1+LaunchMonth-1)/12)+1</f>
        <v/>
      </c>
      <c r="AVD35" s="12">
        <f>VLOOKUP(AVB35,WinterPivotSeasonTable,5,FALSE)</f>
        <v/>
      </c>
      <c r="AVE35" s="12">
        <f>(1+InflationRate)^INT((AVA35-1)/12)</f>
        <v/>
      </c>
      <c r="AVF35" s="11">
        <f>MonthlyChurn*VLOOKUP(AVB35,WinterPivotChurnTable,6,FALSE)</f>
        <v/>
      </c>
      <c r="AVG35" s="12">
        <f>MIN(MAX(MktMin19plus,AWE34*MktPct19plus),MAX(0,AWS34-CashBuffer))</f>
        <v/>
      </c>
      <c r="AVH35" s="12">
        <f>IF(AVG35&gt;0,MAX(1,ROUND(AVG35/CAC*AVD35,0)),0)</f>
        <v/>
      </c>
      <c r="AVI35" s="12">
        <f>IF(AVH35&gt;0,ROUND(AVH35*ReferralMix/(1-ReferralMix),0),0)</f>
        <v/>
      </c>
      <c r="AVJ35" s="12">
        <f>AVH35+AVI35</f>
        <v/>
      </c>
      <c r="AVK35" s="12">
        <f>ROUND(AVJ35*(1-AnnualMix),0)</f>
        <v/>
      </c>
      <c r="AVL35" s="12">
        <f>AVJ35-AVK35</f>
        <v/>
      </c>
      <c r="AVM35" s="12">
        <f>ROUND(AVK35*'Sens - Winter Pivot'!$B$6,0)</f>
        <v/>
      </c>
      <c r="AVN35" s="12">
        <f>ROUND(AVK35*PremiumMix,0)</f>
        <v/>
      </c>
      <c r="AVO35" s="12">
        <f>AVK35-AVM35-AVN35</f>
        <v/>
      </c>
      <c r="AVP35" s="12">
        <f>ROUND(AVL35*'Sens - Winter Pivot'!$B$6,0)</f>
        <v/>
      </c>
      <c r="AVQ35" s="12">
        <f>ROUND(AVL35*PremiumMix,0)</f>
        <v/>
      </c>
      <c r="AVR35" s="12">
        <f>AVL35-AVP35-AVQ35</f>
        <v/>
      </c>
      <c r="AVS35" s="12">
        <f>AVM35+AVM34+AVM33+MAX(0,AVS34-AVM34-AVM33)*(1-AVF35)</f>
        <v/>
      </c>
      <c r="AVT35" s="12">
        <f>AVN35+AVN34+AVN33+MAX(0,AVT34-AVN34-AVN33)*(1-AVF35)</f>
        <v/>
      </c>
      <c r="AVU35" s="12">
        <f>AVO35+AVO34+AVO33+MAX(0,AVU34-AVO34-AVO33)*(1-AVF35)</f>
        <v/>
      </c>
      <c r="AVV35" s="12">
        <f>AVV34+AVP35-AVP23*(AnnualChurn*VLOOKUP(AVB35,ChurnSeasonTable,4,FALSE))*POWER(1-(AnnualChurn*VLOOKUP(AVB35,ChurnSeasonTable,4,FALSE)),0)+AVP11*(AnnualChurn*VLOOKUP(AVB35,ChurnSeasonTable,4,FALSE))*POWER(1-(AnnualChurn*VLOOKUP(AVB35,ChurnSeasonTable,4,FALSE)),1)</f>
        <v/>
      </c>
      <c r="AVW35" s="12">
        <f>AVW34+AVQ35-AVQ23*(AnnualChurn*VLOOKUP(AVB35,ChurnSeasonTable,4,FALSE))*POWER(1-(AnnualChurn*VLOOKUP(AVB35,ChurnSeasonTable,4,FALSE)),0)+AVQ11*(AnnualChurn*VLOOKUP(AVB35,ChurnSeasonTable,4,FALSE))*POWER(1-(AnnualChurn*VLOOKUP(AVB35,ChurnSeasonTable,4,FALSE)),1)</f>
        <v/>
      </c>
      <c r="AVX35" s="12">
        <f>AVX34+AVR35-AVR23*(AnnualChurn*VLOOKUP(AVB35,ChurnSeasonTable,4,FALSE))*POWER(1-(AnnualChurn*VLOOKUP(AVB35,ChurnSeasonTable,4,FALSE)),0)+AVR11*(AnnualChurn*VLOOKUP(AVB35,ChurnSeasonTable,4,FALSE))*POWER(1-(AnnualChurn*VLOOKUP(AVB35,ChurnSeasonTable,4,FALSE)),1)</f>
        <v/>
      </c>
      <c r="AVY35" s="12">
        <f>AVS35+AVT35+AVU35+AVV35+AVW35+AVX35</f>
        <v/>
      </c>
      <c r="AVZ35" s="9">
        <f>AVS35*BlendedPriceEssMonthly*AVE35+AVT35*(BlendedPricePremMonthly+'Sens - Winter Pivot'!$B$7)*AVE35+AVU35*BlendedPriceEliteMonthly*AVE35+AVV35*BlendedPriceEssAnnual*AVE35/12+AVW35*(BlendedPricePremAnnual+'Sens - Winter Pivot'!$B$7*12)*AVE35/12+AVX35*BlendedPriceEliteAnnual*AVE35/12</f>
        <v/>
      </c>
      <c r="AWA35" s="9">
        <f>AVZ35*12</f>
        <v/>
      </c>
      <c r="AWB35" s="12">
        <f>AVS35*BlendedPriceEssMonthly*AVE35+AVT35*(BlendedPricePremMonthly+'Sens - Winter Pivot'!$B$7)*AVE35+AVU35*BlendedPriceEliteMonthly*AVE35</f>
        <v/>
      </c>
      <c r="AWC35" s="12">
        <f>AVP35*BlendedPriceEssAnnual*AVE35+AVQ35*(BlendedPricePremAnnual+'Sens - Winter Pivot'!$B$7*12)*AVE35+AVR35*BlendedPriceEliteAnnual*AVE35</f>
        <v/>
      </c>
      <c r="AWD35" s="12">
        <f>AVP23*POWER(1-(AnnualChurn*VLOOKUP(AVB35,ChurnSeasonTable,4,FALSE)),1)*BlendedPriceEssAnnual*AVE35+AVP11*POWER(1-(AnnualChurn*VLOOKUP(AVB35,ChurnSeasonTable,4,FALSE)),2)*BlendedPriceEssAnnual*AVE35+AVQ23*POWER(1-(AnnualChurn*VLOOKUP(AVB35,ChurnSeasonTable,4,FALSE)),1)*BlendedPricePremAnnual*AVE35+AVQ11*POWER(1-(AnnualChurn*VLOOKUP(AVB35,ChurnSeasonTable,4,FALSE)),2)*BlendedPricePremAnnual*AVE35+AVR23*POWER(1-(AnnualChurn*VLOOKUP(AVB35,ChurnSeasonTable,4,FALSE)),1)*BlendedPriceEliteAnnual*AVE35+AVR11*POWER(1-(AnnualChurn*VLOOKUP(AVB35,ChurnSeasonTable,4,FALSE)),2)*BlendedPriceEliteAnnual*AVE35</f>
        <v/>
      </c>
      <c r="AWE35" s="9">
        <f>AWB35+AWC35+AWD35</f>
        <v/>
      </c>
      <c r="AWF35" s="12">
        <f>SUM(AWE24:AWE35)</f>
        <v/>
      </c>
      <c r="AWG35" s="12">
        <f>OR(AWG34,IF(VATAgentMode,SUM($AWE24:$AWE35)-SUM($AWL24:$AWL35)&gt;=VATThreshold,SUM($AWE24:$AWE35)&gt;=VATThreshold))</f>
        <v/>
      </c>
      <c r="AWH35" s="9">
        <f>IF(AWG35,IF(VATAgentMode,AWE35-((AWE35-AWL35)-(AWE35-AWL35)/(1+VATRate)),AWE35/(1+VATRate)),AWE35)</f>
        <v/>
      </c>
      <c r="AWI35" s="12">
        <f>AWE35-AWH35</f>
        <v/>
      </c>
      <c r="AWJ35" s="12">
        <f>IF(AWG35=0,0,IF(AVB35=1,SUMPRODUCT(--(($AVC$5:$AVC35=$AVC35-1)*($AVB$5:$AVB35&gt;=10)*($AVB$5:$AVB35&lt;=12)),$AWI$5:$AWI35),IF(AVB35=4,SUMPRODUCT(--(($AVC$5:$AVC35=$AVC35)*($AVB$5:$AVB35&gt;=1)*($AVB$5:$AVB35&lt;=3)),$AWI$5:$AWI35),IF(AVB35=7,SUMPRODUCT(--(($AVC$5:$AVC35=$AVC35)*($AVB$5:$AVB35&gt;=4)*($AVB$5:$AVB35&lt;=6)),$AWI$5:$AWI35),IF(AVB35=10,SUMPRODUCT(--(($AVC$5:$AVC35=$AVC35)*($AVB$5:$AVB35&gt;=7)*($AVB$5:$AVB35&lt;=9)),$AWI$5:$AWI35),0)))))</f>
        <v/>
      </c>
      <c r="AWK35" s="12">
        <f>AWK34+AWI35-AWJ35</f>
        <v/>
      </c>
      <c r="AWL35" s="12">
        <f>IF(ProviderDelay&gt;=1,AVS34*BlendedProvPayEss+AVT34*BlendedProvPayPrem+AVU34*BlendedProvPayElite+AVV34*BlendedProvPayEss+AVW34*BlendedProvPayPrem+AVX34*BlendedProvPayElite,AVS35*BlendedProvPayEss+AVT35*BlendedProvPayPrem+AVU35*BlendedProvPayElite+AVV35*BlendedProvPayEss+AVW35*BlendedProvPayPrem+AVX35*BlendedProvPayElite)</f>
        <v/>
      </c>
      <c r="AWM35" s="12">
        <f>AWE35*PaymentFee</f>
        <v/>
      </c>
      <c r="AWN35" s="12">
        <f>AVY35*OpsAI</f>
        <v/>
      </c>
      <c r="AWO35" s="12">
        <f>MonthlyFixed</f>
        <v/>
      </c>
      <c r="AWP35" s="12">
        <f>AVI35*ReferralReward</f>
        <v/>
      </c>
      <c r="AWQ35" s="12">
        <f>AVG35</f>
        <v/>
      </c>
      <c r="AWR35" s="9">
        <f>AWH35-AWL35-AWM35-AWN35-AWO35-AWP35-AWQ35</f>
        <v/>
      </c>
      <c r="AWS35" s="9">
        <f>AWS34+AWE35-(AWL35+AWM35+AWN35+AWO35+AWP35+AWQ35+AWJ35)</f>
        <v/>
      </c>
      <c r="AWT35" s="12">
        <f>IF(AVY35&gt;0,AVZ35/AVY35,0)</f>
        <v/>
      </c>
      <c r="AWU35" s="11">
        <f>IF(AVY34&gt;0,MAX(0,(AVY34+AVJ35-AVY35)/AVY34),0)</f>
        <v/>
      </c>
    </row>
    <row r="36">
      <c r="A36" s="12" t="n">
        <v>32</v>
      </c>
      <c r="B36" s="12">
        <f>MOD(A36-1+LaunchMonth-1,12)+1</f>
        <v/>
      </c>
      <c r="C36" s="12">
        <f>INT((A36-1+LaunchMonth-1)/12)+1</f>
        <v/>
      </c>
      <c r="D36" s="12">
        <f>VLOOKUP(B36,SeasonTable,2,FALSE)</f>
        <v/>
      </c>
      <c r="E36" s="12">
        <f>(1+InflationRate)^INT((A36-1)/12)</f>
        <v/>
      </c>
      <c r="F36" s="11">
        <f>'Sens - Scenarios'!$B$5*VLOOKUP(B36,ChurnSeasonTable,4,FALSE)</f>
        <v/>
      </c>
      <c r="G36" s="12">
        <f>MIN(MAX(MktMin19plus,AE35*MktPct19plus),MAX(0,AS35-CashBuffer))</f>
        <v/>
      </c>
      <c r="H36" s="12">
        <f>IF(G36&gt;0,MAX(1,ROUND(G36/'Sens - Scenarios'!$B$8*D36,0)),0)</f>
        <v/>
      </c>
      <c r="I36" s="12">
        <f>IF(H36&gt;0,ROUND(H36*ReferralMix/(1-ReferralMix),0),0)</f>
        <v/>
      </c>
      <c r="J36" s="12">
        <f>H36+I36</f>
        <v/>
      </c>
      <c r="K36" s="12">
        <f>ROUND(J36*(1-'Sens - Scenarios'!$B$7),0)</f>
        <v/>
      </c>
      <c r="L36" s="12">
        <f>J36-K36</f>
        <v/>
      </c>
      <c r="M36" s="12">
        <f>ROUND(K36*EssentialMix,0)</f>
        <v/>
      </c>
      <c r="N36" s="12">
        <f>ROUND(K36*PremiumMix,0)</f>
        <v/>
      </c>
      <c r="O36" s="12">
        <f>K36-M36-N36</f>
        <v/>
      </c>
      <c r="P36" s="12">
        <f>ROUND(L36*EssentialMix,0)</f>
        <v/>
      </c>
      <c r="Q36" s="12">
        <f>ROUND(L36*PremiumMix,0)</f>
        <v/>
      </c>
      <c r="R36" s="12">
        <f>L36-P36-Q36</f>
        <v/>
      </c>
      <c r="S36" s="12">
        <f>M36+M35+M34+MAX(0,S35-M35-M34)*(1-F36)</f>
        <v/>
      </c>
      <c r="T36" s="12">
        <f>N36+N35+N34+MAX(0,T35-N35-N34)*(1-F36)</f>
        <v/>
      </c>
      <c r="U36" s="12">
        <f>O36+O35+O34+MAX(0,U35-O35-O34)*(1-F36)</f>
        <v/>
      </c>
      <c r="V36" s="12">
        <f>V35+P36-P24*('Sens - Scenarios'!$B$6*VLOOKUP(B36,ChurnSeasonTable,4,FALSE))*POWER(1-('Sens - Scenarios'!$B$6*VLOOKUP(B36,ChurnSeasonTable,4,FALSE)),0)+P12*('Sens - Scenarios'!$B$6*VLOOKUP(B36,ChurnSeasonTable,4,FALSE))*POWER(1-('Sens - Scenarios'!$B$6*VLOOKUP(B36,ChurnSeasonTable,4,FALSE)),1)</f>
        <v/>
      </c>
      <c r="W36" s="12">
        <f>W35+Q36-Q24*('Sens - Scenarios'!$B$6*VLOOKUP(B36,ChurnSeasonTable,4,FALSE))*POWER(1-('Sens - Scenarios'!$B$6*VLOOKUP(B36,ChurnSeasonTable,4,FALSE)),0)+Q12*('Sens - Scenarios'!$B$6*VLOOKUP(B36,ChurnSeasonTable,4,FALSE))*POWER(1-('Sens - Scenarios'!$B$6*VLOOKUP(B36,ChurnSeasonTable,4,FALSE)),1)</f>
        <v/>
      </c>
      <c r="X36" s="12">
        <f>X35+R36-R24*('Sens - Scenarios'!$B$6*VLOOKUP(B36,ChurnSeasonTable,4,FALSE))*POWER(1-('Sens - Scenarios'!$B$6*VLOOKUP(B36,ChurnSeasonTable,4,FALSE)),0)+R12*('Sens - Scenarios'!$B$6*VLOOKUP(B36,ChurnSeasonTable,4,FALSE))*POWER(1-('Sens - Scenarios'!$B$6*VLOOKUP(B36,ChurnSeasonTable,4,FALSE)),1)</f>
        <v/>
      </c>
      <c r="Y36" s="12">
        <f>S36+T36+U36+V36+W36+X36</f>
        <v/>
      </c>
      <c r="Z36" s="9">
        <f>S36*BlendedPriceEssMonthly*E36+T36*BlendedPricePremMonthly*E36+U36*BlendedPriceEliteMonthly*E36+V36*BlendedPriceEssAnnual*E36/12+W36*BlendedPricePremAnnual*E36/12+X36*BlendedPriceEliteAnnual*E36/12</f>
        <v/>
      </c>
      <c r="AA36" s="9">
        <f>Z36*12</f>
        <v/>
      </c>
      <c r="AB36" s="12">
        <f>S36*BlendedPriceEssMonthly*E36+T36*BlendedPricePremMonthly*E36+U36*BlendedPriceEliteMonthly*E36</f>
        <v/>
      </c>
      <c r="AC36" s="12">
        <f>P36*BlendedPriceEssAnnual*E36+Q36*BlendedPricePremAnnual*E36+R36*BlendedPriceEliteAnnual*E36</f>
        <v/>
      </c>
      <c r="AD36" s="12">
        <f>P24*POWER(1-('Sens - Scenarios'!$B$6*VLOOKUP(B36,ChurnSeasonTable,4,FALSE)),1)*BlendedPriceEssAnnual*E36+P12*POWER(1-('Sens - Scenarios'!$B$6*VLOOKUP(B36,ChurnSeasonTable,4,FALSE)),2)*BlendedPriceEssAnnual*E36+Q24*POWER(1-('Sens - Scenarios'!$B$6*VLOOKUP(B36,ChurnSeasonTable,4,FALSE)),1)*BlendedPricePremAnnual*E36+Q12*POWER(1-('Sens - Scenarios'!$B$6*VLOOKUP(B36,ChurnSeasonTable,4,FALSE)),2)*BlendedPricePremAnnual*E36+R24*POWER(1-('Sens - Scenarios'!$B$6*VLOOKUP(B36,ChurnSeasonTable,4,FALSE)),1)*BlendedPriceEliteAnnual*E36+R12*POWER(1-('Sens - Scenarios'!$B$6*VLOOKUP(B36,ChurnSeasonTable,4,FALSE)),2)*BlendedPriceEliteAnnual*E36</f>
        <v/>
      </c>
      <c r="AE36" s="9">
        <f>AB36+AC36+AD36</f>
        <v/>
      </c>
      <c r="AF36" s="12">
        <f>SUM(AE25:AE36)</f>
        <v/>
      </c>
      <c r="AG36" s="12">
        <f>OR(AG35,IF(VATAgentMode,SUM($AE25:$AE36)-SUM($AL25:$AL36)&gt;=VATThreshold,SUM($AE25:$AE36)&gt;=VATThreshold))</f>
        <v/>
      </c>
      <c r="AH36" s="9">
        <f>IF(AG36,IF(VATAgentMode,AE36-((AE36-AL36)-(AE36-AL36)/(1+VATRate)),AE36/(1+VATRate)),AE36)</f>
        <v/>
      </c>
      <c r="AI36" s="12">
        <f>AE36-AH36</f>
        <v/>
      </c>
      <c r="AJ36" s="12">
        <f>IF(AG36=0,0,IF(B36=1,SUMPRODUCT(--(($C$5:$C36=$C36-1)*($B$5:$B36&gt;=10)*($B$5:$B36&lt;=12)),$AI$5:$AI36),IF(B36=4,SUMPRODUCT(--(($C$5:$C36=$C36)*($B$5:$B36&gt;=1)*($B$5:$B36&lt;=3)),$AI$5:$AI36),IF(B36=7,SUMPRODUCT(--(($C$5:$C36=$C36)*($B$5:$B36&gt;=4)*($B$5:$B36&lt;=6)),$AI$5:$AI36),IF(B36=10,SUMPRODUCT(--(($C$5:$C36=$C36)*($B$5:$B36&gt;=7)*($B$5:$B36&lt;=9)),$AI$5:$AI36),0)))))</f>
        <v/>
      </c>
      <c r="AK36" s="12">
        <f>AK35+AI36-AJ36</f>
        <v/>
      </c>
      <c r="AL36" s="12">
        <f>IF(ProviderDelay&gt;=1,S35*BlendedProvPayEss+T35*BlendedProvPayPrem+U35*BlendedProvPayElite+V35*BlendedProvPayEss+W35*BlendedProvPayPrem+X35*BlendedProvPayElite,S36*BlendedProvPayEss+T36*BlendedProvPayPrem+U36*BlendedProvPayElite+V36*BlendedProvPayEss+W36*BlendedProvPayPrem+X36*BlendedProvPayElite)</f>
        <v/>
      </c>
      <c r="AM36" s="12">
        <f>AE36*PaymentFee</f>
        <v/>
      </c>
      <c r="AN36" s="12">
        <f>Y36*OpsAI</f>
        <v/>
      </c>
      <c r="AO36" s="12">
        <f>MonthlyFixed</f>
        <v/>
      </c>
      <c r="AP36" s="12">
        <f>I36*ReferralReward</f>
        <v/>
      </c>
      <c r="AQ36" s="12">
        <f>G36</f>
        <v/>
      </c>
      <c r="AR36" s="9">
        <f>AH36-AL36-AM36-AN36-AO36-AP36-AQ36</f>
        <v/>
      </c>
      <c r="AS36" s="9">
        <f>AS35+AE36-(AL36+AM36+AN36+AO36+AP36+AQ36+AJ36)</f>
        <v/>
      </c>
      <c r="AT36" s="12">
        <f>IF(Y36&gt;0,Z36/Y36,0)</f>
        <v/>
      </c>
      <c r="AU36" s="11">
        <f>IF(Y35&gt;0,MAX(0,(Y35+J36-Y36)/Y35),0)</f>
        <v/>
      </c>
      <c r="AW36" s="12" t="n">
        <v>32</v>
      </c>
      <c r="AX36" s="12">
        <f>MOD(AW36-1+LaunchMonth-1,12)+1</f>
        <v/>
      </c>
      <c r="AY36" s="12">
        <f>INT((AW36-1+LaunchMonth-1)/12)+1</f>
        <v/>
      </c>
      <c r="AZ36" s="12">
        <f>VLOOKUP(AX36,SeasonTable,2,FALSE)</f>
        <v/>
      </c>
      <c r="BA36" s="12">
        <f>(1+InflationRate)^INT((AW36-1)/12)</f>
        <v/>
      </c>
      <c r="BB36" s="11">
        <f>MonthlyChurn*VLOOKUP(AX36,ChurnSeasonTable,4,FALSE)</f>
        <v/>
      </c>
      <c r="BC36" s="12">
        <f>MIN(MAX(MktMin19plus,CA35*MktPct19plus),MAX(0,CO35-CashBuffer))</f>
        <v/>
      </c>
      <c r="BD36" s="12">
        <f>IF(BC36&gt;0,MAX(1,ROUND(BC36/CAC*AZ36,0)),0)</f>
        <v/>
      </c>
      <c r="BE36" s="12">
        <f>IF(BD36&gt;0,ROUND(BD36*ReferralMix/(1-ReferralMix),0),0)</f>
        <v/>
      </c>
      <c r="BF36" s="12">
        <f>BD36+BE36</f>
        <v/>
      </c>
      <c r="BG36" s="12">
        <f>ROUND(BF36*(1-AnnualMix),0)</f>
        <v/>
      </c>
      <c r="BH36" s="12">
        <f>BF36-BG36</f>
        <v/>
      </c>
      <c r="BI36" s="12">
        <f>ROUND(BG36*EssentialMix,0)</f>
        <v/>
      </c>
      <c r="BJ36" s="12">
        <f>ROUND(BG36*PremiumMix,0)</f>
        <v/>
      </c>
      <c r="BK36" s="12">
        <f>BG36-BI36-BJ36</f>
        <v/>
      </c>
      <c r="BL36" s="12">
        <f>ROUND(BH36*EssentialMix,0)</f>
        <v/>
      </c>
      <c r="BM36" s="12">
        <f>ROUND(BH36*PremiumMix,0)</f>
        <v/>
      </c>
      <c r="BN36" s="12">
        <f>BH36-BL36-BM36</f>
        <v/>
      </c>
      <c r="BO36" s="12">
        <f>BI36+BI35+BI34+MAX(0,BO35-BI35-BI34)*(1-BB36)</f>
        <v/>
      </c>
      <c r="BP36" s="12">
        <f>BJ36+BJ35+BJ34+MAX(0,BP35-BJ35-BJ34)*(1-BB36)</f>
        <v/>
      </c>
      <c r="BQ36" s="12">
        <f>BK36+BK35+BK34+MAX(0,BQ35-BK35-BK34)*(1-BB36)</f>
        <v/>
      </c>
      <c r="BR36" s="12">
        <f>BR35+BL36-BL24*(AnnualChurn*VLOOKUP(AX36,ChurnSeasonTable,4,FALSE))*POWER(1-(AnnualChurn*VLOOKUP(AX36,ChurnSeasonTable,4,FALSE)),0)+BL12*(AnnualChurn*VLOOKUP(AX36,ChurnSeasonTable,4,FALSE))*POWER(1-(AnnualChurn*VLOOKUP(AX36,ChurnSeasonTable,4,FALSE)),1)</f>
        <v/>
      </c>
      <c r="BS36" s="12">
        <f>BS35+BM36-BM24*(AnnualChurn*VLOOKUP(AX36,ChurnSeasonTable,4,FALSE))*POWER(1-(AnnualChurn*VLOOKUP(AX36,ChurnSeasonTable,4,FALSE)),0)+BM12*(AnnualChurn*VLOOKUP(AX36,ChurnSeasonTable,4,FALSE))*POWER(1-(AnnualChurn*VLOOKUP(AX36,ChurnSeasonTable,4,FALSE)),1)</f>
        <v/>
      </c>
      <c r="BT36" s="12">
        <f>BT35+BN36-BN24*(AnnualChurn*VLOOKUP(AX36,ChurnSeasonTable,4,FALSE))*POWER(1-(AnnualChurn*VLOOKUP(AX36,ChurnSeasonTable,4,FALSE)),0)+BN12*(AnnualChurn*VLOOKUP(AX36,ChurnSeasonTable,4,FALSE))*POWER(1-(AnnualChurn*VLOOKUP(AX36,ChurnSeasonTable,4,FALSE)),1)</f>
        <v/>
      </c>
      <c r="BU36" s="12">
        <f>BO36+BP36+BQ36+BR36+BS36+BT36</f>
        <v/>
      </c>
      <c r="BV36" s="9">
        <f>BO36*BlendedPriceEssMonthly*BA36+BP36*BlendedPricePremMonthly*BA36+BQ36*BlendedPriceEliteMonthly*BA36+BR36*BlendedPriceEssAnnual*BA36/12+BS36*BlendedPricePremAnnual*BA36/12+BT36*BlendedPriceEliteAnnual*BA36/12</f>
        <v/>
      </c>
      <c r="BW36" s="9">
        <f>BV36*12</f>
        <v/>
      </c>
      <c r="BX36" s="12">
        <f>BO36*BlendedPriceEssMonthly*BA36+BP36*BlendedPricePremMonthly*BA36+BQ36*BlendedPriceEliteMonthly*BA36</f>
        <v/>
      </c>
      <c r="BY36" s="12">
        <f>BL36*BlendedPriceEssAnnual*BA36+BM36*BlendedPricePremAnnual*BA36+BN36*BlendedPriceEliteAnnual*BA36</f>
        <v/>
      </c>
      <c r="BZ36" s="12">
        <f>BL24*POWER(1-(AnnualChurn*VLOOKUP(AX36,ChurnSeasonTable,4,FALSE)),1)*BlendedPriceEssAnnual*BA36+BL12*POWER(1-(AnnualChurn*VLOOKUP(AX36,ChurnSeasonTable,4,FALSE)),2)*BlendedPriceEssAnnual*BA36+BM24*POWER(1-(AnnualChurn*VLOOKUP(AX36,ChurnSeasonTable,4,FALSE)),1)*BlendedPricePremAnnual*BA36+BM12*POWER(1-(AnnualChurn*VLOOKUP(AX36,ChurnSeasonTable,4,FALSE)),2)*BlendedPricePremAnnual*BA36+BN24*POWER(1-(AnnualChurn*VLOOKUP(AX36,ChurnSeasonTable,4,FALSE)),1)*BlendedPriceEliteAnnual*BA36+BN12*POWER(1-(AnnualChurn*VLOOKUP(AX36,ChurnSeasonTable,4,FALSE)),2)*BlendedPriceEliteAnnual*BA36</f>
        <v/>
      </c>
      <c r="CA36" s="9">
        <f>BX36+BY36+BZ36</f>
        <v/>
      </c>
      <c r="CB36" s="12">
        <f>SUM(CA25:CA36)</f>
        <v/>
      </c>
      <c r="CC36" s="12">
        <f>OR(CC35,IF(VATAgentMode,SUM($CA25:$CA36)-SUM($CH25:$CH36)&gt;=VATThreshold,SUM($CA25:$CA36)&gt;=VATThreshold))</f>
        <v/>
      </c>
      <c r="CD36" s="9">
        <f>IF(CC36,IF(VATAgentMode,CA36-((CA36-CH36)-(CA36-CH36)/(1+VATRate)),CA36/(1+VATRate)),CA36)</f>
        <v/>
      </c>
      <c r="CE36" s="12">
        <f>CA36-CD36</f>
        <v/>
      </c>
      <c r="CF36" s="12">
        <f>IF(CC36=0,0,IF(AX36=1,SUMPRODUCT(--(($AY$5:$AY36=$AY36-1)*($AX$5:$AX36&gt;=10)*($AX$5:$AX36&lt;=12)),$CE$5:$CE36),IF(AX36=4,SUMPRODUCT(--(($AY$5:$AY36=$AY36)*($AX$5:$AX36&gt;=1)*($AX$5:$AX36&lt;=3)),$CE$5:$CE36),IF(AX36=7,SUMPRODUCT(--(($AY$5:$AY36=$AY36)*($AX$5:$AX36&gt;=4)*($AX$5:$AX36&lt;=6)),$CE$5:$CE36),IF(AX36=10,SUMPRODUCT(--(($AY$5:$AY36=$AY36)*($AX$5:$AX36&gt;=7)*($AX$5:$AX36&lt;=9)),$CE$5:$CE36),0)))))</f>
        <v/>
      </c>
      <c r="CG36" s="12">
        <f>CG35+CE36-CF36</f>
        <v/>
      </c>
      <c r="CH36" s="12">
        <f>IF(ProviderDelay&gt;=1,BO35*BlendedProvPayEss+BP35*BlendedProvPayPrem+BQ35*BlendedProvPayElite+BR35*BlendedProvPayEss+BS35*BlendedProvPayPrem+BT35*BlendedProvPayElite,BO36*BlendedProvPayEss+BP36*BlendedProvPayPrem+BQ36*BlendedProvPayElite+BR36*BlendedProvPayEss+BS36*BlendedProvPayPrem+BT36*BlendedProvPayElite)</f>
        <v/>
      </c>
      <c r="CI36" s="12">
        <f>CA36*PaymentFee</f>
        <v/>
      </c>
      <c r="CJ36" s="12">
        <f>BU36*OpsAI</f>
        <v/>
      </c>
      <c r="CK36" s="12">
        <f>MonthlyFixed</f>
        <v/>
      </c>
      <c r="CL36" s="12">
        <f>BE36*ReferralReward</f>
        <v/>
      </c>
      <c r="CM36" s="12">
        <f>BC36</f>
        <v/>
      </c>
      <c r="CN36" s="9">
        <f>CD36-CH36-CI36-CJ36-CK36-CL36-CM36</f>
        <v/>
      </c>
      <c r="CO36" s="9">
        <f>CO35+CA36-(CH36+CI36+CJ36+CK36+CL36+CM36+CF36)</f>
        <v/>
      </c>
      <c r="CP36" s="12">
        <f>IF(BU36&gt;0,BV36/BU36,0)</f>
        <v/>
      </c>
      <c r="CQ36" s="11">
        <f>IF(BU35&gt;0,MAX(0,(BU35+BF36-BU36)/BU35),0)</f>
        <v/>
      </c>
      <c r="CS36" s="12" t="n">
        <v>32</v>
      </c>
      <c r="CT36" s="12">
        <f>MOD(CS36-1+LaunchMonth-1,12)+1</f>
        <v/>
      </c>
      <c r="CU36" s="12">
        <f>INT((CS36-1+LaunchMonth-1)/12)+1</f>
        <v/>
      </c>
      <c r="CV36" s="12">
        <f>VLOOKUP(CT36,SeasonTable,2,FALSE)</f>
        <v/>
      </c>
      <c r="CW36" s="12">
        <f>(1+InflationRate)^INT((CS36-1)/12)</f>
        <v/>
      </c>
      <c r="CX36" s="11">
        <f>'Sens - Scenarios'!$D$5*VLOOKUP(CT36,ChurnSeasonTable,4,FALSE)</f>
        <v/>
      </c>
      <c r="CY36" s="12">
        <f>MIN(MAX(MktMin19plus,DW35*MktPct19plus),MAX(0,EK35-CashBuffer))</f>
        <v/>
      </c>
      <c r="CZ36" s="12">
        <f>IF(CY36&gt;0,MAX(1,ROUND(CY36/'Sens - Scenarios'!$D$8*CV36,0)),0)</f>
        <v/>
      </c>
      <c r="DA36" s="12">
        <f>IF(CZ36&gt;0,ROUND(CZ36*ReferralMix/(1-ReferralMix),0),0)</f>
        <v/>
      </c>
      <c r="DB36" s="12">
        <f>CZ36+DA36</f>
        <v/>
      </c>
      <c r="DC36" s="12">
        <f>ROUND(DB36*(1-'Sens - Scenarios'!$D$7),0)</f>
        <v/>
      </c>
      <c r="DD36" s="12">
        <f>DB36-DC36</f>
        <v/>
      </c>
      <c r="DE36" s="12">
        <f>ROUND(DC36*EssentialMix,0)</f>
        <v/>
      </c>
      <c r="DF36" s="12">
        <f>ROUND(DC36*PremiumMix,0)</f>
        <v/>
      </c>
      <c r="DG36" s="12">
        <f>DC36-DE36-DF36</f>
        <v/>
      </c>
      <c r="DH36" s="12">
        <f>ROUND(DD36*EssentialMix,0)</f>
        <v/>
      </c>
      <c r="DI36" s="12">
        <f>ROUND(DD36*PremiumMix,0)</f>
        <v/>
      </c>
      <c r="DJ36" s="12">
        <f>DD36-DH36-DI36</f>
        <v/>
      </c>
      <c r="DK36" s="12">
        <f>DE36+DE35+DE34+MAX(0,DK35-DE35-DE34)*(1-CX36)</f>
        <v/>
      </c>
      <c r="DL36" s="12">
        <f>DF36+DF35+DF34+MAX(0,DL35-DF35-DF34)*(1-CX36)</f>
        <v/>
      </c>
      <c r="DM36" s="12">
        <f>DG36+DG35+DG34+MAX(0,DM35-DG35-DG34)*(1-CX36)</f>
        <v/>
      </c>
      <c r="DN36" s="12">
        <f>DN35+DH36-DH24*('Sens - Scenarios'!$D$6*VLOOKUP(CT36,ChurnSeasonTable,4,FALSE))*POWER(1-('Sens - Scenarios'!$D$6*VLOOKUP(CT36,ChurnSeasonTable,4,FALSE)),0)+DH12*('Sens - Scenarios'!$D$6*VLOOKUP(CT36,ChurnSeasonTable,4,FALSE))*POWER(1-('Sens - Scenarios'!$D$6*VLOOKUP(CT36,ChurnSeasonTable,4,FALSE)),1)</f>
        <v/>
      </c>
      <c r="DO36" s="12">
        <f>DO35+DI36-DI24*('Sens - Scenarios'!$D$6*VLOOKUP(CT36,ChurnSeasonTable,4,FALSE))*POWER(1-('Sens - Scenarios'!$D$6*VLOOKUP(CT36,ChurnSeasonTable,4,FALSE)),0)+DI12*('Sens - Scenarios'!$D$6*VLOOKUP(CT36,ChurnSeasonTable,4,FALSE))*POWER(1-('Sens - Scenarios'!$D$6*VLOOKUP(CT36,ChurnSeasonTable,4,FALSE)),1)</f>
        <v/>
      </c>
      <c r="DP36" s="12">
        <f>DP35+DJ36-DJ24*('Sens - Scenarios'!$D$6*VLOOKUP(CT36,ChurnSeasonTable,4,FALSE))*POWER(1-('Sens - Scenarios'!$D$6*VLOOKUP(CT36,ChurnSeasonTable,4,FALSE)),0)+DJ12*('Sens - Scenarios'!$D$6*VLOOKUP(CT36,ChurnSeasonTable,4,FALSE))*POWER(1-('Sens - Scenarios'!$D$6*VLOOKUP(CT36,ChurnSeasonTable,4,FALSE)),1)</f>
        <v/>
      </c>
      <c r="DQ36" s="12">
        <f>DK36+DL36+DM36+DN36+DO36+DP36</f>
        <v/>
      </c>
      <c r="DR36" s="9">
        <f>DK36*BlendedPriceEssMonthly*CW36+DL36*BlendedPricePremMonthly*CW36+DM36*BlendedPriceEliteMonthly*CW36+DN36*BlendedPriceEssAnnual*CW36/12+DO36*BlendedPricePremAnnual*CW36/12+DP36*BlendedPriceEliteAnnual*CW36/12</f>
        <v/>
      </c>
      <c r="DS36" s="9">
        <f>DR36*12</f>
        <v/>
      </c>
      <c r="DT36" s="12">
        <f>DK36*BlendedPriceEssMonthly*CW36+DL36*BlendedPricePremMonthly*CW36+DM36*BlendedPriceEliteMonthly*CW36</f>
        <v/>
      </c>
      <c r="DU36" s="12">
        <f>DH36*BlendedPriceEssAnnual*CW36+DI36*BlendedPricePremAnnual*CW36+DJ36*BlendedPriceEliteAnnual*CW36</f>
        <v/>
      </c>
      <c r="DV36" s="12">
        <f>DH24*POWER(1-('Sens - Scenarios'!$D$6*VLOOKUP(CT36,ChurnSeasonTable,4,FALSE)),1)*BlendedPriceEssAnnual*CW36+DH12*POWER(1-('Sens - Scenarios'!$D$6*VLOOKUP(CT36,ChurnSeasonTable,4,FALSE)),2)*BlendedPriceEssAnnual*CW36+DI24*POWER(1-('Sens - Scenarios'!$D$6*VLOOKUP(CT36,ChurnSeasonTable,4,FALSE)),1)*BlendedPricePremAnnual*CW36+DI12*POWER(1-('Sens - Scenarios'!$D$6*VLOOKUP(CT36,ChurnSeasonTable,4,FALSE)),2)*BlendedPricePremAnnual*CW36+DJ24*POWER(1-('Sens - Scenarios'!$D$6*VLOOKUP(CT36,ChurnSeasonTable,4,FALSE)),1)*BlendedPriceEliteAnnual*CW36+DJ12*POWER(1-('Sens - Scenarios'!$D$6*VLOOKUP(CT36,ChurnSeasonTable,4,FALSE)),2)*BlendedPriceEliteAnnual*CW36</f>
        <v/>
      </c>
      <c r="DW36" s="9">
        <f>DT36+DU36+DV36</f>
        <v/>
      </c>
      <c r="DX36" s="12">
        <f>SUM(DW25:DW36)</f>
        <v/>
      </c>
      <c r="DY36" s="12">
        <f>OR(DY35,IF(VATAgentMode,SUM($DW25:$DW36)-SUM($ED25:$ED36)&gt;=VATThreshold,SUM($DW25:$DW36)&gt;=VATThreshold))</f>
        <v/>
      </c>
      <c r="DZ36" s="9">
        <f>IF(DY36,IF(VATAgentMode,DW36-((DW36-ED36)-(DW36-ED36)/(1+VATRate)),DW36/(1+VATRate)),DW36)</f>
        <v/>
      </c>
      <c r="EA36" s="12">
        <f>DW36-DZ36</f>
        <v/>
      </c>
      <c r="EB36" s="12">
        <f>IF(DY36=0,0,IF(CT36=1,SUMPRODUCT(--(($CU$5:$CU36=$CU36-1)*($CT$5:$CT36&gt;=10)*($CT$5:$CT36&lt;=12)),$EA$5:$EA36),IF(CT36=4,SUMPRODUCT(--(($CU$5:$CU36=$CU36)*($CT$5:$CT36&gt;=1)*($CT$5:$CT36&lt;=3)),$EA$5:$EA36),IF(CT36=7,SUMPRODUCT(--(($CU$5:$CU36=$CU36)*($CT$5:$CT36&gt;=4)*($CT$5:$CT36&lt;=6)),$EA$5:$EA36),IF(CT36=10,SUMPRODUCT(--(($CU$5:$CU36=$CU36)*($CT$5:$CT36&gt;=7)*($CT$5:$CT36&lt;=9)),$EA$5:$EA36),0)))))</f>
        <v/>
      </c>
      <c r="EC36" s="12">
        <f>EC35+EA36-EB36</f>
        <v/>
      </c>
      <c r="ED36" s="12">
        <f>IF(ProviderDelay&gt;=1,DK35*BlendedProvPayEss+DL35*BlendedProvPayPrem+DM35*BlendedProvPayElite+DN35*BlendedProvPayEss+DO35*BlendedProvPayPrem+DP35*BlendedProvPayElite,DK36*BlendedProvPayEss+DL36*BlendedProvPayPrem+DM36*BlendedProvPayElite+DN36*BlendedProvPayEss+DO36*BlendedProvPayPrem+DP36*BlendedProvPayElite)</f>
        <v/>
      </c>
      <c r="EE36" s="12">
        <f>DW36*PaymentFee</f>
        <v/>
      </c>
      <c r="EF36" s="12">
        <f>DQ36*OpsAI</f>
        <v/>
      </c>
      <c r="EG36" s="12">
        <f>MonthlyFixed</f>
        <v/>
      </c>
      <c r="EH36" s="12">
        <f>DA36*ReferralReward</f>
        <v/>
      </c>
      <c r="EI36" s="12">
        <f>CY36</f>
        <v/>
      </c>
      <c r="EJ36" s="9">
        <f>DZ36-ED36-EE36-EF36-EG36-EH36-EI36</f>
        <v/>
      </c>
      <c r="EK36" s="9">
        <f>EK35+DW36-(ED36+EE36+EF36+EG36+EH36+EI36+EB36)</f>
        <v/>
      </c>
      <c r="EL36" s="12">
        <f>IF(DQ36&gt;0,DR36/DQ36,0)</f>
        <v/>
      </c>
      <c r="EM36" s="11">
        <f>IF(DQ35&gt;0,MAX(0,(DQ35+DB36-DQ36)/DQ35),0)</f>
        <v/>
      </c>
      <c r="EO36" s="12" t="n">
        <v>32</v>
      </c>
      <c r="EP36" s="12">
        <f>MOD(EO36-1+LaunchMonth-1,12)+1</f>
        <v/>
      </c>
      <c r="EQ36" s="12">
        <f>INT((EO36-1+LaunchMonth-1)/12)+1</f>
        <v/>
      </c>
      <c r="ER36" s="12">
        <f>VLOOKUP(EP36,SeasonTable,2,FALSE)</f>
        <v/>
      </c>
      <c r="ES36" s="12">
        <f>(1+InflationRate)^INT((EO36-1)/12)</f>
        <v/>
      </c>
      <c r="ET36" s="11">
        <f>'Sens - Churn'!$A$13*VLOOKUP(EP36,ChurnSeasonTable,4,FALSE)</f>
        <v/>
      </c>
      <c r="EU36" s="12">
        <f>MIN(MAX(MktMin19plus,FS35*MktPct19plus),MAX(0,GG35-CashBuffer))</f>
        <v/>
      </c>
      <c r="EV36" s="12">
        <f>IF(EU36&gt;0,MAX(1,ROUND(EU36/CAC*ER36,0)),0)</f>
        <v/>
      </c>
      <c r="EW36" s="12">
        <f>IF(EV36&gt;0,ROUND(EV36*ReferralMix/(1-ReferralMix),0),0)</f>
        <v/>
      </c>
      <c r="EX36" s="12">
        <f>EV36+EW36</f>
        <v/>
      </c>
      <c r="EY36" s="12">
        <f>ROUND(EX36*(1-AnnualMix),0)</f>
        <v/>
      </c>
      <c r="EZ36" s="12">
        <f>EX36-EY36</f>
        <v/>
      </c>
      <c r="FA36" s="12">
        <f>ROUND(EY36*EssentialMix,0)</f>
        <v/>
      </c>
      <c r="FB36" s="12">
        <f>ROUND(EY36*PremiumMix,0)</f>
        <v/>
      </c>
      <c r="FC36" s="12">
        <f>EY36-FA36-FB36</f>
        <v/>
      </c>
      <c r="FD36" s="12">
        <f>ROUND(EZ36*EssentialMix,0)</f>
        <v/>
      </c>
      <c r="FE36" s="12">
        <f>ROUND(EZ36*PremiumMix,0)</f>
        <v/>
      </c>
      <c r="FF36" s="12">
        <f>EZ36-FD36-FE36</f>
        <v/>
      </c>
      <c r="FG36" s="12">
        <f>FA36+FA35+FA34+MAX(0,FG35-FA35-FA34)*(1-ET36)</f>
        <v/>
      </c>
      <c r="FH36" s="12">
        <f>FB36+FB35+FB34+MAX(0,FH35-FB35-FB34)*(1-ET36)</f>
        <v/>
      </c>
      <c r="FI36" s="12">
        <f>FC36+FC35+FC34+MAX(0,FI35-FC35-FC34)*(1-ET36)</f>
        <v/>
      </c>
      <c r="FJ36" s="12">
        <f>FJ35+FD36-FD24*(AnnualChurn*VLOOKUP(EP36,ChurnSeasonTable,4,FALSE))*POWER(1-(AnnualChurn*VLOOKUP(EP36,ChurnSeasonTable,4,FALSE)),0)+FD12*(AnnualChurn*VLOOKUP(EP36,ChurnSeasonTable,4,FALSE))*POWER(1-(AnnualChurn*VLOOKUP(EP36,ChurnSeasonTable,4,FALSE)),1)</f>
        <v/>
      </c>
      <c r="FK36" s="12">
        <f>FK35+FE36-FE24*(AnnualChurn*VLOOKUP(EP36,ChurnSeasonTable,4,FALSE))*POWER(1-(AnnualChurn*VLOOKUP(EP36,ChurnSeasonTable,4,FALSE)),0)+FE12*(AnnualChurn*VLOOKUP(EP36,ChurnSeasonTable,4,FALSE))*POWER(1-(AnnualChurn*VLOOKUP(EP36,ChurnSeasonTable,4,FALSE)),1)</f>
        <v/>
      </c>
      <c r="FL36" s="12">
        <f>FL35+FF36-FF24*(AnnualChurn*VLOOKUP(EP36,ChurnSeasonTable,4,FALSE))*POWER(1-(AnnualChurn*VLOOKUP(EP36,ChurnSeasonTable,4,FALSE)),0)+FF12*(AnnualChurn*VLOOKUP(EP36,ChurnSeasonTable,4,FALSE))*POWER(1-(AnnualChurn*VLOOKUP(EP36,ChurnSeasonTable,4,FALSE)),1)</f>
        <v/>
      </c>
      <c r="FM36" s="12">
        <f>FG36+FH36+FI36+FJ36+FK36+FL36</f>
        <v/>
      </c>
      <c r="FN36" s="9">
        <f>FG36*BlendedPriceEssMonthly*ES36+FH36*BlendedPricePremMonthly*ES36+FI36*BlendedPriceEliteMonthly*ES36+FJ36*BlendedPriceEssAnnual*ES36/12+FK36*BlendedPricePremAnnual*ES36/12+FL36*BlendedPriceEliteAnnual*ES36/12</f>
        <v/>
      </c>
      <c r="FO36" s="9">
        <f>FN36*12</f>
        <v/>
      </c>
      <c r="FP36" s="12">
        <f>FG36*BlendedPriceEssMonthly*ES36+FH36*BlendedPricePremMonthly*ES36+FI36*BlendedPriceEliteMonthly*ES36</f>
        <v/>
      </c>
      <c r="FQ36" s="12">
        <f>FD36*BlendedPriceEssAnnual*ES36+FE36*BlendedPricePremAnnual*ES36+FF36*BlendedPriceEliteAnnual*ES36</f>
        <v/>
      </c>
      <c r="FR36" s="12">
        <f>FD24*POWER(1-(AnnualChurn*VLOOKUP(EP36,ChurnSeasonTable,4,FALSE)),1)*BlendedPriceEssAnnual*ES36+FD12*POWER(1-(AnnualChurn*VLOOKUP(EP36,ChurnSeasonTable,4,FALSE)),2)*BlendedPriceEssAnnual*ES36+FE24*POWER(1-(AnnualChurn*VLOOKUP(EP36,ChurnSeasonTable,4,FALSE)),1)*BlendedPricePremAnnual*ES36+FE12*POWER(1-(AnnualChurn*VLOOKUP(EP36,ChurnSeasonTable,4,FALSE)),2)*BlendedPricePremAnnual*ES36+FF24*POWER(1-(AnnualChurn*VLOOKUP(EP36,ChurnSeasonTable,4,FALSE)),1)*BlendedPriceEliteAnnual*ES36+FF12*POWER(1-(AnnualChurn*VLOOKUP(EP36,ChurnSeasonTable,4,FALSE)),2)*BlendedPriceEliteAnnual*ES36</f>
        <v/>
      </c>
      <c r="FS36" s="9">
        <f>FP36+FQ36+FR36</f>
        <v/>
      </c>
      <c r="FT36" s="12">
        <f>SUM(FS25:FS36)</f>
        <v/>
      </c>
      <c r="FU36" s="12">
        <f>OR(FU35,IF(VATAgentMode,SUM($FS25:$FS36)-SUM($FZ25:$FZ36)&gt;=VATThreshold,SUM($FS25:$FS36)&gt;=VATThreshold))</f>
        <v/>
      </c>
      <c r="FV36" s="9">
        <f>IF(FU36,IF(VATAgentMode,FS36-((FS36-FZ36)-(FS36-FZ36)/(1+VATRate)),FS36/(1+VATRate)),FS36)</f>
        <v/>
      </c>
      <c r="FW36" s="12">
        <f>FS36-FV36</f>
        <v/>
      </c>
      <c r="FX36" s="12">
        <f>IF(FU36=0,0,IF(EP36=1,SUMPRODUCT(--(($EQ$5:$EQ36=$EQ36-1)*($EP$5:$EP36&gt;=10)*($EP$5:$EP36&lt;=12)),$FW$5:$FW36),IF(EP36=4,SUMPRODUCT(--(($EQ$5:$EQ36=$EQ36)*($EP$5:$EP36&gt;=1)*($EP$5:$EP36&lt;=3)),$FW$5:$FW36),IF(EP36=7,SUMPRODUCT(--(($EQ$5:$EQ36=$EQ36)*($EP$5:$EP36&gt;=4)*($EP$5:$EP36&lt;=6)),$FW$5:$FW36),IF(EP36=10,SUMPRODUCT(--(($EQ$5:$EQ36=$EQ36)*($EP$5:$EP36&gt;=7)*($EP$5:$EP36&lt;=9)),$FW$5:$FW36),0)))))</f>
        <v/>
      </c>
      <c r="FY36" s="12">
        <f>FY35+FW36-FX36</f>
        <v/>
      </c>
      <c r="FZ36" s="12">
        <f>IF(ProviderDelay&gt;=1,FG35*BlendedProvPayEss+FH35*BlendedProvPayPrem+FI35*BlendedProvPayElite+FJ35*BlendedProvPayEss+FK35*BlendedProvPayPrem+FL35*BlendedProvPayElite,FG36*BlendedProvPayEss+FH36*BlendedProvPayPrem+FI36*BlendedProvPayElite+FJ36*BlendedProvPayEss+FK36*BlendedProvPayPrem+FL36*BlendedProvPayElite)</f>
        <v/>
      </c>
      <c r="GA36" s="12">
        <f>FS36*PaymentFee</f>
        <v/>
      </c>
      <c r="GB36" s="12">
        <f>FM36*OpsAI</f>
        <v/>
      </c>
      <c r="GC36" s="12">
        <f>MonthlyFixed</f>
        <v/>
      </c>
      <c r="GD36" s="12">
        <f>EW36*ReferralReward</f>
        <v/>
      </c>
      <c r="GE36" s="12">
        <f>EU36</f>
        <v/>
      </c>
      <c r="GF36" s="9">
        <f>FV36-FZ36-GA36-GB36-GC36-GD36-GE36</f>
        <v/>
      </c>
      <c r="GG36" s="9">
        <f>GG35+FS36-(FZ36+GA36+GB36+GC36+GD36+GE36+FX36)</f>
        <v/>
      </c>
      <c r="GH36" s="12">
        <f>IF(FM36&gt;0,FN36/FM36,0)</f>
        <v/>
      </c>
      <c r="GI36" s="11">
        <f>IF(FM35&gt;0,MAX(0,(FM35+EX36-FM36)/FM35),0)</f>
        <v/>
      </c>
      <c r="GK36" s="12" t="n">
        <v>32</v>
      </c>
      <c r="GL36" s="12">
        <f>MOD(GK36-1+LaunchMonth-1,12)+1</f>
        <v/>
      </c>
      <c r="GM36" s="12">
        <f>INT((GK36-1+LaunchMonth-1)/12)+1</f>
        <v/>
      </c>
      <c r="GN36" s="12">
        <f>VLOOKUP(GL36,SeasonTable,2,FALSE)</f>
        <v/>
      </c>
      <c r="GO36" s="12">
        <f>(1+InflationRate)^INT((GK36-1)/12)</f>
        <v/>
      </c>
      <c r="GP36" s="11">
        <f>'Sens - Churn'!$A$14*VLOOKUP(GL36,ChurnSeasonTable,4,FALSE)</f>
        <v/>
      </c>
      <c r="GQ36" s="12">
        <f>MIN(MAX(MktMin19plus,HO35*MktPct19plus),MAX(0,IC35-CashBuffer))</f>
        <v/>
      </c>
      <c r="GR36" s="12">
        <f>IF(GQ36&gt;0,MAX(1,ROUND(GQ36/CAC*GN36,0)),0)</f>
        <v/>
      </c>
      <c r="GS36" s="12">
        <f>IF(GR36&gt;0,ROUND(GR36*ReferralMix/(1-ReferralMix),0),0)</f>
        <v/>
      </c>
      <c r="GT36" s="12">
        <f>GR36+GS36</f>
        <v/>
      </c>
      <c r="GU36" s="12">
        <f>ROUND(GT36*(1-AnnualMix),0)</f>
        <v/>
      </c>
      <c r="GV36" s="12">
        <f>GT36-GU36</f>
        <v/>
      </c>
      <c r="GW36" s="12">
        <f>ROUND(GU36*EssentialMix,0)</f>
        <v/>
      </c>
      <c r="GX36" s="12">
        <f>ROUND(GU36*PremiumMix,0)</f>
        <v/>
      </c>
      <c r="GY36" s="12">
        <f>GU36-GW36-GX36</f>
        <v/>
      </c>
      <c r="GZ36" s="12">
        <f>ROUND(GV36*EssentialMix,0)</f>
        <v/>
      </c>
      <c r="HA36" s="12">
        <f>ROUND(GV36*PremiumMix,0)</f>
        <v/>
      </c>
      <c r="HB36" s="12">
        <f>GV36-GZ36-HA36</f>
        <v/>
      </c>
      <c r="HC36" s="12">
        <f>GW36+GW35+GW34+MAX(0,HC35-GW35-GW34)*(1-GP36)</f>
        <v/>
      </c>
      <c r="HD36" s="12">
        <f>GX36+GX35+GX34+MAX(0,HD35-GX35-GX34)*(1-GP36)</f>
        <v/>
      </c>
      <c r="HE36" s="12">
        <f>GY36+GY35+GY34+MAX(0,HE35-GY35-GY34)*(1-GP36)</f>
        <v/>
      </c>
      <c r="HF36" s="12">
        <f>HF35+GZ36-GZ24*(AnnualChurn*VLOOKUP(GL36,ChurnSeasonTable,4,FALSE))*POWER(1-(AnnualChurn*VLOOKUP(GL36,ChurnSeasonTable,4,FALSE)),0)+GZ12*(AnnualChurn*VLOOKUP(GL36,ChurnSeasonTable,4,FALSE))*POWER(1-(AnnualChurn*VLOOKUP(GL36,ChurnSeasonTable,4,FALSE)),1)</f>
        <v/>
      </c>
      <c r="HG36" s="12">
        <f>HG35+HA36-HA24*(AnnualChurn*VLOOKUP(GL36,ChurnSeasonTable,4,FALSE))*POWER(1-(AnnualChurn*VLOOKUP(GL36,ChurnSeasonTable,4,FALSE)),0)+HA12*(AnnualChurn*VLOOKUP(GL36,ChurnSeasonTable,4,FALSE))*POWER(1-(AnnualChurn*VLOOKUP(GL36,ChurnSeasonTable,4,FALSE)),1)</f>
        <v/>
      </c>
      <c r="HH36" s="12">
        <f>HH35+HB36-HB24*(AnnualChurn*VLOOKUP(GL36,ChurnSeasonTable,4,FALSE))*POWER(1-(AnnualChurn*VLOOKUP(GL36,ChurnSeasonTable,4,FALSE)),0)+HB12*(AnnualChurn*VLOOKUP(GL36,ChurnSeasonTable,4,FALSE))*POWER(1-(AnnualChurn*VLOOKUP(GL36,ChurnSeasonTable,4,FALSE)),1)</f>
        <v/>
      </c>
      <c r="HI36" s="12">
        <f>HC36+HD36+HE36+HF36+HG36+HH36</f>
        <v/>
      </c>
      <c r="HJ36" s="9">
        <f>HC36*BlendedPriceEssMonthly*GO36+HD36*BlendedPricePremMonthly*GO36+HE36*BlendedPriceEliteMonthly*GO36+HF36*BlendedPriceEssAnnual*GO36/12+HG36*BlendedPricePremAnnual*GO36/12+HH36*BlendedPriceEliteAnnual*GO36/12</f>
        <v/>
      </c>
      <c r="HK36" s="9">
        <f>HJ36*12</f>
        <v/>
      </c>
      <c r="HL36" s="12">
        <f>HC36*BlendedPriceEssMonthly*GO36+HD36*BlendedPricePremMonthly*GO36+HE36*BlendedPriceEliteMonthly*GO36</f>
        <v/>
      </c>
      <c r="HM36" s="12">
        <f>GZ36*BlendedPriceEssAnnual*GO36+HA36*BlendedPricePremAnnual*GO36+HB36*BlendedPriceEliteAnnual*GO36</f>
        <v/>
      </c>
      <c r="HN36" s="12">
        <f>GZ24*POWER(1-(AnnualChurn*VLOOKUP(GL36,ChurnSeasonTable,4,FALSE)),1)*BlendedPriceEssAnnual*GO36+GZ12*POWER(1-(AnnualChurn*VLOOKUP(GL36,ChurnSeasonTable,4,FALSE)),2)*BlendedPriceEssAnnual*GO36+HA24*POWER(1-(AnnualChurn*VLOOKUP(GL36,ChurnSeasonTable,4,FALSE)),1)*BlendedPricePremAnnual*GO36+HA12*POWER(1-(AnnualChurn*VLOOKUP(GL36,ChurnSeasonTable,4,FALSE)),2)*BlendedPricePremAnnual*GO36+HB24*POWER(1-(AnnualChurn*VLOOKUP(GL36,ChurnSeasonTable,4,FALSE)),1)*BlendedPriceEliteAnnual*GO36+HB12*POWER(1-(AnnualChurn*VLOOKUP(GL36,ChurnSeasonTable,4,FALSE)),2)*BlendedPriceEliteAnnual*GO36</f>
        <v/>
      </c>
      <c r="HO36" s="9">
        <f>HL36+HM36+HN36</f>
        <v/>
      </c>
      <c r="HP36" s="12">
        <f>SUM(HO25:HO36)</f>
        <v/>
      </c>
      <c r="HQ36" s="12">
        <f>OR(HQ35,IF(VATAgentMode,SUM($HO25:$HO36)-SUM($HV25:$HV36)&gt;=VATThreshold,SUM($HO25:$HO36)&gt;=VATThreshold))</f>
        <v/>
      </c>
      <c r="HR36" s="9">
        <f>IF(HQ36,IF(VATAgentMode,HO36-((HO36-HV36)-(HO36-HV36)/(1+VATRate)),HO36/(1+VATRate)),HO36)</f>
        <v/>
      </c>
      <c r="HS36" s="12">
        <f>HO36-HR36</f>
        <v/>
      </c>
      <c r="HT36" s="12">
        <f>IF(HQ36=0,0,IF(GL36=1,SUMPRODUCT(--(($GM$5:$GM36=$GM36-1)*($GL$5:$GL36&gt;=10)*($GL$5:$GL36&lt;=12)),$HS$5:$HS36),IF(GL36=4,SUMPRODUCT(--(($GM$5:$GM36=$GM36)*($GL$5:$GL36&gt;=1)*($GL$5:$GL36&lt;=3)),$HS$5:$HS36),IF(GL36=7,SUMPRODUCT(--(($GM$5:$GM36=$GM36)*($GL$5:$GL36&gt;=4)*($GL$5:$GL36&lt;=6)),$HS$5:$HS36),IF(GL36=10,SUMPRODUCT(--(($GM$5:$GM36=$GM36)*($GL$5:$GL36&gt;=7)*($GL$5:$GL36&lt;=9)),$HS$5:$HS36),0)))))</f>
        <v/>
      </c>
      <c r="HU36" s="12">
        <f>HU35+HS36-HT36</f>
        <v/>
      </c>
      <c r="HV36" s="12">
        <f>IF(ProviderDelay&gt;=1,HC35*BlendedProvPayEss+HD35*BlendedProvPayPrem+HE35*BlendedProvPayElite+HF35*BlendedProvPayEss+HG35*BlendedProvPayPrem+HH35*BlendedProvPayElite,HC36*BlendedProvPayEss+HD36*BlendedProvPayPrem+HE36*BlendedProvPayElite+HF36*BlendedProvPayEss+HG36*BlendedProvPayPrem+HH36*BlendedProvPayElite)</f>
        <v/>
      </c>
      <c r="HW36" s="12">
        <f>HO36*PaymentFee</f>
        <v/>
      </c>
      <c r="HX36" s="12">
        <f>HI36*OpsAI</f>
        <v/>
      </c>
      <c r="HY36" s="12">
        <f>MonthlyFixed</f>
        <v/>
      </c>
      <c r="HZ36" s="12">
        <f>GS36*ReferralReward</f>
        <v/>
      </c>
      <c r="IA36" s="12">
        <f>GQ36</f>
        <v/>
      </c>
      <c r="IB36" s="9">
        <f>HR36-HV36-HW36-HX36-HY36-HZ36-IA36</f>
        <v/>
      </c>
      <c r="IC36" s="9">
        <f>IC35+HO36-(HV36+HW36+HX36+HY36+HZ36+IA36+HT36)</f>
        <v/>
      </c>
      <c r="ID36" s="12">
        <f>IF(HI36&gt;0,HJ36/HI36,0)</f>
        <v/>
      </c>
      <c r="IE36" s="11">
        <f>IF(HI35&gt;0,MAX(0,(HI35+GT36-HI36)/HI35),0)</f>
        <v/>
      </c>
      <c r="IG36" s="12" t="n">
        <v>32</v>
      </c>
      <c r="IH36" s="12">
        <f>MOD(IG36-1+LaunchMonth-1,12)+1</f>
        <v/>
      </c>
      <c r="II36" s="12">
        <f>INT((IG36-1+LaunchMonth-1)/12)+1</f>
        <v/>
      </c>
      <c r="IJ36" s="12">
        <f>VLOOKUP(IH36,SeasonTable,2,FALSE)</f>
        <v/>
      </c>
      <c r="IK36" s="12">
        <f>(1+InflationRate)^INT((IG36-1)/12)</f>
        <v/>
      </c>
      <c r="IL36" s="11">
        <f>'Sens - Churn'!$A$15*VLOOKUP(IH36,ChurnSeasonTable,4,FALSE)</f>
        <v/>
      </c>
      <c r="IM36" s="12">
        <f>MIN(MAX(MktMin19plus,JK35*MktPct19plus),MAX(0,JY35-CashBuffer))</f>
        <v/>
      </c>
      <c r="IN36" s="12">
        <f>IF(IM36&gt;0,MAX(1,ROUND(IM36/CAC*IJ36,0)),0)</f>
        <v/>
      </c>
      <c r="IO36" s="12">
        <f>IF(IN36&gt;0,ROUND(IN36*ReferralMix/(1-ReferralMix),0),0)</f>
        <v/>
      </c>
      <c r="IP36" s="12">
        <f>IN36+IO36</f>
        <v/>
      </c>
      <c r="IQ36" s="12">
        <f>ROUND(IP36*(1-AnnualMix),0)</f>
        <v/>
      </c>
      <c r="IR36" s="12">
        <f>IP36-IQ36</f>
        <v/>
      </c>
      <c r="IS36" s="12">
        <f>ROUND(IQ36*EssentialMix,0)</f>
        <v/>
      </c>
      <c r="IT36" s="12">
        <f>ROUND(IQ36*PremiumMix,0)</f>
        <v/>
      </c>
      <c r="IU36" s="12">
        <f>IQ36-IS36-IT36</f>
        <v/>
      </c>
      <c r="IV36" s="12">
        <f>ROUND(IR36*EssentialMix,0)</f>
        <v/>
      </c>
      <c r="IW36" s="12">
        <f>ROUND(IR36*PremiumMix,0)</f>
        <v/>
      </c>
      <c r="IX36" s="12">
        <f>IR36-IV36-IW36</f>
        <v/>
      </c>
      <c r="IY36" s="12">
        <f>IS36+IS35+IS34+MAX(0,IY35-IS35-IS34)*(1-IL36)</f>
        <v/>
      </c>
      <c r="IZ36" s="12">
        <f>IT36+IT35+IT34+MAX(0,IZ35-IT35-IT34)*(1-IL36)</f>
        <v/>
      </c>
      <c r="JA36" s="12">
        <f>IU36+IU35+IU34+MAX(0,JA35-IU35-IU34)*(1-IL36)</f>
        <v/>
      </c>
      <c r="JB36" s="12">
        <f>JB35+IV36-IV24*(AnnualChurn*VLOOKUP(IH36,ChurnSeasonTable,4,FALSE))*POWER(1-(AnnualChurn*VLOOKUP(IH36,ChurnSeasonTable,4,FALSE)),0)+IV12*(AnnualChurn*VLOOKUP(IH36,ChurnSeasonTable,4,FALSE))*POWER(1-(AnnualChurn*VLOOKUP(IH36,ChurnSeasonTable,4,FALSE)),1)</f>
        <v/>
      </c>
      <c r="JC36" s="12">
        <f>JC35+IW36-IW24*(AnnualChurn*VLOOKUP(IH36,ChurnSeasonTable,4,FALSE))*POWER(1-(AnnualChurn*VLOOKUP(IH36,ChurnSeasonTable,4,FALSE)),0)+IW12*(AnnualChurn*VLOOKUP(IH36,ChurnSeasonTable,4,FALSE))*POWER(1-(AnnualChurn*VLOOKUP(IH36,ChurnSeasonTable,4,FALSE)),1)</f>
        <v/>
      </c>
      <c r="JD36" s="12">
        <f>JD35+IX36-IX24*(AnnualChurn*VLOOKUP(IH36,ChurnSeasonTable,4,FALSE))*POWER(1-(AnnualChurn*VLOOKUP(IH36,ChurnSeasonTable,4,FALSE)),0)+IX12*(AnnualChurn*VLOOKUP(IH36,ChurnSeasonTable,4,FALSE))*POWER(1-(AnnualChurn*VLOOKUP(IH36,ChurnSeasonTable,4,FALSE)),1)</f>
        <v/>
      </c>
      <c r="JE36" s="12">
        <f>IY36+IZ36+JA36+JB36+JC36+JD36</f>
        <v/>
      </c>
      <c r="JF36" s="9">
        <f>IY36*BlendedPriceEssMonthly*IK36+IZ36*BlendedPricePremMonthly*IK36+JA36*BlendedPriceEliteMonthly*IK36+JB36*BlendedPriceEssAnnual*IK36/12+JC36*BlendedPricePremAnnual*IK36/12+JD36*BlendedPriceEliteAnnual*IK36/12</f>
        <v/>
      </c>
      <c r="JG36" s="9">
        <f>JF36*12</f>
        <v/>
      </c>
      <c r="JH36" s="12">
        <f>IY36*BlendedPriceEssMonthly*IK36+IZ36*BlendedPricePremMonthly*IK36+JA36*BlendedPriceEliteMonthly*IK36</f>
        <v/>
      </c>
      <c r="JI36" s="12">
        <f>IV36*BlendedPriceEssAnnual*IK36+IW36*BlendedPricePremAnnual*IK36+IX36*BlendedPriceEliteAnnual*IK36</f>
        <v/>
      </c>
      <c r="JJ36" s="12">
        <f>IV24*POWER(1-(AnnualChurn*VLOOKUP(IH36,ChurnSeasonTable,4,FALSE)),1)*BlendedPriceEssAnnual*IK36+IV12*POWER(1-(AnnualChurn*VLOOKUP(IH36,ChurnSeasonTable,4,FALSE)),2)*BlendedPriceEssAnnual*IK36+IW24*POWER(1-(AnnualChurn*VLOOKUP(IH36,ChurnSeasonTable,4,FALSE)),1)*BlendedPricePremAnnual*IK36+IW12*POWER(1-(AnnualChurn*VLOOKUP(IH36,ChurnSeasonTable,4,FALSE)),2)*BlendedPricePremAnnual*IK36+IX24*POWER(1-(AnnualChurn*VLOOKUP(IH36,ChurnSeasonTable,4,FALSE)),1)*BlendedPriceEliteAnnual*IK36+IX12*POWER(1-(AnnualChurn*VLOOKUP(IH36,ChurnSeasonTable,4,FALSE)),2)*BlendedPriceEliteAnnual*IK36</f>
        <v/>
      </c>
      <c r="JK36" s="9">
        <f>JH36+JI36+JJ36</f>
        <v/>
      </c>
      <c r="JL36" s="12">
        <f>SUM(JK25:JK36)</f>
        <v/>
      </c>
      <c r="JM36" s="12">
        <f>OR(JM35,IF(VATAgentMode,SUM($JK25:$JK36)-SUM($JR25:$JR36)&gt;=VATThreshold,SUM($JK25:$JK36)&gt;=VATThreshold))</f>
        <v/>
      </c>
      <c r="JN36" s="9">
        <f>IF(JM36,IF(VATAgentMode,JK36-((JK36-JR36)-(JK36-JR36)/(1+VATRate)),JK36/(1+VATRate)),JK36)</f>
        <v/>
      </c>
      <c r="JO36" s="12">
        <f>JK36-JN36</f>
        <v/>
      </c>
      <c r="JP36" s="12">
        <f>IF(JM36=0,0,IF(IH36=1,SUMPRODUCT(--(($II$5:$II36=$II36-1)*($IH$5:$IH36&gt;=10)*($IH$5:$IH36&lt;=12)),$JO$5:$JO36),IF(IH36=4,SUMPRODUCT(--(($II$5:$II36=$II36)*($IH$5:$IH36&gt;=1)*($IH$5:$IH36&lt;=3)),$JO$5:$JO36),IF(IH36=7,SUMPRODUCT(--(($II$5:$II36=$II36)*($IH$5:$IH36&gt;=4)*($IH$5:$IH36&lt;=6)),$JO$5:$JO36),IF(IH36=10,SUMPRODUCT(--(($II$5:$II36=$II36)*($IH$5:$IH36&gt;=7)*($IH$5:$IH36&lt;=9)),$JO$5:$JO36),0)))))</f>
        <v/>
      </c>
      <c r="JQ36" s="12">
        <f>JQ35+JO36-JP36</f>
        <v/>
      </c>
      <c r="JR36" s="12">
        <f>IF(ProviderDelay&gt;=1,IY35*BlendedProvPayEss+IZ35*BlendedProvPayPrem+JA35*BlendedProvPayElite+JB35*BlendedProvPayEss+JC35*BlendedProvPayPrem+JD35*BlendedProvPayElite,IY36*BlendedProvPayEss+IZ36*BlendedProvPayPrem+JA36*BlendedProvPayElite+JB36*BlendedProvPayEss+JC36*BlendedProvPayPrem+JD36*BlendedProvPayElite)</f>
        <v/>
      </c>
      <c r="JS36" s="12">
        <f>JK36*PaymentFee</f>
        <v/>
      </c>
      <c r="JT36" s="12">
        <f>JE36*OpsAI</f>
        <v/>
      </c>
      <c r="JU36" s="12">
        <f>MonthlyFixed</f>
        <v/>
      </c>
      <c r="JV36" s="12">
        <f>IO36*ReferralReward</f>
        <v/>
      </c>
      <c r="JW36" s="12">
        <f>IM36</f>
        <v/>
      </c>
      <c r="JX36" s="9">
        <f>JN36-JR36-JS36-JT36-JU36-JV36-JW36</f>
        <v/>
      </c>
      <c r="JY36" s="9">
        <f>JY35+JK36-(JR36+JS36+JT36+JU36+JV36+JW36+JP36)</f>
        <v/>
      </c>
      <c r="JZ36" s="12">
        <f>IF(JE36&gt;0,JF36/JE36,0)</f>
        <v/>
      </c>
      <c r="KA36" s="11">
        <f>IF(JE35&gt;0,MAX(0,(JE35+IP36-JE36)/JE35),0)</f>
        <v/>
      </c>
      <c r="KC36" s="12" t="n">
        <v>32</v>
      </c>
      <c r="KD36" s="12">
        <f>MOD(KC36-1+LaunchMonth-1,12)+1</f>
        <v/>
      </c>
      <c r="KE36" s="12">
        <f>INT((KC36-1+LaunchMonth-1)/12)+1</f>
        <v/>
      </c>
      <c r="KF36" s="12">
        <f>VLOOKUP(KD36,SeasonTable,2,FALSE)</f>
        <v/>
      </c>
      <c r="KG36" s="12">
        <f>(1+InflationRate)^INT((KC36-1)/12)</f>
        <v/>
      </c>
      <c r="KH36" s="11">
        <f>'Sens - Churn'!$A$16*VLOOKUP(KD36,ChurnSeasonTable,4,FALSE)</f>
        <v/>
      </c>
      <c r="KI36" s="12">
        <f>MIN(MAX(MktMin19plus,LG35*MktPct19plus),MAX(0,LU35-CashBuffer))</f>
        <v/>
      </c>
      <c r="KJ36" s="12">
        <f>IF(KI36&gt;0,MAX(1,ROUND(KI36/CAC*KF36,0)),0)</f>
        <v/>
      </c>
      <c r="KK36" s="12">
        <f>IF(KJ36&gt;0,ROUND(KJ36*ReferralMix/(1-ReferralMix),0),0)</f>
        <v/>
      </c>
      <c r="KL36" s="12">
        <f>KJ36+KK36</f>
        <v/>
      </c>
      <c r="KM36" s="12">
        <f>ROUND(KL36*(1-AnnualMix),0)</f>
        <v/>
      </c>
      <c r="KN36" s="12">
        <f>KL36-KM36</f>
        <v/>
      </c>
      <c r="KO36" s="12">
        <f>ROUND(KM36*EssentialMix,0)</f>
        <v/>
      </c>
      <c r="KP36" s="12">
        <f>ROUND(KM36*PremiumMix,0)</f>
        <v/>
      </c>
      <c r="KQ36" s="12">
        <f>KM36-KO36-KP36</f>
        <v/>
      </c>
      <c r="KR36" s="12">
        <f>ROUND(KN36*EssentialMix,0)</f>
        <v/>
      </c>
      <c r="KS36" s="12">
        <f>ROUND(KN36*PremiumMix,0)</f>
        <v/>
      </c>
      <c r="KT36" s="12">
        <f>KN36-KR36-KS36</f>
        <v/>
      </c>
      <c r="KU36" s="12">
        <f>KO36+KO35+KO34+MAX(0,KU35-KO35-KO34)*(1-KH36)</f>
        <v/>
      </c>
      <c r="KV36" s="12">
        <f>KP36+KP35+KP34+MAX(0,KV35-KP35-KP34)*(1-KH36)</f>
        <v/>
      </c>
      <c r="KW36" s="12">
        <f>KQ36+KQ35+KQ34+MAX(0,KW35-KQ35-KQ34)*(1-KH36)</f>
        <v/>
      </c>
      <c r="KX36" s="12">
        <f>KX35+KR36-KR24*(AnnualChurn*VLOOKUP(KD36,ChurnSeasonTable,4,FALSE))*POWER(1-(AnnualChurn*VLOOKUP(KD36,ChurnSeasonTable,4,FALSE)),0)+KR12*(AnnualChurn*VLOOKUP(KD36,ChurnSeasonTable,4,FALSE))*POWER(1-(AnnualChurn*VLOOKUP(KD36,ChurnSeasonTable,4,FALSE)),1)</f>
        <v/>
      </c>
      <c r="KY36" s="12">
        <f>KY35+KS36-KS24*(AnnualChurn*VLOOKUP(KD36,ChurnSeasonTable,4,FALSE))*POWER(1-(AnnualChurn*VLOOKUP(KD36,ChurnSeasonTable,4,FALSE)),0)+KS12*(AnnualChurn*VLOOKUP(KD36,ChurnSeasonTable,4,FALSE))*POWER(1-(AnnualChurn*VLOOKUP(KD36,ChurnSeasonTable,4,FALSE)),1)</f>
        <v/>
      </c>
      <c r="KZ36" s="12">
        <f>KZ35+KT36-KT24*(AnnualChurn*VLOOKUP(KD36,ChurnSeasonTable,4,FALSE))*POWER(1-(AnnualChurn*VLOOKUP(KD36,ChurnSeasonTable,4,FALSE)),0)+KT12*(AnnualChurn*VLOOKUP(KD36,ChurnSeasonTable,4,FALSE))*POWER(1-(AnnualChurn*VLOOKUP(KD36,ChurnSeasonTable,4,FALSE)),1)</f>
        <v/>
      </c>
      <c r="LA36" s="12">
        <f>KU36+KV36+KW36+KX36+KY36+KZ36</f>
        <v/>
      </c>
      <c r="LB36" s="9">
        <f>KU36*BlendedPriceEssMonthly*KG36+KV36*BlendedPricePremMonthly*KG36+KW36*BlendedPriceEliteMonthly*KG36+KX36*BlendedPriceEssAnnual*KG36/12+KY36*BlendedPricePremAnnual*KG36/12+KZ36*BlendedPriceEliteAnnual*KG36/12</f>
        <v/>
      </c>
      <c r="LC36" s="9">
        <f>LB36*12</f>
        <v/>
      </c>
      <c r="LD36" s="12">
        <f>KU36*BlendedPriceEssMonthly*KG36+KV36*BlendedPricePremMonthly*KG36+KW36*BlendedPriceEliteMonthly*KG36</f>
        <v/>
      </c>
      <c r="LE36" s="12">
        <f>KR36*BlendedPriceEssAnnual*KG36+KS36*BlendedPricePremAnnual*KG36+KT36*BlendedPriceEliteAnnual*KG36</f>
        <v/>
      </c>
      <c r="LF36" s="12">
        <f>KR24*POWER(1-(AnnualChurn*VLOOKUP(KD36,ChurnSeasonTable,4,FALSE)),1)*BlendedPriceEssAnnual*KG36+KR12*POWER(1-(AnnualChurn*VLOOKUP(KD36,ChurnSeasonTable,4,FALSE)),2)*BlendedPriceEssAnnual*KG36+KS24*POWER(1-(AnnualChurn*VLOOKUP(KD36,ChurnSeasonTable,4,FALSE)),1)*BlendedPricePremAnnual*KG36+KS12*POWER(1-(AnnualChurn*VLOOKUP(KD36,ChurnSeasonTable,4,FALSE)),2)*BlendedPricePremAnnual*KG36+KT24*POWER(1-(AnnualChurn*VLOOKUP(KD36,ChurnSeasonTable,4,FALSE)),1)*BlendedPriceEliteAnnual*KG36+KT12*POWER(1-(AnnualChurn*VLOOKUP(KD36,ChurnSeasonTable,4,FALSE)),2)*BlendedPriceEliteAnnual*KG36</f>
        <v/>
      </c>
      <c r="LG36" s="9">
        <f>LD36+LE36+LF36</f>
        <v/>
      </c>
      <c r="LH36" s="12">
        <f>SUM(LG25:LG36)</f>
        <v/>
      </c>
      <c r="LI36" s="12">
        <f>OR(LI35,IF(VATAgentMode,SUM($LG25:$LG36)-SUM($LN25:$LN36)&gt;=VATThreshold,SUM($LG25:$LG36)&gt;=VATThreshold))</f>
        <v/>
      </c>
      <c r="LJ36" s="9">
        <f>IF(LI36,IF(VATAgentMode,LG36-((LG36-LN36)-(LG36-LN36)/(1+VATRate)),LG36/(1+VATRate)),LG36)</f>
        <v/>
      </c>
      <c r="LK36" s="12">
        <f>LG36-LJ36</f>
        <v/>
      </c>
      <c r="LL36" s="12">
        <f>IF(LI36=0,0,IF(KD36=1,SUMPRODUCT(--(($KE$5:$KE36=$KE36-1)*($KD$5:$KD36&gt;=10)*($KD$5:$KD36&lt;=12)),$LK$5:$LK36),IF(KD36=4,SUMPRODUCT(--(($KE$5:$KE36=$KE36)*($KD$5:$KD36&gt;=1)*($KD$5:$KD36&lt;=3)),$LK$5:$LK36),IF(KD36=7,SUMPRODUCT(--(($KE$5:$KE36=$KE36)*($KD$5:$KD36&gt;=4)*($KD$5:$KD36&lt;=6)),$LK$5:$LK36),IF(KD36=10,SUMPRODUCT(--(($KE$5:$KE36=$KE36)*($KD$5:$KD36&gt;=7)*($KD$5:$KD36&lt;=9)),$LK$5:$LK36),0)))))</f>
        <v/>
      </c>
      <c r="LM36" s="12">
        <f>LM35+LK36-LL36</f>
        <v/>
      </c>
      <c r="LN36" s="12">
        <f>IF(ProviderDelay&gt;=1,KU35*BlendedProvPayEss+KV35*BlendedProvPayPrem+KW35*BlendedProvPayElite+KX35*BlendedProvPayEss+KY35*BlendedProvPayPrem+KZ35*BlendedProvPayElite,KU36*BlendedProvPayEss+KV36*BlendedProvPayPrem+KW36*BlendedProvPayElite+KX36*BlendedProvPayEss+KY36*BlendedProvPayPrem+KZ36*BlendedProvPayElite)</f>
        <v/>
      </c>
      <c r="LO36" s="12">
        <f>LG36*PaymentFee</f>
        <v/>
      </c>
      <c r="LP36" s="12">
        <f>LA36*OpsAI</f>
        <v/>
      </c>
      <c r="LQ36" s="12">
        <f>MonthlyFixed</f>
        <v/>
      </c>
      <c r="LR36" s="12">
        <f>KK36*ReferralReward</f>
        <v/>
      </c>
      <c r="LS36" s="12">
        <f>KI36</f>
        <v/>
      </c>
      <c r="LT36" s="9">
        <f>LJ36-LN36-LO36-LP36-LQ36-LR36-LS36</f>
        <v/>
      </c>
      <c r="LU36" s="9">
        <f>LU35+LG36-(LN36+LO36+LP36+LQ36+LR36+LS36+LL36)</f>
        <v/>
      </c>
      <c r="LV36" s="12">
        <f>IF(LA36&gt;0,LB36/LA36,0)</f>
        <v/>
      </c>
      <c r="LW36" s="11">
        <f>IF(LA35&gt;0,MAX(0,(LA35+KL36-LA36)/LA35),0)</f>
        <v/>
      </c>
      <c r="LY36" s="12" t="n">
        <v>32</v>
      </c>
      <c r="LZ36" s="12">
        <f>MOD(LY36-1+LaunchMonth-1,12)+1</f>
        <v/>
      </c>
      <c r="MA36" s="12">
        <f>INT((LY36-1+LaunchMonth-1)/12)+1</f>
        <v/>
      </c>
      <c r="MB36" s="12">
        <f>VLOOKUP(LZ36,SeasonTable,2,FALSE)</f>
        <v/>
      </c>
      <c r="MC36" s="12">
        <f>(1+InflationRate)^INT((LY36-1)/12)</f>
        <v/>
      </c>
      <c r="MD36" s="11">
        <f>'Sens - Churn'!$A$17*VLOOKUP(LZ36,ChurnSeasonTable,4,FALSE)</f>
        <v/>
      </c>
      <c r="ME36" s="12">
        <f>MIN(MAX(MktMin19plus,NC35*MktPct19plus),MAX(0,NQ35-CashBuffer))</f>
        <v/>
      </c>
      <c r="MF36" s="12">
        <f>IF(ME36&gt;0,MAX(1,ROUND(ME36/CAC*MB36,0)),0)</f>
        <v/>
      </c>
      <c r="MG36" s="12">
        <f>IF(MF36&gt;0,ROUND(MF36*ReferralMix/(1-ReferralMix),0),0)</f>
        <v/>
      </c>
      <c r="MH36" s="12">
        <f>MF36+MG36</f>
        <v/>
      </c>
      <c r="MI36" s="12">
        <f>ROUND(MH36*(1-AnnualMix),0)</f>
        <v/>
      </c>
      <c r="MJ36" s="12">
        <f>MH36-MI36</f>
        <v/>
      </c>
      <c r="MK36" s="12">
        <f>ROUND(MI36*EssentialMix,0)</f>
        <v/>
      </c>
      <c r="ML36" s="12">
        <f>ROUND(MI36*PremiumMix,0)</f>
        <v/>
      </c>
      <c r="MM36" s="12">
        <f>MI36-MK36-ML36</f>
        <v/>
      </c>
      <c r="MN36" s="12">
        <f>ROUND(MJ36*EssentialMix,0)</f>
        <v/>
      </c>
      <c r="MO36" s="12">
        <f>ROUND(MJ36*PremiumMix,0)</f>
        <v/>
      </c>
      <c r="MP36" s="12">
        <f>MJ36-MN36-MO36</f>
        <v/>
      </c>
      <c r="MQ36" s="12">
        <f>MK36+MK35+MK34+MAX(0,MQ35-MK35-MK34)*(1-MD36)</f>
        <v/>
      </c>
      <c r="MR36" s="12">
        <f>ML36+ML35+ML34+MAX(0,MR35-ML35-ML34)*(1-MD36)</f>
        <v/>
      </c>
      <c r="MS36" s="12">
        <f>MM36+MM35+MM34+MAX(0,MS35-MM35-MM34)*(1-MD36)</f>
        <v/>
      </c>
      <c r="MT36" s="12">
        <f>MT35+MN36-MN24*(AnnualChurn*VLOOKUP(LZ36,ChurnSeasonTable,4,FALSE))*POWER(1-(AnnualChurn*VLOOKUP(LZ36,ChurnSeasonTable,4,FALSE)),0)+MN12*(AnnualChurn*VLOOKUP(LZ36,ChurnSeasonTable,4,FALSE))*POWER(1-(AnnualChurn*VLOOKUP(LZ36,ChurnSeasonTable,4,FALSE)),1)</f>
        <v/>
      </c>
      <c r="MU36" s="12">
        <f>MU35+MO36-MO24*(AnnualChurn*VLOOKUP(LZ36,ChurnSeasonTable,4,FALSE))*POWER(1-(AnnualChurn*VLOOKUP(LZ36,ChurnSeasonTable,4,FALSE)),0)+MO12*(AnnualChurn*VLOOKUP(LZ36,ChurnSeasonTable,4,FALSE))*POWER(1-(AnnualChurn*VLOOKUP(LZ36,ChurnSeasonTable,4,FALSE)),1)</f>
        <v/>
      </c>
      <c r="MV36" s="12">
        <f>MV35+MP36-MP24*(AnnualChurn*VLOOKUP(LZ36,ChurnSeasonTable,4,FALSE))*POWER(1-(AnnualChurn*VLOOKUP(LZ36,ChurnSeasonTable,4,FALSE)),0)+MP12*(AnnualChurn*VLOOKUP(LZ36,ChurnSeasonTable,4,FALSE))*POWER(1-(AnnualChurn*VLOOKUP(LZ36,ChurnSeasonTable,4,FALSE)),1)</f>
        <v/>
      </c>
      <c r="MW36" s="12">
        <f>MQ36+MR36+MS36+MT36+MU36+MV36</f>
        <v/>
      </c>
      <c r="MX36" s="9">
        <f>MQ36*BlendedPriceEssMonthly*MC36+MR36*BlendedPricePremMonthly*MC36+MS36*BlendedPriceEliteMonthly*MC36+MT36*BlendedPriceEssAnnual*MC36/12+MU36*BlendedPricePremAnnual*MC36/12+MV36*BlendedPriceEliteAnnual*MC36/12</f>
        <v/>
      </c>
      <c r="MY36" s="9">
        <f>MX36*12</f>
        <v/>
      </c>
      <c r="MZ36" s="12">
        <f>MQ36*BlendedPriceEssMonthly*MC36+MR36*BlendedPricePremMonthly*MC36+MS36*BlendedPriceEliteMonthly*MC36</f>
        <v/>
      </c>
      <c r="NA36" s="12">
        <f>MN36*BlendedPriceEssAnnual*MC36+MO36*BlendedPricePremAnnual*MC36+MP36*BlendedPriceEliteAnnual*MC36</f>
        <v/>
      </c>
      <c r="NB36" s="12">
        <f>MN24*POWER(1-(AnnualChurn*VLOOKUP(LZ36,ChurnSeasonTable,4,FALSE)),1)*BlendedPriceEssAnnual*MC36+MN12*POWER(1-(AnnualChurn*VLOOKUP(LZ36,ChurnSeasonTable,4,FALSE)),2)*BlendedPriceEssAnnual*MC36+MO24*POWER(1-(AnnualChurn*VLOOKUP(LZ36,ChurnSeasonTable,4,FALSE)),1)*BlendedPricePremAnnual*MC36+MO12*POWER(1-(AnnualChurn*VLOOKUP(LZ36,ChurnSeasonTable,4,FALSE)),2)*BlendedPricePremAnnual*MC36+MP24*POWER(1-(AnnualChurn*VLOOKUP(LZ36,ChurnSeasonTable,4,FALSE)),1)*BlendedPriceEliteAnnual*MC36+MP12*POWER(1-(AnnualChurn*VLOOKUP(LZ36,ChurnSeasonTable,4,FALSE)),2)*BlendedPriceEliteAnnual*MC36</f>
        <v/>
      </c>
      <c r="NC36" s="9">
        <f>MZ36+NA36+NB36</f>
        <v/>
      </c>
      <c r="ND36" s="12">
        <f>SUM(NC25:NC36)</f>
        <v/>
      </c>
      <c r="NE36" s="12">
        <f>OR(NE35,IF(VATAgentMode,SUM($NC25:$NC36)-SUM($NJ25:$NJ36)&gt;=VATThreshold,SUM($NC25:$NC36)&gt;=VATThreshold))</f>
        <v/>
      </c>
      <c r="NF36" s="9">
        <f>IF(NE36,IF(VATAgentMode,NC36-((NC36-NJ36)-(NC36-NJ36)/(1+VATRate)),NC36/(1+VATRate)),NC36)</f>
        <v/>
      </c>
      <c r="NG36" s="12">
        <f>NC36-NF36</f>
        <v/>
      </c>
      <c r="NH36" s="12">
        <f>IF(NE36=0,0,IF(LZ36=1,SUMPRODUCT(--(($MA$5:$MA36=$MA36-1)*($LZ$5:$LZ36&gt;=10)*($LZ$5:$LZ36&lt;=12)),$NG$5:$NG36),IF(LZ36=4,SUMPRODUCT(--(($MA$5:$MA36=$MA36)*($LZ$5:$LZ36&gt;=1)*($LZ$5:$LZ36&lt;=3)),$NG$5:$NG36),IF(LZ36=7,SUMPRODUCT(--(($MA$5:$MA36=$MA36)*($LZ$5:$LZ36&gt;=4)*($LZ$5:$LZ36&lt;=6)),$NG$5:$NG36),IF(LZ36=10,SUMPRODUCT(--(($MA$5:$MA36=$MA36)*($LZ$5:$LZ36&gt;=7)*($LZ$5:$LZ36&lt;=9)),$NG$5:$NG36),0)))))</f>
        <v/>
      </c>
      <c r="NI36" s="12">
        <f>NI35+NG36-NH36</f>
        <v/>
      </c>
      <c r="NJ36" s="12">
        <f>IF(ProviderDelay&gt;=1,MQ35*BlendedProvPayEss+MR35*BlendedProvPayPrem+MS35*BlendedProvPayElite+MT35*BlendedProvPayEss+MU35*BlendedProvPayPrem+MV35*BlendedProvPayElite,MQ36*BlendedProvPayEss+MR36*BlendedProvPayPrem+MS36*BlendedProvPayElite+MT36*BlendedProvPayEss+MU36*BlendedProvPayPrem+MV36*BlendedProvPayElite)</f>
        <v/>
      </c>
      <c r="NK36" s="12">
        <f>NC36*PaymentFee</f>
        <v/>
      </c>
      <c r="NL36" s="12">
        <f>MW36*OpsAI</f>
        <v/>
      </c>
      <c r="NM36" s="12">
        <f>MonthlyFixed</f>
        <v/>
      </c>
      <c r="NN36" s="12">
        <f>MG36*ReferralReward</f>
        <v/>
      </c>
      <c r="NO36" s="12">
        <f>ME36</f>
        <v/>
      </c>
      <c r="NP36" s="9">
        <f>NF36-NJ36-NK36-NL36-NM36-NN36-NO36</f>
        <v/>
      </c>
      <c r="NQ36" s="9">
        <f>NQ35+NC36-(NJ36+NK36+NL36+NM36+NN36+NO36+NH36)</f>
        <v/>
      </c>
      <c r="NR36" s="12">
        <f>IF(MW36&gt;0,MX36/MW36,0)</f>
        <v/>
      </c>
      <c r="NS36" s="11">
        <f>IF(MW35&gt;0,MAX(0,(MW35+MH36-MW36)/MW35),0)</f>
        <v/>
      </c>
      <c r="NU36" s="12" t="n">
        <v>32</v>
      </c>
      <c r="NV36" s="12">
        <f>MOD(NU36-1+LaunchMonth-1,12)+1</f>
        <v/>
      </c>
      <c r="NW36" s="12">
        <f>INT((NU36-1+LaunchMonth-1)/12)+1</f>
        <v/>
      </c>
      <c r="NX36" s="12">
        <f>VLOOKUP(NV36,SeasonTable,2,FALSE)</f>
        <v/>
      </c>
      <c r="NY36" s="12">
        <f>(1+InflationRate)^INT((NU36-1)/12)</f>
        <v/>
      </c>
      <c r="NZ36" s="11">
        <f>'Sens - Churn'!$A$18*VLOOKUP(NV36,ChurnSeasonTable,4,FALSE)</f>
        <v/>
      </c>
      <c r="OA36" s="12">
        <f>MIN(MAX(MktMin19plus,OY35*MktPct19plus),MAX(0,PM35-CashBuffer))</f>
        <v/>
      </c>
      <c r="OB36" s="12">
        <f>IF(OA36&gt;0,MAX(1,ROUND(OA36/CAC*NX36,0)),0)</f>
        <v/>
      </c>
      <c r="OC36" s="12">
        <f>IF(OB36&gt;0,ROUND(OB36*ReferralMix/(1-ReferralMix),0),0)</f>
        <v/>
      </c>
      <c r="OD36" s="12">
        <f>OB36+OC36</f>
        <v/>
      </c>
      <c r="OE36" s="12">
        <f>ROUND(OD36*(1-AnnualMix),0)</f>
        <v/>
      </c>
      <c r="OF36" s="12">
        <f>OD36-OE36</f>
        <v/>
      </c>
      <c r="OG36" s="12">
        <f>ROUND(OE36*EssentialMix,0)</f>
        <v/>
      </c>
      <c r="OH36" s="12">
        <f>ROUND(OE36*PremiumMix,0)</f>
        <v/>
      </c>
      <c r="OI36" s="12">
        <f>OE36-OG36-OH36</f>
        <v/>
      </c>
      <c r="OJ36" s="12">
        <f>ROUND(OF36*EssentialMix,0)</f>
        <v/>
      </c>
      <c r="OK36" s="12">
        <f>ROUND(OF36*PremiumMix,0)</f>
        <v/>
      </c>
      <c r="OL36" s="12">
        <f>OF36-OJ36-OK36</f>
        <v/>
      </c>
      <c r="OM36" s="12">
        <f>OG36+OG35+OG34+MAX(0,OM35-OG35-OG34)*(1-NZ36)</f>
        <v/>
      </c>
      <c r="ON36" s="12">
        <f>OH36+OH35+OH34+MAX(0,ON35-OH35-OH34)*(1-NZ36)</f>
        <v/>
      </c>
      <c r="OO36" s="12">
        <f>OI36+OI35+OI34+MAX(0,OO35-OI35-OI34)*(1-NZ36)</f>
        <v/>
      </c>
      <c r="OP36" s="12">
        <f>OP35+OJ36-OJ24*(AnnualChurn*VLOOKUP(NV36,ChurnSeasonTable,4,FALSE))*POWER(1-(AnnualChurn*VLOOKUP(NV36,ChurnSeasonTable,4,FALSE)),0)+OJ12*(AnnualChurn*VLOOKUP(NV36,ChurnSeasonTable,4,FALSE))*POWER(1-(AnnualChurn*VLOOKUP(NV36,ChurnSeasonTable,4,FALSE)),1)</f>
        <v/>
      </c>
      <c r="OQ36" s="12">
        <f>OQ35+OK36-OK24*(AnnualChurn*VLOOKUP(NV36,ChurnSeasonTable,4,FALSE))*POWER(1-(AnnualChurn*VLOOKUP(NV36,ChurnSeasonTable,4,FALSE)),0)+OK12*(AnnualChurn*VLOOKUP(NV36,ChurnSeasonTable,4,FALSE))*POWER(1-(AnnualChurn*VLOOKUP(NV36,ChurnSeasonTable,4,FALSE)),1)</f>
        <v/>
      </c>
      <c r="OR36" s="12">
        <f>OR35+OL36-OL24*(AnnualChurn*VLOOKUP(NV36,ChurnSeasonTable,4,FALSE))*POWER(1-(AnnualChurn*VLOOKUP(NV36,ChurnSeasonTable,4,FALSE)),0)+OL12*(AnnualChurn*VLOOKUP(NV36,ChurnSeasonTable,4,FALSE))*POWER(1-(AnnualChurn*VLOOKUP(NV36,ChurnSeasonTable,4,FALSE)),1)</f>
        <v/>
      </c>
      <c r="OS36" s="12">
        <f>OM36+ON36+OO36+OP36+OQ36+OR36</f>
        <v/>
      </c>
      <c r="OT36" s="9">
        <f>OM36*BlendedPriceEssMonthly*NY36+ON36*BlendedPricePremMonthly*NY36+OO36*BlendedPriceEliteMonthly*NY36+OP36*BlendedPriceEssAnnual*NY36/12+OQ36*BlendedPricePremAnnual*NY36/12+OR36*BlendedPriceEliteAnnual*NY36/12</f>
        <v/>
      </c>
      <c r="OU36" s="9">
        <f>OT36*12</f>
        <v/>
      </c>
      <c r="OV36" s="12">
        <f>OM36*BlendedPriceEssMonthly*NY36+ON36*BlendedPricePremMonthly*NY36+OO36*BlendedPriceEliteMonthly*NY36</f>
        <v/>
      </c>
      <c r="OW36" s="12">
        <f>OJ36*BlendedPriceEssAnnual*NY36+OK36*BlendedPricePremAnnual*NY36+OL36*BlendedPriceEliteAnnual*NY36</f>
        <v/>
      </c>
      <c r="OX36" s="12">
        <f>OJ24*POWER(1-(AnnualChurn*VLOOKUP(NV36,ChurnSeasonTable,4,FALSE)),1)*BlendedPriceEssAnnual*NY36+OJ12*POWER(1-(AnnualChurn*VLOOKUP(NV36,ChurnSeasonTable,4,FALSE)),2)*BlendedPriceEssAnnual*NY36+OK24*POWER(1-(AnnualChurn*VLOOKUP(NV36,ChurnSeasonTable,4,FALSE)),1)*BlendedPricePremAnnual*NY36+OK12*POWER(1-(AnnualChurn*VLOOKUP(NV36,ChurnSeasonTable,4,FALSE)),2)*BlendedPricePremAnnual*NY36+OL24*POWER(1-(AnnualChurn*VLOOKUP(NV36,ChurnSeasonTable,4,FALSE)),1)*BlendedPriceEliteAnnual*NY36+OL12*POWER(1-(AnnualChurn*VLOOKUP(NV36,ChurnSeasonTable,4,FALSE)),2)*BlendedPriceEliteAnnual*NY36</f>
        <v/>
      </c>
      <c r="OY36" s="9">
        <f>OV36+OW36+OX36</f>
        <v/>
      </c>
      <c r="OZ36" s="12">
        <f>SUM(OY25:OY36)</f>
        <v/>
      </c>
      <c r="PA36" s="12">
        <f>OR(PA35,IF(VATAgentMode,SUM($OY25:$OY36)-SUM($PF25:$PF36)&gt;=VATThreshold,SUM($OY25:$OY36)&gt;=VATThreshold))</f>
        <v/>
      </c>
      <c r="PB36" s="9">
        <f>IF(PA36,IF(VATAgentMode,OY36-((OY36-PF36)-(OY36-PF36)/(1+VATRate)),OY36/(1+VATRate)),OY36)</f>
        <v/>
      </c>
      <c r="PC36" s="12">
        <f>OY36-PB36</f>
        <v/>
      </c>
      <c r="PD36" s="12">
        <f>IF(PA36=0,0,IF(NV36=1,SUMPRODUCT(--(($NW$5:$NW36=$NW36-1)*($NV$5:$NV36&gt;=10)*($NV$5:$NV36&lt;=12)),$PC$5:$PC36),IF(NV36=4,SUMPRODUCT(--(($NW$5:$NW36=$NW36)*($NV$5:$NV36&gt;=1)*($NV$5:$NV36&lt;=3)),$PC$5:$PC36),IF(NV36=7,SUMPRODUCT(--(($NW$5:$NW36=$NW36)*($NV$5:$NV36&gt;=4)*($NV$5:$NV36&lt;=6)),$PC$5:$PC36),IF(NV36=10,SUMPRODUCT(--(($NW$5:$NW36=$NW36)*($NV$5:$NV36&gt;=7)*($NV$5:$NV36&lt;=9)),$PC$5:$PC36),0)))))</f>
        <v/>
      </c>
      <c r="PE36" s="12">
        <f>PE35+PC36-PD36</f>
        <v/>
      </c>
      <c r="PF36" s="12">
        <f>IF(ProviderDelay&gt;=1,OM35*BlendedProvPayEss+ON35*BlendedProvPayPrem+OO35*BlendedProvPayElite+OP35*BlendedProvPayEss+OQ35*BlendedProvPayPrem+OR35*BlendedProvPayElite,OM36*BlendedProvPayEss+ON36*BlendedProvPayPrem+OO36*BlendedProvPayElite+OP36*BlendedProvPayEss+OQ36*BlendedProvPayPrem+OR36*BlendedProvPayElite)</f>
        <v/>
      </c>
      <c r="PG36" s="12">
        <f>OY36*PaymentFee</f>
        <v/>
      </c>
      <c r="PH36" s="12">
        <f>OS36*OpsAI</f>
        <v/>
      </c>
      <c r="PI36" s="12">
        <f>MonthlyFixed</f>
        <v/>
      </c>
      <c r="PJ36" s="12">
        <f>OC36*ReferralReward</f>
        <v/>
      </c>
      <c r="PK36" s="12">
        <f>OA36</f>
        <v/>
      </c>
      <c r="PL36" s="9">
        <f>PB36-PF36-PG36-PH36-PI36-PJ36-PK36</f>
        <v/>
      </c>
      <c r="PM36" s="9">
        <f>PM35+OY36-(PF36+PG36+PH36+PI36+PJ36+PK36+PD36)</f>
        <v/>
      </c>
      <c r="PN36" s="12">
        <f>IF(OS36&gt;0,OT36/OS36,0)</f>
        <v/>
      </c>
      <c r="PO36" s="11">
        <f>IF(OS35&gt;0,MAX(0,(OS35+OD36-OS36)/OS35),0)</f>
        <v/>
      </c>
      <c r="PQ36" s="12" t="n">
        <v>32</v>
      </c>
      <c r="PR36" s="12">
        <f>MOD(PQ36-1+LaunchMonth-1,12)+1</f>
        <v/>
      </c>
      <c r="PS36" s="12">
        <f>INT((PQ36-1+LaunchMonth-1)/12)+1</f>
        <v/>
      </c>
      <c r="PT36" s="12">
        <f>VLOOKUP(PR36,SeasonTable,2,FALSE)</f>
        <v/>
      </c>
      <c r="PU36" s="12">
        <f>(1+InflationRate)^INT((PQ36-1)/12)</f>
        <v/>
      </c>
      <c r="PV36" s="11">
        <f>'Sens - Churn'!$A$19*VLOOKUP(PR36,ChurnSeasonTable,4,FALSE)</f>
        <v/>
      </c>
      <c r="PW36" s="12">
        <f>MIN(MAX(MktMin19plus,QU35*MktPct19plus),MAX(0,RI35-CashBuffer))</f>
        <v/>
      </c>
      <c r="PX36" s="12">
        <f>IF(PW36&gt;0,MAX(1,ROUND(PW36/CAC*PT36,0)),0)</f>
        <v/>
      </c>
      <c r="PY36" s="12">
        <f>IF(PX36&gt;0,ROUND(PX36*ReferralMix/(1-ReferralMix),0),0)</f>
        <v/>
      </c>
      <c r="PZ36" s="12">
        <f>PX36+PY36</f>
        <v/>
      </c>
      <c r="QA36" s="12">
        <f>ROUND(PZ36*(1-AnnualMix),0)</f>
        <v/>
      </c>
      <c r="QB36" s="12">
        <f>PZ36-QA36</f>
        <v/>
      </c>
      <c r="QC36" s="12">
        <f>ROUND(QA36*EssentialMix,0)</f>
        <v/>
      </c>
      <c r="QD36" s="12">
        <f>ROUND(QA36*PremiumMix,0)</f>
        <v/>
      </c>
      <c r="QE36" s="12">
        <f>QA36-QC36-QD36</f>
        <v/>
      </c>
      <c r="QF36" s="12">
        <f>ROUND(QB36*EssentialMix,0)</f>
        <v/>
      </c>
      <c r="QG36" s="12">
        <f>ROUND(QB36*PremiumMix,0)</f>
        <v/>
      </c>
      <c r="QH36" s="12">
        <f>QB36-QF36-QG36</f>
        <v/>
      </c>
      <c r="QI36" s="12">
        <f>QC36+QC35+QC34+MAX(0,QI35-QC35-QC34)*(1-PV36)</f>
        <v/>
      </c>
      <c r="QJ36" s="12">
        <f>QD36+QD35+QD34+MAX(0,QJ35-QD35-QD34)*(1-PV36)</f>
        <v/>
      </c>
      <c r="QK36" s="12">
        <f>QE36+QE35+QE34+MAX(0,QK35-QE35-QE34)*(1-PV36)</f>
        <v/>
      </c>
      <c r="QL36" s="12">
        <f>QL35+QF36-QF24*(AnnualChurn*VLOOKUP(PR36,ChurnSeasonTable,4,FALSE))*POWER(1-(AnnualChurn*VLOOKUP(PR36,ChurnSeasonTable,4,FALSE)),0)+QF12*(AnnualChurn*VLOOKUP(PR36,ChurnSeasonTable,4,FALSE))*POWER(1-(AnnualChurn*VLOOKUP(PR36,ChurnSeasonTable,4,FALSE)),1)</f>
        <v/>
      </c>
      <c r="QM36" s="12">
        <f>QM35+QG36-QG24*(AnnualChurn*VLOOKUP(PR36,ChurnSeasonTable,4,FALSE))*POWER(1-(AnnualChurn*VLOOKUP(PR36,ChurnSeasonTable,4,FALSE)),0)+QG12*(AnnualChurn*VLOOKUP(PR36,ChurnSeasonTable,4,FALSE))*POWER(1-(AnnualChurn*VLOOKUP(PR36,ChurnSeasonTable,4,FALSE)),1)</f>
        <v/>
      </c>
      <c r="QN36" s="12">
        <f>QN35+QH36-QH24*(AnnualChurn*VLOOKUP(PR36,ChurnSeasonTable,4,FALSE))*POWER(1-(AnnualChurn*VLOOKUP(PR36,ChurnSeasonTable,4,FALSE)),0)+QH12*(AnnualChurn*VLOOKUP(PR36,ChurnSeasonTable,4,FALSE))*POWER(1-(AnnualChurn*VLOOKUP(PR36,ChurnSeasonTable,4,FALSE)),1)</f>
        <v/>
      </c>
      <c r="QO36" s="12">
        <f>QI36+QJ36+QK36+QL36+QM36+QN36</f>
        <v/>
      </c>
      <c r="QP36" s="9">
        <f>QI36*BlendedPriceEssMonthly*PU36+QJ36*BlendedPricePremMonthly*PU36+QK36*BlendedPriceEliteMonthly*PU36+QL36*BlendedPriceEssAnnual*PU36/12+QM36*BlendedPricePremAnnual*PU36/12+QN36*BlendedPriceEliteAnnual*PU36/12</f>
        <v/>
      </c>
      <c r="QQ36" s="9">
        <f>QP36*12</f>
        <v/>
      </c>
      <c r="QR36" s="12">
        <f>QI36*BlendedPriceEssMonthly*PU36+QJ36*BlendedPricePremMonthly*PU36+QK36*BlendedPriceEliteMonthly*PU36</f>
        <v/>
      </c>
      <c r="QS36" s="12">
        <f>QF36*BlendedPriceEssAnnual*PU36+QG36*BlendedPricePremAnnual*PU36+QH36*BlendedPriceEliteAnnual*PU36</f>
        <v/>
      </c>
      <c r="QT36" s="12">
        <f>QF24*POWER(1-(AnnualChurn*VLOOKUP(PR36,ChurnSeasonTable,4,FALSE)),1)*BlendedPriceEssAnnual*PU36+QF12*POWER(1-(AnnualChurn*VLOOKUP(PR36,ChurnSeasonTable,4,FALSE)),2)*BlendedPriceEssAnnual*PU36+QG24*POWER(1-(AnnualChurn*VLOOKUP(PR36,ChurnSeasonTable,4,FALSE)),1)*BlendedPricePremAnnual*PU36+QG12*POWER(1-(AnnualChurn*VLOOKUP(PR36,ChurnSeasonTable,4,FALSE)),2)*BlendedPricePremAnnual*PU36+QH24*POWER(1-(AnnualChurn*VLOOKUP(PR36,ChurnSeasonTable,4,FALSE)),1)*BlendedPriceEliteAnnual*PU36+QH12*POWER(1-(AnnualChurn*VLOOKUP(PR36,ChurnSeasonTable,4,FALSE)),2)*BlendedPriceEliteAnnual*PU36</f>
        <v/>
      </c>
      <c r="QU36" s="9">
        <f>QR36+QS36+QT36</f>
        <v/>
      </c>
      <c r="QV36" s="12">
        <f>SUM(QU25:QU36)</f>
        <v/>
      </c>
      <c r="QW36" s="12">
        <f>OR(QW35,IF(VATAgentMode,SUM($QU25:$QU36)-SUM($RB25:$RB36)&gt;=VATThreshold,SUM($QU25:$QU36)&gt;=VATThreshold))</f>
        <v/>
      </c>
      <c r="QX36" s="9">
        <f>IF(QW36,IF(VATAgentMode,QU36-((QU36-RB36)-(QU36-RB36)/(1+VATRate)),QU36/(1+VATRate)),QU36)</f>
        <v/>
      </c>
      <c r="QY36" s="12">
        <f>QU36-QX36</f>
        <v/>
      </c>
      <c r="QZ36" s="12">
        <f>IF(QW36=0,0,IF(PR36=1,SUMPRODUCT(--(($PS$5:$PS36=$PS36-1)*($PR$5:$PR36&gt;=10)*($PR$5:$PR36&lt;=12)),$QY$5:$QY36),IF(PR36=4,SUMPRODUCT(--(($PS$5:$PS36=$PS36)*($PR$5:$PR36&gt;=1)*($PR$5:$PR36&lt;=3)),$QY$5:$QY36),IF(PR36=7,SUMPRODUCT(--(($PS$5:$PS36=$PS36)*($PR$5:$PR36&gt;=4)*($PR$5:$PR36&lt;=6)),$QY$5:$QY36),IF(PR36=10,SUMPRODUCT(--(($PS$5:$PS36=$PS36)*($PR$5:$PR36&gt;=7)*($PR$5:$PR36&lt;=9)),$QY$5:$QY36),0)))))</f>
        <v/>
      </c>
      <c r="RA36" s="12">
        <f>RA35+QY36-QZ36</f>
        <v/>
      </c>
      <c r="RB36" s="12">
        <f>IF(ProviderDelay&gt;=1,QI35*BlendedProvPayEss+QJ35*BlendedProvPayPrem+QK35*BlendedProvPayElite+QL35*BlendedProvPayEss+QM35*BlendedProvPayPrem+QN35*BlendedProvPayElite,QI36*BlendedProvPayEss+QJ36*BlendedProvPayPrem+QK36*BlendedProvPayElite+QL36*BlendedProvPayEss+QM36*BlendedProvPayPrem+QN36*BlendedProvPayElite)</f>
        <v/>
      </c>
      <c r="RC36" s="12">
        <f>QU36*PaymentFee</f>
        <v/>
      </c>
      <c r="RD36" s="12">
        <f>QO36*OpsAI</f>
        <v/>
      </c>
      <c r="RE36" s="12">
        <f>MonthlyFixed</f>
        <v/>
      </c>
      <c r="RF36" s="12">
        <f>PY36*ReferralReward</f>
        <v/>
      </c>
      <c r="RG36" s="12">
        <f>PW36</f>
        <v/>
      </c>
      <c r="RH36" s="9">
        <f>QX36-RB36-RC36-RD36-RE36-RF36-RG36</f>
        <v/>
      </c>
      <c r="RI36" s="9">
        <f>RI35+QU36-(RB36+RC36+RD36+RE36+RF36+RG36+QZ36)</f>
        <v/>
      </c>
      <c r="RJ36" s="12">
        <f>IF(QO36&gt;0,QP36/QO36,0)</f>
        <v/>
      </c>
      <c r="RK36" s="11">
        <f>IF(QO35&gt;0,MAX(0,(QO35+PZ36-QO36)/QO35),0)</f>
        <v/>
      </c>
      <c r="RM36" s="12" t="n">
        <v>32</v>
      </c>
      <c r="RN36" s="12">
        <f>MOD(RM36-1+LaunchMonth-1,12)+1</f>
        <v/>
      </c>
      <c r="RO36" s="12">
        <f>INT((RM36-1+LaunchMonth-1)/12)+1</f>
        <v/>
      </c>
      <c r="RP36" s="12">
        <f>VLOOKUP(RN36,SeasonTable,2,FALSE)</f>
        <v/>
      </c>
      <c r="RQ36" s="12">
        <f>(1+InflationRate)^INT((RM36-1)/12)</f>
        <v/>
      </c>
      <c r="RR36" s="11">
        <f>'Sens - Churn'!$A$20*VLOOKUP(RN36,ChurnSeasonTable,4,FALSE)</f>
        <v/>
      </c>
      <c r="RS36" s="12">
        <f>MIN(MAX(MktMin19plus,SQ35*MktPct19plus),MAX(0,TE35-CashBuffer))</f>
        <v/>
      </c>
      <c r="RT36" s="12">
        <f>IF(RS36&gt;0,MAX(1,ROUND(RS36/CAC*RP36,0)),0)</f>
        <v/>
      </c>
      <c r="RU36" s="12">
        <f>IF(RT36&gt;0,ROUND(RT36*ReferralMix/(1-ReferralMix),0),0)</f>
        <v/>
      </c>
      <c r="RV36" s="12">
        <f>RT36+RU36</f>
        <v/>
      </c>
      <c r="RW36" s="12">
        <f>ROUND(RV36*(1-AnnualMix),0)</f>
        <v/>
      </c>
      <c r="RX36" s="12">
        <f>RV36-RW36</f>
        <v/>
      </c>
      <c r="RY36" s="12">
        <f>ROUND(RW36*EssentialMix,0)</f>
        <v/>
      </c>
      <c r="RZ36" s="12">
        <f>ROUND(RW36*PremiumMix,0)</f>
        <v/>
      </c>
      <c r="SA36" s="12">
        <f>RW36-RY36-RZ36</f>
        <v/>
      </c>
      <c r="SB36" s="12">
        <f>ROUND(RX36*EssentialMix,0)</f>
        <v/>
      </c>
      <c r="SC36" s="12">
        <f>ROUND(RX36*PremiumMix,0)</f>
        <v/>
      </c>
      <c r="SD36" s="12">
        <f>RX36-SB36-SC36</f>
        <v/>
      </c>
      <c r="SE36" s="12">
        <f>RY36+RY35+RY34+MAX(0,SE35-RY35-RY34)*(1-RR36)</f>
        <v/>
      </c>
      <c r="SF36" s="12">
        <f>RZ36+RZ35+RZ34+MAX(0,SF35-RZ35-RZ34)*(1-RR36)</f>
        <v/>
      </c>
      <c r="SG36" s="12">
        <f>SA36+SA35+SA34+MAX(0,SG35-SA35-SA34)*(1-RR36)</f>
        <v/>
      </c>
      <c r="SH36" s="12">
        <f>SH35+SB36-SB24*(AnnualChurn*VLOOKUP(RN36,ChurnSeasonTable,4,FALSE))*POWER(1-(AnnualChurn*VLOOKUP(RN36,ChurnSeasonTable,4,FALSE)),0)+SB12*(AnnualChurn*VLOOKUP(RN36,ChurnSeasonTable,4,FALSE))*POWER(1-(AnnualChurn*VLOOKUP(RN36,ChurnSeasonTable,4,FALSE)),1)</f>
        <v/>
      </c>
      <c r="SI36" s="12">
        <f>SI35+SC36-SC24*(AnnualChurn*VLOOKUP(RN36,ChurnSeasonTable,4,FALSE))*POWER(1-(AnnualChurn*VLOOKUP(RN36,ChurnSeasonTable,4,FALSE)),0)+SC12*(AnnualChurn*VLOOKUP(RN36,ChurnSeasonTable,4,FALSE))*POWER(1-(AnnualChurn*VLOOKUP(RN36,ChurnSeasonTable,4,FALSE)),1)</f>
        <v/>
      </c>
      <c r="SJ36" s="12">
        <f>SJ35+SD36-SD24*(AnnualChurn*VLOOKUP(RN36,ChurnSeasonTable,4,FALSE))*POWER(1-(AnnualChurn*VLOOKUP(RN36,ChurnSeasonTable,4,FALSE)),0)+SD12*(AnnualChurn*VLOOKUP(RN36,ChurnSeasonTable,4,FALSE))*POWER(1-(AnnualChurn*VLOOKUP(RN36,ChurnSeasonTable,4,FALSE)),1)</f>
        <v/>
      </c>
      <c r="SK36" s="12">
        <f>SE36+SF36+SG36+SH36+SI36+SJ36</f>
        <v/>
      </c>
      <c r="SL36" s="9">
        <f>SE36*BlendedPriceEssMonthly*RQ36+SF36*BlendedPricePremMonthly*RQ36+SG36*BlendedPriceEliteMonthly*RQ36+SH36*BlendedPriceEssAnnual*RQ36/12+SI36*BlendedPricePremAnnual*RQ36/12+SJ36*BlendedPriceEliteAnnual*RQ36/12</f>
        <v/>
      </c>
      <c r="SM36" s="9">
        <f>SL36*12</f>
        <v/>
      </c>
      <c r="SN36" s="12">
        <f>SE36*BlendedPriceEssMonthly*RQ36+SF36*BlendedPricePremMonthly*RQ36+SG36*BlendedPriceEliteMonthly*RQ36</f>
        <v/>
      </c>
      <c r="SO36" s="12">
        <f>SB36*BlendedPriceEssAnnual*RQ36+SC36*BlendedPricePremAnnual*RQ36+SD36*BlendedPriceEliteAnnual*RQ36</f>
        <v/>
      </c>
      <c r="SP36" s="12">
        <f>SB24*POWER(1-(AnnualChurn*VLOOKUP(RN36,ChurnSeasonTable,4,FALSE)),1)*BlendedPriceEssAnnual*RQ36+SB12*POWER(1-(AnnualChurn*VLOOKUP(RN36,ChurnSeasonTable,4,FALSE)),2)*BlendedPriceEssAnnual*RQ36+SC24*POWER(1-(AnnualChurn*VLOOKUP(RN36,ChurnSeasonTable,4,FALSE)),1)*BlendedPricePremAnnual*RQ36+SC12*POWER(1-(AnnualChurn*VLOOKUP(RN36,ChurnSeasonTable,4,FALSE)),2)*BlendedPricePremAnnual*RQ36+SD24*POWER(1-(AnnualChurn*VLOOKUP(RN36,ChurnSeasonTable,4,FALSE)),1)*BlendedPriceEliteAnnual*RQ36+SD12*POWER(1-(AnnualChurn*VLOOKUP(RN36,ChurnSeasonTable,4,FALSE)),2)*BlendedPriceEliteAnnual*RQ36</f>
        <v/>
      </c>
      <c r="SQ36" s="9">
        <f>SN36+SO36+SP36</f>
        <v/>
      </c>
      <c r="SR36" s="12">
        <f>SUM(SQ25:SQ36)</f>
        <v/>
      </c>
      <c r="SS36" s="12">
        <f>OR(SS35,IF(VATAgentMode,SUM($SQ25:$SQ36)-SUM($SX25:$SX36)&gt;=VATThreshold,SUM($SQ25:$SQ36)&gt;=VATThreshold))</f>
        <v/>
      </c>
      <c r="ST36" s="9">
        <f>IF(SS36,IF(VATAgentMode,SQ36-((SQ36-SX36)-(SQ36-SX36)/(1+VATRate)),SQ36/(1+VATRate)),SQ36)</f>
        <v/>
      </c>
      <c r="SU36" s="12">
        <f>SQ36-ST36</f>
        <v/>
      </c>
      <c r="SV36" s="12">
        <f>IF(SS36=0,0,IF(RN36=1,SUMPRODUCT(--(($RO$5:$RO36=$RO36-1)*($RN$5:$RN36&gt;=10)*($RN$5:$RN36&lt;=12)),$SU$5:$SU36),IF(RN36=4,SUMPRODUCT(--(($RO$5:$RO36=$RO36)*($RN$5:$RN36&gt;=1)*($RN$5:$RN36&lt;=3)),$SU$5:$SU36),IF(RN36=7,SUMPRODUCT(--(($RO$5:$RO36=$RO36)*($RN$5:$RN36&gt;=4)*($RN$5:$RN36&lt;=6)),$SU$5:$SU36),IF(RN36=10,SUMPRODUCT(--(($RO$5:$RO36=$RO36)*($RN$5:$RN36&gt;=7)*($RN$5:$RN36&lt;=9)),$SU$5:$SU36),0)))))</f>
        <v/>
      </c>
      <c r="SW36" s="12">
        <f>SW35+SU36-SV36</f>
        <v/>
      </c>
      <c r="SX36" s="12">
        <f>IF(ProviderDelay&gt;=1,SE35*BlendedProvPayEss+SF35*BlendedProvPayPrem+SG35*BlendedProvPayElite+SH35*BlendedProvPayEss+SI35*BlendedProvPayPrem+SJ35*BlendedProvPayElite,SE36*BlendedProvPayEss+SF36*BlendedProvPayPrem+SG36*BlendedProvPayElite+SH36*BlendedProvPayEss+SI36*BlendedProvPayPrem+SJ36*BlendedProvPayElite)</f>
        <v/>
      </c>
      <c r="SY36" s="12">
        <f>SQ36*PaymentFee</f>
        <v/>
      </c>
      <c r="SZ36" s="12">
        <f>SK36*OpsAI</f>
        <v/>
      </c>
      <c r="TA36" s="12">
        <f>MonthlyFixed</f>
        <v/>
      </c>
      <c r="TB36" s="12">
        <f>RU36*ReferralReward</f>
        <v/>
      </c>
      <c r="TC36" s="12">
        <f>RS36</f>
        <v/>
      </c>
      <c r="TD36" s="9">
        <f>ST36-SX36-SY36-SZ36-TA36-TB36-TC36</f>
        <v/>
      </c>
      <c r="TE36" s="9">
        <f>TE35+SQ36-(SX36+SY36+SZ36+TA36+TB36+TC36+SV36)</f>
        <v/>
      </c>
      <c r="TF36" s="12">
        <f>IF(SK36&gt;0,SL36/SK36,0)</f>
        <v/>
      </c>
      <c r="TG36" s="11">
        <f>IF(SK35&gt;0,MAX(0,(SK35+RV36-SK36)/SK35),0)</f>
        <v/>
      </c>
      <c r="TI36" s="12" t="n">
        <v>32</v>
      </c>
      <c r="TJ36" s="12">
        <f>MOD(TI36-1+LaunchMonth-1,12)+1</f>
        <v/>
      </c>
      <c r="TK36" s="12">
        <f>INT((TI36-1+LaunchMonth-1)/12)+1</f>
        <v/>
      </c>
      <c r="TL36" s="12">
        <f>VLOOKUP(TJ36,SeasonTable,2,FALSE)</f>
        <v/>
      </c>
      <c r="TM36" s="12">
        <f>(1+InflationRate)^INT((TI36-1)/12)</f>
        <v/>
      </c>
      <c r="TN36" s="11">
        <f>'Sens - Churn'!$A$21*VLOOKUP(TJ36,ChurnSeasonTable,4,FALSE)</f>
        <v/>
      </c>
      <c r="TO36" s="12">
        <f>MIN(MAX(MktMin19plus,UM35*MktPct19plus),MAX(0,VA35-CashBuffer))</f>
        <v/>
      </c>
      <c r="TP36" s="12">
        <f>IF(TO36&gt;0,MAX(1,ROUND(TO36/CAC*TL36,0)),0)</f>
        <v/>
      </c>
      <c r="TQ36" s="12">
        <f>IF(TP36&gt;0,ROUND(TP36*ReferralMix/(1-ReferralMix),0),0)</f>
        <v/>
      </c>
      <c r="TR36" s="12">
        <f>TP36+TQ36</f>
        <v/>
      </c>
      <c r="TS36" s="12">
        <f>ROUND(TR36*(1-AnnualMix),0)</f>
        <v/>
      </c>
      <c r="TT36" s="12">
        <f>TR36-TS36</f>
        <v/>
      </c>
      <c r="TU36" s="12">
        <f>ROUND(TS36*EssentialMix,0)</f>
        <v/>
      </c>
      <c r="TV36" s="12">
        <f>ROUND(TS36*PremiumMix,0)</f>
        <v/>
      </c>
      <c r="TW36" s="12">
        <f>TS36-TU36-TV36</f>
        <v/>
      </c>
      <c r="TX36" s="12">
        <f>ROUND(TT36*EssentialMix,0)</f>
        <v/>
      </c>
      <c r="TY36" s="12">
        <f>ROUND(TT36*PremiumMix,0)</f>
        <v/>
      </c>
      <c r="TZ36" s="12">
        <f>TT36-TX36-TY36</f>
        <v/>
      </c>
      <c r="UA36" s="12">
        <f>TU36+TU35+TU34+MAX(0,UA35-TU35-TU34)*(1-TN36)</f>
        <v/>
      </c>
      <c r="UB36" s="12">
        <f>TV36+TV35+TV34+MAX(0,UB35-TV35-TV34)*(1-TN36)</f>
        <v/>
      </c>
      <c r="UC36" s="12">
        <f>TW36+TW35+TW34+MAX(0,UC35-TW35-TW34)*(1-TN36)</f>
        <v/>
      </c>
      <c r="UD36" s="12">
        <f>UD35+TX36-TX24*(AnnualChurn*VLOOKUP(TJ36,ChurnSeasonTable,4,FALSE))*POWER(1-(AnnualChurn*VLOOKUP(TJ36,ChurnSeasonTable,4,FALSE)),0)+TX12*(AnnualChurn*VLOOKUP(TJ36,ChurnSeasonTable,4,FALSE))*POWER(1-(AnnualChurn*VLOOKUP(TJ36,ChurnSeasonTable,4,FALSE)),1)</f>
        <v/>
      </c>
      <c r="UE36" s="12">
        <f>UE35+TY36-TY24*(AnnualChurn*VLOOKUP(TJ36,ChurnSeasonTable,4,FALSE))*POWER(1-(AnnualChurn*VLOOKUP(TJ36,ChurnSeasonTable,4,FALSE)),0)+TY12*(AnnualChurn*VLOOKUP(TJ36,ChurnSeasonTable,4,FALSE))*POWER(1-(AnnualChurn*VLOOKUP(TJ36,ChurnSeasonTable,4,FALSE)),1)</f>
        <v/>
      </c>
      <c r="UF36" s="12">
        <f>UF35+TZ36-TZ24*(AnnualChurn*VLOOKUP(TJ36,ChurnSeasonTable,4,FALSE))*POWER(1-(AnnualChurn*VLOOKUP(TJ36,ChurnSeasonTable,4,FALSE)),0)+TZ12*(AnnualChurn*VLOOKUP(TJ36,ChurnSeasonTable,4,FALSE))*POWER(1-(AnnualChurn*VLOOKUP(TJ36,ChurnSeasonTable,4,FALSE)),1)</f>
        <v/>
      </c>
      <c r="UG36" s="12">
        <f>UA36+UB36+UC36+UD36+UE36+UF36</f>
        <v/>
      </c>
      <c r="UH36" s="9">
        <f>UA36*BlendedPriceEssMonthly*TM36+UB36*BlendedPricePremMonthly*TM36+UC36*BlendedPriceEliteMonthly*TM36+UD36*BlendedPriceEssAnnual*TM36/12+UE36*BlendedPricePremAnnual*TM36/12+UF36*BlendedPriceEliteAnnual*TM36/12</f>
        <v/>
      </c>
      <c r="UI36" s="9">
        <f>UH36*12</f>
        <v/>
      </c>
      <c r="UJ36" s="12">
        <f>UA36*BlendedPriceEssMonthly*TM36+UB36*BlendedPricePremMonthly*TM36+UC36*BlendedPriceEliteMonthly*TM36</f>
        <v/>
      </c>
      <c r="UK36" s="12">
        <f>TX36*BlendedPriceEssAnnual*TM36+TY36*BlendedPricePremAnnual*TM36+TZ36*BlendedPriceEliteAnnual*TM36</f>
        <v/>
      </c>
      <c r="UL36" s="12">
        <f>TX24*POWER(1-(AnnualChurn*VLOOKUP(TJ36,ChurnSeasonTable,4,FALSE)),1)*BlendedPriceEssAnnual*TM36+TX12*POWER(1-(AnnualChurn*VLOOKUP(TJ36,ChurnSeasonTable,4,FALSE)),2)*BlendedPriceEssAnnual*TM36+TY24*POWER(1-(AnnualChurn*VLOOKUP(TJ36,ChurnSeasonTable,4,FALSE)),1)*BlendedPricePremAnnual*TM36+TY12*POWER(1-(AnnualChurn*VLOOKUP(TJ36,ChurnSeasonTable,4,FALSE)),2)*BlendedPricePremAnnual*TM36+TZ24*POWER(1-(AnnualChurn*VLOOKUP(TJ36,ChurnSeasonTable,4,FALSE)),1)*BlendedPriceEliteAnnual*TM36+TZ12*POWER(1-(AnnualChurn*VLOOKUP(TJ36,ChurnSeasonTable,4,FALSE)),2)*BlendedPriceEliteAnnual*TM36</f>
        <v/>
      </c>
      <c r="UM36" s="9">
        <f>UJ36+UK36+UL36</f>
        <v/>
      </c>
      <c r="UN36" s="12">
        <f>SUM(UM25:UM36)</f>
        <v/>
      </c>
      <c r="UO36" s="12">
        <f>OR(UO35,IF(VATAgentMode,SUM($UM25:$UM36)-SUM($UT25:$UT36)&gt;=VATThreshold,SUM($UM25:$UM36)&gt;=VATThreshold))</f>
        <v/>
      </c>
      <c r="UP36" s="9">
        <f>IF(UO36,IF(VATAgentMode,UM36-((UM36-UT36)-(UM36-UT36)/(1+VATRate)),UM36/(1+VATRate)),UM36)</f>
        <v/>
      </c>
      <c r="UQ36" s="12">
        <f>UM36-UP36</f>
        <v/>
      </c>
      <c r="UR36" s="12">
        <f>IF(UO36=0,0,IF(TJ36=1,SUMPRODUCT(--(($TK$5:$TK36=$TK36-1)*($TJ$5:$TJ36&gt;=10)*($TJ$5:$TJ36&lt;=12)),$UQ$5:$UQ36),IF(TJ36=4,SUMPRODUCT(--(($TK$5:$TK36=$TK36)*($TJ$5:$TJ36&gt;=1)*($TJ$5:$TJ36&lt;=3)),$UQ$5:$UQ36),IF(TJ36=7,SUMPRODUCT(--(($TK$5:$TK36=$TK36)*($TJ$5:$TJ36&gt;=4)*($TJ$5:$TJ36&lt;=6)),$UQ$5:$UQ36),IF(TJ36=10,SUMPRODUCT(--(($TK$5:$TK36=$TK36)*($TJ$5:$TJ36&gt;=7)*($TJ$5:$TJ36&lt;=9)),$UQ$5:$UQ36),0)))))</f>
        <v/>
      </c>
      <c r="US36" s="12">
        <f>US35+UQ36-UR36</f>
        <v/>
      </c>
      <c r="UT36" s="12">
        <f>IF(ProviderDelay&gt;=1,UA35*BlendedProvPayEss+UB35*BlendedProvPayPrem+UC35*BlendedProvPayElite+UD35*BlendedProvPayEss+UE35*BlendedProvPayPrem+UF35*BlendedProvPayElite,UA36*BlendedProvPayEss+UB36*BlendedProvPayPrem+UC36*BlendedProvPayElite+UD36*BlendedProvPayEss+UE36*BlendedProvPayPrem+UF36*BlendedProvPayElite)</f>
        <v/>
      </c>
      <c r="UU36" s="12">
        <f>UM36*PaymentFee</f>
        <v/>
      </c>
      <c r="UV36" s="12">
        <f>UG36*OpsAI</f>
        <v/>
      </c>
      <c r="UW36" s="12">
        <f>MonthlyFixed</f>
        <v/>
      </c>
      <c r="UX36" s="12">
        <f>TQ36*ReferralReward</f>
        <v/>
      </c>
      <c r="UY36" s="12">
        <f>TO36</f>
        <v/>
      </c>
      <c r="UZ36" s="9">
        <f>UP36-UT36-UU36-UV36-UW36-UX36-UY36</f>
        <v/>
      </c>
      <c r="VA36" s="9">
        <f>VA35+UM36-(UT36+UU36+UV36+UW36+UX36+UY36+UR36)</f>
        <v/>
      </c>
      <c r="VB36" s="12">
        <f>IF(UG36&gt;0,UH36/UG36,0)</f>
        <v/>
      </c>
      <c r="VC36" s="11">
        <f>IF(UG35&gt;0,MAX(0,(UG35+TR36-UG36)/UG35),0)</f>
        <v/>
      </c>
      <c r="VE36" s="12" t="n">
        <v>32</v>
      </c>
      <c r="VF36" s="12">
        <f>MOD(VE36-1+LaunchMonth-1,12)+1</f>
        <v/>
      </c>
      <c r="VG36" s="12">
        <f>INT((VE36-1+LaunchMonth-1)/12)+1</f>
        <v/>
      </c>
      <c r="VH36" s="12">
        <f>VLOOKUP(VF36,SeasonTable,2,FALSE)</f>
        <v/>
      </c>
      <c r="VI36" s="12">
        <f>(1+InflationRate)^INT((VE36-1)/12)</f>
        <v/>
      </c>
      <c r="VJ36" s="11">
        <f>MonthlyChurn*VLOOKUP(VF36,ChurnSeasonTable,4,FALSE)</f>
        <v/>
      </c>
      <c r="VK36" s="12">
        <f>MIN(MAX(MktMin19plus,WI35*MktPct19plus),MAX(0,WW35-CashBuffer))</f>
        <v/>
      </c>
      <c r="VL36" s="12">
        <f>IF(VK36&gt;0,MAX(1,ROUND(VK36/CAC*VH36,0)),0)</f>
        <v/>
      </c>
      <c r="VM36" s="12">
        <f>IF(VL36&gt;0,ROUND(VL36*ReferralMix/(1-ReferralMix),0),0)</f>
        <v/>
      </c>
      <c r="VN36" s="12">
        <f>VL36+VM36</f>
        <v/>
      </c>
      <c r="VO36" s="12">
        <f>ROUND(VN36*(1-'Sens - Annual Mix'!$A$9),0)</f>
        <v/>
      </c>
      <c r="VP36" s="12">
        <f>VN36-VO36</f>
        <v/>
      </c>
      <c r="VQ36" s="12">
        <f>ROUND(VO36*EssentialMix,0)</f>
        <v/>
      </c>
      <c r="VR36" s="12">
        <f>ROUND(VO36*PremiumMix,0)</f>
        <v/>
      </c>
      <c r="VS36" s="12">
        <f>VO36-VQ36-VR36</f>
        <v/>
      </c>
      <c r="VT36" s="12">
        <f>ROUND(VP36*EssentialMix,0)</f>
        <v/>
      </c>
      <c r="VU36" s="12">
        <f>ROUND(VP36*PremiumMix,0)</f>
        <v/>
      </c>
      <c r="VV36" s="12">
        <f>VP36-VT36-VU36</f>
        <v/>
      </c>
      <c r="VW36" s="12">
        <f>VQ36+VQ35+VQ34+MAX(0,VW35-VQ35-VQ34)*(1-VJ36)</f>
        <v/>
      </c>
      <c r="VX36" s="12">
        <f>VR36+VR35+VR34+MAX(0,VX35-VR35-VR34)*(1-VJ36)</f>
        <v/>
      </c>
      <c r="VY36" s="12">
        <f>VS36+VS35+VS34+MAX(0,VY35-VS35-VS34)*(1-VJ36)</f>
        <v/>
      </c>
      <c r="VZ36" s="12">
        <f>VZ35+VT36-VT24*(AnnualChurn*VLOOKUP(VF36,ChurnSeasonTable,4,FALSE))*POWER(1-(AnnualChurn*VLOOKUP(VF36,ChurnSeasonTable,4,FALSE)),0)+VT12*(AnnualChurn*VLOOKUP(VF36,ChurnSeasonTable,4,FALSE))*POWER(1-(AnnualChurn*VLOOKUP(VF36,ChurnSeasonTable,4,FALSE)),1)</f>
        <v/>
      </c>
      <c r="WA36" s="12">
        <f>WA35+VU36-VU24*(AnnualChurn*VLOOKUP(VF36,ChurnSeasonTable,4,FALSE))*POWER(1-(AnnualChurn*VLOOKUP(VF36,ChurnSeasonTable,4,FALSE)),0)+VU12*(AnnualChurn*VLOOKUP(VF36,ChurnSeasonTable,4,FALSE))*POWER(1-(AnnualChurn*VLOOKUP(VF36,ChurnSeasonTable,4,FALSE)),1)</f>
        <v/>
      </c>
      <c r="WB36" s="12">
        <f>WB35+VV36-VV24*(AnnualChurn*VLOOKUP(VF36,ChurnSeasonTable,4,FALSE))*POWER(1-(AnnualChurn*VLOOKUP(VF36,ChurnSeasonTable,4,FALSE)),0)+VV12*(AnnualChurn*VLOOKUP(VF36,ChurnSeasonTable,4,FALSE))*POWER(1-(AnnualChurn*VLOOKUP(VF36,ChurnSeasonTable,4,FALSE)),1)</f>
        <v/>
      </c>
      <c r="WC36" s="12">
        <f>VW36+VX36+VY36+VZ36+WA36+WB36</f>
        <v/>
      </c>
      <c r="WD36" s="9">
        <f>VW36*BlendedPriceEssMonthly*VI36+VX36*BlendedPricePremMonthly*VI36+VY36*BlendedPriceEliteMonthly*VI36+VZ36*BlendedPriceEssAnnual*VI36/12+WA36*BlendedPricePremAnnual*VI36/12+WB36*BlendedPriceEliteAnnual*VI36/12</f>
        <v/>
      </c>
      <c r="WE36" s="9">
        <f>WD36*12</f>
        <v/>
      </c>
      <c r="WF36" s="12">
        <f>VW36*BlendedPriceEssMonthly*VI36+VX36*BlendedPricePremMonthly*VI36+VY36*BlendedPriceEliteMonthly*VI36</f>
        <v/>
      </c>
      <c r="WG36" s="12">
        <f>VT36*BlendedPriceEssAnnual*VI36+VU36*BlendedPricePremAnnual*VI36+VV36*BlendedPriceEliteAnnual*VI36</f>
        <v/>
      </c>
      <c r="WH36" s="12">
        <f>VT24*POWER(1-(AnnualChurn*VLOOKUP(VF36,ChurnSeasonTable,4,FALSE)),1)*BlendedPriceEssAnnual*VI36+VT12*POWER(1-(AnnualChurn*VLOOKUP(VF36,ChurnSeasonTable,4,FALSE)),2)*BlendedPriceEssAnnual*VI36+VU24*POWER(1-(AnnualChurn*VLOOKUP(VF36,ChurnSeasonTable,4,FALSE)),1)*BlendedPricePremAnnual*VI36+VU12*POWER(1-(AnnualChurn*VLOOKUP(VF36,ChurnSeasonTable,4,FALSE)),2)*BlendedPricePremAnnual*VI36+VV24*POWER(1-(AnnualChurn*VLOOKUP(VF36,ChurnSeasonTable,4,FALSE)),1)*BlendedPriceEliteAnnual*VI36+VV12*POWER(1-(AnnualChurn*VLOOKUP(VF36,ChurnSeasonTable,4,FALSE)),2)*BlendedPriceEliteAnnual*VI36</f>
        <v/>
      </c>
      <c r="WI36" s="9">
        <f>WF36+WG36+WH36</f>
        <v/>
      </c>
      <c r="WJ36" s="12">
        <f>SUM(WI25:WI36)</f>
        <v/>
      </c>
      <c r="WK36" s="12">
        <f>OR(WK35,IF(VATAgentMode,SUM($WI25:$WI36)-SUM($WP25:$WP36)&gt;=VATThreshold,SUM($WI25:$WI36)&gt;=VATThreshold))</f>
        <v/>
      </c>
      <c r="WL36" s="9">
        <f>IF(WK36,IF(VATAgentMode,WI36-((WI36-WP36)-(WI36-WP36)/(1+VATRate)),WI36/(1+VATRate)),WI36)</f>
        <v/>
      </c>
      <c r="WM36" s="12">
        <f>WI36-WL36</f>
        <v/>
      </c>
      <c r="WN36" s="12">
        <f>IF(WK36=0,0,IF(VF36=1,SUMPRODUCT(--(($VG$5:$VG36=$VG36-1)*($VF$5:$VF36&gt;=10)*($VF$5:$VF36&lt;=12)),$WM$5:$WM36),IF(VF36=4,SUMPRODUCT(--(($VG$5:$VG36=$VG36)*($VF$5:$VF36&gt;=1)*($VF$5:$VF36&lt;=3)),$WM$5:$WM36),IF(VF36=7,SUMPRODUCT(--(($VG$5:$VG36=$VG36)*($VF$5:$VF36&gt;=4)*($VF$5:$VF36&lt;=6)),$WM$5:$WM36),IF(VF36=10,SUMPRODUCT(--(($VG$5:$VG36=$VG36)*($VF$5:$VF36&gt;=7)*($VF$5:$VF36&lt;=9)),$WM$5:$WM36),0)))))</f>
        <v/>
      </c>
      <c r="WO36" s="12">
        <f>WO35+WM36-WN36</f>
        <v/>
      </c>
      <c r="WP36" s="12">
        <f>IF(ProviderDelay&gt;=1,VW35*BlendedProvPayEss+VX35*BlendedProvPayPrem+VY35*BlendedProvPayElite+VZ35*BlendedProvPayEss+WA35*BlendedProvPayPrem+WB35*BlendedProvPayElite,VW36*BlendedProvPayEss+VX36*BlendedProvPayPrem+VY36*BlendedProvPayElite+VZ36*BlendedProvPayEss+WA36*BlendedProvPayPrem+WB36*BlendedProvPayElite)</f>
        <v/>
      </c>
      <c r="WQ36" s="12">
        <f>WI36*PaymentFee</f>
        <v/>
      </c>
      <c r="WR36" s="12">
        <f>WC36*OpsAI</f>
        <v/>
      </c>
      <c r="WS36" s="12">
        <f>MonthlyFixed</f>
        <v/>
      </c>
      <c r="WT36" s="12">
        <f>VM36*ReferralReward</f>
        <v/>
      </c>
      <c r="WU36" s="12">
        <f>VK36</f>
        <v/>
      </c>
      <c r="WV36" s="9">
        <f>WL36-WP36-WQ36-WR36-WS36-WT36-WU36</f>
        <v/>
      </c>
      <c r="WW36" s="9">
        <f>WW35+WI36-(WP36+WQ36+WR36+WS36+WT36+WU36+WN36)</f>
        <v/>
      </c>
      <c r="WX36" s="12">
        <f>IF(WC36&gt;0,WD36/WC36,0)</f>
        <v/>
      </c>
      <c r="WY36" s="11">
        <f>IF(WC35&gt;0,MAX(0,(WC35+VN36-WC36)/WC35),0)</f>
        <v/>
      </c>
      <c r="XA36" s="12" t="n">
        <v>32</v>
      </c>
      <c r="XB36" s="12">
        <f>MOD(XA36-1+LaunchMonth-1,12)+1</f>
        <v/>
      </c>
      <c r="XC36" s="12">
        <f>INT((XA36-1+LaunchMonth-1)/12)+1</f>
        <v/>
      </c>
      <c r="XD36" s="12">
        <f>VLOOKUP(XB36,SeasonTable,2,FALSE)</f>
        <v/>
      </c>
      <c r="XE36" s="12">
        <f>(1+InflationRate)^INT((XA36-1)/12)</f>
        <v/>
      </c>
      <c r="XF36" s="11">
        <f>MonthlyChurn*VLOOKUP(XB36,ChurnSeasonTable,4,FALSE)</f>
        <v/>
      </c>
      <c r="XG36" s="12">
        <f>MIN(MAX(MktMin19plus,YE35*MktPct19plus),MAX(0,YS35-CashBuffer))</f>
        <v/>
      </c>
      <c r="XH36" s="12">
        <f>IF(XG36&gt;0,MAX(1,ROUND(XG36/CAC*XD36,0)),0)</f>
        <v/>
      </c>
      <c r="XI36" s="12">
        <f>IF(XH36&gt;0,ROUND(XH36*ReferralMix/(1-ReferralMix),0),0)</f>
        <v/>
      </c>
      <c r="XJ36" s="12">
        <f>XH36+XI36</f>
        <v/>
      </c>
      <c r="XK36" s="12">
        <f>ROUND(XJ36*(1-'Sens - Annual Mix'!$A$10),0)</f>
        <v/>
      </c>
      <c r="XL36" s="12">
        <f>XJ36-XK36</f>
        <v/>
      </c>
      <c r="XM36" s="12">
        <f>ROUND(XK36*EssentialMix,0)</f>
        <v/>
      </c>
      <c r="XN36" s="12">
        <f>ROUND(XK36*PremiumMix,0)</f>
        <v/>
      </c>
      <c r="XO36" s="12">
        <f>XK36-XM36-XN36</f>
        <v/>
      </c>
      <c r="XP36" s="12">
        <f>ROUND(XL36*EssentialMix,0)</f>
        <v/>
      </c>
      <c r="XQ36" s="12">
        <f>ROUND(XL36*PremiumMix,0)</f>
        <v/>
      </c>
      <c r="XR36" s="12">
        <f>XL36-XP36-XQ36</f>
        <v/>
      </c>
      <c r="XS36" s="12">
        <f>XM36+XM35+XM34+MAX(0,XS35-XM35-XM34)*(1-XF36)</f>
        <v/>
      </c>
      <c r="XT36" s="12">
        <f>XN36+XN35+XN34+MAX(0,XT35-XN35-XN34)*(1-XF36)</f>
        <v/>
      </c>
      <c r="XU36" s="12">
        <f>XO36+XO35+XO34+MAX(0,XU35-XO35-XO34)*(1-XF36)</f>
        <v/>
      </c>
      <c r="XV36" s="12">
        <f>XV35+XP36-XP24*(AnnualChurn*VLOOKUP(XB36,ChurnSeasonTable,4,FALSE))*POWER(1-(AnnualChurn*VLOOKUP(XB36,ChurnSeasonTable,4,FALSE)),0)+XP12*(AnnualChurn*VLOOKUP(XB36,ChurnSeasonTable,4,FALSE))*POWER(1-(AnnualChurn*VLOOKUP(XB36,ChurnSeasonTable,4,FALSE)),1)</f>
        <v/>
      </c>
      <c r="XW36" s="12">
        <f>XW35+XQ36-XQ24*(AnnualChurn*VLOOKUP(XB36,ChurnSeasonTable,4,FALSE))*POWER(1-(AnnualChurn*VLOOKUP(XB36,ChurnSeasonTable,4,FALSE)),0)+XQ12*(AnnualChurn*VLOOKUP(XB36,ChurnSeasonTable,4,FALSE))*POWER(1-(AnnualChurn*VLOOKUP(XB36,ChurnSeasonTable,4,FALSE)),1)</f>
        <v/>
      </c>
      <c r="XX36" s="12">
        <f>XX35+XR36-XR24*(AnnualChurn*VLOOKUP(XB36,ChurnSeasonTable,4,FALSE))*POWER(1-(AnnualChurn*VLOOKUP(XB36,ChurnSeasonTable,4,FALSE)),0)+XR12*(AnnualChurn*VLOOKUP(XB36,ChurnSeasonTable,4,FALSE))*POWER(1-(AnnualChurn*VLOOKUP(XB36,ChurnSeasonTable,4,FALSE)),1)</f>
        <v/>
      </c>
      <c r="XY36" s="12">
        <f>XS36+XT36+XU36+XV36+XW36+XX36</f>
        <v/>
      </c>
      <c r="XZ36" s="9">
        <f>XS36*BlendedPriceEssMonthly*XE36+XT36*BlendedPricePremMonthly*XE36+XU36*BlendedPriceEliteMonthly*XE36+XV36*BlendedPriceEssAnnual*XE36/12+XW36*BlendedPricePremAnnual*XE36/12+XX36*BlendedPriceEliteAnnual*XE36/12</f>
        <v/>
      </c>
      <c r="YA36" s="9">
        <f>XZ36*12</f>
        <v/>
      </c>
      <c r="YB36" s="12">
        <f>XS36*BlendedPriceEssMonthly*XE36+XT36*BlendedPricePremMonthly*XE36+XU36*BlendedPriceEliteMonthly*XE36</f>
        <v/>
      </c>
      <c r="YC36" s="12">
        <f>XP36*BlendedPriceEssAnnual*XE36+XQ36*BlendedPricePremAnnual*XE36+XR36*BlendedPriceEliteAnnual*XE36</f>
        <v/>
      </c>
      <c r="YD36" s="12">
        <f>XP24*POWER(1-(AnnualChurn*VLOOKUP(XB36,ChurnSeasonTable,4,FALSE)),1)*BlendedPriceEssAnnual*XE36+XP12*POWER(1-(AnnualChurn*VLOOKUP(XB36,ChurnSeasonTable,4,FALSE)),2)*BlendedPriceEssAnnual*XE36+XQ24*POWER(1-(AnnualChurn*VLOOKUP(XB36,ChurnSeasonTable,4,FALSE)),1)*BlendedPricePremAnnual*XE36+XQ12*POWER(1-(AnnualChurn*VLOOKUP(XB36,ChurnSeasonTable,4,FALSE)),2)*BlendedPricePremAnnual*XE36+XR24*POWER(1-(AnnualChurn*VLOOKUP(XB36,ChurnSeasonTable,4,FALSE)),1)*BlendedPriceEliteAnnual*XE36+XR12*POWER(1-(AnnualChurn*VLOOKUP(XB36,ChurnSeasonTable,4,FALSE)),2)*BlendedPriceEliteAnnual*XE36</f>
        <v/>
      </c>
      <c r="YE36" s="9">
        <f>YB36+YC36+YD36</f>
        <v/>
      </c>
      <c r="YF36" s="12">
        <f>SUM(YE25:YE36)</f>
        <v/>
      </c>
      <c r="YG36" s="12">
        <f>OR(YG35,IF(VATAgentMode,SUM($YE25:$YE36)-SUM($YL25:$YL36)&gt;=VATThreshold,SUM($YE25:$YE36)&gt;=VATThreshold))</f>
        <v/>
      </c>
      <c r="YH36" s="9">
        <f>IF(YG36,IF(VATAgentMode,YE36-((YE36-YL36)-(YE36-YL36)/(1+VATRate)),YE36/(1+VATRate)),YE36)</f>
        <v/>
      </c>
      <c r="YI36" s="12">
        <f>YE36-YH36</f>
        <v/>
      </c>
      <c r="YJ36" s="12">
        <f>IF(YG36=0,0,IF(XB36=1,SUMPRODUCT(--(($XC$5:$XC36=$XC36-1)*($XB$5:$XB36&gt;=10)*($XB$5:$XB36&lt;=12)),$YI$5:$YI36),IF(XB36=4,SUMPRODUCT(--(($XC$5:$XC36=$XC36)*($XB$5:$XB36&gt;=1)*($XB$5:$XB36&lt;=3)),$YI$5:$YI36),IF(XB36=7,SUMPRODUCT(--(($XC$5:$XC36=$XC36)*($XB$5:$XB36&gt;=4)*($XB$5:$XB36&lt;=6)),$YI$5:$YI36),IF(XB36=10,SUMPRODUCT(--(($XC$5:$XC36=$XC36)*($XB$5:$XB36&gt;=7)*($XB$5:$XB36&lt;=9)),$YI$5:$YI36),0)))))</f>
        <v/>
      </c>
      <c r="YK36" s="12">
        <f>YK35+YI36-YJ36</f>
        <v/>
      </c>
      <c r="YL36" s="12">
        <f>IF(ProviderDelay&gt;=1,XS35*BlendedProvPayEss+XT35*BlendedProvPayPrem+XU35*BlendedProvPayElite+XV35*BlendedProvPayEss+XW35*BlendedProvPayPrem+XX35*BlendedProvPayElite,XS36*BlendedProvPayEss+XT36*BlendedProvPayPrem+XU36*BlendedProvPayElite+XV36*BlendedProvPayEss+XW36*BlendedProvPayPrem+XX36*BlendedProvPayElite)</f>
        <v/>
      </c>
      <c r="YM36" s="12">
        <f>YE36*PaymentFee</f>
        <v/>
      </c>
      <c r="YN36" s="12">
        <f>XY36*OpsAI</f>
        <v/>
      </c>
      <c r="YO36" s="12">
        <f>MonthlyFixed</f>
        <v/>
      </c>
      <c r="YP36" s="12">
        <f>XI36*ReferralReward</f>
        <v/>
      </c>
      <c r="YQ36" s="12">
        <f>XG36</f>
        <v/>
      </c>
      <c r="YR36" s="9">
        <f>YH36-YL36-YM36-YN36-YO36-YP36-YQ36</f>
        <v/>
      </c>
      <c r="YS36" s="9">
        <f>YS35+YE36-(YL36+YM36+YN36+YO36+YP36+YQ36+YJ36)</f>
        <v/>
      </c>
      <c r="YT36" s="12">
        <f>IF(XY36&gt;0,XZ36/XY36,0)</f>
        <v/>
      </c>
      <c r="YU36" s="11">
        <f>IF(XY35&gt;0,MAX(0,(XY35+XJ36-XY36)/XY35),0)</f>
        <v/>
      </c>
      <c r="YW36" s="12" t="n">
        <v>32</v>
      </c>
      <c r="YX36" s="12">
        <f>MOD(YW36-1+LaunchMonth-1,12)+1</f>
        <v/>
      </c>
      <c r="YY36" s="12">
        <f>INT((YW36-1+LaunchMonth-1)/12)+1</f>
        <v/>
      </c>
      <c r="YZ36" s="12">
        <f>VLOOKUP(YX36,SeasonTable,2,FALSE)</f>
        <v/>
      </c>
      <c r="ZA36" s="12">
        <f>(1+InflationRate)^INT((YW36-1)/12)</f>
        <v/>
      </c>
      <c r="ZB36" s="11">
        <f>MonthlyChurn*VLOOKUP(YX36,ChurnSeasonTable,4,FALSE)</f>
        <v/>
      </c>
      <c r="ZC36" s="12">
        <f>MIN(MAX(MktMin19plus,AAA35*MktPct19plus),MAX(0,AAO35-CashBuffer))</f>
        <v/>
      </c>
      <c r="ZD36" s="12">
        <f>IF(ZC36&gt;0,MAX(1,ROUND(ZC36/CAC*YZ36,0)),0)</f>
        <v/>
      </c>
      <c r="ZE36" s="12">
        <f>IF(ZD36&gt;0,ROUND(ZD36*ReferralMix/(1-ReferralMix),0),0)</f>
        <v/>
      </c>
      <c r="ZF36" s="12">
        <f>ZD36+ZE36</f>
        <v/>
      </c>
      <c r="ZG36" s="12">
        <f>ROUND(ZF36*(1-'Sens - Annual Mix'!$A$11),0)</f>
        <v/>
      </c>
      <c r="ZH36" s="12">
        <f>ZF36-ZG36</f>
        <v/>
      </c>
      <c r="ZI36" s="12">
        <f>ROUND(ZG36*EssentialMix,0)</f>
        <v/>
      </c>
      <c r="ZJ36" s="12">
        <f>ROUND(ZG36*PremiumMix,0)</f>
        <v/>
      </c>
      <c r="ZK36" s="12">
        <f>ZG36-ZI36-ZJ36</f>
        <v/>
      </c>
      <c r="ZL36" s="12">
        <f>ROUND(ZH36*EssentialMix,0)</f>
        <v/>
      </c>
      <c r="ZM36" s="12">
        <f>ROUND(ZH36*PremiumMix,0)</f>
        <v/>
      </c>
      <c r="ZN36" s="12">
        <f>ZH36-ZL36-ZM36</f>
        <v/>
      </c>
      <c r="ZO36" s="12">
        <f>ZI36+ZI35+ZI34+MAX(0,ZO35-ZI35-ZI34)*(1-ZB36)</f>
        <v/>
      </c>
      <c r="ZP36" s="12">
        <f>ZJ36+ZJ35+ZJ34+MAX(0,ZP35-ZJ35-ZJ34)*(1-ZB36)</f>
        <v/>
      </c>
      <c r="ZQ36" s="12">
        <f>ZK36+ZK35+ZK34+MAX(0,ZQ35-ZK35-ZK34)*(1-ZB36)</f>
        <v/>
      </c>
      <c r="ZR36" s="12">
        <f>ZR35+ZL36-ZL24*(AnnualChurn*VLOOKUP(YX36,ChurnSeasonTable,4,FALSE))*POWER(1-(AnnualChurn*VLOOKUP(YX36,ChurnSeasonTable,4,FALSE)),0)+ZL12*(AnnualChurn*VLOOKUP(YX36,ChurnSeasonTable,4,FALSE))*POWER(1-(AnnualChurn*VLOOKUP(YX36,ChurnSeasonTable,4,FALSE)),1)</f>
        <v/>
      </c>
      <c r="ZS36" s="12">
        <f>ZS35+ZM36-ZM24*(AnnualChurn*VLOOKUP(YX36,ChurnSeasonTable,4,FALSE))*POWER(1-(AnnualChurn*VLOOKUP(YX36,ChurnSeasonTable,4,FALSE)),0)+ZM12*(AnnualChurn*VLOOKUP(YX36,ChurnSeasonTable,4,FALSE))*POWER(1-(AnnualChurn*VLOOKUP(YX36,ChurnSeasonTable,4,FALSE)),1)</f>
        <v/>
      </c>
      <c r="ZT36" s="12">
        <f>ZT35+ZN36-ZN24*(AnnualChurn*VLOOKUP(YX36,ChurnSeasonTable,4,FALSE))*POWER(1-(AnnualChurn*VLOOKUP(YX36,ChurnSeasonTable,4,FALSE)),0)+ZN12*(AnnualChurn*VLOOKUP(YX36,ChurnSeasonTable,4,FALSE))*POWER(1-(AnnualChurn*VLOOKUP(YX36,ChurnSeasonTable,4,FALSE)),1)</f>
        <v/>
      </c>
      <c r="ZU36" s="12">
        <f>ZO36+ZP36+ZQ36+ZR36+ZS36+ZT36</f>
        <v/>
      </c>
      <c r="ZV36" s="9">
        <f>ZO36*BlendedPriceEssMonthly*ZA36+ZP36*BlendedPricePremMonthly*ZA36+ZQ36*BlendedPriceEliteMonthly*ZA36+ZR36*BlendedPriceEssAnnual*ZA36/12+ZS36*BlendedPricePremAnnual*ZA36/12+ZT36*BlendedPriceEliteAnnual*ZA36/12</f>
        <v/>
      </c>
      <c r="ZW36" s="9">
        <f>ZV36*12</f>
        <v/>
      </c>
      <c r="ZX36" s="12">
        <f>ZO36*BlendedPriceEssMonthly*ZA36+ZP36*BlendedPricePremMonthly*ZA36+ZQ36*BlendedPriceEliteMonthly*ZA36</f>
        <v/>
      </c>
      <c r="ZY36" s="12">
        <f>ZL36*BlendedPriceEssAnnual*ZA36+ZM36*BlendedPricePremAnnual*ZA36+ZN36*BlendedPriceEliteAnnual*ZA36</f>
        <v/>
      </c>
      <c r="ZZ36" s="12">
        <f>ZL24*POWER(1-(AnnualChurn*VLOOKUP(YX36,ChurnSeasonTable,4,FALSE)),1)*BlendedPriceEssAnnual*ZA36+ZL12*POWER(1-(AnnualChurn*VLOOKUP(YX36,ChurnSeasonTable,4,FALSE)),2)*BlendedPriceEssAnnual*ZA36+ZM24*POWER(1-(AnnualChurn*VLOOKUP(YX36,ChurnSeasonTable,4,FALSE)),1)*BlendedPricePremAnnual*ZA36+ZM12*POWER(1-(AnnualChurn*VLOOKUP(YX36,ChurnSeasonTable,4,FALSE)),2)*BlendedPricePremAnnual*ZA36+ZN24*POWER(1-(AnnualChurn*VLOOKUP(YX36,ChurnSeasonTable,4,FALSE)),1)*BlendedPriceEliteAnnual*ZA36+ZN12*POWER(1-(AnnualChurn*VLOOKUP(YX36,ChurnSeasonTable,4,FALSE)),2)*BlendedPriceEliteAnnual*ZA36</f>
        <v/>
      </c>
      <c r="AAA36" s="9">
        <f>ZX36+ZY36+ZZ36</f>
        <v/>
      </c>
      <c r="AAB36" s="12">
        <f>SUM(AAA25:AAA36)</f>
        <v/>
      </c>
      <c r="AAC36" s="12">
        <f>OR(AAC35,IF(VATAgentMode,SUM($AAA25:$AAA36)-SUM($AAH25:$AAH36)&gt;=VATThreshold,SUM($AAA25:$AAA36)&gt;=VATThreshold))</f>
        <v/>
      </c>
      <c r="AAD36" s="9">
        <f>IF(AAC36,IF(VATAgentMode,AAA36-((AAA36-AAH36)-(AAA36-AAH36)/(1+VATRate)),AAA36/(1+VATRate)),AAA36)</f>
        <v/>
      </c>
      <c r="AAE36" s="12">
        <f>AAA36-AAD36</f>
        <v/>
      </c>
      <c r="AAF36" s="12">
        <f>IF(AAC36=0,0,IF(YX36=1,SUMPRODUCT(--(($YY$5:$YY36=$YY36-1)*($YX$5:$YX36&gt;=10)*($YX$5:$YX36&lt;=12)),$AAE$5:$AAE36),IF(YX36=4,SUMPRODUCT(--(($YY$5:$YY36=$YY36)*($YX$5:$YX36&gt;=1)*($YX$5:$YX36&lt;=3)),$AAE$5:$AAE36),IF(YX36=7,SUMPRODUCT(--(($YY$5:$YY36=$YY36)*($YX$5:$YX36&gt;=4)*($YX$5:$YX36&lt;=6)),$AAE$5:$AAE36),IF(YX36=10,SUMPRODUCT(--(($YY$5:$YY36=$YY36)*($YX$5:$YX36&gt;=7)*($YX$5:$YX36&lt;=9)),$AAE$5:$AAE36),0)))))</f>
        <v/>
      </c>
      <c r="AAG36" s="12">
        <f>AAG35+AAE36-AAF36</f>
        <v/>
      </c>
      <c r="AAH36" s="12">
        <f>IF(ProviderDelay&gt;=1,ZO35*BlendedProvPayEss+ZP35*BlendedProvPayPrem+ZQ35*BlendedProvPayElite+ZR35*BlendedProvPayEss+ZS35*BlendedProvPayPrem+ZT35*BlendedProvPayElite,ZO36*BlendedProvPayEss+ZP36*BlendedProvPayPrem+ZQ36*BlendedProvPayElite+ZR36*BlendedProvPayEss+ZS36*BlendedProvPayPrem+ZT36*BlendedProvPayElite)</f>
        <v/>
      </c>
      <c r="AAI36" s="12">
        <f>AAA36*PaymentFee</f>
        <v/>
      </c>
      <c r="AAJ36" s="12">
        <f>ZU36*OpsAI</f>
        <v/>
      </c>
      <c r="AAK36" s="12">
        <f>MonthlyFixed</f>
        <v/>
      </c>
      <c r="AAL36" s="12">
        <f>ZE36*ReferralReward</f>
        <v/>
      </c>
      <c r="AAM36" s="12">
        <f>ZC36</f>
        <v/>
      </c>
      <c r="AAN36" s="9">
        <f>AAD36-AAH36-AAI36-AAJ36-AAK36-AAL36-AAM36</f>
        <v/>
      </c>
      <c r="AAO36" s="9">
        <f>AAO35+AAA36-(AAH36+AAI36+AAJ36+AAK36+AAL36+AAM36+AAF36)</f>
        <v/>
      </c>
      <c r="AAP36" s="12">
        <f>IF(ZU36&gt;0,ZV36/ZU36,0)</f>
        <v/>
      </c>
      <c r="AAQ36" s="11">
        <f>IF(ZU35&gt;0,MAX(0,(ZU35+ZF36-ZU36)/ZU35),0)</f>
        <v/>
      </c>
      <c r="AAS36" s="12" t="n">
        <v>32</v>
      </c>
      <c r="AAT36" s="12">
        <f>MOD(AAS36-1+LaunchMonth-1,12)+1</f>
        <v/>
      </c>
      <c r="AAU36" s="12">
        <f>INT((AAS36-1+LaunchMonth-1)/12)+1</f>
        <v/>
      </c>
      <c r="AAV36" s="12">
        <f>VLOOKUP(AAT36,SeasonTable,2,FALSE)</f>
        <v/>
      </c>
      <c r="AAW36" s="12">
        <f>(1+InflationRate)^INT((AAS36-1)/12)</f>
        <v/>
      </c>
      <c r="AAX36" s="11">
        <f>MonthlyChurn*VLOOKUP(AAT36,ChurnSeasonTable,4,FALSE)</f>
        <v/>
      </c>
      <c r="AAY36" s="12">
        <f>MIN(MAX(MktMin19plus,ABW35*MktPct19plus),MAX(0,ACK35-CashBuffer))</f>
        <v/>
      </c>
      <c r="AAZ36" s="12">
        <f>IF(AAY36&gt;0,MAX(1,ROUND(AAY36/CAC*AAV36,0)),0)</f>
        <v/>
      </c>
      <c r="ABA36" s="12">
        <f>IF(AAZ36&gt;0,ROUND(AAZ36*ReferralMix/(1-ReferralMix),0),0)</f>
        <v/>
      </c>
      <c r="ABB36" s="12">
        <f>AAZ36+ABA36</f>
        <v/>
      </c>
      <c r="ABC36" s="12">
        <f>ROUND(ABB36*(1-'Sens - Annual Mix'!$A$12),0)</f>
        <v/>
      </c>
      <c r="ABD36" s="12">
        <f>ABB36-ABC36</f>
        <v/>
      </c>
      <c r="ABE36" s="12">
        <f>ROUND(ABC36*EssentialMix,0)</f>
        <v/>
      </c>
      <c r="ABF36" s="12">
        <f>ROUND(ABC36*PremiumMix,0)</f>
        <v/>
      </c>
      <c r="ABG36" s="12">
        <f>ABC36-ABE36-ABF36</f>
        <v/>
      </c>
      <c r="ABH36" s="12">
        <f>ROUND(ABD36*EssentialMix,0)</f>
        <v/>
      </c>
      <c r="ABI36" s="12">
        <f>ROUND(ABD36*PremiumMix,0)</f>
        <v/>
      </c>
      <c r="ABJ36" s="12">
        <f>ABD36-ABH36-ABI36</f>
        <v/>
      </c>
      <c r="ABK36" s="12">
        <f>ABE36+ABE35+ABE34+MAX(0,ABK35-ABE35-ABE34)*(1-AAX36)</f>
        <v/>
      </c>
      <c r="ABL36" s="12">
        <f>ABF36+ABF35+ABF34+MAX(0,ABL35-ABF35-ABF34)*(1-AAX36)</f>
        <v/>
      </c>
      <c r="ABM36" s="12">
        <f>ABG36+ABG35+ABG34+MAX(0,ABM35-ABG35-ABG34)*(1-AAX36)</f>
        <v/>
      </c>
      <c r="ABN36" s="12">
        <f>ABN35+ABH36-ABH24*(AnnualChurn*VLOOKUP(AAT36,ChurnSeasonTable,4,FALSE))*POWER(1-(AnnualChurn*VLOOKUP(AAT36,ChurnSeasonTable,4,FALSE)),0)+ABH12*(AnnualChurn*VLOOKUP(AAT36,ChurnSeasonTable,4,FALSE))*POWER(1-(AnnualChurn*VLOOKUP(AAT36,ChurnSeasonTable,4,FALSE)),1)</f>
        <v/>
      </c>
      <c r="ABO36" s="12">
        <f>ABO35+ABI36-ABI24*(AnnualChurn*VLOOKUP(AAT36,ChurnSeasonTable,4,FALSE))*POWER(1-(AnnualChurn*VLOOKUP(AAT36,ChurnSeasonTable,4,FALSE)),0)+ABI12*(AnnualChurn*VLOOKUP(AAT36,ChurnSeasonTable,4,FALSE))*POWER(1-(AnnualChurn*VLOOKUP(AAT36,ChurnSeasonTable,4,FALSE)),1)</f>
        <v/>
      </c>
      <c r="ABP36" s="12">
        <f>ABP35+ABJ36-ABJ24*(AnnualChurn*VLOOKUP(AAT36,ChurnSeasonTable,4,FALSE))*POWER(1-(AnnualChurn*VLOOKUP(AAT36,ChurnSeasonTable,4,FALSE)),0)+ABJ12*(AnnualChurn*VLOOKUP(AAT36,ChurnSeasonTable,4,FALSE))*POWER(1-(AnnualChurn*VLOOKUP(AAT36,ChurnSeasonTable,4,FALSE)),1)</f>
        <v/>
      </c>
      <c r="ABQ36" s="12">
        <f>ABK36+ABL36+ABM36+ABN36+ABO36+ABP36</f>
        <v/>
      </c>
      <c r="ABR36" s="9">
        <f>ABK36*BlendedPriceEssMonthly*AAW36+ABL36*BlendedPricePremMonthly*AAW36+ABM36*BlendedPriceEliteMonthly*AAW36+ABN36*BlendedPriceEssAnnual*AAW36/12+ABO36*BlendedPricePremAnnual*AAW36/12+ABP36*BlendedPriceEliteAnnual*AAW36/12</f>
        <v/>
      </c>
      <c r="ABS36" s="9">
        <f>ABR36*12</f>
        <v/>
      </c>
      <c r="ABT36" s="12">
        <f>ABK36*BlendedPriceEssMonthly*AAW36+ABL36*BlendedPricePremMonthly*AAW36+ABM36*BlendedPriceEliteMonthly*AAW36</f>
        <v/>
      </c>
      <c r="ABU36" s="12">
        <f>ABH36*BlendedPriceEssAnnual*AAW36+ABI36*BlendedPricePremAnnual*AAW36+ABJ36*BlendedPriceEliteAnnual*AAW36</f>
        <v/>
      </c>
      <c r="ABV36" s="12">
        <f>ABH24*POWER(1-(AnnualChurn*VLOOKUP(AAT36,ChurnSeasonTable,4,FALSE)),1)*BlendedPriceEssAnnual*AAW36+ABH12*POWER(1-(AnnualChurn*VLOOKUP(AAT36,ChurnSeasonTable,4,FALSE)),2)*BlendedPriceEssAnnual*AAW36+ABI24*POWER(1-(AnnualChurn*VLOOKUP(AAT36,ChurnSeasonTable,4,FALSE)),1)*BlendedPricePremAnnual*AAW36+ABI12*POWER(1-(AnnualChurn*VLOOKUP(AAT36,ChurnSeasonTable,4,FALSE)),2)*BlendedPricePremAnnual*AAW36+ABJ24*POWER(1-(AnnualChurn*VLOOKUP(AAT36,ChurnSeasonTable,4,FALSE)),1)*BlendedPriceEliteAnnual*AAW36+ABJ12*POWER(1-(AnnualChurn*VLOOKUP(AAT36,ChurnSeasonTable,4,FALSE)),2)*BlendedPriceEliteAnnual*AAW36</f>
        <v/>
      </c>
      <c r="ABW36" s="9">
        <f>ABT36+ABU36+ABV36</f>
        <v/>
      </c>
      <c r="ABX36" s="12">
        <f>SUM(ABW25:ABW36)</f>
        <v/>
      </c>
      <c r="ABY36" s="12">
        <f>OR(ABY35,IF(VATAgentMode,SUM($ABW25:$ABW36)-SUM($ACD25:$ACD36)&gt;=VATThreshold,SUM($ABW25:$ABW36)&gt;=VATThreshold))</f>
        <v/>
      </c>
      <c r="ABZ36" s="9">
        <f>IF(ABY36,IF(VATAgentMode,ABW36-((ABW36-ACD36)-(ABW36-ACD36)/(1+VATRate)),ABW36/(1+VATRate)),ABW36)</f>
        <v/>
      </c>
      <c r="ACA36" s="12">
        <f>ABW36-ABZ36</f>
        <v/>
      </c>
      <c r="ACB36" s="12">
        <f>IF(ABY36=0,0,IF(AAT36=1,SUMPRODUCT(--(($AAU$5:$AAU36=$AAU36-1)*($AAT$5:$AAT36&gt;=10)*($AAT$5:$AAT36&lt;=12)),$ACA$5:$ACA36),IF(AAT36=4,SUMPRODUCT(--(($AAU$5:$AAU36=$AAU36)*($AAT$5:$AAT36&gt;=1)*($AAT$5:$AAT36&lt;=3)),$ACA$5:$ACA36),IF(AAT36=7,SUMPRODUCT(--(($AAU$5:$AAU36=$AAU36)*($AAT$5:$AAT36&gt;=4)*($AAT$5:$AAT36&lt;=6)),$ACA$5:$ACA36),IF(AAT36=10,SUMPRODUCT(--(($AAU$5:$AAU36=$AAU36)*($AAT$5:$AAT36&gt;=7)*($AAT$5:$AAT36&lt;=9)),$ACA$5:$ACA36),0)))))</f>
        <v/>
      </c>
      <c r="ACC36" s="12">
        <f>ACC35+ACA36-ACB36</f>
        <v/>
      </c>
      <c r="ACD36" s="12">
        <f>IF(ProviderDelay&gt;=1,ABK35*BlendedProvPayEss+ABL35*BlendedProvPayPrem+ABM35*BlendedProvPayElite+ABN35*BlendedProvPayEss+ABO35*BlendedProvPayPrem+ABP35*BlendedProvPayElite,ABK36*BlendedProvPayEss+ABL36*BlendedProvPayPrem+ABM36*BlendedProvPayElite+ABN36*BlendedProvPayEss+ABO36*BlendedProvPayPrem+ABP36*BlendedProvPayElite)</f>
        <v/>
      </c>
      <c r="ACE36" s="12">
        <f>ABW36*PaymentFee</f>
        <v/>
      </c>
      <c r="ACF36" s="12">
        <f>ABQ36*OpsAI</f>
        <v/>
      </c>
      <c r="ACG36" s="12">
        <f>MonthlyFixed</f>
        <v/>
      </c>
      <c r="ACH36" s="12">
        <f>ABA36*ReferralReward</f>
        <v/>
      </c>
      <c r="ACI36" s="12">
        <f>AAY36</f>
        <v/>
      </c>
      <c r="ACJ36" s="9">
        <f>ABZ36-ACD36-ACE36-ACF36-ACG36-ACH36-ACI36</f>
        <v/>
      </c>
      <c r="ACK36" s="9">
        <f>ACK35+ABW36-(ACD36+ACE36+ACF36+ACG36+ACH36+ACI36+ACB36)</f>
        <v/>
      </c>
      <c r="ACL36" s="12">
        <f>IF(ABQ36&gt;0,ABR36/ABQ36,0)</f>
        <v/>
      </c>
      <c r="ACM36" s="11">
        <f>IF(ABQ35&gt;0,MAX(0,(ABQ35+ABB36-ABQ36)/ABQ35),0)</f>
        <v/>
      </c>
      <c r="ACO36" s="12" t="n">
        <v>32</v>
      </c>
      <c r="ACP36" s="12">
        <f>MOD(ACO36-1+LaunchMonth-1,12)+1</f>
        <v/>
      </c>
      <c r="ACQ36" s="12">
        <f>INT((ACO36-1+LaunchMonth-1)/12)+1</f>
        <v/>
      </c>
      <c r="ACR36" s="12">
        <f>VLOOKUP(ACP36,SeasonTable,2,FALSE)</f>
        <v/>
      </c>
      <c r="ACS36" s="12">
        <f>(1+InflationRate)^INT((ACO36-1)/12)</f>
        <v/>
      </c>
      <c r="ACT36" s="11">
        <f>MonthlyChurn*VLOOKUP(ACP36,ChurnSeasonTable,4,FALSE)</f>
        <v/>
      </c>
      <c r="ACU36" s="12">
        <f>MIN(MAX(MktMin19plus,ADS35*MktPct19plus),MAX(0,AEG35-CashBuffer))</f>
        <v/>
      </c>
      <c r="ACV36" s="12">
        <f>IF(ACU36&gt;0,MAX(1,ROUND(ACU36/CAC*ACR36,0)),0)</f>
        <v/>
      </c>
      <c r="ACW36" s="12">
        <f>IF(ACV36&gt;0,ROUND(ACV36*ReferralMix/(1-ReferralMix),0),0)</f>
        <v/>
      </c>
      <c r="ACX36" s="12">
        <f>ACV36+ACW36</f>
        <v/>
      </c>
      <c r="ACY36" s="12">
        <f>ROUND(ACX36*(1-'Sens - Annual Mix'!$A$13),0)</f>
        <v/>
      </c>
      <c r="ACZ36" s="12">
        <f>ACX36-ACY36</f>
        <v/>
      </c>
      <c r="ADA36" s="12">
        <f>ROUND(ACY36*EssentialMix,0)</f>
        <v/>
      </c>
      <c r="ADB36" s="12">
        <f>ROUND(ACY36*PremiumMix,0)</f>
        <v/>
      </c>
      <c r="ADC36" s="12">
        <f>ACY36-ADA36-ADB36</f>
        <v/>
      </c>
      <c r="ADD36" s="12">
        <f>ROUND(ACZ36*EssentialMix,0)</f>
        <v/>
      </c>
      <c r="ADE36" s="12">
        <f>ROUND(ACZ36*PremiumMix,0)</f>
        <v/>
      </c>
      <c r="ADF36" s="12">
        <f>ACZ36-ADD36-ADE36</f>
        <v/>
      </c>
      <c r="ADG36" s="12">
        <f>ADA36+ADA35+ADA34+MAX(0,ADG35-ADA35-ADA34)*(1-ACT36)</f>
        <v/>
      </c>
      <c r="ADH36" s="12">
        <f>ADB36+ADB35+ADB34+MAX(0,ADH35-ADB35-ADB34)*(1-ACT36)</f>
        <v/>
      </c>
      <c r="ADI36" s="12">
        <f>ADC36+ADC35+ADC34+MAX(0,ADI35-ADC35-ADC34)*(1-ACT36)</f>
        <v/>
      </c>
      <c r="ADJ36" s="12">
        <f>ADJ35+ADD36-ADD24*(AnnualChurn*VLOOKUP(ACP36,ChurnSeasonTable,4,FALSE))*POWER(1-(AnnualChurn*VLOOKUP(ACP36,ChurnSeasonTable,4,FALSE)),0)+ADD12*(AnnualChurn*VLOOKUP(ACP36,ChurnSeasonTable,4,FALSE))*POWER(1-(AnnualChurn*VLOOKUP(ACP36,ChurnSeasonTable,4,FALSE)),1)</f>
        <v/>
      </c>
      <c r="ADK36" s="12">
        <f>ADK35+ADE36-ADE24*(AnnualChurn*VLOOKUP(ACP36,ChurnSeasonTable,4,FALSE))*POWER(1-(AnnualChurn*VLOOKUP(ACP36,ChurnSeasonTable,4,FALSE)),0)+ADE12*(AnnualChurn*VLOOKUP(ACP36,ChurnSeasonTable,4,FALSE))*POWER(1-(AnnualChurn*VLOOKUP(ACP36,ChurnSeasonTable,4,FALSE)),1)</f>
        <v/>
      </c>
      <c r="ADL36" s="12">
        <f>ADL35+ADF36-ADF24*(AnnualChurn*VLOOKUP(ACP36,ChurnSeasonTable,4,FALSE))*POWER(1-(AnnualChurn*VLOOKUP(ACP36,ChurnSeasonTable,4,FALSE)),0)+ADF12*(AnnualChurn*VLOOKUP(ACP36,ChurnSeasonTable,4,FALSE))*POWER(1-(AnnualChurn*VLOOKUP(ACP36,ChurnSeasonTable,4,FALSE)),1)</f>
        <v/>
      </c>
      <c r="ADM36" s="12">
        <f>ADG36+ADH36+ADI36+ADJ36+ADK36+ADL36</f>
        <v/>
      </c>
      <c r="ADN36" s="9">
        <f>ADG36*BlendedPriceEssMonthly*ACS36+ADH36*BlendedPricePremMonthly*ACS36+ADI36*BlendedPriceEliteMonthly*ACS36+ADJ36*BlendedPriceEssAnnual*ACS36/12+ADK36*BlendedPricePremAnnual*ACS36/12+ADL36*BlendedPriceEliteAnnual*ACS36/12</f>
        <v/>
      </c>
      <c r="ADO36" s="9">
        <f>ADN36*12</f>
        <v/>
      </c>
      <c r="ADP36" s="12">
        <f>ADG36*BlendedPriceEssMonthly*ACS36+ADH36*BlendedPricePremMonthly*ACS36+ADI36*BlendedPriceEliteMonthly*ACS36</f>
        <v/>
      </c>
      <c r="ADQ36" s="12">
        <f>ADD36*BlendedPriceEssAnnual*ACS36+ADE36*BlendedPricePremAnnual*ACS36+ADF36*BlendedPriceEliteAnnual*ACS36</f>
        <v/>
      </c>
      <c r="ADR36" s="12">
        <f>ADD24*POWER(1-(AnnualChurn*VLOOKUP(ACP36,ChurnSeasonTable,4,FALSE)),1)*BlendedPriceEssAnnual*ACS36+ADD12*POWER(1-(AnnualChurn*VLOOKUP(ACP36,ChurnSeasonTable,4,FALSE)),2)*BlendedPriceEssAnnual*ACS36+ADE24*POWER(1-(AnnualChurn*VLOOKUP(ACP36,ChurnSeasonTable,4,FALSE)),1)*BlendedPricePremAnnual*ACS36+ADE12*POWER(1-(AnnualChurn*VLOOKUP(ACP36,ChurnSeasonTable,4,FALSE)),2)*BlendedPricePremAnnual*ACS36+ADF24*POWER(1-(AnnualChurn*VLOOKUP(ACP36,ChurnSeasonTable,4,FALSE)),1)*BlendedPriceEliteAnnual*ACS36+ADF12*POWER(1-(AnnualChurn*VLOOKUP(ACP36,ChurnSeasonTable,4,FALSE)),2)*BlendedPriceEliteAnnual*ACS36</f>
        <v/>
      </c>
      <c r="ADS36" s="9">
        <f>ADP36+ADQ36+ADR36</f>
        <v/>
      </c>
      <c r="ADT36" s="12">
        <f>SUM(ADS25:ADS36)</f>
        <v/>
      </c>
      <c r="ADU36" s="12">
        <f>OR(ADU35,IF(VATAgentMode,SUM($ADS25:$ADS36)-SUM($ADZ25:$ADZ36)&gt;=VATThreshold,SUM($ADS25:$ADS36)&gt;=VATThreshold))</f>
        <v/>
      </c>
      <c r="ADV36" s="9">
        <f>IF(ADU36,IF(VATAgentMode,ADS36-((ADS36-ADZ36)-(ADS36-ADZ36)/(1+VATRate)),ADS36/(1+VATRate)),ADS36)</f>
        <v/>
      </c>
      <c r="ADW36" s="12">
        <f>ADS36-ADV36</f>
        <v/>
      </c>
      <c r="ADX36" s="12">
        <f>IF(ADU36=0,0,IF(ACP36=1,SUMPRODUCT(--(($ACQ$5:$ACQ36=$ACQ36-1)*($ACP$5:$ACP36&gt;=10)*($ACP$5:$ACP36&lt;=12)),$ADW$5:$ADW36),IF(ACP36=4,SUMPRODUCT(--(($ACQ$5:$ACQ36=$ACQ36)*($ACP$5:$ACP36&gt;=1)*($ACP$5:$ACP36&lt;=3)),$ADW$5:$ADW36),IF(ACP36=7,SUMPRODUCT(--(($ACQ$5:$ACQ36=$ACQ36)*($ACP$5:$ACP36&gt;=4)*($ACP$5:$ACP36&lt;=6)),$ADW$5:$ADW36),IF(ACP36=10,SUMPRODUCT(--(($ACQ$5:$ACQ36=$ACQ36)*($ACP$5:$ACP36&gt;=7)*($ACP$5:$ACP36&lt;=9)),$ADW$5:$ADW36),0)))))</f>
        <v/>
      </c>
      <c r="ADY36" s="12">
        <f>ADY35+ADW36-ADX36</f>
        <v/>
      </c>
      <c r="ADZ36" s="12">
        <f>IF(ProviderDelay&gt;=1,ADG35*BlendedProvPayEss+ADH35*BlendedProvPayPrem+ADI35*BlendedProvPayElite+ADJ35*BlendedProvPayEss+ADK35*BlendedProvPayPrem+ADL35*BlendedProvPayElite,ADG36*BlendedProvPayEss+ADH36*BlendedProvPayPrem+ADI36*BlendedProvPayElite+ADJ36*BlendedProvPayEss+ADK36*BlendedProvPayPrem+ADL36*BlendedProvPayElite)</f>
        <v/>
      </c>
      <c r="AEA36" s="12">
        <f>ADS36*PaymentFee</f>
        <v/>
      </c>
      <c r="AEB36" s="12">
        <f>ADM36*OpsAI</f>
        <v/>
      </c>
      <c r="AEC36" s="12">
        <f>MonthlyFixed</f>
        <v/>
      </c>
      <c r="AED36" s="12">
        <f>ACW36*ReferralReward</f>
        <v/>
      </c>
      <c r="AEE36" s="12">
        <f>ACU36</f>
        <v/>
      </c>
      <c r="AEF36" s="9">
        <f>ADV36-ADZ36-AEA36-AEB36-AEC36-AED36-AEE36</f>
        <v/>
      </c>
      <c r="AEG36" s="9">
        <f>AEG35+ADS36-(ADZ36+AEA36+AEB36+AEC36+AED36+AEE36+ADX36)</f>
        <v/>
      </c>
      <c r="AEH36" s="12">
        <f>IF(ADM36&gt;0,ADN36/ADM36,0)</f>
        <v/>
      </c>
      <c r="AEI36" s="11">
        <f>IF(ADM35&gt;0,MAX(0,(ADM35+ACX36-ADM36)/ADM35),0)</f>
        <v/>
      </c>
      <c r="AEK36" s="12" t="n">
        <v>32</v>
      </c>
      <c r="AEL36" s="12">
        <f>MOD(AEK36-1+LaunchMonth-1,12)+1</f>
        <v/>
      </c>
      <c r="AEM36" s="12">
        <f>INT((AEK36-1+LaunchMonth-1)/12)+1</f>
        <v/>
      </c>
      <c r="AEN36" s="12">
        <f>VLOOKUP(AEL36,SeasonTable,2,FALSE)</f>
        <v/>
      </c>
      <c r="AEO36" s="12">
        <f>(1+InflationRate)^INT((AEK36-1)/12)</f>
        <v/>
      </c>
      <c r="AEP36" s="11">
        <f>MonthlyChurn*VLOOKUP(AEL36,ChurnSeasonTable,4,FALSE)</f>
        <v/>
      </c>
      <c r="AEQ36" s="12">
        <f>MIN(MAX(MktMin19plus,AFO35*MktPct19plus),MAX(0,AGC35-CashBuffer))</f>
        <v/>
      </c>
      <c r="AER36" s="12">
        <f>IF(AEQ36&gt;0,MAX(1,ROUND(AEQ36/CAC*AEN36,0)),0)</f>
        <v/>
      </c>
      <c r="AES36" s="12">
        <f>IF(AER36&gt;0,ROUND(AER36*ReferralMix/(1-ReferralMix),0),0)</f>
        <v/>
      </c>
      <c r="AET36" s="12">
        <f>AER36+AES36</f>
        <v/>
      </c>
      <c r="AEU36" s="12">
        <f>ROUND(AET36*(1-'Sens - Annual Mix'!$A$14),0)</f>
        <v/>
      </c>
      <c r="AEV36" s="12">
        <f>AET36-AEU36</f>
        <v/>
      </c>
      <c r="AEW36" s="12">
        <f>ROUND(AEU36*EssentialMix,0)</f>
        <v/>
      </c>
      <c r="AEX36" s="12">
        <f>ROUND(AEU36*PremiumMix,0)</f>
        <v/>
      </c>
      <c r="AEY36" s="12">
        <f>AEU36-AEW36-AEX36</f>
        <v/>
      </c>
      <c r="AEZ36" s="12">
        <f>ROUND(AEV36*EssentialMix,0)</f>
        <v/>
      </c>
      <c r="AFA36" s="12">
        <f>ROUND(AEV36*PremiumMix,0)</f>
        <v/>
      </c>
      <c r="AFB36" s="12">
        <f>AEV36-AEZ36-AFA36</f>
        <v/>
      </c>
      <c r="AFC36" s="12">
        <f>AEW36+AEW35+AEW34+MAX(0,AFC35-AEW35-AEW34)*(1-AEP36)</f>
        <v/>
      </c>
      <c r="AFD36" s="12">
        <f>AEX36+AEX35+AEX34+MAX(0,AFD35-AEX35-AEX34)*(1-AEP36)</f>
        <v/>
      </c>
      <c r="AFE36" s="12">
        <f>AEY36+AEY35+AEY34+MAX(0,AFE35-AEY35-AEY34)*(1-AEP36)</f>
        <v/>
      </c>
      <c r="AFF36" s="12">
        <f>AFF35+AEZ36-AEZ24*(AnnualChurn*VLOOKUP(AEL36,ChurnSeasonTable,4,FALSE))*POWER(1-(AnnualChurn*VLOOKUP(AEL36,ChurnSeasonTable,4,FALSE)),0)+AEZ12*(AnnualChurn*VLOOKUP(AEL36,ChurnSeasonTable,4,FALSE))*POWER(1-(AnnualChurn*VLOOKUP(AEL36,ChurnSeasonTable,4,FALSE)),1)</f>
        <v/>
      </c>
      <c r="AFG36" s="12">
        <f>AFG35+AFA36-AFA24*(AnnualChurn*VLOOKUP(AEL36,ChurnSeasonTable,4,FALSE))*POWER(1-(AnnualChurn*VLOOKUP(AEL36,ChurnSeasonTable,4,FALSE)),0)+AFA12*(AnnualChurn*VLOOKUP(AEL36,ChurnSeasonTable,4,FALSE))*POWER(1-(AnnualChurn*VLOOKUP(AEL36,ChurnSeasonTable,4,FALSE)),1)</f>
        <v/>
      </c>
      <c r="AFH36" s="12">
        <f>AFH35+AFB36-AFB24*(AnnualChurn*VLOOKUP(AEL36,ChurnSeasonTable,4,FALSE))*POWER(1-(AnnualChurn*VLOOKUP(AEL36,ChurnSeasonTable,4,FALSE)),0)+AFB12*(AnnualChurn*VLOOKUP(AEL36,ChurnSeasonTable,4,FALSE))*POWER(1-(AnnualChurn*VLOOKUP(AEL36,ChurnSeasonTable,4,FALSE)),1)</f>
        <v/>
      </c>
      <c r="AFI36" s="12">
        <f>AFC36+AFD36+AFE36+AFF36+AFG36+AFH36</f>
        <v/>
      </c>
      <c r="AFJ36" s="9">
        <f>AFC36*BlendedPriceEssMonthly*AEO36+AFD36*BlendedPricePremMonthly*AEO36+AFE36*BlendedPriceEliteMonthly*AEO36+AFF36*BlendedPriceEssAnnual*AEO36/12+AFG36*BlendedPricePremAnnual*AEO36/12+AFH36*BlendedPriceEliteAnnual*AEO36/12</f>
        <v/>
      </c>
      <c r="AFK36" s="9">
        <f>AFJ36*12</f>
        <v/>
      </c>
      <c r="AFL36" s="12">
        <f>AFC36*BlendedPriceEssMonthly*AEO36+AFD36*BlendedPricePremMonthly*AEO36+AFE36*BlendedPriceEliteMonthly*AEO36</f>
        <v/>
      </c>
      <c r="AFM36" s="12">
        <f>AEZ36*BlendedPriceEssAnnual*AEO36+AFA36*BlendedPricePremAnnual*AEO36+AFB36*BlendedPriceEliteAnnual*AEO36</f>
        <v/>
      </c>
      <c r="AFN36" s="12">
        <f>AEZ24*POWER(1-(AnnualChurn*VLOOKUP(AEL36,ChurnSeasonTable,4,FALSE)),1)*BlendedPriceEssAnnual*AEO36+AEZ12*POWER(1-(AnnualChurn*VLOOKUP(AEL36,ChurnSeasonTable,4,FALSE)),2)*BlendedPriceEssAnnual*AEO36+AFA24*POWER(1-(AnnualChurn*VLOOKUP(AEL36,ChurnSeasonTable,4,FALSE)),1)*BlendedPricePremAnnual*AEO36+AFA12*POWER(1-(AnnualChurn*VLOOKUP(AEL36,ChurnSeasonTable,4,FALSE)),2)*BlendedPricePremAnnual*AEO36+AFB24*POWER(1-(AnnualChurn*VLOOKUP(AEL36,ChurnSeasonTable,4,FALSE)),1)*BlendedPriceEliteAnnual*AEO36+AFB12*POWER(1-(AnnualChurn*VLOOKUP(AEL36,ChurnSeasonTable,4,FALSE)),2)*BlendedPriceEliteAnnual*AEO36</f>
        <v/>
      </c>
      <c r="AFO36" s="9">
        <f>AFL36+AFM36+AFN36</f>
        <v/>
      </c>
      <c r="AFP36" s="12">
        <f>SUM(AFO25:AFO36)</f>
        <v/>
      </c>
      <c r="AFQ36" s="12">
        <f>OR(AFQ35,IF(VATAgentMode,SUM($AFO25:$AFO36)-SUM($AFV25:$AFV36)&gt;=VATThreshold,SUM($AFO25:$AFO36)&gt;=VATThreshold))</f>
        <v/>
      </c>
      <c r="AFR36" s="9">
        <f>IF(AFQ36,IF(VATAgentMode,AFO36-((AFO36-AFV36)-(AFO36-AFV36)/(1+VATRate)),AFO36/(1+VATRate)),AFO36)</f>
        <v/>
      </c>
      <c r="AFS36" s="12">
        <f>AFO36-AFR36</f>
        <v/>
      </c>
      <c r="AFT36" s="12">
        <f>IF(AFQ36=0,0,IF(AEL36=1,SUMPRODUCT(--(($AEM$5:$AEM36=$AEM36-1)*($AEL$5:$AEL36&gt;=10)*($AEL$5:$AEL36&lt;=12)),$AFS$5:$AFS36),IF(AEL36=4,SUMPRODUCT(--(($AEM$5:$AEM36=$AEM36)*($AEL$5:$AEL36&gt;=1)*($AEL$5:$AEL36&lt;=3)),$AFS$5:$AFS36),IF(AEL36=7,SUMPRODUCT(--(($AEM$5:$AEM36=$AEM36)*($AEL$5:$AEL36&gt;=4)*($AEL$5:$AEL36&lt;=6)),$AFS$5:$AFS36),IF(AEL36=10,SUMPRODUCT(--(($AEM$5:$AEM36=$AEM36)*($AEL$5:$AEL36&gt;=7)*($AEL$5:$AEL36&lt;=9)),$AFS$5:$AFS36),0)))))</f>
        <v/>
      </c>
      <c r="AFU36" s="12">
        <f>AFU35+AFS36-AFT36</f>
        <v/>
      </c>
      <c r="AFV36" s="12">
        <f>IF(ProviderDelay&gt;=1,AFC35*BlendedProvPayEss+AFD35*BlendedProvPayPrem+AFE35*BlendedProvPayElite+AFF35*BlendedProvPayEss+AFG35*BlendedProvPayPrem+AFH35*BlendedProvPayElite,AFC36*BlendedProvPayEss+AFD36*BlendedProvPayPrem+AFE36*BlendedProvPayElite+AFF36*BlendedProvPayEss+AFG36*BlendedProvPayPrem+AFH36*BlendedProvPayElite)</f>
        <v/>
      </c>
      <c r="AFW36" s="12">
        <f>AFO36*PaymentFee</f>
        <v/>
      </c>
      <c r="AFX36" s="12">
        <f>AFI36*OpsAI</f>
        <v/>
      </c>
      <c r="AFY36" s="12">
        <f>MonthlyFixed</f>
        <v/>
      </c>
      <c r="AFZ36" s="12">
        <f>AES36*ReferralReward</f>
        <v/>
      </c>
      <c r="AGA36" s="12">
        <f>AEQ36</f>
        <v/>
      </c>
      <c r="AGB36" s="9">
        <f>AFR36-AFV36-AFW36-AFX36-AFY36-AFZ36-AGA36</f>
        <v/>
      </c>
      <c r="AGC36" s="9">
        <f>AGC35+AFO36-(AFV36+AFW36+AFX36+AFY36+AFZ36+AGA36+AFT36)</f>
        <v/>
      </c>
      <c r="AGD36" s="12">
        <f>IF(AFI36&gt;0,AFJ36/AFI36,0)</f>
        <v/>
      </c>
      <c r="AGE36" s="11">
        <f>IF(AFI35&gt;0,MAX(0,(AFI35+AET36-AFI36)/AFI35),0)</f>
        <v/>
      </c>
      <c r="AGG36" s="12" t="n">
        <v>32</v>
      </c>
      <c r="AGH36" s="12">
        <f>MOD(AGG36-1+LaunchMonth-1,12)+1</f>
        <v/>
      </c>
      <c r="AGI36" s="12">
        <f>INT((AGG36-1+LaunchMonth-1)/12)+1</f>
        <v/>
      </c>
      <c r="AGJ36" s="12">
        <f>VLOOKUP(AGH36,SeasonTable,2,FALSE)</f>
        <v/>
      </c>
      <c r="AGK36" s="12">
        <f>(1+InflationRate)^INT((AGG36-1)/12)</f>
        <v/>
      </c>
      <c r="AGL36" s="11">
        <f>MonthlyChurn*VLOOKUP(AGH36,ChurnSeasonTable,4,FALSE)</f>
        <v/>
      </c>
      <c r="AGM36" s="12">
        <f>MIN(MAX(MktMin19plus,AHK35*MktPct19plus),MAX(0,AHY35-CashBuffer))</f>
        <v/>
      </c>
      <c r="AGN36" s="12">
        <f>IF(AGM36&gt;0,MAX(1,ROUND(AGM36/CAC*AGJ36,0)),0)</f>
        <v/>
      </c>
      <c r="AGO36" s="12">
        <f>IF(AGN36&gt;0,ROUND(AGN36*ReferralMix/(1-ReferralMix),0),0)</f>
        <v/>
      </c>
      <c r="AGP36" s="12">
        <f>AGN36+AGO36</f>
        <v/>
      </c>
      <c r="AGQ36" s="12">
        <f>ROUND(AGP36*(1-'Sens - Annual Mix'!$A$15),0)</f>
        <v/>
      </c>
      <c r="AGR36" s="12">
        <f>AGP36-AGQ36</f>
        <v/>
      </c>
      <c r="AGS36" s="12">
        <f>ROUND(AGQ36*EssentialMix,0)</f>
        <v/>
      </c>
      <c r="AGT36" s="12">
        <f>ROUND(AGQ36*PremiumMix,0)</f>
        <v/>
      </c>
      <c r="AGU36" s="12">
        <f>AGQ36-AGS36-AGT36</f>
        <v/>
      </c>
      <c r="AGV36" s="12">
        <f>ROUND(AGR36*EssentialMix,0)</f>
        <v/>
      </c>
      <c r="AGW36" s="12">
        <f>ROUND(AGR36*PremiumMix,0)</f>
        <v/>
      </c>
      <c r="AGX36" s="12">
        <f>AGR36-AGV36-AGW36</f>
        <v/>
      </c>
      <c r="AGY36" s="12">
        <f>AGS36+AGS35+AGS34+MAX(0,AGY35-AGS35-AGS34)*(1-AGL36)</f>
        <v/>
      </c>
      <c r="AGZ36" s="12">
        <f>AGT36+AGT35+AGT34+MAX(0,AGZ35-AGT35-AGT34)*(1-AGL36)</f>
        <v/>
      </c>
      <c r="AHA36" s="12">
        <f>AGU36+AGU35+AGU34+MAX(0,AHA35-AGU35-AGU34)*(1-AGL36)</f>
        <v/>
      </c>
      <c r="AHB36" s="12">
        <f>AHB35+AGV36-AGV24*(AnnualChurn*VLOOKUP(AGH36,ChurnSeasonTable,4,FALSE))*POWER(1-(AnnualChurn*VLOOKUP(AGH36,ChurnSeasonTable,4,FALSE)),0)+AGV12*(AnnualChurn*VLOOKUP(AGH36,ChurnSeasonTable,4,FALSE))*POWER(1-(AnnualChurn*VLOOKUP(AGH36,ChurnSeasonTable,4,FALSE)),1)</f>
        <v/>
      </c>
      <c r="AHC36" s="12">
        <f>AHC35+AGW36-AGW24*(AnnualChurn*VLOOKUP(AGH36,ChurnSeasonTable,4,FALSE))*POWER(1-(AnnualChurn*VLOOKUP(AGH36,ChurnSeasonTable,4,FALSE)),0)+AGW12*(AnnualChurn*VLOOKUP(AGH36,ChurnSeasonTable,4,FALSE))*POWER(1-(AnnualChurn*VLOOKUP(AGH36,ChurnSeasonTable,4,FALSE)),1)</f>
        <v/>
      </c>
      <c r="AHD36" s="12">
        <f>AHD35+AGX36-AGX24*(AnnualChurn*VLOOKUP(AGH36,ChurnSeasonTable,4,FALSE))*POWER(1-(AnnualChurn*VLOOKUP(AGH36,ChurnSeasonTable,4,FALSE)),0)+AGX12*(AnnualChurn*VLOOKUP(AGH36,ChurnSeasonTable,4,FALSE))*POWER(1-(AnnualChurn*VLOOKUP(AGH36,ChurnSeasonTable,4,FALSE)),1)</f>
        <v/>
      </c>
      <c r="AHE36" s="12">
        <f>AGY36+AGZ36+AHA36+AHB36+AHC36+AHD36</f>
        <v/>
      </c>
      <c r="AHF36" s="9">
        <f>AGY36*BlendedPriceEssMonthly*AGK36+AGZ36*BlendedPricePremMonthly*AGK36+AHA36*BlendedPriceEliteMonthly*AGK36+AHB36*BlendedPriceEssAnnual*AGK36/12+AHC36*BlendedPricePremAnnual*AGK36/12+AHD36*BlendedPriceEliteAnnual*AGK36/12</f>
        <v/>
      </c>
      <c r="AHG36" s="9">
        <f>AHF36*12</f>
        <v/>
      </c>
      <c r="AHH36" s="12">
        <f>AGY36*BlendedPriceEssMonthly*AGK36+AGZ36*BlendedPricePremMonthly*AGK36+AHA36*BlendedPriceEliteMonthly*AGK36</f>
        <v/>
      </c>
      <c r="AHI36" s="12">
        <f>AGV36*BlendedPriceEssAnnual*AGK36+AGW36*BlendedPricePremAnnual*AGK36+AGX36*BlendedPriceEliteAnnual*AGK36</f>
        <v/>
      </c>
      <c r="AHJ36" s="12">
        <f>AGV24*POWER(1-(AnnualChurn*VLOOKUP(AGH36,ChurnSeasonTable,4,FALSE)),1)*BlendedPriceEssAnnual*AGK36+AGV12*POWER(1-(AnnualChurn*VLOOKUP(AGH36,ChurnSeasonTable,4,FALSE)),2)*BlendedPriceEssAnnual*AGK36+AGW24*POWER(1-(AnnualChurn*VLOOKUP(AGH36,ChurnSeasonTable,4,FALSE)),1)*BlendedPricePremAnnual*AGK36+AGW12*POWER(1-(AnnualChurn*VLOOKUP(AGH36,ChurnSeasonTable,4,FALSE)),2)*BlendedPricePremAnnual*AGK36+AGX24*POWER(1-(AnnualChurn*VLOOKUP(AGH36,ChurnSeasonTable,4,FALSE)),1)*BlendedPriceEliteAnnual*AGK36+AGX12*POWER(1-(AnnualChurn*VLOOKUP(AGH36,ChurnSeasonTable,4,FALSE)),2)*BlendedPriceEliteAnnual*AGK36</f>
        <v/>
      </c>
      <c r="AHK36" s="9">
        <f>AHH36+AHI36+AHJ36</f>
        <v/>
      </c>
      <c r="AHL36" s="12">
        <f>SUM(AHK25:AHK36)</f>
        <v/>
      </c>
      <c r="AHM36" s="12">
        <f>OR(AHM35,IF(VATAgentMode,SUM($AHK25:$AHK36)-SUM($AHR25:$AHR36)&gt;=VATThreshold,SUM($AHK25:$AHK36)&gt;=VATThreshold))</f>
        <v/>
      </c>
      <c r="AHN36" s="9">
        <f>IF(AHM36,IF(VATAgentMode,AHK36-((AHK36-AHR36)-(AHK36-AHR36)/(1+VATRate)),AHK36/(1+VATRate)),AHK36)</f>
        <v/>
      </c>
      <c r="AHO36" s="12">
        <f>AHK36-AHN36</f>
        <v/>
      </c>
      <c r="AHP36" s="12">
        <f>IF(AHM36=0,0,IF(AGH36=1,SUMPRODUCT(--(($AGI$5:$AGI36=$AGI36-1)*($AGH$5:$AGH36&gt;=10)*($AGH$5:$AGH36&lt;=12)),$AHO$5:$AHO36),IF(AGH36=4,SUMPRODUCT(--(($AGI$5:$AGI36=$AGI36)*($AGH$5:$AGH36&gt;=1)*($AGH$5:$AGH36&lt;=3)),$AHO$5:$AHO36),IF(AGH36=7,SUMPRODUCT(--(($AGI$5:$AGI36=$AGI36)*($AGH$5:$AGH36&gt;=4)*($AGH$5:$AGH36&lt;=6)),$AHO$5:$AHO36),IF(AGH36=10,SUMPRODUCT(--(($AGI$5:$AGI36=$AGI36)*($AGH$5:$AGH36&gt;=7)*($AGH$5:$AGH36&lt;=9)),$AHO$5:$AHO36),0)))))</f>
        <v/>
      </c>
      <c r="AHQ36" s="12">
        <f>AHQ35+AHO36-AHP36</f>
        <v/>
      </c>
      <c r="AHR36" s="12">
        <f>IF(ProviderDelay&gt;=1,AGY35*BlendedProvPayEss+AGZ35*BlendedProvPayPrem+AHA35*BlendedProvPayElite+AHB35*BlendedProvPayEss+AHC35*BlendedProvPayPrem+AHD35*BlendedProvPayElite,AGY36*BlendedProvPayEss+AGZ36*BlendedProvPayPrem+AHA36*BlendedProvPayElite+AHB36*BlendedProvPayEss+AHC36*BlendedProvPayPrem+AHD36*BlendedProvPayElite)</f>
        <v/>
      </c>
      <c r="AHS36" s="12">
        <f>AHK36*PaymentFee</f>
        <v/>
      </c>
      <c r="AHT36" s="12">
        <f>AHE36*OpsAI</f>
        <v/>
      </c>
      <c r="AHU36" s="12">
        <f>MonthlyFixed</f>
        <v/>
      </c>
      <c r="AHV36" s="12">
        <f>AGO36*ReferralReward</f>
        <v/>
      </c>
      <c r="AHW36" s="12">
        <f>AGM36</f>
        <v/>
      </c>
      <c r="AHX36" s="9">
        <f>AHN36-AHR36-AHS36-AHT36-AHU36-AHV36-AHW36</f>
        <v/>
      </c>
      <c r="AHY36" s="9">
        <f>AHY35+AHK36-(AHR36+AHS36+AHT36+AHU36+AHV36+AHW36+AHP36)</f>
        <v/>
      </c>
      <c r="AHZ36" s="12">
        <f>IF(AHE36&gt;0,AHF36/AHE36,0)</f>
        <v/>
      </c>
      <c r="AIA36" s="11">
        <f>IF(AHE35&gt;0,MAX(0,(AHE35+AGP36-AHE36)/AHE35),0)</f>
        <v/>
      </c>
      <c r="AIC36" s="12" t="n">
        <v>32</v>
      </c>
      <c r="AID36" s="12">
        <f>MOD(AIC36-1+LaunchMonth-1,12)+1</f>
        <v/>
      </c>
      <c r="AIE36" s="12">
        <f>INT((AIC36-1+LaunchMonth-1)/12)+1</f>
        <v/>
      </c>
      <c r="AIF36" s="12">
        <f>VLOOKUP(AID36,SeasonTable,2,FALSE)</f>
        <v/>
      </c>
      <c r="AIG36" s="12">
        <f>(1+InflationRate)^INT((AIC36-1)/12)</f>
        <v/>
      </c>
      <c r="AIH36" s="11">
        <f>MonthlyChurn*VLOOKUP(AID36,ChurnSeasonTable,4,FALSE)</f>
        <v/>
      </c>
      <c r="AII36" s="12">
        <f>MIN(MAX(MktMin19plus,AJG35*MktPct19plus),MAX(0,AJU35-CashBuffer))</f>
        <v/>
      </c>
      <c r="AIJ36" s="12">
        <f>IF(AII36&gt;0,MAX(1,ROUND(AII36/'Sens - CAC &amp; Marketing'!$A$9*AIF36,0)),0)</f>
        <v/>
      </c>
      <c r="AIK36" s="12">
        <f>IF(AIJ36&gt;0,ROUND(AIJ36*ReferralMix/(1-ReferralMix),0),0)</f>
        <v/>
      </c>
      <c r="AIL36" s="12">
        <f>AIJ36+AIK36</f>
        <v/>
      </c>
      <c r="AIM36" s="12">
        <f>ROUND(AIL36*(1-AnnualMix),0)</f>
        <v/>
      </c>
      <c r="AIN36" s="12">
        <f>AIL36-AIM36</f>
        <v/>
      </c>
      <c r="AIO36" s="12">
        <f>ROUND(AIM36*EssentialMix,0)</f>
        <v/>
      </c>
      <c r="AIP36" s="12">
        <f>ROUND(AIM36*PremiumMix,0)</f>
        <v/>
      </c>
      <c r="AIQ36" s="12">
        <f>AIM36-AIO36-AIP36</f>
        <v/>
      </c>
      <c r="AIR36" s="12">
        <f>ROUND(AIN36*EssentialMix,0)</f>
        <v/>
      </c>
      <c r="AIS36" s="12">
        <f>ROUND(AIN36*PremiumMix,0)</f>
        <v/>
      </c>
      <c r="AIT36" s="12">
        <f>AIN36-AIR36-AIS36</f>
        <v/>
      </c>
      <c r="AIU36" s="12">
        <f>AIO36+AIO35+AIO34+MAX(0,AIU35-AIO35-AIO34)*(1-AIH36)</f>
        <v/>
      </c>
      <c r="AIV36" s="12">
        <f>AIP36+AIP35+AIP34+MAX(0,AIV35-AIP35-AIP34)*(1-AIH36)</f>
        <v/>
      </c>
      <c r="AIW36" s="12">
        <f>AIQ36+AIQ35+AIQ34+MAX(0,AIW35-AIQ35-AIQ34)*(1-AIH36)</f>
        <v/>
      </c>
      <c r="AIX36" s="12">
        <f>AIX35+AIR36-AIR24*(AnnualChurn*VLOOKUP(AID36,ChurnSeasonTable,4,FALSE))*POWER(1-(AnnualChurn*VLOOKUP(AID36,ChurnSeasonTable,4,FALSE)),0)+AIR12*(AnnualChurn*VLOOKUP(AID36,ChurnSeasonTable,4,FALSE))*POWER(1-(AnnualChurn*VLOOKUP(AID36,ChurnSeasonTable,4,FALSE)),1)</f>
        <v/>
      </c>
      <c r="AIY36" s="12">
        <f>AIY35+AIS36-AIS24*(AnnualChurn*VLOOKUP(AID36,ChurnSeasonTable,4,FALSE))*POWER(1-(AnnualChurn*VLOOKUP(AID36,ChurnSeasonTable,4,FALSE)),0)+AIS12*(AnnualChurn*VLOOKUP(AID36,ChurnSeasonTable,4,FALSE))*POWER(1-(AnnualChurn*VLOOKUP(AID36,ChurnSeasonTable,4,FALSE)),1)</f>
        <v/>
      </c>
      <c r="AIZ36" s="12">
        <f>AIZ35+AIT36-AIT24*(AnnualChurn*VLOOKUP(AID36,ChurnSeasonTable,4,FALSE))*POWER(1-(AnnualChurn*VLOOKUP(AID36,ChurnSeasonTable,4,FALSE)),0)+AIT12*(AnnualChurn*VLOOKUP(AID36,ChurnSeasonTable,4,FALSE))*POWER(1-(AnnualChurn*VLOOKUP(AID36,ChurnSeasonTable,4,FALSE)),1)</f>
        <v/>
      </c>
      <c r="AJA36" s="12">
        <f>AIU36+AIV36+AIW36+AIX36+AIY36+AIZ36</f>
        <v/>
      </c>
      <c r="AJB36" s="9">
        <f>AIU36*BlendedPriceEssMonthly*AIG36+AIV36*BlendedPricePremMonthly*AIG36+AIW36*BlendedPriceEliteMonthly*AIG36+AIX36*BlendedPriceEssAnnual*AIG36/12+AIY36*BlendedPricePremAnnual*AIG36/12+AIZ36*BlendedPriceEliteAnnual*AIG36/12</f>
        <v/>
      </c>
      <c r="AJC36" s="9">
        <f>AJB36*12</f>
        <v/>
      </c>
      <c r="AJD36" s="12">
        <f>AIU36*BlendedPriceEssMonthly*AIG36+AIV36*BlendedPricePremMonthly*AIG36+AIW36*BlendedPriceEliteMonthly*AIG36</f>
        <v/>
      </c>
      <c r="AJE36" s="12">
        <f>AIR36*BlendedPriceEssAnnual*AIG36+AIS36*BlendedPricePremAnnual*AIG36+AIT36*BlendedPriceEliteAnnual*AIG36</f>
        <v/>
      </c>
      <c r="AJF36" s="12">
        <f>AIR24*POWER(1-(AnnualChurn*VLOOKUP(AID36,ChurnSeasonTable,4,FALSE)),1)*BlendedPriceEssAnnual*AIG36+AIR12*POWER(1-(AnnualChurn*VLOOKUP(AID36,ChurnSeasonTable,4,FALSE)),2)*BlendedPriceEssAnnual*AIG36+AIS24*POWER(1-(AnnualChurn*VLOOKUP(AID36,ChurnSeasonTable,4,FALSE)),1)*BlendedPricePremAnnual*AIG36+AIS12*POWER(1-(AnnualChurn*VLOOKUP(AID36,ChurnSeasonTable,4,FALSE)),2)*BlendedPricePremAnnual*AIG36+AIT24*POWER(1-(AnnualChurn*VLOOKUP(AID36,ChurnSeasonTable,4,FALSE)),1)*BlendedPriceEliteAnnual*AIG36+AIT12*POWER(1-(AnnualChurn*VLOOKUP(AID36,ChurnSeasonTable,4,FALSE)),2)*BlendedPriceEliteAnnual*AIG36</f>
        <v/>
      </c>
      <c r="AJG36" s="9">
        <f>AJD36+AJE36+AJF36</f>
        <v/>
      </c>
      <c r="AJH36" s="12">
        <f>SUM(AJG25:AJG36)</f>
        <v/>
      </c>
      <c r="AJI36" s="12">
        <f>OR(AJI35,IF(VATAgentMode,SUM($AJG25:$AJG36)-SUM($AJN25:$AJN36)&gt;=VATThreshold,SUM($AJG25:$AJG36)&gt;=VATThreshold))</f>
        <v/>
      </c>
      <c r="AJJ36" s="9">
        <f>IF(AJI36,IF(VATAgentMode,AJG36-((AJG36-AJN36)-(AJG36-AJN36)/(1+VATRate)),AJG36/(1+VATRate)),AJG36)</f>
        <v/>
      </c>
      <c r="AJK36" s="12">
        <f>AJG36-AJJ36</f>
        <v/>
      </c>
      <c r="AJL36" s="12">
        <f>IF(AJI36=0,0,IF(AID36=1,SUMPRODUCT(--(($AIE$5:$AIE36=$AIE36-1)*($AID$5:$AID36&gt;=10)*($AID$5:$AID36&lt;=12)),$AJK$5:$AJK36),IF(AID36=4,SUMPRODUCT(--(($AIE$5:$AIE36=$AIE36)*($AID$5:$AID36&gt;=1)*($AID$5:$AID36&lt;=3)),$AJK$5:$AJK36),IF(AID36=7,SUMPRODUCT(--(($AIE$5:$AIE36=$AIE36)*($AID$5:$AID36&gt;=4)*($AID$5:$AID36&lt;=6)),$AJK$5:$AJK36),IF(AID36=10,SUMPRODUCT(--(($AIE$5:$AIE36=$AIE36)*($AID$5:$AID36&gt;=7)*($AID$5:$AID36&lt;=9)),$AJK$5:$AJK36),0)))))</f>
        <v/>
      </c>
      <c r="AJM36" s="12">
        <f>AJM35+AJK36-AJL36</f>
        <v/>
      </c>
      <c r="AJN36" s="12">
        <f>IF(ProviderDelay&gt;=1,AIU35*BlendedProvPayEss+AIV35*BlendedProvPayPrem+AIW35*BlendedProvPayElite+AIX35*BlendedProvPayEss+AIY35*BlendedProvPayPrem+AIZ35*BlendedProvPayElite,AIU36*BlendedProvPayEss+AIV36*BlendedProvPayPrem+AIW36*BlendedProvPayElite+AIX36*BlendedProvPayEss+AIY36*BlendedProvPayPrem+AIZ36*BlendedProvPayElite)</f>
        <v/>
      </c>
      <c r="AJO36" s="12">
        <f>AJG36*PaymentFee</f>
        <v/>
      </c>
      <c r="AJP36" s="12">
        <f>AJA36*OpsAI</f>
        <v/>
      </c>
      <c r="AJQ36" s="12">
        <f>MonthlyFixed</f>
        <v/>
      </c>
      <c r="AJR36" s="12">
        <f>AIK36*ReferralReward</f>
        <v/>
      </c>
      <c r="AJS36" s="12">
        <f>AII36</f>
        <v/>
      </c>
      <c r="AJT36" s="9">
        <f>AJJ36-AJN36-AJO36-AJP36-AJQ36-AJR36-AJS36</f>
        <v/>
      </c>
      <c r="AJU36" s="9">
        <f>AJU35+AJG36-(AJN36+AJO36+AJP36+AJQ36+AJR36+AJS36+AJL36)</f>
        <v/>
      </c>
      <c r="AJV36" s="12">
        <f>IF(AJA36&gt;0,AJB36/AJA36,0)</f>
        <v/>
      </c>
      <c r="AJW36" s="11">
        <f>IF(AJA35&gt;0,MAX(0,(AJA35+AIL36-AJA36)/AJA35),0)</f>
        <v/>
      </c>
      <c r="AJY36" s="12" t="n">
        <v>32</v>
      </c>
      <c r="AJZ36" s="12">
        <f>MOD(AJY36-1+LaunchMonth-1,12)+1</f>
        <v/>
      </c>
      <c r="AKA36" s="12">
        <f>INT((AJY36-1+LaunchMonth-1)/12)+1</f>
        <v/>
      </c>
      <c r="AKB36" s="12">
        <f>VLOOKUP(AJZ36,SeasonTable,2,FALSE)</f>
        <v/>
      </c>
      <c r="AKC36" s="12">
        <f>(1+InflationRate)^INT((AJY36-1)/12)</f>
        <v/>
      </c>
      <c r="AKD36" s="11">
        <f>MonthlyChurn*VLOOKUP(AJZ36,ChurnSeasonTable,4,FALSE)</f>
        <v/>
      </c>
      <c r="AKE36" s="12">
        <f>MIN(MAX(MktMin19plus,ALC35*MktPct19plus),MAX(0,ALQ35-CashBuffer))</f>
        <v/>
      </c>
      <c r="AKF36" s="12">
        <f>IF(AKE36&gt;0,MAX(1,ROUND(AKE36/'Sens - CAC &amp; Marketing'!$A$10*AKB36,0)),0)</f>
        <v/>
      </c>
      <c r="AKG36" s="12">
        <f>IF(AKF36&gt;0,ROUND(AKF36*ReferralMix/(1-ReferralMix),0),0)</f>
        <v/>
      </c>
      <c r="AKH36" s="12">
        <f>AKF36+AKG36</f>
        <v/>
      </c>
      <c r="AKI36" s="12">
        <f>ROUND(AKH36*(1-AnnualMix),0)</f>
        <v/>
      </c>
      <c r="AKJ36" s="12">
        <f>AKH36-AKI36</f>
        <v/>
      </c>
      <c r="AKK36" s="12">
        <f>ROUND(AKI36*EssentialMix,0)</f>
        <v/>
      </c>
      <c r="AKL36" s="12">
        <f>ROUND(AKI36*PremiumMix,0)</f>
        <v/>
      </c>
      <c r="AKM36" s="12">
        <f>AKI36-AKK36-AKL36</f>
        <v/>
      </c>
      <c r="AKN36" s="12">
        <f>ROUND(AKJ36*EssentialMix,0)</f>
        <v/>
      </c>
      <c r="AKO36" s="12">
        <f>ROUND(AKJ36*PremiumMix,0)</f>
        <v/>
      </c>
      <c r="AKP36" s="12">
        <f>AKJ36-AKN36-AKO36</f>
        <v/>
      </c>
      <c r="AKQ36" s="12">
        <f>AKK36+AKK35+AKK34+MAX(0,AKQ35-AKK35-AKK34)*(1-AKD36)</f>
        <v/>
      </c>
      <c r="AKR36" s="12">
        <f>AKL36+AKL35+AKL34+MAX(0,AKR35-AKL35-AKL34)*(1-AKD36)</f>
        <v/>
      </c>
      <c r="AKS36" s="12">
        <f>AKM36+AKM35+AKM34+MAX(0,AKS35-AKM35-AKM34)*(1-AKD36)</f>
        <v/>
      </c>
      <c r="AKT36" s="12">
        <f>AKT35+AKN36-AKN24*(AnnualChurn*VLOOKUP(AJZ36,ChurnSeasonTable,4,FALSE))*POWER(1-(AnnualChurn*VLOOKUP(AJZ36,ChurnSeasonTable,4,FALSE)),0)+AKN12*(AnnualChurn*VLOOKUP(AJZ36,ChurnSeasonTable,4,FALSE))*POWER(1-(AnnualChurn*VLOOKUP(AJZ36,ChurnSeasonTable,4,FALSE)),1)</f>
        <v/>
      </c>
      <c r="AKU36" s="12">
        <f>AKU35+AKO36-AKO24*(AnnualChurn*VLOOKUP(AJZ36,ChurnSeasonTable,4,FALSE))*POWER(1-(AnnualChurn*VLOOKUP(AJZ36,ChurnSeasonTable,4,FALSE)),0)+AKO12*(AnnualChurn*VLOOKUP(AJZ36,ChurnSeasonTable,4,FALSE))*POWER(1-(AnnualChurn*VLOOKUP(AJZ36,ChurnSeasonTable,4,FALSE)),1)</f>
        <v/>
      </c>
      <c r="AKV36" s="12">
        <f>AKV35+AKP36-AKP24*(AnnualChurn*VLOOKUP(AJZ36,ChurnSeasonTable,4,FALSE))*POWER(1-(AnnualChurn*VLOOKUP(AJZ36,ChurnSeasonTable,4,FALSE)),0)+AKP12*(AnnualChurn*VLOOKUP(AJZ36,ChurnSeasonTable,4,FALSE))*POWER(1-(AnnualChurn*VLOOKUP(AJZ36,ChurnSeasonTable,4,FALSE)),1)</f>
        <v/>
      </c>
      <c r="AKW36" s="12">
        <f>AKQ36+AKR36+AKS36+AKT36+AKU36+AKV36</f>
        <v/>
      </c>
      <c r="AKX36" s="9">
        <f>AKQ36*BlendedPriceEssMonthly*AKC36+AKR36*BlendedPricePremMonthly*AKC36+AKS36*BlendedPriceEliteMonthly*AKC36+AKT36*BlendedPriceEssAnnual*AKC36/12+AKU36*BlendedPricePremAnnual*AKC36/12+AKV36*BlendedPriceEliteAnnual*AKC36/12</f>
        <v/>
      </c>
      <c r="AKY36" s="9">
        <f>AKX36*12</f>
        <v/>
      </c>
      <c r="AKZ36" s="12">
        <f>AKQ36*BlendedPriceEssMonthly*AKC36+AKR36*BlendedPricePremMonthly*AKC36+AKS36*BlendedPriceEliteMonthly*AKC36</f>
        <v/>
      </c>
      <c r="ALA36" s="12">
        <f>AKN36*BlendedPriceEssAnnual*AKC36+AKO36*BlendedPricePremAnnual*AKC36+AKP36*BlendedPriceEliteAnnual*AKC36</f>
        <v/>
      </c>
      <c r="ALB36" s="12">
        <f>AKN24*POWER(1-(AnnualChurn*VLOOKUP(AJZ36,ChurnSeasonTable,4,FALSE)),1)*BlendedPriceEssAnnual*AKC36+AKN12*POWER(1-(AnnualChurn*VLOOKUP(AJZ36,ChurnSeasonTable,4,FALSE)),2)*BlendedPriceEssAnnual*AKC36+AKO24*POWER(1-(AnnualChurn*VLOOKUP(AJZ36,ChurnSeasonTable,4,FALSE)),1)*BlendedPricePremAnnual*AKC36+AKO12*POWER(1-(AnnualChurn*VLOOKUP(AJZ36,ChurnSeasonTable,4,FALSE)),2)*BlendedPricePremAnnual*AKC36+AKP24*POWER(1-(AnnualChurn*VLOOKUP(AJZ36,ChurnSeasonTable,4,FALSE)),1)*BlendedPriceEliteAnnual*AKC36+AKP12*POWER(1-(AnnualChurn*VLOOKUP(AJZ36,ChurnSeasonTable,4,FALSE)),2)*BlendedPriceEliteAnnual*AKC36</f>
        <v/>
      </c>
      <c r="ALC36" s="9">
        <f>AKZ36+ALA36+ALB36</f>
        <v/>
      </c>
      <c r="ALD36" s="12">
        <f>SUM(ALC25:ALC36)</f>
        <v/>
      </c>
      <c r="ALE36" s="12">
        <f>OR(ALE35,IF(VATAgentMode,SUM($ALC25:$ALC36)-SUM($ALJ25:$ALJ36)&gt;=VATThreshold,SUM($ALC25:$ALC36)&gt;=VATThreshold))</f>
        <v/>
      </c>
      <c r="ALF36" s="9">
        <f>IF(ALE36,IF(VATAgentMode,ALC36-((ALC36-ALJ36)-(ALC36-ALJ36)/(1+VATRate)),ALC36/(1+VATRate)),ALC36)</f>
        <v/>
      </c>
      <c r="ALG36" s="12">
        <f>ALC36-ALF36</f>
        <v/>
      </c>
      <c r="ALH36" s="12">
        <f>IF(ALE36=0,0,IF(AJZ36=1,SUMPRODUCT(--(($AKA$5:$AKA36=$AKA36-1)*($AJZ$5:$AJZ36&gt;=10)*($AJZ$5:$AJZ36&lt;=12)),$ALG$5:$ALG36),IF(AJZ36=4,SUMPRODUCT(--(($AKA$5:$AKA36=$AKA36)*($AJZ$5:$AJZ36&gt;=1)*($AJZ$5:$AJZ36&lt;=3)),$ALG$5:$ALG36),IF(AJZ36=7,SUMPRODUCT(--(($AKA$5:$AKA36=$AKA36)*($AJZ$5:$AJZ36&gt;=4)*($AJZ$5:$AJZ36&lt;=6)),$ALG$5:$ALG36),IF(AJZ36=10,SUMPRODUCT(--(($AKA$5:$AKA36=$AKA36)*($AJZ$5:$AJZ36&gt;=7)*($AJZ$5:$AJZ36&lt;=9)),$ALG$5:$ALG36),0)))))</f>
        <v/>
      </c>
      <c r="ALI36" s="12">
        <f>ALI35+ALG36-ALH36</f>
        <v/>
      </c>
      <c r="ALJ36" s="12">
        <f>IF(ProviderDelay&gt;=1,AKQ35*BlendedProvPayEss+AKR35*BlendedProvPayPrem+AKS35*BlendedProvPayElite+AKT35*BlendedProvPayEss+AKU35*BlendedProvPayPrem+AKV35*BlendedProvPayElite,AKQ36*BlendedProvPayEss+AKR36*BlendedProvPayPrem+AKS36*BlendedProvPayElite+AKT36*BlendedProvPayEss+AKU36*BlendedProvPayPrem+AKV36*BlendedProvPayElite)</f>
        <v/>
      </c>
      <c r="ALK36" s="12">
        <f>ALC36*PaymentFee</f>
        <v/>
      </c>
      <c r="ALL36" s="12">
        <f>AKW36*OpsAI</f>
        <v/>
      </c>
      <c r="ALM36" s="12">
        <f>MonthlyFixed</f>
        <v/>
      </c>
      <c r="ALN36" s="12">
        <f>AKG36*ReferralReward</f>
        <v/>
      </c>
      <c r="ALO36" s="12">
        <f>AKE36</f>
        <v/>
      </c>
      <c r="ALP36" s="9">
        <f>ALF36-ALJ36-ALK36-ALL36-ALM36-ALN36-ALO36</f>
        <v/>
      </c>
      <c r="ALQ36" s="9">
        <f>ALQ35+ALC36-(ALJ36+ALK36+ALL36+ALM36+ALN36+ALO36+ALH36)</f>
        <v/>
      </c>
      <c r="ALR36" s="12">
        <f>IF(AKW36&gt;0,AKX36/AKW36,0)</f>
        <v/>
      </c>
      <c r="ALS36" s="11">
        <f>IF(AKW35&gt;0,MAX(0,(AKW35+AKH36-AKW36)/AKW35),0)</f>
        <v/>
      </c>
      <c r="ALU36" s="12" t="n">
        <v>32</v>
      </c>
      <c r="ALV36" s="12">
        <f>MOD(ALU36-1+LaunchMonth-1,12)+1</f>
        <v/>
      </c>
      <c r="ALW36" s="12">
        <f>INT((ALU36-1+LaunchMonth-1)/12)+1</f>
        <v/>
      </c>
      <c r="ALX36" s="12">
        <f>VLOOKUP(ALV36,SeasonTable,2,FALSE)</f>
        <v/>
      </c>
      <c r="ALY36" s="12">
        <f>(1+InflationRate)^INT((ALU36-1)/12)</f>
        <v/>
      </c>
      <c r="ALZ36" s="11">
        <f>MonthlyChurn*VLOOKUP(ALV36,ChurnSeasonTable,4,FALSE)</f>
        <v/>
      </c>
      <c r="AMA36" s="12">
        <f>MIN(MAX(MktMin19plus,AMY35*MktPct19plus),MAX(0,ANM35-CashBuffer))</f>
        <v/>
      </c>
      <c r="AMB36" s="12">
        <f>IF(AMA36&gt;0,MAX(1,ROUND(AMA36/'Sens - CAC &amp; Marketing'!$A$11*ALX36,0)),0)</f>
        <v/>
      </c>
      <c r="AMC36" s="12">
        <f>IF(AMB36&gt;0,ROUND(AMB36*ReferralMix/(1-ReferralMix),0),0)</f>
        <v/>
      </c>
      <c r="AMD36" s="12">
        <f>AMB36+AMC36</f>
        <v/>
      </c>
      <c r="AME36" s="12">
        <f>ROUND(AMD36*(1-AnnualMix),0)</f>
        <v/>
      </c>
      <c r="AMF36" s="12">
        <f>AMD36-AME36</f>
        <v/>
      </c>
      <c r="AMG36" s="12">
        <f>ROUND(AME36*EssentialMix,0)</f>
        <v/>
      </c>
      <c r="AMH36" s="12">
        <f>ROUND(AME36*PremiumMix,0)</f>
        <v/>
      </c>
      <c r="AMI36" s="12">
        <f>AME36-AMG36-AMH36</f>
        <v/>
      </c>
      <c r="AMJ36" s="12">
        <f>ROUND(AMF36*EssentialMix,0)</f>
        <v/>
      </c>
      <c r="AMK36" s="12">
        <f>ROUND(AMF36*PremiumMix,0)</f>
        <v/>
      </c>
      <c r="AML36" s="12">
        <f>AMF36-AMJ36-AMK36</f>
        <v/>
      </c>
      <c r="AMM36" s="12">
        <f>AMG36+AMG35+AMG34+MAX(0,AMM35-AMG35-AMG34)*(1-ALZ36)</f>
        <v/>
      </c>
      <c r="AMN36" s="12">
        <f>AMH36+AMH35+AMH34+MAX(0,AMN35-AMH35-AMH34)*(1-ALZ36)</f>
        <v/>
      </c>
      <c r="AMO36" s="12">
        <f>AMI36+AMI35+AMI34+MAX(0,AMO35-AMI35-AMI34)*(1-ALZ36)</f>
        <v/>
      </c>
      <c r="AMP36" s="12">
        <f>AMP35+AMJ36-AMJ24*(AnnualChurn*VLOOKUP(ALV36,ChurnSeasonTable,4,FALSE))*POWER(1-(AnnualChurn*VLOOKUP(ALV36,ChurnSeasonTable,4,FALSE)),0)+AMJ12*(AnnualChurn*VLOOKUP(ALV36,ChurnSeasonTable,4,FALSE))*POWER(1-(AnnualChurn*VLOOKUP(ALV36,ChurnSeasonTable,4,FALSE)),1)</f>
        <v/>
      </c>
      <c r="AMQ36" s="12">
        <f>AMQ35+AMK36-AMK24*(AnnualChurn*VLOOKUP(ALV36,ChurnSeasonTable,4,FALSE))*POWER(1-(AnnualChurn*VLOOKUP(ALV36,ChurnSeasonTable,4,FALSE)),0)+AMK12*(AnnualChurn*VLOOKUP(ALV36,ChurnSeasonTable,4,FALSE))*POWER(1-(AnnualChurn*VLOOKUP(ALV36,ChurnSeasonTable,4,FALSE)),1)</f>
        <v/>
      </c>
      <c r="AMR36" s="12">
        <f>AMR35+AML36-AML24*(AnnualChurn*VLOOKUP(ALV36,ChurnSeasonTable,4,FALSE))*POWER(1-(AnnualChurn*VLOOKUP(ALV36,ChurnSeasonTable,4,FALSE)),0)+AML12*(AnnualChurn*VLOOKUP(ALV36,ChurnSeasonTable,4,FALSE))*POWER(1-(AnnualChurn*VLOOKUP(ALV36,ChurnSeasonTable,4,FALSE)),1)</f>
        <v/>
      </c>
      <c r="AMS36" s="12">
        <f>AMM36+AMN36+AMO36+AMP36+AMQ36+AMR36</f>
        <v/>
      </c>
      <c r="AMT36" s="9">
        <f>AMM36*BlendedPriceEssMonthly*ALY36+AMN36*BlendedPricePremMonthly*ALY36+AMO36*BlendedPriceEliteMonthly*ALY36+AMP36*BlendedPriceEssAnnual*ALY36/12+AMQ36*BlendedPricePremAnnual*ALY36/12+AMR36*BlendedPriceEliteAnnual*ALY36/12</f>
        <v/>
      </c>
      <c r="AMU36" s="9">
        <f>AMT36*12</f>
        <v/>
      </c>
      <c r="AMV36" s="12">
        <f>AMM36*BlendedPriceEssMonthly*ALY36+AMN36*BlendedPricePremMonthly*ALY36+AMO36*BlendedPriceEliteMonthly*ALY36</f>
        <v/>
      </c>
      <c r="AMW36" s="12">
        <f>AMJ36*BlendedPriceEssAnnual*ALY36+AMK36*BlendedPricePremAnnual*ALY36+AML36*BlendedPriceEliteAnnual*ALY36</f>
        <v/>
      </c>
      <c r="AMX36" s="12">
        <f>AMJ24*POWER(1-(AnnualChurn*VLOOKUP(ALV36,ChurnSeasonTable,4,FALSE)),1)*BlendedPriceEssAnnual*ALY36+AMJ12*POWER(1-(AnnualChurn*VLOOKUP(ALV36,ChurnSeasonTable,4,FALSE)),2)*BlendedPriceEssAnnual*ALY36+AMK24*POWER(1-(AnnualChurn*VLOOKUP(ALV36,ChurnSeasonTable,4,FALSE)),1)*BlendedPricePremAnnual*ALY36+AMK12*POWER(1-(AnnualChurn*VLOOKUP(ALV36,ChurnSeasonTable,4,FALSE)),2)*BlendedPricePremAnnual*ALY36+AML24*POWER(1-(AnnualChurn*VLOOKUP(ALV36,ChurnSeasonTable,4,FALSE)),1)*BlendedPriceEliteAnnual*ALY36+AML12*POWER(1-(AnnualChurn*VLOOKUP(ALV36,ChurnSeasonTable,4,FALSE)),2)*BlendedPriceEliteAnnual*ALY36</f>
        <v/>
      </c>
      <c r="AMY36" s="9">
        <f>AMV36+AMW36+AMX36</f>
        <v/>
      </c>
      <c r="AMZ36" s="12">
        <f>SUM(AMY25:AMY36)</f>
        <v/>
      </c>
      <c r="ANA36" s="12">
        <f>OR(ANA35,IF(VATAgentMode,SUM($AMY25:$AMY36)-SUM($ANF25:$ANF36)&gt;=VATThreshold,SUM($AMY25:$AMY36)&gt;=VATThreshold))</f>
        <v/>
      </c>
      <c r="ANB36" s="9">
        <f>IF(ANA36,IF(VATAgentMode,AMY36-((AMY36-ANF36)-(AMY36-ANF36)/(1+VATRate)),AMY36/(1+VATRate)),AMY36)</f>
        <v/>
      </c>
      <c r="ANC36" s="12">
        <f>AMY36-ANB36</f>
        <v/>
      </c>
      <c r="AND36" s="12">
        <f>IF(ANA36=0,0,IF(ALV36=1,SUMPRODUCT(--(($ALW$5:$ALW36=$ALW36-1)*($ALV$5:$ALV36&gt;=10)*($ALV$5:$ALV36&lt;=12)),$ANC$5:$ANC36),IF(ALV36=4,SUMPRODUCT(--(($ALW$5:$ALW36=$ALW36)*($ALV$5:$ALV36&gt;=1)*($ALV$5:$ALV36&lt;=3)),$ANC$5:$ANC36),IF(ALV36=7,SUMPRODUCT(--(($ALW$5:$ALW36=$ALW36)*($ALV$5:$ALV36&gt;=4)*($ALV$5:$ALV36&lt;=6)),$ANC$5:$ANC36),IF(ALV36=10,SUMPRODUCT(--(($ALW$5:$ALW36=$ALW36)*($ALV$5:$ALV36&gt;=7)*($ALV$5:$ALV36&lt;=9)),$ANC$5:$ANC36),0)))))</f>
        <v/>
      </c>
      <c r="ANE36" s="12">
        <f>ANE35+ANC36-AND36</f>
        <v/>
      </c>
      <c r="ANF36" s="12">
        <f>IF(ProviderDelay&gt;=1,AMM35*BlendedProvPayEss+AMN35*BlendedProvPayPrem+AMO35*BlendedProvPayElite+AMP35*BlendedProvPayEss+AMQ35*BlendedProvPayPrem+AMR35*BlendedProvPayElite,AMM36*BlendedProvPayEss+AMN36*BlendedProvPayPrem+AMO36*BlendedProvPayElite+AMP36*BlendedProvPayEss+AMQ36*BlendedProvPayPrem+AMR36*BlendedProvPayElite)</f>
        <v/>
      </c>
      <c r="ANG36" s="12">
        <f>AMY36*PaymentFee</f>
        <v/>
      </c>
      <c r="ANH36" s="12">
        <f>AMS36*OpsAI</f>
        <v/>
      </c>
      <c r="ANI36" s="12">
        <f>MonthlyFixed</f>
        <v/>
      </c>
      <c r="ANJ36" s="12">
        <f>AMC36*ReferralReward</f>
        <v/>
      </c>
      <c r="ANK36" s="12">
        <f>AMA36</f>
        <v/>
      </c>
      <c r="ANL36" s="9">
        <f>ANB36-ANF36-ANG36-ANH36-ANI36-ANJ36-ANK36</f>
        <v/>
      </c>
      <c r="ANM36" s="9">
        <f>ANM35+AMY36-(ANF36+ANG36+ANH36+ANI36+ANJ36+ANK36+AND36)</f>
        <v/>
      </c>
      <c r="ANN36" s="12">
        <f>IF(AMS36&gt;0,AMT36/AMS36,0)</f>
        <v/>
      </c>
      <c r="ANO36" s="11">
        <f>IF(AMS35&gt;0,MAX(0,(AMS35+AMD36-AMS36)/AMS35),0)</f>
        <v/>
      </c>
      <c r="ANQ36" s="12" t="n">
        <v>32</v>
      </c>
      <c r="ANR36" s="12">
        <f>MOD(ANQ36-1+LaunchMonth-1,12)+1</f>
        <v/>
      </c>
      <c r="ANS36" s="12">
        <f>INT((ANQ36-1+LaunchMonth-1)/12)+1</f>
        <v/>
      </c>
      <c r="ANT36" s="12">
        <f>VLOOKUP(ANR36,SeasonTable,2,FALSE)</f>
        <v/>
      </c>
      <c r="ANU36" s="12">
        <f>(1+InflationRate)^INT((ANQ36-1)/12)</f>
        <v/>
      </c>
      <c r="ANV36" s="11">
        <f>MonthlyChurn*VLOOKUP(ANR36,ChurnSeasonTable,4,FALSE)</f>
        <v/>
      </c>
      <c r="ANW36" s="12">
        <f>MIN(MAX(MktMin19plus,AOU35*MktPct19plus),MAX(0,API35-CashBuffer))</f>
        <v/>
      </c>
      <c r="ANX36" s="12">
        <f>IF(ANW36&gt;0,MAX(1,ROUND(ANW36/'Sens - CAC &amp; Marketing'!$A$12*ANT36,0)),0)</f>
        <v/>
      </c>
      <c r="ANY36" s="12">
        <f>IF(ANX36&gt;0,ROUND(ANX36*ReferralMix/(1-ReferralMix),0),0)</f>
        <v/>
      </c>
      <c r="ANZ36" s="12">
        <f>ANX36+ANY36</f>
        <v/>
      </c>
      <c r="AOA36" s="12">
        <f>ROUND(ANZ36*(1-AnnualMix),0)</f>
        <v/>
      </c>
      <c r="AOB36" s="12">
        <f>ANZ36-AOA36</f>
        <v/>
      </c>
      <c r="AOC36" s="12">
        <f>ROUND(AOA36*EssentialMix,0)</f>
        <v/>
      </c>
      <c r="AOD36" s="12">
        <f>ROUND(AOA36*PremiumMix,0)</f>
        <v/>
      </c>
      <c r="AOE36" s="12">
        <f>AOA36-AOC36-AOD36</f>
        <v/>
      </c>
      <c r="AOF36" s="12">
        <f>ROUND(AOB36*EssentialMix,0)</f>
        <v/>
      </c>
      <c r="AOG36" s="12">
        <f>ROUND(AOB36*PremiumMix,0)</f>
        <v/>
      </c>
      <c r="AOH36" s="12">
        <f>AOB36-AOF36-AOG36</f>
        <v/>
      </c>
      <c r="AOI36" s="12">
        <f>AOC36+AOC35+AOC34+MAX(0,AOI35-AOC35-AOC34)*(1-ANV36)</f>
        <v/>
      </c>
      <c r="AOJ36" s="12">
        <f>AOD36+AOD35+AOD34+MAX(0,AOJ35-AOD35-AOD34)*(1-ANV36)</f>
        <v/>
      </c>
      <c r="AOK36" s="12">
        <f>AOE36+AOE35+AOE34+MAX(0,AOK35-AOE35-AOE34)*(1-ANV36)</f>
        <v/>
      </c>
      <c r="AOL36" s="12">
        <f>AOL35+AOF36-AOF24*(AnnualChurn*VLOOKUP(ANR36,ChurnSeasonTable,4,FALSE))*POWER(1-(AnnualChurn*VLOOKUP(ANR36,ChurnSeasonTable,4,FALSE)),0)+AOF12*(AnnualChurn*VLOOKUP(ANR36,ChurnSeasonTable,4,FALSE))*POWER(1-(AnnualChurn*VLOOKUP(ANR36,ChurnSeasonTable,4,FALSE)),1)</f>
        <v/>
      </c>
      <c r="AOM36" s="12">
        <f>AOM35+AOG36-AOG24*(AnnualChurn*VLOOKUP(ANR36,ChurnSeasonTable,4,FALSE))*POWER(1-(AnnualChurn*VLOOKUP(ANR36,ChurnSeasonTable,4,FALSE)),0)+AOG12*(AnnualChurn*VLOOKUP(ANR36,ChurnSeasonTable,4,FALSE))*POWER(1-(AnnualChurn*VLOOKUP(ANR36,ChurnSeasonTable,4,FALSE)),1)</f>
        <v/>
      </c>
      <c r="AON36" s="12">
        <f>AON35+AOH36-AOH24*(AnnualChurn*VLOOKUP(ANR36,ChurnSeasonTable,4,FALSE))*POWER(1-(AnnualChurn*VLOOKUP(ANR36,ChurnSeasonTable,4,FALSE)),0)+AOH12*(AnnualChurn*VLOOKUP(ANR36,ChurnSeasonTable,4,FALSE))*POWER(1-(AnnualChurn*VLOOKUP(ANR36,ChurnSeasonTable,4,FALSE)),1)</f>
        <v/>
      </c>
      <c r="AOO36" s="12">
        <f>AOI36+AOJ36+AOK36+AOL36+AOM36+AON36</f>
        <v/>
      </c>
      <c r="AOP36" s="9">
        <f>AOI36*BlendedPriceEssMonthly*ANU36+AOJ36*BlendedPricePremMonthly*ANU36+AOK36*BlendedPriceEliteMonthly*ANU36+AOL36*BlendedPriceEssAnnual*ANU36/12+AOM36*BlendedPricePremAnnual*ANU36/12+AON36*BlendedPriceEliteAnnual*ANU36/12</f>
        <v/>
      </c>
      <c r="AOQ36" s="9">
        <f>AOP36*12</f>
        <v/>
      </c>
      <c r="AOR36" s="12">
        <f>AOI36*BlendedPriceEssMonthly*ANU36+AOJ36*BlendedPricePremMonthly*ANU36+AOK36*BlendedPriceEliteMonthly*ANU36</f>
        <v/>
      </c>
      <c r="AOS36" s="12">
        <f>AOF36*BlendedPriceEssAnnual*ANU36+AOG36*BlendedPricePremAnnual*ANU36+AOH36*BlendedPriceEliteAnnual*ANU36</f>
        <v/>
      </c>
      <c r="AOT36" s="12">
        <f>AOF24*POWER(1-(AnnualChurn*VLOOKUP(ANR36,ChurnSeasonTable,4,FALSE)),1)*BlendedPriceEssAnnual*ANU36+AOF12*POWER(1-(AnnualChurn*VLOOKUP(ANR36,ChurnSeasonTable,4,FALSE)),2)*BlendedPriceEssAnnual*ANU36+AOG24*POWER(1-(AnnualChurn*VLOOKUP(ANR36,ChurnSeasonTable,4,FALSE)),1)*BlendedPricePremAnnual*ANU36+AOG12*POWER(1-(AnnualChurn*VLOOKUP(ANR36,ChurnSeasonTable,4,FALSE)),2)*BlendedPricePremAnnual*ANU36+AOH24*POWER(1-(AnnualChurn*VLOOKUP(ANR36,ChurnSeasonTable,4,FALSE)),1)*BlendedPriceEliteAnnual*ANU36+AOH12*POWER(1-(AnnualChurn*VLOOKUP(ANR36,ChurnSeasonTable,4,FALSE)),2)*BlendedPriceEliteAnnual*ANU36</f>
        <v/>
      </c>
      <c r="AOU36" s="9">
        <f>AOR36+AOS36+AOT36</f>
        <v/>
      </c>
      <c r="AOV36" s="12">
        <f>SUM(AOU25:AOU36)</f>
        <v/>
      </c>
      <c r="AOW36" s="12">
        <f>OR(AOW35,IF(VATAgentMode,SUM($AOU25:$AOU36)-SUM($APB25:$APB36)&gt;=VATThreshold,SUM($AOU25:$AOU36)&gt;=VATThreshold))</f>
        <v/>
      </c>
      <c r="AOX36" s="9">
        <f>IF(AOW36,IF(VATAgentMode,AOU36-((AOU36-APB36)-(AOU36-APB36)/(1+VATRate)),AOU36/(1+VATRate)),AOU36)</f>
        <v/>
      </c>
      <c r="AOY36" s="12">
        <f>AOU36-AOX36</f>
        <v/>
      </c>
      <c r="AOZ36" s="12">
        <f>IF(AOW36=0,0,IF(ANR36=1,SUMPRODUCT(--(($ANS$5:$ANS36=$ANS36-1)*($ANR$5:$ANR36&gt;=10)*($ANR$5:$ANR36&lt;=12)),$AOY$5:$AOY36),IF(ANR36=4,SUMPRODUCT(--(($ANS$5:$ANS36=$ANS36)*($ANR$5:$ANR36&gt;=1)*($ANR$5:$ANR36&lt;=3)),$AOY$5:$AOY36),IF(ANR36=7,SUMPRODUCT(--(($ANS$5:$ANS36=$ANS36)*($ANR$5:$ANR36&gt;=4)*($ANR$5:$ANR36&lt;=6)),$AOY$5:$AOY36),IF(ANR36=10,SUMPRODUCT(--(($ANS$5:$ANS36=$ANS36)*($ANR$5:$ANR36&gt;=7)*($ANR$5:$ANR36&lt;=9)),$AOY$5:$AOY36),0)))))</f>
        <v/>
      </c>
      <c r="APA36" s="12">
        <f>APA35+AOY36-AOZ36</f>
        <v/>
      </c>
      <c r="APB36" s="12">
        <f>IF(ProviderDelay&gt;=1,AOI35*BlendedProvPayEss+AOJ35*BlendedProvPayPrem+AOK35*BlendedProvPayElite+AOL35*BlendedProvPayEss+AOM35*BlendedProvPayPrem+AON35*BlendedProvPayElite,AOI36*BlendedProvPayEss+AOJ36*BlendedProvPayPrem+AOK36*BlendedProvPayElite+AOL36*BlendedProvPayEss+AOM36*BlendedProvPayPrem+AON36*BlendedProvPayElite)</f>
        <v/>
      </c>
      <c r="APC36" s="12">
        <f>AOU36*PaymentFee</f>
        <v/>
      </c>
      <c r="APD36" s="12">
        <f>AOO36*OpsAI</f>
        <v/>
      </c>
      <c r="APE36" s="12">
        <f>MonthlyFixed</f>
        <v/>
      </c>
      <c r="APF36" s="12">
        <f>ANY36*ReferralReward</f>
        <v/>
      </c>
      <c r="APG36" s="12">
        <f>ANW36</f>
        <v/>
      </c>
      <c r="APH36" s="9">
        <f>AOX36-APB36-APC36-APD36-APE36-APF36-APG36</f>
        <v/>
      </c>
      <c r="API36" s="9">
        <f>API35+AOU36-(APB36+APC36+APD36+APE36+APF36+APG36+AOZ36)</f>
        <v/>
      </c>
      <c r="APJ36" s="12">
        <f>IF(AOO36&gt;0,AOP36/AOO36,0)</f>
        <v/>
      </c>
      <c r="APK36" s="11">
        <f>IF(AOO35&gt;0,MAX(0,(AOO35+ANZ36-AOO36)/AOO35),0)</f>
        <v/>
      </c>
      <c r="APM36" s="12" t="n">
        <v>32</v>
      </c>
      <c r="APN36" s="12">
        <f>MOD(APM36-1+LaunchMonth-1,12)+1</f>
        <v/>
      </c>
      <c r="APO36" s="12">
        <f>INT((APM36-1+LaunchMonth-1)/12)+1</f>
        <v/>
      </c>
      <c r="APP36" s="12">
        <f>VLOOKUP(APN36,SeasonTable,2,FALSE)</f>
        <v/>
      </c>
      <c r="APQ36" s="12">
        <f>(1+InflationRate)^INT((APM36-1)/12)</f>
        <v/>
      </c>
      <c r="APR36" s="11">
        <f>MonthlyChurn*VLOOKUP(APN36,ChurnSeasonTable,4,FALSE)</f>
        <v/>
      </c>
      <c r="APS36" s="12">
        <f>MIN(MAX(MktMin19plus,AQQ35*MktPct19plus),MAX(0,ARE35-CashBuffer))</f>
        <v/>
      </c>
      <c r="APT36" s="12">
        <f>IF(APS36&gt;0,MAX(1,ROUND(APS36/'Sens - CAC &amp; Marketing'!$A$13*APP36,0)),0)</f>
        <v/>
      </c>
      <c r="APU36" s="12">
        <f>IF(APT36&gt;0,ROUND(APT36*ReferralMix/(1-ReferralMix),0),0)</f>
        <v/>
      </c>
      <c r="APV36" s="12">
        <f>APT36+APU36</f>
        <v/>
      </c>
      <c r="APW36" s="12">
        <f>ROUND(APV36*(1-AnnualMix),0)</f>
        <v/>
      </c>
      <c r="APX36" s="12">
        <f>APV36-APW36</f>
        <v/>
      </c>
      <c r="APY36" s="12">
        <f>ROUND(APW36*EssentialMix,0)</f>
        <v/>
      </c>
      <c r="APZ36" s="12">
        <f>ROUND(APW36*PremiumMix,0)</f>
        <v/>
      </c>
      <c r="AQA36" s="12">
        <f>APW36-APY36-APZ36</f>
        <v/>
      </c>
      <c r="AQB36" s="12">
        <f>ROUND(APX36*EssentialMix,0)</f>
        <v/>
      </c>
      <c r="AQC36" s="12">
        <f>ROUND(APX36*PremiumMix,0)</f>
        <v/>
      </c>
      <c r="AQD36" s="12">
        <f>APX36-AQB36-AQC36</f>
        <v/>
      </c>
      <c r="AQE36" s="12">
        <f>APY36+APY35+APY34+MAX(0,AQE35-APY35-APY34)*(1-APR36)</f>
        <v/>
      </c>
      <c r="AQF36" s="12">
        <f>APZ36+APZ35+APZ34+MAX(0,AQF35-APZ35-APZ34)*(1-APR36)</f>
        <v/>
      </c>
      <c r="AQG36" s="12">
        <f>AQA36+AQA35+AQA34+MAX(0,AQG35-AQA35-AQA34)*(1-APR36)</f>
        <v/>
      </c>
      <c r="AQH36" s="12">
        <f>AQH35+AQB36-AQB24*(AnnualChurn*VLOOKUP(APN36,ChurnSeasonTable,4,FALSE))*POWER(1-(AnnualChurn*VLOOKUP(APN36,ChurnSeasonTable,4,FALSE)),0)+AQB12*(AnnualChurn*VLOOKUP(APN36,ChurnSeasonTable,4,FALSE))*POWER(1-(AnnualChurn*VLOOKUP(APN36,ChurnSeasonTable,4,FALSE)),1)</f>
        <v/>
      </c>
      <c r="AQI36" s="12">
        <f>AQI35+AQC36-AQC24*(AnnualChurn*VLOOKUP(APN36,ChurnSeasonTable,4,FALSE))*POWER(1-(AnnualChurn*VLOOKUP(APN36,ChurnSeasonTable,4,FALSE)),0)+AQC12*(AnnualChurn*VLOOKUP(APN36,ChurnSeasonTable,4,FALSE))*POWER(1-(AnnualChurn*VLOOKUP(APN36,ChurnSeasonTable,4,FALSE)),1)</f>
        <v/>
      </c>
      <c r="AQJ36" s="12">
        <f>AQJ35+AQD36-AQD24*(AnnualChurn*VLOOKUP(APN36,ChurnSeasonTable,4,FALSE))*POWER(1-(AnnualChurn*VLOOKUP(APN36,ChurnSeasonTable,4,FALSE)),0)+AQD12*(AnnualChurn*VLOOKUP(APN36,ChurnSeasonTable,4,FALSE))*POWER(1-(AnnualChurn*VLOOKUP(APN36,ChurnSeasonTable,4,FALSE)),1)</f>
        <v/>
      </c>
      <c r="AQK36" s="12">
        <f>AQE36+AQF36+AQG36+AQH36+AQI36+AQJ36</f>
        <v/>
      </c>
      <c r="AQL36" s="9">
        <f>AQE36*BlendedPriceEssMonthly*APQ36+AQF36*BlendedPricePremMonthly*APQ36+AQG36*BlendedPriceEliteMonthly*APQ36+AQH36*BlendedPriceEssAnnual*APQ36/12+AQI36*BlendedPricePremAnnual*APQ36/12+AQJ36*BlendedPriceEliteAnnual*APQ36/12</f>
        <v/>
      </c>
      <c r="AQM36" s="9">
        <f>AQL36*12</f>
        <v/>
      </c>
      <c r="AQN36" s="12">
        <f>AQE36*BlendedPriceEssMonthly*APQ36+AQF36*BlendedPricePremMonthly*APQ36+AQG36*BlendedPriceEliteMonthly*APQ36</f>
        <v/>
      </c>
      <c r="AQO36" s="12">
        <f>AQB36*BlendedPriceEssAnnual*APQ36+AQC36*BlendedPricePremAnnual*APQ36+AQD36*BlendedPriceEliteAnnual*APQ36</f>
        <v/>
      </c>
      <c r="AQP36" s="12">
        <f>AQB24*POWER(1-(AnnualChurn*VLOOKUP(APN36,ChurnSeasonTable,4,FALSE)),1)*BlendedPriceEssAnnual*APQ36+AQB12*POWER(1-(AnnualChurn*VLOOKUP(APN36,ChurnSeasonTable,4,FALSE)),2)*BlendedPriceEssAnnual*APQ36+AQC24*POWER(1-(AnnualChurn*VLOOKUP(APN36,ChurnSeasonTable,4,FALSE)),1)*BlendedPricePremAnnual*APQ36+AQC12*POWER(1-(AnnualChurn*VLOOKUP(APN36,ChurnSeasonTable,4,FALSE)),2)*BlendedPricePremAnnual*APQ36+AQD24*POWER(1-(AnnualChurn*VLOOKUP(APN36,ChurnSeasonTable,4,FALSE)),1)*BlendedPriceEliteAnnual*APQ36+AQD12*POWER(1-(AnnualChurn*VLOOKUP(APN36,ChurnSeasonTable,4,FALSE)),2)*BlendedPriceEliteAnnual*APQ36</f>
        <v/>
      </c>
      <c r="AQQ36" s="9">
        <f>AQN36+AQO36+AQP36</f>
        <v/>
      </c>
      <c r="AQR36" s="12">
        <f>SUM(AQQ25:AQQ36)</f>
        <v/>
      </c>
      <c r="AQS36" s="12">
        <f>OR(AQS35,IF(VATAgentMode,SUM($AQQ25:$AQQ36)-SUM($AQX25:$AQX36)&gt;=VATThreshold,SUM($AQQ25:$AQQ36)&gt;=VATThreshold))</f>
        <v/>
      </c>
      <c r="AQT36" s="9">
        <f>IF(AQS36,IF(VATAgentMode,AQQ36-((AQQ36-AQX36)-(AQQ36-AQX36)/(1+VATRate)),AQQ36/(1+VATRate)),AQQ36)</f>
        <v/>
      </c>
      <c r="AQU36" s="12">
        <f>AQQ36-AQT36</f>
        <v/>
      </c>
      <c r="AQV36" s="12">
        <f>IF(AQS36=0,0,IF(APN36=1,SUMPRODUCT(--(($APO$5:$APO36=$APO36-1)*($APN$5:$APN36&gt;=10)*($APN$5:$APN36&lt;=12)),$AQU$5:$AQU36),IF(APN36=4,SUMPRODUCT(--(($APO$5:$APO36=$APO36)*($APN$5:$APN36&gt;=1)*($APN$5:$APN36&lt;=3)),$AQU$5:$AQU36),IF(APN36=7,SUMPRODUCT(--(($APO$5:$APO36=$APO36)*($APN$5:$APN36&gt;=4)*($APN$5:$APN36&lt;=6)),$AQU$5:$AQU36),IF(APN36=10,SUMPRODUCT(--(($APO$5:$APO36=$APO36)*($APN$5:$APN36&gt;=7)*($APN$5:$APN36&lt;=9)),$AQU$5:$AQU36),0)))))</f>
        <v/>
      </c>
      <c r="AQW36" s="12">
        <f>AQW35+AQU36-AQV36</f>
        <v/>
      </c>
      <c r="AQX36" s="12">
        <f>IF(ProviderDelay&gt;=1,AQE35*BlendedProvPayEss+AQF35*BlendedProvPayPrem+AQG35*BlendedProvPayElite+AQH35*BlendedProvPayEss+AQI35*BlendedProvPayPrem+AQJ35*BlendedProvPayElite,AQE36*BlendedProvPayEss+AQF36*BlendedProvPayPrem+AQG36*BlendedProvPayElite+AQH36*BlendedProvPayEss+AQI36*BlendedProvPayPrem+AQJ36*BlendedProvPayElite)</f>
        <v/>
      </c>
      <c r="AQY36" s="12">
        <f>AQQ36*PaymentFee</f>
        <v/>
      </c>
      <c r="AQZ36" s="12">
        <f>AQK36*OpsAI</f>
        <v/>
      </c>
      <c r="ARA36" s="12">
        <f>MonthlyFixed</f>
        <v/>
      </c>
      <c r="ARB36" s="12">
        <f>APU36*ReferralReward</f>
        <v/>
      </c>
      <c r="ARC36" s="12">
        <f>APS36</f>
        <v/>
      </c>
      <c r="ARD36" s="9">
        <f>AQT36-AQX36-AQY36-AQZ36-ARA36-ARB36-ARC36</f>
        <v/>
      </c>
      <c r="ARE36" s="9">
        <f>ARE35+AQQ36-(AQX36+AQY36+AQZ36+ARA36+ARB36+ARC36+AQV36)</f>
        <v/>
      </c>
      <c r="ARF36" s="12">
        <f>IF(AQK36&gt;0,AQL36/AQK36,0)</f>
        <v/>
      </c>
      <c r="ARG36" s="11">
        <f>IF(AQK35&gt;0,MAX(0,(AQK35+APV36-AQK36)/AQK35),0)</f>
        <v/>
      </c>
      <c r="ARI36" s="12" t="n">
        <v>32</v>
      </c>
      <c r="ARJ36" s="12">
        <f>MOD(ARI36-1+LaunchMonth-1,12)+1</f>
        <v/>
      </c>
      <c r="ARK36" s="12">
        <f>INT((ARI36-1+LaunchMonth-1)/12)+1</f>
        <v/>
      </c>
      <c r="ARL36" s="12">
        <f>VLOOKUP(ARJ36,SeasonTable,2,FALSE)</f>
        <v/>
      </c>
      <c r="ARM36" s="12">
        <f>(1+InflationRate)^INT((ARI36-1)/12)</f>
        <v/>
      </c>
      <c r="ARN36" s="11">
        <f>MonthlyChurn*VLOOKUP(ARJ36,ChurnSeasonTable,4,FALSE)</f>
        <v/>
      </c>
      <c r="ARO36" s="12">
        <f>MIN(MAX(MktMin19plus,ASM35*MktPct19plus),MAX(0,ATA35-CashBuffer))</f>
        <v/>
      </c>
      <c r="ARP36" s="12">
        <f>IF(ARO36&gt;0,MAX(1,ROUND(ARO36/'Sens - CAC &amp; Marketing'!$A$14*ARL36,0)),0)</f>
        <v/>
      </c>
      <c r="ARQ36" s="12">
        <f>IF(ARP36&gt;0,ROUND(ARP36*ReferralMix/(1-ReferralMix),0),0)</f>
        <v/>
      </c>
      <c r="ARR36" s="12">
        <f>ARP36+ARQ36</f>
        <v/>
      </c>
      <c r="ARS36" s="12">
        <f>ROUND(ARR36*(1-AnnualMix),0)</f>
        <v/>
      </c>
      <c r="ART36" s="12">
        <f>ARR36-ARS36</f>
        <v/>
      </c>
      <c r="ARU36" s="12">
        <f>ROUND(ARS36*EssentialMix,0)</f>
        <v/>
      </c>
      <c r="ARV36" s="12">
        <f>ROUND(ARS36*PremiumMix,0)</f>
        <v/>
      </c>
      <c r="ARW36" s="12">
        <f>ARS36-ARU36-ARV36</f>
        <v/>
      </c>
      <c r="ARX36" s="12">
        <f>ROUND(ART36*EssentialMix,0)</f>
        <v/>
      </c>
      <c r="ARY36" s="12">
        <f>ROUND(ART36*PremiumMix,0)</f>
        <v/>
      </c>
      <c r="ARZ36" s="12">
        <f>ART36-ARX36-ARY36</f>
        <v/>
      </c>
      <c r="ASA36" s="12">
        <f>ARU36+ARU35+ARU34+MAX(0,ASA35-ARU35-ARU34)*(1-ARN36)</f>
        <v/>
      </c>
      <c r="ASB36" s="12">
        <f>ARV36+ARV35+ARV34+MAX(0,ASB35-ARV35-ARV34)*(1-ARN36)</f>
        <v/>
      </c>
      <c r="ASC36" s="12">
        <f>ARW36+ARW35+ARW34+MAX(0,ASC35-ARW35-ARW34)*(1-ARN36)</f>
        <v/>
      </c>
      <c r="ASD36" s="12">
        <f>ASD35+ARX36-ARX24*(AnnualChurn*VLOOKUP(ARJ36,ChurnSeasonTable,4,FALSE))*POWER(1-(AnnualChurn*VLOOKUP(ARJ36,ChurnSeasonTable,4,FALSE)),0)+ARX12*(AnnualChurn*VLOOKUP(ARJ36,ChurnSeasonTable,4,FALSE))*POWER(1-(AnnualChurn*VLOOKUP(ARJ36,ChurnSeasonTable,4,FALSE)),1)</f>
        <v/>
      </c>
      <c r="ASE36" s="12">
        <f>ASE35+ARY36-ARY24*(AnnualChurn*VLOOKUP(ARJ36,ChurnSeasonTable,4,FALSE))*POWER(1-(AnnualChurn*VLOOKUP(ARJ36,ChurnSeasonTable,4,FALSE)),0)+ARY12*(AnnualChurn*VLOOKUP(ARJ36,ChurnSeasonTable,4,FALSE))*POWER(1-(AnnualChurn*VLOOKUP(ARJ36,ChurnSeasonTable,4,FALSE)),1)</f>
        <v/>
      </c>
      <c r="ASF36" s="12">
        <f>ASF35+ARZ36-ARZ24*(AnnualChurn*VLOOKUP(ARJ36,ChurnSeasonTable,4,FALSE))*POWER(1-(AnnualChurn*VLOOKUP(ARJ36,ChurnSeasonTable,4,FALSE)),0)+ARZ12*(AnnualChurn*VLOOKUP(ARJ36,ChurnSeasonTable,4,FALSE))*POWER(1-(AnnualChurn*VLOOKUP(ARJ36,ChurnSeasonTable,4,FALSE)),1)</f>
        <v/>
      </c>
      <c r="ASG36" s="12">
        <f>ASA36+ASB36+ASC36+ASD36+ASE36+ASF36</f>
        <v/>
      </c>
      <c r="ASH36" s="9">
        <f>ASA36*BlendedPriceEssMonthly*ARM36+ASB36*BlendedPricePremMonthly*ARM36+ASC36*BlendedPriceEliteMonthly*ARM36+ASD36*BlendedPriceEssAnnual*ARM36/12+ASE36*BlendedPricePremAnnual*ARM36/12+ASF36*BlendedPriceEliteAnnual*ARM36/12</f>
        <v/>
      </c>
      <c r="ASI36" s="9">
        <f>ASH36*12</f>
        <v/>
      </c>
      <c r="ASJ36" s="12">
        <f>ASA36*BlendedPriceEssMonthly*ARM36+ASB36*BlendedPricePremMonthly*ARM36+ASC36*BlendedPriceEliteMonthly*ARM36</f>
        <v/>
      </c>
      <c r="ASK36" s="12">
        <f>ARX36*BlendedPriceEssAnnual*ARM36+ARY36*BlendedPricePremAnnual*ARM36+ARZ36*BlendedPriceEliteAnnual*ARM36</f>
        <v/>
      </c>
      <c r="ASL36" s="12">
        <f>ARX24*POWER(1-(AnnualChurn*VLOOKUP(ARJ36,ChurnSeasonTable,4,FALSE)),1)*BlendedPriceEssAnnual*ARM36+ARX12*POWER(1-(AnnualChurn*VLOOKUP(ARJ36,ChurnSeasonTable,4,FALSE)),2)*BlendedPriceEssAnnual*ARM36+ARY24*POWER(1-(AnnualChurn*VLOOKUP(ARJ36,ChurnSeasonTable,4,FALSE)),1)*BlendedPricePremAnnual*ARM36+ARY12*POWER(1-(AnnualChurn*VLOOKUP(ARJ36,ChurnSeasonTable,4,FALSE)),2)*BlendedPricePremAnnual*ARM36+ARZ24*POWER(1-(AnnualChurn*VLOOKUP(ARJ36,ChurnSeasonTable,4,FALSE)),1)*BlendedPriceEliteAnnual*ARM36+ARZ12*POWER(1-(AnnualChurn*VLOOKUP(ARJ36,ChurnSeasonTable,4,FALSE)),2)*BlendedPriceEliteAnnual*ARM36</f>
        <v/>
      </c>
      <c r="ASM36" s="9">
        <f>ASJ36+ASK36+ASL36</f>
        <v/>
      </c>
      <c r="ASN36" s="12">
        <f>SUM(ASM25:ASM36)</f>
        <v/>
      </c>
      <c r="ASO36" s="12">
        <f>OR(ASO35,IF(VATAgentMode,SUM($ASM25:$ASM36)-SUM($AST25:$AST36)&gt;=VATThreshold,SUM($ASM25:$ASM36)&gt;=VATThreshold))</f>
        <v/>
      </c>
      <c r="ASP36" s="9">
        <f>IF(ASO36,IF(VATAgentMode,ASM36-((ASM36-AST36)-(ASM36-AST36)/(1+VATRate)),ASM36/(1+VATRate)),ASM36)</f>
        <v/>
      </c>
      <c r="ASQ36" s="12">
        <f>ASM36-ASP36</f>
        <v/>
      </c>
      <c r="ASR36" s="12">
        <f>IF(ASO36=0,0,IF(ARJ36=1,SUMPRODUCT(--(($ARK$5:$ARK36=$ARK36-1)*($ARJ$5:$ARJ36&gt;=10)*($ARJ$5:$ARJ36&lt;=12)),$ASQ$5:$ASQ36),IF(ARJ36=4,SUMPRODUCT(--(($ARK$5:$ARK36=$ARK36)*($ARJ$5:$ARJ36&gt;=1)*($ARJ$5:$ARJ36&lt;=3)),$ASQ$5:$ASQ36),IF(ARJ36=7,SUMPRODUCT(--(($ARK$5:$ARK36=$ARK36)*($ARJ$5:$ARJ36&gt;=4)*($ARJ$5:$ARJ36&lt;=6)),$ASQ$5:$ASQ36),IF(ARJ36=10,SUMPRODUCT(--(($ARK$5:$ARK36=$ARK36)*($ARJ$5:$ARJ36&gt;=7)*($ARJ$5:$ARJ36&lt;=9)),$ASQ$5:$ASQ36),0)))))</f>
        <v/>
      </c>
      <c r="ASS36" s="12">
        <f>ASS35+ASQ36-ASR36</f>
        <v/>
      </c>
      <c r="AST36" s="12">
        <f>IF(ProviderDelay&gt;=1,ASA35*BlendedProvPayEss+ASB35*BlendedProvPayPrem+ASC35*BlendedProvPayElite+ASD35*BlendedProvPayEss+ASE35*BlendedProvPayPrem+ASF35*BlendedProvPayElite,ASA36*BlendedProvPayEss+ASB36*BlendedProvPayPrem+ASC36*BlendedProvPayElite+ASD36*BlendedProvPayEss+ASE36*BlendedProvPayPrem+ASF36*BlendedProvPayElite)</f>
        <v/>
      </c>
      <c r="ASU36" s="12">
        <f>ASM36*PaymentFee</f>
        <v/>
      </c>
      <c r="ASV36" s="12">
        <f>ASG36*OpsAI</f>
        <v/>
      </c>
      <c r="ASW36" s="12">
        <f>MonthlyFixed</f>
        <v/>
      </c>
      <c r="ASX36" s="12">
        <f>ARQ36*ReferralReward</f>
        <v/>
      </c>
      <c r="ASY36" s="12">
        <f>ARO36</f>
        <v/>
      </c>
      <c r="ASZ36" s="9">
        <f>ASP36-AST36-ASU36-ASV36-ASW36-ASX36-ASY36</f>
        <v/>
      </c>
      <c r="ATA36" s="9">
        <f>ATA35+ASM36-(AST36+ASU36+ASV36+ASW36+ASX36+ASY36+ASR36)</f>
        <v/>
      </c>
      <c r="ATB36" s="12">
        <f>IF(ASG36&gt;0,ASH36/ASG36,0)</f>
        <v/>
      </c>
      <c r="ATC36" s="11">
        <f>IF(ASG35&gt;0,MAX(0,(ASG35+ARR36-ASG36)/ASG35),0)</f>
        <v/>
      </c>
      <c r="ATE36" s="12" t="n">
        <v>32</v>
      </c>
      <c r="ATF36" s="12">
        <f>MOD(ATE36-1+LaunchMonth-1,12)+1</f>
        <v/>
      </c>
      <c r="ATG36" s="12">
        <f>INT((ATE36-1+LaunchMonth-1)/12)+1</f>
        <v/>
      </c>
      <c r="ATH36" s="12">
        <f>VLOOKUP(ATF36,SeasonTable,2,FALSE)</f>
        <v/>
      </c>
      <c r="ATI36" s="12">
        <f>(1+InflationRate)^INT((ATE36-1)/12)</f>
        <v/>
      </c>
      <c r="ATJ36" s="11">
        <f>MonthlyChurn*VLOOKUP(ATF36,ChurnSeasonTable,4,FALSE)</f>
        <v/>
      </c>
      <c r="ATK36" s="12">
        <f>MIN(MAX(MktMin19plus,AUI35*MktPct19plus),MAX(0,AUW35-CashBuffer))</f>
        <v/>
      </c>
      <c r="ATL36" s="12">
        <f>IF(ATK36&gt;0,MAX(1,ROUND(ATK36/'Sens - CAC &amp; Marketing'!$A$15*ATH36,0)),0)</f>
        <v/>
      </c>
      <c r="ATM36" s="12">
        <f>IF(ATL36&gt;0,ROUND(ATL36*ReferralMix/(1-ReferralMix),0),0)</f>
        <v/>
      </c>
      <c r="ATN36" s="12">
        <f>ATL36+ATM36</f>
        <v/>
      </c>
      <c r="ATO36" s="12">
        <f>ROUND(ATN36*(1-AnnualMix),0)</f>
        <v/>
      </c>
      <c r="ATP36" s="12">
        <f>ATN36-ATO36</f>
        <v/>
      </c>
      <c r="ATQ36" s="12">
        <f>ROUND(ATO36*EssentialMix,0)</f>
        <v/>
      </c>
      <c r="ATR36" s="12">
        <f>ROUND(ATO36*PremiumMix,0)</f>
        <v/>
      </c>
      <c r="ATS36" s="12">
        <f>ATO36-ATQ36-ATR36</f>
        <v/>
      </c>
      <c r="ATT36" s="12">
        <f>ROUND(ATP36*EssentialMix,0)</f>
        <v/>
      </c>
      <c r="ATU36" s="12">
        <f>ROUND(ATP36*PremiumMix,0)</f>
        <v/>
      </c>
      <c r="ATV36" s="12">
        <f>ATP36-ATT36-ATU36</f>
        <v/>
      </c>
      <c r="ATW36" s="12">
        <f>ATQ36+ATQ35+ATQ34+MAX(0,ATW35-ATQ35-ATQ34)*(1-ATJ36)</f>
        <v/>
      </c>
      <c r="ATX36" s="12">
        <f>ATR36+ATR35+ATR34+MAX(0,ATX35-ATR35-ATR34)*(1-ATJ36)</f>
        <v/>
      </c>
      <c r="ATY36" s="12">
        <f>ATS36+ATS35+ATS34+MAX(0,ATY35-ATS35-ATS34)*(1-ATJ36)</f>
        <v/>
      </c>
      <c r="ATZ36" s="12">
        <f>ATZ35+ATT36-ATT24*(AnnualChurn*VLOOKUP(ATF36,ChurnSeasonTable,4,FALSE))*POWER(1-(AnnualChurn*VLOOKUP(ATF36,ChurnSeasonTable,4,FALSE)),0)+ATT12*(AnnualChurn*VLOOKUP(ATF36,ChurnSeasonTable,4,FALSE))*POWER(1-(AnnualChurn*VLOOKUP(ATF36,ChurnSeasonTable,4,FALSE)),1)</f>
        <v/>
      </c>
      <c r="AUA36" s="12">
        <f>AUA35+ATU36-ATU24*(AnnualChurn*VLOOKUP(ATF36,ChurnSeasonTable,4,FALSE))*POWER(1-(AnnualChurn*VLOOKUP(ATF36,ChurnSeasonTable,4,FALSE)),0)+ATU12*(AnnualChurn*VLOOKUP(ATF36,ChurnSeasonTable,4,FALSE))*POWER(1-(AnnualChurn*VLOOKUP(ATF36,ChurnSeasonTable,4,FALSE)),1)</f>
        <v/>
      </c>
      <c r="AUB36" s="12">
        <f>AUB35+ATV36-ATV24*(AnnualChurn*VLOOKUP(ATF36,ChurnSeasonTable,4,FALSE))*POWER(1-(AnnualChurn*VLOOKUP(ATF36,ChurnSeasonTable,4,FALSE)),0)+ATV12*(AnnualChurn*VLOOKUP(ATF36,ChurnSeasonTable,4,FALSE))*POWER(1-(AnnualChurn*VLOOKUP(ATF36,ChurnSeasonTable,4,FALSE)),1)</f>
        <v/>
      </c>
      <c r="AUC36" s="12">
        <f>ATW36+ATX36+ATY36+ATZ36+AUA36+AUB36</f>
        <v/>
      </c>
      <c r="AUD36" s="9">
        <f>ATW36*BlendedPriceEssMonthly*ATI36+ATX36*BlendedPricePremMonthly*ATI36+ATY36*BlendedPriceEliteMonthly*ATI36+ATZ36*BlendedPriceEssAnnual*ATI36/12+AUA36*BlendedPricePremAnnual*ATI36/12+AUB36*BlendedPriceEliteAnnual*ATI36/12</f>
        <v/>
      </c>
      <c r="AUE36" s="9">
        <f>AUD36*12</f>
        <v/>
      </c>
      <c r="AUF36" s="12">
        <f>ATW36*BlendedPriceEssMonthly*ATI36+ATX36*BlendedPricePremMonthly*ATI36+ATY36*BlendedPriceEliteMonthly*ATI36</f>
        <v/>
      </c>
      <c r="AUG36" s="12">
        <f>ATT36*BlendedPriceEssAnnual*ATI36+ATU36*BlendedPricePremAnnual*ATI36+ATV36*BlendedPriceEliteAnnual*ATI36</f>
        <v/>
      </c>
      <c r="AUH36" s="12">
        <f>ATT24*POWER(1-(AnnualChurn*VLOOKUP(ATF36,ChurnSeasonTable,4,FALSE)),1)*BlendedPriceEssAnnual*ATI36+ATT12*POWER(1-(AnnualChurn*VLOOKUP(ATF36,ChurnSeasonTable,4,FALSE)),2)*BlendedPriceEssAnnual*ATI36+ATU24*POWER(1-(AnnualChurn*VLOOKUP(ATF36,ChurnSeasonTable,4,FALSE)),1)*BlendedPricePremAnnual*ATI36+ATU12*POWER(1-(AnnualChurn*VLOOKUP(ATF36,ChurnSeasonTable,4,FALSE)),2)*BlendedPricePremAnnual*ATI36+ATV24*POWER(1-(AnnualChurn*VLOOKUP(ATF36,ChurnSeasonTable,4,FALSE)),1)*BlendedPriceEliteAnnual*ATI36+ATV12*POWER(1-(AnnualChurn*VLOOKUP(ATF36,ChurnSeasonTable,4,FALSE)),2)*BlendedPriceEliteAnnual*ATI36</f>
        <v/>
      </c>
      <c r="AUI36" s="9">
        <f>AUF36+AUG36+AUH36</f>
        <v/>
      </c>
      <c r="AUJ36" s="12">
        <f>SUM(AUI25:AUI36)</f>
        <v/>
      </c>
      <c r="AUK36" s="12">
        <f>OR(AUK35,IF(VATAgentMode,SUM($AUI25:$AUI36)-SUM($AUP25:$AUP36)&gt;=VATThreshold,SUM($AUI25:$AUI36)&gt;=VATThreshold))</f>
        <v/>
      </c>
      <c r="AUL36" s="9">
        <f>IF(AUK36,IF(VATAgentMode,AUI36-((AUI36-AUP36)-(AUI36-AUP36)/(1+VATRate)),AUI36/(1+VATRate)),AUI36)</f>
        <v/>
      </c>
      <c r="AUM36" s="12">
        <f>AUI36-AUL36</f>
        <v/>
      </c>
      <c r="AUN36" s="12">
        <f>IF(AUK36=0,0,IF(ATF36=1,SUMPRODUCT(--(($ATG$5:$ATG36=$ATG36-1)*($ATF$5:$ATF36&gt;=10)*($ATF$5:$ATF36&lt;=12)),$AUM$5:$AUM36),IF(ATF36=4,SUMPRODUCT(--(($ATG$5:$ATG36=$ATG36)*($ATF$5:$ATF36&gt;=1)*($ATF$5:$ATF36&lt;=3)),$AUM$5:$AUM36),IF(ATF36=7,SUMPRODUCT(--(($ATG$5:$ATG36=$ATG36)*($ATF$5:$ATF36&gt;=4)*($ATF$5:$ATF36&lt;=6)),$AUM$5:$AUM36),IF(ATF36=10,SUMPRODUCT(--(($ATG$5:$ATG36=$ATG36)*($ATF$5:$ATF36&gt;=7)*($ATF$5:$ATF36&lt;=9)),$AUM$5:$AUM36),0)))))</f>
        <v/>
      </c>
      <c r="AUO36" s="12">
        <f>AUO35+AUM36-AUN36</f>
        <v/>
      </c>
      <c r="AUP36" s="12">
        <f>IF(ProviderDelay&gt;=1,ATW35*BlendedProvPayEss+ATX35*BlendedProvPayPrem+ATY35*BlendedProvPayElite+ATZ35*BlendedProvPayEss+AUA35*BlendedProvPayPrem+AUB35*BlendedProvPayElite,ATW36*BlendedProvPayEss+ATX36*BlendedProvPayPrem+ATY36*BlendedProvPayElite+ATZ36*BlendedProvPayEss+AUA36*BlendedProvPayPrem+AUB36*BlendedProvPayElite)</f>
        <v/>
      </c>
      <c r="AUQ36" s="12">
        <f>AUI36*PaymentFee</f>
        <v/>
      </c>
      <c r="AUR36" s="12">
        <f>AUC36*OpsAI</f>
        <v/>
      </c>
      <c r="AUS36" s="12">
        <f>MonthlyFixed</f>
        <v/>
      </c>
      <c r="AUT36" s="12">
        <f>ATM36*ReferralReward</f>
        <v/>
      </c>
      <c r="AUU36" s="12">
        <f>ATK36</f>
        <v/>
      </c>
      <c r="AUV36" s="9">
        <f>AUL36-AUP36-AUQ36-AUR36-AUS36-AUT36-AUU36</f>
        <v/>
      </c>
      <c r="AUW36" s="9">
        <f>AUW35+AUI36-(AUP36+AUQ36+AUR36+AUS36+AUT36+AUU36+AUN36)</f>
        <v/>
      </c>
      <c r="AUX36" s="12">
        <f>IF(AUC36&gt;0,AUD36/AUC36,0)</f>
        <v/>
      </c>
      <c r="AUY36" s="11">
        <f>IF(AUC35&gt;0,MAX(0,(AUC35+ATN36-AUC36)/AUC35),0)</f>
        <v/>
      </c>
      <c r="AVA36" s="12" t="n">
        <v>32</v>
      </c>
      <c r="AVB36" s="12">
        <f>MOD(AVA36-1+LaunchMonth-1,12)+1</f>
        <v/>
      </c>
      <c r="AVC36" s="12">
        <f>INT((AVA36-1+LaunchMonth-1)/12)+1</f>
        <v/>
      </c>
      <c r="AVD36" s="12">
        <f>VLOOKUP(AVB36,WinterPivotSeasonTable,5,FALSE)</f>
        <v/>
      </c>
      <c r="AVE36" s="12">
        <f>(1+InflationRate)^INT((AVA36-1)/12)</f>
        <v/>
      </c>
      <c r="AVF36" s="11">
        <f>MonthlyChurn*VLOOKUP(AVB36,WinterPivotChurnTable,6,FALSE)</f>
        <v/>
      </c>
      <c r="AVG36" s="12">
        <f>MIN(MAX(MktMin19plus,AWE35*MktPct19plus),MAX(0,AWS35-CashBuffer))</f>
        <v/>
      </c>
      <c r="AVH36" s="12">
        <f>IF(AVG36&gt;0,MAX(1,ROUND(AVG36/CAC*AVD36,0)),0)</f>
        <v/>
      </c>
      <c r="AVI36" s="12">
        <f>IF(AVH36&gt;0,ROUND(AVH36*ReferralMix/(1-ReferralMix),0),0)</f>
        <v/>
      </c>
      <c r="AVJ36" s="12">
        <f>AVH36+AVI36</f>
        <v/>
      </c>
      <c r="AVK36" s="12">
        <f>ROUND(AVJ36*(1-AnnualMix),0)</f>
        <v/>
      </c>
      <c r="AVL36" s="12">
        <f>AVJ36-AVK36</f>
        <v/>
      </c>
      <c r="AVM36" s="12">
        <f>ROUND(AVK36*'Sens - Winter Pivot'!$B$6,0)</f>
        <v/>
      </c>
      <c r="AVN36" s="12">
        <f>ROUND(AVK36*PremiumMix,0)</f>
        <v/>
      </c>
      <c r="AVO36" s="12">
        <f>AVK36-AVM36-AVN36</f>
        <v/>
      </c>
      <c r="AVP36" s="12">
        <f>ROUND(AVL36*'Sens - Winter Pivot'!$B$6,0)</f>
        <v/>
      </c>
      <c r="AVQ36" s="12">
        <f>ROUND(AVL36*PremiumMix,0)</f>
        <v/>
      </c>
      <c r="AVR36" s="12">
        <f>AVL36-AVP36-AVQ36</f>
        <v/>
      </c>
      <c r="AVS36" s="12">
        <f>AVM36+AVM35+AVM34+MAX(0,AVS35-AVM35-AVM34)*(1-AVF36)</f>
        <v/>
      </c>
      <c r="AVT36" s="12">
        <f>AVN36+AVN35+AVN34+MAX(0,AVT35-AVN35-AVN34)*(1-AVF36)</f>
        <v/>
      </c>
      <c r="AVU36" s="12">
        <f>AVO36+AVO35+AVO34+MAX(0,AVU35-AVO35-AVO34)*(1-AVF36)</f>
        <v/>
      </c>
      <c r="AVV36" s="12">
        <f>AVV35+AVP36-AVP24*(AnnualChurn*VLOOKUP(AVB36,ChurnSeasonTable,4,FALSE))*POWER(1-(AnnualChurn*VLOOKUP(AVB36,ChurnSeasonTable,4,FALSE)),0)+AVP12*(AnnualChurn*VLOOKUP(AVB36,ChurnSeasonTable,4,FALSE))*POWER(1-(AnnualChurn*VLOOKUP(AVB36,ChurnSeasonTable,4,FALSE)),1)</f>
        <v/>
      </c>
      <c r="AVW36" s="12">
        <f>AVW35+AVQ36-AVQ24*(AnnualChurn*VLOOKUP(AVB36,ChurnSeasonTable,4,FALSE))*POWER(1-(AnnualChurn*VLOOKUP(AVB36,ChurnSeasonTable,4,FALSE)),0)+AVQ12*(AnnualChurn*VLOOKUP(AVB36,ChurnSeasonTable,4,FALSE))*POWER(1-(AnnualChurn*VLOOKUP(AVB36,ChurnSeasonTable,4,FALSE)),1)</f>
        <v/>
      </c>
      <c r="AVX36" s="12">
        <f>AVX35+AVR36-AVR24*(AnnualChurn*VLOOKUP(AVB36,ChurnSeasonTable,4,FALSE))*POWER(1-(AnnualChurn*VLOOKUP(AVB36,ChurnSeasonTable,4,FALSE)),0)+AVR12*(AnnualChurn*VLOOKUP(AVB36,ChurnSeasonTable,4,FALSE))*POWER(1-(AnnualChurn*VLOOKUP(AVB36,ChurnSeasonTable,4,FALSE)),1)</f>
        <v/>
      </c>
      <c r="AVY36" s="12">
        <f>AVS36+AVT36+AVU36+AVV36+AVW36+AVX36</f>
        <v/>
      </c>
      <c r="AVZ36" s="9">
        <f>AVS36*BlendedPriceEssMonthly*AVE36+AVT36*(BlendedPricePremMonthly+'Sens - Winter Pivot'!$B$7)*AVE36+AVU36*BlendedPriceEliteMonthly*AVE36+AVV36*BlendedPriceEssAnnual*AVE36/12+AVW36*(BlendedPricePremAnnual+'Sens - Winter Pivot'!$B$7*12)*AVE36/12+AVX36*BlendedPriceEliteAnnual*AVE36/12</f>
        <v/>
      </c>
      <c r="AWA36" s="9">
        <f>AVZ36*12</f>
        <v/>
      </c>
      <c r="AWB36" s="12">
        <f>AVS36*BlendedPriceEssMonthly*AVE36+AVT36*(BlendedPricePremMonthly+'Sens - Winter Pivot'!$B$7)*AVE36+AVU36*BlendedPriceEliteMonthly*AVE36</f>
        <v/>
      </c>
      <c r="AWC36" s="12">
        <f>AVP36*BlendedPriceEssAnnual*AVE36+AVQ36*(BlendedPricePremAnnual+'Sens - Winter Pivot'!$B$7*12)*AVE36+AVR36*BlendedPriceEliteAnnual*AVE36</f>
        <v/>
      </c>
      <c r="AWD36" s="12">
        <f>AVP24*POWER(1-(AnnualChurn*VLOOKUP(AVB36,ChurnSeasonTable,4,FALSE)),1)*BlendedPriceEssAnnual*AVE36+AVP12*POWER(1-(AnnualChurn*VLOOKUP(AVB36,ChurnSeasonTable,4,FALSE)),2)*BlendedPriceEssAnnual*AVE36+AVQ24*POWER(1-(AnnualChurn*VLOOKUP(AVB36,ChurnSeasonTable,4,FALSE)),1)*BlendedPricePremAnnual*AVE36+AVQ12*POWER(1-(AnnualChurn*VLOOKUP(AVB36,ChurnSeasonTable,4,FALSE)),2)*BlendedPricePremAnnual*AVE36+AVR24*POWER(1-(AnnualChurn*VLOOKUP(AVB36,ChurnSeasonTable,4,FALSE)),1)*BlendedPriceEliteAnnual*AVE36+AVR12*POWER(1-(AnnualChurn*VLOOKUP(AVB36,ChurnSeasonTable,4,FALSE)),2)*BlendedPriceEliteAnnual*AVE36</f>
        <v/>
      </c>
      <c r="AWE36" s="9">
        <f>AWB36+AWC36+AWD36</f>
        <v/>
      </c>
      <c r="AWF36" s="12">
        <f>SUM(AWE25:AWE36)</f>
        <v/>
      </c>
      <c r="AWG36" s="12">
        <f>OR(AWG35,IF(VATAgentMode,SUM($AWE25:$AWE36)-SUM($AWL25:$AWL36)&gt;=VATThreshold,SUM($AWE25:$AWE36)&gt;=VATThreshold))</f>
        <v/>
      </c>
      <c r="AWH36" s="9">
        <f>IF(AWG36,IF(VATAgentMode,AWE36-((AWE36-AWL36)-(AWE36-AWL36)/(1+VATRate)),AWE36/(1+VATRate)),AWE36)</f>
        <v/>
      </c>
      <c r="AWI36" s="12">
        <f>AWE36-AWH36</f>
        <v/>
      </c>
      <c r="AWJ36" s="12">
        <f>IF(AWG36=0,0,IF(AVB36=1,SUMPRODUCT(--(($AVC$5:$AVC36=$AVC36-1)*($AVB$5:$AVB36&gt;=10)*($AVB$5:$AVB36&lt;=12)),$AWI$5:$AWI36),IF(AVB36=4,SUMPRODUCT(--(($AVC$5:$AVC36=$AVC36)*($AVB$5:$AVB36&gt;=1)*($AVB$5:$AVB36&lt;=3)),$AWI$5:$AWI36),IF(AVB36=7,SUMPRODUCT(--(($AVC$5:$AVC36=$AVC36)*($AVB$5:$AVB36&gt;=4)*($AVB$5:$AVB36&lt;=6)),$AWI$5:$AWI36),IF(AVB36=10,SUMPRODUCT(--(($AVC$5:$AVC36=$AVC36)*($AVB$5:$AVB36&gt;=7)*($AVB$5:$AVB36&lt;=9)),$AWI$5:$AWI36),0)))))</f>
        <v/>
      </c>
      <c r="AWK36" s="12">
        <f>AWK35+AWI36-AWJ36</f>
        <v/>
      </c>
      <c r="AWL36" s="12">
        <f>IF(ProviderDelay&gt;=1,AVS35*BlendedProvPayEss+AVT35*BlendedProvPayPrem+AVU35*BlendedProvPayElite+AVV35*BlendedProvPayEss+AVW35*BlendedProvPayPrem+AVX35*BlendedProvPayElite,AVS36*BlendedProvPayEss+AVT36*BlendedProvPayPrem+AVU36*BlendedProvPayElite+AVV36*BlendedProvPayEss+AVW36*BlendedProvPayPrem+AVX36*BlendedProvPayElite)</f>
        <v/>
      </c>
      <c r="AWM36" s="12">
        <f>AWE36*PaymentFee</f>
        <v/>
      </c>
      <c r="AWN36" s="12">
        <f>AVY36*OpsAI</f>
        <v/>
      </c>
      <c r="AWO36" s="12">
        <f>MonthlyFixed</f>
        <v/>
      </c>
      <c r="AWP36" s="12">
        <f>AVI36*ReferralReward</f>
        <v/>
      </c>
      <c r="AWQ36" s="12">
        <f>AVG36</f>
        <v/>
      </c>
      <c r="AWR36" s="9">
        <f>AWH36-AWL36-AWM36-AWN36-AWO36-AWP36-AWQ36</f>
        <v/>
      </c>
      <c r="AWS36" s="9">
        <f>AWS35+AWE36-(AWL36+AWM36+AWN36+AWO36+AWP36+AWQ36+AWJ36)</f>
        <v/>
      </c>
      <c r="AWT36" s="12">
        <f>IF(AVY36&gt;0,AVZ36/AVY36,0)</f>
        <v/>
      </c>
      <c r="AWU36" s="11">
        <f>IF(AVY35&gt;0,MAX(0,(AVY35+AVJ36-AVY36)/AVY35),0)</f>
        <v/>
      </c>
    </row>
    <row r="37">
      <c r="A37" s="12" t="n">
        <v>33</v>
      </c>
      <c r="B37" s="12">
        <f>MOD(A37-1+LaunchMonth-1,12)+1</f>
        <v/>
      </c>
      <c r="C37" s="12">
        <f>INT((A37-1+LaunchMonth-1)/12)+1</f>
        <v/>
      </c>
      <c r="D37" s="12">
        <f>VLOOKUP(B37,SeasonTable,2,FALSE)</f>
        <v/>
      </c>
      <c r="E37" s="12">
        <f>(1+InflationRate)^INT((A37-1)/12)</f>
        <v/>
      </c>
      <c r="F37" s="11">
        <f>'Sens - Scenarios'!$B$5*VLOOKUP(B37,ChurnSeasonTable,4,FALSE)</f>
        <v/>
      </c>
      <c r="G37" s="12">
        <f>MIN(MAX(MktMin19plus,AE36*MktPct19plus),MAX(0,AS36-CashBuffer))</f>
        <v/>
      </c>
      <c r="H37" s="12">
        <f>IF(G37&gt;0,MAX(1,ROUND(G37/'Sens - Scenarios'!$B$8*D37,0)),0)</f>
        <v/>
      </c>
      <c r="I37" s="12">
        <f>IF(H37&gt;0,ROUND(H37*ReferralMix/(1-ReferralMix),0),0)</f>
        <v/>
      </c>
      <c r="J37" s="12">
        <f>H37+I37</f>
        <v/>
      </c>
      <c r="K37" s="12">
        <f>ROUND(J37*(1-'Sens - Scenarios'!$B$7),0)</f>
        <v/>
      </c>
      <c r="L37" s="12">
        <f>J37-K37</f>
        <v/>
      </c>
      <c r="M37" s="12">
        <f>ROUND(K37*EssentialMix,0)</f>
        <v/>
      </c>
      <c r="N37" s="12">
        <f>ROUND(K37*PremiumMix,0)</f>
        <v/>
      </c>
      <c r="O37" s="12">
        <f>K37-M37-N37</f>
        <v/>
      </c>
      <c r="P37" s="12">
        <f>ROUND(L37*EssentialMix,0)</f>
        <v/>
      </c>
      <c r="Q37" s="12">
        <f>ROUND(L37*PremiumMix,0)</f>
        <v/>
      </c>
      <c r="R37" s="12">
        <f>L37-P37-Q37</f>
        <v/>
      </c>
      <c r="S37" s="12">
        <f>M37+M36+M35+MAX(0,S36-M36-M35)*(1-F37)</f>
        <v/>
      </c>
      <c r="T37" s="12">
        <f>N37+N36+N35+MAX(0,T36-N36-N35)*(1-F37)</f>
        <v/>
      </c>
      <c r="U37" s="12">
        <f>O37+O36+O35+MAX(0,U36-O36-O35)*(1-F37)</f>
        <v/>
      </c>
      <c r="V37" s="12">
        <f>V36+P37-P25*('Sens - Scenarios'!$B$6*VLOOKUP(B37,ChurnSeasonTable,4,FALSE))*POWER(1-('Sens - Scenarios'!$B$6*VLOOKUP(B37,ChurnSeasonTable,4,FALSE)),0)+P13*('Sens - Scenarios'!$B$6*VLOOKUP(B37,ChurnSeasonTable,4,FALSE))*POWER(1-('Sens - Scenarios'!$B$6*VLOOKUP(B37,ChurnSeasonTable,4,FALSE)),1)</f>
        <v/>
      </c>
      <c r="W37" s="12">
        <f>W36+Q37-Q25*('Sens - Scenarios'!$B$6*VLOOKUP(B37,ChurnSeasonTable,4,FALSE))*POWER(1-('Sens - Scenarios'!$B$6*VLOOKUP(B37,ChurnSeasonTable,4,FALSE)),0)+Q13*('Sens - Scenarios'!$B$6*VLOOKUP(B37,ChurnSeasonTable,4,FALSE))*POWER(1-('Sens - Scenarios'!$B$6*VLOOKUP(B37,ChurnSeasonTable,4,FALSE)),1)</f>
        <v/>
      </c>
      <c r="X37" s="12">
        <f>X36+R37-R25*('Sens - Scenarios'!$B$6*VLOOKUP(B37,ChurnSeasonTable,4,FALSE))*POWER(1-('Sens - Scenarios'!$B$6*VLOOKUP(B37,ChurnSeasonTable,4,FALSE)),0)+R13*('Sens - Scenarios'!$B$6*VLOOKUP(B37,ChurnSeasonTable,4,FALSE))*POWER(1-('Sens - Scenarios'!$B$6*VLOOKUP(B37,ChurnSeasonTable,4,FALSE)),1)</f>
        <v/>
      </c>
      <c r="Y37" s="12">
        <f>S37+T37+U37+V37+W37+X37</f>
        <v/>
      </c>
      <c r="Z37" s="9">
        <f>S37*BlendedPriceEssMonthly*E37+T37*BlendedPricePremMonthly*E37+U37*BlendedPriceEliteMonthly*E37+V37*BlendedPriceEssAnnual*E37/12+W37*BlendedPricePremAnnual*E37/12+X37*BlendedPriceEliteAnnual*E37/12</f>
        <v/>
      </c>
      <c r="AA37" s="9">
        <f>Z37*12</f>
        <v/>
      </c>
      <c r="AB37" s="12">
        <f>S37*BlendedPriceEssMonthly*E37+T37*BlendedPricePremMonthly*E37+U37*BlendedPriceEliteMonthly*E37</f>
        <v/>
      </c>
      <c r="AC37" s="12">
        <f>P37*BlendedPriceEssAnnual*E37+Q37*BlendedPricePremAnnual*E37+R37*BlendedPriceEliteAnnual*E37</f>
        <v/>
      </c>
      <c r="AD37" s="12">
        <f>P25*POWER(1-('Sens - Scenarios'!$B$6*VLOOKUP(B37,ChurnSeasonTable,4,FALSE)),1)*BlendedPriceEssAnnual*E37+P13*POWER(1-('Sens - Scenarios'!$B$6*VLOOKUP(B37,ChurnSeasonTable,4,FALSE)),2)*BlendedPriceEssAnnual*E37+Q25*POWER(1-('Sens - Scenarios'!$B$6*VLOOKUP(B37,ChurnSeasonTable,4,FALSE)),1)*BlendedPricePremAnnual*E37+Q13*POWER(1-('Sens - Scenarios'!$B$6*VLOOKUP(B37,ChurnSeasonTable,4,FALSE)),2)*BlendedPricePremAnnual*E37+R25*POWER(1-('Sens - Scenarios'!$B$6*VLOOKUP(B37,ChurnSeasonTable,4,FALSE)),1)*BlendedPriceEliteAnnual*E37+R13*POWER(1-('Sens - Scenarios'!$B$6*VLOOKUP(B37,ChurnSeasonTable,4,FALSE)),2)*BlendedPriceEliteAnnual*E37</f>
        <v/>
      </c>
      <c r="AE37" s="9">
        <f>AB37+AC37+AD37</f>
        <v/>
      </c>
      <c r="AF37" s="12">
        <f>SUM(AE26:AE37)</f>
        <v/>
      </c>
      <c r="AG37" s="12">
        <f>OR(AG36,IF(VATAgentMode,SUM($AE26:$AE37)-SUM($AL26:$AL37)&gt;=VATThreshold,SUM($AE26:$AE37)&gt;=VATThreshold))</f>
        <v/>
      </c>
      <c r="AH37" s="9">
        <f>IF(AG37,IF(VATAgentMode,AE37-((AE37-AL37)-(AE37-AL37)/(1+VATRate)),AE37/(1+VATRate)),AE37)</f>
        <v/>
      </c>
      <c r="AI37" s="12">
        <f>AE37-AH37</f>
        <v/>
      </c>
      <c r="AJ37" s="12">
        <f>IF(AG37=0,0,IF(B37=1,SUMPRODUCT(--(($C$5:$C37=$C37-1)*($B$5:$B37&gt;=10)*($B$5:$B37&lt;=12)),$AI$5:$AI37),IF(B37=4,SUMPRODUCT(--(($C$5:$C37=$C37)*($B$5:$B37&gt;=1)*($B$5:$B37&lt;=3)),$AI$5:$AI37),IF(B37=7,SUMPRODUCT(--(($C$5:$C37=$C37)*($B$5:$B37&gt;=4)*($B$5:$B37&lt;=6)),$AI$5:$AI37),IF(B37=10,SUMPRODUCT(--(($C$5:$C37=$C37)*($B$5:$B37&gt;=7)*($B$5:$B37&lt;=9)),$AI$5:$AI37),0)))))</f>
        <v/>
      </c>
      <c r="AK37" s="12">
        <f>AK36+AI37-AJ37</f>
        <v/>
      </c>
      <c r="AL37" s="12">
        <f>IF(ProviderDelay&gt;=1,S36*BlendedProvPayEss+T36*BlendedProvPayPrem+U36*BlendedProvPayElite+V36*BlendedProvPayEss+W36*BlendedProvPayPrem+X36*BlendedProvPayElite,S37*BlendedProvPayEss+T37*BlendedProvPayPrem+U37*BlendedProvPayElite+V37*BlendedProvPayEss+W37*BlendedProvPayPrem+X37*BlendedProvPayElite)</f>
        <v/>
      </c>
      <c r="AM37" s="12">
        <f>AE37*PaymentFee</f>
        <v/>
      </c>
      <c r="AN37" s="12">
        <f>Y37*OpsAI</f>
        <v/>
      </c>
      <c r="AO37" s="12">
        <f>MonthlyFixed</f>
        <v/>
      </c>
      <c r="AP37" s="12">
        <f>I37*ReferralReward</f>
        <v/>
      </c>
      <c r="AQ37" s="12">
        <f>G37</f>
        <v/>
      </c>
      <c r="AR37" s="9">
        <f>AH37-AL37-AM37-AN37-AO37-AP37-AQ37</f>
        <v/>
      </c>
      <c r="AS37" s="9">
        <f>AS36+AE37-(AL37+AM37+AN37+AO37+AP37+AQ37+AJ37)</f>
        <v/>
      </c>
      <c r="AT37" s="12">
        <f>IF(Y37&gt;0,Z37/Y37,0)</f>
        <v/>
      </c>
      <c r="AU37" s="11">
        <f>IF(Y36&gt;0,MAX(0,(Y36+J37-Y37)/Y36),0)</f>
        <v/>
      </c>
      <c r="AW37" s="12" t="n">
        <v>33</v>
      </c>
      <c r="AX37" s="12">
        <f>MOD(AW37-1+LaunchMonth-1,12)+1</f>
        <v/>
      </c>
      <c r="AY37" s="12">
        <f>INT((AW37-1+LaunchMonth-1)/12)+1</f>
        <v/>
      </c>
      <c r="AZ37" s="12">
        <f>VLOOKUP(AX37,SeasonTable,2,FALSE)</f>
        <v/>
      </c>
      <c r="BA37" s="12">
        <f>(1+InflationRate)^INT((AW37-1)/12)</f>
        <v/>
      </c>
      <c r="BB37" s="11">
        <f>MonthlyChurn*VLOOKUP(AX37,ChurnSeasonTable,4,FALSE)</f>
        <v/>
      </c>
      <c r="BC37" s="12">
        <f>MIN(MAX(MktMin19plus,CA36*MktPct19plus),MAX(0,CO36-CashBuffer))</f>
        <v/>
      </c>
      <c r="BD37" s="12">
        <f>IF(BC37&gt;0,MAX(1,ROUND(BC37/CAC*AZ37,0)),0)</f>
        <v/>
      </c>
      <c r="BE37" s="12">
        <f>IF(BD37&gt;0,ROUND(BD37*ReferralMix/(1-ReferralMix),0),0)</f>
        <v/>
      </c>
      <c r="BF37" s="12">
        <f>BD37+BE37</f>
        <v/>
      </c>
      <c r="BG37" s="12">
        <f>ROUND(BF37*(1-AnnualMix),0)</f>
        <v/>
      </c>
      <c r="BH37" s="12">
        <f>BF37-BG37</f>
        <v/>
      </c>
      <c r="BI37" s="12">
        <f>ROUND(BG37*EssentialMix,0)</f>
        <v/>
      </c>
      <c r="BJ37" s="12">
        <f>ROUND(BG37*PremiumMix,0)</f>
        <v/>
      </c>
      <c r="BK37" s="12">
        <f>BG37-BI37-BJ37</f>
        <v/>
      </c>
      <c r="BL37" s="12">
        <f>ROUND(BH37*EssentialMix,0)</f>
        <v/>
      </c>
      <c r="BM37" s="12">
        <f>ROUND(BH37*PremiumMix,0)</f>
        <v/>
      </c>
      <c r="BN37" s="12">
        <f>BH37-BL37-BM37</f>
        <v/>
      </c>
      <c r="BO37" s="12">
        <f>BI37+BI36+BI35+MAX(0,BO36-BI36-BI35)*(1-BB37)</f>
        <v/>
      </c>
      <c r="BP37" s="12">
        <f>BJ37+BJ36+BJ35+MAX(0,BP36-BJ36-BJ35)*(1-BB37)</f>
        <v/>
      </c>
      <c r="BQ37" s="12">
        <f>BK37+BK36+BK35+MAX(0,BQ36-BK36-BK35)*(1-BB37)</f>
        <v/>
      </c>
      <c r="BR37" s="12">
        <f>BR36+BL37-BL25*(AnnualChurn*VLOOKUP(AX37,ChurnSeasonTable,4,FALSE))*POWER(1-(AnnualChurn*VLOOKUP(AX37,ChurnSeasonTable,4,FALSE)),0)+BL13*(AnnualChurn*VLOOKUP(AX37,ChurnSeasonTable,4,FALSE))*POWER(1-(AnnualChurn*VLOOKUP(AX37,ChurnSeasonTable,4,FALSE)),1)</f>
        <v/>
      </c>
      <c r="BS37" s="12">
        <f>BS36+BM37-BM25*(AnnualChurn*VLOOKUP(AX37,ChurnSeasonTable,4,FALSE))*POWER(1-(AnnualChurn*VLOOKUP(AX37,ChurnSeasonTable,4,FALSE)),0)+BM13*(AnnualChurn*VLOOKUP(AX37,ChurnSeasonTable,4,FALSE))*POWER(1-(AnnualChurn*VLOOKUP(AX37,ChurnSeasonTable,4,FALSE)),1)</f>
        <v/>
      </c>
      <c r="BT37" s="12">
        <f>BT36+BN37-BN25*(AnnualChurn*VLOOKUP(AX37,ChurnSeasonTable,4,FALSE))*POWER(1-(AnnualChurn*VLOOKUP(AX37,ChurnSeasonTable,4,FALSE)),0)+BN13*(AnnualChurn*VLOOKUP(AX37,ChurnSeasonTable,4,FALSE))*POWER(1-(AnnualChurn*VLOOKUP(AX37,ChurnSeasonTable,4,FALSE)),1)</f>
        <v/>
      </c>
      <c r="BU37" s="12">
        <f>BO37+BP37+BQ37+BR37+BS37+BT37</f>
        <v/>
      </c>
      <c r="BV37" s="9">
        <f>BO37*BlendedPriceEssMonthly*BA37+BP37*BlendedPricePremMonthly*BA37+BQ37*BlendedPriceEliteMonthly*BA37+BR37*BlendedPriceEssAnnual*BA37/12+BS37*BlendedPricePremAnnual*BA37/12+BT37*BlendedPriceEliteAnnual*BA37/12</f>
        <v/>
      </c>
      <c r="BW37" s="9">
        <f>BV37*12</f>
        <v/>
      </c>
      <c r="BX37" s="12">
        <f>BO37*BlendedPriceEssMonthly*BA37+BP37*BlendedPricePremMonthly*BA37+BQ37*BlendedPriceEliteMonthly*BA37</f>
        <v/>
      </c>
      <c r="BY37" s="12">
        <f>BL37*BlendedPriceEssAnnual*BA37+BM37*BlendedPricePremAnnual*BA37+BN37*BlendedPriceEliteAnnual*BA37</f>
        <v/>
      </c>
      <c r="BZ37" s="12">
        <f>BL25*POWER(1-(AnnualChurn*VLOOKUP(AX37,ChurnSeasonTable,4,FALSE)),1)*BlendedPriceEssAnnual*BA37+BL13*POWER(1-(AnnualChurn*VLOOKUP(AX37,ChurnSeasonTable,4,FALSE)),2)*BlendedPriceEssAnnual*BA37+BM25*POWER(1-(AnnualChurn*VLOOKUP(AX37,ChurnSeasonTable,4,FALSE)),1)*BlendedPricePremAnnual*BA37+BM13*POWER(1-(AnnualChurn*VLOOKUP(AX37,ChurnSeasonTable,4,FALSE)),2)*BlendedPricePremAnnual*BA37+BN25*POWER(1-(AnnualChurn*VLOOKUP(AX37,ChurnSeasonTable,4,FALSE)),1)*BlendedPriceEliteAnnual*BA37+BN13*POWER(1-(AnnualChurn*VLOOKUP(AX37,ChurnSeasonTable,4,FALSE)),2)*BlendedPriceEliteAnnual*BA37</f>
        <v/>
      </c>
      <c r="CA37" s="9">
        <f>BX37+BY37+BZ37</f>
        <v/>
      </c>
      <c r="CB37" s="12">
        <f>SUM(CA26:CA37)</f>
        <v/>
      </c>
      <c r="CC37" s="12">
        <f>OR(CC36,IF(VATAgentMode,SUM($CA26:$CA37)-SUM($CH26:$CH37)&gt;=VATThreshold,SUM($CA26:$CA37)&gt;=VATThreshold))</f>
        <v/>
      </c>
      <c r="CD37" s="9">
        <f>IF(CC37,IF(VATAgentMode,CA37-((CA37-CH37)-(CA37-CH37)/(1+VATRate)),CA37/(1+VATRate)),CA37)</f>
        <v/>
      </c>
      <c r="CE37" s="12">
        <f>CA37-CD37</f>
        <v/>
      </c>
      <c r="CF37" s="12">
        <f>IF(CC37=0,0,IF(AX37=1,SUMPRODUCT(--(($AY$5:$AY37=$AY37-1)*($AX$5:$AX37&gt;=10)*($AX$5:$AX37&lt;=12)),$CE$5:$CE37),IF(AX37=4,SUMPRODUCT(--(($AY$5:$AY37=$AY37)*($AX$5:$AX37&gt;=1)*($AX$5:$AX37&lt;=3)),$CE$5:$CE37),IF(AX37=7,SUMPRODUCT(--(($AY$5:$AY37=$AY37)*($AX$5:$AX37&gt;=4)*($AX$5:$AX37&lt;=6)),$CE$5:$CE37),IF(AX37=10,SUMPRODUCT(--(($AY$5:$AY37=$AY37)*($AX$5:$AX37&gt;=7)*($AX$5:$AX37&lt;=9)),$CE$5:$CE37),0)))))</f>
        <v/>
      </c>
      <c r="CG37" s="12">
        <f>CG36+CE37-CF37</f>
        <v/>
      </c>
      <c r="CH37" s="12">
        <f>IF(ProviderDelay&gt;=1,BO36*BlendedProvPayEss+BP36*BlendedProvPayPrem+BQ36*BlendedProvPayElite+BR36*BlendedProvPayEss+BS36*BlendedProvPayPrem+BT36*BlendedProvPayElite,BO37*BlendedProvPayEss+BP37*BlendedProvPayPrem+BQ37*BlendedProvPayElite+BR37*BlendedProvPayEss+BS37*BlendedProvPayPrem+BT37*BlendedProvPayElite)</f>
        <v/>
      </c>
      <c r="CI37" s="12">
        <f>CA37*PaymentFee</f>
        <v/>
      </c>
      <c r="CJ37" s="12">
        <f>BU37*OpsAI</f>
        <v/>
      </c>
      <c r="CK37" s="12">
        <f>MonthlyFixed</f>
        <v/>
      </c>
      <c r="CL37" s="12">
        <f>BE37*ReferralReward</f>
        <v/>
      </c>
      <c r="CM37" s="12">
        <f>BC37</f>
        <v/>
      </c>
      <c r="CN37" s="9">
        <f>CD37-CH37-CI37-CJ37-CK37-CL37-CM37</f>
        <v/>
      </c>
      <c r="CO37" s="9">
        <f>CO36+CA37-(CH37+CI37+CJ37+CK37+CL37+CM37+CF37)</f>
        <v/>
      </c>
      <c r="CP37" s="12">
        <f>IF(BU37&gt;0,BV37/BU37,0)</f>
        <v/>
      </c>
      <c r="CQ37" s="11">
        <f>IF(BU36&gt;0,MAX(0,(BU36+BF37-BU37)/BU36),0)</f>
        <v/>
      </c>
      <c r="CS37" s="12" t="n">
        <v>33</v>
      </c>
      <c r="CT37" s="12">
        <f>MOD(CS37-1+LaunchMonth-1,12)+1</f>
        <v/>
      </c>
      <c r="CU37" s="12">
        <f>INT((CS37-1+LaunchMonth-1)/12)+1</f>
        <v/>
      </c>
      <c r="CV37" s="12">
        <f>VLOOKUP(CT37,SeasonTable,2,FALSE)</f>
        <v/>
      </c>
      <c r="CW37" s="12">
        <f>(1+InflationRate)^INT((CS37-1)/12)</f>
        <v/>
      </c>
      <c r="CX37" s="11">
        <f>'Sens - Scenarios'!$D$5*VLOOKUP(CT37,ChurnSeasonTable,4,FALSE)</f>
        <v/>
      </c>
      <c r="CY37" s="12">
        <f>MIN(MAX(MktMin19plus,DW36*MktPct19plus),MAX(0,EK36-CashBuffer))</f>
        <v/>
      </c>
      <c r="CZ37" s="12">
        <f>IF(CY37&gt;0,MAX(1,ROUND(CY37/'Sens - Scenarios'!$D$8*CV37,0)),0)</f>
        <v/>
      </c>
      <c r="DA37" s="12">
        <f>IF(CZ37&gt;0,ROUND(CZ37*ReferralMix/(1-ReferralMix),0),0)</f>
        <v/>
      </c>
      <c r="DB37" s="12">
        <f>CZ37+DA37</f>
        <v/>
      </c>
      <c r="DC37" s="12">
        <f>ROUND(DB37*(1-'Sens - Scenarios'!$D$7),0)</f>
        <v/>
      </c>
      <c r="DD37" s="12">
        <f>DB37-DC37</f>
        <v/>
      </c>
      <c r="DE37" s="12">
        <f>ROUND(DC37*EssentialMix,0)</f>
        <v/>
      </c>
      <c r="DF37" s="12">
        <f>ROUND(DC37*PremiumMix,0)</f>
        <v/>
      </c>
      <c r="DG37" s="12">
        <f>DC37-DE37-DF37</f>
        <v/>
      </c>
      <c r="DH37" s="12">
        <f>ROUND(DD37*EssentialMix,0)</f>
        <v/>
      </c>
      <c r="DI37" s="12">
        <f>ROUND(DD37*PremiumMix,0)</f>
        <v/>
      </c>
      <c r="DJ37" s="12">
        <f>DD37-DH37-DI37</f>
        <v/>
      </c>
      <c r="DK37" s="12">
        <f>DE37+DE36+DE35+MAX(0,DK36-DE36-DE35)*(1-CX37)</f>
        <v/>
      </c>
      <c r="DL37" s="12">
        <f>DF37+DF36+DF35+MAX(0,DL36-DF36-DF35)*(1-CX37)</f>
        <v/>
      </c>
      <c r="DM37" s="12">
        <f>DG37+DG36+DG35+MAX(0,DM36-DG36-DG35)*(1-CX37)</f>
        <v/>
      </c>
      <c r="DN37" s="12">
        <f>DN36+DH37-DH25*('Sens - Scenarios'!$D$6*VLOOKUP(CT37,ChurnSeasonTable,4,FALSE))*POWER(1-('Sens - Scenarios'!$D$6*VLOOKUP(CT37,ChurnSeasonTable,4,FALSE)),0)+DH13*('Sens - Scenarios'!$D$6*VLOOKUP(CT37,ChurnSeasonTable,4,FALSE))*POWER(1-('Sens - Scenarios'!$D$6*VLOOKUP(CT37,ChurnSeasonTable,4,FALSE)),1)</f>
        <v/>
      </c>
      <c r="DO37" s="12">
        <f>DO36+DI37-DI25*('Sens - Scenarios'!$D$6*VLOOKUP(CT37,ChurnSeasonTable,4,FALSE))*POWER(1-('Sens - Scenarios'!$D$6*VLOOKUP(CT37,ChurnSeasonTable,4,FALSE)),0)+DI13*('Sens - Scenarios'!$D$6*VLOOKUP(CT37,ChurnSeasonTable,4,FALSE))*POWER(1-('Sens - Scenarios'!$D$6*VLOOKUP(CT37,ChurnSeasonTable,4,FALSE)),1)</f>
        <v/>
      </c>
      <c r="DP37" s="12">
        <f>DP36+DJ37-DJ25*('Sens - Scenarios'!$D$6*VLOOKUP(CT37,ChurnSeasonTable,4,FALSE))*POWER(1-('Sens - Scenarios'!$D$6*VLOOKUP(CT37,ChurnSeasonTable,4,FALSE)),0)+DJ13*('Sens - Scenarios'!$D$6*VLOOKUP(CT37,ChurnSeasonTable,4,FALSE))*POWER(1-('Sens - Scenarios'!$D$6*VLOOKUP(CT37,ChurnSeasonTable,4,FALSE)),1)</f>
        <v/>
      </c>
      <c r="DQ37" s="12">
        <f>DK37+DL37+DM37+DN37+DO37+DP37</f>
        <v/>
      </c>
      <c r="DR37" s="9">
        <f>DK37*BlendedPriceEssMonthly*CW37+DL37*BlendedPricePremMonthly*CW37+DM37*BlendedPriceEliteMonthly*CW37+DN37*BlendedPriceEssAnnual*CW37/12+DO37*BlendedPricePremAnnual*CW37/12+DP37*BlendedPriceEliteAnnual*CW37/12</f>
        <v/>
      </c>
      <c r="DS37" s="9">
        <f>DR37*12</f>
        <v/>
      </c>
      <c r="DT37" s="12">
        <f>DK37*BlendedPriceEssMonthly*CW37+DL37*BlendedPricePremMonthly*CW37+DM37*BlendedPriceEliteMonthly*CW37</f>
        <v/>
      </c>
      <c r="DU37" s="12">
        <f>DH37*BlendedPriceEssAnnual*CW37+DI37*BlendedPricePremAnnual*CW37+DJ37*BlendedPriceEliteAnnual*CW37</f>
        <v/>
      </c>
      <c r="DV37" s="12">
        <f>DH25*POWER(1-('Sens - Scenarios'!$D$6*VLOOKUP(CT37,ChurnSeasonTable,4,FALSE)),1)*BlendedPriceEssAnnual*CW37+DH13*POWER(1-('Sens - Scenarios'!$D$6*VLOOKUP(CT37,ChurnSeasonTable,4,FALSE)),2)*BlendedPriceEssAnnual*CW37+DI25*POWER(1-('Sens - Scenarios'!$D$6*VLOOKUP(CT37,ChurnSeasonTable,4,FALSE)),1)*BlendedPricePremAnnual*CW37+DI13*POWER(1-('Sens - Scenarios'!$D$6*VLOOKUP(CT37,ChurnSeasonTable,4,FALSE)),2)*BlendedPricePremAnnual*CW37+DJ25*POWER(1-('Sens - Scenarios'!$D$6*VLOOKUP(CT37,ChurnSeasonTable,4,FALSE)),1)*BlendedPriceEliteAnnual*CW37+DJ13*POWER(1-('Sens - Scenarios'!$D$6*VLOOKUP(CT37,ChurnSeasonTable,4,FALSE)),2)*BlendedPriceEliteAnnual*CW37</f>
        <v/>
      </c>
      <c r="DW37" s="9">
        <f>DT37+DU37+DV37</f>
        <v/>
      </c>
      <c r="DX37" s="12">
        <f>SUM(DW26:DW37)</f>
        <v/>
      </c>
      <c r="DY37" s="12">
        <f>OR(DY36,IF(VATAgentMode,SUM($DW26:$DW37)-SUM($ED26:$ED37)&gt;=VATThreshold,SUM($DW26:$DW37)&gt;=VATThreshold))</f>
        <v/>
      </c>
      <c r="DZ37" s="9">
        <f>IF(DY37,IF(VATAgentMode,DW37-((DW37-ED37)-(DW37-ED37)/(1+VATRate)),DW37/(1+VATRate)),DW37)</f>
        <v/>
      </c>
      <c r="EA37" s="12">
        <f>DW37-DZ37</f>
        <v/>
      </c>
      <c r="EB37" s="12">
        <f>IF(DY37=0,0,IF(CT37=1,SUMPRODUCT(--(($CU$5:$CU37=$CU37-1)*($CT$5:$CT37&gt;=10)*($CT$5:$CT37&lt;=12)),$EA$5:$EA37),IF(CT37=4,SUMPRODUCT(--(($CU$5:$CU37=$CU37)*($CT$5:$CT37&gt;=1)*($CT$5:$CT37&lt;=3)),$EA$5:$EA37),IF(CT37=7,SUMPRODUCT(--(($CU$5:$CU37=$CU37)*($CT$5:$CT37&gt;=4)*($CT$5:$CT37&lt;=6)),$EA$5:$EA37),IF(CT37=10,SUMPRODUCT(--(($CU$5:$CU37=$CU37)*($CT$5:$CT37&gt;=7)*($CT$5:$CT37&lt;=9)),$EA$5:$EA37),0)))))</f>
        <v/>
      </c>
      <c r="EC37" s="12">
        <f>EC36+EA37-EB37</f>
        <v/>
      </c>
      <c r="ED37" s="12">
        <f>IF(ProviderDelay&gt;=1,DK36*BlendedProvPayEss+DL36*BlendedProvPayPrem+DM36*BlendedProvPayElite+DN36*BlendedProvPayEss+DO36*BlendedProvPayPrem+DP36*BlendedProvPayElite,DK37*BlendedProvPayEss+DL37*BlendedProvPayPrem+DM37*BlendedProvPayElite+DN37*BlendedProvPayEss+DO37*BlendedProvPayPrem+DP37*BlendedProvPayElite)</f>
        <v/>
      </c>
      <c r="EE37" s="12">
        <f>DW37*PaymentFee</f>
        <v/>
      </c>
      <c r="EF37" s="12">
        <f>DQ37*OpsAI</f>
        <v/>
      </c>
      <c r="EG37" s="12">
        <f>MonthlyFixed</f>
        <v/>
      </c>
      <c r="EH37" s="12">
        <f>DA37*ReferralReward</f>
        <v/>
      </c>
      <c r="EI37" s="12">
        <f>CY37</f>
        <v/>
      </c>
      <c r="EJ37" s="9">
        <f>DZ37-ED37-EE37-EF37-EG37-EH37-EI37</f>
        <v/>
      </c>
      <c r="EK37" s="9">
        <f>EK36+DW37-(ED37+EE37+EF37+EG37+EH37+EI37+EB37)</f>
        <v/>
      </c>
      <c r="EL37" s="12">
        <f>IF(DQ37&gt;0,DR37/DQ37,0)</f>
        <v/>
      </c>
      <c r="EM37" s="11">
        <f>IF(DQ36&gt;0,MAX(0,(DQ36+DB37-DQ37)/DQ36),0)</f>
        <v/>
      </c>
      <c r="EO37" s="12" t="n">
        <v>33</v>
      </c>
      <c r="EP37" s="12">
        <f>MOD(EO37-1+LaunchMonth-1,12)+1</f>
        <v/>
      </c>
      <c r="EQ37" s="12">
        <f>INT((EO37-1+LaunchMonth-1)/12)+1</f>
        <v/>
      </c>
      <c r="ER37" s="12">
        <f>VLOOKUP(EP37,SeasonTable,2,FALSE)</f>
        <v/>
      </c>
      <c r="ES37" s="12">
        <f>(1+InflationRate)^INT((EO37-1)/12)</f>
        <v/>
      </c>
      <c r="ET37" s="11">
        <f>'Sens - Churn'!$A$13*VLOOKUP(EP37,ChurnSeasonTable,4,FALSE)</f>
        <v/>
      </c>
      <c r="EU37" s="12">
        <f>MIN(MAX(MktMin19plus,FS36*MktPct19plus),MAX(0,GG36-CashBuffer))</f>
        <v/>
      </c>
      <c r="EV37" s="12">
        <f>IF(EU37&gt;0,MAX(1,ROUND(EU37/CAC*ER37,0)),0)</f>
        <v/>
      </c>
      <c r="EW37" s="12">
        <f>IF(EV37&gt;0,ROUND(EV37*ReferralMix/(1-ReferralMix),0),0)</f>
        <v/>
      </c>
      <c r="EX37" s="12">
        <f>EV37+EW37</f>
        <v/>
      </c>
      <c r="EY37" s="12">
        <f>ROUND(EX37*(1-AnnualMix),0)</f>
        <v/>
      </c>
      <c r="EZ37" s="12">
        <f>EX37-EY37</f>
        <v/>
      </c>
      <c r="FA37" s="12">
        <f>ROUND(EY37*EssentialMix,0)</f>
        <v/>
      </c>
      <c r="FB37" s="12">
        <f>ROUND(EY37*PremiumMix,0)</f>
        <v/>
      </c>
      <c r="FC37" s="12">
        <f>EY37-FA37-FB37</f>
        <v/>
      </c>
      <c r="FD37" s="12">
        <f>ROUND(EZ37*EssentialMix,0)</f>
        <v/>
      </c>
      <c r="FE37" s="12">
        <f>ROUND(EZ37*PremiumMix,0)</f>
        <v/>
      </c>
      <c r="FF37" s="12">
        <f>EZ37-FD37-FE37</f>
        <v/>
      </c>
      <c r="FG37" s="12">
        <f>FA37+FA36+FA35+MAX(0,FG36-FA36-FA35)*(1-ET37)</f>
        <v/>
      </c>
      <c r="FH37" s="12">
        <f>FB37+FB36+FB35+MAX(0,FH36-FB36-FB35)*(1-ET37)</f>
        <v/>
      </c>
      <c r="FI37" s="12">
        <f>FC37+FC36+FC35+MAX(0,FI36-FC36-FC35)*(1-ET37)</f>
        <v/>
      </c>
      <c r="FJ37" s="12">
        <f>FJ36+FD37-FD25*(AnnualChurn*VLOOKUP(EP37,ChurnSeasonTable,4,FALSE))*POWER(1-(AnnualChurn*VLOOKUP(EP37,ChurnSeasonTable,4,FALSE)),0)+FD13*(AnnualChurn*VLOOKUP(EP37,ChurnSeasonTable,4,FALSE))*POWER(1-(AnnualChurn*VLOOKUP(EP37,ChurnSeasonTable,4,FALSE)),1)</f>
        <v/>
      </c>
      <c r="FK37" s="12">
        <f>FK36+FE37-FE25*(AnnualChurn*VLOOKUP(EP37,ChurnSeasonTable,4,FALSE))*POWER(1-(AnnualChurn*VLOOKUP(EP37,ChurnSeasonTable,4,FALSE)),0)+FE13*(AnnualChurn*VLOOKUP(EP37,ChurnSeasonTable,4,FALSE))*POWER(1-(AnnualChurn*VLOOKUP(EP37,ChurnSeasonTable,4,FALSE)),1)</f>
        <v/>
      </c>
      <c r="FL37" s="12">
        <f>FL36+FF37-FF25*(AnnualChurn*VLOOKUP(EP37,ChurnSeasonTable,4,FALSE))*POWER(1-(AnnualChurn*VLOOKUP(EP37,ChurnSeasonTable,4,FALSE)),0)+FF13*(AnnualChurn*VLOOKUP(EP37,ChurnSeasonTable,4,FALSE))*POWER(1-(AnnualChurn*VLOOKUP(EP37,ChurnSeasonTable,4,FALSE)),1)</f>
        <v/>
      </c>
      <c r="FM37" s="12">
        <f>FG37+FH37+FI37+FJ37+FK37+FL37</f>
        <v/>
      </c>
      <c r="FN37" s="9">
        <f>FG37*BlendedPriceEssMonthly*ES37+FH37*BlendedPricePremMonthly*ES37+FI37*BlendedPriceEliteMonthly*ES37+FJ37*BlendedPriceEssAnnual*ES37/12+FK37*BlendedPricePremAnnual*ES37/12+FL37*BlendedPriceEliteAnnual*ES37/12</f>
        <v/>
      </c>
      <c r="FO37" s="9">
        <f>FN37*12</f>
        <v/>
      </c>
      <c r="FP37" s="12">
        <f>FG37*BlendedPriceEssMonthly*ES37+FH37*BlendedPricePremMonthly*ES37+FI37*BlendedPriceEliteMonthly*ES37</f>
        <v/>
      </c>
      <c r="FQ37" s="12">
        <f>FD37*BlendedPriceEssAnnual*ES37+FE37*BlendedPricePremAnnual*ES37+FF37*BlendedPriceEliteAnnual*ES37</f>
        <v/>
      </c>
      <c r="FR37" s="12">
        <f>FD25*POWER(1-(AnnualChurn*VLOOKUP(EP37,ChurnSeasonTable,4,FALSE)),1)*BlendedPriceEssAnnual*ES37+FD13*POWER(1-(AnnualChurn*VLOOKUP(EP37,ChurnSeasonTable,4,FALSE)),2)*BlendedPriceEssAnnual*ES37+FE25*POWER(1-(AnnualChurn*VLOOKUP(EP37,ChurnSeasonTable,4,FALSE)),1)*BlendedPricePremAnnual*ES37+FE13*POWER(1-(AnnualChurn*VLOOKUP(EP37,ChurnSeasonTable,4,FALSE)),2)*BlendedPricePremAnnual*ES37+FF25*POWER(1-(AnnualChurn*VLOOKUP(EP37,ChurnSeasonTable,4,FALSE)),1)*BlendedPriceEliteAnnual*ES37+FF13*POWER(1-(AnnualChurn*VLOOKUP(EP37,ChurnSeasonTable,4,FALSE)),2)*BlendedPriceEliteAnnual*ES37</f>
        <v/>
      </c>
      <c r="FS37" s="9">
        <f>FP37+FQ37+FR37</f>
        <v/>
      </c>
      <c r="FT37" s="12">
        <f>SUM(FS26:FS37)</f>
        <v/>
      </c>
      <c r="FU37" s="12">
        <f>OR(FU36,IF(VATAgentMode,SUM($FS26:$FS37)-SUM($FZ26:$FZ37)&gt;=VATThreshold,SUM($FS26:$FS37)&gt;=VATThreshold))</f>
        <v/>
      </c>
      <c r="FV37" s="9">
        <f>IF(FU37,IF(VATAgentMode,FS37-((FS37-FZ37)-(FS37-FZ37)/(1+VATRate)),FS37/(1+VATRate)),FS37)</f>
        <v/>
      </c>
      <c r="FW37" s="12">
        <f>FS37-FV37</f>
        <v/>
      </c>
      <c r="FX37" s="12">
        <f>IF(FU37=0,0,IF(EP37=1,SUMPRODUCT(--(($EQ$5:$EQ37=$EQ37-1)*($EP$5:$EP37&gt;=10)*($EP$5:$EP37&lt;=12)),$FW$5:$FW37),IF(EP37=4,SUMPRODUCT(--(($EQ$5:$EQ37=$EQ37)*($EP$5:$EP37&gt;=1)*($EP$5:$EP37&lt;=3)),$FW$5:$FW37),IF(EP37=7,SUMPRODUCT(--(($EQ$5:$EQ37=$EQ37)*($EP$5:$EP37&gt;=4)*($EP$5:$EP37&lt;=6)),$FW$5:$FW37),IF(EP37=10,SUMPRODUCT(--(($EQ$5:$EQ37=$EQ37)*($EP$5:$EP37&gt;=7)*($EP$5:$EP37&lt;=9)),$FW$5:$FW37),0)))))</f>
        <v/>
      </c>
      <c r="FY37" s="12">
        <f>FY36+FW37-FX37</f>
        <v/>
      </c>
      <c r="FZ37" s="12">
        <f>IF(ProviderDelay&gt;=1,FG36*BlendedProvPayEss+FH36*BlendedProvPayPrem+FI36*BlendedProvPayElite+FJ36*BlendedProvPayEss+FK36*BlendedProvPayPrem+FL36*BlendedProvPayElite,FG37*BlendedProvPayEss+FH37*BlendedProvPayPrem+FI37*BlendedProvPayElite+FJ37*BlendedProvPayEss+FK37*BlendedProvPayPrem+FL37*BlendedProvPayElite)</f>
        <v/>
      </c>
      <c r="GA37" s="12">
        <f>FS37*PaymentFee</f>
        <v/>
      </c>
      <c r="GB37" s="12">
        <f>FM37*OpsAI</f>
        <v/>
      </c>
      <c r="GC37" s="12">
        <f>MonthlyFixed</f>
        <v/>
      </c>
      <c r="GD37" s="12">
        <f>EW37*ReferralReward</f>
        <v/>
      </c>
      <c r="GE37" s="12">
        <f>EU37</f>
        <v/>
      </c>
      <c r="GF37" s="9">
        <f>FV37-FZ37-GA37-GB37-GC37-GD37-GE37</f>
        <v/>
      </c>
      <c r="GG37" s="9">
        <f>GG36+FS37-(FZ37+GA37+GB37+GC37+GD37+GE37+FX37)</f>
        <v/>
      </c>
      <c r="GH37" s="12">
        <f>IF(FM37&gt;0,FN37/FM37,0)</f>
        <v/>
      </c>
      <c r="GI37" s="11">
        <f>IF(FM36&gt;0,MAX(0,(FM36+EX37-FM37)/FM36),0)</f>
        <v/>
      </c>
      <c r="GK37" s="12" t="n">
        <v>33</v>
      </c>
      <c r="GL37" s="12">
        <f>MOD(GK37-1+LaunchMonth-1,12)+1</f>
        <v/>
      </c>
      <c r="GM37" s="12">
        <f>INT((GK37-1+LaunchMonth-1)/12)+1</f>
        <v/>
      </c>
      <c r="GN37" s="12">
        <f>VLOOKUP(GL37,SeasonTable,2,FALSE)</f>
        <v/>
      </c>
      <c r="GO37" s="12">
        <f>(1+InflationRate)^INT((GK37-1)/12)</f>
        <v/>
      </c>
      <c r="GP37" s="11">
        <f>'Sens - Churn'!$A$14*VLOOKUP(GL37,ChurnSeasonTable,4,FALSE)</f>
        <v/>
      </c>
      <c r="GQ37" s="12">
        <f>MIN(MAX(MktMin19plus,HO36*MktPct19plus),MAX(0,IC36-CashBuffer))</f>
        <v/>
      </c>
      <c r="GR37" s="12">
        <f>IF(GQ37&gt;0,MAX(1,ROUND(GQ37/CAC*GN37,0)),0)</f>
        <v/>
      </c>
      <c r="GS37" s="12">
        <f>IF(GR37&gt;0,ROUND(GR37*ReferralMix/(1-ReferralMix),0),0)</f>
        <v/>
      </c>
      <c r="GT37" s="12">
        <f>GR37+GS37</f>
        <v/>
      </c>
      <c r="GU37" s="12">
        <f>ROUND(GT37*(1-AnnualMix),0)</f>
        <v/>
      </c>
      <c r="GV37" s="12">
        <f>GT37-GU37</f>
        <v/>
      </c>
      <c r="GW37" s="12">
        <f>ROUND(GU37*EssentialMix,0)</f>
        <v/>
      </c>
      <c r="GX37" s="12">
        <f>ROUND(GU37*PremiumMix,0)</f>
        <v/>
      </c>
      <c r="GY37" s="12">
        <f>GU37-GW37-GX37</f>
        <v/>
      </c>
      <c r="GZ37" s="12">
        <f>ROUND(GV37*EssentialMix,0)</f>
        <v/>
      </c>
      <c r="HA37" s="12">
        <f>ROUND(GV37*PremiumMix,0)</f>
        <v/>
      </c>
      <c r="HB37" s="12">
        <f>GV37-GZ37-HA37</f>
        <v/>
      </c>
      <c r="HC37" s="12">
        <f>GW37+GW36+GW35+MAX(0,HC36-GW36-GW35)*(1-GP37)</f>
        <v/>
      </c>
      <c r="HD37" s="12">
        <f>GX37+GX36+GX35+MAX(0,HD36-GX36-GX35)*(1-GP37)</f>
        <v/>
      </c>
      <c r="HE37" s="12">
        <f>GY37+GY36+GY35+MAX(0,HE36-GY36-GY35)*(1-GP37)</f>
        <v/>
      </c>
      <c r="HF37" s="12">
        <f>HF36+GZ37-GZ25*(AnnualChurn*VLOOKUP(GL37,ChurnSeasonTable,4,FALSE))*POWER(1-(AnnualChurn*VLOOKUP(GL37,ChurnSeasonTable,4,FALSE)),0)+GZ13*(AnnualChurn*VLOOKUP(GL37,ChurnSeasonTable,4,FALSE))*POWER(1-(AnnualChurn*VLOOKUP(GL37,ChurnSeasonTable,4,FALSE)),1)</f>
        <v/>
      </c>
      <c r="HG37" s="12">
        <f>HG36+HA37-HA25*(AnnualChurn*VLOOKUP(GL37,ChurnSeasonTable,4,FALSE))*POWER(1-(AnnualChurn*VLOOKUP(GL37,ChurnSeasonTable,4,FALSE)),0)+HA13*(AnnualChurn*VLOOKUP(GL37,ChurnSeasonTable,4,FALSE))*POWER(1-(AnnualChurn*VLOOKUP(GL37,ChurnSeasonTable,4,FALSE)),1)</f>
        <v/>
      </c>
      <c r="HH37" s="12">
        <f>HH36+HB37-HB25*(AnnualChurn*VLOOKUP(GL37,ChurnSeasonTable,4,FALSE))*POWER(1-(AnnualChurn*VLOOKUP(GL37,ChurnSeasonTable,4,FALSE)),0)+HB13*(AnnualChurn*VLOOKUP(GL37,ChurnSeasonTable,4,FALSE))*POWER(1-(AnnualChurn*VLOOKUP(GL37,ChurnSeasonTable,4,FALSE)),1)</f>
        <v/>
      </c>
      <c r="HI37" s="12">
        <f>HC37+HD37+HE37+HF37+HG37+HH37</f>
        <v/>
      </c>
      <c r="HJ37" s="9">
        <f>HC37*BlendedPriceEssMonthly*GO37+HD37*BlendedPricePremMonthly*GO37+HE37*BlendedPriceEliteMonthly*GO37+HF37*BlendedPriceEssAnnual*GO37/12+HG37*BlendedPricePremAnnual*GO37/12+HH37*BlendedPriceEliteAnnual*GO37/12</f>
        <v/>
      </c>
      <c r="HK37" s="9">
        <f>HJ37*12</f>
        <v/>
      </c>
      <c r="HL37" s="12">
        <f>HC37*BlendedPriceEssMonthly*GO37+HD37*BlendedPricePremMonthly*GO37+HE37*BlendedPriceEliteMonthly*GO37</f>
        <v/>
      </c>
      <c r="HM37" s="12">
        <f>GZ37*BlendedPriceEssAnnual*GO37+HA37*BlendedPricePremAnnual*GO37+HB37*BlendedPriceEliteAnnual*GO37</f>
        <v/>
      </c>
      <c r="HN37" s="12">
        <f>GZ25*POWER(1-(AnnualChurn*VLOOKUP(GL37,ChurnSeasonTable,4,FALSE)),1)*BlendedPriceEssAnnual*GO37+GZ13*POWER(1-(AnnualChurn*VLOOKUP(GL37,ChurnSeasonTable,4,FALSE)),2)*BlendedPriceEssAnnual*GO37+HA25*POWER(1-(AnnualChurn*VLOOKUP(GL37,ChurnSeasonTable,4,FALSE)),1)*BlendedPricePremAnnual*GO37+HA13*POWER(1-(AnnualChurn*VLOOKUP(GL37,ChurnSeasonTable,4,FALSE)),2)*BlendedPricePremAnnual*GO37+HB25*POWER(1-(AnnualChurn*VLOOKUP(GL37,ChurnSeasonTable,4,FALSE)),1)*BlendedPriceEliteAnnual*GO37+HB13*POWER(1-(AnnualChurn*VLOOKUP(GL37,ChurnSeasonTable,4,FALSE)),2)*BlendedPriceEliteAnnual*GO37</f>
        <v/>
      </c>
      <c r="HO37" s="9">
        <f>HL37+HM37+HN37</f>
        <v/>
      </c>
      <c r="HP37" s="12">
        <f>SUM(HO26:HO37)</f>
        <v/>
      </c>
      <c r="HQ37" s="12">
        <f>OR(HQ36,IF(VATAgentMode,SUM($HO26:$HO37)-SUM($HV26:$HV37)&gt;=VATThreshold,SUM($HO26:$HO37)&gt;=VATThreshold))</f>
        <v/>
      </c>
      <c r="HR37" s="9">
        <f>IF(HQ37,IF(VATAgentMode,HO37-((HO37-HV37)-(HO37-HV37)/(1+VATRate)),HO37/(1+VATRate)),HO37)</f>
        <v/>
      </c>
      <c r="HS37" s="12">
        <f>HO37-HR37</f>
        <v/>
      </c>
      <c r="HT37" s="12">
        <f>IF(HQ37=0,0,IF(GL37=1,SUMPRODUCT(--(($GM$5:$GM37=$GM37-1)*($GL$5:$GL37&gt;=10)*($GL$5:$GL37&lt;=12)),$HS$5:$HS37),IF(GL37=4,SUMPRODUCT(--(($GM$5:$GM37=$GM37)*($GL$5:$GL37&gt;=1)*($GL$5:$GL37&lt;=3)),$HS$5:$HS37),IF(GL37=7,SUMPRODUCT(--(($GM$5:$GM37=$GM37)*($GL$5:$GL37&gt;=4)*($GL$5:$GL37&lt;=6)),$HS$5:$HS37),IF(GL37=10,SUMPRODUCT(--(($GM$5:$GM37=$GM37)*($GL$5:$GL37&gt;=7)*($GL$5:$GL37&lt;=9)),$HS$5:$HS37),0)))))</f>
        <v/>
      </c>
      <c r="HU37" s="12">
        <f>HU36+HS37-HT37</f>
        <v/>
      </c>
      <c r="HV37" s="12">
        <f>IF(ProviderDelay&gt;=1,HC36*BlendedProvPayEss+HD36*BlendedProvPayPrem+HE36*BlendedProvPayElite+HF36*BlendedProvPayEss+HG36*BlendedProvPayPrem+HH36*BlendedProvPayElite,HC37*BlendedProvPayEss+HD37*BlendedProvPayPrem+HE37*BlendedProvPayElite+HF37*BlendedProvPayEss+HG37*BlendedProvPayPrem+HH37*BlendedProvPayElite)</f>
        <v/>
      </c>
      <c r="HW37" s="12">
        <f>HO37*PaymentFee</f>
        <v/>
      </c>
      <c r="HX37" s="12">
        <f>HI37*OpsAI</f>
        <v/>
      </c>
      <c r="HY37" s="12">
        <f>MonthlyFixed</f>
        <v/>
      </c>
      <c r="HZ37" s="12">
        <f>GS37*ReferralReward</f>
        <v/>
      </c>
      <c r="IA37" s="12">
        <f>GQ37</f>
        <v/>
      </c>
      <c r="IB37" s="9">
        <f>HR37-HV37-HW37-HX37-HY37-HZ37-IA37</f>
        <v/>
      </c>
      <c r="IC37" s="9">
        <f>IC36+HO37-(HV37+HW37+HX37+HY37+HZ37+IA37+HT37)</f>
        <v/>
      </c>
      <c r="ID37" s="12">
        <f>IF(HI37&gt;0,HJ37/HI37,0)</f>
        <v/>
      </c>
      <c r="IE37" s="11">
        <f>IF(HI36&gt;0,MAX(0,(HI36+GT37-HI37)/HI36),0)</f>
        <v/>
      </c>
      <c r="IG37" s="12" t="n">
        <v>33</v>
      </c>
      <c r="IH37" s="12">
        <f>MOD(IG37-1+LaunchMonth-1,12)+1</f>
        <v/>
      </c>
      <c r="II37" s="12">
        <f>INT((IG37-1+LaunchMonth-1)/12)+1</f>
        <v/>
      </c>
      <c r="IJ37" s="12">
        <f>VLOOKUP(IH37,SeasonTable,2,FALSE)</f>
        <v/>
      </c>
      <c r="IK37" s="12">
        <f>(1+InflationRate)^INT((IG37-1)/12)</f>
        <v/>
      </c>
      <c r="IL37" s="11">
        <f>'Sens - Churn'!$A$15*VLOOKUP(IH37,ChurnSeasonTable,4,FALSE)</f>
        <v/>
      </c>
      <c r="IM37" s="12">
        <f>MIN(MAX(MktMin19plus,JK36*MktPct19plus),MAX(0,JY36-CashBuffer))</f>
        <v/>
      </c>
      <c r="IN37" s="12">
        <f>IF(IM37&gt;0,MAX(1,ROUND(IM37/CAC*IJ37,0)),0)</f>
        <v/>
      </c>
      <c r="IO37" s="12">
        <f>IF(IN37&gt;0,ROUND(IN37*ReferralMix/(1-ReferralMix),0),0)</f>
        <v/>
      </c>
      <c r="IP37" s="12">
        <f>IN37+IO37</f>
        <v/>
      </c>
      <c r="IQ37" s="12">
        <f>ROUND(IP37*(1-AnnualMix),0)</f>
        <v/>
      </c>
      <c r="IR37" s="12">
        <f>IP37-IQ37</f>
        <v/>
      </c>
      <c r="IS37" s="12">
        <f>ROUND(IQ37*EssentialMix,0)</f>
        <v/>
      </c>
      <c r="IT37" s="12">
        <f>ROUND(IQ37*PremiumMix,0)</f>
        <v/>
      </c>
      <c r="IU37" s="12">
        <f>IQ37-IS37-IT37</f>
        <v/>
      </c>
      <c r="IV37" s="12">
        <f>ROUND(IR37*EssentialMix,0)</f>
        <v/>
      </c>
      <c r="IW37" s="12">
        <f>ROUND(IR37*PremiumMix,0)</f>
        <v/>
      </c>
      <c r="IX37" s="12">
        <f>IR37-IV37-IW37</f>
        <v/>
      </c>
      <c r="IY37" s="12">
        <f>IS37+IS36+IS35+MAX(0,IY36-IS36-IS35)*(1-IL37)</f>
        <v/>
      </c>
      <c r="IZ37" s="12">
        <f>IT37+IT36+IT35+MAX(0,IZ36-IT36-IT35)*(1-IL37)</f>
        <v/>
      </c>
      <c r="JA37" s="12">
        <f>IU37+IU36+IU35+MAX(0,JA36-IU36-IU35)*(1-IL37)</f>
        <v/>
      </c>
      <c r="JB37" s="12">
        <f>JB36+IV37-IV25*(AnnualChurn*VLOOKUP(IH37,ChurnSeasonTable,4,FALSE))*POWER(1-(AnnualChurn*VLOOKUP(IH37,ChurnSeasonTable,4,FALSE)),0)+IV13*(AnnualChurn*VLOOKUP(IH37,ChurnSeasonTable,4,FALSE))*POWER(1-(AnnualChurn*VLOOKUP(IH37,ChurnSeasonTable,4,FALSE)),1)</f>
        <v/>
      </c>
      <c r="JC37" s="12">
        <f>JC36+IW37-IW25*(AnnualChurn*VLOOKUP(IH37,ChurnSeasonTable,4,FALSE))*POWER(1-(AnnualChurn*VLOOKUP(IH37,ChurnSeasonTable,4,FALSE)),0)+IW13*(AnnualChurn*VLOOKUP(IH37,ChurnSeasonTable,4,FALSE))*POWER(1-(AnnualChurn*VLOOKUP(IH37,ChurnSeasonTable,4,FALSE)),1)</f>
        <v/>
      </c>
      <c r="JD37" s="12">
        <f>JD36+IX37-IX25*(AnnualChurn*VLOOKUP(IH37,ChurnSeasonTable,4,FALSE))*POWER(1-(AnnualChurn*VLOOKUP(IH37,ChurnSeasonTable,4,FALSE)),0)+IX13*(AnnualChurn*VLOOKUP(IH37,ChurnSeasonTable,4,FALSE))*POWER(1-(AnnualChurn*VLOOKUP(IH37,ChurnSeasonTable,4,FALSE)),1)</f>
        <v/>
      </c>
      <c r="JE37" s="12">
        <f>IY37+IZ37+JA37+JB37+JC37+JD37</f>
        <v/>
      </c>
      <c r="JF37" s="9">
        <f>IY37*BlendedPriceEssMonthly*IK37+IZ37*BlendedPricePremMonthly*IK37+JA37*BlendedPriceEliteMonthly*IK37+JB37*BlendedPriceEssAnnual*IK37/12+JC37*BlendedPricePremAnnual*IK37/12+JD37*BlendedPriceEliteAnnual*IK37/12</f>
        <v/>
      </c>
      <c r="JG37" s="9">
        <f>JF37*12</f>
        <v/>
      </c>
      <c r="JH37" s="12">
        <f>IY37*BlendedPriceEssMonthly*IK37+IZ37*BlendedPricePremMonthly*IK37+JA37*BlendedPriceEliteMonthly*IK37</f>
        <v/>
      </c>
      <c r="JI37" s="12">
        <f>IV37*BlendedPriceEssAnnual*IK37+IW37*BlendedPricePremAnnual*IK37+IX37*BlendedPriceEliteAnnual*IK37</f>
        <v/>
      </c>
      <c r="JJ37" s="12">
        <f>IV25*POWER(1-(AnnualChurn*VLOOKUP(IH37,ChurnSeasonTable,4,FALSE)),1)*BlendedPriceEssAnnual*IK37+IV13*POWER(1-(AnnualChurn*VLOOKUP(IH37,ChurnSeasonTable,4,FALSE)),2)*BlendedPriceEssAnnual*IK37+IW25*POWER(1-(AnnualChurn*VLOOKUP(IH37,ChurnSeasonTable,4,FALSE)),1)*BlendedPricePremAnnual*IK37+IW13*POWER(1-(AnnualChurn*VLOOKUP(IH37,ChurnSeasonTable,4,FALSE)),2)*BlendedPricePremAnnual*IK37+IX25*POWER(1-(AnnualChurn*VLOOKUP(IH37,ChurnSeasonTable,4,FALSE)),1)*BlendedPriceEliteAnnual*IK37+IX13*POWER(1-(AnnualChurn*VLOOKUP(IH37,ChurnSeasonTable,4,FALSE)),2)*BlendedPriceEliteAnnual*IK37</f>
        <v/>
      </c>
      <c r="JK37" s="9">
        <f>JH37+JI37+JJ37</f>
        <v/>
      </c>
      <c r="JL37" s="12">
        <f>SUM(JK26:JK37)</f>
        <v/>
      </c>
      <c r="JM37" s="12">
        <f>OR(JM36,IF(VATAgentMode,SUM($JK26:$JK37)-SUM($JR26:$JR37)&gt;=VATThreshold,SUM($JK26:$JK37)&gt;=VATThreshold))</f>
        <v/>
      </c>
      <c r="JN37" s="9">
        <f>IF(JM37,IF(VATAgentMode,JK37-((JK37-JR37)-(JK37-JR37)/(1+VATRate)),JK37/(1+VATRate)),JK37)</f>
        <v/>
      </c>
      <c r="JO37" s="12">
        <f>JK37-JN37</f>
        <v/>
      </c>
      <c r="JP37" s="12">
        <f>IF(JM37=0,0,IF(IH37=1,SUMPRODUCT(--(($II$5:$II37=$II37-1)*($IH$5:$IH37&gt;=10)*($IH$5:$IH37&lt;=12)),$JO$5:$JO37),IF(IH37=4,SUMPRODUCT(--(($II$5:$II37=$II37)*($IH$5:$IH37&gt;=1)*($IH$5:$IH37&lt;=3)),$JO$5:$JO37),IF(IH37=7,SUMPRODUCT(--(($II$5:$II37=$II37)*($IH$5:$IH37&gt;=4)*($IH$5:$IH37&lt;=6)),$JO$5:$JO37),IF(IH37=10,SUMPRODUCT(--(($II$5:$II37=$II37)*($IH$5:$IH37&gt;=7)*($IH$5:$IH37&lt;=9)),$JO$5:$JO37),0)))))</f>
        <v/>
      </c>
      <c r="JQ37" s="12">
        <f>JQ36+JO37-JP37</f>
        <v/>
      </c>
      <c r="JR37" s="12">
        <f>IF(ProviderDelay&gt;=1,IY36*BlendedProvPayEss+IZ36*BlendedProvPayPrem+JA36*BlendedProvPayElite+JB36*BlendedProvPayEss+JC36*BlendedProvPayPrem+JD36*BlendedProvPayElite,IY37*BlendedProvPayEss+IZ37*BlendedProvPayPrem+JA37*BlendedProvPayElite+JB37*BlendedProvPayEss+JC37*BlendedProvPayPrem+JD37*BlendedProvPayElite)</f>
        <v/>
      </c>
      <c r="JS37" s="12">
        <f>JK37*PaymentFee</f>
        <v/>
      </c>
      <c r="JT37" s="12">
        <f>JE37*OpsAI</f>
        <v/>
      </c>
      <c r="JU37" s="12">
        <f>MonthlyFixed</f>
        <v/>
      </c>
      <c r="JV37" s="12">
        <f>IO37*ReferralReward</f>
        <v/>
      </c>
      <c r="JW37" s="12">
        <f>IM37</f>
        <v/>
      </c>
      <c r="JX37" s="9">
        <f>JN37-JR37-JS37-JT37-JU37-JV37-JW37</f>
        <v/>
      </c>
      <c r="JY37" s="9">
        <f>JY36+JK37-(JR37+JS37+JT37+JU37+JV37+JW37+JP37)</f>
        <v/>
      </c>
      <c r="JZ37" s="12">
        <f>IF(JE37&gt;0,JF37/JE37,0)</f>
        <v/>
      </c>
      <c r="KA37" s="11">
        <f>IF(JE36&gt;0,MAX(0,(JE36+IP37-JE37)/JE36),0)</f>
        <v/>
      </c>
      <c r="KC37" s="12" t="n">
        <v>33</v>
      </c>
      <c r="KD37" s="12">
        <f>MOD(KC37-1+LaunchMonth-1,12)+1</f>
        <v/>
      </c>
      <c r="KE37" s="12">
        <f>INT((KC37-1+LaunchMonth-1)/12)+1</f>
        <v/>
      </c>
      <c r="KF37" s="12">
        <f>VLOOKUP(KD37,SeasonTable,2,FALSE)</f>
        <v/>
      </c>
      <c r="KG37" s="12">
        <f>(1+InflationRate)^INT((KC37-1)/12)</f>
        <v/>
      </c>
      <c r="KH37" s="11">
        <f>'Sens - Churn'!$A$16*VLOOKUP(KD37,ChurnSeasonTable,4,FALSE)</f>
        <v/>
      </c>
      <c r="KI37" s="12">
        <f>MIN(MAX(MktMin19plus,LG36*MktPct19plus),MAX(0,LU36-CashBuffer))</f>
        <v/>
      </c>
      <c r="KJ37" s="12">
        <f>IF(KI37&gt;0,MAX(1,ROUND(KI37/CAC*KF37,0)),0)</f>
        <v/>
      </c>
      <c r="KK37" s="12">
        <f>IF(KJ37&gt;0,ROUND(KJ37*ReferralMix/(1-ReferralMix),0),0)</f>
        <v/>
      </c>
      <c r="KL37" s="12">
        <f>KJ37+KK37</f>
        <v/>
      </c>
      <c r="KM37" s="12">
        <f>ROUND(KL37*(1-AnnualMix),0)</f>
        <v/>
      </c>
      <c r="KN37" s="12">
        <f>KL37-KM37</f>
        <v/>
      </c>
      <c r="KO37" s="12">
        <f>ROUND(KM37*EssentialMix,0)</f>
        <v/>
      </c>
      <c r="KP37" s="12">
        <f>ROUND(KM37*PremiumMix,0)</f>
        <v/>
      </c>
      <c r="KQ37" s="12">
        <f>KM37-KO37-KP37</f>
        <v/>
      </c>
      <c r="KR37" s="12">
        <f>ROUND(KN37*EssentialMix,0)</f>
        <v/>
      </c>
      <c r="KS37" s="12">
        <f>ROUND(KN37*PremiumMix,0)</f>
        <v/>
      </c>
      <c r="KT37" s="12">
        <f>KN37-KR37-KS37</f>
        <v/>
      </c>
      <c r="KU37" s="12">
        <f>KO37+KO36+KO35+MAX(0,KU36-KO36-KO35)*(1-KH37)</f>
        <v/>
      </c>
      <c r="KV37" s="12">
        <f>KP37+KP36+KP35+MAX(0,KV36-KP36-KP35)*(1-KH37)</f>
        <v/>
      </c>
      <c r="KW37" s="12">
        <f>KQ37+KQ36+KQ35+MAX(0,KW36-KQ36-KQ35)*(1-KH37)</f>
        <v/>
      </c>
      <c r="KX37" s="12">
        <f>KX36+KR37-KR25*(AnnualChurn*VLOOKUP(KD37,ChurnSeasonTable,4,FALSE))*POWER(1-(AnnualChurn*VLOOKUP(KD37,ChurnSeasonTable,4,FALSE)),0)+KR13*(AnnualChurn*VLOOKUP(KD37,ChurnSeasonTable,4,FALSE))*POWER(1-(AnnualChurn*VLOOKUP(KD37,ChurnSeasonTable,4,FALSE)),1)</f>
        <v/>
      </c>
      <c r="KY37" s="12">
        <f>KY36+KS37-KS25*(AnnualChurn*VLOOKUP(KD37,ChurnSeasonTable,4,FALSE))*POWER(1-(AnnualChurn*VLOOKUP(KD37,ChurnSeasonTable,4,FALSE)),0)+KS13*(AnnualChurn*VLOOKUP(KD37,ChurnSeasonTable,4,FALSE))*POWER(1-(AnnualChurn*VLOOKUP(KD37,ChurnSeasonTable,4,FALSE)),1)</f>
        <v/>
      </c>
      <c r="KZ37" s="12">
        <f>KZ36+KT37-KT25*(AnnualChurn*VLOOKUP(KD37,ChurnSeasonTable,4,FALSE))*POWER(1-(AnnualChurn*VLOOKUP(KD37,ChurnSeasonTable,4,FALSE)),0)+KT13*(AnnualChurn*VLOOKUP(KD37,ChurnSeasonTable,4,FALSE))*POWER(1-(AnnualChurn*VLOOKUP(KD37,ChurnSeasonTable,4,FALSE)),1)</f>
        <v/>
      </c>
      <c r="LA37" s="12">
        <f>KU37+KV37+KW37+KX37+KY37+KZ37</f>
        <v/>
      </c>
      <c r="LB37" s="9">
        <f>KU37*BlendedPriceEssMonthly*KG37+KV37*BlendedPricePremMonthly*KG37+KW37*BlendedPriceEliteMonthly*KG37+KX37*BlendedPriceEssAnnual*KG37/12+KY37*BlendedPricePremAnnual*KG37/12+KZ37*BlendedPriceEliteAnnual*KG37/12</f>
        <v/>
      </c>
      <c r="LC37" s="9">
        <f>LB37*12</f>
        <v/>
      </c>
      <c r="LD37" s="12">
        <f>KU37*BlendedPriceEssMonthly*KG37+KV37*BlendedPricePremMonthly*KG37+KW37*BlendedPriceEliteMonthly*KG37</f>
        <v/>
      </c>
      <c r="LE37" s="12">
        <f>KR37*BlendedPriceEssAnnual*KG37+KS37*BlendedPricePremAnnual*KG37+KT37*BlendedPriceEliteAnnual*KG37</f>
        <v/>
      </c>
      <c r="LF37" s="12">
        <f>KR25*POWER(1-(AnnualChurn*VLOOKUP(KD37,ChurnSeasonTable,4,FALSE)),1)*BlendedPriceEssAnnual*KG37+KR13*POWER(1-(AnnualChurn*VLOOKUP(KD37,ChurnSeasonTable,4,FALSE)),2)*BlendedPriceEssAnnual*KG37+KS25*POWER(1-(AnnualChurn*VLOOKUP(KD37,ChurnSeasonTable,4,FALSE)),1)*BlendedPricePremAnnual*KG37+KS13*POWER(1-(AnnualChurn*VLOOKUP(KD37,ChurnSeasonTable,4,FALSE)),2)*BlendedPricePremAnnual*KG37+KT25*POWER(1-(AnnualChurn*VLOOKUP(KD37,ChurnSeasonTable,4,FALSE)),1)*BlendedPriceEliteAnnual*KG37+KT13*POWER(1-(AnnualChurn*VLOOKUP(KD37,ChurnSeasonTable,4,FALSE)),2)*BlendedPriceEliteAnnual*KG37</f>
        <v/>
      </c>
      <c r="LG37" s="9">
        <f>LD37+LE37+LF37</f>
        <v/>
      </c>
      <c r="LH37" s="12">
        <f>SUM(LG26:LG37)</f>
        <v/>
      </c>
      <c r="LI37" s="12">
        <f>OR(LI36,IF(VATAgentMode,SUM($LG26:$LG37)-SUM($LN26:$LN37)&gt;=VATThreshold,SUM($LG26:$LG37)&gt;=VATThreshold))</f>
        <v/>
      </c>
      <c r="LJ37" s="9">
        <f>IF(LI37,IF(VATAgentMode,LG37-((LG37-LN37)-(LG37-LN37)/(1+VATRate)),LG37/(1+VATRate)),LG37)</f>
        <v/>
      </c>
      <c r="LK37" s="12">
        <f>LG37-LJ37</f>
        <v/>
      </c>
      <c r="LL37" s="12">
        <f>IF(LI37=0,0,IF(KD37=1,SUMPRODUCT(--(($KE$5:$KE37=$KE37-1)*($KD$5:$KD37&gt;=10)*($KD$5:$KD37&lt;=12)),$LK$5:$LK37),IF(KD37=4,SUMPRODUCT(--(($KE$5:$KE37=$KE37)*($KD$5:$KD37&gt;=1)*($KD$5:$KD37&lt;=3)),$LK$5:$LK37),IF(KD37=7,SUMPRODUCT(--(($KE$5:$KE37=$KE37)*($KD$5:$KD37&gt;=4)*($KD$5:$KD37&lt;=6)),$LK$5:$LK37),IF(KD37=10,SUMPRODUCT(--(($KE$5:$KE37=$KE37)*($KD$5:$KD37&gt;=7)*($KD$5:$KD37&lt;=9)),$LK$5:$LK37),0)))))</f>
        <v/>
      </c>
      <c r="LM37" s="12">
        <f>LM36+LK37-LL37</f>
        <v/>
      </c>
      <c r="LN37" s="12">
        <f>IF(ProviderDelay&gt;=1,KU36*BlendedProvPayEss+KV36*BlendedProvPayPrem+KW36*BlendedProvPayElite+KX36*BlendedProvPayEss+KY36*BlendedProvPayPrem+KZ36*BlendedProvPayElite,KU37*BlendedProvPayEss+KV37*BlendedProvPayPrem+KW37*BlendedProvPayElite+KX37*BlendedProvPayEss+KY37*BlendedProvPayPrem+KZ37*BlendedProvPayElite)</f>
        <v/>
      </c>
      <c r="LO37" s="12">
        <f>LG37*PaymentFee</f>
        <v/>
      </c>
      <c r="LP37" s="12">
        <f>LA37*OpsAI</f>
        <v/>
      </c>
      <c r="LQ37" s="12">
        <f>MonthlyFixed</f>
        <v/>
      </c>
      <c r="LR37" s="12">
        <f>KK37*ReferralReward</f>
        <v/>
      </c>
      <c r="LS37" s="12">
        <f>KI37</f>
        <v/>
      </c>
      <c r="LT37" s="9">
        <f>LJ37-LN37-LO37-LP37-LQ37-LR37-LS37</f>
        <v/>
      </c>
      <c r="LU37" s="9">
        <f>LU36+LG37-(LN37+LO37+LP37+LQ37+LR37+LS37+LL37)</f>
        <v/>
      </c>
      <c r="LV37" s="12">
        <f>IF(LA37&gt;0,LB37/LA37,0)</f>
        <v/>
      </c>
      <c r="LW37" s="11">
        <f>IF(LA36&gt;0,MAX(0,(LA36+KL37-LA37)/LA36),0)</f>
        <v/>
      </c>
      <c r="LY37" s="12" t="n">
        <v>33</v>
      </c>
      <c r="LZ37" s="12">
        <f>MOD(LY37-1+LaunchMonth-1,12)+1</f>
        <v/>
      </c>
      <c r="MA37" s="12">
        <f>INT((LY37-1+LaunchMonth-1)/12)+1</f>
        <v/>
      </c>
      <c r="MB37" s="12">
        <f>VLOOKUP(LZ37,SeasonTable,2,FALSE)</f>
        <v/>
      </c>
      <c r="MC37" s="12">
        <f>(1+InflationRate)^INT((LY37-1)/12)</f>
        <v/>
      </c>
      <c r="MD37" s="11">
        <f>'Sens - Churn'!$A$17*VLOOKUP(LZ37,ChurnSeasonTable,4,FALSE)</f>
        <v/>
      </c>
      <c r="ME37" s="12">
        <f>MIN(MAX(MktMin19plus,NC36*MktPct19plus),MAX(0,NQ36-CashBuffer))</f>
        <v/>
      </c>
      <c r="MF37" s="12">
        <f>IF(ME37&gt;0,MAX(1,ROUND(ME37/CAC*MB37,0)),0)</f>
        <v/>
      </c>
      <c r="MG37" s="12">
        <f>IF(MF37&gt;0,ROUND(MF37*ReferralMix/(1-ReferralMix),0),0)</f>
        <v/>
      </c>
      <c r="MH37" s="12">
        <f>MF37+MG37</f>
        <v/>
      </c>
      <c r="MI37" s="12">
        <f>ROUND(MH37*(1-AnnualMix),0)</f>
        <v/>
      </c>
      <c r="MJ37" s="12">
        <f>MH37-MI37</f>
        <v/>
      </c>
      <c r="MK37" s="12">
        <f>ROUND(MI37*EssentialMix,0)</f>
        <v/>
      </c>
      <c r="ML37" s="12">
        <f>ROUND(MI37*PremiumMix,0)</f>
        <v/>
      </c>
      <c r="MM37" s="12">
        <f>MI37-MK37-ML37</f>
        <v/>
      </c>
      <c r="MN37" s="12">
        <f>ROUND(MJ37*EssentialMix,0)</f>
        <v/>
      </c>
      <c r="MO37" s="12">
        <f>ROUND(MJ37*PremiumMix,0)</f>
        <v/>
      </c>
      <c r="MP37" s="12">
        <f>MJ37-MN37-MO37</f>
        <v/>
      </c>
      <c r="MQ37" s="12">
        <f>MK37+MK36+MK35+MAX(0,MQ36-MK36-MK35)*(1-MD37)</f>
        <v/>
      </c>
      <c r="MR37" s="12">
        <f>ML37+ML36+ML35+MAX(0,MR36-ML36-ML35)*(1-MD37)</f>
        <v/>
      </c>
      <c r="MS37" s="12">
        <f>MM37+MM36+MM35+MAX(0,MS36-MM36-MM35)*(1-MD37)</f>
        <v/>
      </c>
      <c r="MT37" s="12">
        <f>MT36+MN37-MN25*(AnnualChurn*VLOOKUP(LZ37,ChurnSeasonTable,4,FALSE))*POWER(1-(AnnualChurn*VLOOKUP(LZ37,ChurnSeasonTable,4,FALSE)),0)+MN13*(AnnualChurn*VLOOKUP(LZ37,ChurnSeasonTable,4,FALSE))*POWER(1-(AnnualChurn*VLOOKUP(LZ37,ChurnSeasonTable,4,FALSE)),1)</f>
        <v/>
      </c>
      <c r="MU37" s="12">
        <f>MU36+MO37-MO25*(AnnualChurn*VLOOKUP(LZ37,ChurnSeasonTable,4,FALSE))*POWER(1-(AnnualChurn*VLOOKUP(LZ37,ChurnSeasonTable,4,FALSE)),0)+MO13*(AnnualChurn*VLOOKUP(LZ37,ChurnSeasonTable,4,FALSE))*POWER(1-(AnnualChurn*VLOOKUP(LZ37,ChurnSeasonTable,4,FALSE)),1)</f>
        <v/>
      </c>
      <c r="MV37" s="12">
        <f>MV36+MP37-MP25*(AnnualChurn*VLOOKUP(LZ37,ChurnSeasonTable,4,FALSE))*POWER(1-(AnnualChurn*VLOOKUP(LZ37,ChurnSeasonTable,4,FALSE)),0)+MP13*(AnnualChurn*VLOOKUP(LZ37,ChurnSeasonTable,4,FALSE))*POWER(1-(AnnualChurn*VLOOKUP(LZ37,ChurnSeasonTable,4,FALSE)),1)</f>
        <v/>
      </c>
      <c r="MW37" s="12">
        <f>MQ37+MR37+MS37+MT37+MU37+MV37</f>
        <v/>
      </c>
      <c r="MX37" s="9">
        <f>MQ37*BlendedPriceEssMonthly*MC37+MR37*BlendedPricePremMonthly*MC37+MS37*BlendedPriceEliteMonthly*MC37+MT37*BlendedPriceEssAnnual*MC37/12+MU37*BlendedPricePremAnnual*MC37/12+MV37*BlendedPriceEliteAnnual*MC37/12</f>
        <v/>
      </c>
      <c r="MY37" s="9">
        <f>MX37*12</f>
        <v/>
      </c>
      <c r="MZ37" s="12">
        <f>MQ37*BlendedPriceEssMonthly*MC37+MR37*BlendedPricePremMonthly*MC37+MS37*BlendedPriceEliteMonthly*MC37</f>
        <v/>
      </c>
      <c r="NA37" s="12">
        <f>MN37*BlendedPriceEssAnnual*MC37+MO37*BlendedPricePremAnnual*MC37+MP37*BlendedPriceEliteAnnual*MC37</f>
        <v/>
      </c>
      <c r="NB37" s="12">
        <f>MN25*POWER(1-(AnnualChurn*VLOOKUP(LZ37,ChurnSeasonTable,4,FALSE)),1)*BlendedPriceEssAnnual*MC37+MN13*POWER(1-(AnnualChurn*VLOOKUP(LZ37,ChurnSeasonTable,4,FALSE)),2)*BlendedPriceEssAnnual*MC37+MO25*POWER(1-(AnnualChurn*VLOOKUP(LZ37,ChurnSeasonTable,4,FALSE)),1)*BlendedPricePremAnnual*MC37+MO13*POWER(1-(AnnualChurn*VLOOKUP(LZ37,ChurnSeasonTable,4,FALSE)),2)*BlendedPricePremAnnual*MC37+MP25*POWER(1-(AnnualChurn*VLOOKUP(LZ37,ChurnSeasonTable,4,FALSE)),1)*BlendedPriceEliteAnnual*MC37+MP13*POWER(1-(AnnualChurn*VLOOKUP(LZ37,ChurnSeasonTable,4,FALSE)),2)*BlendedPriceEliteAnnual*MC37</f>
        <v/>
      </c>
      <c r="NC37" s="9">
        <f>MZ37+NA37+NB37</f>
        <v/>
      </c>
      <c r="ND37" s="12">
        <f>SUM(NC26:NC37)</f>
        <v/>
      </c>
      <c r="NE37" s="12">
        <f>OR(NE36,IF(VATAgentMode,SUM($NC26:$NC37)-SUM($NJ26:$NJ37)&gt;=VATThreshold,SUM($NC26:$NC37)&gt;=VATThreshold))</f>
        <v/>
      </c>
      <c r="NF37" s="9">
        <f>IF(NE37,IF(VATAgentMode,NC37-((NC37-NJ37)-(NC37-NJ37)/(1+VATRate)),NC37/(1+VATRate)),NC37)</f>
        <v/>
      </c>
      <c r="NG37" s="12">
        <f>NC37-NF37</f>
        <v/>
      </c>
      <c r="NH37" s="12">
        <f>IF(NE37=0,0,IF(LZ37=1,SUMPRODUCT(--(($MA$5:$MA37=$MA37-1)*($LZ$5:$LZ37&gt;=10)*($LZ$5:$LZ37&lt;=12)),$NG$5:$NG37),IF(LZ37=4,SUMPRODUCT(--(($MA$5:$MA37=$MA37)*($LZ$5:$LZ37&gt;=1)*($LZ$5:$LZ37&lt;=3)),$NG$5:$NG37),IF(LZ37=7,SUMPRODUCT(--(($MA$5:$MA37=$MA37)*($LZ$5:$LZ37&gt;=4)*($LZ$5:$LZ37&lt;=6)),$NG$5:$NG37),IF(LZ37=10,SUMPRODUCT(--(($MA$5:$MA37=$MA37)*($LZ$5:$LZ37&gt;=7)*($LZ$5:$LZ37&lt;=9)),$NG$5:$NG37),0)))))</f>
        <v/>
      </c>
      <c r="NI37" s="12">
        <f>NI36+NG37-NH37</f>
        <v/>
      </c>
      <c r="NJ37" s="12">
        <f>IF(ProviderDelay&gt;=1,MQ36*BlendedProvPayEss+MR36*BlendedProvPayPrem+MS36*BlendedProvPayElite+MT36*BlendedProvPayEss+MU36*BlendedProvPayPrem+MV36*BlendedProvPayElite,MQ37*BlendedProvPayEss+MR37*BlendedProvPayPrem+MS37*BlendedProvPayElite+MT37*BlendedProvPayEss+MU37*BlendedProvPayPrem+MV37*BlendedProvPayElite)</f>
        <v/>
      </c>
      <c r="NK37" s="12">
        <f>NC37*PaymentFee</f>
        <v/>
      </c>
      <c r="NL37" s="12">
        <f>MW37*OpsAI</f>
        <v/>
      </c>
      <c r="NM37" s="12">
        <f>MonthlyFixed</f>
        <v/>
      </c>
      <c r="NN37" s="12">
        <f>MG37*ReferralReward</f>
        <v/>
      </c>
      <c r="NO37" s="12">
        <f>ME37</f>
        <v/>
      </c>
      <c r="NP37" s="9">
        <f>NF37-NJ37-NK37-NL37-NM37-NN37-NO37</f>
        <v/>
      </c>
      <c r="NQ37" s="9">
        <f>NQ36+NC37-(NJ37+NK37+NL37+NM37+NN37+NO37+NH37)</f>
        <v/>
      </c>
      <c r="NR37" s="12">
        <f>IF(MW37&gt;0,MX37/MW37,0)</f>
        <v/>
      </c>
      <c r="NS37" s="11">
        <f>IF(MW36&gt;0,MAX(0,(MW36+MH37-MW37)/MW36),0)</f>
        <v/>
      </c>
      <c r="NU37" s="12" t="n">
        <v>33</v>
      </c>
      <c r="NV37" s="12">
        <f>MOD(NU37-1+LaunchMonth-1,12)+1</f>
        <v/>
      </c>
      <c r="NW37" s="12">
        <f>INT((NU37-1+LaunchMonth-1)/12)+1</f>
        <v/>
      </c>
      <c r="NX37" s="12">
        <f>VLOOKUP(NV37,SeasonTable,2,FALSE)</f>
        <v/>
      </c>
      <c r="NY37" s="12">
        <f>(1+InflationRate)^INT((NU37-1)/12)</f>
        <v/>
      </c>
      <c r="NZ37" s="11">
        <f>'Sens - Churn'!$A$18*VLOOKUP(NV37,ChurnSeasonTable,4,FALSE)</f>
        <v/>
      </c>
      <c r="OA37" s="12">
        <f>MIN(MAX(MktMin19plus,OY36*MktPct19plus),MAX(0,PM36-CashBuffer))</f>
        <v/>
      </c>
      <c r="OB37" s="12">
        <f>IF(OA37&gt;0,MAX(1,ROUND(OA37/CAC*NX37,0)),0)</f>
        <v/>
      </c>
      <c r="OC37" s="12">
        <f>IF(OB37&gt;0,ROUND(OB37*ReferralMix/(1-ReferralMix),0),0)</f>
        <v/>
      </c>
      <c r="OD37" s="12">
        <f>OB37+OC37</f>
        <v/>
      </c>
      <c r="OE37" s="12">
        <f>ROUND(OD37*(1-AnnualMix),0)</f>
        <v/>
      </c>
      <c r="OF37" s="12">
        <f>OD37-OE37</f>
        <v/>
      </c>
      <c r="OG37" s="12">
        <f>ROUND(OE37*EssentialMix,0)</f>
        <v/>
      </c>
      <c r="OH37" s="12">
        <f>ROUND(OE37*PremiumMix,0)</f>
        <v/>
      </c>
      <c r="OI37" s="12">
        <f>OE37-OG37-OH37</f>
        <v/>
      </c>
      <c r="OJ37" s="12">
        <f>ROUND(OF37*EssentialMix,0)</f>
        <v/>
      </c>
      <c r="OK37" s="12">
        <f>ROUND(OF37*PremiumMix,0)</f>
        <v/>
      </c>
      <c r="OL37" s="12">
        <f>OF37-OJ37-OK37</f>
        <v/>
      </c>
      <c r="OM37" s="12">
        <f>OG37+OG36+OG35+MAX(0,OM36-OG36-OG35)*(1-NZ37)</f>
        <v/>
      </c>
      <c r="ON37" s="12">
        <f>OH37+OH36+OH35+MAX(0,ON36-OH36-OH35)*(1-NZ37)</f>
        <v/>
      </c>
      <c r="OO37" s="12">
        <f>OI37+OI36+OI35+MAX(0,OO36-OI36-OI35)*(1-NZ37)</f>
        <v/>
      </c>
      <c r="OP37" s="12">
        <f>OP36+OJ37-OJ25*(AnnualChurn*VLOOKUP(NV37,ChurnSeasonTable,4,FALSE))*POWER(1-(AnnualChurn*VLOOKUP(NV37,ChurnSeasonTable,4,FALSE)),0)+OJ13*(AnnualChurn*VLOOKUP(NV37,ChurnSeasonTable,4,FALSE))*POWER(1-(AnnualChurn*VLOOKUP(NV37,ChurnSeasonTable,4,FALSE)),1)</f>
        <v/>
      </c>
      <c r="OQ37" s="12">
        <f>OQ36+OK37-OK25*(AnnualChurn*VLOOKUP(NV37,ChurnSeasonTable,4,FALSE))*POWER(1-(AnnualChurn*VLOOKUP(NV37,ChurnSeasonTable,4,FALSE)),0)+OK13*(AnnualChurn*VLOOKUP(NV37,ChurnSeasonTable,4,FALSE))*POWER(1-(AnnualChurn*VLOOKUP(NV37,ChurnSeasonTable,4,FALSE)),1)</f>
        <v/>
      </c>
      <c r="OR37" s="12">
        <f>OR36+OL37-OL25*(AnnualChurn*VLOOKUP(NV37,ChurnSeasonTable,4,FALSE))*POWER(1-(AnnualChurn*VLOOKUP(NV37,ChurnSeasonTable,4,FALSE)),0)+OL13*(AnnualChurn*VLOOKUP(NV37,ChurnSeasonTable,4,FALSE))*POWER(1-(AnnualChurn*VLOOKUP(NV37,ChurnSeasonTable,4,FALSE)),1)</f>
        <v/>
      </c>
      <c r="OS37" s="12">
        <f>OM37+ON37+OO37+OP37+OQ37+OR37</f>
        <v/>
      </c>
      <c r="OT37" s="9">
        <f>OM37*BlendedPriceEssMonthly*NY37+ON37*BlendedPricePremMonthly*NY37+OO37*BlendedPriceEliteMonthly*NY37+OP37*BlendedPriceEssAnnual*NY37/12+OQ37*BlendedPricePremAnnual*NY37/12+OR37*BlendedPriceEliteAnnual*NY37/12</f>
        <v/>
      </c>
      <c r="OU37" s="9">
        <f>OT37*12</f>
        <v/>
      </c>
      <c r="OV37" s="12">
        <f>OM37*BlendedPriceEssMonthly*NY37+ON37*BlendedPricePremMonthly*NY37+OO37*BlendedPriceEliteMonthly*NY37</f>
        <v/>
      </c>
      <c r="OW37" s="12">
        <f>OJ37*BlendedPriceEssAnnual*NY37+OK37*BlendedPricePremAnnual*NY37+OL37*BlendedPriceEliteAnnual*NY37</f>
        <v/>
      </c>
      <c r="OX37" s="12">
        <f>OJ25*POWER(1-(AnnualChurn*VLOOKUP(NV37,ChurnSeasonTable,4,FALSE)),1)*BlendedPriceEssAnnual*NY37+OJ13*POWER(1-(AnnualChurn*VLOOKUP(NV37,ChurnSeasonTable,4,FALSE)),2)*BlendedPriceEssAnnual*NY37+OK25*POWER(1-(AnnualChurn*VLOOKUP(NV37,ChurnSeasonTable,4,FALSE)),1)*BlendedPricePremAnnual*NY37+OK13*POWER(1-(AnnualChurn*VLOOKUP(NV37,ChurnSeasonTable,4,FALSE)),2)*BlendedPricePremAnnual*NY37+OL25*POWER(1-(AnnualChurn*VLOOKUP(NV37,ChurnSeasonTable,4,FALSE)),1)*BlendedPriceEliteAnnual*NY37+OL13*POWER(1-(AnnualChurn*VLOOKUP(NV37,ChurnSeasonTable,4,FALSE)),2)*BlendedPriceEliteAnnual*NY37</f>
        <v/>
      </c>
      <c r="OY37" s="9">
        <f>OV37+OW37+OX37</f>
        <v/>
      </c>
      <c r="OZ37" s="12">
        <f>SUM(OY26:OY37)</f>
        <v/>
      </c>
      <c r="PA37" s="12">
        <f>OR(PA36,IF(VATAgentMode,SUM($OY26:$OY37)-SUM($PF26:$PF37)&gt;=VATThreshold,SUM($OY26:$OY37)&gt;=VATThreshold))</f>
        <v/>
      </c>
      <c r="PB37" s="9">
        <f>IF(PA37,IF(VATAgentMode,OY37-((OY37-PF37)-(OY37-PF37)/(1+VATRate)),OY37/(1+VATRate)),OY37)</f>
        <v/>
      </c>
      <c r="PC37" s="12">
        <f>OY37-PB37</f>
        <v/>
      </c>
      <c r="PD37" s="12">
        <f>IF(PA37=0,0,IF(NV37=1,SUMPRODUCT(--(($NW$5:$NW37=$NW37-1)*($NV$5:$NV37&gt;=10)*($NV$5:$NV37&lt;=12)),$PC$5:$PC37),IF(NV37=4,SUMPRODUCT(--(($NW$5:$NW37=$NW37)*($NV$5:$NV37&gt;=1)*($NV$5:$NV37&lt;=3)),$PC$5:$PC37),IF(NV37=7,SUMPRODUCT(--(($NW$5:$NW37=$NW37)*($NV$5:$NV37&gt;=4)*($NV$5:$NV37&lt;=6)),$PC$5:$PC37),IF(NV37=10,SUMPRODUCT(--(($NW$5:$NW37=$NW37)*($NV$5:$NV37&gt;=7)*($NV$5:$NV37&lt;=9)),$PC$5:$PC37),0)))))</f>
        <v/>
      </c>
      <c r="PE37" s="12">
        <f>PE36+PC37-PD37</f>
        <v/>
      </c>
      <c r="PF37" s="12">
        <f>IF(ProviderDelay&gt;=1,OM36*BlendedProvPayEss+ON36*BlendedProvPayPrem+OO36*BlendedProvPayElite+OP36*BlendedProvPayEss+OQ36*BlendedProvPayPrem+OR36*BlendedProvPayElite,OM37*BlendedProvPayEss+ON37*BlendedProvPayPrem+OO37*BlendedProvPayElite+OP37*BlendedProvPayEss+OQ37*BlendedProvPayPrem+OR37*BlendedProvPayElite)</f>
        <v/>
      </c>
      <c r="PG37" s="12">
        <f>OY37*PaymentFee</f>
        <v/>
      </c>
      <c r="PH37" s="12">
        <f>OS37*OpsAI</f>
        <v/>
      </c>
      <c r="PI37" s="12">
        <f>MonthlyFixed</f>
        <v/>
      </c>
      <c r="PJ37" s="12">
        <f>OC37*ReferralReward</f>
        <v/>
      </c>
      <c r="PK37" s="12">
        <f>OA37</f>
        <v/>
      </c>
      <c r="PL37" s="9">
        <f>PB37-PF37-PG37-PH37-PI37-PJ37-PK37</f>
        <v/>
      </c>
      <c r="PM37" s="9">
        <f>PM36+OY37-(PF37+PG37+PH37+PI37+PJ37+PK37+PD37)</f>
        <v/>
      </c>
      <c r="PN37" s="12">
        <f>IF(OS37&gt;0,OT37/OS37,0)</f>
        <v/>
      </c>
      <c r="PO37" s="11">
        <f>IF(OS36&gt;0,MAX(0,(OS36+OD37-OS37)/OS36),0)</f>
        <v/>
      </c>
      <c r="PQ37" s="12" t="n">
        <v>33</v>
      </c>
      <c r="PR37" s="12">
        <f>MOD(PQ37-1+LaunchMonth-1,12)+1</f>
        <v/>
      </c>
      <c r="PS37" s="12">
        <f>INT((PQ37-1+LaunchMonth-1)/12)+1</f>
        <v/>
      </c>
      <c r="PT37" s="12">
        <f>VLOOKUP(PR37,SeasonTable,2,FALSE)</f>
        <v/>
      </c>
      <c r="PU37" s="12">
        <f>(1+InflationRate)^INT((PQ37-1)/12)</f>
        <v/>
      </c>
      <c r="PV37" s="11">
        <f>'Sens - Churn'!$A$19*VLOOKUP(PR37,ChurnSeasonTable,4,FALSE)</f>
        <v/>
      </c>
      <c r="PW37" s="12">
        <f>MIN(MAX(MktMin19plus,QU36*MktPct19plus),MAX(0,RI36-CashBuffer))</f>
        <v/>
      </c>
      <c r="PX37" s="12">
        <f>IF(PW37&gt;0,MAX(1,ROUND(PW37/CAC*PT37,0)),0)</f>
        <v/>
      </c>
      <c r="PY37" s="12">
        <f>IF(PX37&gt;0,ROUND(PX37*ReferralMix/(1-ReferralMix),0),0)</f>
        <v/>
      </c>
      <c r="PZ37" s="12">
        <f>PX37+PY37</f>
        <v/>
      </c>
      <c r="QA37" s="12">
        <f>ROUND(PZ37*(1-AnnualMix),0)</f>
        <v/>
      </c>
      <c r="QB37" s="12">
        <f>PZ37-QA37</f>
        <v/>
      </c>
      <c r="QC37" s="12">
        <f>ROUND(QA37*EssentialMix,0)</f>
        <v/>
      </c>
      <c r="QD37" s="12">
        <f>ROUND(QA37*PremiumMix,0)</f>
        <v/>
      </c>
      <c r="QE37" s="12">
        <f>QA37-QC37-QD37</f>
        <v/>
      </c>
      <c r="QF37" s="12">
        <f>ROUND(QB37*EssentialMix,0)</f>
        <v/>
      </c>
      <c r="QG37" s="12">
        <f>ROUND(QB37*PremiumMix,0)</f>
        <v/>
      </c>
      <c r="QH37" s="12">
        <f>QB37-QF37-QG37</f>
        <v/>
      </c>
      <c r="QI37" s="12">
        <f>QC37+QC36+QC35+MAX(0,QI36-QC36-QC35)*(1-PV37)</f>
        <v/>
      </c>
      <c r="QJ37" s="12">
        <f>QD37+QD36+QD35+MAX(0,QJ36-QD36-QD35)*(1-PV37)</f>
        <v/>
      </c>
      <c r="QK37" s="12">
        <f>QE37+QE36+QE35+MAX(0,QK36-QE36-QE35)*(1-PV37)</f>
        <v/>
      </c>
      <c r="QL37" s="12">
        <f>QL36+QF37-QF25*(AnnualChurn*VLOOKUP(PR37,ChurnSeasonTable,4,FALSE))*POWER(1-(AnnualChurn*VLOOKUP(PR37,ChurnSeasonTable,4,FALSE)),0)+QF13*(AnnualChurn*VLOOKUP(PR37,ChurnSeasonTable,4,FALSE))*POWER(1-(AnnualChurn*VLOOKUP(PR37,ChurnSeasonTable,4,FALSE)),1)</f>
        <v/>
      </c>
      <c r="QM37" s="12">
        <f>QM36+QG37-QG25*(AnnualChurn*VLOOKUP(PR37,ChurnSeasonTable,4,FALSE))*POWER(1-(AnnualChurn*VLOOKUP(PR37,ChurnSeasonTable,4,FALSE)),0)+QG13*(AnnualChurn*VLOOKUP(PR37,ChurnSeasonTable,4,FALSE))*POWER(1-(AnnualChurn*VLOOKUP(PR37,ChurnSeasonTable,4,FALSE)),1)</f>
        <v/>
      </c>
      <c r="QN37" s="12">
        <f>QN36+QH37-QH25*(AnnualChurn*VLOOKUP(PR37,ChurnSeasonTable,4,FALSE))*POWER(1-(AnnualChurn*VLOOKUP(PR37,ChurnSeasonTable,4,FALSE)),0)+QH13*(AnnualChurn*VLOOKUP(PR37,ChurnSeasonTable,4,FALSE))*POWER(1-(AnnualChurn*VLOOKUP(PR37,ChurnSeasonTable,4,FALSE)),1)</f>
        <v/>
      </c>
      <c r="QO37" s="12">
        <f>QI37+QJ37+QK37+QL37+QM37+QN37</f>
        <v/>
      </c>
      <c r="QP37" s="9">
        <f>QI37*BlendedPriceEssMonthly*PU37+QJ37*BlendedPricePremMonthly*PU37+QK37*BlendedPriceEliteMonthly*PU37+QL37*BlendedPriceEssAnnual*PU37/12+QM37*BlendedPricePremAnnual*PU37/12+QN37*BlendedPriceEliteAnnual*PU37/12</f>
        <v/>
      </c>
      <c r="QQ37" s="9">
        <f>QP37*12</f>
        <v/>
      </c>
      <c r="QR37" s="12">
        <f>QI37*BlendedPriceEssMonthly*PU37+QJ37*BlendedPricePremMonthly*PU37+QK37*BlendedPriceEliteMonthly*PU37</f>
        <v/>
      </c>
      <c r="QS37" s="12">
        <f>QF37*BlendedPriceEssAnnual*PU37+QG37*BlendedPricePremAnnual*PU37+QH37*BlendedPriceEliteAnnual*PU37</f>
        <v/>
      </c>
      <c r="QT37" s="12">
        <f>QF25*POWER(1-(AnnualChurn*VLOOKUP(PR37,ChurnSeasonTable,4,FALSE)),1)*BlendedPriceEssAnnual*PU37+QF13*POWER(1-(AnnualChurn*VLOOKUP(PR37,ChurnSeasonTable,4,FALSE)),2)*BlendedPriceEssAnnual*PU37+QG25*POWER(1-(AnnualChurn*VLOOKUP(PR37,ChurnSeasonTable,4,FALSE)),1)*BlendedPricePremAnnual*PU37+QG13*POWER(1-(AnnualChurn*VLOOKUP(PR37,ChurnSeasonTable,4,FALSE)),2)*BlendedPricePremAnnual*PU37+QH25*POWER(1-(AnnualChurn*VLOOKUP(PR37,ChurnSeasonTable,4,FALSE)),1)*BlendedPriceEliteAnnual*PU37+QH13*POWER(1-(AnnualChurn*VLOOKUP(PR37,ChurnSeasonTable,4,FALSE)),2)*BlendedPriceEliteAnnual*PU37</f>
        <v/>
      </c>
      <c r="QU37" s="9">
        <f>QR37+QS37+QT37</f>
        <v/>
      </c>
      <c r="QV37" s="12">
        <f>SUM(QU26:QU37)</f>
        <v/>
      </c>
      <c r="QW37" s="12">
        <f>OR(QW36,IF(VATAgentMode,SUM($QU26:$QU37)-SUM($RB26:$RB37)&gt;=VATThreshold,SUM($QU26:$QU37)&gt;=VATThreshold))</f>
        <v/>
      </c>
      <c r="QX37" s="9">
        <f>IF(QW37,IF(VATAgentMode,QU37-((QU37-RB37)-(QU37-RB37)/(1+VATRate)),QU37/(1+VATRate)),QU37)</f>
        <v/>
      </c>
      <c r="QY37" s="12">
        <f>QU37-QX37</f>
        <v/>
      </c>
      <c r="QZ37" s="12">
        <f>IF(QW37=0,0,IF(PR37=1,SUMPRODUCT(--(($PS$5:$PS37=$PS37-1)*($PR$5:$PR37&gt;=10)*($PR$5:$PR37&lt;=12)),$QY$5:$QY37),IF(PR37=4,SUMPRODUCT(--(($PS$5:$PS37=$PS37)*($PR$5:$PR37&gt;=1)*($PR$5:$PR37&lt;=3)),$QY$5:$QY37),IF(PR37=7,SUMPRODUCT(--(($PS$5:$PS37=$PS37)*($PR$5:$PR37&gt;=4)*($PR$5:$PR37&lt;=6)),$QY$5:$QY37),IF(PR37=10,SUMPRODUCT(--(($PS$5:$PS37=$PS37)*($PR$5:$PR37&gt;=7)*($PR$5:$PR37&lt;=9)),$QY$5:$QY37),0)))))</f>
        <v/>
      </c>
      <c r="RA37" s="12">
        <f>RA36+QY37-QZ37</f>
        <v/>
      </c>
      <c r="RB37" s="12">
        <f>IF(ProviderDelay&gt;=1,QI36*BlendedProvPayEss+QJ36*BlendedProvPayPrem+QK36*BlendedProvPayElite+QL36*BlendedProvPayEss+QM36*BlendedProvPayPrem+QN36*BlendedProvPayElite,QI37*BlendedProvPayEss+QJ37*BlendedProvPayPrem+QK37*BlendedProvPayElite+QL37*BlendedProvPayEss+QM37*BlendedProvPayPrem+QN37*BlendedProvPayElite)</f>
        <v/>
      </c>
      <c r="RC37" s="12">
        <f>QU37*PaymentFee</f>
        <v/>
      </c>
      <c r="RD37" s="12">
        <f>QO37*OpsAI</f>
        <v/>
      </c>
      <c r="RE37" s="12">
        <f>MonthlyFixed</f>
        <v/>
      </c>
      <c r="RF37" s="12">
        <f>PY37*ReferralReward</f>
        <v/>
      </c>
      <c r="RG37" s="12">
        <f>PW37</f>
        <v/>
      </c>
      <c r="RH37" s="9">
        <f>QX37-RB37-RC37-RD37-RE37-RF37-RG37</f>
        <v/>
      </c>
      <c r="RI37" s="9">
        <f>RI36+QU37-(RB37+RC37+RD37+RE37+RF37+RG37+QZ37)</f>
        <v/>
      </c>
      <c r="RJ37" s="12">
        <f>IF(QO37&gt;0,QP37/QO37,0)</f>
        <v/>
      </c>
      <c r="RK37" s="11">
        <f>IF(QO36&gt;0,MAX(0,(QO36+PZ37-QO37)/QO36),0)</f>
        <v/>
      </c>
      <c r="RM37" s="12" t="n">
        <v>33</v>
      </c>
      <c r="RN37" s="12">
        <f>MOD(RM37-1+LaunchMonth-1,12)+1</f>
        <v/>
      </c>
      <c r="RO37" s="12">
        <f>INT((RM37-1+LaunchMonth-1)/12)+1</f>
        <v/>
      </c>
      <c r="RP37" s="12">
        <f>VLOOKUP(RN37,SeasonTable,2,FALSE)</f>
        <v/>
      </c>
      <c r="RQ37" s="12">
        <f>(1+InflationRate)^INT((RM37-1)/12)</f>
        <v/>
      </c>
      <c r="RR37" s="11">
        <f>'Sens - Churn'!$A$20*VLOOKUP(RN37,ChurnSeasonTable,4,FALSE)</f>
        <v/>
      </c>
      <c r="RS37" s="12">
        <f>MIN(MAX(MktMin19plus,SQ36*MktPct19plus),MAX(0,TE36-CashBuffer))</f>
        <v/>
      </c>
      <c r="RT37" s="12">
        <f>IF(RS37&gt;0,MAX(1,ROUND(RS37/CAC*RP37,0)),0)</f>
        <v/>
      </c>
      <c r="RU37" s="12">
        <f>IF(RT37&gt;0,ROUND(RT37*ReferralMix/(1-ReferralMix),0),0)</f>
        <v/>
      </c>
      <c r="RV37" s="12">
        <f>RT37+RU37</f>
        <v/>
      </c>
      <c r="RW37" s="12">
        <f>ROUND(RV37*(1-AnnualMix),0)</f>
        <v/>
      </c>
      <c r="RX37" s="12">
        <f>RV37-RW37</f>
        <v/>
      </c>
      <c r="RY37" s="12">
        <f>ROUND(RW37*EssentialMix,0)</f>
        <v/>
      </c>
      <c r="RZ37" s="12">
        <f>ROUND(RW37*PremiumMix,0)</f>
        <v/>
      </c>
      <c r="SA37" s="12">
        <f>RW37-RY37-RZ37</f>
        <v/>
      </c>
      <c r="SB37" s="12">
        <f>ROUND(RX37*EssentialMix,0)</f>
        <v/>
      </c>
      <c r="SC37" s="12">
        <f>ROUND(RX37*PremiumMix,0)</f>
        <v/>
      </c>
      <c r="SD37" s="12">
        <f>RX37-SB37-SC37</f>
        <v/>
      </c>
      <c r="SE37" s="12">
        <f>RY37+RY36+RY35+MAX(0,SE36-RY36-RY35)*(1-RR37)</f>
        <v/>
      </c>
      <c r="SF37" s="12">
        <f>RZ37+RZ36+RZ35+MAX(0,SF36-RZ36-RZ35)*(1-RR37)</f>
        <v/>
      </c>
      <c r="SG37" s="12">
        <f>SA37+SA36+SA35+MAX(0,SG36-SA36-SA35)*(1-RR37)</f>
        <v/>
      </c>
      <c r="SH37" s="12">
        <f>SH36+SB37-SB25*(AnnualChurn*VLOOKUP(RN37,ChurnSeasonTable,4,FALSE))*POWER(1-(AnnualChurn*VLOOKUP(RN37,ChurnSeasonTable,4,FALSE)),0)+SB13*(AnnualChurn*VLOOKUP(RN37,ChurnSeasonTable,4,FALSE))*POWER(1-(AnnualChurn*VLOOKUP(RN37,ChurnSeasonTable,4,FALSE)),1)</f>
        <v/>
      </c>
      <c r="SI37" s="12">
        <f>SI36+SC37-SC25*(AnnualChurn*VLOOKUP(RN37,ChurnSeasonTable,4,FALSE))*POWER(1-(AnnualChurn*VLOOKUP(RN37,ChurnSeasonTable,4,FALSE)),0)+SC13*(AnnualChurn*VLOOKUP(RN37,ChurnSeasonTable,4,FALSE))*POWER(1-(AnnualChurn*VLOOKUP(RN37,ChurnSeasonTable,4,FALSE)),1)</f>
        <v/>
      </c>
      <c r="SJ37" s="12">
        <f>SJ36+SD37-SD25*(AnnualChurn*VLOOKUP(RN37,ChurnSeasonTable,4,FALSE))*POWER(1-(AnnualChurn*VLOOKUP(RN37,ChurnSeasonTable,4,FALSE)),0)+SD13*(AnnualChurn*VLOOKUP(RN37,ChurnSeasonTable,4,FALSE))*POWER(1-(AnnualChurn*VLOOKUP(RN37,ChurnSeasonTable,4,FALSE)),1)</f>
        <v/>
      </c>
      <c r="SK37" s="12">
        <f>SE37+SF37+SG37+SH37+SI37+SJ37</f>
        <v/>
      </c>
      <c r="SL37" s="9">
        <f>SE37*BlendedPriceEssMonthly*RQ37+SF37*BlendedPricePremMonthly*RQ37+SG37*BlendedPriceEliteMonthly*RQ37+SH37*BlendedPriceEssAnnual*RQ37/12+SI37*BlendedPricePremAnnual*RQ37/12+SJ37*BlendedPriceEliteAnnual*RQ37/12</f>
        <v/>
      </c>
      <c r="SM37" s="9">
        <f>SL37*12</f>
        <v/>
      </c>
      <c r="SN37" s="12">
        <f>SE37*BlendedPriceEssMonthly*RQ37+SF37*BlendedPricePremMonthly*RQ37+SG37*BlendedPriceEliteMonthly*RQ37</f>
        <v/>
      </c>
      <c r="SO37" s="12">
        <f>SB37*BlendedPriceEssAnnual*RQ37+SC37*BlendedPricePremAnnual*RQ37+SD37*BlendedPriceEliteAnnual*RQ37</f>
        <v/>
      </c>
      <c r="SP37" s="12">
        <f>SB25*POWER(1-(AnnualChurn*VLOOKUP(RN37,ChurnSeasonTable,4,FALSE)),1)*BlendedPriceEssAnnual*RQ37+SB13*POWER(1-(AnnualChurn*VLOOKUP(RN37,ChurnSeasonTable,4,FALSE)),2)*BlendedPriceEssAnnual*RQ37+SC25*POWER(1-(AnnualChurn*VLOOKUP(RN37,ChurnSeasonTable,4,FALSE)),1)*BlendedPricePremAnnual*RQ37+SC13*POWER(1-(AnnualChurn*VLOOKUP(RN37,ChurnSeasonTable,4,FALSE)),2)*BlendedPricePremAnnual*RQ37+SD25*POWER(1-(AnnualChurn*VLOOKUP(RN37,ChurnSeasonTable,4,FALSE)),1)*BlendedPriceEliteAnnual*RQ37+SD13*POWER(1-(AnnualChurn*VLOOKUP(RN37,ChurnSeasonTable,4,FALSE)),2)*BlendedPriceEliteAnnual*RQ37</f>
        <v/>
      </c>
      <c r="SQ37" s="9">
        <f>SN37+SO37+SP37</f>
        <v/>
      </c>
      <c r="SR37" s="12">
        <f>SUM(SQ26:SQ37)</f>
        <v/>
      </c>
      <c r="SS37" s="12">
        <f>OR(SS36,IF(VATAgentMode,SUM($SQ26:$SQ37)-SUM($SX26:$SX37)&gt;=VATThreshold,SUM($SQ26:$SQ37)&gt;=VATThreshold))</f>
        <v/>
      </c>
      <c r="ST37" s="9">
        <f>IF(SS37,IF(VATAgentMode,SQ37-((SQ37-SX37)-(SQ37-SX37)/(1+VATRate)),SQ37/(1+VATRate)),SQ37)</f>
        <v/>
      </c>
      <c r="SU37" s="12">
        <f>SQ37-ST37</f>
        <v/>
      </c>
      <c r="SV37" s="12">
        <f>IF(SS37=0,0,IF(RN37=1,SUMPRODUCT(--(($RO$5:$RO37=$RO37-1)*($RN$5:$RN37&gt;=10)*($RN$5:$RN37&lt;=12)),$SU$5:$SU37),IF(RN37=4,SUMPRODUCT(--(($RO$5:$RO37=$RO37)*($RN$5:$RN37&gt;=1)*($RN$5:$RN37&lt;=3)),$SU$5:$SU37),IF(RN37=7,SUMPRODUCT(--(($RO$5:$RO37=$RO37)*($RN$5:$RN37&gt;=4)*($RN$5:$RN37&lt;=6)),$SU$5:$SU37),IF(RN37=10,SUMPRODUCT(--(($RO$5:$RO37=$RO37)*($RN$5:$RN37&gt;=7)*($RN$5:$RN37&lt;=9)),$SU$5:$SU37),0)))))</f>
        <v/>
      </c>
      <c r="SW37" s="12">
        <f>SW36+SU37-SV37</f>
        <v/>
      </c>
      <c r="SX37" s="12">
        <f>IF(ProviderDelay&gt;=1,SE36*BlendedProvPayEss+SF36*BlendedProvPayPrem+SG36*BlendedProvPayElite+SH36*BlendedProvPayEss+SI36*BlendedProvPayPrem+SJ36*BlendedProvPayElite,SE37*BlendedProvPayEss+SF37*BlendedProvPayPrem+SG37*BlendedProvPayElite+SH37*BlendedProvPayEss+SI37*BlendedProvPayPrem+SJ37*BlendedProvPayElite)</f>
        <v/>
      </c>
      <c r="SY37" s="12">
        <f>SQ37*PaymentFee</f>
        <v/>
      </c>
      <c r="SZ37" s="12">
        <f>SK37*OpsAI</f>
        <v/>
      </c>
      <c r="TA37" s="12">
        <f>MonthlyFixed</f>
        <v/>
      </c>
      <c r="TB37" s="12">
        <f>RU37*ReferralReward</f>
        <v/>
      </c>
      <c r="TC37" s="12">
        <f>RS37</f>
        <v/>
      </c>
      <c r="TD37" s="9">
        <f>ST37-SX37-SY37-SZ37-TA37-TB37-TC37</f>
        <v/>
      </c>
      <c r="TE37" s="9">
        <f>TE36+SQ37-(SX37+SY37+SZ37+TA37+TB37+TC37+SV37)</f>
        <v/>
      </c>
      <c r="TF37" s="12">
        <f>IF(SK37&gt;0,SL37/SK37,0)</f>
        <v/>
      </c>
      <c r="TG37" s="11">
        <f>IF(SK36&gt;0,MAX(0,(SK36+RV37-SK37)/SK36),0)</f>
        <v/>
      </c>
      <c r="TI37" s="12" t="n">
        <v>33</v>
      </c>
      <c r="TJ37" s="12">
        <f>MOD(TI37-1+LaunchMonth-1,12)+1</f>
        <v/>
      </c>
      <c r="TK37" s="12">
        <f>INT((TI37-1+LaunchMonth-1)/12)+1</f>
        <v/>
      </c>
      <c r="TL37" s="12">
        <f>VLOOKUP(TJ37,SeasonTable,2,FALSE)</f>
        <v/>
      </c>
      <c r="TM37" s="12">
        <f>(1+InflationRate)^INT((TI37-1)/12)</f>
        <v/>
      </c>
      <c r="TN37" s="11">
        <f>'Sens - Churn'!$A$21*VLOOKUP(TJ37,ChurnSeasonTable,4,FALSE)</f>
        <v/>
      </c>
      <c r="TO37" s="12">
        <f>MIN(MAX(MktMin19plus,UM36*MktPct19plus),MAX(0,VA36-CashBuffer))</f>
        <v/>
      </c>
      <c r="TP37" s="12">
        <f>IF(TO37&gt;0,MAX(1,ROUND(TO37/CAC*TL37,0)),0)</f>
        <v/>
      </c>
      <c r="TQ37" s="12">
        <f>IF(TP37&gt;0,ROUND(TP37*ReferralMix/(1-ReferralMix),0),0)</f>
        <v/>
      </c>
      <c r="TR37" s="12">
        <f>TP37+TQ37</f>
        <v/>
      </c>
      <c r="TS37" s="12">
        <f>ROUND(TR37*(1-AnnualMix),0)</f>
        <v/>
      </c>
      <c r="TT37" s="12">
        <f>TR37-TS37</f>
        <v/>
      </c>
      <c r="TU37" s="12">
        <f>ROUND(TS37*EssentialMix,0)</f>
        <v/>
      </c>
      <c r="TV37" s="12">
        <f>ROUND(TS37*PremiumMix,0)</f>
        <v/>
      </c>
      <c r="TW37" s="12">
        <f>TS37-TU37-TV37</f>
        <v/>
      </c>
      <c r="TX37" s="12">
        <f>ROUND(TT37*EssentialMix,0)</f>
        <v/>
      </c>
      <c r="TY37" s="12">
        <f>ROUND(TT37*PremiumMix,0)</f>
        <v/>
      </c>
      <c r="TZ37" s="12">
        <f>TT37-TX37-TY37</f>
        <v/>
      </c>
      <c r="UA37" s="12">
        <f>TU37+TU36+TU35+MAX(0,UA36-TU36-TU35)*(1-TN37)</f>
        <v/>
      </c>
      <c r="UB37" s="12">
        <f>TV37+TV36+TV35+MAX(0,UB36-TV36-TV35)*(1-TN37)</f>
        <v/>
      </c>
      <c r="UC37" s="12">
        <f>TW37+TW36+TW35+MAX(0,UC36-TW36-TW35)*(1-TN37)</f>
        <v/>
      </c>
      <c r="UD37" s="12">
        <f>UD36+TX37-TX25*(AnnualChurn*VLOOKUP(TJ37,ChurnSeasonTable,4,FALSE))*POWER(1-(AnnualChurn*VLOOKUP(TJ37,ChurnSeasonTable,4,FALSE)),0)+TX13*(AnnualChurn*VLOOKUP(TJ37,ChurnSeasonTable,4,FALSE))*POWER(1-(AnnualChurn*VLOOKUP(TJ37,ChurnSeasonTable,4,FALSE)),1)</f>
        <v/>
      </c>
      <c r="UE37" s="12">
        <f>UE36+TY37-TY25*(AnnualChurn*VLOOKUP(TJ37,ChurnSeasonTable,4,FALSE))*POWER(1-(AnnualChurn*VLOOKUP(TJ37,ChurnSeasonTable,4,FALSE)),0)+TY13*(AnnualChurn*VLOOKUP(TJ37,ChurnSeasonTable,4,FALSE))*POWER(1-(AnnualChurn*VLOOKUP(TJ37,ChurnSeasonTable,4,FALSE)),1)</f>
        <v/>
      </c>
      <c r="UF37" s="12">
        <f>UF36+TZ37-TZ25*(AnnualChurn*VLOOKUP(TJ37,ChurnSeasonTable,4,FALSE))*POWER(1-(AnnualChurn*VLOOKUP(TJ37,ChurnSeasonTable,4,FALSE)),0)+TZ13*(AnnualChurn*VLOOKUP(TJ37,ChurnSeasonTable,4,FALSE))*POWER(1-(AnnualChurn*VLOOKUP(TJ37,ChurnSeasonTable,4,FALSE)),1)</f>
        <v/>
      </c>
      <c r="UG37" s="12">
        <f>UA37+UB37+UC37+UD37+UE37+UF37</f>
        <v/>
      </c>
      <c r="UH37" s="9">
        <f>UA37*BlendedPriceEssMonthly*TM37+UB37*BlendedPricePremMonthly*TM37+UC37*BlendedPriceEliteMonthly*TM37+UD37*BlendedPriceEssAnnual*TM37/12+UE37*BlendedPricePremAnnual*TM37/12+UF37*BlendedPriceEliteAnnual*TM37/12</f>
        <v/>
      </c>
      <c r="UI37" s="9">
        <f>UH37*12</f>
        <v/>
      </c>
      <c r="UJ37" s="12">
        <f>UA37*BlendedPriceEssMonthly*TM37+UB37*BlendedPricePremMonthly*TM37+UC37*BlendedPriceEliteMonthly*TM37</f>
        <v/>
      </c>
      <c r="UK37" s="12">
        <f>TX37*BlendedPriceEssAnnual*TM37+TY37*BlendedPricePremAnnual*TM37+TZ37*BlendedPriceEliteAnnual*TM37</f>
        <v/>
      </c>
      <c r="UL37" s="12">
        <f>TX25*POWER(1-(AnnualChurn*VLOOKUP(TJ37,ChurnSeasonTable,4,FALSE)),1)*BlendedPriceEssAnnual*TM37+TX13*POWER(1-(AnnualChurn*VLOOKUP(TJ37,ChurnSeasonTable,4,FALSE)),2)*BlendedPriceEssAnnual*TM37+TY25*POWER(1-(AnnualChurn*VLOOKUP(TJ37,ChurnSeasonTable,4,FALSE)),1)*BlendedPricePremAnnual*TM37+TY13*POWER(1-(AnnualChurn*VLOOKUP(TJ37,ChurnSeasonTable,4,FALSE)),2)*BlendedPricePremAnnual*TM37+TZ25*POWER(1-(AnnualChurn*VLOOKUP(TJ37,ChurnSeasonTable,4,FALSE)),1)*BlendedPriceEliteAnnual*TM37+TZ13*POWER(1-(AnnualChurn*VLOOKUP(TJ37,ChurnSeasonTable,4,FALSE)),2)*BlendedPriceEliteAnnual*TM37</f>
        <v/>
      </c>
      <c r="UM37" s="9">
        <f>UJ37+UK37+UL37</f>
        <v/>
      </c>
      <c r="UN37" s="12">
        <f>SUM(UM26:UM37)</f>
        <v/>
      </c>
      <c r="UO37" s="12">
        <f>OR(UO36,IF(VATAgentMode,SUM($UM26:$UM37)-SUM($UT26:$UT37)&gt;=VATThreshold,SUM($UM26:$UM37)&gt;=VATThreshold))</f>
        <v/>
      </c>
      <c r="UP37" s="9">
        <f>IF(UO37,IF(VATAgentMode,UM37-((UM37-UT37)-(UM37-UT37)/(1+VATRate)),UM37/(1+VATRate)),UM37)</f>
        <v/>
      </c>
      <c r="UQ37" s="12">
        <f>UM37-UP37</f>
        <v/>
      </c>
      <c r="UR37" s="12">
        <f>IF(UO37=0,0,IF(TJ37=1,SUMPRODUCT(--(($TK$5:$TK37=$TK37-1)*($TJ$5:$TJ37&gt;=10)*($TJ$5:$TJ37&lt;=12)),$UQ$5:$UQ37),IF(TJ37=4,SUMPRODUCT(--(($TK$5:$TK37=$TK37)*($TJ$5:$TJ37&gt;=1)*($TJ$5:$TJ37&lt;=3)),$UQ$5:$UQ37),IF(TJ37=7,SUMPRODUCT(--(($TK$5:$TK37=$TK37)*($TJ$5:$TJ37&gt;=4)*($TJ$5:$TJ37&lt;=6)),$UQ$5:$UQ37),IF(TJ37=10,SUMPRODUCT(--(($TK$5:$TK37=$TK37)*($TJ$5:$TJ37&gt;=7)*($TJ$5:$TJ37&lt;=9)),$UQ$5:$UQ37),0)))))</f>
        <v/>
      </c>
      <c r="US37" s="12">
        <f>US36+UQ37-UR37</f>
        <v/>
      </c>
      <c r="UT37" s="12">
        <f>IF(ProviderDelay&gt;=1,UA36*BlendedProvPayEss+UB36*BlendedProvPayPrem+UC36*BlendedProvPayElite+UD36*BlendedProvPayEss+UE36*BlendedProvPayPrem+UF36*BlendedProvPayElite,UA37*BlendedProvPayEss+UB37*BlendedProvPayPrem+UC37*BlendedProvPayElite+UD37*BlendedProvPayEss+UE37*BlendedProvPayPrem+UF37*BlendedProvPayElite)</f>
        <v/>
      </c>
      <c r="UU37" s="12">
        <f>UM37*PaymentFee</f>
        <v/>
      </c>
      <c r="UV37" s="12">
        <f>UG37*OpsAI</f>
        <v/>
      </c>
      <c r="UW37" s="12">
        <f>MonthlyFixed</f>
        <v/>
      </c>
      <c r="UX37" s="12">
        <f>TQ37*ReferralReward</f>
        <v/>
      </c>
      <c r="UY37" s="12">
        <f>TO37</f>
        <v/>
      </c>
      <c r="UZ37" s="9">
        <f>UP37-UT37-UU37-UV37-UW37-UX37-UY37</f>
        <v/>
      </c>
      <c r="VA37" s="9">
        <f>VA36+UM37-(UT37+UU37+UV37+UW37+UX37+UY37+UR37)</f>
        <v/>
      </c>
      <c r="VB37" s="12">
        <f>IF(UG37&gt;0,UH37/UG37,0)</f>
        <v/>
      </c>
      <c r="VC37" s="11">
        <f>IF(UG36&gt;0,MAX(0,(UG36+TR37-UG37)/UG36),0)</f>
        <v/>
      </c>
      <c r="VE37" s="12" t="n">
        <v>33</v>
      </c>
      <c r="VF37" s="12">
        <f>MOD(VE37-1+LaunchMonth-1,12)+1</f>
        <v/>
      </c>
      <c r="VG37" s="12">
        <f>INT((VE37-1+LaunchMonth-1)/12)+1</f>
        <v/>
      </c>
      <c r="VH37" s="12">
        <f>VLOOKUP(VF37,SeasonTable,2,FALSE)</f>
        <v/>
      </c>
      <c r="VI37" s="12">
        <f>(1+InflationRate)^INT((VE37-1)/12)</f>
        <v/>
      </c>
      <c r="VJ37" s="11">
        <f>MonthlyChurn*VLOOKUP(VF37,ChurnSeasonTable,4,FALSE)</f>
        <v/>
      </c>
      <c r="VK37" s="12">
        <f>MIN(MAX(MktMin19plus,WI36*MktPct19plus),MAX(0,WW36-CashBuffer))</f>
        <v/>
      </c>
      <c r="VL37" s="12">
        <f>IF(VK37&gt;0,MAX(1,ROUND(VK37/CAC*VH37,0)),0)</f>
        <v/>
      </c>
      <c r="VM37" s="12">
        <f>IF(VL37&gt;0,ROUND(VL37*ReferralMix/(1-ReferralMix),0),0)</f>
        <v/>
      </c>
      <c r="VN37" s="12">
        <f>VL37+VM37</f>
        <v/>
      </c>
      <c r="VO37" s="12">
        <f>ROUND(VN37*(1-'Sens - Annual Mix'!$A$9),0)</f>
        <v/>
      </c>
      <c r="VP37" s="12">
        <f>VN37-VO37</f>
        <v/>
      </c>
      <c r="VQ37" s="12">
        <f>ROUND(VO37*EssentialMix,0)</f>
        <v/>
      </c>
      <c r="VR37" s="12">
        <f>ROUND(VO37*PremiumMix,0)</f>
        <v/>
      </c>
      <c r="VS37" s="12">
        <f>VO37-VQ37-VR37</f>
        <v/>
      </c>
      <c r="VT37" s="12">
        <f>ROUND(VP37*EssentialMix,0)</f>
        <v/>
      </c>
      <c r="VU37" s="12">
        <f>ROUND(VP37*PremiumMix,0)</f>
        <v/>
      </c>
      <c r="VV37" s="12">
        <f>VP37-VT37-VU37</f>
        <v/>
      </c>
      <c r="VW37" s="12">
        <f>VQ37+VQ36+VQ35+MAX(0,VW36-VQ36-VQ35)*(1-VJ37)</f>
        <v/>
      </c>
      <c r="VX37" s="12">
        <f>VR37+VR36+VR35+MAX(0,VX36-VR36-VR35)*(1-VJ37)</f>
        <v/>
      </c>
      <c r="VY37" s="12">
        <f>VS37+VS36+VS35+MAX(0,VY36-VS36-VS35)*(1-VJ37)</f>
        <v/>
      </c>
      <c r="VZ37" s="12">
        <f>VZ36+VT37-VT25*(AnnualChurn*VLOOKUP(VF37,ChurnSeasonTable,4,FALSE))*POWER(1-(AnnualChurn*VLOOKUP(VF37,ChurnSeasonTable,4,FALSE)),0)+VT13*(AnnualChurn*VLOOKUP(VF37,ChurnSeasonTable,4,FALSE))*POWER(1-(AnnualChurn*VLOOKUP(VF37,ChurnSeasonTable,4,FALSE)),1)</f>
        <v/>
      </c>
      <c r="WA37" s="12">
        <f>WA36+VU37-VU25*(AnnualChurn*VLOOKUP(VF37,ChurnSeasonTable,4,FALSE))*POWER(1-(AnnualChurn*VLOOKUP(VF37,ChurnSeasonTable,4,FALSE)),0)+VU13*(AnnualChurn*VLOOKUP(VF37,ChurnSeasonTable,4,FALSE))*POWER(1-(AnnualChurn*VLOOKUP(VF37,ChurnSeasonTable,4,FALSE)),1)</f>
        <v/>
      </c>
      <c r="WB37" s="12">
        <f>WB36+VV37-VV25*(AnnualChurn*VLOOKUP(VF37,ChurnSeasonTable,4,FALSE))*POWER(1-(AnnualChurn*VLOOKUP(VF37,ChurnSeasonTable,4,FALSE)),0)+VV13*(AnnualChurn*VLOOKUP(VF37,ChurnSeasonTable,4,FALSE))*POWER(1-(AnnualChurn*VLOOKUP(VF37,ChurnSeasonTable,4,FALSE)),1)</f>
        <v/>
      </c>
      <c r="WC37" s="12">
        <f>VW37+VX37+VY37+VZ37+WA37+WB37</f>
        <v/>
      </c>
      <c r="WD37" s="9">
        <f>VW37*BlendedPriceEssMonthly*VI37+VX37*BlendedPricePremMonthly*VI37+VY37*BlendedPriceEliteMonthly*VI37+VZ37*BlendedPriceEssAnnual*VI37/12+WA37*BlendedPricePremAnnual*VI37/12+WB37*BlendedPriceEliteAnnual*VI37/12</f>
        <v/>
      </c>
      <c r="WE37" s="9">
        <f>WD37*12</f>
        <v/>
      </c>
      <c r="WF37" s="12">
        <f>VW37*BlendedPriceEssMonthly*VI37+VX37*BlendedPricePremMonthly*VI37+VY37*BlendedPriceEliteMonthly*VI37</f>
        <v/>
      </c>
      <c r="WG37" s="12">
        <f>VT37*BlendedPriceEssAnnual*VI37+VU37*BlendedPricePremAnnual*VI37+VV37*BlendedPriceEliteAnnual*VI37</f>
        <v/>
      </c>
      <c r="WH37" s="12">
        <f>VT25*POWER(1-(AnnualChurn*VLOOKUP(VF37,ChurnSeasonTable,4,FALSE)),1)*BlendedPriceEssAnnual*VI37+VT13*POWER(1-(AnnualChurn*VLOOKUP(VF37,ChurnSeasonTable,4,FALSE)),2)*BlendedPriceEssAnnual*VI37+VU25*POWER(1-(AnnualChurn*VLOOKUP(VF37,ChurnSeasonTable,4,FALSE)),1)*BlendedPricePremAnnual*VI37+VU13*POWER(1-(AnnualChurn*VLOOKUP(VF37,ChurnSeasonTable,4,FALSE)),2)*BlendedPricePremAnnual*VI37+VV25*POWER(1-(AnnualChurn*VLOOKUP(VF37,ChurnSeasonTable,4,FALSE)),1)*BlendedPriceEliteAnnual*VI37+VV13*POWER(1-(AnnualChurn*VLOOKUP(VF37,ChurnSeasonTable,4,FALSE)),2)*BlendedPriceEliteAnnual*VI37</f>
        <v/>
      </c>
      <c r="WI37" s="9">
        <f>WF37+WG37+WH37</f>
        <v/>
      </c>
      <c r="WJ37" s="12">
        <f>SUM(WI26:WI37)</f>
        <v/>
      </c>
      <c r="WK37" s="12">
        <f>OR(WK36,IF(VATAgentMode,SUM($WI26:$WI37)-SUM($WP26:$WP37)&gt;=VATThreshold,SUM($WI26:$WI37)&gt;=VATThreshold))</f>
        <v/>
      </c>
      <c r="WL37" s="9">
        <f>IF(WK37,IF(VATAgentMode,WI37-((WI37-WP37)-(WI37-WP37)/(1+VATRate)),WI37/(1+VATRate)),WI37)</f>
        <v/>
      </c>
      <c r="WM37" s="12">
        <f>WI37-WL37</f>
        <v/>
      </c>
      <c r="WN37" s="12">
        <f>IF(WK37=0,0,IF(VF37=1,SUMPRODUCT(--(($VG$5:$VG37=$VG37-1)*($VF$5:$VF37&gt;=10)*($VF$5:$VF37&lt;=12)),$WM$5:$WM37),IF(VF37=4,SUMPRODUCT(--(($VG$5:$VG37=$VG37)*($VF$5:$VF37&gt;=1)*($VF$5:$VF37&lt;=3)),$WM$5:$WM37),IF(VF37=7,SUMPRODUCT(--(($VG$5:$VG37=$VG37)*($VF$5:$VF37&gt;=4)*($VF$5:$VF37&lt;=6)),$WM$5:$WM37),IF(VF37=10,SUMPRODUCT(--(($VG$5:$VG37=$VG37)*($VF$5:$VF37&gt;=7)*($VF$5:$VF37&lt;=9)),$WM$5:$WM37),0)))))</f>
        <v/>
      </c>
      <c r="WO37" s="12">
        <f>WO36+WM37-WN37</f>
        <v/>
      </c>
      <c r="WP37" s="12">
        <f>IF(ProviderDelay&gt;=1,VW36*BlendedProvPayEss+VX36*BlendedProvPayPrem+VY36*BlendedProvPayElite+VZ36*BlendedProvPayEss+WA36*BlendedProvPayPrem+WB36*BlendedProvPayElite,VW37*BlendedProvPayEss+VX37*BlendedProvPayPrem+VY37*BlendedProvPayElite+VZ37*BlendedProvPayEss+WA37*BlendedProvPayPrem+WB37*BlendedProvPayElite)</f>
        <v/>
      </c>
      <c r="WQ37" s="12">
        <f>WI37*PaymentFee</f>
        <v/>
      </c>
      <c r="WR37" s="12">
        <f>WC37*OpsAI</f>
        <v/>
      </c>
      <c r="WS37" s="12">
        <f>MonthlyFixed</f>
        <v/>
      </c>
      <c r="WT37" s="12">
        <f>VM37*ReferralReward</f>
        <v/>
      </c>
      <c r="WU37" s="12">
        <f>VK37</f>
        <v/>
      </c>
      <c r="WV37" s="9">
        <f>WL37-WP37-WQ37-WR37-WS37-WT37-WU37</f>
        <v/>
      </c>
      <c r="WW37" s="9">
        <f>WW36+WI37-(WP37+WQ37+WR37+WS37+WT37+WU37+WN37)</f>
        <v/>
      </c>
      <c r="WX37" s="12">
        <f>IF(WC37&gt;0,WD37/WC37,0)</f>
        <v/>
      </c>
      <c r="WY37" s="11">
        <f>IF(WC36&gt;0,MAX(0,(WC36+VN37-WC37)/WC36),0)</f>
        <v/>
      </c>
      <c r="XA37" s="12" t="n">
        <v>33</v>
      </c>
      <c r="XB37" s="12">
        <f>MOD(XA37-1+LaunchMonth-1,12)+1</f>
        <v/>
      </c>
      <c r="XC37" s="12">
        <f>INT((XA37-1+LaunchMonth-1)/12)+1</f>
        <v/>
      </c>
      <c r="XD37" s="12">
        <f>VLOOKUP(XB37,SeasonTable,2,FALSE)</f>
        <v/>
      </c>
      <c r="XE37" s="12">
        <f>(1+InflationRate)^INT((XA37-1)/12)</f>
        <v/>
      </c>
      <c r="XF37" s="11">
        <f>MonthlyChurn*VLOOKUP(XB37,ChurnSeasonTable,4,FALSE)</f>
        <v/>
      </c>
      <c r="XG37" s="12">
        <f>MIN(MAX(MktMin19plus,YE36*MktPct19plus),MAX(0,YS36-CashBuffer))</f>
        <v/>
      </c>
      <c r="XH37" s="12">
        <f>IF(XG37&gt;0,MAX(1,ROUND(XG37/CAC*XD37,0)),0)</f>
        <v/>
      </c>
      <c r="XI37" s="12">
        <f>IF(XH37&gt;0,ROUND(XH37*ReferralMix/(1-ReferralMix),0),0)</f>
        <v/>
      </c>
      <c r="XJ37" s="12">
        <f>XH37+XI37</f>
        <v/>
      </c>
      <c r="XK37" s="12">
        <f>ROUND(XJ37*(1-'Sens - Annual Mix'!$A$10),0)</f>
        <v/>
      </c>
      <c r="XL37" s="12">
        <f>XJ37-XK37</f>
        <v/>
      </c>
      <c r="XM37" s="12">
        <f>ROUND(XK37*EssentialMix,0)</f>
        <v/>
      </c>
      <c r="XN37" s="12">
        <f>ROUND(XK37*PremiumMix,0)</f>
        <v/>
      </c>
      <c r="XO37" s="12">
        <f>XK37-XM37-XN37</f>
        <v/>
      </c>
      <c r="XP37" s="12">
        <f>ROUND(XL37*EssentialMix,0)</f>
        <v/>
      </c>
      <c r="XQ37" s="12">
        <f>ROUND(XL37*PremiumMix,0)</f>
        <v/>
      </c>
      <c r="XR37" s="12">
        <f>XL37-XP37-XQ37</f>
        <v/>
      </c>
      <c r="XS37" s="12">
        <f>XM37+XM36+XM35+MAX(0,XS36-XM36-XM35)*(1-XF37)</f>
        <v/>
      </c>
      <c r="XT37" s="12">
        <f>XN37+XN36+XN35+MAX(0,XT36-XN36-XN35)*(1-XF37)</f>
        <v/>
      </c>
      <c r="XU37" s="12">
        <f>XO37+XO36+XO35+MAX(0,XU36-XO36-XO35)*(1-XF37)</f>
        <v/>
      </c>
      <c r="XV37" s="12">
        <f>XV36+XP37-XP25*(AnnualChurn*VLOOKUP(XB37,ChurnSeasonTable,4,FALSE))*POWER(1-(AnnualChurn*VLOOKUP(XB37,ChurnSeasonTable,4,FALSE)),0)+XP13*(AnnualChurn*VLOOKUP(XB37,ChurnSeasonTable,4,FALSE))*POWER(1-(AnnualChurn*VLOOKUP(XB37,ChurnSeasonTable,4,FALSE)),1)</f>
        <v/>
      </c>
      <c r="XW37" s="12">
        <f>XW36+XQ37-XQ25*(AnnualChurn*VLOOKUP(XB37,ChurnSeasonTable,4,FALSE))*POWER(1-(AnnualChurn*VLOOKUP(XB37,ChurnSeasonTable,4,FALSE)),0)+XQ13*(AnnualChurn*VLOOKUP(XB37,ChurnSeasonTable,4,FALSE))*POWER(1-(AnnualChurn*VLOOKUP(XB37,ChurnSeasonTable,4,FALSE)),1)</f>
        <v/>
      </c>
      <c r="XX37" s="12">
        <f>XX36+XR37-XR25*(AnnualChurn*VLOOKUP(XB37,ChurnSeasonTable,4,FALSE))*POWER(1-(AnnualChurn*VLOOKUP(XB37,ChurnSeasonTable,4,FALSE)),0)+XR13*(AnnualChurn*VLOOKUP(XB37,ChurnSeasonTable,4,FALSE))*POWER(1-(AnnualChurn*VLOOKUP(XB37,ChurnSeasonTable,4,FALSE)),1)</f>
        <v/>
      </c>
      <c r="XY37" s="12">
        <f>XS37+XT37+XU37+XV37+XW37+XX37</f>
        <v/>
      </c>
      <c r="XZ37" s="9">
        <f>XS37*BlendedPriceEssMonthly*XE37+XT37*BlendedPricePremMonthly*XE37+XU37*BlendedPriceEliteMonthly*XE37+XV37*BlendedPriceEssAnnual*XE37/12+XW37*BlendedPricePremAnnual*XE37/12+XX37*BlendedPriceEliteAnnual*XE37/12</f>
        <v/>
      </c>
      <c r="YA37" s="9">
        <f>XZ37*12</f>
        <v/>
      </c>
      <c r="YB37" s="12">
        <f>XS37*BlendedPriceEssMonthly*XE37+XT37*BlendedPricePremMonthly*XE37+XU37*BlendedPriceEliteMonthly*XE37</f>
        <v/>
      </c>
      <c r="YC37" s="12">
        <f>XP37*BlendedPriceEssAnnual*XE37+XQ37*BlendedPricePremAnnual*XE37+XR37*BlendedPriceEliteAnnual*XE37</f>
        <v/>
      </c>
      <c r="YD37" s="12">
        <f>XP25*POWER(1-(AnnualChurn*VLOOKUP(XB37,ChurnSeasonTable,4,FALSE)),1)*BlendedPriceEssAnnual*XE37+XP13*POWER(1-(AnnualChurn*VLOOKUP(XB37,ChurnSeasonTable,4,FALSE)),2)*BlendedPriceEssAnnual*XE37+XQ25*POWER(1-(AnnualChurn*VLOOKUP(XB37,ChurnSeasonTable,4,FALSE)),1)*BlendedPricePremAnnual*XE37+XQ13*POWER(1-(AnnualChurn*VLOOKUP(XB37,ChurnSeasonTable,4,FALSE)),2)*BlendedPricePremAnnual*XE37+XR25*POWER(1-(AnnualChurn*VLOOKUP(XB37,ChurnSeasonTable,4,FALSE)),1)*BlendedPriceEliteAnnual*XE37+XR13*POWER(1-(AnnualChurn*VLOOKUP(XB37,ChurnSeasonTable,4,FALSE)),2)*BlendedPriceEliteAnnual*XE37</f>
        <v/>
      </c>
      <c r="YE37" s="9">
        <f>YB37+YC37+YD37</f>
        <v/>
      </c>
      <c r="YF37" s="12">
        <f>SUM(YE26:YE37)</f>
        <v/>
      </c>
      <c r="YG37" s="12">
        <f>OR(YG36,IF(VATAgentMode,SUM($YE26:$YE37)-SUM($YL26:$YL37)&gt;=VATThreshold,SUM($YE26:$YE37)&gt;=VATThreshold))</f>
        <v/>
      </c>
      <c r="YH37" s="9">
        <f>IF(YG37,IF(VATAgentMode,YE37-((YE37-YL37)-(YE37-YL37)/(1+VATRate)),YE37/(1+VATRate)),YE37)</f>
        <v/>
      </c>
      <c r="YI37" s="12">
        <f>YE37-YH37</f>
        <v/>
      </c>
      <c r="YJ37" s="12">
        <f>IF(YG37=0,0,IF(XB37=1,SUMPRODUCT(--(($XC$5:$XC37=$XC37-1)*($XB$5:$XB37&gt;=10)*($XB$5:$XB37&lt;=12)),$YI$5:$YI37),IF(XB37=4,SUMPRODUCT(--(($XC$5:$XC37=$XC37)*($XB$5:$XB37&gt;=1)*($XB$5:$XB37&lt;=3)),$YI$5:$YI37),IF(XB37=7,SUMPRODUCT(--(($XC$5:$XC37=$XC37)*($XB$5:$XB37&gt;=4)*($XB$5:$XB37&lt;=6)),$YI$5:$YI37),IF(XB37=10,SUMPRODUCT(--(($XC$5:$XC37=$XC37)*($XB$5:$XB37&gt;=7)*($XB$5:$XB37&lt;=9)),$YI$5:$YI37),0)))))</f>
        <v/>
      </c>
      <c r="YK37" s="12">
        <f>YK36+YI37-YJ37</f>
        <v/>
      </c>
      <c r="YL37" s="12">
        <f>IF(ProviderDelay&gt;=1,XS36*BlendedProvPayEss+XT36*BlendedProvPayPrem+XU36*BlendedProvPayElite+XV36*BlendedProvPayEss+XW36*BlendedProvPayPrem+XX36*BlendedProvPayElite,XS37*BlendedProvPayEss+XT37*BlendedProvPayPrem+XU37*BlendedProvPayElite+XV37*BlendedProvPayEss+XW37*BlendedProvPayPrem+XX37*BlendedProvPayElite)</f>
        <v/>
      </c>
      <c r="YM37" s="12">
        <f>YE37*PaymentFee</f>
        <v/>
      </c>
      <c r="YN37" s="12">
        <f>XY37*OpsAI</f>
        <v/>
      </c>
      <c r="YO37" s="12">
        <f>MonthlyFixed</f>
        <v/>
      </c>
      <c r="YP37" s="12">
        <f>XI37*ReferralReward</f>
        <v/>
      </c>
      <c r="YQ37" s="12">
        <f>XG37</f>
        <v/>
      </c>
      <c r="YR37" s="9">
        <f>YH37-YL37-YM37-YN37-YO37-YP37-YQ37</f>
        <v/>
      </c>
      <c r="YS37" s="9">
        <f>YS36+YE37-(YL37+YM37+YN37+YO37+YP37+YQ37+YJ37)</f>
        <v/>
      </c>
      <c r="YT37" s="12">
        <f>IF(XY37&gt;0,XZ37/XY37,0)</f>
        <v/>
      </c>
      <c r="YU37" s="11">
        <f>IF(XY36&gt;0,MAX(0,(XY36+XJ37-XY37)/XY36),0)</f>
        <v/>
      </c>
      <c r="YW37" s="12" t="n">
        <v>33</v>
      </c>
      <c r="YX37" s="12">
        <f>MOD(YW37-1+LaunchMonth-1,12)+1</f>
        <v/>
      </c>
      <c r="YY37" s="12">
        <f>INT((YW37-1+LaunchMonth-1)/12)+1</f>
        <v/>
      </c>
      <c r="YZ37" s="12">
        <f>VLOOKUP(YX37,SeasonTable,2,FALSE)</f>
        <v/>
      </c>
      <c r="ZA37" s="12">
        <f>(1+InflationRate)^INT((YW37-1)/12)</f>
        <v/>
      </c>
      <c r="ZB37" s="11">
        <f>MonthlyChurn*VLOOKUP(YX37,ChurnSeasonTable,4,FALSE)</f>
        <v/>
      </c>
      <c r="ZC37" s="12">
        <f>MIN(MAX(MktMin19plus,AAA36*MktPct19plus),MAX(0,AAO36-CashBuffer))</f>
        <v/>
      </c>
      <c r="ZD37" s="12">
        <f>IF(ZC37&gt;0,MAX(1,ROUND(ZC37/CAC*YZ37,0)),0)</f>
        <v/>
      </c>
      <c r="ZE37" s="12">
        <f>IF(ZD37&gt;0,ROUND(ZD37*ReferralMix/(1-ReferralMix),0),0)</f>
        <v/>
      </c>
      <c r="ZF37" s="12">
        <f>ZD37+ZE37</f>
        <v/>
      </c>
      <c r="ZG37" s="12">
        <f>ROUND(ZF37*(1-'Sens - Annual Mix'!$A$11),0)</f>
        <v/>
      </c>
      <c r="ZH37" s="12">
        <f>ZF37-ZG37</f>
        <v/>
      </c>
      <c r="ZI37" s="12">
        <f>ROUND(ZG37*EssentialMix,0)</f>
        <v/>
      </c>
      <c r="ZJ37" s="12">
        <f>ROUND(ZG37*PremiumMix,0)</f>
        <v/>
      </c>
      <c r="ZK37" s="12">
        <f>ZG37-ZI37-ZJ37</f>
        <v/>
      </c>
      <c r="ZL37" s="12">
        <f>ROUND(ZH37*EssentialMix,0)</f>
        <v/>
      </c>
      <c r="ZM37" s="12">
        <f>ROUND(ZH37*PremiumMix,0)</f>
        <v/>
      </c>
      <c r="ZN37" s="12">
        <f>ZH37-ZL37-ZM37</f>
        <v/>
      </c>
      <c r="ZO37" s="12">
        <f>ZI37+ZI36+ZI35+MAX(0,ZO36-ZI36-ZI35)*(1-ZB37)</f>
        <v/>
      </c>
      <c r="ZP37" s="12">
        <f>ZJ37+ZJ36+ZJ35+MAX(0,ZP36-ZJ36-ZJ35)*(1-ZB37)</f>
        <v/>
      </c>
      <c r="ZQ37" s="12">
        <f>ZK37+ZK36+ZK35+MAX(0,ZQ36-ZK36-ZK35)*(1-ZB37)</f>
        <v/>
      </c>
      <c r="ZR37" s="12">
        <f>ZR36+ZL37-ZL25*(AnnualChurn*VLOOKUP(YX37,ChurnSeasonTable,4,FALSE))*POWER(1-(AnnualChurn*VLOOKUP(YX37,ChurnSeasonTable,4,FALSE)),0)+ZL13*(AnnualChurn*VLOOKUP(YX37,ChurnSeasonTable,4,FALSE))*POWER(1-(AnnualChurn*VLOOKUP(YX37,ChurnSeasonTable,4,FALSE)),1)</f>
        <v/>
      </c>
      <c r="ZS37" s="12">
        <f>ZS36+ZM37-ZM25*(AnnualChurn*VLOOKUP(YX37,ChurnSeasonTable,4,FALSE))*POWER(1-(AnnualChurn*VLOOKUP(YX37,ChurnSeasonTable,4,FALSE)),0)+ZM13*(AnnualChurn*VLOOKUP(YX37,ChurnSeasonTable,4,FALSE))*POWER(1-(AnnualChurn*VLOOKUP(YX37,ChurnSeasonTable,4,FALSE)),1)</f>
        <v/>
      </c>
      <c r="ZT37" s="12">
        <f>ZT36+ZN37-ZN25*(AnnualChurn*VLOOKUP(YX37,ChurnSeasonTable,4,FALSE))*POWER(1-(AnnualChurn*VLOOKUP(YX37,ChurnSeasonTable,4,FALSE)),0)+ZN13*(AnnualChurn*VLOOKUP(YX37,ChurnSeasonTable,4,FALSE))*POWER(1-(AnnualChurn*VLOOKUP(YX37,ChurnSeasonTable,4,FALSE)),1)</f>
        <v/>
      </c>
      <c r="ZU37" s="12">
        <f>ZO37+ZP37+ZQ37+ZR37+ZS37+ZT37</f>
        <v/>
      </c>
      <c r="ZV37" s="9">
        <f>ZO37*BlendedPriceEssMonthly*ZA37+ZP37*BlendedPricePremMonthly*ZA37+ZQ37*BlendedPriceEliteMonthly*ZA37+ZR37*BlendedPriceEssAnnual*ZA37/12+ZS37*BlendedPricePremAnnual*ZA37/12+ZT37*BlendedPriceEliteAnnual*ZA37/12</f>
        <v/>
      </c>
      <c r="ZW37" s="9">
        <f>ZV37*12</f>
        <v/>
      </c>
      <c r="ZX37" s="12">
        <f>ZO37*BlendedPriceEssMonthly*ZA37+ZP37*BlendedPricePremMonthly*ZA37+ZQ37*BlendedPriceEliteMonthly*ZA37</f>
        <v/>
      </c>
      <c r="ZY37" s="12">
        <f>ZL37*BlendedPriceEssAnnual*ZA37+ZM37*BlendedPricePremAnnual*ZA37+ZN37*BlendedPriceEliteAnnual*ZA37</f>
        <v/>
      </c>
      <c r="ZZ37" s="12">
        <f>ZL25*POWER(1-(AnnualChurn*VLOOKUP(YX37,ChurnSeasonTable,4,FALSE)),1)*BlendedPriceEssAnnual*ZA37+ZL13*POWER(1-(AnnualChurn*VLOOKUP(YX37,ChurnSeasonTable,4,FALSE)),2)*BlendedPriceEssAnnual*ZA37+ZM25*POWER(1-(AnnualChurn*VLOOKUP(YX37,ChurnSeasonTable,4,FALSE)),1)*BlendedPricePremAnnual*ZA37+ZM13*POWER(1-(AnnualChurn*VLOOKUP(YX37,ChurnSeasonTable,4,FALSE)),2)*BlendedPricePremAnnual*ZA37+ZN25*POWER(1-(AnnualChurn*VLOOKUP(YX37,ChurnSeasonTable,4,FALSE)),1)*BlendedPriceEliteAnnual*ZA37+ZN13*POWER(1-(AnnualChurn*VLOOKUP(YX37,ChurnSeasonTable,4,FALSE)),2)*BlendedPriceEliteAnnual*ZA37</f>
        <v/>
      </c>
      <c r="AAA37" s="9">
        <f>ZX37+ZY37+ZZ37</f>
        <v/>
      </c>
      <c r="AAB37" s="12">
        <f>SUM(AAA26:AAA37)</f>
        <v/>
      </c>
      <c r="AAC37" s="12">
        <f>OR(AAC36,IF(VATAgentMode,SUM($AAA26:$AAA37)-SUM($AAH26:$AAH37)&gt;=VATThreshold,SUM($AAA26:$AAA37)&gt;=VATThreshold))</f>
        <v/>
      </c>
      <c r="AAD37" s="9">
        <f>IF(AAC37,IF(VATAgentMode,AAA37-((AAA37-AAH37)-(AAA37-AAH37)/(1+VATRate)),AAA37/(1+VATRate)),AAA37)</f>
        <v/>
      </c>
      <c r="AAE37" s="12">
        <f>AAA37-AAD37</f>
        <v/>
      </c>
      <c r="AAF37" s="12">
        <f>IF(AAC37=0,0,IF(YX37=1,SUMPRODUCT(--(($YY$5:$YY37=$YY37-1)*($YX$5:$YX37&gt;=10)*($YX$5:$YX37&lt;=12)),$AAE$5:$AAE37),IF(YX37=4,SUMPRODUCT(--(($YY$5:$YY37=$YY37)*($YX$5:$YX37&gt;=1)*($YX$5:$YX37&lt;=3)),$AAE$5:$AAE37),IF(YX37=7,SUMPRODUCT(--(($YY$5:$YY37=$YY37)*($YX$5:$YX37&gt;=4)*($YX$5:$YX37&lt;=6)),$AAE$5:$AAE37),IF(YX37=10,SUMPRODUCT(--(($YY$5:$YY37=$YY37)*($YX$5:$YX37&gt;=7)*($YX$5:$YX37&lt;=9)),$AAE$5:$AAE37),0)))))</f>
        <v/>
      </c>
      <c r="AAG37" s="12">
        <f>AAG36+AAE37-AAF37</f>
        <v/>
      </c>
      <c r="AAH37" s="12">
        <f>IF(ProviderDelay&gt;=1,ZO36*BlendedProvPayEss+ZP36*BlendedProvPayPrem+ZQ36*BlendedProvPayElite+ZR36*BlendedProvPayEss+ZS36*BlendedProvPayPrem+ZT36*BlendedProvPayElite,ZO37*BlendedProvPayEss+ZP37*BlendedProvPayPrem+ZQ37*BlendedProvPayElite+ZR37*BlendedProvPayEss+ZS37*BlendedProvPayPrem+ZT37*BlendedProvPayElite)</f>
        <v/>
      </c>
      <c r="AAI37" s="12">
        <f>AAA37*PaymentFee</f>
        <v/>
      </c>
      <c r="AAJ37" s="12">
        <f>ZU37*OpsAI</f>
        <v/>
      </c>
      <c r="AAK37" s="12">
        <f>MonthlyFixed</f>
        <v/>
      </c>
      <c r="AAL37" s="12">
        <f>ZE37*ReferralReward</f>
        <v/>
      </c>
      <c r="AAM37" s="12">
        <f>ZC37</f>
        <v/>
      </c>
      <c r="AAN37" s="9">
        <f>AAD37-AAH37-AAI37-AAJ37-AAK37-AAL37-AAM37</f>
        <v/>
      </c>
      <c r="AAO37" s="9">
        <f>AAO36+AAA37-(AAH37+AAI37+AAJ37+AAK37+AAL37+AAM37+AAF37)</f>
        <v/>
      </c>
      <c r="AAP37" s="12">
        <f>IF(ZU37&gt;0,ZV37/ZU37,0)</f>
        <v/>
      </c>
      <c r="AAQ37" s="11">
        <f>IF(ZU36&gt;0,MAX(0,(ZU36+ZF37-ZU37)/ZU36),0)</f>
        <v/>
      </c>
      <c r="AAS37" s="12" t="n">
        <v>33</v>
      </c>
      <c r="AAT37" s="12">
        <f>MOD(AAS37-1+LaunchMonth-1,12)+1</f>
        <v/>
      </c>
      <c r="AAU37" s="12">
        <f>INT((AAS37-1+LaunchMonth-1)/12)+1</f>
        <v/>
      </c>
      <c r="AAV37" s="12">
        <f>VLOOKUP(AAT37,SeasonTable,2,FALSE)</f>
        <v/>
      </c>
      <c r="AAW37" s="12">
        <f>(1+InflationRate)^INT((AAS37-1)/12)</f>
        <v/>
      </c>
      <c r="AAX37" s="11">
        <f>MonthlyChurn*VLOOKUP(AAT37,ChurnSeasonTable,4,FALSE)</f>
        <v/>
      </c>
      <c r="AAY37" s="12">
        <f>MIN(MAX(MktMin19plus,ABW36*MktPct19plus),MAX(0,ACK36-CashBuffer))</f>
        <v/>
      </c>
      <c r="AAZ37" s="12">
        <f>IF(AAY37&gt;0,MAX(1,ROUND(AAY37/CAC*AAV37,0)),0)</f>
        <v/>
      </c>
      <c r="ABA37" s="12">
        <f>IF(AAZ37&gt;0,ROUND(AAZ37*ReferralMix/(1-ReferralMix),0),0)</f>
        <v/>
      </c>
      <c r="ABB37" s="12">
        <f>AAZ37+ABA37</f>
        <v/>
      </c>
      <c r="ABC37" s="12">
        <f>ROUND(ABB37*(1-'Sens - Annual Mix'!$A$12),0)</f>
        <v/>
      </c>
      <c r="ABD37" s="12">
        <f>ABB37-ABC37</f>
        <v/>
      </c>
      <c r="ABE37" s="12">
        <f>ROUND(ABC37*EssentialMix,0)</f>
        <v/>
      </c>
      <c r="ABF37" s="12">
        <f>ROUND(ABC37*PremiumMix,0)</f>
        <v/>
      </c>
      <c r="ABG37" s="12">
        <f>ABC37-ABE37-ABF37</f>
        <v/>
      </c>
      <c r="ABH37" s="12">
        <f>ROUND(ABD37*EssentialMix,0)</f>
        <v/>
      </c>
      <c r="ABI37" s="12">
        <f>ROUND(ABD37*PremiumMix,0)</f>
        <v/>
      </c>
      <c r="ABJ37" s="12">
        <f>ABD37-ABH37-ABI37</f>
        <v/>
      </c>
      <c r="ABK37" s="12">
        <f>ABE37+ABE36+ABE35+MAX(0,ABK36-ABE36-ABE35)*(1-AAX37)</f>
        <v/>
      </c>
      <c r="ABL37" s="12">
        <f>ABF37+ABF36+ABF35+MAX(0,ABL36-ABF36-ABF35)*(1-AAX37)</f>
        <v/>
      </c>
      <c r="ABM37" s="12">
        <f>ABG37+ABG36+ABG35+MAX(0,ABM36-ABG36-ABG35)*(1-AAX37)</f>
        <v/>
      </c>
      <c r="ABN37" s="12">
        <f>ABN36+ABH37-ABH25*(AnnualChurn*VLOOKUP(AAT37,ChurnSeasonTable,4,FALSE))*POWER(1-(AnnualChurn*VLOOKUP(AAT37,ChurnSeasonTable,4,FALSE)),0)+ABH13*(AnnualChurn*VLOOKUP(AAT37,ChurnSeasonTable,4,FALSE))*POWER(1-(AnnualChurn*VLOOKUP(AAT37,ChurnSeasonTable,4,FALSE)),1)</f>
        <v/>
      </c>
      <c r="ABO37" s="12">
        <f>ABO36+ABI37-ABI25*(AnnualChurn*VLOOKUP(AAT37,ChurnSeasonTable,4,FALSE))*POWER(1-(AnnualChurn*VLOOKUP(AAT37,ChurnSeasonTable,4,FALSE)),0)+ABI13*(AnnualChurn*VLOOKUP(AAT37,ChurnSeasonTable,4,FALSE))*POWER(1-(AnnualChurn*VLOOKUP(AAT37,ChurnSeasonTable,4,FALSE)),1)</f>
        <v/>
      </c>
      <c r="ABP37" s="12">
        <f>ABP36+ABJ37-ABJ25*(AnnualChurn*VLOOKUP(AAT37,ChurnSeasonTable,4,FALSE))*POWER(1-(AnnualChurn*VLOOKUP(AAT37,ChurnSeasonTable,4,FALSE)),0)+ABJ13*(AnnualChurn*VLOOKUP(AAT37,ChurnSeasonTable,4,FALSE))*POWER(1-(AnnualChurn*VLOOKUP(AAT37,ChurnSeasonTable,4,FALSE)),1)</f>
        <v/>
      </c>
      <c r="ABQ37" s="12">
        <f>ABK37+ABL37+ABM37+ABN37+ABO37+ABP37</f>
        <v/>
      </c>
      <c r="ABR37" s="9">
        <f>ABK37*BlendedPriceEssMonthly*AAW37+ABL37*BlendedPricePremMonthly*AAW37+ABM37*BlendedPriceEliteMonthly*AAW37+ABN37*BlendedPriceEssAnnual*AAW37/12+ABO37*BlendedPricePremAnnual*AAW37/12+ABP37*BlendedPriceEliteAnnual*AAW37/12</f>
        <v/>
      </c>
      <c r="ABS37" s="9">
        <f>ABR37*12</f>
        <v/>
      </c>
      <c r="ABT37" s="12">
        <f>ABK37*BlendedPriceEssMonthly*AAW37+ABL37*BlendedPricePremMonthly*AAW37+ABM37*BlendedPriceEliteMonthly*AAW37</f>
        <v/>
      </c>
      <c r="ABU37" s="12">
        <f>ABH37*BlendedPriceEssAnnual*AAW37+ABI37*BlendedPricePremAnnual*AAW37+ABJ37*BlendedPriceEliteAnnual*AAW37</f>
        <v/>
      </c>
      <c r="ABV37" s="12">
        <f>ABH25*POWER(1-(AnnualChurn*VLOOKUP(AAT37,ChurnSeasonTable,4,FALSE)),1)*BlendedPriceEssAnnual*AAW37+ABH13*POWER(1-(AnnualChurn*VLOOKUP(AAT37,ChurnSeasonTable,4,FALSE)),2)*BlendedPriceEssAnnual*AAW37+ABI25*POWER(1-(AnnualChurn*VLOOKUP(AAT37,ChurnSeasonTable,4,FALSE)),1)*BlendedPricePremAnnual*AAW37+ABI13*POWER(1-(AnnualChurn*VLOOKUP(AAT37,ChurnSeasonTable,4,FALSE)),2)*BlendedPricePremAnnual*AAW37+ABJ25*POWER(1-(AnnualChurn*VLOOKUP(AAT37,ChurnSeasonTable,4,FALSE)),1)*BlendedPriceEliteAnnual*AAW37+ABJ13*POWER(1-(AnnualChurn*VLOOKUP(AAT37,ChurnSeasonTable,4,FALSE)),2)*BlendedPriceEliteAnnual*AAW37</f>
        <v/>
      </c>
      <c r="ABW37" s="9">
        <f>ABT37+ABU37+ABV37</f>
        <v/>
      </c>
      <c r="ABX37" s="12">
        <f>SUM(ABW26:ABW37)</f>
        <v/>
      </c>
      <c r="ABY37" s="12">
        <f>OR(ABY36,IF(VATAgentMode,SUM($ABW26:$ABW37)-SUM($ACD26:$ACD37)&gt;=VATThreshold,SUM($ABW26:$ABW37)&gt;=VATThreshold))</f>
        <v/>
      </c>
      <c r="ABZ37" s="9">
        <f>IF(ABY37,IF(VATAgentMode,ABW37-((ABW37-ACD37)-(ABW37-ACD37)/(1+VATRate)),ABW37/(1+VATRate)),ABW37)</f>
        <v/>
      </c>
      <c r="ACA37" s="12">
        <f>ABW37-ABZ37</f>
        <v/>
      </c>
      <c r="ACB37" s="12">
        <f>IF(ABY37=0,0,IF(AAT37=1,SUMPRODUCT(--(($AAU$5:$AAU37=$AAU37-1)*($AAT$5:$AAT37&gt;=10)*($AAT$5:$AAT37&lt;=12)),$ACA$5:$ACA37),IF(AAT37=4,SUMPRODUCT(--(($AAU$5:$AAU37=$AAU37)*($AAT$5:$AAT37&gt;=1)*($AAT$5:$AAT37&lt;=3)),$ACA$5:$ACA37),IF(AAT37=7,SUMPRODUCT(--(($AAU$5:$AAU37=$AAU37)*($AAT$5:$AAT37&gt;=4)*($AAT$5:$AAT37&lt;=6)),$ACA$5:$ACA37),IF(AAT37=10,SUMPRODUCT(--(($AAU$5:$AAU37=$AAU37)*($AAT$5:$AAT37&gt;=7)*($AAT$5:$AAT37&lt;=9)),$ACA$5:$ACA37),0)))))</f>
        <v/>
      </c>
      <c r="ACC37" s="12">
        <f>ACC36+ACA37-ACB37</f>
        <v/>
      </c>
      <c r="ACD37" s="12">
        <f>IF(ProviderDelay&gt;=1,ABK36*BlendedProvPayEss+ABL36*BlendedProvPayPrem+ABM36*BlendedProvPayElite+ABN36*BlendedProvPayEss+ABO36*BlendedProvPayPrem+ABP36*BlendedProvPayElite,ABK37*BlendedProvPayEss+ABL37*BlendedProvPayPrem+ABM37*BlendedProvPayElite+ABN37*BlendedProvPayEss+ABO37*BlendedProvPayPrem+ABP37*BlendedProvPayElite)</f>
        <v/>
      </c>
      <c r="ACE37" s="12">
        <f>ABW37*PaymentFee</f>
        <v/>
      </c>
      <c r="ACF37" s="12">
        <f>ABQ37*OpsAI</f>
        <v/>
      </c>
      <c r="ACG37" s="12">
        <f>MonthlyFixed</f>
        <v/>
      </c>
      <c r="ACH37" s="12">
        <f>ABA37*ReferralReward</f>
        <v/>
      </c>
      <c r="ACI37" s="12">
        <f>AAY37</f>
        <v/>
      </c>
      <c r="ACJ37" s="9">
        <f>ABZ37-ACD37-ACE37-ACF37-ACG37-ACH37-ACI37</f>
        <v/>
      </c>
      <c r="ACK37" s="9">
        <f>ACK36+ABW37-(ACD37+ACE37+ACF37+ACG37+ACH37+ACI37+ACB37)</f>
        <v/>
      </c>
      <c r="ACL37" s="12">
        <f>IF(ABQ37&gt;0,ABR37/ABQ37,0)</f>
        <v/>
      </c>
      <c r="ACM37" s="11">
        <f>IF(ABQ36&gt;0,MAX(0,(ABQ36+ABB37-ABQ37)/ABQ36),0)</f>
        <v/>
      </c>
      <c r="ACO37" s="12" t="n">
        <v>33</v>
      </c>
      <c r="ACP37" s="12">
        <f>MOD(ACO37-1+LaunchMonth-1,12)+1</f>
        <v/>
      </c>
      <c r="ACQ37" s="12">
        <f>INT((ACO37-1+LaunchMonth-1)/12)+1</f>
        <v/>
      </c>
      <c r="ACR37" s="12">
        <f>VLOOKUP(ACP37,SeasonTable,2,FALSE)</f>
        <v/>
      </c>
      <c r="ACS37" s="12">
        <f>(1+InflationRate)^INT((ACO37-1)/12)</f>
        <v/>
      </c>
      <c r="ACT37" s="11">
        <f>MonthlyChurn*VLOOKUP(ACP37,ChurnSeasonTable,4,FALSE)</f>
        <v/>
      </c>
      <c r="ACU37" s="12">
        <f>MIN(MAX(MktMin19plus,ADS36*MktPct19plus),MAX(0,AEG36-CashBuffer))</f>
        <v/>
      </c>
      <c r="ACV37" s="12">
        <f>IF(ACU37&gt;0,MAX(1,ROUND(ACU37/CAC*ACR37,0)),0)</f>
        <v/>
      </c>
      <c r="ACW37" s="12">
        <f>IF(ACV37&gt;0,ROUND(ACV37*ReferralMix/(1-ReferralMix),0),0)</f>
        <v/>
      </c>
      <c r="ACX37" s="12">
        <f>ACV37+ACW37</f>
        <v/>
      </c>
      <c r="ACY37" s="12">
        <f>ROUND(ACX37*(1-'Sens - Annual Mix'!$A$13),0)</f>
        <v/>
      </c>
      <c r="ACZ37" s="12">
        <f>ACX37-ACY37</f>
        <v/>
      </c>
      <c r="ADA37" s="12">
        <f>ROUND(ACY37*EssentialMix,0)</f>
        <v/>
      </c>
      <c r="ADB37" s="12">
        <f>ROUND(ACY37*PremiumMix,0)</f>
        <v/>
      </c>
      <c r="ADC37" s="12">
        <f>ACY37-ADA37-ADB37</f>
        <v/>
      </c>
      <c r="ADD37" s="12">
        <f>ROUND(ACZ37*EssentialMix,0)</f>
        <v/>
      </c>
      <c r="ADE37" s="12">
        <f>ROUND(ACZ37*PremiumMix,0)</f>
        <v/>
      </c>
      <c r="ADF37" s="12">
        <f>ACZ37-ADD37-ADE37</f>
        <v/>
      </c>
      <c r="ADG37" s="12">
        <f>ADA37+ADA36+ADA35+MAX(0,ADG36-ADA36-ADA35)*(1-ACT37)</f>
        <v/>
      </c>
      <c r="ADH37" s="12">
        <f>ADB37+ADB36+ADB35+MAX(0,ADH36-ADB36-ADB35)*(1-ACT37)</f>
        <v/>
      </c>
      <c r="ADI37" s="12">
        <f>ADC37+ADC36+ADC35+MAX(0,ADI36-ADC36-ADC35)*(1-ACT37)</f>
        <v/>
      </c>
      <c r="ADJ37" s="12">
        <f>ADJ36+ADD37-ADD25*(AnnualChurn*VLOOKUP(ACP37,ChurnSeasonTable,4,FALSE))*POWER(1-(AnnualChurn*VLOOKUP(ACP37,ChurnSeasonTable,4,FALSE)),0)+ADD13*(AnnualChurn*VLOOKUP(ACP37,ChurnSeasonTable,4,FALSE))*POWER(1-(AnnualChurn*VLOOKUP(ACP37,ChurnSeasonTable,4,FALSE)),1)</f>
        <v/>
      </c>
      <c r="ADK37" s="12">
        <f>ADK36+ADE37-ADE25*(AnnualChurn*VLOOKUP(ACP37,ChurnSeasonTable,4,FALSE))*POWER(1-(AnnualChurn*VLOOKUP(ACP37,ChurnSeasonTable,4,FALSE)),0)+ADE13*(AnnualChurn*VLOOKUP(ACP37,ChurnSeasonTable,4,FALSE))*POWER(1-(AnnualChurn*VLOOKUP(ACP37,ChurnSeasonTable,4,FALSE)),1)</f>
        <v/>
      </c>
      <c r="ADL37" s="12">
        <f>ADL36+ADF37-ADF25*(AnnualChurn*VLOOKUP(ACP37,ChurnSeasonTable,4,FALSE))*POWER(1-(AnnualChurn*VLOOKUP(ACP37,ChurnSeasonTable,4,FALSE)),0)+ADF13*(AnnualChurn*VLOOKUP(ACP37,ChurnSeasonTable,4,FALSE))*POWER(1-(AnnualChurn*VLOOKUP(ACP37,ChurnSeasonTable,4,FALSE)),1)</f>
        <v/>
      </c>
      <c r="ADM37" s="12">
        <f>ADG37+ADH37+ADI37+ADJ37+ADK37+ADL37</f>
        <v/>
      </c>
      <c r="ADN37" s="9">
        <f>ADG37*BlendedPriceEssMonthly*ACS37+ADH37*BlendedPricePremMonthly*ACS37+ADI37*BlendedPriceEliteMonthly*ACS37+ADJ37*BlendedPriceEssAnnual*ACS37/12+ADK37*BlendedPricePremAnnual*ACS37/12+ADL37*BlendedPriceEliteAnnual*ACS37/12</f>
        <v/>
      </c>
      <c r="ADO37" s="9">
        <f>ADN37*12</f>
        <v/>
      </c>
      <c r="ADP37" s="12">
        <f>ADG37*BlendedPriceEssMonthly*ACS37+ADH37*BlendedPricePremMonthly*ACS37+ADI37*BlendedPriceEliteMonthly*ACS37</f>
        <v/>
      </c>
      <c r="ADQ37" s="12">
        <f>ADD37*BlendedPriceEssAnnual*ACS37+ADE37*BlendedPricePremAnnual*ACS37+ADF37*BlendedPriceEliteAnnual*ACS37</f>
        <v/>
      </c>
      <c r="ADR37" s="12">
        <f>ADD25*POWER(1-(AnnualChurn*VLOOKUP(ACP37,ChurnSeasonTable,4,FALSE)),1)*BlendedPriceEssAnnual*ACS37+ADD13*POWER(1-(AnnualChurn*VLOOKUP(ACP37,ChurnSeasonTable,4,FALSE)),2)*BlendedPriceEssAnnual*ACS37+ADE25*POWER(1-(AnnualChurn*VLOOKUP(ACP37,ChurnSeasonTable,4,FALSE)),1)*BlendedPricePremAnnual*ACS37+ADE13*POWER(1-(AnnualChurn*VLOOKUP(ACP37,ChurnSeasonTable,4,FALSE)),2)*BlendedPricePremAnnual*ACS37+ADF25*POWER(1-(AnnualChurn*VLOOKUP(ACP37,ChurnSeasonTable,4,FALSE)),1)*BlendedPriceEliteAnnual*ACS37+ADF13*POWER(1-(AnnualChurn*VLOOKUP(ACP37,ChurnSeasonTable,4,FALSE)),2)*BlendedPriceEliteAnnual*ACS37</f>
        <v/>
      </c>
      <c r="ADS37" s="9">
        <f>ADP37+ADQ37+ADR37</f>
        <v/>
      </c>
      <c r="ADT37" s="12">
        <f>SUM(ADS26:ADS37)</f>
        <v/>
      </c>
      <c r="ADU37" s="12">
        <f>OR(ADU36,IF(VATAgentMode,SUM($ADS26:$ADS37)-SUM($ADZ26:$ADZ37)&gt;=VATThreshold,SUM($ADS26:$ADS37)&gt;=VATThreshold))</f>
        <v/>
      </c>
      <c r="ADV37" s="9">
        <f>IF(ADU37,IF(VATAgentMode,ADS37-((ADS37-ADZ37)-(ADS37-ADZ37)/(1+VATRate)),ADS37/(1+VATRate)),ADS37)</f>
        <v/>
      </c>
      <c r="ADW37" s="12">
        <f>ADS37-ADV37</f>
        <v/>
      </c>
      <c r="ADX37" s="12">
        <f>IF(ADU37=0,0,IF(ACP37=1,SUMPRODUCT(--(($ACQ$5:$ACQ37=$ACQ37-1)*($ACP$5:$ACP37&gt;=10)*($ACP$5:$ACP37&lt;=12)),$ADW$5:$ADW37),IF(ACP37=4,SUMPRODUCT(--(($ACQ$5:$ACQ37=$ACQ37)*($ACP$5:$ACP37&gt;=1)*($ACP$5:$ACP37&lt;=3)),$ADW$5:$ADW37),IF(ACP37=7,SUMPRODUCT(--(($ACQ$5:$ACQ37=$ACQ37)*($ACP$5:$ACP37&gt;=4)*($ACP$5:$ACP37&lt;=6)),$ADW$5:$ADW37),IF(ACP37=10,SUMPRODUCT(--(($ACQ$5:$ACQ37=$ACQ37)*($ACP$5:$ACP37&gt;=7)*($ACP$5:$ACP37&lt;=9)),$ADW$5:$ADW37),0)))))</f>
        <v/>
      </c>
      <c r="ADY37" s="12">
        <f>ADY36+ADW37-ADX37</f>
        <v/>
      </c>
      <c r="ADZ37" s="12">
        <f>IF(ProviderDelay&gt;=1,ADG36*BlendedProvPayEss+ADH36*BlendedProvPayPrem+ADI36*BlendedProvPayElite+ADJ36*BlendedProvPayEss+ADK36*BlendedProvPayPrem+ADL36*BlendedProvPayElite,ADG37*BlendedProvPayEss+ADH37*BlendedProvPayPrem+ADI37*BlendedProvPayElite+ADJ37*BlendedProvPayEss+ADK37*BlendedProvPayPrem+ADL37*BlendedProvPayElite)</f>
        <v/>
      </c>
      <c r="AEA37" s="12">
        <f>ADS37*PaymentFee</f>
        <v/>
      </c>
      <c r="AEB37" s="12">
        <f>ADM37*OpsAI</f>
        <v/>
      </c>
      <c r="AEC37" s="12">
        <f>MonthlyFixed</f>
        <v/>
      </c>
      <c r="AED37" s="12">
        <f>ACW37*ReferralReward</f>
        <v/>
      </c>
      <c r="AEE37" s="12">
        <f>ACU37</f>
        <v/>
      </c>
      <c r="AEF37" s="9">
        <f>ADV37-ADZ37-AEA37-AEB37-AEC37-AED37-AEE37</f>
        <v/>
      </c>
      <c r="AEG37" s="9">
        <f>AEG36+ADS37-(ADZ37+AEA37+AEB37+AEC37+AED37+AEE37+ADX37)</f>
        <v/>
      </c>
      <c r="AEH37" s="12">
        <f>IF(ADM37&gt;0,ADN37/ADM37,0)</f>
        <v/>
      </c>
      <c r="AEI37" s="11">
        <f>IF(ADM36&gt;0,MAX(0,(ADM36+ACX37-ADM37)/ADM36),0)</f>
        <v/>
      </c>
      <c r="AEK37" s="12" t="n">
        <v>33</v>
      </c>
      <c r="AEL37" s="12">
        <f>MOD(AEK37-1+LaunchMonth-1,12)+1</f>
        <v/>
      </c>
      <c r="AEM37" s="12">
        <f>INT((AEK37-1+LaunchMonth-1)/12)+1</f>
        <v/>
      </c>
      <c r="AEN37" s="12">
        <f>VLOOKUP(AEL37,SeasonTable,2,FALSE)</f>
        <v/>
      </c>
      <c r="AEO37" s="12">
        <f>(1+InflationRate)^INT((AEK37-1)/12)</f>
        <v/>
      </c>
      <c r="AEP37" s="11">
        <f>MonthlyChurn*VLOOKUP(AEL37,ChurnSeasonTable,4,FALSE)</f>
        <v/>
      </c>
      <c r="AEQ37" s="12">
        <f>MIN(MAX(MktMin19plus,AFO36*MktPct19plus),MAX(0,AGC36-CashBuffer))</f>
        <v/>
      </c>
      <c r="AER37" s="12">
        <f>IF(AEQ37&gt;0,MAX(1,ROUND(AEQ37/CAC*AEN37,0)),0)</f>
        <v/>
      </c>
      <c r="AES37" s="12">
        <f>IF(AER37&gt;0,ROUND(AER37*ReferralMix/(1-ReferralMix),0),0)</f>
        <v/>
      </c>
      <c r="AET37" s="12">
        <f>AER37+AES37</f>
        <v/>
      </c>
      <c r="AEU37" s="12">
        <f>ROUND(AET37*(1-'Sens - Annual Mix'!$A$14),0)</f>
        <v/>
      </c>
      <c r="AEV37" s="12">
        <f>AET37-AEU37</f>
        <v/>
      </c>
      <c r="AEW37" s="12">
        <f>ROUND(AEU37*EssentialMix,0)</f>
        <v/>
      </c>
      <c r="AEX37" s="12">
        <f>ROUND(AEU37*PremiumMix,0)</f>
        <v/>
      </c>
      <c r="AEY37" s="12">
        <f>AEU37-AEW37-AEX37</f>
        <v/>
      </c>
      <c r="AEZ37" s="12">
        <f>ROUND(AEV37*EssentialMix,0)</f>
        <v/>
      </c>
      <c r="AFA37" s="12">
        <f>ROUND(AEV37*PremiumMix,0)</f>
        <v/>
      </c>
      <c r="AFB37" s="12">
        <f>AEV37-AEZ37-AFA37</f>
        <v/>
      </c>
      <c r="AFC37" s="12">
        <f>AEW37+AEW36+AEW35+MAX(0,AFC36-AEW36-AEW35)*(1-AEP37)</f>
        <v/>
      </c>
      <c r="AFD37" s="12">
        <f>AEX37+AEX36+AEX35+MAX(0,AFD36-AEX36-AEX35)*(1-AEP37)</f>
        <v/>
      </c>
      <c r="AFE37" s="12">
        <f>AEY37+AEY36+AEY35+MAX(0,AFE36-AEY36-AEY35)*(1-AEP37)</f>
        <v/>
      </c>
      <c r="AFF37" s="12">
        <f>AFF36+AEZ37-AEZ25*(AnnualChurn*VLOOKUP(AEL37,ChurnSeasonTable,4,FALSE))*POWER(1-(AnnualChurn*VLOOKUP(AEL37,ChurnSeasonTable,4,FALSE)),0)+AEZ13*(AnnualChurn*VLOOKUP(AEL37,ChurnSeasonTable,4,FALSE))*POWER(1-(AnnualChurn*VLOOKUP(AEL37,ChurnSeasonTable,4,FALSE)),1)</f>
        <v/>
      </c>
      <c r="AFG37" s="12">
        <f>AFG36+AFA37-AFA25*(AnnualChurn*VLOOKUP(AEL37,ChurnSeasonTable,4,FALSE))*POWER(1-(AnnualChurn*VLOOKUP(AEL37,ChurnSeasonTable,4,FALSE)),0)+AFA13*(AnnualChurn*VLOOKUP(AEL37,ChurnSeasonTable,4,FALSE))*POWER(1-(AnnualChurn*VLOOKUP(AEL37,ChurnSeasonTable,4,FALSE)),1)</f>
        <v/>
      </c>
      <c r="AFH37" s="12">
        <f>AFH36+AFB37-AFB25*(AnnualChurn*VLOOKUP(AEL37,ChurnSeasonTable,4,FALSE))*POWER(1-(AnnualChurn*VLOOKUP(AEL37,ChurnSeasonTable,4,FALSE)),0)+AFB13*(AnnualChurn*VLOOKUP(AEL37,ChurnSeasonTable,4,FALSE))*POWER(1-(AnnualChurn*VLOOKUP(AEL37,ChurnSeasonTable,4,FALSE)),1)</f>
        <v/>
      </c>
      <c r="AFI37" s="12">
        <f>AFC37+AFD37+AFE37+AFF37+AFG37+AFH37</f>
        <v/>
      </c>
      <c r="AFJ37" s="9">
        <f>AFC37*BlendedPriceEssMonthly*AEO37+AFD37*BlendedPricePremMonthly*AEO37+AFE37*BlendedPriceEliteMonthly*AEO37+AFF37*BlendedPriceEssAnnual*AEO37/12+AFG37*BlendedPricePremAnnual*AEO37/12+AFH37*BlendedPriceEliteAnnual*AEO37/12</f>
        <v/>
      </c>
      <c r="AFK37" s="9">
        <f>AFJ37*12</f>
        <v/>
      </c>
      <c r="AFL37" s="12">
        <f>AFC37*BlendedPriceEssMonthly*AEO37+AFD37*BlendedPricePremMonthly*AEO37+AFE37*BlendedPriceEliteMonthly*AEO37</f>
        <v/>
      </c>
      <c r="AFM37" s="12">
        <f>AEZ37*BlendedPriceEssAnnual*AEO37+AFA37*BlendedPricePremAnnual*AEO37+AFB37*BlendedPriceEliteAnnual*AEO37</f>
        <v/>
      </c>
      <c r="AFN37" s="12">
        <f>AEZ25*POWER(1-(AnnualChurn*VLOOKUP(AEL37,ChurnSeasonTable,4,FALSE)),1)*BlendedPriceEssAnnual*AEO37+AEZ13*POWER(1-(AnnualChurn*VLOOKUP(AEL37,ChurnSeasonTable,4,FALSE)),2)*BlendedPriceEssAnnual*AEO37+AFA25*POWER(1-(AnnualChurn*VLOOKUP(AEL37,ChurnSeasonTable,4,FALSE)),1)*BlendedPricePremAnnual*AEO37+AFA13*POWER(1-(AnnualChurn*VLOOKUP(AEL37,ChurnSeasonTable,4,FALSE)),2)*BlendedPricePremAnnual*AEO37+AFB25*POWER(1-(AnnualChurn*VLOOKUP(AEL37,ChurnSeasonTable,4,FALSE)),1)*BlendedPriceEliteAnnual*AEO37+AFB13*POWER(1-(AnnualChurn*VLOOKUP(AEL37,ChurnSeasonTable,4,FALSE)),2)*BlendedPriceEliteAnnual*AEO37</f>
        <v/>
      </c>
      <c r="AFO37" s="9">
        <f>AFL37+AFM37+AFN37</f>
        <v/>
      </c>
      <c r="AFP37" s="12">
        <f>SUM(AFO26:AFO37)</f>
        <v/>
      </c>
      <c r="AFQ37" s="12">
        <f>OR(AFQ36,IF(VATAgentMode,SUM($AFO26:$AFO37)-SUM($AFV26:$AFV37)&gt;=VATThreshold,SUM($AFO26:$AFO37)&gt;=VATThreshold))</f>
        <v/>
      </c>
      <c r="AFR37" s="9">
        <f>IF(AFQ37,IF(VATAgentMode,AFO37-((AFO37-AFV37)-(AFO37-AFV37)/(1+VATRate)),AFO37/(1+VATRate)),AFO37)</f>
        <v/>
      </c>
      <c r="AFS37" s="12">
        <f>AFO37-AFR37</f>
        <v/>
      </c>
      <c r="AFT37" s="12">
        <f>IF(AFQ37=0,0,IF(AEL37=1,SUMPRODUCT(--(($AEM$5:$AEM37=$AEM37-1)*($AEL$5:$AEL37&gt;=10)*($AEL$5:$AEL37&lt;=12)),$AFS$5:$AFS37),IF(AEL37=4,SUMPRODUCT(--(($AEM$5:$AEM37=$AEM37)*($AEL$5:$AEL37&gt;=1)*($AEL$5:$AEL37&lt;=3)),$AFS$5:$AFS37),IF(AEL37=7,SUMPRODUCT(--(($AEM$5:$AEM37=$AEM37)*($AEL$5:$AEL37&gt;=4)*($AEL$5:$AEL37&lt;=6)),$AFS$5:$AFS37),IF(AEL37=10,SUMPRODUCT(--(($AEM$5:$AEM37=$AEM37)*($AEL$5:$AEL37&gt;=7)*($AEL$5:$AEL37&lt;=9)),$AFS$5:$AFS37),0)))))</f>
        <v/>
      </c>
      <c r="AFU37" s="12">
        <f>AFU36+AFS37-AFT37</f>
        <v/>
      </c>
      <c r="AFV37" s="12">
        <f>IF(ProviderDelay&gt;=1,AFC36*BlendedProvPayEss+AFD36*BlendedProvPayPrem+AFE36*BlendedProvPayElite+AFF36*BlendedProvPayEss+AFG36*BlendedProvPayPrem+AFH36*BlendedProvPayElite,AFC37*BlendedProvPayEss+AFD37*BlendedProvPayPrem+AFE37*BlendedProvPayElite+AFF37*BlendedProvPayEss+AFG37*BlendedProvPayPrem+AFH37*BlendedProvPayElite)</f>
        <v/>
      </c>
      <c r="AFW37" s="12">
        <f>AFO37*PaymentFee</f>
        <v/>
      </c>
      <c r="AFX37" s="12">
        <f>AFI37*OpsAI</f>
        <v/>
      </c>
      <c r="AFY37" s="12">
        <f>MonthlyFixed</f>
        <v/>
      </c>
      <c r="AFZ37" s="12">
        <f>AES37*ReferralReward</f>
        <v/>
      </c>
      <c r="AGA37" s="12">
        <f>AEQ37</f>
        <v/>
      </c>
      <c r="AGB37" s="9">
        <f>AFR37-AFV37-AFW37-AFX37-AFY37-AFZ37-AGA37</f>
        <v/>
      </c>
      <c r="AGC37" s="9">
        <f>AGC36+AFO37-(AFV37+AFW37+AFX37+AFY37+AFZ37+AGA37+AFT37)</f>
        <v/>
      </c>
      <c r="AGD37" s="12">
        <f>IF(AFI37&gt;0,AFJ37/AFI37,0)</f>
        <v/>
      </c>
      <c r="AGE37" s="11">
        <f>IF(AFI36&gt;0,MAX(0,(AFI36+AET37-AFI37)/AFI36),0)</f>
        <v/>
      </c>
      <c r="AGG37" s="12" t="n">
        <v>33</v>
      </c>
      <c r="AGH37" s="12">
        <f>MOD(AGG37-1+LaunchMonth-1,12)+1</f>
        <v/>
      </c>
      <c r="AGI37" s="12">
        <f>INT((AGG37-1+LaunchMonth-1)/12)+1</f>
        <v/>
      </c>
      <c r="AGJ37" s="12">
        <f>VLOOKUP(AGH37,SeasonTable,2,FALSE)</f>
        <v/>
      </c>
      <c r="AGK37" s="12">
        <f>(1+InflationRate)^INT((AGG37-1)/12)</f>
        <v/>
      </c>
      <c r="AGL37" s="11">
        <f>MonthlyChurn*VLOOKUP(AGH37,ChurnSeasonTable,4,FALSE)</f>
        <v/>
      </c>
      <c r="AGM37" s="12">
        <f>MIN(MAX(MktMin19plus,AHK36*MktPct19plus),MAX(0,AHY36-CashBuffer))</f>
        <v/>
      </c>
      <c r="AGN37" s="12">
        <f>IF(AGM37&gt;0,MAX(1,ROUND(AGM37/CAC*AGJ37,0)),0)</f>
        <v/>
      </c>
      <c r="AGO37" s="12">
        <f>IF(AGN37&gt;0,ROUND(AGN37*ReferralMix/(1-ReferralMix),0),0)</f>
        <v/>
      </c>
      <c r="AGP37" s="12">
        <f>AGN37+AGO37</f>
        <v/>
      </c>
      <c r="AGQ37" s="12">
        <f>ROUND(AGP37*(1-'Sens - Annual Mix'!$A$15),0)</f>
        <v/>
      </c>
      <c r="AGR37" s="12">
        <f>AGP37-AGQ37</f>
        <v/>
      </c>
      <c r="AGS37" s="12">
        <f>ROUND(AGQ37*EssentialMix,0)</f>
        <v/>
      </c>
      <c r="AGT37" s="12">
        <f>ROUND(AGQ37*PremiumMix,0)</f>
        <v/>
      </c>
      <c r="AGU37" s="12">
        <f>AGQ37-AGS37-AGT37</f>
        <v/>
      </c>
      <c r="AGV37" s="12">
        <f>ROUND(AGR37*EssentialMix,0)</f>
        <v/>
      </c>
      <c r="AGW37" s="12">
        <f>ROUND(AGR37*PremiumMix,0)</f>
        <v/>
      </c>
      <c r="AGX37" s="12">
        <f>AGR37-AGV37-AGW37</f>
        <v/>
      </c>
      <c r="AGY37" s="12">
        <f>AGS37+AGS36+AGS35+MAX(0,AGY36-AGS36-AGS35)*(1-AGL37)</f>
        <v/>
      </c>
      <c r="AGZ37" s="12">
        <f>AGT37+AGT36+AGT35+MAX(0,AGZ36-AGT36-AGT35)*(1-AGL37)</f>
        <v/>
      </c>
      <c r="AHA37" s="12">
        <f>AGU37+AGU36+AGU35+MAX(0,AHA36-AGU36-AGU35)*(1-AGL37)</f>
        <v/>
      </c>
      <c r="AHB37" s="12">
        <f>AHB36+AGV37-AGV25*(AnnualChurn*VLOOKUP(AGH37,ChurnSeasonTable,4,FALSE))*POWER(1-(AnnualChurn*VLOOKUP(AGH37,ChurnSeasonTable,4,FALSE)),0)+AGV13*(AnnualChurn*VLOOKUP(AGH37,ChurnSeasonTable,4,FALSE))*POWER(1-(AnnualChurn*VLOOKUP(AGH37,ChurnSeasonTable,4,FALSE)),1)</f>
        <v/>
      </c>
      <c r="AHC37" s="12">
        <f>AHC36+AGW37-AGW25*(AnnualChurn*VLOOKUP(AGH37,ChurnSeasonTable,4,FALSE))*POWER(1-(AnnualChurn*VLOOKUP(AGH37,ChurnSeasonTable,4,FALSE)),0)+AGW13*(AnnualChurn*VLOOKUP(AGH37,ChurnSeasonTable,4,FALSE))*POWER(1-(AnnualChurn*VLOOKUP(AGH37,ChurnSeasonTable,4,FALSE)),1)</f>
        <v/>
      </c>
      <c r="AHD37" s="12">
        <f>AHD36+AGX37-AGX25*(AnnualChurn*VLOOKUP(AGH37,ChurnSeasonTable,4,FALSE))*POWER(1-(AnnualChurn*VLOOKUP(AGH37,ChurnSeasonTable,4,FALSE)),0)+AGX13*(AnnualChurn*VLOOKUP(AGH37,ChurnSeasonTable,4,FALSE))*POWER(1-(AnnualChurn*VLOOKUP(AGH37,ChurnSeasonTable,4,FALSE)),1)</f>
        <v/>
      </c>
      <c r="AHE37" s="12">
        <f>AGY37+AGZ37+AHA37+AHB37+AHC37+AHD37</f>
        <v/>
      </c>
      <c r="AHF37" s="9">
        <f>AGY37*BlendedPriceEssMonthly*AGK37+AGZ37*BlendedPricePremMonthly*AGK37+AHA37*BlendedPriceEliteMonthly*AGK37+AHB37*BlendedPriceEssAnnual*AGK37/12+AHC37*BlendedPricePremAnnual*AGK37/12+AHD37*BlendedPriceEliteAnnual*AGK37/12</f>
        <v/>
      </c>
      <c r="AHG37" s="9">
        <f>AHF37*12</f>
        <v/>
      </c>
      <c r="AHH37" s="12">
        <f>AGY37*BlendedPriceEssMonthly*AGK37+AGZ37*BlendedPricePremMonthly*AGK37+AHA37*BlendedPriceEliteMonthly*AGK37</f>
        <v/>
      </c>
      <c r="AHI37" s="12">
        <f>AGV37*BlendedPriceEssAnnual*AGK37+AGW37*BlendedPricePremAnnual*AGK37+AGX37*BlendedPriceEliteAnnual*AGK37</f>
        <v/>
      </c>
      <c r="AHJ37" s="12">
        <f>AGV25*POWER(1-(AnnualChurn*VLOOKUP(AGH37,ChurnSeasonTable,4,FALSE)),1)*BlendedPriceEssAnnual*AGK37+AGV13*POWER(1-(AnnualChurn*VLOOKUP(AGH37,ChurnSeasonTable,4,FALSE)),2)*BlendedPriceEssAnnual*AGK37+AGW25*POWER(1-(AnnualChurn*VLOOKUP(AGH37,ChurnSeasonTable,4,FALSE)),1)*BlendedPricePremAnnual*AGK37+AGW13*POWER(1-(AnnualChurn*VLOOKUP(AGH37,ChurnSeasonTable,4,FALSE)),2)*BlendedPricePremAnnual*AGK37+AGX25*POWER(1-(AnnualChurn*VLOOKUP(AGH37,ChurnSeasonTable,4,FALSE)),1)*BlendedPriceEliteAnnual*AGK37+AGX13*POWER(1-(AnnualChurn*VLOOKUP(AGH37,ChurnSeasonTable,4,FALSE)),2)*BlendedPriceEliteAnnual*AGK37</f>
        <v/>
      </c>
      <c r="AHK37" s="9">
        <f>AHH37+AHI37+AHJ37</f>
        <v/>
      </c>
      <c r="AHL37" s="12">
        <f>SUM(AHK26:AHK37)</f>
        <v/>
      </c>
      <c r="AHM37" s="12">
        <f>OR(AHM36,IF(VATAgentMode,SUM($AHK26:$AHK37)-SUM($AHR26:$AHR37)&gt;=VATThreshold,SUM($AHK26:$AHK37)&gt;=VATThreshold))</f>
        <v/>
      </c>
      <c r="AHN37" s="9">
        <f>IF(AHM37,IF(VATAgentMode,AHK37-((AHK37-AHR37)-(AHK37-AHR37)/(1+VATRate)),AHK37/(1+VATRate)),AHK37)</f>
        <v/>
      </c>
      <c r="AHO37" s="12">
        <f>AHK37-AHN37</f>
        <v/>
      </c>
      <c r="AHP37" s="12">
        <f>IF(AHM37=0,0,IF(AGH37=1,SUMPRODUCT(--(($AGI$5:$AGI37=$AGI37-1)*($AGH$5:$AGH37&gt;=10)*($AGH$5:$AGH37&lt;=12)),$AHO$5:$AHO37),IF(AGH37=4,SUMPRODUCT(--(($AGI$5:$AGI37=$AGI37)*($AGH$5:$AGH37&gt;=1)*($AGH$5:$AGH37&lt;=3)),$AHO$5:$AHO37),IF(AGH37=7,SUMPRODUCT(--(($AGI$5:$AGI37=$AGI37)*($AGH$5:$AGH37&gt;=4)*($AGH$5:$AGH37&lt;=6)),$AHO$5:$AHO37),IF(AGH37=10,SUMPRODUCT(--(($AGI$5:$AGI37=$AGI37)*($AGH$5:$AGH37&gt;=7)*($AGH$5:$AGH37&lt;=9)),$AHO$5:$AHO37),0)))))</f>
        <v/>
      </c>
      <c r="AHQ37" s="12">
        <f>AHQ36+AHO37-AHP37</f>
        <v/>
      </c>
      <c r="AHR37" s="12">
        <f>IF(ProviderDelay&gt;=1,AGY36*BlendedProvPayEss+AGZ36*BlendedProvPayPrem+AHA36*BlendedProvPayElite+AHB36*BlendedProvPayEss+AHC36*BlendedProvPayPrem+AHD36*BlendedProvPayElite,AGY37*BlendedProvPayEss+AGZ37*BlendedProvPayPrem+AHA37*BlendedProvPayElite+AHB37*BlendedProvPayEss+AHC37*BlendedProvPayPrem+AHD37*BlendedProvPayElite)</f>
        <v/>
      </c>
      <c r="AHS37" s="12">
        <f>AHK37*PaymentFee</f>
        <v/>
      </c>
      <c r="AHT37" s="12">
        <f>AHE37*OpsAI</f>
        <v/>
      </c>
      <c r="AHU37" s="12">
        <f>MonthlyFixed</f>
        <v/>
      </c>
      <c r="AHV37" s="12">
        <f>AGO37*ReferralReward</f>
        <v/>
      </c>
      <c r="AHW37" s="12">
        <f>AGM37</f>
        <v/>
      </c>
      <c r="AHX37" s="9">
        <f>AHN37-AHR37-AHS37-AHT37-AHU37-AHV37-AHW37</f>
        <v/>
      </c>
      <c r="AHY37" s="9">
        <f>AHY36+AHK37-(AHR37+AHS37+AHT37+AHU37+AHV37+AHW37+AHP37)</f>
        <v/>
      </c>
      <c r="AHZ37" s="12">
        <f>IF(AHE37&gt;0,AHF37/AHE37,0)</f>
        <v/>
      </c>
      <c r="AIA37" s="11">
        <f>IF(AHE36&gt;0,MAX(0,(AHE36+AGP37-AHE37)/AHE36),0)</f>
        <v/>
      </c>
      <c r="AIC37" s="12" t="n">
        <v>33</v>
      </c>
      <c r="AID37" s="12">
        <f>MOD(AIC37-1+LaunchMonth-1,12)+1</f>
        <v/>
      </c>
      <c r="AIE37" s="12">
        <f>INT((AIC37-1+LaunchMonth-1)/12)+1</f>
        <v/>
      </c>
      <c r="AIF37" s="12">
        <f>VLOOKUP(AID37,SeasonTable,2,FALSE)</f>
        <v/>
      </c>
      <c r="AIG37" s="12">
        <f>(1+InflationRate)^INT((AIC37-1)/12)</f>
        <v/>
      </c>
      <c r="AIH37" s="11">
        <f>MonthlyChurn*VLOOKUP(AID37,ChurnSeasonTable,4,FALSE)</f>
        <v/>
      </c>
      <c r="AII37" s="12">
        <f>MIN(MAX(MktMin19plus,AJG36*MktPct19plus),MAX(0,AJU36-CashBuffer))</f>
        <v/>
      </c>
      <c r="AIJ37" s="12">
        <f>IF(AII37&gt;0,MAX(1,ROUND(AII37/'Sens - CAC &amp; Marketing'!$A$9*AIF37,0)),0)</f>
        <v/>
      </c>
      <c r="AIK37" s="12">
        <f>IF(AIJ37&gt;0,ROUND(AIJ37*ReferralMix/(1-ReferralMix),0),0)</f>
        <v/>
      </c>
      <c r="AIL37" s="12">
        <f>AIJ37+AIK37</f>
        <v/>
      </c>
      <c r="AIM37" s="12">
        <f>ROUND(AIL37*(1-AnnualMix),0)</f>
        <v/>
      </c>
      <c r="AIN37" s="12">
        <f>AIL37-AIM37</f>
        <v/>
      </c>
      <c r="AIO37" s="12">
        <f>ROUND(AIM37*EssentialMix,0)</f>
        <v/>
      </c>
      <c r="AIP37" s="12">
        <f>ROUND(AIM37*PremiumMix,0)</f>
        <v/>
      </c>
      <c r="AIQ37" s="12">
        <f>AIM37-AIO37-AIP37</f>
        <v/>
      </c>
      <c r="AIR37" s="12">
        <f>ROUND(AIN37*EssentialMix,0)</f>
        <v/>
      </c>
      <c r="AIS37" s="12">
        <f>ROUND(AIN37*PremiumMix,0)</f>
        <v/>
      </c>
      <c r="AIT37" s="12">
        <f>AIN37-AIR37-AIS37</f>
        <v/>
      </c>
      <c r="AIU37" s="12">
        <f>AIO37+AIO36+AIO35+MAX(0,AIU36-AIO36-AIO35)*(1-AIH37)</f>
        <v/>
      </c>
      <c r="AIV37" s="12">
        <f>AIP37+AIP36+AIP35+MAX(0,AIV36-AIP36-AIP35)*(1-AIH37)</f>
        <v/>
      </c>
      <c r="AIW37" s="12">
        <f>AIQ37+AIQ36+AIQ35+MAX(0,AIW36-AIQ36-AIQ35)*(1-AIH37)</f>
        <v/>
      </c>
      <c r="AIX37" s="12">
        <f>AIX36+AIR37-AIR25*(AnnualChurn*VLOOKUP(AID37,ChurnSeasonTable,4,FALSE))*POWER(1-(AnnualChurn*VLOOKUP(AID37,ChurnSeasonTable,4,FALSE)),0)+AIR13*(AnnualChurn*VLOOKUP(AID37,ChurnSeasonTable,4,FALSE))*POWER(1-(AnnualChurn*VLOOKUP(AID37,ChurnSeasonTable,4,FALSE)),1)</f>
        <v/>
      </c>
      <c r="AIY37" s="12">
        <f>AIY36+AIS37-AIS25*(AnnualChurn*VLOOKUP(AID37,ChurnSeasonTable,4,FALSE))*POWER(1-(AnnualChurn*VLOOKUP(AID37,ChurnSeasonTable,4,FALSE)),0)+AIS13*(AnnualChurn*VLOOKUP(AID37,ChurnSeasonTable,4,FALSE))*POWER(1-(AnnualChurn*VLOOKUP(AID37,ChurnSeasonTable,4,FALSE)),1)</f>
        <v/>
      </c>
      <c r="AIZ37" s="12">
        <f>AIZ36+AIT37-AIT25*(AnnualChurn*VLOOKUP(AID37,ChurnSeasonTable,4,FALSE))*POWER(1-(AnnualChurn*VLOOKUP(AID37,ChurnSeasonTable,4,FALSE)),0)+AIT13*(AnnualChurn*VLOOKUP(AID37,ChurnSeasonTable,4,FALSE))*POWER(1-(AnnualChurn*VLOOKUP(AID37,ChurnSeasonTable,4,FALSE)),1)</f>
        <v/>
      </c>
      <c r="AJA37" s="12">
        <f>AIU37+AIV37+AIW37+AIX37+AIY37+AIZ37</f>
        <v/>
      </c>
      <c r="AJB37" s="9">
        <f>AIU37*BlendedPriceEssMonthly*AIG37+AIV37*BlendedPricePremMonthly*AIG37+AIW37*BlendedPriceEliteMonthly*AIG37+AIX37*BlendedPriceEssAnnual*AIG37/12+AIY37*BlendedPricePremAnnual*AIG37/12+AIZ37*BlendedPriceEliteAnnual*AIG37/12</f>
        <v/>
      </c>
      <c r="AJC37" s="9">
        <f>AJB37*12</f>
        <v/>
      </c>
      <c r="AJD37" s="12">
        <f>AIU37*BlendedPriceEssMonthly*AIG37+AIV37*BlendedPricePremMonthly*AIG37+AIW37*BlendedPriceEliteMonthly*AIG37</f>
        <v/>
      </c>
      <c r="AJE37" s="12">
        <f>AIR37*BlendedPriceEssAnnual*AIG37+AIS37*BlendedPricePremAnnual*AIG37+AIT37*BlendedPriceEliteAnnual*AIG37</f>
        <v/>
      </c>
      <c r="AJF37" s="12">
        <f>AIR25*POWER(1-(AnnualChurn*VLOOKUP(AID37,ChurnSeasonTable,4,FALSE)),1)*BlendedPriceEssAnnual*AIG37+AIR13*POWER(1-(AnnualChurn*VLOOKUP(AID37,ChurnSeasonTable,4,FALSE)),2)*BlendedPriceEssAnnual*AIG37+AIS25*POWER(1-(AnnualChurn*VLOOKUP(AID37,ChurnSeasonTable,4,FALSE)),1)*BlendedPricePremAnnual*AIG37+AIS13*POWER(1-(AnnualChurn*VLOOKUP(AID37,ChurnSeasonTable,4,FALSE)),2)*BlendedPricePremAnnual*AIG37+AIT25*POWER(1-(AnnualChurn*VLOOKUP(AID37,ChurnSeasonTable,4,FALSE)),1)*BlendedPriceEliteAnnual*AIG37+AIT13*POWER(1-(AnnualChurn*VLOOKUP(AID37,ChurnSeasonTable,4,FALSE)),2)*BlendedPriceEliteAnnual*AIG37</f>
        <v/>
      </c>
      <c r="AJG37" s="9">
        <f>AJD37+AJE37+AJF37</f>
        <v/>
      </c>
      <c r="AJH37" s="12">
        <f>SUM(AJG26:AJG37)</f>
        <v/>
      </c>
      <c r="AJI37" s="12">
        <f>OR(AJI36,IF(VATAgentMode,SUM($AJG26:$AJG37)-SUM($AJN26:$AJN37)&gt;=VATThreshold,SUM($AJG26:$AJG37)&gt;=VATThreshold))</f>
        <v/>
      </c>
      <c r="AJJ37" s="9">
        <f>IF(AJI37,IF(VATAgentMode,AJG37-((AJG37-AJN37)-(AJG37-AJN37)/(1+VATRate)),AJG37/(1+VATRate)),AJG37)</f>
        <v/>
      </c>
      <c r="AJK37" s="12">
        <f>AJG37-AJJ37</f>
        <v/>
      </c>
      <c r="AJL37" s="12">
        <f>IF(AJI37=0,0,IF(AID37=1,SUMPRODUCT(--(($AIE$5:$AIE37=$AIE37-1)*($AID$5:$AID37&gt;=10)*($AID$5:$AID37&lt;=12)),$AJK$5:$AJK37),IF(AID37=4,SUMPRODUCT(--(($AIE$5:$AIE37=$AIE37)*($AID$5:$AID37&gt;=1)*($AID$5:$AID37&lt;=3)),$AJK$5:$AJK37),IF(AID37=7,SUMPRODUCT(--(($AIE$5:$AIE37=$AIE37)*($AID$5:$AID37&gt;=4)*($AID$5:$AID37&lt;=6)),$AJK$5:$AJK37),IF(AID37=10,SUMPRODUCT(--(($AIE$5:$AIE37=$AIE37)*($AID$5:$AID37&gt;=7)*($AID$5:$AID37&lt;=9)),$AJK$5:$AJK37),0)))))</f>
        <v/>
      </c>
      <c r="AJM37" s="12">
        <f>AJM36+AJK37-AJL37</f>
        <v/>
      </c>
      <c r="AJN37" s="12">
        <f>IF(ProviderDelay&gt;=1,AIU36*BlendedProvPayEss+AIV36*BlendedProvPayPrem+AIW36*BlendedProvPayElite+AIX36*BlendedProvPayEss+AIY36*BlendedProvPayPrem+AIZ36*BlendedProvPayElite,AIU37*BlendedProvPayEss+AIV37*BlendedProvPayPrem+AIW37*BlendedProvPayElite+AIX37*BlendedProvPayEss+AIY37*BlendedProvPayPrem+AIZ37*BlendedProvPayElite)</f>
        <v/>
      </c>
      <c r="AJO37" s="12">
        <f>AJG37*PaymentFee</f>
        <v/>
      </c>
      <c r="AJP37" s="12">
        <f>AJA37*OpsAI</f>
        <v/>
      </c>
      <c r="AJQ37" s="12">
        <f>MonthlyFixed</f>
        <v/>
      </c>
      <c r="AJR37" s="12">
        <f>AIK37*ReferralReward</f>
        <v/>
      </c>
      <c r="AJS37" s="12">
        <f>AII37</f>
        <v/>
      </c>
      <c r="AJT37" s="9">
        <f>AJJ37-AJN37-AJO37-AJP37-AJQ37-AJR37-AJS37</f>
        <v/>
      </c>
      <c r="AJU37" s="9">
        <f>AJU36+AJG37-(AJN37+AJO37+AJP37+AJQ37+AJR37+AJS37+AJL37)</f>
        <v/>
      </c>
      <c r="AJV37" s="12">
        <f>IF(AJA37&gt;0,AJB37/AJA37,0)</f>
        <v/>
      </c>
      <c r="AJW37" s="11">
        <f>IF(AJA36&gt;0,MAX(0,(AJA36+AIL37-AJA37)/AJA36),0)</f>
        <v/>
      </c>
      <c r="AJY37" s="12" t="n">
        <v>33</v>
      </c>
      <c r="AJZ37" s="12">
        <f>MOD(AJY37-1+LaunchMonth-1,12)+1</f>
        <v/>
      </c>
      <c r="AKA37" s="12">
        <f>INT((AJY37-1+LaunchMonth-1)/12)+1</f>
        <v/>
      </c>
      <c r="AKB37" s="12">
        <f>VLOOKUP(AJZ37,SeasonTable,2,FALSE)</f>
        <v/>
      </c>
      <c r="AKC37" s="12">
        <f>(1+InflationRate)^INT((AJY37-1)/12)</f>
        <v/>
      </c>
      <c r="AKD37" s="11">
        <f>MonthlyChurn*VLOOKUP(AJZ37,ChurnSeasonTable,4,FALSE)</f>
        <v/>
      </c>
      <c r="AKE37" s="12">
        <f>MIN(MAX(MktMin19plus,ALC36*MktPct19plus),MAX(0,ALQ36-CashBuffer))</f>
        <v/>
      </c>
      <c r="AKF37" s="12">
        <f>IF(AKE37&gt;0,MAX(1,ROUND(AKE37/'Sens - CAC &amp; Marketing'!$A$10*AKB37,0)),0)</f>
        <v/>
      </c>
      <c r="AKG37" s="12">
        <f>IF(AKF37&gt;0,ROUND(AKF37*ReferralMix/(1-ReferralMix),0),0)</f>
        <v/>
      </c>
      <c r="AKH37" s="12">
        <f>AKF37+AKG37</f>
        <v/>
      </c>
      <c r="AKI37" s="12">
        <f>ROUND(AKH37*(1-AnnualMix),0)</f>
        <v/>
      </c>
      <c r="AKJ37" s="12">
        <f>AKH37-AKI37</f>
        <v/>
      </c>
      <c r="AKK37" s="12">
        <f>ROUND(AKI37*EssentialMix,0)</f>
        <v/>
      </c>
      <c r="AKL37" s="12">
        <f>ROUND(AKI37*PremiumMix,0)</f>
        <v/>
      </c>
      <c r="AKM37" s="12">
        <f>AKI37-AKK37-AKL37</f>
        <v/>
      </c>
      <c r="AKN37" s="12">
        <f>ROUND(AKJ37*EssentialMix,0)</f>
        <v/>
      </c>
      <c r="AKO37" s="12">
        <f>ROUND(AKJ37*PremiumMix,0)</f>
        <v/>
      </c>
      <c r="AKP37" s="12">
        <f>AKJ37-AKN37-AKO37</f>
        <v/>
      </c>
      <c r="AKQ37" s="12">
        <f>AKK37+AKK36+AKK35+MAX(0,AKQ36-AKK36-AKK35)*(1-AKD37)</f>
        <v/>
      </c>
      <c r="AKR37" s="12">
        <f>AKL37+AKL36+AKL35+MAX(0,AKR36-AKL36-AKL35)*(1-AKD37)</f>
        <v/>
      </c>
      <c r="AKS37" s="12">
        <f>AKM37+AKM36+AKM35+MAX(0,AKS36-AKM36-AKM35)*(1-AKD37)</f>
        <v/>
      </c>
      <c r="AKT37" s="12">
        <f>AKT36+AKN37-AKN25*(AnnualChurn*VLOOKUP(AJZ37,ChurnSeasonTable,4,FALSE))*POWER(1-(AnnualChurn*VLOOKUP(AJZ37,ChurnSeasonTable,4,FALSE)),0)+AKN13*(AnnualChurn*VLOOKUP(AJZ37,ChurnSeasonTable,4,FALSE))*POWER(1-(AnnualChurn*VLOOKUP(AJZ37,ChurnSeasonTable,4,FALSE)),1)</f>
        <v/>
      </c>
      <c r="AKU37" s="12">
        <f>AKU36+AKO37-AKO25*(AnnualChurn*VLOOKUP(AJZ37,ChurnSeasonTable,4,FALSE))*POWER(1-(AnnualChurn*VLOOKUP(AJZ37,ChurnSeasonTable,4,FALSE)),0)+AKO13*(AnnualChurn*VLOOKUP(AJZ37,ChurnSeasonTable,4,FALSE))*POWER(1-(AnnualChurn*VLOOKUP(AJZ37,ChurnSeasonTable,4,FALSE)),1)</f>
        <v/>
      </c>
      <c r="AKV37" s="12">
        <f>AKV36+AKP37-AKP25*(AnnualChurn*VLOOKUP(AJZ37,ChurnSeasonTable,4,FALSE))*POWER(1-(AnnualChurn*VLOOKUP(AJZ37,ChurnSeasonTable,4,FALSE)),0)+AKP13*(AnnualChurn*VLOOKUP(AJZ37,ChurnSeasonTable,4,FALSE))*POWER(1-(AnnualChurn*VLOOKUP(AJZ37,ChurnSeasonTable,4,FALSE)),1)</f>
        <v/>
      </c>
      <c r="AKW37" s="12">
        <f>AKQ37+AKR37+AKS37+AKT37+AKU37+AKV37</f>
        <v/>
      </c>
      <c r="AKX37" s="9">
        <f>AKQ37*BlendedPriceEssMonthly*AKC37+AKR37*BlendedPricePremMonthly*AKC37+AKS37*BlendedPriceEliteMonthly*AKC37+AKT37*BlendedPriceEssAnnual*AKC37/12+AKU37*BlendedPricePremAnnual*AKC37/12+AKV37*BlendedPriceEliteAnnual*AKC37/12</f>
        <v/>
      </c>
      <c r="AKY37" s="9">
        <f>AKX37*12</f>
        <v/>
      </c>
      <c r="AKZ37" s="12">
        <f>AKQ37*BlendedPriceEssMonthly*AKC37+AKR37*BlendedPricePremMonthly*AKC37+AKS37*BlendedPriceEliteMonthly*AKC37</f>
        <v/>
      </c>
      <c r="ALA37" s="12">
        <f>AKN37*BlendedPriceEssAnnual*AKC37+AKO37*BlendedPricePremAnnual*AKC37+AKP37*BlendedPriceEliteAnnual*AKC37</f>
        <v/>
      </c>
      <c r="ALB37" s="12">
        <f>AKN25*POWER(1-(AnnualChurn*VLOOKUP(AJZ37,ChurnSeasonTable,4,FALSE)),1)*BlendedPriceEssAnnual*AKC37+AKN13*POWER(1-(AnnualChurn*VLOOKUP(AJZ37,ChurnSeasonTable,4,FALSE)),2)*BlendedPriceEssAnnual*AKC37+AKO25*POWER(1-(AnnualChurn*VLOOKUP(AJZ37,ChurnSeasonTable,4,FALSE)),1)*BlendedPricePremAnnual*AKC37+AKO13*POWER(1-(AnnualChurn*VLOOKUP(AJZ37,ChurnSeasonTable,4,FALSE)),2)*BlendedPricePremAnnual*AKC37+AKP25*POWER(1-(AnnualChurn*VLOOKUP(AJZ37,ChurnSeasonTable,4,FALSE)),1)*BlendedPriceEliteAnnual*AKC37+AKP13*POWER(1-(AnnualChurn*VLOOKUP(AJZ37,ChurnSeasonTable,4,FALSE)),2)*BlendedPriceEliteAnnual*AKC37</f>
        <v/>
      </c>
      <c r="ALC37" s="9">
        <f>AKZ37+ALA37+ALB37</f>
        <v/>
      </c>
      <c r="ALD37" s="12">
        <f>SUM(ALC26:ALC37)</f>
        <v/>
      </c>
      <c r="ALE37" s="12">
        <f>OR(ALE36,IF(VATAgentMode,SUM($ALC26:$ALC37)-SUM($ALJ26:$ALJ37)&gt;=VATThreshold,SUM($ALC26:$ALC37)&gt;=VATThreshold))</f>
        <v/>
      </c>
      <c r="ALF37" s="9">
        <f>IF(ALE37,IF(VATAgentMode,ALC37-((ALC37-ALJ37)-(ALC37-ALJ37)/(1+VATRate)),ALC37/(1+VATRate)),ALC37)</f>
        <v/>
      </c>
      <c r="ALG37" s="12">
        <f>ALC37-ALF37</f>
        <v/>
      </c>
      <c r="ALH37" s="12">
        <f>IF(ALE37=0,0,IF(AJZ37=1,SUMPRODUCT(--(($AKA$5:$AKA37=$AKA37-1)*($AJZ$5:$AJZ37&gt;=10)*($AJZ$5:$AJZ37&lt;=12)),$ALG$5:$ALG37),IF(AJZ37=4,SUMPRODUCT(--(($AKA$5:$AKA37=$AKA37)*($AJZ$5:$AJZ37&gt;=1)*($AJZ$5:$AJZ37&lt;=3)),$ALG$5:$ALG37),IF(AJZ37=7,SUMPRODUCT(--(($AKA$5:$AKA37=$AKA37)*($AJZ$5:$AJZ37&gt;=4)*($AJZ$5:$AJZ37&lt;=6)),$ALG$5:$ALG37),IF(AJZ37=10,SUMPRODUCT(--(($AKA$5:$AKA37=$AKA37)*($AJZ$5:$AJZ37&gt;=7)*($AJZ$5:$AJZ37&lt;=9)),$ALG$5:$ALG37),0)))))</f>
        <v/>
      </c>
      <c r="ALI37" s="12">
        <f>ALI36+ALG37-ALH37</f>
        <v/>
      </c>
      <c r="ALJ37" s="12">
        <f>IF(ProviderDelay&gt;=1,AKQ36*BlendedProvPayEss+AKR36*BlendedProvPayPrem+AKS36*BlendedProvPayElite+AKT36*BlendedProvPayEss+AKU36*BlendedProvPayPrem+AKV36*BlendedProvPayElite,AKQ37*BlendedProvPayEss+AKR37*BlendedProvPayPrem+AKS37*BlendedProvPayElite+AKT37*BlendedProvPayEss+AKU37*BlendedProvPayPrem+AKV37*BlendedProvPayElite)</f>
        <v/>
      </c>
      <c r="ALK37" s="12">
        <f>ALC37*PaymentFee</f>
        <v/>
      </c>
      <c r="ALL37" s="12">
        <f>AKW37*OpsAI</f>
        <v/>
      </c>
      <c r="ALM37" s="12">
        <f>MonthlyFixed</f>
        <v/>
      </c>
      <c r="ALN37" s="12">
        <f>AKG37*ReferralReward</f>
        <v/>
      </c>
      <c r="ALO37" s="12">
        <f>AKE37</f>
        <v/>
      </c>
      <c r="ALP37" s="9">
        <f>ALF37-ALJ37-ALK37-ALL37-ALM37-ALN37-ALO37</f>
        <v/>
      </c>
      <c r="ALQ37" s="9">
        <f>ALQ36+ALC37-(ALJ37+ALK37+ALL37+ALM37+ALN37+ALO37+ALH37)</f>
        <v/>
      </c>
      <c r="ALR37" s="12">
        <f>IF(AKW37&gt;0,AKX37/AKW37,0)</f>
        <v/>
      </c>
      <c r="ALS37" s="11">
        <f>IF(AKW36&gt;0,MAX(0,(AKW36+AKH37-AKW37)/AKW36),0)</f>
        <v/>
      </c>
      <c r="ALU37" s="12" t="n">
        <v>33</v>
      </c>
      <c r="ALV37" s="12">
        <f>MOD(ALU37-1+LaunchMonth-1,12)+1</f>
        <v/>
      </c>
      <c r="ALW37" s="12">
        <f>INT((ALU37-1+LaunchMonth-1)/12)+1</f>
        <v/>
      </c>
      <c r="ALX37" s="12">
        <f>VLOOKUP(ALV37,SeasonTable,2,FALSE)</f>
        <v/>
      </c>
      <c r="ALY37" s="12">
        <f>(1+InflationRate)^INT((ALU37-1)/12)</f>
        <v/>
      </c>
      <c r="ALZ37" s="11">
        <f>MonthlyChurn*VLOOKUP(ALV37,ChurnSeasonTable,4,FALSE)</f>
        <v/>
      </c>
      <c r="AMA37" s="12">
        <f>MIN(MAX(MktMin19plus,AMY36*MktPct19plus),MAX(0,ANM36-CashBuffer))</f>
        <v/>
      </c>
      <c r="AMB37" s="12">
        <f>IF(AMA37&gt;0,MAX(1,ROUND(AMA37/'Sens - CAC &amp; Marketing'!$A$11*ALX37,0)),0)</f>
        <v/>
      </c>
      <c r="AMC37" s="12">
        <f>IF(AMB37&gt;0,ROUND(AMB37*ReferralMix/(1-ReferralMix),0),0)</f>
        <v/>
      </c>
      <c r="AMD37" s="12">
        <f>AMB37+AMC37</f>
        <v/>
      </c>
      <c r="AME37" s="12">
        <f>ROUND(AMD37*(1-AnnualMix),0)</f>
        <v/>
      </c>
      <c r="AMF37" s="12">
        <f>AMD37-AME37</f>
        <v/>
      </c>
      <c r="AMG37" s="12">
        <f>ROUND(AME37*EssentialMix,0)</f>
        <v/>
      </c>
      <c r="AMH37" s="12">
        <f>ROUND(AME37*PremiumMix,0)</f>
        <v/>
      </c>
      <c r="AMI37" s="12">
        <f>AME37-AMG37-AMH37</f>
        <v/>
      </c>
      <c r="AMJ37" s="12">
        <f>ROUND(AMF37*EssentialMix,0)</f>
        <v/>
      </c>
      <c r="AMK37" s="12">
        <f>ROUND(AMF37*PremiumMix,0)</f>
        <v/>
      </c>
      <c r="AML37" s="12">
        <f>AMF37-AMJ37-AMK37</f>
        <v/>
      </c>
      <c r="AMM37" s="12">
        <f>AMG37+AMG36+AMG35+MAX(0,AMM36-AMG36-AMG35)*(1-ALZ37)</f>
        <v/>
      </c>
      <c r="AMN37" s="12">
        <f>AMH37+AMH36+AMH35+MAX(0,AMN36-AMH36-AMH35)*(1-ALZ37)</f>
        <v/>
      </c>
      <c r="AMO37" s="12">
        <f>AMI37+AMI36+AMI35+MAX(0,AMO36-AMI36-AMI35)*(1-ALZ37)</f>
        <v/>
      </c>
      <c r="AMP37" s="12">
        <f>AMP36+AMJ37-AMJ25*(AnnualChurn*VLOOKUP(ALV37,ChurnSeasonTable,4,FALSE))*POWER(1-(AnnualChurn*VLOOKUP(ALV37,ChurnSeasonTable,4,FALSE)),0)+AMJ13*(AnnualChurn*VLOOKUP(ALV37,ChurnSeasonTable,4,FALSE))*POWER(1-(AnnualChurn*VLOOKUP(ALV37,ChurnSeasonTable,4,FALSE)),1)</f>
        <v/>
      </c>
      <c r="AMQ37" s="12">
        <f>AMQ36+AMK37-AMK25*(AnnualChurn*VLOOKUP(ALV37,ChurnSeasonTable,4,FALSE))*POWER(1-(AnnualChurn*VLOOKUP(ALV37,ChurnSeasonTable,4,FALSE)),0)+AMK13*(AnnualChurn*VLOOKUP(ALV37,ChurnSeasonTable,4,FALSE))*POWER(1-(AnnualChurn*VLOOKUP(ALV37,ChurnSeasonTable,4,FALSE)),1)</f>
        <v/>
      </c>
      <c r="AMR37" s="12">
        <f>AMR36+AML37-AML25*(AnnualChurn*VLOOKUP(ALV37,ChurnSeasonTable,4,FALSE))*POWER(1-(AnnualChurn*VLOOKUP(ALV37,ChurnSeasonTable,4,FALSE)),0)+AML13*(AnnualChurn*VLOOKUP(ALV37,ChurnSeasonTable,4,FALSE))*POWER(1-(AnnualChurn*VLOOKUP(ALV37,ChurnSeasonTable,4,FALSE)),1)</f>
        <v/>
      </c>
      <c r="AMS37" s="12">
        <f>AMM37+AMN37+AMO37+AMP37+AMQ37+AMR37</f>
        <v/>
      </c>
      <c r="AMT37" s="9">
        <f>AMM37*BlendedPriceEssMonthly*ALY37+AMN37*BlendedPricePremMonthly*ALY37+AMO37*BlendedPriceEliteMonthly*ALY37+AMP37*BlendedPriceEssAnnual*ALY37/12+AMQ37*BlendedPricePremAnnual*ALY37/12+AMR37*BlendedPriceEliteAnnual*ALY37/12</f>
        <v/>
      </c>
      <c r="AMU37" s="9">
        <f>AMT37*12</f>
        <v/>
      </c>
      <c r="AMV37" s="12">
        <f>AMM37*BlendedPriceEssMonthly*ALY37+AMN37*BlendedPricePremMonthly*ALY37+AMO37*BlendedPriceEliteMonthly*ALY37</f>
        <v/>
      </c>
      <c r="AMW37" s="12">
        <f>AMJ37*BlendedPriceEssAnnual*ALY37+AMK37*BlendedPricePremAnnual*ALY37+AML37*BlendedPriceEliteAnnual*ALY37</f>
        <v/>
      </c>
      <c r="AMX37" s="12">
        <f>AMJ25*POWER(1-(AnnualChurn*VLOOKUP(ALV37,ChurnSeasonTable,4,FALSE)),1)*BlendedPriceEssAnnual*ALY37+AMJ13*POWER(1-(AnnualChurn*VLOOKUP(ALV37,ChurnSeasonTable,4,FALSE)),2)*BlendedPriceEssAnnual*ALY37+AMK25*POWER(1-(AnnualChurn*VLOOKUP(ALV37,ChurnSeasonTable,4,FALSE)),1)*BlendedPricePremAnnual*ALY37+AMK13*POWER(1-(AnnualChurn*VLOOKUP(ALV37,ChurnSeasonTable,4,FALSE)),2)*BlendedPricePremAnnual*ALY37+AML25*POWER(1-(AnnualChurn*VLOOKUP(ALV37,ChurnSeasonTable,4,FALSE)),1)*BlendedPriceEliteAnnual*ALY37+AML13*POWER(1-(AnnualChurn*VLOOKUP(ALV37,ChurnSeasonTable,4,FALSE)),2)*BlendedPriceEliteAnnual*ALY37</f>
        <v/>
      </c>
      <c r="AMY37" s="9">
        <f>AMV37+AMW37+AMX37</f>
        <v/>
      </c>
      <c r="AMZ37" s="12">
        <f>SUM(AMY26:AMY37)</f>
        <v/>
      </c>
      <c r="ANA37" s="12">
        <f>OR(ANA36,IF(VATAgentMode,SUM($AMY26:$AMY37)-SUM($ANF26:$ANF37)&gt;=VATThreshold,SUM($AMY26:$AMY37)&gt;=VATThreshold))</f>
        <v/>
      </c>
      <c r="ANB37" s="9">
        <f>IF(ANA37,IF(VATAgentMode,AMY37-((AMY37-ANF37)-(AMY37-ANF37)/(1+VATRate)),AMY37/(1+VATRate)),AMY37)</f>
        <v/>
      </c>
      <c r="ANC37" s="12">
        <f>AMY37-ANB37</f>
        <v/>
      </c>
      <c r="AND37" s="12">
        <f>IF(ANA37=0,0,IF(ALV37=1,SUMPRODUCT(--(($ALW$5:$ALW37=$ALW37-1)*($ALV$5:$ALV37&gt;=10)*($ALV$5:$ALV37&lt;=12)),$ANC$5:$ANC37),IF(ALV37=4,SUMPRODUCT(--(($ALW$5:$ALW37=$ALW37)*($ALV$5:$ALV37&gt;=1)*($ALV$5:$ALV37&lt;=3)),$ANC$5:$ANC37),IF(ALV37=7,SUMPRODUCT(--(($ALW$5:$ALW37=$ALW37)*($ALV$5:$ALV37&gt;=4)*($ALV$5:$ALV37&lt;=6)),$ANC$5:$ANC37),IF(ALV37=10,SUMPRODUCT(--(($ALW$5:$ALW37=$ALW37)*($ALV$5:$ALV37&gt;=7)*($ALV$5:$ALV37&lt;=9)),$ANC$5:$ANC37),0)))))</f>
        <v/>
      </c>
      <c r="ANE37" s="12">
        <f>ANE36+ANC37-AND37</f>
        <v/>
      </c>
      <c r="ANF37" s="12">
        <f>IF(ProviderDelay&gt;=1,AMM36*BlendedProvPayEss+AMN36*BlendedProvPayPrem+AMO36*BlendedProvPayElite+AMP36*BlendedProvPayEss+AMQ36*BlendedProvPayPrem+AMR36*BlendedProvPayElite,AMM37*BlendedProvPayEss+AMN37*BlendedProvPayPrem+AMO37*BlendedProvPayElite+AMP37*BlendedProvPayEss+AMQ37*BlendedProvPayPrem+AMR37*BlendedProvPayElite)</f>
        <v/>
      </c>
      <c r="ANG37" s="12">
        <f>AMY37*PaymentFee</f>
        <v/>
      </c>
      <c r="ANH37" s="12">
        <f>AMS37*OpsAI</f>
        <v/>
      </c>
      <c r="ANI37" s="12">
        <f>MonthlyFixed</f>
        <v/>
      </c>
      <c r="ANJ37" s="12">
        <f>AMC37*ReferralReward</f>
        <v/>
      </c>
      <c r="ANK37" s="12">
        <f>AMA37</f>
        <v/>
      </c>
      <c r="ANL37" s="9">
        <f>ANB37-ANF37-ANG37-ANH37-ANI37-ANJ37-ANK37</f>
        <v/>
      </c>
      <c r="ANM37" s="9">
        <f>ANM36+AMY37-(ANF37+ANG37+ANH37+ANI37+ANJ37+ANK37+AND37)</f>
        <v/>
      </c>
      <c r="ANN37" s="12">
        <f>IF(AMS37&gt;0,AMT37/AMS37,0)</f>
        <v/>
      </c>
      <c r="ANO37" s="11">
        <f>IF(AMS36&gt;0,MAX(0,(AMS36+AMD37-AMS37)/AMS36),0)</f>
        <v/>
      </c>
      <c r="ANQ37" s="12" t="n">
        <v>33</v>
      </c>
      <c r="ANR37" s="12">
        <f>MOD(ANQ37-1+LaunchMonth-1,12)+1</f>
        <v/>
      </c>
      <c r="ANS37" s="12">
        <f>INT((ANQ37-1+LaunchMonth-1)/12)+1</f>
        <v/>
      </c>
      <c r="ANT37" s="12">
        <f>VLOOKUP(ANR37,SeasonTable,2,FALSE)</f>
        <v/>
      </c>
      <c r="ANU37" s="12">
        <f>(1+InflationRate)^INT((ANQ37-1)/12)</f>
        <v/>
      </c>
      <c r="ANV37" s="11">
        <f>MonthlyChurn*VLOOKUP(ANR37,ChurnSeasonTable,4,FALSE)</f>
        <v/>
      </c>
      <c r="ANW37" s="12">
        <f>MIN(MAX(MktMin19plus,AOU36*MktPct19plus),MAX(0,API36-CashBuffer))</f>
        <v/>
      </c>
      <c r="ANX37" s="12">
        <f>IF(ANW37&gt;0,MAX(1,ROUND(ANW37/'Sens - CAC &amp; Marketing'!$A$12*ANT37,0)),0)</f>
        <v/>
      </c>
      <c r="ANY37" s="12">
        <f>IF(ANX37&gt;0,ROUND(ANX37*ReferralMix/(1-ReferralMix),0),0)</f>
        <v/>
      </c>
      <c r="ANZ37" s="12">
        <f>ANX37+ANY37</f>
        <v/>
      </c>
      <c r="AOA37" s="12">
        <f>ROUND(ANZ37*(1-AnnualMix),0)</f>
        <v/>
      </c>
      <c r="AOB37" s="12">
        <f>ANZ37-AOA37</f>
        <v/>
      </c>
      <c r="AOC37" s="12">
        <f>ROUND(AOA37*EssentialMix,0)</f>
        <v/>
      </c>
      <c r="AOD37" s="12">
        <f>ROUND(AOA37*PremiumMix,0)</f>
        <v/>
      </c>
      <c r="AOE37" s="12">
        <f>AOA37-AOC37-AOD37</f>
        <v/>
      </c>
      <c r="AOF37" s="12">
        <f>ROUND(AOB37*EssentialMix,0)</f>
        <v/>
      </c>
      <c r="AOG37" s="12">
        <f>ROUND(AOB37*PremiumMix,0)</f>
        <v/>
      </c>
      <c r="AOH37" s="12">
        <f>AOB37-AOF37-AOG37</f>
        <v/>
      </c>
      <c r="AOI37" s="12">
        <f>AOC37+AOC36+AOC35+MAX(0,AOI36-AOC36-AOC35)*(1-ANV37)</f>
        <v/>
      </c>
      <c r="AOJ37" s="12">
        <f>AOD37+AOD36+AOD35+MAX(0,AOJ36-AOD36-AOD35)*(1-ANV37)</f>
        <v/>
      </c>
      <c r="AOK37" s="12">
        <f>AOE37+AOE36+AOE35+MAX(0,AOK36-AOE36-AOE35)*(1-ANV37)</f>
        <v/>
      </c>
      <c r="AOL37" s="12">
        <f>AOL36+AOF37-AOF25*(AnnualChurn*VLOOKUP(ANR37,ChurnSeasonTable,4,FALSE))*POWER(1-(AnnualChurn*VLOOKUP(ANR37,ChurnSeasonTable,4,FALSE)),0)+AOF13*(AnnualChurn*VLOOKUP(ANR37,ChurnSeasonTable,4,FALSE))*POWER(1-(AnnualChurn*VLOOKUP(ANR37,ChurnSeasonTable,4,FALSE)),1)</f>
        <v/>
      </c>
      <c r="AOM37" s="12">
        <f>AOM36+AOG37-AOG25*(AnnualChurn*VLOOKUP(ANR37,ChurnSeasonTable,4,FALSE))*POWER(1-(AnnualChurn*VLOOKUP(ANR37,ChurnSeasonTable,4,FALSE)),0)+AOG13*(AnnualChurn*VLOOKUP(ANR37,ChurnSeasonTable,4,FALSE))*POWER(1-(AnnualChurn*VLOOKUP(ANR37,ChurnSeasonTable,4,FALSE)),1)</f>
        <v/>
      </c>
      <c r="AON37" s="12">
        <f>AON36+AOH37-AOH25*(AnnualChurn*VLOOKUP(ANR37,ChurnSeasonTable,4,FALSE))*POWER(1-(AnnualChurn*VLOOKUP(ANR37,ChurnSeasonTable,4,FALSE)),0)+AOH13*(AnnualChurn*VLOOKUP(ANR37,ChurnSeasonTable,4,FALSE))*POWER(1-(AnnualChurn*VLOOKUP(ANR37,ChurnSeasonTable,4,FALSE)),1)</f>
        <v/>
      </c>
      <c r="AOO37" s="12">
        <f>AOI37+AOJ37+AOK37+AOL37+AOM37+AON37</f>
        <v/>
      </c>
      <c r="AOP37" s="9">
        <f>AOI37*BlendedPriceEssMonthly*ANU37+AOJ37*BlendedPricePremMonthly*ANU37+AOK37*BlendedPriceEliteMonthly*ANU37+AOL37*BlendedPriceEssAnnual*ANU37/12+AOM37*BlendedPricePremAnnual*ANU37/12+AON37*BlendedPriceEliteAnnual*ANU37/12</f>
        <v/>
      </c>
      <c r="AOQ37" s="9">
        <f>AOP37*12</f>
        <v/>
      </c>
      <c r="AOR37" s="12">
        <f>AOI37*BlendedPriceEssMonthly*ANU37+AOJ37*BlendedPricePremMonthly*ANU37+AOK37*BlendedPriceEliteMonthly*ANU37</f>
        <v/>
      </c>
      <c r="AOS37" s="12">
        <f>AOF37*BlendedPriceEssAnnual*ANU37+AOG37*BlendedPricePremAnnual*ANU37+AOH37*BlendedPriceEliteAnnual*ANU37</f>
        <v/>
      </c>
      <c r="AOT37" s="12">
        <f>AOF25*POWER(1-(AnnualChurn*VLOOKUP(ANR37,ChurnSeasonTable,4,FALSE)),1)*BlendedPriceEssAnnual*ANU37+AOF13*POWER(1-(AnnualChurn*VLOOKUP(ANR37,ChurnSeasonTable,4,FALSE)),2)*BlendedPriceEssAnnual*ANU37+AOG25*POWER(1-(AnnualChurn*VLOOKUP(ANR37,ChurnSeasonTable,4,FALSE)),1)*BlendedPricePremAnnual*ANU37+AOG13*POWER(1-(AnnualChurn*VLOOKUP(ANR37,ChurnSeasonTable,4,FALSE)),2)*BlendedPricePremAnnual*ANU37+AOH25*POWER(1-(AnnualChurn*VLOOKUP(ANR37,ChurnSeasonTable,4,FALSE)),1)*BlendedPriceEliteAnnual*ANU37+AOH13*POWER(1-(AnnualChurn*VLOOKUP(ANR37,ChurnSeasonTable,4,FALSE)),2)*BlendedPriceEliteAnnual*ANU37</f>
        <v/>
      </c>
      <c r="AOU37" s="9">
        <f>AOR37+AOS37+AOT37</f>
        <v/>
      </c>
      <c r="AOV37" s="12">
        <f>SUM(AOU26:AOU37)</f>
        <v/>
      </c>
      <c r="AOW37" s="12">
        <f>OR(AOW36,IF(VATAgentMode,SUM($AOU26:$AOU37)-SUM($APB26:$APB37)&gt;=VATThreshold,SUM($AOU26:$AOU37)&gt;=VATThreshold))</f>
        <v/>
      </c>
      <c r="AOX37" s="9">
        <f>IF(AOW37,IF(VATAgentMode,AOU37-((AOU37-APB37)-(AOU37-APB37)/(1+VATRate)),AOU37/(1+VATRate)),AOU37)</f>
        <v/>
      </c>
      <c r="AOY37" s="12">
        <f>AOU37-AOX37</f>
        <v/>
      </c>
      <c r="AOZ37" s="12">
        <f>IF(AOW37=0,0,IF(ANR37=1,SUMPRODUCT(--(($ANS$5:$ANS37=$ANS37-1)*($ANR$5:$ANR37&gt;=10)*($ANR$5:$ANR37&lt;=12)),$AOY$5:$AOY37),IF(ANR37=4,SUMPRODUCT(--(($ANS$5:$ANS37=$ANS37)*($ANR$5:$ANR37&gt;=1)*($ANR$5:$ANR37&lt;=3)),$AOY$5:$AOY37),IF(ANR37=7,SUMPRODUCT(--(($ANS$5:$ANS37=$ANS37)*($ANR$5:$ANR37&gt;=4)*($ANR$5:$ANR37&lt;=6)),$AOY$5:$AOY37),IF(ANR37=10,SUMPRODUCT(--(($ANS$5:$ANS37=$ANS37)*($ANR$5:$ANR37&gt;=7)*($ANR$5:$ANR37&lt;=9)),$AOY$5:$AOY37),0)))))</f>
        <v/>
      </c>
      <c r="APA37" s="12">
        <f>APA36+AOY37-AOZ37</f>
        <v/>
      </c>
      <c r="APB37" s="12">
        <f>IF(ProviderDelay&gt;=1,AOI36*BlendedProvPayEss+AOJ36*BlendedProvPayPrem+AOK36*BlendedProvPayElite+AOL36*BlendedProvPayEss+AOM36*BlendedProvPayPrem+AON36*BlendedProvPayElite,AOI37*BlendedProvPayEss+AOJ37*BlendedProvPayPrem+AOK37*BlendedProvPayElite+AOL37*BlendedProvPayEss+AOM37*BlendedProvPayPrem+AON37*BlendedProvPayElite)</f>
        <v/>
      </c>
      <c r="APC37" s="12">
        <f>AOU37*PaymentFee</f>
        <v/>
      </c>
      <c r="APD37" s="12">
        <f>AOO37*OpsAI</f>
        <v/>
      </c>
      <c r="APE37" s="12">
        <f>MonthlyFixed</f>
        <v/>
      </c>
      <c r="APF37" s="12">
        <f>ANY37*ReferralReward</f>
        <v/>
      </c>
      <c r="APG37" s="12">
        <f>ANW37</f>
        <v/>
      </c>
      <c r="APH37" s="9">
        <f>AOX37-APB37-APC37-APD37-APE37-APF37-APG37</f>
        <v/>
      </c>
      <c r="API37" s="9">
        <f>API36+AOU37-(APB37+APC37+APD37+APE37+APF37+APG37+AOZ37)</f>
        <v/>
      </c>
      <c r="APJ37" s="12">
        <f>IF(AOO37&gt;0,AOP37/AOO37,0)</f>
        <v/>
      </c>
      <c r="APK37" s="11">
        <f>IF(AOO36&gt;0,MAX(0,(AOO36+ANZ37-AOO37)/AOO36),0)</f>
        <v/>
      </c>
      <c r="APM37" s="12" t="n">
        <v>33</v>
      </c>
      <c r="APN37" s="12">
        <f>MOD(APM37-1+LaunchMonth-1,12)+1</f>
        <v/>
      </c>
      <c r="APO37" s="12">
        <f>INT((APM37-1+LaunchMonth-1)/12)+1</f>
        <v/>
      </c>
      <c r="APP37" s="12">
        <f>VLOOKUP(APN37,SeasonTable,2,FALSE)</f>
        <v/>
      </c>
      <c r="APQ37" s="12">
        <f>(1+InflationRate)^INT((APM37-1)/12)</f>
        <v/>
      </c>
      <c r="APR37" s="11">
        <f>MonthlyChurn*VLOOKUP(APN37,ChurnSeasonTable,4,FALSE)</f>
        <v/>
      </c>
      <c r="APS37" s="12">
        <f>MIN(MAX(MktMin19plus,AQQ36*MktPct19plus),MAX(0,ARE36-CashBuffer))</f>
        <v/>
      </c>
      <c r="APT37" s="12">
        <f>IF(APS37&gt;0,MAX(1,ROUND(APS37/'Sens - CAC &amp; Marketing'!$A$13*APP37,0)),0)</f>
        <v/>
      </c>
      <c r="APU37" s="12">
        <f>IF(APT37&gt;0,ROUND(APT37*ReferralMix/(1-ReferralMix),0),0)</f>
        <v/>
      </c>
      <c r="APV37" s="12">
        <f>APT37+APU37</f>
        <v/>
      </c>
      <c r="APW37" s="12">
        <f>ROUND(APV37*(1-AnnualMix),0)</f>
        <v/>
      </c>
      <c r="APX37" s="12">
        <f>APV37-APW37</f>
        <v/>
      </c>
      <c r="APY37" s="12">
        <f>ROUND(APW37*EssentialMix,0)</f>
        <v/>
      </c>
      <c r="APZ37" s="12">
        <f>ROUND(APW37*PremiumMix,0)</f>
        <v/>
      </c>
      <c r="AQA37" s="12">
        <f>APW37-APY37-APZ37</f>
        <v/>
      </c>
      <c r="AQB37" s="12">
        <f>ROUND(APX37*EssentialMix,0)</f>
        <v/>
      </c>
      <c r="AQC37" s="12">
        <f>ROUND(APX37*PremiumMix,0)</f>
        <v/>
      </c>
      <c r="AQD37" s="12">
        <f>APX37-AQB37-AQC37</f>
        <v/>
      </c>
      <c r="AQE37" s="12">
        <f>APY37+APY36+APY35+MAX(0,AQE36-APY36-APY35)*(1-APR37)</f>
        <v/>
      </c>
      <c r="AQF37" s="12">
        <f>APZ37+APZ36+APZ35+MAX(0,AQF36-APZ36-APZ35)*(1-APR37)</f>
        <v/>
      </c>
      <c r="AQG37" s="12">
        <f>AQA37+AQA36+AQA35+MAX(0,AQG36-AQA36-AQA35)*(1-APR37)</f>
        <v/>
      </c>
      <c r="AQH37" s="12">
        <f>AQH36+AQB37-AQB25*(AnnualChurn*VLOOKUP(APN37,ChurnSeasonTable,4,FALSE))*POWER(1-(AnnualChurn*VLOOKUP(APN37,ChurnSeasonTable,4,FALSE)),0)+AQB13*(AnnualChurn*VLOOKUP(APN37,ChurnSeasonTable,4,FALSE))*POWER(1-(AnnualChurn*VLOOKUP(APN37,ChurnSeasonTable,4,FALSE)),1)</f>
        <v/>
      </c>
      <c r="AQI37" s="12">
        <f>AQI36+AQC37-AQC25*(AnnualChurn*VLOOKUP(APN37,ChurnSeasonTable,4,FALSE))*POWER(1-(AnnualChurn*VLOOKUP(APN37,ChurnSeasonTable,4,FALSE)),0)+AQC13*(AnnualChurn*VLOOKUP(APN37,ChurnSeasonTable,4,FALSE))*POWER(1-(AnnualChurn*VLOOKUP(APN37,ChurnSeasonTable,4,FALSE)),1)</f>
        <v/>
      </c>
      <c r="AQJ37" s="12">
        <f>AQJ36+AQD37-AQD25*(AnnualChurn*VLOOKUP(APN37,ChurnSeasonTable,4,FALSE))*POWER(1-(AnnualChurn*VLOOKUP(APN37,ChurnSeasonTable,4,FALSE)),0)+AQD13*(AnnualChurn*VLOOKUP(APN37,ChurnSeasonTable,4,FALSE))*POWER(1-(AnnualChurn*VLOOKUP(APN37,ChurnSeasonTable,4,FALSE)),1)</f>
        <v/>
      </c>
      <c r="AQK37" s="12">
        <f>AQE37+AQF37+AQG37+AQH37+AQI37+AQJ37</f>
        <v/>
      </c>
      <c r="AQL37" s="9">
        <f>AQE37*BlendedPriceEssMonthly*APQ37+AQF37*BlendedPricePremMonthly*APQ37+AQG37*BlendedPriceEliteMonthly*APQ37+AQH37*BlendedPriceEssAnnual*APQ37/12+AQI37*BlendedPricePremAnnual*APQ37/12+AQJ37*BlendedPriceEliteAnnual*APQ37/12</f>
        <v/>
      </c>
      <c r="AQM37" s="9">
        <f>AQL37*12</f>
        <v/>
      </c>
      <c r="AQN37" s="12">
        <f>AQE37*BlendedPriceEssMonthly*APQ37+AQF37*BlendedPricePremMonthly*APQ37+AQG37*BlendedPriceEliteMonthly*APQ37</f>
        <v/>
      </c>
      <c r="AQO37" s="12">
        <f>AQB37*BlendedPriceEssAnnual*APQ37+AQC37*BlendedPricePremAnnual*APQ37+AQD37*BlendedPriceEliteAnnual*APQ37</f>
        <v/>
      </c>
      <c r="AQP37" s="12">
        <f>AQB25*POWER(1-(AnnualChurn*VLOOKUP(APN37,ChurnSeasonTable,4,FALSE)),1)*BlendedPriceEssAnnual*APQ37+AQB13*POWER(1-(AnnualChurn*VLOOKUP(APN37,ChurnSeasonTable,4,FALSE)),2)*BlendedPriceEssAnnual*APQ37+AQC25*POWER(1-(AnnualChurn*VLOOKUP(APN37,ChurnSeasonTable,4,FALSE)),1)*BlendedPricePremAnnual*APQ37+AQC13*POWER(1-(AnnualChurn*VLOOKUP(APN37,ChurnSeasonTable,4,FALSE)),2)*BlendedPricePremAnnual*APQ37+AQD25*POWER(1-(AnnualChurn*VLOOKUP(APN37,ChurnSeasonTable,4,FALSE)),1)*BlendedPriceEliteAnnual*APQ37+AQD13*POWER(1-(AnnualChurn*VLOOKUP(APN37,ChurnSeasonTable,4,FALSE)),2)*BlendedPriceEliteAnnual*APQ37</f>
        <v/>
      </c>
      <c r="AQQ37" s="9">
        <f>AQN37+AQO37+AQP37</f>
        <v/>
      </c>
      <c r="AQR37" s="12">
        <f>SUM(AQQ26:AQQ37)</f>
        <v/>
      </c>
      <c r="AQS37" s="12">
        <f>OR(AQS36,IF(VATAgentMode,SUM($AQQ26:$AQQ37)-SUM($AQX26:$AQX37)&gt;=VATThreshold,SUM($AQQ26:$AQQ37)&gt;=VATThreshold))</f>
        <v/>
      </c>
      <c r="AQT37" s="9">
        <f>IF(AQS37,IF(VATAgentMode,AQQ37-((AQQ37-AQX37)-(AQQ37-AQX37)/(1+VATRate)),AQQ37/(1+VATRate)),AQQ37)</f>
        <v/>
      </c>
      <c r="AQU37" s="12">
        <f>AQQ37-AQT37</f>
        <v/>
      </c>
      <c r="AQV37" s="12">
        <f>IF(AQS37=0,0,IF(APN37=1,SUMPRODUCT(--(($APO$5:$APO37=$APO37-1)*($APN$5:$APN37&gt;=10)*($APN$5:$APN37&lt;=12)),$AQU$5:$AQU37),IF(APN37=4,SUMPRODUCT(--(($APO$5:$APO37=$APO37)*($APN$5:$APN37&gt;=1)*($APN$5:$APN37&lt;=3)),$AQU$5:$AQU37),IF(APN37=7,SUMPRODUCT(--(($APO$5:$APO37=$APO37)*($APN$5:$APN37&gt;=4)*($APN$5:$APN37&lt;=6)),$AQU$5:$AQU37),IF(APN37=10,SUMPRODUCT(--(($APO$5:$APO37=$APO37)*($APN$5:$APN37&gt;=7)*($APN$5:$APN37&lt;=9)),$AQU$5:$AQU37),0)))))</f>
        <v/>
      </c>
      <c r="AQW37" s="12">
        <f>AQW36+AQU37-AQV37</f>
        <v/>
      </c>
      <c r="AQX37" s="12">
        <f>IF(ProviderDelay&gt;=1,AQE36*BlendedProvPayEss+AQF36*BlendedProvPayPrem+AQG36*BlendedProvPayElite+AQH36*BlendedProvPayEss+AQI36*BlendedProvPayPrem+AQJ36*BlendedProvPayElite,AQE37*BlendedProvPayEss+AQF37*BlendedProvPayPrem+AQG37*BlendedProvPayElite+AQH37*BlendedProvPayEss+AQI37*BlendedProvPayPrem+AQJ37*BlendedProvPayElite)</f>
        <v/>
      </c>
      <c r="AQY37" s="12">
        <f>AQQ37*PaymentFee</f>
        <v/>
      </c>
      <c r="AQZ37" s="12">
        <f>AQK37*OpsAI</f>
        <v/>
      </c>
      <c r="ARA37" s="12">
        <f>MonthlyFixed</f>
        <v/>
      </c>
      <c r="ARB37" s="12">
        <f>APU37*ReferralReward</f>
        <v/>
      </c>
      <c r="ARC37" s="12">
        <f>APS37</f>
        <v/>
      </c>
      <c r="ARD37" s="9">
        <f>AQT37-AQX37-AQY37-AQZ37-ARA37-ARB37-ARC37</f>
        <v/>
      </c>
      <c r="ARE37" s="9">
        <f>ARE36+AQQ37-(AQX37+AQY37+AQZ37+ARA37+ARB37+ARC37+AQV37)</f>
        <v/>
      </c>
      <c r="ARF37" s="12">
        <f>IF(AQK37&gt;0,AQL37/AQK37,0)</f>
        <v/>
      </c>
      <c r="ARG37" s="11">
        <f>IF(AQK36&gt;0,MAX(0,(AQK36+APV37-AQK37)/AQK36),0)</f>
        <v/>
      </c>
      <c r="ARI37" s="12" t="n">
        <v>33</v>
      </c>
      <c r="ARJ37" s="12">
        <f>MOD(ARI37-1+LaunchMonth-1,12)+1</f>
        <v/>
      </c>
      <c r="ARK37" s="12">
        <f>INT((ARI37-1+LaunchMonth-1)/12)+1</f>
        <v/>
      </c>
      <c r="ARL37" s="12">
        <f>VLOOKUP(ARJ37,SeasonTable,2,FALSE)</f>
        <v/>
      </c>
      <c r="ARM37" s="12">
        <f>(1+InflationRate)^INT((ARI37-1)/12)</f>
        <v/>
      </c>
      <c r="ARN37" s="11">
        <f>MonthlyChurn*VLOOKUP(ARJ37,ChurnSeasonTable,4,FALSE)</f>
        <v/>
      </c>
      <c r="ARO37" s="12">
        <f>MIN(MAX(MktMin19plus,ASM36*MktPct19plus),MAX(0,ATA36-CashBuffer))</f>
        <v/>
      </c>
      <c r="ARP37" s="12">
        <f>IF(ARO37&gt;0,MAX(1,ROUND(ARO37/'Sens - CAC &amp; Marketing'!$A$14*ARL37,0)),0)</f>
        <v/>
      </c>
      <c r="ARQ37" s="12">
        <f>IF(ARP37&gt;0,ROUND(ARP37*ReferralMix/(1-ReferralMix),0),0)</f>
        <v/>
      </c>
      <c r="ARR37" s="12">
        <f>ARP37+ARQ37</f>
        <v/>
      </c>
      <c r="ARS37" s="12">
        <f>ROUND(ARR37*(1-AnnualMix),0)</f>
        <v/>
      </c>
      <c r="ART37" s="12">
        <f>ARR37-ARS37</f>
        <v/>
      </c>
      <c r="ARU37" s="12">
        <f>ROUND(ARS37*EssentialMix,0)</f>
        <v/>
      </c>
      <c r="ARV37" s="12">
        <f>ROUND(ARS37*PremiumMix,0)</f>
        <v/>
      </c>
      <c r="ARW37" s="12">
        <f>ARS37-ARU37-ARV37</f>
        <v/>
      </c>
      <c r="ARX37" s="12">
        <f>ROUND(ART37*EssentialMix,0)</f>
        <v/>
      </c>
      <c r="ARY37" s="12">
        <f>ROUND(ART37*PremiumMix,0)</f>
        <v/>
      </c>
      <c r="ARZ37" s="12">
        <f>ART37-ARX37-ARY37</f>
        <v/>
      </c>
      <c r="ASA37" s="12">
        <f>ARU37+ARU36+ARU35+MAX(0,ASA36-ARU36-ARU35)*(1-ARN37)</f>
        <v/>
      </c>
      <c r="ASB37" s="12">
        <f>ARV37+ARV36+ARV35+MAX(0,ASB36-ARV36-ARV35)*(1-ARN37)</f>
        <v/>
      </c>
      <c r="ASC37" s="12">
        <f>ARW37+ARW36+ARW35+MAX(0,ASC36-ARW36-ARW35)*(1-ARN37)</f>
        <v/>
      </c>
      <c r="ASD37" s="12">
        <f>ASD36+ARX37-ARX25*(AnnualChurn*VLOOKUP(ARJ37,ChurnSeasonTable,4,FALSE))*POWER(1-(AnnualChurn*VLOOKUP(ARJ37,ChurnSeasonTable,4,FALSE)),0)+ARX13*(AnnualChurn*VLOOKUP(ARJ37,ChurnSeasonTable,4,FALSE))*POWER(1-(AnnualChurn*VLOOKUP(ARJ37,ChurnSeasonTable,4,FALSE)),1)</f>
        <v/>
      </c>
      <c r="ASE37" s="12">
        <f>ASE36+ARY37-ARY25*(AnnualChurn*VLOOKUP(ARJ37,ChurnSeasonTable,4,FALSE))*POWER(1-(AnnualChurn*VLOOKUP(ARJ37,ChurnSeasonTable,4,FALSE)),0)+ARY13*(AnnualChurn*VLOOKUP(ARJ37,ChurnSeasonTable,4,FALSE))*POWER(1-(AnnualChurn*VLOOKUP(ARJ37,ChurnSeasonTable,4,FALSE)),1)</f>
        <v/>
      </c>
      <c r="ASF37" s="12">
        <f>ASF36+ARZ37-ARZ25*(AnnualChurn*VLOOKUP(ARJ37,ChurnSeasonTable,4,FALSE))*POWER(1-(AnnualChurn*VLOOKUP(ARJ37,ChurnSeasonTable,4,FALSE)),0)+ARZ13*(AnnualChurn*VLOOKUP(ARJ37,ChurnSeasonTable,4,FALSE))*POWER(1-(AnnualChurn*VLOOKUP(ARJ37,ChurnSeasonTable,4,FALSE)),1)</f>
        <v/>
      </c>
      <c r="ASG37" s="12">
        <f>ASA37+ASB37+ASC37+ASD37+ASE37+ASF37</f>
        <v/>
      </c>
      <c r="ASH37" s="9">
        <f>ASA37*BlendedPriceEssMonthly*ARM37+ASB37*BlendedPricePremMonthly*ARM37+ASC37*BlendedPriceEliteMonthly*ARM37+ASD37*BlendedPriceEssAnnual*ARM37/12+ASE37*BlendedPricePremAnnual*ARM37/12+ASF37*BlendedPriceEliteAnnual*ARM37/12</f>
        <v/>
      </c>
      <c r="ASI37" s="9">
        <f>ASH37*12</f>
        <v/>
      </c>
      <c r="ASJ37" s="12">
        <f>ASA37*BlendedPriceEssMonthly*ARM37+ASB37*BlendedPricePremMonthly*ARM37+ASC37*BlendedPriceEliteMonthly*ARM37</f>
        <v/>
      </c>
      <c r="ASK37" s="12">
        <f>ARX37*BlendedPriceEssAnnual*ARM37+ARY37*BlendedPricePremAnnual*ARM37+ARZ37*BlendedPriceEliteAnnual*ARM37</f>
        <v/>
      </c>
      <c r="ASL37" s="12">
        <f>ARX25*POWER(1-(AnnualChurn*VLOOKUP(ARJ37,ChurnSeasonTable,4,FALSE)),1)*BlendedPriceEssAnnual*ARM37+ARX13*POWER(1-(AnnualChurn*VLOOKUP(ARJ37,ChurnSeasonTable,4,FALSE)),2)*BlendedPriceEssAnnual*ARM37+ARY25*POWER(1-(AnnualChurn*VLOOKUP(ARJ37,ChurnSeasonTable,4,FALSE)),1)*BlendedPricePremAnnual*ARM37+ARY13*POWER(1-(AnnualChurn*VLOOKUP(ARJ37,ChurnSeasonTable,4,FALSE)),2)*BlendedPricePremAnnual*ARM37+ARZ25*POWER(1-(AnnualChurn*VLOOKUP(ARJ37,ChurnSeasonTable,4,FALSE)),1)*BlendedPriceEliteAnnual*ARM37+ARZ13*POWER(1-(AnnualChurn*VLOOKUP(ARJ37,ChurnSeasonTable,4,FALSE)),2)*BlendedPriceEliteAnnual*ARM37</f>
        <v/>
      </c>
      <c r="ASM37" s="9">
        <f>ASJ37+ASK37+ASL37</f>
        <v/>
      </c>
      <c r="ASN37" s="12">
        <f>SUM(ASM26:ASM37)</f>
        <v/>
      </c>
      <c r="ASO37" s="12">
        <f>OR(ASO36,IF(VATAgentMode,SUM($ASM26:$ASM37)-SUM($AST26:$AST37)&gt;=VATThreshold,SUM($ASM26:$ASM37)&gt;=VATThreshold))</f>
        <v/>
      </c>
      <c r="ASP37" s="9">
        <f>IF(ASO37,IF(VATAgentMode,ASM37-((ASM37-AST37)-(ASM37-AST37)/(1+VATRate)),ASM37/(1+VATRate)),ASM37)</f>
        <v/>
      </c>
      <c r="ASQ37" s="12">
        <f>ASM37-ASP37</f>
        <v/>
      </c>
      <c r="ASR37" s="12">
        <f>IF(ASO37=0,0,IF(ARJ37=1,SUMPRODUCT(--(($ARK$5:$ARK37=$ARK37-1)*($ARJ$5:$ARJ37&gt;=10)*($ARJ$5:$ARJ37&lt;=12)),$ASQ$5:$ASQ37),IF(ARJ37=4,SUMPRODUCT(--(($ARK$5:$ARK37=$ARK37)*($ARJ$5:$ARJ37&gt;=1)*($ARJ$5:$ARJ37&lt;=3)),$ASQ$5:$ASQ37),IF(ARJ37=7,SUMPRODUCT(--(($ARK$5:$ARK37=$ARK37)*($ARJ$5:$ARJ37&gt;=4)*($ARJ$5:$ARJ37&lt;=6)),$ASQ$5:$ASQ37),IF(ARJ37=10,SUMPRODUCT(--(($ARK$5:$ARK37=$ARK37)*($ARJ$5:$ARJ37&gt;=7)*($ARJ$5:$ARJ37&lt;=9)),$ASQ$5:$ASQ37),0)))))</f>
        <v/>
      </c>
      <c r="ASS37" s="12">
        <f>ASS36+ASQ37-ASR37</f>
        <v/>
      </c>
      <c r="AST37" s="12">
        <f>IF(ProviderDelay&gt;=1,ASA36*BlendedProvPayEss+ASB36*BlendedProvPayPrem+ASC36*BlendedProvPayElite+ASD36*BlendedProvPayEss+ASE36*BlendedProvPayPrem+ASF36*BlendedProvPayElite,ASA37*BlendedProvPayEss+ASB37*BlendedProvPayPrem+ASC37*BlendedProvPayElite+ASD37*BlendedProvPayEss+ASE37*BlendedProvPayPrem+ASF37*BlendedProvPayElite)</f>
        <v/>
      </c>
      <c r="ASU37" s="12">
        <f>ASM37*PaymentFee</f>
        <v/>
      </c>
      <c r="ASV37" s="12">
        <f>ASG37*OpsAI</f>
        <v/>
      </c>
      <c r="ASW37" s="12">
        <f>MonthlyFixed</f>
        <v/>
      </c>
      <c r="ASX37" s="12">
        <f>ARQ37*ReferralReward</f>
        <v/>
      </c>
      <c r="ASY37" s="12">
        <f>ARO37</f>
        <v/>
      </c>
      <c r="ASZ37" s="9">
        <f>ASP37-AST37-ASU37-ASV37-ASW37-ASX37-ASY37</f>
        <v/>
      </c>
      <c r="ATA37" s="9">
        <f>ATA36+ASM37-(AST37+ASU37+ASV37+ASW37+ASX37+ASY37+ASR37)</f>
        <v/>
      </c>
      <c r="ATB37" s="12">
        <f>IF(ASG37&gt;0,ASH37/ASG37,0)</f>
        <v/>
      </c>
      <c r="ATC37" s="11">
        <f>IF(ASG36&gt;0,MAX(0,(ASG36+ARR37-ASG37)/ASG36),0)</f>
        <v/>
      </c>
      <c r="ATE37" s="12" t="n">
        <v>33</v>
      </c>
      <c r="ATF37" s="12">
        <f>MOD(ATE37-1+LaunchMonth-1,12)+1</f>
        <v/>
      </c>
      <c r="ATG37" s="12">
        <f>INT((ATE37-1+LaunchMonth-1)/12)+1</f>
        <v/>
      </c>
      <c r="ATH37" s="12">
        <f>VLOOKUP(ATF37,SeasonTable,2,FALSE)</f>
        <v/>
      </c>
      <c r="ATI37" s="12">
        <f>(1+InflationRate)^INT((ATE37-1)/12)</f>
        <v/>
      </c>
      <c r="ATJ37" s="11">
        <f>MonthlyChurn*VLOOKUP(ATF37,ChurnSeasonTable,4,FALSE)</f>
        <v/>
      </c>
      <c r="ATK37" s="12">
        <f>MIN(MAX(MktMin19plus,AUI36*MktPct19plus),MAX(0,AUW36-CashBuffer))</f>
        <v/>
      </c>
      <c r="ATL37" s="12">
        <f>IF(ATK37&gt;0,MAX(1,ROUND(ATK37/'Sens - CAC &amp; Marketing'!$A$15*ATH37,0)),0)</f>
        <v/>
      </c>
      <c r="ATM37" s="12">
        <f>IF(ATL37&gt;0,ROUND(ATL37*ReferralMix/(1-ReferralMix),0),0)</f>
        <v/>
      </c>
      <c r="ATN37" s="12">
        <f>ATL37+ATM37</f>
        <v/>
      </c>
      <c r="ATO37" s="12">
        <f>ROUND(ATN37*(1-AnnualMix),0)</f>
        <v/>
      </c>
      <c r="ATP37" s="12">
        <f>ATN37-ATO37</f>
        <v/>
      </c>
      <c r="ATQ37" s="12">
        <f>ROUND(ATO37*EssentialMix,0)</f>
        <v/>
      </c>
      <c r="ATR37" s="12">
        <f>ROUND(ATO37*PremiumMix,0)</f>
        <v/>
      </c>
      <c r="ATS37" s="12">
        <f>ATO37-ATQ37-ATR37</f>
        <v/>
      </c>
      <c r="ATT37" s="12">
        <f>ROUND(ATP37*EssentialMix,0)</f>
        <v/>
      </c>
      <c r="ATU37" s="12">
        <f>ROUND(ATP37*PremiumMix,0)</f>
        <v/>
      </c>
      <c r="ATV37" s="12">
        <f>ATP37-ATT37-ATU37</f>
        <v/>
      </c>
      <c r="ATW37" s="12">
        <f>ATQ37+ATQ36+ATQ35+MAX(0,ATW36-ATQ36-ATQ35)*(1-ATJ37)</f>
        <v/>
      </c>
      <c r="ATX37" s="12">
        <f>ATR37+ATR36+ATR35+MAX(0,ATX36-ATR36-ATR35)*(1-ATJ37)</f>
        <v/>
      </c>
      <c r="ATY37" s="12">
        <f>ATS37+ATS36+ATS35+MAX(0,ATY36-ATS36-ATS35)*(1-ATJ37)</f>
        <v/>
      </c>
      <c r="ATZ37" s="12">
        <f>ATZ36+ATT37-ATT25*(AnnualChurn*VLOOKUP(ATF37,ChurnSeasonTable,4,FALSE))*POWER(1-(AnnualChurn*VLOOKUP(ATF37,ChurnSeasonTable,4,FALSE)),0)+ATT13*(AnnualChurn*VLOOKUP(ATF37,ChurnSeasonTable,4,FALSE))*POWER(1-(AnnualChurn*VLOOKUP(ATF37,ChurnSeasonTable,4,FALSE)),1)</f>
        <v/>
      </c>
      <c r="AUA37" s="12">
        <f>AUA36+ATU37-ATU25*(AnnualChurn*VLOOKUP(ATF37,ChurnSeasonTable,4,FALSE))*POWER(1-(AnnualChurn*VLOOKUP(ATF37,ChurnSeasonTable,4,FALSE)),0)+ATU13*(AnnualChurn*VLOOKUP(ATF37,ChurnSeasonTable,4,FALSE))*POWER(1-(AnnualChurn*VLOOKUP(ATF37,ChurnSeasonTable,4,FALSE)),1)</f>
        <v/>
      </c>
      <c r="AUB37" s="12">
        <f>AUB36+ATV37-ATV25*(AnnualChurn*VLOOKUP(ATF37,ChurnSeasonTable,4,FALSE))*POWER(1-(AnnualChurn*VLOOKUP(ATF37,ChurnSeasonTable,4,FALSE)),0)+ATV13*(AnnualChurn*VLOOKUP(ATF37,ChurnSeasonTable,4,FALSE))*POWER(1-(AnnualChurn*VLOOKUP(ATF37,ChurnSeasonTable,4,FALSE)),1)</f>
        <v/>
      </c>
      <c r="AUC37" s="12">
        <f>ATW37+ATX37+ATY37+ATZ37+AUA37+AUB37</f>
        <v/>
      </c>
      <c r="AUD37" s="9">
        <f>ATW37*BlendedPriceEssMonthly*ATI37+ATX37*BlendedPricePremMonthly*ATI37+ATY37*BlendedPriceEliteMonthly*ATI37+ATZ37*BlendedPriceEssAnnual*ATI37/12+AUA37*BlendedPricePremAnnual*ATI37/12+AUB37*BlendedPriceEliteAnnual*ATI37/12</f>
        <v/>
      </c>
      <c r="AUE37" s="9">
        <f>AUD37*12</f>
        <v/>
      </c>
      <c r="AUF37" s="12">
        <f>ATW37*BlendedPriceEssMonthly*ATI37+ATX37*BlendedPricePremMonthly*ATI37+ATY37*BlendedPriceEliteMonthly*ATI37</f>
        <v/>
      </c>
      <c r="AUG37" s="12">
        <f>ATT37*BlendedPriceEssAnnual*ATI37+ATU37*BlendedPricePremAnnual*ATI37+ATV37*BlendedPriceEliteAnnual*ATI37</f>
        <v/>
      </c>
      <c r="AUH37" s="12">
        <f>ATT25*POWER(1-(AnnualChurn*VLOOKUP(ATF37,ChurnSeasonTable,4,FALSE)),1)*BlendedPriceEssAnnual*ATI37+ATT13*POWER(1-(AnnualChurn*VLOOKUP(ATF37,ChurnSeasonTable,4,FALSE)),2)*BlendedPriceEssAnnual*ATI37+ATU25*POWER(1-(AnnualChurn*VLOOKUP(ATF37,ChurnSeasonTable,4,FALSE)),1)*BlendedPricePremAnnual*ATI37+ATU13*POWER(1-(AnnualChurn*VLOOKUP(ATF37,ChurnSeasonTable,4,FALSE)),2)*BlendedPricePremAnnual*ATI37+ATV25*POWER(1-(AnnualChurn*VLOOKUP(ATF37,ChurnSeasonTable,4,FALSE)),1)*BlendedPriceEliteAnnual*ATI37+ATV13*POWER(1-(AnnualChurn*VLOOKUP(ATF37,ChurnSeasonTable,4,FALSE)),2)*BlendedPriceEliteAnnual*ATI37</f>
        <v/>
      </c>
      <c r="AUI37" s="9">
        <f>AUF37+AUG37+AUH37</f>
        <v/>
      </c>
      <c r="AUJ37" s="12">
        <f>SUM(AUI26:AUI37)</f>
        <v/>
      </c>
      <c r="AUK37" s="12">
        <f>OR(AUK36,IF(VATAgentMode,SUM($AUI26:$AUI37)-SUM($AUP26:$AUP37)&gt;=VATThreshold,SUM($AUI26:$AUI37)&gt;=VATThreshold))</f>
        <v/>
      </c>
      <c r="AUL37" s="9">
        <f>IF(AUK37,IF(VATAgentMode,AUI37-((AUI37-AUP37)-(AUI37-AUP37)/(1+VATRate)),AUI37/(1+VATRate)),AUI37)</f>
        <v/>
      </c>
      <c r="AUM37" s="12">
        <f>AUI37-AUL37</f>
        <v/>
      </c>
      <c r="AUN37" s="12">
        <f>IF(AUK37=0,0,IF(ATF37=1,SUMPRODUCT(--(($ATG$5:$ATG37=$ATG37-1)*($ATF$5:$ATF37&gt;=10)*($ATF$5:$ATF37&lt;=12)),$AUM$5:$AUM37),IF(ATF37=4,SUMPRODUCT(--(($ATG$5:$ATG37=$ATG37)*($ATF$5:$ATF37&gt;=1)*($ATF$5:$ATF37&lt;=3)),$AUM$5:$AUM37),IF(ATF37=7,SUMPRODUCT(--(($ATG$5:$ATG37=$ATG37)*($ATF$5:$ATF37&gt;=4)*($ATF$5:$ATF37&lt;=6)),$AUM$5:$AUM37),IF(ATF37=10,SUMPRODUCT(--(($ATG$5:$ATG37=$ATG37)*($ATF$5:$ATF37&gt;=7)*($ATF$5:$ATF37&lt;=9)),$AUM$5:$AUM37),0)))))</f>
        <v/>
      </c>
      <c r="AUO37" s="12">
        <f>AUO36+AUM37-AUN37</f>
        <v/>
      </c>
      <c r="AUP37" s="12">
        <f>IF(ProviderDelay&gt;=1,ATW36*BlendedProvPayEss+ATX36*BlendedProvPayPrem+ATY36*BlendedProvPayElite+ATZ36*BlendedProvPayEss+AUA36*BlendedProvPayPrem+AUB36*BlendedProvPayElite,ATW37*BlendedProvPayEss+ATX37*BlendedProvPayPrem+ATY37*BlendedProvPayElite+ATZ37*BlendedProvPayEss+AUA37*BlendedProvPayPrem+AUB37*BlendedProvPayElite)</f>
        <v/>
      </c>
      <c r="AUQ37" s="12">
        <f>AUI37*PaymentFee</f>
        <v/>
      </c>
      <c r="AUR37" s="12">
        <f>AUC37*OpsAI</f>
        <v/>
      </c>
      <c r="AUS37" s="12">
        <f>MonthlyFixed</f>
        <v/>
      </c>
      <c r="AUT37" s="12">
        <f>ATM37*ReferralReward</f>
        <v/>
      </c>
      <c r="AUU37" s="12">
        <f>ATK37</f>
        <v/>
      </c>
      <c r="AUV37" s="9">
        <f>AUL37-AUP37-AUQ37-AUR37-AUS37-AUT37-AUU37</f>
        <v/>
      </c>
      <c r="AUW37" s="9">
        <f>AUW36+AUI37-(AUP37+AUQ37+AUR37+AUS37+AUT37+AUU37+AUN37)</f>
        <v/>
      </c>
      <c r="AUX37" s="12">
        <f>IF(AUC37&gt;0,AUD37/AUC37,0)</f>
        <v/>
      </c>
      <c r="AUY37" s="11">
        <f>IF(AUC36&gt;0,MAX(0,(AUC36+ATN37-AUC37)/AUC36),0)</f>
        <v/>
      </c>
      <c r="AVA37" s="12" t="n">
        <v>33</v>
      </c>
      <c r="AVB37" s="12">
        <f>MOD(AVA37-1+LaunchMonth-1,12)+1</f>
        <v/>
      </c>
      <c r="AVC37" s="12">
        <f>INT((AVA37-1+LaunchMonth-1)/12)+1</f>
        <v/>
      </c>
      <c r="AVD37" s="12">
        <f>VLOOKUP(AVB37,WinterPivotSeasonTable,5,FALSE)</f>
        <v/>
      </c>
      <c r="AVE37" s="12">
        <f>(1+InflationRate)^INT((AVA37-1)/12)</f>
        <v/>
      </c>
      <c r="AVF37" s="11">
        <f>MonthlyChurn*VLOOKUP(AVB37,WinterPivotChurnTable,6,FALSE)</f>
        <v/>
      </c>
      <c r="AVG37" s="12">
        <f>MIN(MAX(MktMin19plus,AWE36*MktPct19plus),MAX(0,AWS36-CashBuffer))</f>
        <v/>
      </c>
      <c r="AVH37" s="12">
        <f>IF(AVG37&gt;0,MAX(1,ROUND(AVG37/CAC*AVD37,0)),0)</f>
        <v/>
      </c>
      <c r="AVI37" s="12">
        <f>IF(AVH37&gt;0,ROUND(AVH37*ReferralMix/(1-ReferralMix),0),0)</f>
        <v/>
      </c>
      <c r="AVJ37" s="12">
        <f>AVH37+AVI37</f>
        <v/>
      </c>
      <c r="AVK37" s="12">
        <f>ROUND(AVJ37*(1-AnnualMix),0)</f>
        <v/>
      </c>
      <c r="AVL37" s="12">
        <f>AVJ37-AVK37</f>
        <v/>
      </c>
      <c r="AVM37" s="12">
        <f>ROUND(AVK37*'Sens - Winter Pivot'!$B$6,0)</f>
        <v/>
      </c>
      <c r="AVN37" s="12">
        <f>ROUND(AVK37*PremiumMix,0)</f>
        <v/>
      </c>
      <c r="AVO37" s="12">
        <f>AVK37-AVM37-AVN37</f>
        <v/>
      </c>
      <c r="AVP37" s="12">
        <f>ROUND(AVL37*'Sens - Winter Pivot'!$B$6,0)</f>
        <v/>
      </c>
      <c r="AVQ37" s="12">
        <f>ROUND(AVL37*PremiumMix,0)</f>
        <v/>
      </c>
      <c r="AVR37" s="12">
        <f>AVL37-AVP37-AVQ37</f>
        <v/>
      </c>
      <c r="AVS37" s="12">
        <f>AVM37+AVM36+AVM35+MAX(0,AVS36-AVM36-AVM35)*(1-AVF37)</f>
        <v/>
      </c>
      <c r="AVT37" s="12">
        <f>AVN37+AVN36+AVN35+MAX(0,AVT36-AVN36-AVN35)*(1-AVF37)</f>
        <v/>
      </c>
      <c r="AVU37" s="12">
        <f>AVO37+AVO36+AVO35+MAX(0,AVU36-AVO36-AVO35)*(1-AVF37)</f>
        <v/>
      </c>
      <c r="AVV37" s="12">
        <f>AVV36+AVP37-AVP25*(AnnualChurn*VLOOKUP(AVB37,ChurnSeasonTable,4,FALSE))*POWER(1-(AnnualChurn*VLOOKUP(AVB37,ChurnSeasonTable,4,FALSE)),0)+AVP13*(AnnualChurn*VLOOKUP(AVB37,ChurnSeasonTable,4,FALSE))*POWER(1-(AnnualChurn*VLOOKUP(AVB37,ChurnSeasonTable,4,FALSE)),1)</f>
        <v/>
      </c>
      <c r="AVW37" s="12">
        <f>AVW36+AVQ37-AVQ25*(AnnualChurn*VLOOKUP(AVB37,ChurnSeasonTable,4,FALSE))*POWER(1-(AnnualChurn*VLOOKUP(AVB37,ChurnSeasonTable,4,FALSE)),0)+AVQ13*(AnnualChurn*VLOOKUP(AVB37,ChurnSeasonTable,4,FALSE))*POWER(1-(AnnualChurn*VLOOKUP(AVB37,ChurnSeasonTable,4,FALSE)),1)</f>
        <v/>
      </c>
      <c r="AVX37" s="12">
        <f>AVX36+AVR37-AVR25*(AnnualChurn*VLOOKUP(AVB37,ChurnSeasonTable,4,FALSE))*POWER(1-(AnnualChurn*VLOOKUP(AVB37,ChurnSeasonTable,4,FALSE)),0)+AVR13*(AnnualChurn*VLOOKUP(AVB37,ChurnSeasonTable,4,FALSE))*POWER(1-(AnnualChurn*VLOOKUP(AVB37,ChurnSeasonTable,4,FALSE)),1)</f>
        <v/>
      </c>
      <c r="AVY37" s="12">
        <f>AVS37+AVT37+AVU37+AVV37+AVW37+AVX37</f>
        <v/>
      </c>
      <c r="AVZ37" s="9">
        <f>AVS37*BlendedPriceEssMonthly*AVE37+AVT37*(BlendedPricePremMonthly+'Sens - Winter Pivot'!$B$7)*AVE37+AVU37*BlendedPriceEliteMonthly*AVE37+AVV37*BlendedPriceEssAnnual*AVE37/12+AVW37*(BlendedPricePremAnnual+'Sens - Winter Pivot'!$B$7*12)*AVE37/12+AVX37*BlendedPriceEliteAnnual*AVE37/12</f>
        <v/>
      </c>
      <c r="AWA37" s="9">
        <f>AVZ37*12</f>
        <v/>
      </c>
      <c r="AWB37" s="12">
        <f>AVS37*BlendedPriceEssMonthly*AVE37+AVT37*(BlendedPricePremMonthly+'Sens - Winter Pivot'!$B$7)*AVE37+AVU37*BlendedPriceEliteMonthly*AVE37</f>
        <v/>
      </c>
      <c r="AWC37" s="12">
        <f>AVP37*BlendedPriceEssAnnual*AVE37+AVQ37*(BlendedPricePremAnnual+'Sens - Winter Pivot'!$B$7*12)*AVE37+AVR37*BlendedPriceEliteAnnual*AVE37</f>
        <v/>
      </c>
      <c r="AWD37" s="12">
        <f>AVP25*POWER(1-(AnnualChurn*VLOOKUP(AVB37,ChurnSeasonTable,4,FALSE)),1)*BlendedPriceEssAnnual*AVE37+AVP13*POWER(1-(AnnualChurn*VLOOKUP(AVB37,ChurnSeasonTable,4,FALSE)),2)*BlendedPriceEssAnnual*AVE37+AVQ25*POWER(1-(AnnualChurn*VLOOKUP(AVB37,ChurnSeasonTable,4,FALSE)),1)*BlendedPricePremAnnual*AVE37+AVQ13*POWER(1-(AnnualChurn*VLOOKUP(AVB37,ChurnSeasonTable,4,FALSE)),2)*BlendedPricePremAnnual*AVE37+AVR25*POWER(1-(AnnualChurn*VLOOKUP(AVB37,ChurnSeasonTable,4,FALSE)),1)*BlendedPriceEliteAnnual*AVE37+AVR13*POWER(1-(AnnualChurn*VLOOKUP(AVB37,ChurnSeasonTable,4,FALSE)),2)*BlendedPriceEliteAnnual*AVE37</f>
        <v/>
      </c>
      <c r="AWE37" s="9">
        <f>AWB37+AWC37+AWD37</f>
        <v/>
      </c>
      <c r="AWF37" s="12">
        <f>SUM(AWE26:AWE37)</f>
        <v/>
      </c>
      <c r="AWG37" s="12">
        <f>OR(AWG36,IF(VATAgentMode,SUM($AWE26:$AWE37)-SUM($AWL26:$AWL37)&gt;=VATThreshold,SUM($AWE26:$AWE37)&gt;=VATThreshold))</f>
        <v/>
      </c>
      <c r="AWH37" s="9">
        <f>IF(AWG37,IF(VATAgentMode,AWE37-((AWE37-AWL37)-(AWE37-AWL37)/(1+VATRate)),AWE37/(1+VATRate)),AWE37)</f>
        <v/>
      </c>
      <c r="AWI37" s="12">
        <f>AWE37-AWH37</f>
        <v/>
      </c>
      <c r="AWJ37" s="12">
        <f>IF(AWG37=0,0,IF(AVB37=1,SUMPRODUCT(--(($AVC$5:$AVC37=$AVC37-1)*($AVB$5:$AVB37&gt;=10)*($AVB$5:$AVB37&lt;=12)),$AWI$5:$AWI37),IF(AVB37=4,SUMPRODUCT(--(($AVC$5:$AVC37=$AVC37)*($AVB$5:$AVB37&gt;=1)*($AVB$5:$AVB37&lt;=3)),$AWI$5:$AWI37),IF(AVB37=7,SUMPRODUCT(--(($AVC$5:$AVC37=$AVC37)*($AVB$5:$AVB37&gt;=4)*($AVB$5:$AVB37&lt;=6)),$AWI$5:$AWI37),IF(AVB37=10,SUMPRODUCT(--(($AVC$5:$AVC37=$AVC37)*($AVB$5:$AVB37&gt;=7)*($AVB$5:$AVB37&lt;=9)),$AWI$5:$AWI37),0)))))</f>
        <v/>
      </c>
      <c r="AWK37" s="12">
        <f>AWK36+AWI37-AWJ37</f>
        <v/>
      </c>
      <c r="AWL37" s="12">
        <f>IF(ProviderDelay&gt;=1,AVS36*BlendedProvPayEss+AVT36*BlendedProvPayPrem+AVU36*BlendedProvPayElite+AVV36*BlendedProvPayEss+AVW36*BlendedProvPayPrem+AVX36*BlendedProvPayElite,AVS37*BlendedProvPayEss+AVT37*BlendedProvPayPrem+AVU37*BlendedProvPayElite+AVV37*BlendedProvPayEss+AVW37*BlendedProvPayPrem+AVX37*BlendedProvPayElite)</f>
        <v/>
      </c>
      <c r="AWM37" s="12">
        <f>AWE37*PaymentFee</f>
        <v/>
      </c>
      <c r="AWN37" s="12">
        <f>AVY37*OpsAI</f>
        <v/>
      </c>
      <c r="AWO37" s="12">
        <f>MonthlyFixed</f>
        <v/>
      </c>
      <c r="AWP37" s="12">
        <f>AVI37*ReferralReward</f>
        <v/>
      </c>
      <c r="AWQ37" s="12">
        <f>AVG37</f>
        <v/>
      </c>
      <c r="AWR37" s="9">
        <f>AWH37-AWL37-AWM37-AWN37-AWO37-AWP37-AWQ37</f>
        <v/>
      </c>
      <c r="AWS37" s="9">
        <f>AWS36+AWE37-(AWL37+AWM37+AWN37+AWO37+AWP37+AWQ37+AWJ37)</f>
        <v/>
      </c>
      <c r="AWT37" s="12">
        <f>IF(AVY37&gt;0,AVZ37/AVY37,0)</f>
        <v/>
      </c>
      <c r="AWU37" s="11">
        <f>IF(AVY36&gt;0,MAX(0,(AVY36+AVJ37-AVY37)/AVY36),0)</f>
        <v/>
      </c>
    </row>
    <row r="38">
      <c r="A38" s="12" t="n">
        <v>34</v>
      </c>
      <c r="B38" s="12">
        <f>MOD(A38-1+LaunchMonth-1,12)+1</f>
        <v/>
      </c>
      <c r="C38" s="12">
        <f>INT((A38-1+LaunchMonth-1)/12)+1</f>
        <v/>
      </c>
      <c r="D38" s="12">
        <f>VLOOKUP(B38,SeasonTable,2,FALSE)</f>
        <v/>
      </c>
      <c r="E38" s="12">
        <f>(1+InflationRate)^INT((A38-1)/12)</f>
        <v/>
      </c>
      <c r="F38" s="11">
        <f>'Sens - Scenarios'!$B$5*VLOOKUP(B38,ChurnSeasonTable,4,FALSE)</f>
        <v/>
      </c>
      <c r="G38" s="12">
        <f>MIN(MAX(MktMin19plus,AE37*MktPct19plus),MAX(0,AS37-CashBuffer))</f>
        <v/>
      </c>
      <c r="H38" s="12">
        <f>IF(G38&gt;0,MAX(1,ROUND(G38/'Sens - Scenarios'!$B$8*D38,0)),0)</f>
        <v/>
      </c>
      <c r="I38" s="12">
        <f>IF(H38&gt;0,ROUND(H38*ReferralMix/(1-ReferralMix),0),0)</f>
        <v/>
      </c>
      <c r="J38" s="12">
        <f>H38+I38</f>
        <v/>
      </c>
      <c r="K38" s="12">
        <f>ROUND(J38*(1-'Sens - Scenarios'!$B$7),0)</f>
        <v/>
      </c>
      <c r="L38" s="12">
        <f>J38-K38</f>
        <v/>
      </c>
      <c r="M38" s="12">
        <f>ROUND(K38*EssentialMix,0)</f>
        <v/>
      </c>
      <c r="N38" s="12">
        <f>ROUND(K38*PremiumMix,0)</f>
        <v/>
      </c>
      <c r="O38" s="12">
        <f>K38-M38-N38</f>
        <v/>
      </c>
      <c r="P38" s="12">
        <f>ROUND(L38*EssentialMix,0)</f>
        <v/>
      </c>
      <c r="Q38" s="12">
        <f>ROUND(L38*PremiumMix,0)</f>
        <v/>
      </c>
      <c r="R38" s="12">
        <f>L38-P38-Q38</f>
        <v/>
      </c>
      <c r="S38" s="12">
        <f>M38+M37+M36+MAX(0,S37-M37-M36)*(1-F38)</f>
        <v/>
      </c>
      <c r="T38" s="12">
        <f>N38+N37+N36+MAX(0,T37-N37-N36)*(1-F38)</f>
        <v/>
      </c>
      <c r="U38" s="12">
        <f>O38+O37+O36+MAX(0,U37-O37-O36)*(1-F38)</f>
        <v/>
      </c>
      <c r="V38" s="12">
        <f>V37+P38-P26*('Sens - Scenarios'!$B$6*VLOOKUP(B38,ChurnSeasonTable,4,FALSE))*POWER(1-('Sens - Scenarios'!$B$6*VLOOKUP(B38,ChurnSeasonTable,4,FALSE)),0)+P14*('Sens - Scenarios'!$B$6*VLOOKUP(B38,ChurnSeasonTable,4,FALSE))*POWER(1-('Sens - Scenarios'!$B$6*VLOOKUP(B38,ChurnSeasonTable,4,FALSE)),1)</f>
        <v/>
      </c>
      <c r="W38" s="12">
        <f>W37+Q38-Q26*('Sens - Scenarios'!$B$6*VLOOKUP(B38,ChurnSeasonTable,4,FALSE))*POWER(1-('Sens - Scenarios'!$B$6*VLOOKUP(B38,ChurnSeasonTable,4,FALSE)),0)+Q14*('Sens - Scenarios'!$B$6*VLOOKUP(B38,ChurnSeasonTable,4,FALSE))*POWER(1-('Sens - Scenarios'!$B$6*VLOOKUP(B38,ChurnSeasonTable,4,FALSE)),1)</f>
        <v/>
      </c>
      <c r="X38" s="12">
        <f>X37+R38-R26*('Sens - Scenarios'!$B$6*VLOOKUP(B38,ChurnSeasonTable,4,FALSE))*POWER(1-('Sens - Scenarios'!$B$6*VLOOKUP(B38,ChurnSeasonTable,4,FALSE)),0)+R14*('Sens - Scenarios'!$B$6*VLOOKUP(B38,ChurnSeasonTable,4,FALSE))*POWER(1-('Sens - Scenarios'!$B$6*VLOOKUP(B38,ChurnSeasonTable,4,FALSE)),1)</f>
        <v/>
      </c>
      <c r="Y38" s="12">
        <f>S38+T38+U38+V38+W38+X38</f>
        <v/>
      </c>
      <c r="Z38" s="9">
        <f>S38*BlendedPriceEssMonthly*E38+T38*BlendedPricePremMonthly*E38+U38*BlendedPriceEliteMonthly*E38+V38*BlendedPriceEssAnnual*E38/12+W38*BlendedPricePremAnnual*E38/12+X38*BlendedPriceEliteAnnual*E38/12</f>
        <v/>
      </c>
      <c r="AA38" s="9">
        <f>Z38*12</f>
        <v/>
      </c>
      <c r="AB38" s="12">
        <f>S38*BlendedPriceEssMonthly*E38+T38*BlendedPricePremMonthly*E38+U38*BlendedPriceEliteMonthly*E38</f>
        <v/>
      </c>
      <c r="AC38" s="12">
        <f>P38*BlendedPriceEssAnnual*E38+Q38*BlendedPricePremAnnual*E38+R38*BlendedPriceEliteAnnual*E38</f>
        <v/>
      </c>
      <c r="AD38" s="12">
        <f>P26*POWER(1-('Sens - Scenarios'!$B$6*VLOOKUP(B38,ChurnSeasonTable,4,FALSE)),1)*BlendedPriceEssAnnual*E38+P14*POWER(1-('Sens - Scenarios'!$B$6*VLOOKUP(B38,ChurnSeasonTable,4,FALSE)),2)*BlendedPriceEssAnnual*E38+Q26*POWER(1-('Sens - Scenarios'!$B$6*VLOOKUP(B38,ChurnSeasonTable,4,FALSE)),1)*BlendedPricePremAnnual*E38+Q14*POWER(1-('Sens - Scenarios'!$B$6*VLOOKUP(B38,ChurnSeasonTable,4,FALSE)),2)*BlendedPricePremAnnual*E38+R26*POWER(1-('Sens - Scenarios'!$B$6*VLOOKUP(B38,ChurnSeasonTable,4,FALSE)),1)*BlendedPriceEliteAnnual*E38+R14*POWER(1-('Sens - Scenarios'!$B$6*VLOOKUP(B38,ChurnSeasonTable,4,FALSE)),2)*BlendedPriceEliteAnnual*E38</f>
        <v/>
      </c>
      <c r="AE38" s="9">
        <f>AB38+AC38+AD38</f>
        <v/>
      </c>
      <c r="AF38" s="12">
        <f>SUM(AE27:AE38)</f>
        <v/>
      </c>
      <c r="AG38" s="12">
        <f>OR(AG37,IF(VATAgentMode,SUM($AE27:$AE38)-SUM($AL27:$AL38)&gt;=VATThreshold,SUM($AE27:$AE38)&gt;=VATThreshold))</f>
        <v/>
      </c>
      <c r="AH38" s="9">
        <f>IF(AG38,IF(VATAgentMode,AE38-((AE38-AL38)-(AE38-AL38)/(1+VATRate)),AE38/(1+VATRate)),AE38)</f>
        <v/>
      </c>
      <c r="AI38" s="12">
        <f>AE38-AH38</f>
        <v/>
      </c>
      <c r="AJ38" s="12">
        <f>IF(AG38=0,0,IF(B38=1,SUMPRODUCT(--(($C$5:$C38=$C38-1)*($B$5:$B38&gt;=10)*($B$5:$B38&lt;=12)),$AI$5:$AI38),IF(B38=4,SUMPRODUCT(--(($C$5:$C38=$C38)*($B$5:$B38&gt;=1)*($B$5:$B38&lt;=3)),$AI$5:$AI38),IF(B38=7,SUMPRODUCT(--(($C$5:$C38=$C38)*($B$5:$B38&gt;=4)*($B$5:$B38&lt;=6)),$AI$5:$AI38),IF(B38=10,SUMPRODUCT(--(($C$5:$C38=$C38)*($B$5:$B38&gt;=7)*($B$5:$B38&lt;=9)),$AI$5:$AI38),0)))))</f>
        <v/>
      </c>
      <c r="AK38" s="12">
        <f>AK37+AI38-AJ38</f>
        <v/>
      </c>
      <c r="AL38" s="12">
        <f>IF(ProviderDelay&gt;=1,S37*BlendedProvPayEss+T37*BlendedProvPayPrem+U37*BlendedProvPayElite+V37*BlendedProvPayEss+W37*BlendedProvPayPrem+X37*BlendedProvPayElite,S38*BlendedProvPayEss+T38*BlendedProvPayPrem+U38*BlendedProvPayElite+V38*BlendedProvPayEss+W38*BlendedProvPayPrem+X38*BlendedProvPayElite)</f>
        <v/>
      </c>
      <c r="AM38" s="12">
        <f>AE38*PaymentFee</f>
        <v/>
      </c>
      <c r="AN38" s="12">
        <f>Y38*OpsAI</f>
        <v/>
      </c>
      <c r="AO38" s="12">
        <f>MonthlyFixed</f>
        <v/>
      </c>
      <c r="AP38" s="12">
        <f>I38*ReferralReward</f>
        <v/>
      </c>
      <c r="AQ38" s="12">
        <f>G38</f>
        <v/>
      </c>
      <c r="AR38" s="9">
        <f>AH38-AL38-AM38-AN38-AO38-AP38-AQ38</f>
        <v/>
      </c>
      <c r="AS38" s="9">
        <f>AS37+AE38-(AL38+AM38+AN38+AO38+AP38+AQ38+AJ38)</f>
        <v/>
      </c>
      <c r="AT38" s="12">
        <f>IF(Y38&gt;0,Z38/Y38,0)</f>
        <v/>
      </c>
      <c r="AU38" s="11">
        <f>IF(Y37&gt;0,MAX(0,(Y37+J38-Y38)/Y37),0)</f>
        <v/>
      </c>
      <c r="AW38" s="12" t="n">
        <v>34</v>
      </c>
      <c r="AX38" s="12">
        <f>MOD(AW38-1+LaunchMonth-1,12)+1</f>
        <v/>
      </c>
      <c r="AY38" s="12">
        <f>INT((AW38-1+LaunchMonth-1)/12)+1</f>
        <v/>
      </c>
      <c r="AZ38" s="12">
        <f>VLOOKUP(AX38,SeasonTable,2,FALSE)</f>
        <v/>
      </c>
      <c r="BA38" s="12">
        <f>(1+InflationRate)^INT((AW38-1)/12)</f>
        <v/>
      </c>
      <c r="BB38" s="11">
        <f>MonthlyChurn*VLOOKUP(AX38,ChurnSeasonTable,4,FALSE)</f>
        <v/>
      </c>
      <c r="BC38" s="12">
        <f>MIN(MAX(MktMin19plus,CA37*MktPct19plus),MAX(0,CO37-CashBuffer))</f>
        <v/>
      </c>
      <c r="BD38" s="12">
        <f>IF(BC38&gt;0,MAX(1,ROUND(BC38/CAC*AZ38,0)),0)</f>
        <v/>
      </c>
      <c r="BE38" s="12">
        <f>IF(BD38&gt;0,ROUND(BD38*ReferralMix/(1-ReferralMix),0),0)</f>
        <v/>
      </c>
      <c r="BF38" s="12">
        <f>BD38+BE38</f>
        <v/>
      </c>
      <c r="BG38" s="12">
        <f>ROUND(BF38*(1-AnnualMix),0)</f>
        <v/>
      </c>
      <c r="BH38" s="12">
        <f>BF38-BG38</f>
        <v/>
      </c>
      <c r="BI38" s="12">
        <f>ROUND(BG38*EssentialMix,0)</f>
        <v/>
      </c>
      <c r="BJ38" s="12">
        <f>ROUND(BG38*PremiumMix,0)</f>
        <v/>
      </c>
      <c r="BK38" s="12">
        <f>BG38-BI38-BJ38</f>
        <v/>
      </c>
      <c r="BL38" s="12">
        <f>ROUND(BH38*EssentialMix,0)</f>
        <v/>
      </c>
      <c r="BM38" s="12">
        <f>ROUND(BH38*PremiumMix,0)</f>
        <v/>
      </c>
      <c r="BN38" s="12">
        <f>BH38-BL38-BM38</f>
        <v/>
      </c>
      <c r="BO38" s="12">
        <f>BI38+BI37+BI36+MAX(0,BO37-BI37-BI36)*(1-BB38)</f>
        <v/>
      </c>
      <c r="BP38" s="12">
        <f>BJ38+BJ37+BJ36+MAX(0,BP37-BJ37-BJ36)*(1-BB38)</f>
        <v/>
      </c>
      <c r="BQ38" s="12">
        <f>BK38+BK37+BK36+MAX(0,BQ37-BK37-BK36)*(1-BB38)</f>
        <v/>
      </c>
      <c r="BR38" s="12">
        <f>BR37+BL38-BL26*(AnnualChurn*VLOOKUP(AX38,ChurnSeasonTable,4,FALSE))*POWER(1-(AnnualChurn*VLOOKUP(AX38,ChurnSeasonTable,4,FALSE)),0)+BL14*(AnnualChurn*VLOOKUP(AX38,ChurnSeasonTable,4,FALSE))*POWER(1-(AnnualChurn*VLOOKUP(AX38,ChurnSeasonTable,4,FALSE)),1)</f>
        <v/>
      </c>
      <c r="BS38" s="12">
        <f>BS37+BM38-BM26*(AnnualChurn*VLOOKUP(AX38,ChurnSeasonTable,4,FALSE))*POWER(1-(AnnualChurn*VLOOKUP(AX38,ChurnSeasonTable,4,FALSE)),0)+BM14*(AnnualChurn*VLOOKUP(AX38,ChurnSeasonTable,4,FALSE))*POWER(1-(AnnualChurn*VLOOKUP(AX38,ChurnSeasonTable,4,FALSE)),1)</f>
        <v/>
      </c>
      <c r="BT38" s="12">
        <f>BT37+BN38-BN26*(AnnualChurn*VLOOKUP(AX38,ChurnSeasonTable,4,FALSE))*POWER(1-(AnnualChurn*VLOOKUP(AX38,ChurnSeasonTable,4,FALSE)),0)+BN14*(AnnualChurn*VLOOKUP(AX38,ChurnSeasonTable,4,FALSE))*POWER(1-(AnnualChurn*VLOOKUP(AX38,ChurnSeasonTable,4,FALSE)),1)</f>
        <v/>
      </c>
      <c r="BU38" s="12">
        <f>BO38+BP38+BQ38+BR38+BS38+BT38</f>
        <v/>
      </c>
      <c r="BV38" s="9">
        <f>BO38*BlendedPriceEssMonthly*BA38+BP38*BlendedPricePremMonthly*BA38+BQ38*BlendedPriceEliteMonthly*BA38+BR38*BlendedPriceEssAnnual*BA38/12+BS38*BlendedPricePremAnnual*BA38/12+BT38*BlendedPriceEliteAnnual*BA38/12</f>
        <v/>
      </c>
      <c r="BW38" s="9">
        <f>BV38*12</f>
        <v/>
      </c>
      <c r="BX38" s="12">
        <f>BO38*BlendedPriceEssMonthly*BA38+BP38*BlendedPricePremMonthly*BA38+BQ38*BlendedPriceEliteMonthly*BA38</f>
        <v/>
      </c>
      <c r="BY38" s="12">
        <f>BL38*BlendedPriceEssAnnual*BA38+BM38*BlendedPricePremAnnual*BA38+BN38*BlendedPriceEliteAnnual*BA38</f>
        <v/>
      </c>
      <c r="BZ38" s="12">
        <f>BL26*POWER(1-(AnnualChurn*VLOOKUP(AX38,ChurnSeasonTable,4,FALSE)),1)*BlendedPriceEssAnnual*BA38+BL14*POWER(1-(AnnualChurn*VLOOKUP(AX38,ChurnSeasonTable,4,FALSE)),2)*BlendedPriceEssAnnual*BA38+BM26*POWER(1-(AnnualChurn*VLOOKUP(AX38,ChurnSeasonTable,4,FALSE)),1)*BlendedPricePremAnnual*BA38+BM14*POWER(1-(AnnualChurn*VLOOKUP(AX38,ChurnSeasonTable,4,FALSE)),2)*BlendedPricePremAnnual*BA38+BN26*POWER(1-(AnnualChurn*VLOOKUP(AX38,ChurnSeasonTable,4,FALSE)),1)*BlendedPriceEliteAnnual*BA38+BN14*POWER(1-(AnnualChurn*VLOOKUP(AX38,ChurnSeasonTable,4,FALSE)),2)*BlendedPriceEliteAnnual*BA38</f>
        <v/>
      </c>
      <c r="CA38" s="9">
        <f>BX38+BY38+BZ38</f>
        <v/>
      </c>
      <c r="CB38" s="12">
        <f>SUM(CA27:CA38)</f>
        <v/>
      </c>
      <c r="CC38" s="12">
        <f>OR(CC37,IF(VATAgentMode,SUM($CA27:$CA38)-SUM($CH27:$CH38)&gt;=VATThreshold,SUM($CA27:$CA38)&gt;=VATThreshold))</f>
        <v/>
      </c>
      <c r="CD38" s="9">
        <f>IF(CC38,IF(VATAgentMode,CA38-((CA38-CH38)-(CA38-CH38)/(1+VATRate)),CA38/(1+VATRate)),CA38)</f>
        <v/>
      </c>
      <c r="CE38" s="12">
        <f>CA38-CD38</f>
        <v/>
      </c>
      <c r="CF38" s="12">
        <f>IF(CC38=0,0,IF(AX38=1,SUMPRODUCT(--(($AY$5:$AY38=$AY38-1)*($AX$5:$AX38&gt;=10)*($AX$5:$AX38&lt;=12)),$CE$5:$CE38),IF(AX38=4,SUMPRODUCT(--(($AY$5:$AY38=$AY38)*($AX$5:$AX38&gt;=1)*($AX$5:$AX38&lt;=3)),$CE$5:$CE38),IF(AX38=7,SUMPRODUCT(--(($AY$5:$AY38=$AY38)*($AX$5:$AX38&gt;=4)*($AX$5:$AX38&lt;=6)),$CE$5:$CE38),IF(AX38=10,SUMPRODUCT(--(($AY$5:$AY38=$AY38)*($AX$5:$AX38&gt;=7)*($AX$5:$AX38&lt;=9)),$CE$5:$CE38),0)))))</f>
        <v/>
      </c>
      <c r="CG38" s="12">
        <f>CG37+CE38-CF38</f>
        <v/>
      </c>
      <c r="CH38" s="12">
        <f>IF(ProviderDelay&gt;=1,BO37*BlendedProvPayEss+BP37*BlendedProvPayPrem+BQ37*BlendedProvPayElite+BR37*BlendedProvPayEss+BS37*BlendedProvPayPrem+BT37*BlendedProvPayElite,BO38*BlendedProvPayEss+BP38*BlendedProvPayPrem+BQ38*BlendedProvPayElite+BR38*BlendedProvPayEss+BS38*BlendedProvPayPrem+BT38*BlendedProvPayElite)</f>
        <v/>
      </c>
      <c r="CI38" s="12">
        <f>CA38*PaymentFee</f>
        <v/>
      </c>
      <c r="CJ38" s="12">
        <f>BU38*OpsAI</f>
        <v/>
      </c>
      <c r="CK38" s="12">
        <f>MonthlyFixed</f>
        <v/>
      </c>
      <c r="CL38" s="12">
        <f>BE38*ReferralReward</f>
        <v/>
      </c>
      <c r="CM38" s="12">
        <f>BC38</f>
        <v/>
      </c>
      <c r="CN38" s="9">
        <f>CD38-CH38-CI38-CJ38-CK38-CL38-CM38</f>
        <v/>
      </c>
      <c r="CO38" s="9">
        <f>CO37+CA38-(CH38+CI38+CJ38+CK38+CL38+CM38+CF38)</f>
        <v/>
      </c>
      <c r="CP38" s="12">
        <f>IF(BU38&gt;0,BV38/BU38,0)</f>
        <v/>
      </c>
      <c r="CQ38" s="11">
        <f>IF(BU37&gt;0,MAX(0,(BU37+BF38-BU38)/BU37),0)</f>
        <v/>
      </c>
      <c r="CS38" s="12" t="n">
        <v>34</v>
      </c>
      <c r="CT38" s="12">
        <f>MOD(CS38-1+LaunchMonth-1,12)+1</f>
        <v/>
      </c>
      <c r="CU38" s="12">
        <f>INT((CS38-1+LaunchMonth-1)/12)+1</f>
        <v/>
      </c>
      <c r="CV38" s="12">
        <f>VLOOKUP(CT38,SeasonTable,2,FALSE)</f>
        <v/>
      </c>
      <c r="CW38" s="12">
        <f>(1+InflationRate)^INT((CS38-1)/12)</f>
        <v/>
      </c>
      <c r="CX38" s="11">
        <f>'Sens - Scenarios'!$D$5*VLOOKUP(CT38,ChurnSeasonTable,4,FALSE)</f>
        <v/>
      </c>
      <c r="CY38" s="12">
        <f>MIN(MAX(MktMin19plus,DW37*MktPct19plus),MAX(0,EK37-CashBuffer))</f>
        <v/>
      </c>
      <c r="CZ38" s="12">
        <f>IF(CY38&gt;0,MAX(1,ROUND(CY38/'Sens - Scenarios'!$D$8*CV38,0)),0)</f>
        <v/>
      </c>
      <c r="DA38" s="12">
        <f>IF(CZ38&gt;0,ROUND(CZ38*ReferralMix/(1-ReferralMix),0),0)</f>
        <v/>
      </c>
      <c r="DB38" s="12">
        <f>CZ38+DA38</f>
        <v/>
      </c>
      <c r="DC38" s="12">
        <f>ROUND(DB38*(1-'Sens - Scenarios'!$D$7),0)</f>
        <v/>
      </c>
      <c r="DD38" s="12">
        <f>DB38-DC38</f>
        <v/>
      </c>
      <c r="DE38" s="12">
        <f>ROUND(DC38*EssentialMix,0)</f>
        <v/>
      </c>
      <c r="DF38" s="12">
        <f>ROUND(DC38*PremiumMix,0)</f>
        <v/>
      </c>
      <c r="DG38" s="12">
        <f>DC38-DE38-DF38</f>
        <v/>
      </c>
      <c r="DH38" s="12">
        <f>ROUND(DD38*EssentialMix,0)</f>
        <v/>
      </c>
      <c r="DI38" s="12">
        <f>ROUND(DD38*PremiumMix,0)</f>
        <v/>
      </c>
      <c r="DJ38" s="12">
        <f>DD38-DH38-DI38</f>
        <v/>
      </c>
      <c r="DK38" s="12">
        <f>DE38+DE37+DE36+MAX(0,DK37-DE37-DE36)*(1-CX38)</f>
        <v/>
      </c>
      <c r="DL38" s="12">
        <f>DF38+DF37+DF36+MAX(0,DL37-DF37-DF36)*(1-CX38)</f>
        <v/>
      </c>
      <c r="DM38" s="12">
        <f>DG38+DG37+DG36+MAX(0,DM37-DG37-DG36)*(1-CX38)</f>
        <v/>
      </c>
      <c r="DN38" s="12">
        <f>DN37+DH38-DH26*('Sens - Scenarios'!$D$6*VLOOKUP(CT38,ChurnSeasonTable,4,FALSE))*POWER(1-('Sens - Scenarios'!$D$6*VLOOKUP(CT38,ChurnSeasonTable,4,FALSE)),0)+DH14*('Sens - Scenarios'!$D$6*VLOOKUP(CT38,ChurnSeasonTable,4,FALSE))*POWER(1-('Sens - Scenarios'!$D$6*VLOOKUP(CT38,ChurnSeasonTable,4,FALSE)),1)</f>
        <v/>
      </c>
      <c r="DO38" s="12">
        <f>DO37+DI38-DI26*('Sens - Scenarios'!$D$6*VLOOKUP(CT38,ChurnSeasonTable,4,FALSE))*POWER(1-('Sens - Scenarios'!$D$6*VLOOKUP(CT38,ChurnSeasonTable,4,FALSE)),0)+DI14*('Sens - Scenarios'!$D$6*VLOOKUP(CT38,ChurnSeasonTable,4,FALSE))*POWER(1-('Sens - Scenarios'!$D$6*VLOOKUP(CT38,ChurnSeasonTable,4,FALSE)),1)</f>
        <v/>
      </c>
      <c r="DP38" s="12">
        <f>DP37+DJ38-DJ26*('Sens - Scenarios'!$D$6*VLOOKUP(CT38,ChurnSeasonTable,4,FALSE))*POWER(1-('Sens - Scenarios'!$D$6*VLOOKUP(CT38,ChurnSeasonTable,4,FALSE)),0)+DJ14*('Sens - Scenarios'!$D$6*VLOOKUP(CT38,ChurnSeasonTable,4,FALSE))*POWER(1-('Sens - Scenarios'!$D$6*VLOOKUP(CT38,ChurnSeasonTable,4,FALSE)),1)</f>
        <v/>
      </c>
      <c r="DQ38" s="12">
        <f>DK38+DL38+DM38+DN38+DO38+DP38</f>
        <v/>
      </c>
      <c r="DR38" s="9">
        <f>DK38*BlendedPriceEssMonthly*CW38+DL38*BlendedPricePremMonthly*CW38+DM38*BlendedPriceEliteMonthly*CW38+DN38*BlendedPriceEssAnnual*CW38/12+DO38*BlendedPricePremAnnual*CW38/12+DP38*BlendedPriceEliteAnnual*CW38/12</f>
        <v/>
      </c>
      <c r="DS38" s="9">
        <f>DR38*12</f>
        <v/>
      </c>
      <c r="DT38" s="12">
        <f>DK38*BlendedPriceEssMonthly*CW38+DL38*BlendedPricePremMonthly*CW38+DM38*BlendedPriceEliteMonthly*CW38</f>
        <v/>
      </c>
      <c r="DU38" s="12">
        <f>DH38*BlendedPriceEssAnnual*CW38+DI38*BlendedPricePremAnnual*CW38+DJ38*BlendedPriceEliteAnnual*CW38</f>
        <v/>
      </c>
      <c r="DV38" s="12">
        <f>DH26*POWER(1-('Sens - Scenarios'!$D$6*VLOOKUP(CT38,ChurnSeasonTable,4,FALSE)),1)*BlendedPriceEssAnnual*CW38+DH14*POWER(1-('Sens - Scenarios'!$D$6*VLOOKUP(CT38,ChurnSeasonTable,4,FALSE)),2)*BlendedPriceEssAnnual*CW38+DI26*POWER(1-('Sens - Scenarios'!$D$6*VLOOKUP(CT38,ChurnSeasonTable,4,FALSE)),1)*BlendedPricePremAnnual*CW38+DI14*POWER(1-('Sens - Scenarios'!$D$6*VLOOKUP(CT38,ChurnSeasonTable,4,FALSE)),2)*BlendedPricePremAnnual*CW38+DJ26*POWER(1-('Sens - Scenarios'!$D$6*VLOOKUP(CT38,ChurnSeasonTable,4,FALSE)),1)*BlendedPriceEliteAnnual*CW38+DJ14*POWER(1-('Sens - Scenarios'!$D$6*VLOOKUP(CT38,ChurnSeasonTable,4,FALSE)),2)*BlendedPriceEliteAnnual*CW38</f>
        <v/>
      </c>
      <c r="DW38" s="9">
        <f>DT38+DU38+DV38</f>
        <v/>
      </c>
      <c r="DX38" s="12">
        <f>SUM(DW27:DW38)</f>
        <v/>
      </c>
      <c r="DY38" s="12">
        <f>OR(DY37,IF(VATAgentMode,SUM($DW27:$DW38)-SUM($ED27:$ED38)&gt;=VATThreshold,SUM($DW27:$DW38)&gt;=VATThreshold))</f>
        <v/>
      </c>
      <c r="DZ38" s="9">
        <f>IF(DY38,IF(VATAgentMode,DW38-((DW38-ED38)-(DW38-ED38)/(1+VATRate)),DW38/(1+VATRate)),DW38)</f>
        <v/>
      </c>
      <c r="EA38" s="12">
        <f>DW38-DZ38</f>
        <v/>
      </c>
      <c r="EB38" s="12">
        <f>IF(DY38=0,0,IF(CT38=1,SUMPRODUCT(--(($CU$5:$CU38=$CU38-1)*($CT$5:$CT38&gt;=10)*($CT$5:$CT38&lt;=12)),$EA$5:$EA38),IF(CT38=4,SUMPRODUCT(--(($CU$5:$CU38=$CU38)*($CT$5:$CT38&gt;=1)*($CT$5:$CT38&lt;=3)),$EA$5:$EA38),IF(CT38=7,SUMPRODUCT(--(($CU$5:$CU38=$CU38)*($CT$5:$CT38&gt;=4)*($CT$5:$CT38&lt;=6)),$EA$5:$EA38),IF(CT38=10,SUMPRODUCT(--(($CU$5:$CU38=$CU38)*($CT$5:$CT38&gt;=7)*($CT$5:$CT38&lt;=9)),$EA$5:$EA38),0)))))</f>
        <v/>
      </c>
      <c r="EC38" s="12">
        <f>EC37+EA38-EB38</f>
        <v/>
      </c>
      <c r="ED38" s="12">
        <f>IF(ProviderDelay&gt;=1,DK37*BlendedProvPayEss+DL37*BlendedProvPayPrem+DM37*BlendedProvPayElite+DN37*BlendedProvPayEss+DO37*BlendedProvPayPrem+DP37*BlendedProvPayElite,DK38*BlendedProvPayEss+DL38*BlendedProvPayPrem+DM38*BlendedProvPayElite+DN38*BlendedProvPayEss+DO38*BlendedProvPayPrem+DP38*BlendedProvPayElite)</f>
        <v/>
      </c>
      <c r="EE38" s="12">
        <f>DW38*PaymentFee</f>
        <v/>
      </c>
      <c r="EF38" s="12">
        <f>DQ38*OpsAI</f>
        <v/>
      </c>
      <c r="EG38" s="12">
        <f>MonthlyFixed</f>
        <v/>
      </c>
      <c r="EH38" s="12">
        <f>DA38*ReferralReward</f>
        <v/>
      </c>
      <c r="EI38" s="12">
        <f>CY38</f>
        <v/>
      </c>
      <c r="EJ38" s="9">
        <f>DZ38-ED38-EE38-EF38-EG38-EH38-EI38</f>
        <v/>
      </c>
      <c r="EK38" s="9">
        <f>EK37+DW38-(ED38+EE38+EF38+EG38+EH38+EI38+EB38)</f>
        <v/>
      </c>
      <c r="EL38" s="12">
        <f>IF(DQ38&gt;0,DR38/DQ38,0)</f>
        <v/>
      </c>
      <c r="EM38" s="11">
        <f>IF(DQ37&gt;0,MAX(0,(DQ37+DB38-DQ38)/DQ37),0)</f>
        <v/>
      </c>
      <c r="EO38" s="12" t="n">
        <v>34</v>
      </c>
      <c r="EP38" s="12">
        <f>MOD(EO38-1+LaunchMonth-1,12)+1</f>
        <v/>
      </c>
      <c r="EQ38" s="12">
        <f>INT((EO38-1+LaunchMonth-1)/12)+1</f>
        <v/>
      </c>
      <c r="ER38" s="12">
        <f>VLOOKUP(EP38,SeasonTable,2,FALSE)</f>
        <v/>
      </c>
      <c r="ES38" s="12">
        <f>(1+InflationRate)^INT((EO38-1)/12)</f>
        <v/>
      </c>
      <c r="ET38" s="11">
        <f>'Sens - Churn'!$A$13*VLOOKUP(EP38,ChurnSeasonTable,4,FALSE)</f>
        <v/>
      </c>
      <c r="EU38" s="12">
        <f>MIN(MAX(MktMin19plus,FS37*MktPct19plus),MAX(0,GG37-CashBuffer))</f>
        <v/>
      </c>
      <c r="EV38" s="12">
        <f>IF(EU38&gt;0,MAX(1,ROUND(EU38/CAC*ER38,0)),0)</f>
        <v/>
      </c>
      <c r="EW38" s="12">
        <f>IF(EV38&gt;0,ROUND(EV38*ReferralMix/(1-ReferralMix),0),0)</f>
        <v/>
      </c>
      <c r="EX38" s="12">
        <f>EV38+EW38</f>
        <v/>
      </c>
      <c r="EY38" s="12">
        <f>ROUND(EX38*(1-AnnualMix),0)</f>
        <v/>
      </c>
      <c r="EZ38" s="12">
        <f>EX38-EY38</f>
        <v/>
      </c>
      <c r="FA38" s="12">
        <f>ROUND(EY38*EssentialMix,0)</f>
        <v/>
      </c>
      <c r="FB38" s="12">
        <f>ROUND(EY38*PremiumMix,0)</f>
        <v/>
      </c>
      <c r="FC38" s="12">
        <f>EY38-FA38-FB38</f>
        <v/>
      </c>
      <c r="FD38" s="12">
        <f>ROUND(EZ38*EssentialMix,0)</f>
        <v/>
      </c>
      <c r="FE38" s="12">
        <f>ROUND(EZ38*PremiumMix,0)</f>
        <v/>
      </c>
      <c r="FF38" s="12">
        <f>EZ38-FD38-FE38</f>
        <v/>
      </c>
      <c r="FG38" s="12">
        <f>FA38+FA37+FA36+MAX(0,FG37-FA37-FA36)*(1-ET38)</f>
        <v/>
      </c>
      <c r="FH38" s="12">
        <f>FB38+FB37+FB36+MAX(0,FH37-FB37-FB36)*(1-ET38)</f>
        <v/>
      </c>
      <c r="FI38" s="12">
        <f>FC38+FC37+FC36+MAX(0,FI37-FC37-FC36)*(1-ET38)</f>
        <v/>
      </c>
      <c r="FJ38" s="12">
        <f>FJ37+FD38-FD26*(AnnualChurn*VLOOKUP(EP38,ChurnSeasonTable,4,FALSE))*POWER(1-(AnnualChurn*VLOOKUP(EP38,ChurnSeasonTable,4,FALSE)),0)+FD14*(AnnualChurn*VLOOKUP(EP38,ChurnSeasonTable,4,FALSE))*POWER(1-(AnnualChurn*VLOOKUP(EP38,ChurnSeasonTable,4,FALSE)),1)</f>
        <v/>
      </c>
      <c r="FK38" s="12">
        <f>FK37+FE38-FE26*(AnnualChurn*VLOOKUP(EP38,ChurnSeasonTable,4,FALSE))*POWER(1-(AnnualChurn*VLOOKUP(EP38,ChurnSeasonTable,4,FALSE)),0)+FE14*(AnnualChurn*VLOOKUP(EP38,ChurnSeasonTable,4,FALSE))*POWER(1-(AnnualChurn*VLOOKUP(EP38,ChurnSeasonTable,4,FALSE)),1)</f>
        <v/>
      </c>
      <c r="FL38" s="12">
        <f>FL37+FF38-FF26*(AnnualChurn*VLOOKUP(EP38,ChurnSeasonTable,4,FALSE))*POWER(1-(AnnualChurn*VLOOKUP(EP38,ChurnSeasonTable,4,FALSE)),0)+FF14*(AnnualChurn*VLOOKUP(EP38,ChurnSeasonTable,4,FALSE))*POWER(1-(AnnualChurn*VLOOKUP(EP38,ChurnSeasonTable,4,FALSE)),1)</f>
        <v/>
      </c>
      <c r="FM38" s="12">
        <f>FG38+FH38+FI38+FJ38+FK38+FL38</f>
        <v/>
      </c>
      <c r="FN38" s="9">
        <f>FG38*BlendedPriceEssMonthly*ES38+FH38*BlendedPricePremMonthly*ES38+FI38*BlendedPriceEliteMonthly*ES38+FJ38*BlendedPriceEssAnnual*ES38/12+FK38*BlendedPricePremAnnual*ES38/12+FL38*BlendedPriceEliteAnnual*ES38/12</f>
        <v/>
      </c>
      <c r="FO38" s="9">
        <f>FN38*12</f>
        <v/>
      </c>
      <c r="FP38" s="12">
        <f>FG38*BlendedPriceEssMonthly*ES38+FH38*BlendedPricePremMonthly*ES38+FI38*BlendedPriceEliteMonthly*ES38</f>
        <v/>
      </c>
      <c r="FQ38" s="12">
        <f>FD38*BlendedPriceEssAnnual*ES38+FE38*BlendedPricePremAnnual*ES38+FF38*BlendedPriceEliteAnnual*ES38</f>
        <v/>
      </c>
      <c r="FR38" s="12">
        <f>FD26*POWER(1-(AnnualChurn*VLOOKUP(EP38,ChurnSeasonTable,4,FALSE)),1)*BlendedPriceEssAnnual*ES38+FD14*POWER(1-(AnnualChurn*VLOOKUP(EP38,ChurnSeasonTable,4,FALSE)),2)*BlendedPriceEssAnnual*ES38+FE26*POWER(1-(AnnualChurn*VLOOKUP(EP38,ChurnSeasonTable,4,FALSE)),1)*BlendedPricePremAnnual*ES38+FE14*POWER(1-(AnnualChurn*VLOOKUP(EP38,ChurnSeasonTable,4,FALSE)),2)*BlendedPricePremAnnual*ES38+FF26*POWER(1-(AnnualChurn*VLOOKUP(EP38,ChurnSeasonTable,4,FALSE)),1)*BlendedPriceEliteAnnual*ES38+FF14*POWER(1-(AnnualChurn*VLOOKUP(EP38,ChurnSeasonTable,4,FALSE)),2)*BlendedPriceEliteAnnual*ES38</f>
        <v/>
      </c>
      <c r="FS38" s="9">
        <f>FP38+FQ38+FR38</f>
        <v/>
      </c>
      <c r="FT38" s="12">
        <f>SUM(FS27:FS38)</f>
        <v/>
      </c>
      <c r="FU38" s="12">
        <f>OR(FU37,IF(VATAgentMode,SUM($FS27:$FS38)-SUM($FZ27:$FZ38)&gt;=VATThreshold,SUM($FS27:$FS38)&gt;=VATThreshold))</f>
        <v/>
      </c>
      <c r="FV38" s="9">
        <f>IF(FU38,IF(VATAgentMode,FS38-((FS38-FZ38)-(FS38-FZ38)/(1+VATRate)),FS38/(1+VATRate)),FS38)</f>
        <v/>
      </c>
      <c r="FW38" s="12">
        <f>FS38-FV38</f>
        <v/>
      </c>
      <c r="FX38" s="12">
        <f>IF(FU38=0,0,IF(EP38=1,SUMPRODUCT(--(($EQ$5:$EQ38=$EQ38-1)*($EP$5:$EP38&gt;=10)*($EP$5:$EP38&lt;=12)),$FW$5:$FW38),IF(EP38=4,SUMPRODUCT(--(($EQ$5:$EQ38=$EQ38)*($EP$5:$EP38&gt;=1)*($EP$5:$EP38&lt;=3)),$FW$5:$FW38),IF(EP38=7,SUMPRODUCT(--(($EQ$5:$EQ38=$EQ38)*($EP$5:$EP38&gt;=4)*($EP$5:$EP38&lt;=6)),$FW$5:$FW38),IF(EP38=10,SUMPRODUCT(--(($EQ$5:$EQ38=$EQ38)*($EP$5:$EP38&gt;=7)*($EP$5:$EP38&lt;=9)),$FW$5:$FW38),0)))))</f>
        <v/>
      </c>
      <c r="FY38" s="12">
        <f>FY37+FW38-FX38</f>
        <v/>
      </c>
      <c r="FZ38" s="12">
        <f>IF(ProviderDelay&gt;=1,FG37*BlendedProvPayEss+FH37*BlendedProvPayPrem+FI37*BlendedProvPayElite+FJ37*BlendedProvPayEss+FK37*BlendedProvPayPrem+FL37*BlendedProvPayElite,FG38*BlendedProvPayEss+FH38*BlendedProvPayPrem+FI38*BlendedProvPayElite+FJ38*BlendedProvPayEss+FK38*BlendedProvPayPrem+FL38*BlendedProvPayElite)</f>
        <v/>
      </c>
      <c r="GA38" s="12">
        <f>FS38*PaymentFee</f>
        <v/>
      </c>
      <c r="GB38" s="12">
        <f>FM38*OpsAI</f>
        <v/>
      </c>
      <c r="GC38" s="12">
        <f>MonthlyFixed</f>
        <v/>
      </c>
      <c r="GD38" s="12">
        <f>EW38*ReferralReward</f>
        <v/>
      </c>
      <c r="GE38" s="12">
        <f>EU38</f>
        <v/>
      </c>
      <c r="GF38" s="9">
        <f>FV38-FZ38-GA38-GB38-GC38-GD38-GE38</f>
        <v/>
      </c>
      <c r="GG38" s="9">
        <f>GG37+FS38-(FZ38+GA38+GB38+GC38+GD38+GE38+FX38)</f>
        <v/>
      </c>
      <c r="GH38" s="12">
        <f>IF(FM38&gt;0,FN38/FM38,0)</f>
        <v/>
      </c>
      <c r="GI38" s="11">
        <f>IF(FM37&gt;0,MAX(0,(FM37+EX38-FM38)/FM37),0)</f>
        <v/>
      </c>
      <c r="GK38" s="12" t="n">
        <v>34</v>
      </c>
      <c r="GL38" s="12">
        <f>MOD(GK38-1+LaunchMonth-1,12)+1</f>
        <v/>
      </c>
      <c r="GM38" s="12">
        <f>INT((GK38-1+LaunchMonth-1)/12)+1</f>
        <v/>
      </c>
      <c r="GN38" s="12">
        <f>VLOOKUP(GL38,SeasonTable,2,FALSE)</f>
        <v/>
      </c>
      <c r="GO38" s="12">
        <f>(1+InflationRate)^INT((GK38-1)/12)</f>
        <v/>
      </c>
      <c r="GP38" s="11">
        <f>'Sens - Churn'!$A$14*VLOOKUP(GL38,ChurnSeasonTable,4,FALSE)</f>
        <v/>
      </c>
      <c r="GQ38" s="12">
        <f>MIN(MAX(MktMin19plus,HO37*MktPct19plus),MAX(0,IC37-CashBuffer))</f>
        <v/>
      </c>
      <c r="GR38" s="12">
        <f>IF(GQ38&gt;0,MAX(1,ROUND(GQ38/CAC*GN38,0)),0)</f>
        <v/>
      </c>
      <c r="GS38" s="12">
        <f>IF(GR38&gt;0,ROUND(GR38*ReferralMix/(1-ReferralMix),0),0)</f>
        <v/>
      </c>
      <c r="GT38" s="12">
        <f>GR38+GS38</f>
        <v/>
      </c>
      <c r="GU38" s="12">
        <f>ROUND(GT38*(1-AnnualMix),0)</f>
        <v/>
      </c>
      <c r="GV38" s="12">
        <f>GT38-GU38</f>
        <v/>
      </c>
      <c r="GW38" s="12">
        <f>ROUND(GU38*EssentialMix,0)</f>
        <v/>
      </c>
      <c r="GX38" s="12">
        <f>ROUND(GU38*PremiumMix,0)</f>
        <v/>
      </c>
      <c r="GY38" s="12">
        <f>GU38-GW38-GX38</f>
        <v/>
      </c>
      <c r="GZ38" s="12">
        <f>ROUND(GV38*EssentialMix,0)</f>
        <v/>
      </c>
      <c r="HA38" s="12">
        <f>ROUND(GV38*PremiumMix,0)</f>
        <v/>
      </c>
      <c r="HB38" s="12">
        <f>GV38-GZ38-HA38</f>
        <v/>
      </c>
      <c r="HC38" s="12">
        <f>GW38+GW37+GW36+MAX(0,HC37-GW37-GW36)*(1-GP38)</f>
        <v/>
      </c>
      <c r="HD38" s="12">
        <f>GX38+GX37+GX36+MAX(0,HD37-GX37-GX36)*(1-GP38)</f>
        <v/>
      </c>
      <c r="HE38" s="12">
        <f>GY38+GY37+GY36+MAX(0,HE37-GY37-GY36)*(1-GP38)</f>
        <v/>
      </c>
      <c r="HF38" s="12">
        <f>HF37+GZ38-GZ26*(AnnualChurn*VLOOKUP(GL38,ChurnSeasonTable,4,FALSE))*POWER(1-(AnnualChurn*VLOOKUP(GL38,ChurnSeasonTable,4,FALSE)),0)+GZ14*(AnnualChurn*VLOOKUP(GL38,ChurnSeasonTable,4,FALSE))*POWER(1-(AnnualChurn*VLOOKUP(GL38,ChurnSeasonTable,4,FALSE)),1)</f>
        <v/>
      </c>
      <c r="HG38" s="12">
        <f>HG37+HA38-HA26*(AnnualChurn*VLOOKUP(GL38,ChurnSeasonTable,4,FALSE))*POWER(1-(AnnualChurn*VLOOKUP(GL38,ChurnSeasonTable,4,FALSE)),0)+HA14*(AnnualChurn*VLOOKUP(GL38,ChurnSeasonTable,4,FALSE))*POWER(1-(AnnualChurn*VLOOKUP(GL38,ChurnSeasonTable,4,FALSE)),1)</f>
        <v/>
      </c>
      <c r="HH38" s="12">
        <f>HH37+HB38-HB26*(AnnualChurn*VLOOKUP(GL38,ChurnSeasonTable,4,FALSE))*POWER(1-(AnnualChurn*VLOOKUP(GL38,ChurnSeasonTable,4,FALSE)),0)+HB14*(AnnualChurn*VLOOKUP(GL38,ChurnSeasonTable,4,FALSE))*POWER(1-(AnnualChurn*VLOOKUP(GL38,ChurnSeasonTable,4,FALSE)),1)</f>
        <v/>
      </c>
      <c r="HI38" s="12">
        <f>HC38+HD38+HE38+HF38+HG38+HH38</f>
        <v/>
      </c>
      <c r="HJ38" s="9">
        <f>HC38*BlendedPriceEssMonthly*GO38+HD38*BlendedPricePremMonthly*GO38+HE38*BlendedPriceEliteMonthly*GO38+HF38*BlendedPriceEssAnnual*GO38/12+HG38*BlendedPricePremAnnual*GO38/12+HH38*BlendedPriceEliteAnnual*GO38/12</f>
        <v/>
      </c>
      <c r="HK38" s="9">
        <f>HJ38*12</f>
        <v/>
      </c>
      <c r="HL38" s="12">
        <f>HC38*BlendedPriceEssMonthly*GO38+HD38*BlendedPricePremMonthly*GO38+HE38*BlendedPriceEliteMonthly*GO38</f>
        <v/>
      </c>
      <c r="HM38" s="12">
        <f>GZ38*BlendedPriceEssAnnual*GO38+HA38*BlendedPricePremAnnual*GO38+HB38*BlendedPriceEliteAnnual*GO38</f>
        <v/>
      </c>
      <c r="HN38" s="12">
        <f>GZ26*POWER(1-(AnnualChurn*VLOOKUP(GL38,ChurnSeasonTable,4,FALSE)),1)*BlendedPriceEssAnnual*GO38+GZ14*POWER(1-(AnnualChurn*VLOOKUP(GL38,ChurnSeasonTable,4,FALSE)),2)*BlendedPriceEssAnnual*GO38+HA26*POWER(1-(AnnualChurn*VLOOKUP(GL38,ChurnSeasonTable,4,FALSE)),1)*BlendedPricePremAnnual*GO38+HA14*POWER(1-(AnnualChurn*VLOOKUP(GL38,ChurnSeasonTable,4,FALSE)),2)*BlendedPricePremAnnual*GO38+HB26*POWER(1-(AnnualChurn*VLOOKUP(GL38,ChurnSeasonTable,4,FALSE)),1)*BlendedPriceEliteAnnual*GO38+HB14*POWER(1-(AnnualChurn*VLOOKUP(GL38,ChurnSeasonTable,4,FALSE)),2)*BlendedPriceEliteAnnual*GO38</f>
        <v/>
      </c>
      <c r="HO38" s="9">
        <f>HL38+HM38+HN38</f>
        <v/>
      </c>
      <c r="HP38" s="12">
        <f>SUM(HO27:HO38)</f>
        <v/>
      </c>
      <c r="HQ38" s="12">
        <f>OR(HQ37,IF(VATAgentMode,SUM($HO27:$HO38)-SUM($HV27:$HV38)&gt;=VATThreshold,SUM($HO27:$HO38)&gt;=VATThreshold))</f>
        <v/>
      </c>
      <c r="HR38" s="9">
        <f>IF(HQ38,IF(VATAgentMode,HO38-((HO38-HV38)-(HO38-HV38)/(1+VATRate)),HO38/(1+VATRate)),HO38)</f>
        <v/>
      </c>
      <c r="HS38" s="12">
        <f>HO38-HR38</f>
        <v/>
      </c>
      <c r="HT38" s="12">
        <f>IF(HQ38=0,0,IF(GL38=1,SUMPRODUCT(--(($GM$5:$GM38=$GM38-1)*($GL$5:$GL38&gt;=10)*($GL$5:$GL38&lt;=12)),$HS$5:$HS38),IF(GL38=4,SUMPRODUCT(--(($GM$5:$GM38=$GM38)*($GL$5:$GL38&gt;=1)*($GL$5:$GL38&lt;=3)),$HS$5:$HS38),IF(GL38=7,SUMPRODUCT(--(($GM$5:$GM38=$GM38)*($GL$5:$GL38&gt;=4)*($GL$5:$GL38&lt;=6)),$HS$5:$HS38),IF(GL38=10,SUMPRODUCT(--(($GM$5:$GM38=$GM38)*($GL$5:$GL38&gt;=7)*($GL$5:$GL38&lt;=9)),$HS$5:$HS38),0)))))</f>
        <v/>
      </c>
      <c r="HU38" s="12">
        <f>HU37+HS38-HT38</f>
        <v/>
      </c>
      <c r="HV38" s="12">
        <f>IF(ProviderDelay&gt;=1,HC37*BlendedProvPayEss+HD37*BlendedProvPayPrem+HE37*BlendedProvPayElite+HF37*BlendedProvPayEss+HG37*BlendedProvPayPrem+HH37*BlendedProvPayElite,HC38*BlendedProvPayEss+HD38*BlendedProvPayPrem+HE38*BlendedProvPayElite+HF38*BlendedProvPayEss+HG38*BlendedProvPayPrem+HH38*BlendedProvPayElite)</f>
        <v/>
      </c>
      <c r="HW38" s="12">
        <f>HO38*PaymentFee</f>
        <v/>
      </c>
      <c r="HX38" s="12">
        <f>HI38*OpsAI</f>
        <v/>
      </c>
      <c r="HY38" s="12">
        <f>MonthlyFixed</f>
        <v/>
      </c>
      <c r="HZ38" s="12">
        <f>GS38*ReferralReward</f>
        <v/>
      </c>
      <c r="IA38" s="12">
        <f>GQ38</f>
        <v/>
      </c>
      <c r="IB38" s="9">
        <f>HR38-HV38-HW38-HX38-HY38-HZ38-IA38</f>
        <v/>
      </c>
      <c r="IC38" s="9">
        <f>IC37+HO38-(HV38+HW38+HX38+HY38+HZ38+IA38+HT38)</f>
        <v/>
      </c>
      <c r="ID38" s="12">
        <f>IF(HI38&gt;0,HJ38/HI38,0)</f>
        <v/>
      </c>
      <c r="IE38" s="11">
        <f>IF(HI37&gt;0,MAX(0,(HI37+GT38-HI38)/HI37),0)</f>
        <v/>
      </c>
      <c r="IG38" s="12" t="n">
        <v>34</v>
      </c>
      <c r="IH38" s="12">
        <f>MOD(IG38-1+LaunchMonth-1,12)+1</f>
        <v/>
      </c>
      <c r="II38" s="12">
        <f>INT((IG38-1+LaunchMonth-1)/12)+1</f>
        <v/>
      </c>
      <c r="IJ38" s="12">
        <f>VLOOKUP(IH38,SeasonTable,2,FALSE)</f>
        <v/>
      </c>
      <c r="IK38" s="12">
        <f>(1+InflationRate)^INT((IG38-1)/12)</f>
        <v/>
      </c>
      <c r="IL38" s="11">
        <f>'Sens - Churn'!$A$15*VLOOKUP(IH38,ChurnSeasonTable,4,FALSE)</f>
        <v/>
      </c>
      <c r="IM38" s="12">
        <f>MIN(MAX(MktMin19plus,JK37*MktPct19plus),MAX(0,JY37-CashBuffer))</f>
        <v/>
      </c>
      <c r="IN38" s="12">
        <f>IF(IM38&gt;0,MAX(1,ROUND(IM38/CAC*IJ38,0)),0)</f>
        <v/>
      </c>
      <c r="IO38" s="12">
        <f>IF(IN38&gt;0,ROUND(IN38*ReferralMix/(1-ReferralMix),0),0)</f>
        <v/>
      </c>
      <c r="IP38" s="12">
        <f>IN38+IO38</f>
        <v/>
      </c>
      <c r="IQ38" s="12">
        <f>ROUND(IP38*(1-AnnualMix),0)</f>
        <v/>
      </c>
      <c r="IR38" s="12">
        <f>IP38-IQ38</f>
        <v/>
      </c>
      <c r="IS38" s="12">
        <f>ROUND(IQ38*EssentialMix,0)</f>
        <v/>
      </c>
      <c r="IT38" s="12">
        <f>ROUND(IQ38*PremiumMix,0)</f>
        <v/>
      </c>
      <c r="IU38" s="12">
        <f>IQ38-IS38-IT38</f>
        <v/>
      </c>
      <c r="IV38" s="12">
        <f>ROUND(IR38*EssentialMix,0)</f>
        <v/>
      </c>
      <c r="IW38" s="12">
        <f>ROUND(IR38*PremiumMix,0)</f>
        <v/>
      </c>
      <c r="IX38" s="12">
        <f>IR38-IV38-IW38</f>
        <v/>
      </c>
      <c r="IY38" s="12">
        <f>IS38+IS37+IS36+MAX(0,IY37-IS37-IS36)*(1-IL38)</f>
        <v/>
      </c>
      <c r="IZ38" s="12">
        <f>IT38+IT37+IT36+MAX(0,IZ37-IT37-IT36)*(1-IL38)</f>
        <v/>
      </c>
      <c r="JA38" s="12">
        <f>IU38+IU37+IU36+MAX(0,JA37-IU37-IU36)*(1-IL38)</f>
        <v/>
      </c>
      <c r="JB38" s="12">
        <f>JB37+IV38-IV26*(AnnualChurn*VLOOKUP(IH38,ChurnSeasonTable,4,FALSE))*POWER(1-(AnnualChurn*VLOOKUP(IH38,ChurnSeasonTable,4,FALSE)),0)+IV14*(AnnualChurn*VLOOKUP(IH38,ChurnSeasonTable,4,FALSE))*POWER(1-(AnnualChurn*VLOOKUP(IH38,ChurnSeasonTable,4,FALSE)),1)</f>
        <v/>
      </c>
      <c r="JC38" s="12">
        <f>JC37+IW38-IW26*(AnnualChurn*VLOOKUP(IH38,ChurnSeasonTable,4,FALSE))*POWER(1-(AnnualChurn*VLOOKUP(IH38,ChurnSeasonTable,4,FALSE)),0)+IW14*(AnnualChurn*VLOOKUP(IH38,ChurnSeasonTable,4,FALSE))*POWER(1-(AnnualChurn*VLOOKUP(IH38,ChurnSeasonTable,4,FALSE)),1)</f>
        <v/>
      </c>
      <c r="JD38" s="12">
        <f>JD37+IX38-IX26*(AnnualChurn*VLOOKUP(IH38,ChurnSeasonTable,4,FALSE))*POWER(1-(AnnualChurn*VLOOKUP(IH38,ChurnSeasonTable,4,FALSE)),0)+IX14*(AnnualChurn*VLOOKUP(IH38,ChurnSeasonTable,4,FALSE))*POWER(1-(AnnualChurn*VLOOKUP(IH38,ChurnSeasonTable,4,FALSE)),1)</f>
        <v/>
      </c>
      <c r="JE38" s="12">
        <f>IY38+IZ38+JA38+JB38+JC38+JD38</f>
        <v/>
      </c>
      <c r="JF38" s="9">
        <f>IY38*BlendedPriceEssMonthly*IK38+IZ38*BlendedPricePremMonthly*IK38+JA38*BlendedPriceEliteMonthly*IK38+JB38*BlendedPriceEssAnnual*IK38/12+JC38*BlendedPricePremAnnual*IK38/12+JD38*BlendedPriceEliteAnnual*IK38/12</f>
        <v/>
      </c>
      <c r="JG38" s="9">
        <f>JF38*12</f>
        <v/>
      </c>
      <c r="JH38" s="12">
        <f>IY38*BlendedPriceEssMonthly*IK38+IZ38*BlendedPricePremMonthly*IK38+JA38*BlendedPriceEliteMonthly*IK38</f>
        <v/>
      </c>
      <c r="JI38" s="12">
        <f>IV38*BlendedPriceEssAnnual*IK38+IW38*BlendedPricePremAnnual*IK38+IX38*BlendedPriceEliteAnnual*IK38</f>
        <v/>
      </c>
      <c r="JJ38" s="12">
        <f>IV26*POWER(1-(AnnualChurn*VLOOKUP(IH38,ChurnSeasonTable,4,FALSE)),1)*BlendedPriceEssAnnual*IK38+IV14*POWER(1-(AnnualChurn*VLOOKUP(IH38,ChurnSeasonTable,4,FALSE)),2)*BlendedPriceEssAnnual*IK38+IW26*POWER(1-(AnnualChurn*VLOOKUP(IH38,ChurnSeasonTable,4,FALSE)),1)*BlendedPricePremAnnual*IK38+IW14*POWER(1-(AnnualChurn*VLOOKUP(IH38,ChurnSeasonTable,4,FALSE)),2)*BlendedPricePremAnnual*IK38+IX26*POWER(1-(AnnualChurn*VLOOKUP(IH38,ChurnSeasonTable,4,FALSE)),1)*BlendedPriceEliteAnnual*IK38+IX14*POWER(1-(AnnualChurn*VLOOKUP(IH38,ChurnSeasonTable,4,FALSE)),2)*BlendedPriceEliteAnnual*IK38</f>
        <v/>
      </c>
      <c r="JK38" s="9">
        <f>JH38+JI38+JJ38</f>
        <v/>
      </c>
      <c r="JL38" s="12">
        <f>SUM(JK27:JK38)</f>
        <v/>
      </c>
      <c r="JM38" s="12">
        <f>OR(JM37,IF(VATAgentMode,SUM($JK27:$JK38)-SUM($JR27:$JR38)&gt;=VATThreshold,SUM($JK27:$JK38)&gt;=VATThreshold))</f>
        <v/>
      </c>
      <c r="JN38" s="9">
        <f>IF(JM38,IF(VATAgentMode,JK38-((JK38-JR38)-(JK38-JR38)/(1+VATRate)),JK38/(1+VATRate)),JK38)</f>
        <v/>
      </c>
      <c r="JO38" s="12">
        <f>JK38-JN38</f>
        <v/>
      </c>
      <c r="JP38" s="12">
        <f>IF(JM38=0,0,IF(IH38=1,SUMPRODUCT(--(($II$5:$II38=$II38-1)*($IH$5:$IH38&gt;=10)*($IH$5:$IH38&lt;=12)),$JO$5:$JO38),IF(IH38=4,SUMPRODUCT(--(($II$5:$II38=$II38)*($IH$5:$IH38&gt;=1)*($IH$5:$IH38&lt;=3)),$JO$5:$JO38),IF(IH38=7,SUMPRODUCT(--(($II$5:$II38=$II38)*($IH$5:$IH38&gt;=4)*($IH$5:$IH38&lt;=6)),$JO$5:$JO38),IF(IH38=10,SUMPRODUCT(--(($II$5:$II38=$II38)*($IH$5:$IH38&gt;=7)*($IH$5:$IH38&lt;=9)),$JO$5:$JO38),0)))))</f>
        <v/>
      </c>
      <c r="JQ38" s="12">
        <f>JQ37+JO38-JP38</f>
        <v/>
      </c>
      <c r="JR38" s="12">
        <f>IF(ProviderDelay&gt;=1,IY37*BlendedProvPayEss+IZ37*BlendedProvPayPrem+JA37*BlendedProvPayElite+JB37*BlendedProvPayEss+JC37*BlendedProvPayPrem+JD37*BlendedProvPayElite,IY38*BlendedProvPayEss+IZ38*BlendedProvPayPrem+JA38*BlendedProvPayElite+JB38*BlendedProvPayEss+JC38*BlendedProvPayPrem+JD38*BlendedProvPayElite)</f>
        <v/>
      </c>
      <c r="JS38" s="12">
        <f>JK38*PaymentFee</f>
        <v/>
      </c>
      <c r="JT38" s="12">
        <f>JE38*OpsAI</f>
        <v/>
      </c>
      <c r="JU38" s="12">
        <f>MonthlyFixed</f>
        <v/>
      </c>
      <c r="JV38" s="12">
        <f>IO38*ReferralReward</f>
        <v/>
      </c>
      <c r="JW38" s="12">
        <f>IM38</f>
        <v/>
      </c>
      <c r="JX38" s="9">
        <f>JN38-JR38-JS38-JT38-JU38-JV38-JW38</f>
        <v/>
      </c>
      <c r="JY38" s="9">
        <f>JY37+JK38-(JR38+JS38+JT38+JU38+JV38+JW38+JP38)</f>
        <v/>
      </c>
      <c r="JZ38" s="12">
        <f>IF(JE38&gt;0,JF38/JE38,0)</f>
        <v/>
      </c>
      <c r="KA38" s="11">
        <f>IF(JE37&gt;0,MAX(0,(JE37+IP38-JE38)/JE37),0)</f>
        <v/>
      </c>
      <c r="KC38" s="12" t="n">
        <v>34</v>
      </c>
      <c r="KD38" s="12">
        <f>MOD(KC38-1+LaunchMonth-1,12)+1</f>
        <v/>
      </c>
      <c r="KE38" s="12">
        <f>INT((KC38-1+LaunchMonth-1)/12)+1</f>
        <v/>
      </c>
      <c r="KF38" s="12">
        <f>VLOOKUP(KD38,SeasonTable,2,FALSE)</f>
        <v/>
      </c>
      <c r="KG38" s="12">
        <f>(1+InflationRate)^INT((KC38-1)/12)</f>
        <v/>
      </c>
      <c r="KH38" s="11">
        <f>'Sens - Churn'!$A$16*VLOOKUP(KD38,ChurnSeasonTable,4,FALSE)</f>
        <v/>
      </c>
      <c r="KI38" s="12">
        <f>MIN(MAX(MktMin19plus,LG37*MktPct19plus),MAX(0,LU37-CashBuffer))</f>
        <v/>
      </c>
      <c r="KJ38" s="12">
        <f>IF(KI38&gt;0,MAX(1,ROUND(KI38/CAC*KF38,0)),0)</f>
        <v/>
      </c>
      <c r="KK38" s="12">
        <f>IF(KJ38&gt;0,ROUND(KJ38*ReferralMix/(1-ReferralMix),0),0)</f>
        <v/>
      </c>
      <c r="KL38" s="12">
        <f>KJ38+KK38</f>
        <v/>
      </c>
      <c r="KM38" s="12">
        <f>ROUND(KL38*(1-AnnualMix),0)</f>
        <v/>
      </c>
      <c r="KN38" s="12">
        <f>KL38-KM38</f>
        <v/>
      </c>
      <c r="KO38" s="12">
        <f>ROUND(KM38*EssentialMix,0)</f>
        <v/>
      </c>
      <c r="KP38" s="12">
        <f>ROUND(KM38*PremiumMix,0)</f>
        <v/>
      </c>
      <c r="KQ38" s="12">
        <f>KM38-KO38-KP38</f>
        <v/>
      </c>
      <c r="KR38" s="12">
        <f>ROUND(KN38*EssentialMix,0)</f>
        <v/>
      </c>
      <c r="KS38" s="12">
        <f>ROUND(KN38*PremiumMix,0)</f>
        <v/>
      </c>
      <c r="KT38" s="12">
        <f>KN38-KR38-KS38</f>
        <v/>
      </c>
      <c r="KU38" s="12">
        <f>KO38+KO37+KO36+MAX(0,KU37-KO37-KO36)*(1-KH38)</f>
        <v/>
      </c>
      <c r="KV38" s="12">
        <f>KP38+KP37+KP36+MAX(0,KV37-KP37-KP36)*(1-KH38)</f>
        <v/>
      </c>
      <c r="KW38" s="12">
        <f>KQ38+KQ37+KQ36+MAX(0,KW37-KQ37-KQ36)*(1-KH38)</f>
        <v/>
      </c>
      <c r="KX38" s="12">
        <f>KX37+KR38-KR26*(AnnualChurn*VLOOKUP(KD38,ChurnSeasonTable,4,FALSE))*POWER(1-(AnnualChurn*VLOOKUP(KD38,ChurnSeasonTable,4,FALSE)),0)+KR14*(AnnualChurn*VLOOKUP(KD38,ChurnSeasonTable,4,FALSE))*POWER(1-(AnnualChurn*VLOOKUP(KD38,ChurnSeasonTable,4,FALSE)),1)</f>
        <v/>
      </c>
      <c r="KY38" s="12">
        <f>KY37+KS38-KS26*(AnnualChurn*VLOOKUP(KD38,ChurnSeasonTable,4,FALSE))*POWER(1-(AnnualChurn*VLOOKUP(KD38,ChurnSeasonTable,4,FALSE)),0)+KS14*(AnnualChurn*VLOOKUP(KD38,ChurnSeasonTable,4,FALSE))*POWER(1-(AnnualChurn*VLOOKUP(KD38,ChurnSeasonTable,4,FALSE)),1)</f>
        <v/>
      </c>
      <c r="KZ38" s="12">
        <f>KZ37+KT38-KT26*(AnnualChurn*VLOOKUP(KD38,ChurnSeasonTable,4,FALSE))*POWER(1-(AnnualChurn*VLOOKUP(KD38,ChurnSeasonTable,4,FALSE)),0)+KT14*(AnnualChurn*VLOOKUP(KD38,ChurnSeasonTable,4,FALSE))*POWER(1-(AnnualChurn*VLOOKUP(KD38,ChurnSeasonTable,4,FALSE)),1)</f>
        <v/>
      </c>
      <c r="LA38" s="12">
        <f>KU38+KV38+KW38+KX38+KY38+KZ38</f>
        <v/>
      </c>
      <c r="LB38" s="9">
        <f>KU38*BlendedPriceEssMonthly*KG38+KV38*BlendedPricePremMonthly*KG38+KW38*BlendedPriceEliteMonthly*KG38+KX38*BlendedPriceEssAnnual*KG38/12+KY38*BlendedPricePremAnnual*KG38/12+KZ38*BlendedPriceEliteAnnual*KG38/12</f>
        <v/>
      </c>
      <c r="LC38" s="9">
        <f>LB38*12</f>
        <v/>
      </c>
      <c r="LD38" s="12">
        <f>KU38*BlendedPriceEssMonthly*KG38+KV38*BlendedPricePremMonthly*KG38+KW38*BlendedPriceEliteMonthly*KG38</f>
        <v/>
      </c>
      <c r="LE38" s="12">
        <f>KR38*BlendedPriceEssAnnual*KG38+KS38*BlendedPricePremAnnual*KG38+KT38*BlendedPriceEliteAnnual*KG38</f>
        <v/>
      </c>
      <c r="LF38" s="12">
        <f>KR26*POWER(1-(AnnualChurn*VLOOKUP(KD38,ChurnSeasonTable,4,FALSE)),1)*BlendedPriceEssAnnual*KG38+KR14*POWER(1-(AnnualChurn*VLOOKUP(KD38,ChurnSeasonTable,4,FALSE)),2)*BlendedPriceEssAnnual*KG38+KS26*POWER(1-(AnnualChurn*VLOOKUP(KD38,ChurnSeasonTable,4,FALSE)),1)*BlendedPricePremAnnual*KG38+KS14*POWER(1-(AnnualChurn*VLOOKUP(KD38,ChurnSeasonTable,4,FALSE)),2)*BlendedPricePremAnnual*KG38+KT26*POWER(1-(AnnualChurn*VLOOKUP(KD38,ChurnSeasonTable,4,FALSE)),1)*BlendedPriceEliteAnnual*KG38+KT14*POWER(1-(AnnualChurn*VLOOKUP(KD38,ChurnSeasonTable,4,FALSE)),2)*BlendedPriceEliteAnnual*KG38</f>
        <v/>
      </c>
      <c r="LG38" s="9">
        <f>LD38+LE38+LF38</f>
        <v/>
      </c>
      <c r="LH38" s="12">
        <f>SUM(LG27:LG38)</f>
        <v/>
      </c>
      <c r="LI38" s="12">
        <f>OR(LI37,IF(VATAgentMode,SUM($LG27:$LG38)-SUM($LN27:$LN38)&gt;=VATThreshold,SUM($LG27:$LG38)&gt;=VATThreshold))</f>
        <v/>
      </c>
      <c r="LJ38" s="9">
        <f>IF(LI38,IF(VATAgentMode,LG38-((LG38-LN38)-(LG38-LN38)/(1+VATRate)),LG38/(1+VATRate)),LG38)</f>
        <v/>
      </c>
      <c r="LK38" s="12">
        <f>LG38-LJ38</f>
        <v/>
      </c>
      <c r="LL38" s="12">
        <f>IF(LI38=0,0,IF(KD38=1,SUMPRODUCT(--(($KE$5:$KE38=$KE38-1)*($KD$5:$KD38&gt;=10)*($KD$5:$KD38&lt;=12)),$LK$5:$LK38),IF(KD38=4,SUMPRODUCT(--(($KE$5:$KE38=$KE38)*($KD$5:$KD38&gt;=1)*($KD$5:$KD38&lt;=3)),$LK$5:$LK38),IF(KD38=7,SUMPRODUCT(--(($KE$5:$KE38=$KE38)*($KD$5:$KD38&gt;=4)*($KD$5:$KD38&lt;=6)),$LK$5:$LK38),IF(KD38=10,SUMPRODUCT(--(($KE$5:$KE38=$KE38)*($KD$5:$KD38&gt;=7)*($KD$5:$KD38&lt;=9)),$LK$5:$LK38),0)))))</f>
        <v/>
      </c>
      <c r="LM38" s="12">
        <f>LM37+LK38-LL38</f>
        <v/>
      </c>
      <c r="LN38" s="12">
        <f>IF(ProviderDelay&gt;=1,KU37*BlendedProvPayEss+KV37*BlendedProvPayPrem+KW37*BlendedProvPayElite+KX37*BlendedProvPayEss+KY37*BlendedProvPayPrem+KZ37*BlendedProvPayElite,KU38*BlendedProvPayEss+KV38*BlendedProvPayPrem+KW38*BlendedProvPayElite+KX38*BlendedProvPayEss+KY38*BlendedProvPayPrem+KZ38*BlendedProvPayElite)</f>
        <v/>
      </c>
      <c r="LO38" s="12">
        <f>LG38*PaymentFee</f>
        <v/>
      </c>
      <c r="LP38" s="12">
        <f>LA38*OpsAI</f>
        <v/>
      </c>
      <c r="LQ38" s="12">
        <f>MonthlyFixed</f>
        <v/>
      </c>
      <c r="LR38" s="12">
        <f>KK38*ReferralReward</f>
        <v/>
      </c>
      <c r="LS38" s="12">
        <f>KI38</f>
        <v/>
      </c>
      <c r="LT38" s="9">
        <f>LJ38-LN38-LO38-LP38-LQ38-LR38-LS38</f>
        <v/>
      </c>
      <c r="LU38" s="9">
        <f>LU37+LG38-(LN38+LO38+LP38+LQ38+LR38+LS38+LL38)</f>
        <v/>
      </c>
      <c r="LV38" s="12">
        <f>IF(LA38&gt;0,LB38/LA38,0)</f>
        <v/>
      </c>
      <c r="LW38" s="11">
        <f>IF(LA37&gt;0,MAX(0,(LA37+KL38-LA38)/LA37),0)</f>
        <v/>
      </c>
      <c r="LY38" s="12" t="n">
        <v>34</v>
      </c>
      <c r="LZ38" s="12">
        <f>MOD(LY38-1+LaunchMonth-1,12)+1</f>
        <v/>
      </c>
      <c r="MA38" s="12">
        <f>INT((LY38-1+LaunchMonth-1)/12)+1</f>
        <v/>
      </c>
      <c r="MB38" s="12">
        <f>VLOOKUP(LZ38,SeasonTable,2,FALSE)</f>
        <v/>
      </c>
      <c r="MC38" s="12">
        <f>(1+InflationRate)^INT((LY38-1)/12)</f>
        <v/>
      </c>
      <c r="MD38" s="11">
        <f>'Sens - Churn'!$A$17*VLOOKUP(LZ38,ChurnSeasonTable,4,FALSE)</f>
        <v/>
      </c>
      <c r="ME38" s="12">
        <f>MIN(MAX(MktMin19plus,NC37*MktPct19plus),MAX(0,NQ37-CashBuffer))</f>
        <v/>
      </c>
      <c r="MF38" s="12">
        <f>IF(ME38&gt;0,MAX(1,ROUND(ME38/CAC*MB38,0)),0)</f>
        <v/>
      </c>
      <c r="MG38" s="12">
        <f>IF(MF38&gt;0,ROUND(MF38*ReferralMix/(1-ReferralMix),0),0)</f>
        <v/>
      </c>
      <c r="MH38" s="12">
        <f>MF38+MG38</f>
        <v/>
      </c>
      <c r="MI38" s="12">
        <f>ROUND(MH38*(1-AnnualMix),0)</f>
        <v/>
      </c>
      <c r="MJ38" s="12">
        <f>MH38-MI38</f>
        <v/>
      </c>
      <c r="MK38" s="12">
        <f>ROUND(MI38*EssentialMix,0)</f>
        <v/>
      </c>
      <c r="ML38" s="12">
        <f>ROUND(MI38*PremiumMix,0)</f>
        <v/>
      </c>
      <c r="MM38" s="12">
        <f>MI38-MK38-ML38</f>
        <v/>
      </c>
      <c r="MN38" s="12">
        <f>ROUND(MJ38*EssentialMix,0)</f>
        <v/>
      </c>
      <c r="MO38" s="12">
        <f>ROUND(MJ38*PremiumMix,0)</f>
        <v/>
      </c>
      <c r="MP38" s="12">
        <f>MJ38-MN38-MO38</f>
        <v/>
      </c>
      <c r="MQ38" s="12">
        <f>MK38+MK37+MK36+MAX(0,MQ37-MK37-MK36)*(1-MD38)</f>
        <v/>
      </c>
      <c r="MR38" s="12">
        <f>ML38+ML37+ML36+MAX(0,MR37-ML37-ML36)*(1-MD38)</f>
        <v/>
      </c>
      <c r="MS38" s="12">
        <f>MM38+MM37+MM36+MAX(0,MS37-MM37-MM36)*(1-MD38)</f>
        <v/>
      </c>
      <c r="MT38" s="12">
        <f>MT37+MN38-MN26*(AnnualChurn*VLOOKUP(LZ38,ChurnSeasonTable,4,FALSE))*POWER(1-(AnnualChurn*VLOOKUP(LZ38,ChurnSeasonTable,4,FALSE)),0)+MN14*(AnnualChurn*VLOOKUP(LZ38,ChurnSeasonTable,4,FALSE))*POWER(1-(AnnualChurn*VLOOKUP(LZ38,ChurnSeasonTable,4,FALSE)),1)</f>
        <v/>
      </c>
      <c r="MU38" s="12">
        <f>MU37+MO38-MO26*(AnnualChurn*VLOOKUP(LZ38,ChurnSeasonTable,4,FALSE))*POWER(1-(AnnualChurn*VLOOKUP(LZ38,ChurnSeasonTable,4,FALSE)),0)+MO14*(AnnualChurn*VLOOKUP(LZ38,ChurnSeasonTable,4,FALSE))*POWER(1-(AnnualChurn*VLOOKUP(LZ38,ChurnSeasonTable,4,FALSE)),1)</f>
        <v/>
      </c>
      <c r="MV38" s="12">
        <f>MV37+MP38-MP26*(AnnualChurn*VLOOKUP(LZ38,ChurnSeasonTable,4,FALSE))*POWER(1-(AnnualChurn*VLOOKUP(LZ38,ChurnSeasonTable,4,FALSE)),0)+MP14*(AnnualChurn*VLOOKUP(LZ38,ChurnSeasonTable,4,FALSE))*POWER(1-(AnnualChurn*VLOOKUP(LZ38,ChurnSeasonTable,4,FALSE)),1)</f>
        <v/>
      </c>
      <c r="MW38" s="12">
        <f>MQ38+MR38+MS38+MT38+MU38+MV38</f>
        <v/>
      </c>
      <c r="MX38" s="9">
        <f>MQ38*BlendedPriceEssMonthly*MC38+MR38*BlendedPricePremMonthly*MC38+MS38*BlendedPriceEliteMonthly*MC38+MT38*BlendedPriceEssAnnual*MC38/12+MU38*BlendedPricePremAnnual*MC38/12+MV38*BlendedPriceEliteAnnual*MC38/12</f>
        <v/>
      </c>
      <c r="MY38" s="9">
        <f>MX38*12</f>
        <v/>
      </c>
      <c r="MZ38" s="12">
        <f>MQ38*BlendedPriceEssMonthly*MC38+MR38*BlendedPricePremMonthly*MC38+MS38*BlendedPriceEliteMonthly*MC38</f>
        <v/>
      </c>
      <c r="NA38" s="12">
        <f>MN38*BlendedPriceEssAnnual*MC38+MO38*BlendedPricePremAnnual*MC38+MP38*BlendedPriceEliteAnnual*MC38</f>
        <v/>
      </c>
      <c r="NB38" s="12">
        <f>MN26*POWER(1-(AnnualChurn*VLOOKUP(LZ38,ChurnSeasonTable,4,FALSE)),1)*BlendedPriceEssAnnual*MC38+MN14*POWER(1-(AnnualChurn*VLOOKUP(LZ38,ChurnSeasonTable,4,FALSE)),2)*BlendedPriceEssAnnual*MC38+MO26*POWER(1-(AnnualChurn*VLOOKUP(LZ38,ChurnSeasonTable,4,FALSE)),1)*BlendedPricePremAnnual*MC38+MO14*POWER(1-(AnnualChurn*VLOOKUP(LZ38,ChurnSeasonTable,4,FALSE)),2)*BlendedPricePremAnnual*MC38+MP26*POWER(1-(AnnualChurn*VLOOKUP(LZ38,ChurnSeasonTable,4,FALSE)),1)*BlendedPriceEliteAnnual*MC38+MP14*POWER(1-(AnnualChurn*VLOOKUP(LZ38,ChurnSeasonTable,4,FALSE)),2)*BlendedPriceEliteAnnual*MC38</f>
        <v/>
      </c>
      <c r="NC38" s="9">
        <f>MZ38+NA38+NB38</f>
        <v/>
      </c>
      <c r="ND38" s="12">
        <f>SUM(NC27:NC38)</f>
        <v/>
      </c>
      <c r="NE38" s="12">
        <f>OR(NE37,IF(VATAgentMode,SUM($NC27:$NC38)-SUM($NJ27:$NJ38)&gt;=VATThreshold,SUM($NC27:$NC38)&gt;=VATThreshold))</f>
        <v/>
      </c>
      <c r="NF38" s="9">
        <f>IF(NE38,IF(VATAgentMode,NC38-((NC38-NJ38)-(NC38-NJ38)/(1+VATRate)),NC38/(1+VATRate)),NC38)</f>
        <v/>
      </c>
      <c r="NG38" s="12">
        <f>NC38-NF38</f>
        <v/>
      </c>
      <c r="NH38" s="12">
        <f>IF(NE38=0,0,IF(LZ38=1,SUMPRODUCT(--(($MA$5:$MA38=$MA38-1)*($LZ$5:$LZ38&gt;=10)*($LZ$5:$LZ38&lt;=12)),$NG$5:$NG38),IF(LZ38=4,SUMPRODUCT(--(($MA$5:$MA38=$MA38)*($LZ$5:$LZ38&gt;=1)*($LZ$5:$LZ38&lt;=3)),$NG$5:$NG38),IF(LZ38=7,SUMPRODUCT(--(($MA$5:$MA38=$MA38)*($LZ$5:$LZ38&gt;=4)*($LZ$5:$LZ38&lt;=6)),$NG$5:$NG38),IF(LZ38=10,SUMPRODUCT(--(($MA$5:$MA38=$MA38)*($LZ$5:$LZ38&gt;=7)*($LZ$5:$LZ38&lt;=9)),$NG$5:$NG38),0)))))</f>
        <v/>
      </c>
      <c r="NI38" s="12">
        <f>NI37+NG38-NH38</f>
        <v/>
      </c>
      <c r="NJ38" s="12">
        <f>IF(ProviderDelay&gt;=1,MQ37*BlendedProvPayEss+MR37*BlendedProvPayPrem+MS37*BlendedProvPayElite+MT37*BlendedProvPayEss+MU37*BlendedProvPayPrem+MV37*BlendedProvPayElite,MQ38*BlendedProvPayEss+MR38*BlendedProvPayPrem+MS38*BlendedProvPayElite+MT38*BlendedProvPayEss+MU38*BlendedProvPayPrem+MV38*BlendedProvPayElite)</f>
        <v/>
      </c>
      <c r="NK38" s="12">
        <f>NC38*PaymentFee</f>
        <v/>
      </c>
      <c r="NL38" s="12">
        <f>MW38*OpsAI</f>
        <v/>
      </c>
      <c r="NM38" s="12">
        <f>MonthlyFixed</f>
        <v/>
      </c>
      <c r="NN38" s="12">
        <f>MG38*ReferralReward</f>
        <v/>
      </c>
      <c r="NO38" s="12">
        <f>ME38</f>
        <v/>
      </c>
      <c r="NP38" s="9">
        <f>NF38-NJ38-NK38-NL38-NM38-NN38-NO38</f>
        <v/>
      </c>
      <c r="NQ38" s="9">
        <f>NQ37+NC38-(NJ38+NK38+NL38+NM38+NN38+NO38+NH38)</f>
        <v/>
      </c>
      <c r="NR38" s="12">
        <f>IF(MW38&gt;0,MX38/MW38,0)</f>
        <v/>
      </c>
      <c r="NS38" s="11">
        <f>IF(MW37&gt;0,MAX(0,(MW37+MH38-MW38)/MW37),0)</f>
        <v/>
      </c>
      <c r="NU38" s="12" t="n">
        <v>34</v>
      </c>
      <c r="NV38" s="12">
        <f>MOD(NU38-1+LaunchMonth-1,12)+1</f>
        <v/>
      </c>
      <c r="NW38" s="12">
        <f>INT((NU38-1+LaunchMonth-1)/12)+1</f>
        <v/>
      </c>
      <c r="NX38" s="12">
        <f>VLOOKUP(NV38,SeasonTable,2,FALSE)</f>
        <v/>
      </c>
      <c r="NY38" s="12">
        <f>(1+InflationRate)^INT((NU38-1)/12)</f>
        <v/>
      </c>
      <c r="NZ38" s="11">
        <f>'Sens - Churn'!$A$18*VLOOKUP(NV38,ChurnSeasonTable,4,FALSE)</f>
        <v/>
      </c>
      <c r="OA38" s="12">
        <f>MIN(MAX(MktMin19plus,OY37*MktPct19plus),MAX(0,PM37-CashBuffer))</f>
        <v/>
      </c>
      <c r="OB38" s="12">
        <f>IF(OA38&gt;0,MAX(1,ROUND(OA38/CAC*NX38,0)),0)</f>
        <v/>
      </c>
      <c r="OC38" s="12">
        <f>IF(OB38&gt;0,ROUND(OB38*ReferralMix/(1-ReferralMix),0),0)</f>
        <v/>
      </c>
      <c r="OD38" s="12">
        <f>OB38+OC38</f>
        <v/>
      </c>
      <c r="OE38" s="12">
        <f>ROUND(OD38*(1-AnnualMix),0)</f>
        <v/>
      </c>
      <c r="OF38" s="12">
        <f>OD38-OE38</f>
        <v/>
      </c>
      <c r="OG38" s="12">
        <f>ROUND(OE38*EssentialMix,0)</f>
        <v/>
      </c>
      <c r="OH38" s="12">
        <f>ROUND(OE38*PremiumMix,0)</f>
        <v/>
      </c>
      <c r="OI38" s="12">
        <f>OE38-OG38-OH38</f>
        <v/>
      </c>
      <c r="OJ38" s="12">
        <f>ROUND(OF38*EssentialMix,0)</f>
        <v/>
      </c>
      <c r="OK38" s="12">
        <f>ROUND(OF38*PremiumMix,0)</f>
        <v/>
      </c>
      <c r="OL38" s="12">
        <f>OF38-OJ38-OK38</f>
        <v/>
      </c>
      <c r="OM38" s="12">
        <f>OG38+OG37+OG36+MAX(0,OM37-OG37-OG36)*(1-NZ38)</f>
        <v/>
      </c>
      <c r="ON38" s="12">
        <f>OH38+OH37+OH36+MAX(0,ON37-OH37-OH36)*(1-NZ38)</f>
        <v/>
      </c>
      <c r="OO38" s="12">
        <f>OI38+OI37+OI36+MAX(0,OO37-OI37-OI36)*(1-NZ38)</f>
        <v/>
      </c>
      <c r="OP38" s="12">
        <f>OP37+OJ38-OJ26*(AnnualChurn*VLOOKUP(NV38,ChurnSeasonTable,4,FALSE))*POWER(1-(AnnualChurn*VLOOKUP(NV38,ChurnSeasonTable,4,FALSE)),0)+OJ14*(AnnualChurn*VLOOKUP(NV38,ChurnSeasonTable,4,FALSE))*POWER(1-(AnnualChurn*VLOOKUP(NV38,ChurnSeasonTable,4,FALSE)),1)</f>
        <v/>
      </c>
      <c r="OQ38" s="12">
        <f>OQ37+OK38-OK26*(AnnualChurn*VLOOKUP(NV38,ChurnSeasonTable,4,FALSE))*POWER(1-(AnnualChurn*VLOOKUP(NV38,ChurnSeasonTable,4,FALSE)),0)+OK14*(AnnualChurn*VLOOKUP(NV38,ChurnSeasonTable,4,FALSE))*POWER(1-(AnnualChurn*VLOOKUP(NV38,ChurnSeasonTable,4,FALSE)),1)</f>
        <v/>
      </c>
      <c r="OR38" s="12">
        <f>OR37+OL38-OL26*(AnnualChurn*VLOOKUP(NV38,ChurnSeasonTable,4,FALSE))*POWER(1-(AnnualChurn*VLOOKUP(NV38,ChurnSeasonTable,4,FALSE)),0)+OL14*(AnnualChurn*VLOOKUP(NV38,ChurnSeasonTable,4,FALSE))*POWER(1-(AnnualChurn*VLOOKUP(NV38,ChurnSeasonTable,4,FALSE)),1)</f>
        <v/>
      </c>
      <c r="OS38" s="12">
        <f>OM38+ON38+OO38+OP38+OQ38+OR38</f>
        <v/>
      </c>
      <c r="OT38" s="9">
        <f>OM38*BlendedPriceEssMonthly*NY38+ON38*BlendedPricePremMonthly*NY38+OO38*BlendedPriceEliteMonthly*NY38+OP38*BlendedPriceEssAnnual*NY38/12+OQ38*BlendedPricePremAnnual*NY38/12+OR38*BlendedPriceEliteAnnual*NY38/12</f>
        <v/>
      </c>
      <c r="OU38" s="9">
        <f>OT38*12</f>
        <v/>
      </c>
      <c r="OV38" s="12">
        <f>OM38*BlendedPriceEssMonthly*NY38+ON38*BlendedPricePremMonthly*NY38+OO38*BlendedPriceEliteMonthly*NY38</f>
        <v/>
      </c>
      <c r="OW38" s="12">
        <f>OJ38*BlendedPriceEssAnnual*NY38+OK38*BlendedPricePremAnnual*NY38+OL38*BlendedPriceEliteAnnual*NY38</f>
        <v/>
      </c>
      <c r="OX38" s="12">
        <f>OJ26*POWER(1-(AnnualChurn*VLOOKUP(NV38,ChurnSeasonTable,4,FALSE)),1)*BlendedPriceEssAnnual*NY38+OJ14*POWER(1-(AnnualChurn*VLOOKUP(NV38,ChurnSeasonTable,4,FALSE)),2)*BlendedPriceEssAnnual*NY38+OK26*POWER(1-(AnnualChurn*VLOOKUP(NV38,ChurnSeasonTable,4,FALSE)),1)*BlendedPricePremAnnual*NY38+OK14*POWER(1-(AnnualChurn*VLOOKUP(NV38,ChurnSeasonTable,4,FALSE)),2)*BlendedPricePremAnnual*NY38+OL26*POWER(1-(AnnualChurn*VLOOKUP(NV38,ChurnSeasonTable,4,FALSE)),1)*BlendedPriceEliteAnnual*NY38+OL14*POWER(1-(AnnualChurn*VLOOKUP(NV38,ChurnSeasonTable,4,FALSE)),2)*BlendedPriceEliteAnnual*NY38</f>
        <v/>
      </c>
      <c r="OY38" s="9">
        <f>OV38+OW38+OX38</f>
        <v/>
      </c>
      <c r="OZ38" s="12">
        <f>SUM(OY27:OY38)</f>
        <v/>
      </c>
      <c r="PA38" s="12">
        <f>OR(PA37,IF(VATAgentMode,SUM($OY27:$OY38)-SUM($PF27:$PF38)&gt;=VATThreshold,SUM($OY27:$OY38)&gt;=VATThreshold))</f>
        <v/>
      </c>
      <c r="PB38" s="9">
        <f>IF(PA38,IF(VATAgentMode,OY38-((OY38-PF38)-(OY38-PF38)/(1+VATRate)),OY38/(1+VATRate)),OY38)</f>
        <v/>
      </c>
      <c r="PC38" s="12">
        <f>OY38-PB38</f>
        <v/>
      </c>
      <c r="PD38" s="12">
        <f>IF(PA38=0,0,IF(NV38=1,SUMPRODUCT(--(($NW$5:$NW38=$NW38-1)*($NV$5:$NV38&gt;=10)*($NV$5:$NV38&lt;=12)),$PC$5:$PC38),IF(NV38=4,SUMPRODUCT(--(($NW$5:$NW38=$NW38)*($NV$5:$NV38&gt;=1)*($NV$5:$NV38&lt;=3)),$PC$5:$PC38),IF(NV38=7,SUMPRODUCT(--(($NW$5:$NW38=$NW38)*($NV$5:$NV38&gt;=4)*($NV$5:$NV38&lt;=6)),$PC$5:$PC38),IF(NV38=10,SUMPRODUCT(--(($NW$5:$NW38=$NW38)*($NV$5:$NV38&gt;=7)*($NV$5:$NV38&lt;=9)),$PC$5:$PC38),0)))))</f>
        <v/>
      </c>
      <c r="PE38" s="12">
        <f>PE37+PC38-PD38</f>
        <v/>
      </c>
      <c r="PF38" s="12">
        <f>IF(ProviderDelay&gt;=1,OM37*BlendedProvPayEss+ON37*BlendedProvPayPrem+OO37*BlendedProvPayElite+OP37*BlendedProvPayEss+OQ37*BlendedProvPayPrem+OR37*BlendedProvPayElite,OM38*BlendedProvPayEss+ON38*BlendedProvPayPrem+OO38*BlendedProvPayElite+OP38*BlendedProvPayEss+OQ38*BlendedProvPayPrem+OR38*BlendedProvPayElite)</f>
        <v/>
      </c>
      <c r="PG38" s="12">
        <f>OY38*PaymentFee</f>
        <v/>
      </c>
      <c r="PH38" s="12">
        <f>OS38*OpsAI</f>
        <v/>
      </c>
      <c r="PI38" s="12">
        <f>MonthlyFixed</f>
        <v/>
      </c>
      <c r="PJ38" s="12">
        <f>OC38*ReferralReward</f>
        <v/>
      </c>
      <c r="PK38" s="12">
        <f>OA38</f>
        <v/>
      </c>
      <c r="PL38" s="9">
        <f>PB38-PF38-PG38-PH38-PI38-PJ38-PK38</f>
        <v/>
      </c>
      <c r="PM38" s="9">
        <f>PM37+OY38-(PF38+PG38+PH38+PI38+PJ38+PK38+PD38)</f>
        <v/>
      </c>
      <c r="PN38" s="12">
        <f>IF(OS38&gt;0,OT38/OS38,0)</f>
        <v/>
      </c>
      <c r="PO38" s="11">
        <f>IF(OS37&gt;0,MAX(0,(OS37+OD38-OS38)/OS37),0)</f>
        <v/>
      </c>
      <c r="PQ38" s="12" t="n">
        <v>34</v>
      </c>
      <c r="PR38" s="12">
        <f>MOD(PQ38-1+LaunchMonth-1,12)+1</f>
        <v/>
      </c>
      <c r="PS38" s="12">
        <f>INT((PQ38-1+LaunchMonth-1)/12)+1</f>
        <v/>
      </c>
      <c r="PT38" s="12">
        <f>VLOOKUP(PR38,SeasonTable,2,FALSE)</f>
        <v/>
      </c>
      <c r="PU38" s="12">
        <f>(1+InflationRate)^INT((PQ38-1)/12)</f>
        <v/>
      </c>
      <c r="PV38" s="11">
        <f>'Sens - Churn'!$A$19*VLOOKUP(PR38,ChurnSeasonTable,4,FALSE)</f>
        <v/>
      </c>
      <c r="PW38" s="12">
        <f>MIN(MAX(MktMin19plus,QU37*MktPct19plus),MAX(0,RI37-CashBuffer))</f>
        <v/>
      </c>
      <c r="PX38" s="12">
        <f>IF(PW38&gt;0,MAX(1,ROUND(PW38/CAC*PT38,0)),0)</f>
        <v/>
      </c>
      <c r="PY38" s="12">
        <f>IF(PX38&gt;0,ROUND(PX38*ReferralMix/(1-ReferralMix),0),0)</f>
        <v/>
      </c>
      <c r="PZ38" s="12">
        <f>PX38+PY38</f>
        <v/>
      </c>
      <c r="QA38" s="12">
        <f>ROUND(PZ38*(1-AnnualMix),0)</f>
        <v/>
      </c>
      <c r="QB38" s="12">
        <f>PZ38-QA38</f>
        <v/>
      </c>
      <c r="QC38" s="12">
        <f>ROUND(QA38*EssentialMix,0)</f>
        <v/>
      </c>
      <c r="QD38" s="12">
        <f>ROUND(QA38*PremiumMix,0)</f>
        <v/>
      </c>
      <c r="QE38" s="12">
        <f>QA38-QC38-QD38</f>
        <v/>
      </c>
      <c r="QF38" s="12">
        <f>ROUND(QB38*EssentialMix,0)</f>
        <v/>
      </c>
      <c r="QG38" s="12">
        <f>ROUND(QB38*PremiumMix,0)</f>
        <v/>
      </c>
      <c r="QH38" s="12">
        <f>QB38-QF38-QG38</f>
        <v/>
      </c>
      <c r="QI38" s="12">
        <f>QC38+QC37+QC36+MAX(0,QI37-QC37-QC36)*(1-PV38)</f>
        <v/>
      </c>
      <c r="QJ38" s="12">
        <f>QD38+QD37+QD36+MAX(0,QJ37-QD37-QD36)*(1-PV38)</f>
        <v/>
      </c>
      <c r="QK38" s="12">
        <f>QE38+QE37+QE36+MAX(0,QK37-QE37-QE36)*(1-PV38)</f>
        <v/>
      </c>
      <c r="QL38" s="12">
        <f>QL37+QF38-QF26*(AnnualChurn*VLOOKUP(PR38,ChurnSeasonTable,4,FALSE))*POWER(1-(AnnualChurn*VLOOKUP(PR38,ChurnSeasonTable,4,FALSE)),0)+QF14*(AnnualChurn*VLOOKUP(PR38,ChurnSeasonTable,4,FALSE))*POWER(1-(AnnualChurn*VLOOKUP(PR38,ChurnSeasonTable,4,FALSE)),1)</f>
        <v/>
      </c>
      <c r="QM38" s="12">
        <f>QM37+QG38-QG26*(AnnualChurn*VLOOKUP(PR38,ChurnSeasonTable,4,FALSE))*POWER(1-(AnnualChurn*VLOOKUP(PR38,ChurnSeasonTable,4,FALSE)),0)+QG14*(AnnualChurn*VLOOKUP(PR38,ChurnSeasonTable,4,FALSE))*POWER(1-(AnnualChurn*VLOOKUP(PR38,ChurnSeasonTable,4,FALSE)),1)</f>
        <v/>
      </c>
      <c r="QN38" s="12">
        <f>QN37+QH38-QH26*(AnnualChurn*VLOOKUP(PR38,ChurnSeasonTable,4,FALSE))*POWER(1-(AnnualChurn*VLOOKUP(PR38,ChurnSeasonTable,4,FALSE)),0)+QH14*(AnnualChurn*VLOOKUP(PR38,ChurnSeasonTable,4,FALSE))*POWER(1-(AnnualChurn*VLOOKUP(PR38,ChurnSeasonTable,4,FALSE)),1)</f>
        <v/>
      </c>
      <c r="QO38" s="12">
        <f>QI38+QJ38+QK38+QL38+QM38+QN38</f>
        <v/>
      </c>
      <c r="QP38" s="9">
        <f>QI38*BlendedPriceEssMonthly*PU38+QJ38*BlendedPricePremMonthly*PU38+QK38*BlendedPriceEliteMonthly*PU38+QL38*BlendedPriceEssAnnual*PU38/12+QM38*BlendedPricePremAnnual*PU38/12+QN38*BlendedPriceEliteAnnual*PU38/12</f>
        <v/>
      </c>
      <c r="QQ38" s="9">
        <f>QP38*12</f>
        <v/>
      </c>
      <c r="QR38" s="12">
        <f>QI38*BlendedPriceEssMonthly*PU38+QJ38*BlendedPricePremMonthly*PU38+QK38*BlendedPriceEliteMonthly*PU38</f>
        <v/>
      </c>
      <c r="QS38" s="12">
        <f>QF38*BlendedPriceEssAnnual*PU38+QG38*BlendedPricePremAnnual*PU38+QH38*BlendedPriceEliteAnnual*PU38</f>
        <v/>
      </c>
      <c r="QT38" s="12">
        <f>QF26*POWER(1-(AnnualChurn*VLOOKUP(PR38,ChurnSeasonTable,4,FALSE)),1)*BlendedPriceEssAnnual*PU38+QF14*POWER(1-(AnnualChurn*VLOOKUP(PR38,ChurnSeasonTable,4,FALSE)),2)*BlendedPriceEssAnnual*PU38+QG26*POWER(1-(AnnualChurn*VLOOKUP(PR38,ChurnSeasonTable,4,FALSE)),1)*BlendedPricePremAnnual*PU38+QG14*POWER(1-(AnnualChurn*VLOOKUP(PR38,ChurnSeasonTable,4,FALSE)),2)*BlendedPricePremAnnual*PU38+QH26*POWER(1-(AnnualChurn*VLOOKUP(PR38,ChurnSeasonTable,4,FALSE)),1)*BlendedPriceEliteAnnual*PU38+QH14*POWER(1-(AnnualChurn*VLOOKUP(PR38,ChurnSeasonTable,4,FALSE)),2)*BlendedPriceEliteAnnual*PU38</f>
        <v/>
      </c>
      <c r="QU38" s="9">
        <f>QR38+QS38+QT38</f>
        <v/>
      </c>
      <c r="QV38" s="12">
        <f>SUM(QU27:QU38)</f>
        <v/>
      </c>
      <c r="QW38" s="12">
        <f>OR(QW37,IF(VATAgentMode,SUM($QU27:$QU38)-SUM($RB27:$RB38)&gt;=VATThreshold,SUM($QU27:$QU38)&gt;=VATThreshold))</f>
        <v/>
      </c>
      <c r="QX38" s="9">
        <f>IF(QW38,IF(VATAgentMode,QU38-((QU38-RB38)-(QU38-RB38)/(1+VATRate)),QU38/(1+VATRate)),QU38)</f>
        <v/>
      </c>
      <c r="QY38" s="12">
        <f>QU38-QX38</f>
        <v/>
      </c>
      <c r="QZ38" s="12">
        <f>IF(QW38=0,0,IF(PR38=1,SUMPRODUCT(--(($PS$5:$PS38=$PS38-1)*($PR$5:$PR38&gt;=10)*($PR$5:$PR38&lt;=12)),$QY$5:$QY38),IF(PR38=4,SUMPRODUCT(--(($PS$5:$PS38=$PS38)*($PR$5:$PR38&gt;=1)*($PR$5:$PR38&lt;=3)),$QY$5:$QY38),IF(PR38=7,SUMPRODUCT(--(($PS$5:$PS38=$PS38)*($PR$5:$PR38&gt;=4)*($PR$5:$PR38&lt;=6)),$QY$5:$QY38),IF(PR38=10,SUMPRODUCT(--(($PS$5:$PS38=$PS38)*($PR$5:$PR38&gt;=7)*($PR$5:$PR38&lt;=9)),$QY$5:$QY38),0)))))</f>
        <v/>
      </c>
      <c r="RA38" s="12">
        <f>RA37+QY38-QZ38</f>
        <v/>
      </c>
      <c r="RB38" s="12">
        <f>IF(ProviderDelay&gt;=1,QI37*BlendedProvPayEss+QJ37*BlendedProvPayPrem+QK37*BlendedProvPayElite+QL37*BlendedProvPayEss+QM37*BlendedProvPayPrem+QN37*BlendedProvPayElite,QI38*BlendedProvPayEss+QJ38*BlendedProvPayPrem+QK38*BlendedProvPayElite+QL38*BlendedProvPayEss+QM38*BlendedProvPayPrem+QN38*BlendedProvPayElite)</f>
        <v/>
      </c>
      <c r="RC38" s="12">
        <f>QU38*PaymentFee</f>
        <v/>
      </c>
      <c r="RD38" s="12">
        <f>QO38*OpsAI</f>
        <v/>
      </c>
      <c r="RE38" s="12">
        <f>MonthlyFixed</f>
        <v/>
      </c>
      <c r="RF38" s="12">
        <f>PY38*ReferralReward</f>
        <v/>
      </c>
      <c r="RG38" s="12">
        <f>PW38</f>
        <v/>
      </c>
      <c r="RH38" s="9">
        <f>QX38-RB38-RC38-RD38-RE38-RF38-RG38</f>
        <v/>
      </c>
      <c r="RI38" s="9">
        <f>RI37+QU38-(RB38+RC38+RD38+RE38+RF38+RG38+QZ38)</f>
        <v/>
      </c>
      <c r="RJ38" s="12">
        <f>IF(QO38&gt;0,QP38/QO38,0)</f>
        <v/>
      </c>
      <c r="RK38" s="11">
        <f>IF(QO37&gt;0,MAX(0,(QO37+PZ38-QO38)/QO37),0)</f>
        <v/>
      </c>
      <c r="RM38" s="12" t="n">
        <v>34</v>
      </c>
      <c r="RN38" s="12">
        <f>MOD(RM38-1+LaunchMonth-1,12)+1</f>
        <v/>
      </c>
      <c r="RO38" s="12">
        <f>INT((RM38-1+LaunchMonth-1)/12)+1</f>
        <v/>
      </c>
      <c r="RP38" s="12">
        <f>VLOOKUP(RN38,SeasonTable,2,FALSE)</f>
        <v/>
      </c>
      <c r="RQ38" s="12">
        <f>(1+InflationRate)^INT((RM38-1)/12)</f>
        <v/>
      </c>
      <c r="RR38" s="11">
        <f>'Sens - Churn'!$A$20*VLOOKUP(RN38,ChurnSeasonTable,4,FALSE)</f>
        <v/>
      </c>
      <c r="RS38" s="12">
        <f>MIN(MAX(MktMin19plus,SQ37*MktPct19plus),MAX(0,TE37-CashBuffer))</f>
        <v/>
      </c>
      <c r="RT38" s="12">
        <f>IF(RS38&gt;0,MAX(1,ROUND(RS38/CAC*RP38,0)),0)</f>
        <v/>
      </c>
      <c r="RU38" s="12">
        <f>IF(RT38&gt;0,ROUND(RT38*ReferralMix/(1-ReferralMix),0),0)</f>
        <v/>
      </c>
      <c r="RV38" s="12">
        <f>RT38+RU38</f>
        <v/>
      </c>
      <c r="RW38" s="12">
        <f>ROUND(RV38*(1-AnnualMix),0)</f>
        <v/>
      </c>
      <c r="RX38" s="12">
        <f>RV38-RW38</f>
        <v/>
      </c>
      <c r="RY38" s="12">
        <f>ROUND(RW38*EssentialMix,0)</f>
        <v/>
      </c>
      <c r="RZ38" s="12">
        <f>ROUND(RW38*PremiumMix,0)</f>
        <v/>
      </c>
      <c r="SA38" s="12">
        <f>RW38-RY38-RZ38</f>
        <v/>
      </c>
      <c r="SB38" s="12">
        <f>ROUND(RX38*EssentialMix,0)</f>
        <v/>
      </c>
      <c r="SC38" s="12">
        <f>ROUND(RX38*PremiumMix,0)</f>
        <v/>
      </c>
      <c r="SD38" s="12">
        <f>RX38-SB38-SC38</f>
        <v/>
      </c>
      <c r="SE38" s="12">
        <f>RY38+RY37+RY36+MAX(0,SE37-RY37-RY36)*(1-RR38)</f>
        <v/>
      </c>
      <c r="SF38" s="12">
        <f>RZ38+RZ37+RZ36+MAX(0,SF37-RZ37-RZ36)*(1-RR38)</f>
        <v/>
      </c>
      <c r="SG38" s="12">
        <f>SA38+SA37+SA36+MAX(0,SG37-SA37-SA36)*(1-RR38)</f>
        <v/>
      </c>
      <c r="SH38" s="12">
        <f>SH37+SB38-SB26*(AnnualChurn*VLOOKUP(RN38,ChurnSeasonTable,4,FALSE))*POWER(1-(AnnualChurn*VLOOKUP(RN38,ChurnSeasonTable,4,FALSE)),0)+SB14*(AnnualChurn*VLOOKUP(RN38,ChurnSeasonTable,4,FALSE))*POWER(1-(AnnualChurn*VLOOKUP(RN38,ChurnSeasonTable,4,FALSE)),1)</f>
        <v/>
      </c>
      <c r="SI38" s="12">
        <f>SI37+SC38-SC26*(AnnualChurn*VLOOKUP(RN38,ChurnSeasonTable,4,FALSE))*POWER(1-(AnnualChurn*VLOOKUP(RN38,ChurnSeasonTable,4,FALSE)),0)+SC14*(AnnualChurn*VLOOKUP(RN38,ChurnSeasonTable,4,FALSE))*POWER(1-(AnnualChurn*VLOOKUP(RN38,ChurnSeasonTable,4,FALSE)),1)</f>
        <v/>
      </c>
      <c r="SJ38" s="12">
        <f>SJ37+SD38-SD26*(AnnualChurn*VLOOKUP(RN38,ChurnSeasonTable,4,FALSE))*POWER(1-(AnnualChurn*VLOOKUP(RN38,ChurnSeasonTable,4,FALSE)),0)+SD14*(AnnualChurn*VLOOKUP(RN38,ChurnSeasonTable,4,FALSE))*POWER(1-(AnnualChurn*VLOOKUP(RN38,ChurnSeasonTable,4,FALSE)),1)</f>
        <v/>
      </c>
      <c r="SK38" s="12">
        <f>SE38+SF38+SG38+SH38+SI38+SJ38</f>
        <v/>
      </c>
      <c r="SL38" s="9">
        <f>SE38*BlendedPriceEssMonthly*RQ38+SF38*BlendedPricePremMonthly*RQ38+SG38*BlendedPriceEliteMonthly*RQ38+SH38*BlendedPriceEssAnnual*RQ38/12+SI38*BlendedPricePremAnnual*RQ38/12+SJ38*BlendedPriceEliteAnnual*RQ38/12</f>
        <v/>
      </c>
      <c r="SM38" s="9">
        <f>SL38*12</f>
        <v/>
      </c>
      <c r="SN38" s="12">
        <f>SE38*BlendedPriceEssMonthly*RQ38+SF38*BlendedPricePremMonthly*RQ38+SG38*BlendedPriceEliteMonthly*RQ38</f>
        <v/>
      </c>
      <c r="SO38" s="12">
        <f>SB38*BlendedPriceEssAnnual*RQ38+SC38*BlendedPricePremAnnual*RQ38+SD38*BlendedPriceEliteAnnual*RQ38</f>
        <v/>
      </c>
      <c r="SP38" s="12">
        <f>SB26*POWER(1-(AnnualChurn*VLOOKUP(RN38,ChurnSeasonTable,4,FALSE)),1)*BlendedPriceEssAnnual*RQ38+SB14*POWER(1-(AnnualChurn*VLOOKUP(RN38,ChurnSeasonTable,4,FALSE)),2)*BlendedPriceEssAnnual*RQ38+SC26*POWER(1-(AnnualChurn*VLOOKUP(RN38,ChurnSeasonTable,4,FALSE)),1)*BlendedPricePremAnnual*RQ38+SC14*POWER(1-(AnnualChurn*VLOOKUP(RN38,ChurnSeasonTable,4,FALSE)),2)*BlendedPricePremAnnual*RQ38+SD26*POWER(1-(AnnualChurn*VLOOKUP(RN38,ChurnSeasonTable,4,FALSE)),1)*BlendedPriceEliteAnnual*RQ38+SD14*POWER(1-(AnnualChurn*VLOOKUP(RN38,ChurnSeasonTable,4,FALSE)),2)*BlendedPriceEliteAnnual*RQ38</f>
        <v/>
      </c>
      <c r="SQ38" s="9">
        <f>SN38+SO38+SP38</f>
        <v/>
      </c>
      <c r="SR38" s="12">
        <f>SUM(SQ27:SQ38)</f>
        <v/>
      </c>
      <c r="SS38" s="12">
        <f>OR(SS37,IF(VATAgentMode,SUM($SQ27:$SQ38)-SUM($SX27:$SX38)&gt;=VATThreshold,SUM($SQ27:$SQ38)&gt;=VATThreshold))</f>
        <v/>
      </c>
      <c r="ST38" s="9">
        <f>IF(SS38,IF(VATAgentMode,SQ38-((SQ38-SX38)-(SQ38-SX38)/(1+VATRate)),SQ38/(1+VATRate)),SQ38)</f>
        <v/>
      </c>
      <c r="SU38" s="12">
        <f>SQ38-ST38</f>
        <v/>
      </c>
      <c r="SV38" s="12">
        <f>IF(SS38=0,0,IF(RN38=1,SUMPRODUCT(--(($RO$5:$RO38=$RO38-1)*($RN$5:$RN38&gt;=10)*($RN$5:$RN38&lt;=12)),$SU$5:$SU38),IF(RN38=4,SUMPRODUCT(--(($RO$5:$RO38=$RO38)*($RN$5:$RN38&gt;=1)*($RN$5:$RN38&lt;=3)),$SU$5:$SU38),IF(RN38=7,SUMPRODUCT(--(($RO$5:$RO38=$RO38)*($RN$5:$RN38&gt;=4)*($RN$5:$RN38&lt;=6)),$SU$5:$SU38),IF(RN38=10,SUMPRODUCT(--(($RO$5:$RO38=$RO38)*($RN$5:$RN38&gt;=7)*($RN$5:$RN38&lt;=9)),$SU$5:$SU38),0)))))</f>
        <v/>
      </c>
      <c r="SW38" s="12">
        <f>SW37+SU38-SV38</f>
        <v/>
      </c>
      <c r="SX38" s="12">
        <f>IF(ProviderDelay&gt;=1,SE37*BlendedProvPayEss+SF37*BlendedProvPayPrem+SG37*BlendedProvPayElite+SH37*BlendedProvPayEss+SI37*BlendedProvPayPrem+SJ37*BlendedProvPayElite,SE38*BlendedProvPayEss+SF38*BlendedProvPayPrem+SG38*BlendedProvPayElite+SH38*BlendedProvPayEss+SI38*BlendedProvPayPrem+SJ38*BlendedProvPayElite)</f>
        <v/>
      </c>
      <c r="SY38" s="12">
        <f>SQ38*PaymentFee</f>
        <v/>
      </c>
      <c r="SZ38" s="12">
        <f>SK38*OpsAI</f>
        <v/>
      </c>
      <c r="TA38" s="12">
        <f>MonthlyFixed</f>
        <v/>
      </c>
      <c r="TB38" s="12">
        <f>RU38*ReferralReward</f>
        <v/>
      </c>
      <c r="TC38" s="12">
        <f>RS38</f>
        <v/>
      </c>
      <c r="TD38" s="9">
        <f>ST38-SX38-SY38-SZ38-TA38-TB38-TC38</f>
        <v/>
      </c>
      <c r="TE38" s="9">
        <f>TE37+SQ38-(SX38+SY38+SZ38+TA38+TB38+TC38+SV38)</f>
        <v/>
      </c>
      <c r="TF38" s="12">
        <f>IF(SK38&gt;0,SL38/SK38,0)</f>
        <v/>
      </c>
      <c r="TG38" s="11">
        <f>IF(SK37&gt;0,MAX(0,(SK37+RV38-SK38)/SK37),0)</f>
        <v/>
      </c>
      <c r="TI38" s="12" t="n">
        <v>34</v>
      </c>
      <c r="TJ38" s="12">
        <f>MOD(TI38-1+LaunchMonth-1,12)+1</f>
        <v/>
      </c>
      <c r="TK38" s="12">
        <f>INT((TI38-1+LaunchMonth-1)/12)+1</f>
        <v/>
      </c>
      <c r="TL38" s="12">
        <f>VLOOKUP(TJ38,SeasonTable,2,FALSE)</f>
        <v/>
      </c>
      <c r="TM38" s="12">
        <f>(1+InflationRate)^INT((TI38-1)/12)</f>
        <v/>
      </c>
      <c r="TN38" s="11">
        <f>'Sens - Churn'!$A$21*VLOOKUP(TJ38,ChurnSeasonTable,4,FALSE)</f>
        <v/>
      </c>
      <c r="TO38" s="12">
        <f>MIN(MAX(MktMin19plus,UM37*MktPct19plus),MAX(0,VA37-CashBuffer))</f>
        <v/>
      </c>
      <c r="TP38" s="12">
        <f>IF(TO38&gt;0,MAX(1,ROUND(TO38/CAC*TL38,0)),0)</f>
        <v/>
      </c>
      <c r="TQ38" s="12">
        <f>IF(TP38&gt;0,ROUND(TP38*ReferralMix/(1-ReferralMix),0),0)</f>
        <v/>
      </c>
      <c r="TR38" s="12">
        <f>TP38+TQ38</f>
        <v/>
      </c>
      <c r="TS38" s="12">
        <f>ROUND(TR38*(1-AnnualMix),0)</f>
        <v/>
      </c>
      <c r="TT38" s="12">
        <f>TR38-TS38</f>
        <v/>
      </c>
      <c r="TU38" s="12">
        <f>ROUND(TS38*EssentialMix,0)</f>
        <v/>
      </c>
      <c r="TV38" s="12">
        <f>ROUND(TS38*PremiumMix,0)</f>
        <v/>
      </c>
      <c r="TW38" s="12">
        <f>TS38-TU38-TV38</f>
        <v/>
      </c>
      <c r="TX38" s="12">
        <f>ROUND(TT38*EssentialMix,0)</f>
        <v/>
      </c>
      <c r="TY38" s="12">
        <f>ROUND(TT38*PremiumMix,0)</f>
        <v/>
      </c>
      <c r="TZ38" s="12">
        <f>TT38-TX38-TY38</f>
        <v/>
      </c>
      <c r="UA38" s="12">
        <f>TU38+TU37+TU36+MAX(0,UA37-TU37-TU36)*(1-TN38)</f>
        <v/>
      </c>
      <c r="UB38" s="12">
        <f>TV38+TV37+TV36+MAX(0,UB37-TV37-TV36)*(1-TN38)</f>
        <v/>
      </c>
      <c r="UC38" s="12">
        <f>TW38+TW37+TW36+MAX(0,UC37-TW37-TW36)*(1-TN38)</f>
        <v/>
      </c>
      <c r="UD38" s="12">
        <f>UD37+TX38-TX26*(AnnualChurn*VLOOKUP(TJ38,ChurnSeasonTable,4,FALSE))*POWER(1-(AnnualChurn*VLOOKUP(TJ38,ChurnSeasonTable,4,FALSE)),0)+TX14*(AnnualChurn*VLOOKUP(TJ38,ChurnSeasonTable,4,FALSE))*POWER(1-(AnnualChurn*VLOOKUP(TJ38,ChurnSeasonTable,4,FALSE)),1)</f>
        <v/>
      </c>
      <c r="UE38" s="12">
        <f>UE37+TY38-TY26*(AnnualChurn*VLOOKUP(TJ38,ChurnSeasonTable,4,FALSE))*POWER(1-(AnnualChurn*VLOOKUP(TJ38,ChurnSeasonTable,4,FALSE)),0)+TY14*(AnnualChurn*VLOOKUP(TJ38,ChurnSeasonTable,4,FALSE))*POWER(1-(AnnualChurn*VLOOKUP(TJ38,ChurnSeasonTable,4,FALSE)),1)</f>
        <v/>
      </c>
      <c r="UF38" s="12">
        <f>UF37+TZ38-TZ26*(AnnualChurn*VLOOKUP(TJ38,ChurnSeasonTable,4,FALSE))*POWER(1-(AnnualChurn*VLOOKUP(TJ38,ChurnSeasonTable,4,FALSE)),0)+TZ14*(AnnualChurn*VLOOKUP(TJ38,ChurnSeasonTable,4,FALSE))*POWER(1-(AnnualChurn*VLOOKUP(TJ38,ChurnSeasonTable,4,FALSE)),1)</f>
        <v/>
      </c>
      <c r="UG38" s="12">
        <f>UA38+UB38+UC38+UD38+UE38+UF38</f>
        <v/>
      </c>
      <c r="UH38" s="9">
        <f>UA38*BlendedPriceEssMonthly*TM38+UB38*BlendedPricePremMonthly*TM38+UC38*BlendedPriceEliteMonthly*TM38+UD38*BlendedPriceEssAnnual*TM38/12+UE38*BlendedPricePremAnnual*TM38/12+UF38*BlendedPriceEliteAnnual*TM38/12</f>
        <v/>
      </c>
      <c r="UI38" s="9">
        <f>UH38*12</f>
        <v/>
      </c>
      <c r="UJ38" s="12">
        <f>UA38*BlendedPriceEssMonthly*TM38+UB38*BlendedPricePremMonthly*TM38+UC38*BlendedPriceEliteMonthly*TM38</f>
        <v/>
      </c>
      <c r="UK38" s="12">
        <f>TX38*BlendedPriceEssAnnual*TM38+TY38*BlendedPricePremAnnual*TM38+TZ38*BlendedPriceEliteAnnual*TM38</f>
        <v/>
      </c>
      <c r="UL38" s="12">
        <f>TX26*POWER(1-(AnnualChurn*VLOOKUP(TJ38,ChurnSeasonTable,4,FALSE)),1)*BlendedPriceEssAnnual*TM38+TX14*POWER(1-(AnnualChurn*VLOOKUP(TJ38,ChurnSeasonTable,4,FALSE)),2)*BlendedPriceEssAnnual*TM38+TY26*POWER(1-(AnnualChurn*VLOOKUP(TJ38,ChurnSeasonTable,4,FALSE)),1)*BlendedPricePremAnnual*TM38+TY14*POWER(1-(AnnualChurn*VLOOKUP(TJ38,ChurnSeasonTable,4,FALSE)),2)*BlendedPricePremAnnual*TM38+TZ26*POWER(1-(AnnualChurn*VLOOKUP(TJ38,ChurnSeasonTable,4,FALSE)),1)*BlendedPriceEliteAnnual*TM38+TZ14*POWER(1-(AnnualChurn*VLOOKUP(TJ38,ChurnSeasonTable,4,FALSE)),2)*BlendedPriceEliteAnnual*TM38</f>
        <v/>
      </c>
      <c r="UM38" s="9">
        <f>UJ38+UK38+UL38</f>
        <v/>
      </c>
      <c r="UN38" s="12">
        <f>SUM(UM27:UM38)</f>
        <v/>
      </c>
      <c r="UO38" s="12">
        <f>OR(UO37,IF(VATAgentMode,SUM($UM27:$UM38)-SUM($UT27:$UT38)&gt;=VATThreshold,SUM($UM27:$UM38)&gt;=VATThreshold))</f>
        <v/>
      </c>
      <c r="UP38" s="9">
        <f>IF(UO38,IF(VATAgentMode,UM38-((UM38-UT38)-(UM38-UT38)/(1+VATRate)),UM38/(1+VATRate)),UM38)</f>
        <v/>
      </c>
      <c r="UQ38" s="12">
        <f>UM38-UP38</f>
        <v/>
      </c>
      <c r="UR38" s="12">
        <f>IF(UO38=0,0,IF(TJ38=1,SUMPRODUCT(--(($TK$5:$TK38=$TK38-1)*($TJ$5:$TJ38&gt;=10)*($TJ$5:$TJ38&lt;=12)),$UQ$5:$UQ38),IF(TJ38=4,SUMPRODUCT(--(($TK$5:$TK38=$TK38)*($TJ$5:$TJ38&gt;=1)*($TJ$5:$TJ38&lt;=3)),$UQ$5:$UQ38),IF(TJ38=7,SUMPRODUCT(--(($TK$5:$TK38=$TK38)*($TJ$5:$TJ38&gt;=4)*($TJ$5:$TJ38&lt;=6)),$UQ$5:$UQ38),IF(TJ38=10,SUMPRODUCT(--(($TK$5:$TK38=$TK38)*($TJ$5:$TJ38&gt;=7)*($TJ$5:$TJ38&lt;=9)),$UQ$5:$UQ38),0)))))</f>
        <v/>
      </c>
      <c r="US38" s="12">
        <f>US37+UQ38-UR38</f>
        <v/>
      </c>
      <c r="UT38" s="12">
        <f>IF(ProviderDelay&gt;=1,UA37*BlendedProvPayEss+UB37*BlendedProvPayPrem+UC37*BlendedProvPayElite+UD37*BlendedProvPayEss+UE37*BlendedProvPayPrem+UF37*BlendedProvPayElite,UA38*BlendedProvPayEss+UB38*BlendedProvPayPrem+UC38*BlendedProvPayElite+UD38*BlendedProvPayEss+UE38*BlendedProvPayPrem+UF38*BlendedProvPayElite)</f>
        <v/>
      </c>
      <c r="UU38" s="12">
        <f>UM38*PaymentFee</f>
        <v/>
      </c>
      <c r="UV38" s="12">
        <f>UG38*OpsAI</f>
        <v/>
      </c>
      <c r="UW38" s="12">
        <f>MonthlyFixed</f>
        <v/>
      </c>
      <c r="UX38" s="12">
        <f>TQ38*ReferralReward</f>
        <v/>
      </c>
      <c r="UY38" s="12">
        <f>TO38</f>
        <v/>
      </c>
      <c r="UZ38" s="9">
        <f>UP38-UT38-UU38-UV38-UW38-UX38-UY38</f>
        <v/>
      </c>
      <c r="VA38" s="9">
        <f>VA37+UM38-(UT38+UU38+UV38+UW38+UX38+UY38+UR38)</f>
        <v/>
      </c>
      <c r="VB38" s="12">
        <f>IF(UG38&gt;0,UH38/UG38,0)</f>
        <v/>
      </c>
      <c r="VC38" s="11">
        <f>IF(UG37&gt;0,MAX(0,(UG37+TR38-UG38)/UG37),0)</f>
        <v/>
      </c>
      <c r="VE38" s="12" t="n">
        <v>34</v>
      </c>
      <c r="VF38" s="12">
        <f>MOD(VE38-1+LaunchMonth-1,12)+1</f>
        <v/>
      </c>
      <c r="VG38" s="12">
        <f>INT((VE38-1+LaunchMonth-1)/12)+1</f>
        <v/>
      </c>
      <c r="VH38" s="12">
        <f>VLOOKUP(VF38,SeasonTable,2,FALSE)</f>
        <v/>
      </c>
      <c r="VI38" s="12">
        <f>(1+InflationRate)^INT((VE38-1)/12)</f>
        <v/>
      </c>
      <c r="VJ38" s="11">
        <f>MonthlyChurn*VLOOKUP(VF38,ChurnSeasonTable,4,FALSE)</f>
        <v/>
      </c>
      <c r="VK38" s="12">
        <f>MIN(MAX(MktMin19plus,WI37*MktPct19plus),MAX(0,WW37-CashBuffer))</f>
        <v/>
      </c>
      <c r="VL38" s="12">
        <f>IF(VK38&gt;0,MAX(1,ROUND(VK38/CAC*VH38,0)),0)</f>
        <v/>
      </c>
      <c r="VM38" s="12">
        <f>IF(VL38&gt;0,ROUND(VL38*ReferralMix/(1-ReferralMix),0),0)</f>
        <v/>
      </c>
      <c r="VN38" s="12">
        <f>VL38+VM38</f>
        <v/>
      </c>
      <c r="VO38" s="12">
        <f>ROUND(VN38*(1-'Sens - Annual Mix'!$A$9),0)</f>
        <v/>
      </c>
      <c r="VP38" s="12">
        <f>VN38-VO38</f>
        <v/>
      </c>
      <c r="VQ38" s="12">
        <f>ROUND(VO38*EssentialMix,0)</f>
        <v/>
      </c>
      <c r="VR38" s="12">
        <f>ROUND(VO38*PremiumMix,0)</f>
        <v/>
      </c>
      <c r="VS38" s="12">
        <f>VO38-VQ38-VR38</f>
        <v/>
      </c>
      <c r="VT38" s="12">
        <f>ROUND(VP38*EssentialMix,0)</f>
        <v/>
      </c>
      <c r="VU38" s="12">
        <f>ROUND(VP38*PremiumMix,0)</f>
        <v/>
      </c>
      <c r="VV38" s="12">
        <f>VP38-VT38-VU38</f>
        <v/>
      </c>
      <c r="VW38" s="12">
        <f>VQ38+VQ37+VQ36+MAX(0,VW37-VQ37-VQ36)*(1-VJ38)</f>
        <v/>
      </c>
      <c r="VX38" s="12">
        <f>VR38+VR37+VR36+MAX(0,VX37-VR37-VR36)*(1-VJ38)</f>
        <v/>
      </c>
      <c r="VY38" s="12">
        <f>VS38+VS37+VS36+MAX(0,VY37-VS37-VS36)*(1-VJ38)</f>
        <v/>
      </c>
      <c r="VZ38" s="12">
        <f>VZ37+VT38-VT26*(AnnualChurn*VLOOKUP(VF38,ChurnSeasonTable,4,FALSE))*POWER(1-(AnnualChurn*VLOOKUP(VF38,ChurnSeasonTable,4,FALSE)),0)+VT14*(AnnualChurn*VLOOKUP(VF38,ChurnSeasonTable,4,FALSE))*POWER(1-(AnnualChurn*VLOOKUP(VF38,ChurnSeasonTable,4,FALSE)),1)</f>
        <v/>
      </c>
      <c r="WA38" s="12">
        <f>WA37+VU38-VU26*(AnnualChurn*VLOOKUP(VF38,ChurnSeasonTable,4,FALSE))*POWER(1-(AnnualChurn*VLOOKUP(VF38,ChurnSeasonTable,4,FALSE)),0)+VU14*(AnnualChurn*VLOOKUP(VF38,ChurnSeasonTable,4,FALSE))*POWER(1-(AnnualChurn*VLOOKUP(VF38,ChurnSeasonTable,4,FALSE)),1)</f>
        <v/>
      </c>
      <c r="WB38" s="12">
        <f>WB37+VV38-VV26*(AnnualChurn*VLOOKUP(VF38,ChurnSeasonTable,4,FALSE))*POWER(1-(AnnualChurn*VLOOKUP(VF38,ChurnSeasonTable,4,FALSE)),0)+VV14*(AnnualChurn*VLOOKUP(VF38,ChurnSeasonTable,4,FALSE))*POWER(1-(AnnualChurn*VLOOKUP(VF38,ChurnSeasonTable,4,FALSE)),1)</f>
        <v/>
      </c>
      <c r="WC38" s="12">
        <f>VW38+VX38+VY38+VZ38+WA38+WB38</f>
        <v/>
      </c>
      <c r="WD38" s="9">
        <f>VW38*BlendedPriceEssMonthly*VI38+VX38*BlendedPricePremMonthly*VI38+VY38*BlendedPriceEliteMonthly*VI38+VZ38*BlendedPriceEssAnnual*VI38/12+WA38*BlendedPricePremAnnual*VI38/12+WB38*BlendedPriceEliteAnnual*VI38/12</f>
        <v/>
      </c>
      <c r="WE38" s="9">
        <f>WD38*12</f>
        <v/>
      </c>
      <c r="WF38" s="12">
        <f>VW38*BlendedPriceEssMonthly*VI38+VX38*BlendedPricePremMonthly*VI38+VY38*BlendedPriceEliteMonthly*VI38</f>
        <v/>
      </c>
      <c r="WG38" s="12">
        <f>VT38*BlendedPriceEssAnnual*VI38+VU38*BlendedPricePremAnnual*VI38+VV38*BlendedPriceEliteAnnual*VI38</f>
        <v/>
      </c>
      <c r="WH38" s="12">
        <f>VT26*POWER(1-(AnnualChurn*VLOOKUP(VF38,ChurnSeasonTable,4,FALSE)),1)*BlendedPriceEssAnnual*VI38+VT14*POWER(1-(AnnualChurn*VLOOKUP(VF38,ChurnSeasonTable,4,FALSE)),2)*BlendedPriceEssAnnual*VI38+VU26*POWER(1-(AnnualChurn*VLOOKUP(VF38,ChurnSeasonTable,4,FALSE)),1)*BlendedPricePremAnnual*VI38+VU14*POWER(1-(AnnualChurn*VLOOKUP(VF38,ChurnSeasonTable,4,FALSE)),2)*BlendedPricePremAnnual*VI38+VV26*POWER(1-(AnnualChurn*VLOOKUP(VF38,ChurnSeasonTable,4,FALSE)),1)*BlendedPriceEliteAnnual*VI38+VV14*POWER(1-(AnnualChurn*VLOOKUP(VF38,ChurnSeasonTable,4,FALSE)),2)*BlendedPriceEliteAnnual*VI38</f>
        <v/>
      </c>
      <c r="WI38" s="9">
        <f>WF38+WG38+WH38</f>
        <v/>
      </c>
      <c r="WJ38" s="12">
        <f>SUM(WI27:WI38)</f>
        <v/>
      </c>
      <c r="WK38" s="12">
        <f>OR(WK37,IF(VATAgentMode,SUM($WI27:$WI38)-SUM($WP27:$WP38)&gt;=VATThreshold,SUM($WI27:$WI38)&gt;=VATThreshold))</f>
        <v/>
      </c>
      <c r="WL38" s="9">
        <f>IF(WK38,IF(VATAgentMode,WI38-((WI38-WP38)-(WI38-WP38)/(1+VATRate)),WI38/(1+VATRate)),WI38)</f>
        <v/>
      </c>
      <c r="WM38" s="12">
        <f>WI38-WL38</f>
        <v/>
      </c>
      <c r="WN38" s="12">
        <f>IF(WK38=0,0,IF(VF38=1,SUMPRODUCT(--(($VG$5:$VG38=$VG38-1)*($VF$5:$VF38&gt;=10)*($VF$5:$VF38&lt;=12)),$WM$5:$WM38),IF(VF38=4,SUMPRODUCT(--(($VG$5:$VG38=$VG38)*($VF$5:$VF38&gt;=1)*($VF$5:$VF38&lt;=3)),$WM$5:$WM38),IF(VF38=7,SUMPRODUCT(--(($VG$5:$VG38=$VG38)*($VF$5:$VF38&gt;=4)*($VF$5:$VF38&lt;=6)),$WM$5:$WM38),IF(VF38=10,SUMPRODUCT(--(($VG$5:$VG38=$VG38)*($VF$5:$VF38&gt;=7)*($VF$5:$VF38&lt;=9)),$WM$5:$WM38),0)))))</f>
        <v/>
      </c>
      <c r="WO38" s="12">
        <f>WO37+WM38-WN38</f>
        <v/>
      </c>
      <c r="WP38" s="12">
        <f>IF(ProviderDelay&gt;=1,VW37*BlendedProvPayEss+VX37*BlendedProvPayPrem+VY37*BlendedProvPayElite+VZ37*BlendedProvPayEss+WA37*BlendedProvPayPrem+WB37*BlendedProvPayElite,VW38*BlendedProvPayEss+VX38*BlendedProvPayPrem+VY38*BlendedProvPayElite+VZ38*BlendedProvPayEss+WA38*BlendedProvPayPrem+WB38*BlendedProvPayElite)</f>
        <v/>
      </c>
      <c r="WQ38" s="12">
        <f>WI38*PaymentFee</f>
        <v/>
      </c>
      <c r="WR38" s="12">
        <f>WC38*OpsAI</f>
        <v/>
      </c>
      <c r="WS38" s="12">
        <f>MonthlyFixed</f>
        <v/>
      </c>
      <c r="WT38" s="12">
        <f>VM38*ReferralReward</f>
        <v/>
      </c>
      <c r="WU38" s="12">
        <f>VK38</f>
        <v/>
      </c>
      <c r="WV38" s="9">
        <f>WL38-WP38-WQ38-WR38-WS38-WT38-WU38</f>
        <v/>
      </c>
      <c r="WW38" s="9">
        <f>WW37+WI38-(WP38+WQ38+WR38+WS38+WT38+WU38+WN38)</f>
        <v/>
      </c>
      <c r="WX38" s="12">
        <f>IF(WC38&gt;0,WD38/WC38,0)</f>
        <v/>
      </c>
      <c r="WY38" s="11">
        <f>IF(WC37&gt;0,MAX(0,(WC37+VN38-WC38)/WC37),0)</f>
        <v/>
      </c>
      <c r="XA38" s="12" t="n">
        <v>34</v>
      </c>
      <c r="XB38" s="12">
        <f>MOD(XA38-1+LaunchMonth-1,12)+1</f>
        <v/>
      </c>
      <c r="XC38" s="12">
        <f>INT((XA38-1+LaunchMonth-1)/12)+1</f>
        <v/>
      </c>
      <c r="XD38" s="12">
        <f>VLOOKUP(XB38,SeasonTable,2,FALSE)</f>
        <v/>
      </c>
      <c r="XE38" s="12">
        <f>(1+InflationRate)^INT((XA38-1)/12)</f>
        <v/>
      </c>
      <c r="XF38" s="11">
        <f>MonthlyChurn*VLOOKUP(XB38,ChurnSeasonTable,4,FALSE)</f>
        <v/>
      </c>
      <c r="XG38" s="12">
        <f>MIN(MAX(MktMin19plus,YE37*MktPct19plus),MAX(0,YS37-CashBuffer))</f>
        <v/>
      </c>
      <c r="XH38" s="12">
        <f>IF(XG38&gt;0,MAX(1,ROUND(XG38/CAC*XD38,0)),0)</f>
        <v/>
      </c>
      <c r="XI38" s="12">
        <f>IF(XH38&gt;0,ROUND(XH38*ReferralMix/(1-ReferralMix),0),0)</f>
        <v/>
      </c>
      <c r="XJ38" s="12">
        <f>XH38+XI38</f>
        <v/>
      </c>
      <c r="XK38" s="12">
        <f>ROUND(XJ38*(1-'Sens - Annual Mix'!$A$10),0)</f>
        <v/>
      </c>
      <c r="XL38" s="12">
        <f>XJ38-XK38</f>
        <v/>
      </c>
      <c r="XM38" s="12">
        <f>ROUND(XK38*EssentialMix,0)</f>
        <v/>
      </c>
      <c r="XN38" s="12">
        <f>ROUND(XK38*PremiumMix,0)</f>
        <v/>
      </c>
      <c r="XO38" s="12">
        <f>XK38-XM38-XN38</f>
        <v/>
      </c>
      <c r="XP38" s="12">
        <f>ROUND(XL38*EssentialMix,0)</f>
        <v/>
      </c>
      <c r="XQ38" s="12">
        <f>ROUND(XL38*PremiumMix,0)</f>
        <v/>
      </c>
      <c r="XR38" s="12">
        <f>XL38-XP38-XQ38</f>
        <v/>
      </c>
      <c r="XS38" s="12">
        <f>XM38+XM37+XM36+MAX(0,XS37-XM37-XM36)*(1-XF38)</f>
        <v/>
      </c>
      <c r="XT38" s="12">
        <f>XN38+XN37+XN36+MAX(0,XT37-XN37-XN36)*(1-XF38)</f>
        <v/>
      </c>
      <c r="XU38" s="12">
        <f>XO38+XO37+XO36+MAX(0,XU37-XO37-XO36)*(1-XF38)</f>
        <v/>
      </c>
      <c r="XV38" s="12">
        <f>XV37+XP38-XP26*(AnnualChurn*VLOOKUP(XB38,ChurnSeasonTable,4,FALSE))*POWER(1-(AnnualChurn*VLOOKUP(XB38,ChurnSeasonTable,4,FALSE)),0)+XP14*(AnnualChurn*VLOOKUP(XB38,ChurnSeasonTable,4,FALSE))*POWER(1-(AnnualChurn*VLOOKUP(XB38,ChurnSeasonTable,4,FALSE)),1)</f>
        <v/>
      </c>
      <c r="XW38" s="12">
        <f>XW37+XQ38-XQ26*(AnnualChurn*VLOOKUP(XB38,ChurnSeasonTable,4,FALSE))*POWER(1-(AnnualChurn*VLOOKUP(XB38,ChurnSeasonTable,4,FALSE)),0)+XQ14*(AnnualChurn*VLOOKUP(XB38,ChurnSeasonTable,4,FALSE))*POWER(1-(AnnualChurn*VLOOKUP(XB38,ChurnSeasonTable,4,FALSE)),1)</f>
        <v/>
      </c>
      <c r="XX38" s="12">
        <f>XX37+XR38-XR26*(AnnualChurn*VLOOKUP(XB38,ChurnSeasonTable,4,FALSE))*POWER(1-(AnnualChurn*VLOOKUP(XB38,ChurnSeasonTable,4,FALSE)),0)+XR14*(AnnualChurn*VLOOKUP(XB38,ChurnSeasonTable,4,FALSE))*POWER(1-(AnnualChurn*VLOOKUP(XB38,ChurnSeasonTable,4,FALSE)),1)</f>
        <v/>
      </c>
      <c r="XY38" s="12">
        <f>XS38+XT38+XU38+XV38+XW38+XX38</f>
        <v/>
      </c>
      <c r="XZ38" s="9">
        <f>XS38*BlendedPriceEssMonthly*XE38+XT38*BlendedPricePremMonthly*XE38+XU38*BlendedPriceEliteMonthly*XE38+XV38*BlendedPriceEssAnnual*XE38/12+XW38*BlendedPricePremAnnual*XE38/12+XX38*BlendedPriceEliteAnnual*XE38/12</f>
        <v/>
      </c>
      <c r="YA38" s="9">
        <f>XZ38*12</f>
        <v/>
      </c>
      <c r="YB38" s="12">
        <f>XS38*BlendedPriceEssMonthly*XE38+XT38*BlendedPricePremMonthly*XE38+XU38*BlendedPriceEliteMonthly*XE38</f>
        <v/>
      </c>
      <c r="YC38" s="12">
        <f>XP38*BlendedPriceEssAnnual*XE38+XQ38*BlendedPricePremAnnual*XE38+XR38*BlendedPriceEliteAnnual*XE38</f>
        <v/>
      </c>
      <c r="YD38" s="12">
        <f>XP26*POWER(1-(AnnualChurn*VLOOKUP(XB38,ChurnSeasonTable,4,FALSE)),1)*BlendedPriceEssAnnual*XE38+XP14*POWER(1-(AnnualChurn*VLOOKUP(XB38,ChurnSeasonTable,4,FALSE)),2)*BlendedPriceEssAnnual*XE38+XQ26*POWER(1-(AnnualChurn*VLOOKUP(XB38,ChurnSeasonTable,4,FALSE)),1)*BlendedPricePremAnnual*XE38+XQ14*POWER(1-(AnnualChurn*VLOOKUP(XB38,ChurnSeasonTable,4,FALSE)),2)*BlendedPricePremAnnual*XE38+XR26*POWER(1-(AnnualChurn*VLOOKUP(XB38,ChurnSeasonTable,4,FALSE)),1)*BlendedPriceEliteAnnual*XE38+XR14*POWER(1-(AnnualChurn*VLOOKUP(XB38,ChurnSeasonTable,4,FALSE)),2)*BlendedPriceEliteAnnual*XE38</f>
        <v/>
      </c>
      <c r="YE38" s="9">
        <f>YB38+YC38+YD38</f>
        <v/>
      </c>
      <c r="YF38" s="12">
        <f>SUM(YE27:YE38)</f>
        <v/>
      </c>
      <c r="YG38" s="12">
        <f>OR(YG37,IF(VATAgentMode,SUM($YE27:$YE38)-SUM($YL27:$YL38)&gt;=VATThreshold,SUM($YE27:$YE38)&gt;=VATThreshold))</f>
        <v/>
      </c>
      <c r="YH38" s="9">
        <f>IF(YG38,IF(VATAgentMode,YE38-((YE38-YL38)-(YE38-YL38)/(1+VATRate)),YE38/(1+VATRate)),YE38)</f>
        <v/>
      </c>
      <c r="YI38" s="12">
        <f>YE38-YH38</f>
        <v/>
      </c>
      <c r="YJ38" s="12">
        <f>IF(YG38=0,0,IF(XB38=1,SUMPRODUCT(--(($XC$5:$XC38=$XC38-1)*($XB$5:$XB38&gt;=10)*($XB$5:$XB38&lt;=12)),$YI$5:$YI38),IF(XB38=4,SUMPRODUCT(--(($XC$5:$XC38=$XC38)*($XB$5:$XB38&gt;=1)*($XB$5:$XB38&lt;=3)),$YI$5:$YI38),IF(XB38=7,SUMPRODUCT(--(($XC$5:$XC38=$XC38)*($XB$5:$XB38&gt;=4)*($XB$5:$XB38&lt;=6)),$YI$5:$YI38),IF(XB38=10,SUMPRODUCT(--(($XC$5:$XC38=$XC38)*($XB$5:$XB38&gt;=7)*($XB$5:$XB38&lt;=9)),$YI$5:$YI38),0)))))</f>
        <v/>
      </c>
      <c r="YK38" s="12">
        <f>YK37+YI38-YJ38</f>
        <v/>
      </c>
      <c r="YL38" s="12">
        <f>IF(ProviderDelay&gt;=1,XS37*BlendedProvPayEss+XT37*BlendedProvPayPrem+XU37*BlendedProvPayElite+XV37*BlendedProvPayEss+XW37*BlendedProvPayPrem+XX37*BlendedProvPayElite,XS38*BlendedProvPayEss+XT38*BlendedProvPayPrem+XU38*BlendedProvPayElite+XV38*BlendedProvPayEss+XW38*BlendedProvPayPrem+XX38*BlendedProvPayElite)</f>
        <v/>
      </c>
      <c r="YM38" s="12">
        <f>YE38*PaymentFee</f>
        <v/>
      </c>
      <c r="YN38" s="12">
        <f>XY38*OpsAI</f>
        <v/>
      </c>
      <c r="YO38" s="12">
        <f>MonthlyFixed</f>
        <v/>
      </c>
      <c r="YP38" s="12">
        <f>XI38*ReferralReward</f>
        <v/>
      </c>
      <c r="YQ38" s="12">
        <f>XG38</f>
        <v/>
      </c>
      <c r="YR38" s="9">
        <f>YH38-YL38-YM38-YN38-YO38-YP38-YQ38</f>
        <v/>
      </c>
      <c r="YS38" s="9">
        <f>YS37+YE38-(YL38+YM38+YN38+YO38+YP38+YQ38+YJ38)</f>
        <v/>
      </c>
      <c r="YT38" s="12">
        <f>IF(XY38&gt;0,XZ38/XY38,0)</f>
        <v/>
      </c>
      <c r="YU38" s="11">
        <f>IF(XY37&gt;0,MAX(0,(XY37+XJ38-XY38)/XY37),0)</f>
        <v/>
      </c>
      <c r="YW38" s="12" t="n">
        <v>34</v>
      </c>
      <c r="YX38" s="12">
        <f>MOD(YW38-1+LaunchMonth-1,12)+1</f>
        <v/>
      </c>
      <c r="YY38" s="12">
        <f>INT((YW38-1+LaunchMonth-1)/12)+1</f>
        <v/>
      </c>
      <c r="YZ38" s="12">
        <f>VLOOKUP(YX38,SeasonTable,2,FALSE)</f>
        <v/>
      </c>
      <c r="ZA38" s="12">
        <f>(1+InflationRate)^INT((YW38-1)/12)</f>
        <v/>
      </c>
      <c r="ZB38" s="11">
        <f>MonthlyChurn*VLOOKUP(YX38,ChurnSeasonTable,4,FALSE)</f>
        <v/>
      </c>
      <c r="ZC38" s="12">
        <f>MIN(MAX(MktMin19plus,AAA37*MktPct19plus),MAX(0,AAO37-CashBuffer))</f>
        <v/>
      </c>
      <c r="ZD38" s="12">
        <f>IF(ZC38&gt;0,MAX(1,ROUND(ZC38/CAC*YZ38,0)),0)</f>
        <v/>
      </c>
      <c r="ZE38" s="12">
        <f>IF(ZD38&gt;0,ROUND(ZD38*ReferralMix/(1-ReferralMix),0),0)</f>
        <v/>
      </c>
      <c r="ZF38" s="12">
        <f>ZD38+ZE38</f>
        <v/>
      </c>
      <c r="ZG38" s="12">
        <f>ROUND(ZF38*(1-'Sens - Annual Mix'!$A$11),0)</f>
        <v/>
      </c>
      <c r="ZH38" s="12">
        <f>ZF38-ZG38</f>
        <v/>
      </c>
      <c r="ZI38" s="12">
        <f>ROUND(ZG38*EssentialMix,0)</f>
        <v/>
      </c>
      <c r="ZJ38" s="12">
        <f>ROUND(ZG38*PremiumMix,0)</f>
        <v/>
      </c>
      <c r="ZK38" s="12">
        <f>ZG38-ZI38-ZJ38</f>
        <v/>
      </c>
      <c r="ZL38" s="12">
        <f>ROUND(ZH38*EssentialMix,0)</f>
        <v/>
      </c>
      <c r="ZM38" s="12">
        <f>ROUND(ZH38*PremiumMix,0)</f>
        <v/>
      </c>
      <c r="ZN38" s="12">
        <f>ZH38-ZL38-ZM38</f>
        <v/>
      </c>
      <c r="ZO38" s="12">
        <f>ZI38+ZI37+ZI36+MAX(0,ZO37-ZI37-ZI36)*(1-ZB38)</f>
        <v/>
      </c>
      <c r="ZP38" s="12">
        <f>ZJ38+ZJ37+ZJ36+MAX(0,ZP37-ZJ37-ZJ36)*(1-ZB38)</f>
        <v/>
      </c>
      <c r="ZQ38" s="12">
        <f>ZK38+ZK37+ZK36+MAX(0,ZQ37-ZK37-ZK36)*(1-ZB38)</f>
        <v/>
      </c>
      <c r="ZR38" s="12">
        <f>ZR37+ZL38-ZL26*(AnnualChurn*VLOOKUP(YX38,ChurnSeasonTable,4,FALSE))*POWER(1-(AnnualChurn*VLOOKUP(YX38,ChurnSeasonTable,4,FALSE)),0)+ZL14*(AnnualChurn*VLOOKUP(YX38,ChurnSeasonTable,4,FALSE))*POWER(1-(AnnualChurn*VLOOKUP(YX38,ChurnSeasonTable,4,FALSE)),1)</f>
        <v/>
      </c>
      <c r="ZS38" s="12">
        <f>ZS37+ZM38-ZM26*(AnnualChurn*VLOOKUP(YX38,ChurnSeasonTable,4,FALSE))*POWER(1-(AnnualChurn*VLOOKUP(YX38,ChurnSeasonTable,4,FALSE)),0)+ZM14*(AnnualChurn*VLOOKUP(YX38,ChurnSeasonTable,4,FALSE))*POWER(1-(AnnualChurn*VLOOKUP(YX38,ChurnSeasonTable,4,FALSE)),1)</f>
        <v/>
      </c>
      <c r="ZT38" s="12">
        <f>ZT37+ZN38-ZN26*(AnnualChurn*VLOOKUP(YX38,ChurnSeasonTable,4,FALSE))*POWER(1-(AnnualChurn*VLOOKUP(YX38,ChurnSeasonTable,4,FALSE)),0)+ZN14*(AnnualChurn*VLOOKUP(YX38,ChurnSeasonTable,4,FALSE))*POWER(1-(AnnualChurn*VLOOKUP(YX38,ChurnSeasonTable,4,FALSE)),1)</f>
        <v/>
      </c>
      <c r="ZU38" s="12">
        <f>ZO38+ZP38+ZQ38+ZR38+ZS38+ZT38</f>
        <v/>
      </c>
      <c r="ZV38" s="9">
        <f>ZO38*BlendedPriceEssMonthly*ZA38+ZP38*BlendedPricePremMonthly*ZA38+ZQ38*BlendedPriceEliteMonthly*ZA38+ZR38*BlendedPriceEssAnnual*ZA38/12+ZS38*BlendedPricePremAnnual*ZA38/12+ZT38*BlendedPriceEliteAnnual*ZA38/12</f>
        <v/>
      </c>
      <c r="ZW38" s="9">
        <f>ZV38*12</f>
        <v/>
      </c>
      <c r="ZX38" s="12">
        <f>ZO38*BlendedPriceEssMonthly*ZA38+ZP38*BlendedPricePremMonthly*ZA38+ZQ38*BlendedPriceEliteMonthly*ZA38</f>
        <v/>
      </c>
      <c r="ZY38" s="12">
        <f>ZL38*BlendedPriceEssAnnual*ZA38+ZM38*BlendedPricePremAnnual*ZA38+ZN38*BlendedPriceEliteAnnual*ZA38</f>
        <v/>
      </c>
      <c r="ZZ38" s="12">
        <f>ZL26*POWER(1-(AnnualChurn*VLOOKUP(YX38,ChurnSeasonTable,4,FALSE)),1)*BlendedPriceEssAnnual*ZA38+ZL14*POWER(1-(AnnualChurn*VLOOKUP(YX38,ChurnSeasonTable,4,FALSE)),2)*BlendedPriceEssAnnual*ZA38+ZM26*POWER(1-(AnnualChurn*VLOOKUP(YX38,ChurnSeasonTable,4,FALSE)),1)*BlendedPricePremAnnual*ZA38+ZM14*POWER(1-(AnnualChurn*VLOOKUP(YX38,ChurnSeasonTable,4,FALSE)),2)*BlendedPricePremAnnual*ZA38+ZN26*POWER(1-(AnnualChurn*VLOOKUP(YX38,ChurnSeasonTable,4,FALSE)),1)*BlendedPriceEliteAnnual*ZA38+ZN14*POWER(1-(AnnualChurn*VLOOKUP(YX38,ChurnSeasonTable,4,FALSE)),2)*BlendedPriceEliteAnnual*ZA38</f>
        <v/>
      </c>
      <c r="AAA38" s="9">
        <f>ZX38+ZY38+ZZ38</f>
        <v/>
      </c>
      <c r="AAB38" s="12">
        <f>SUM(AAA27:AAA38)</f>
        <v/>
      </c>
      <c r="AAC38" s="12">
        <f>OR(AAC37,IF(VATAgentMode,SUM($AAA27:$AAA38)-SUM($AAH27:$AAH38)&gt;=VATThreshold,SUM($AAA27:$AAA38)&gt;=VATThreshold))</f>
        <v/>
      </c>
      <c r="AAD38" s="9">
        <f>IF(AAC38,IF(VATAgentMode,AAA38-((AAA38-AAH38)-(AAA38-AAH38)/(1+VATRate)),AAA38/(1+VATRate)),AAA38)</f>
        <v/>
      </c>
      <c r="AAE38" s="12">
        <f>AAA38-AAD38</f>
        <v/>
      </c>
      <c r="AAF38" s="12">
        <f>IF(AAC38=0,0,IF(YX38=1,SUMPRODUCT(--(($YY$5:$YY38=$YY38-1)*($YX$5:$YX38&gt;=10)*($YX$5:$YX38&lt;=12)),$AAE$5:$AAE38),IF(YX38=4,SUMPRODUCT(--(($YY$5:$YY38=$YY38)*($YX$5:$YX38&gt;=1)*($YX$5:$YX38&lt;=3)),$AAE$5:$AAE38),IF(YX38=7,SUMPRODUCT(--(($YY$5:$YY38=$YY38)*($YX$5:$YX38&gt;=4)*($YX$5:$YX38&lt;=6)),$AAE$5:$AAE38),IF(YX38=10,SUMPRODUCT(--(($YY$5:$YY38=$YY38)*($YX$5:$YX38&gt;=7)*($YX$5:$YX38&lt;=9)),$AAE$5:$AAE38),0)))))</f>
        <v/>
      </c>
      <c r="AAG38" s="12">
        <f>AAG37+AAE38-AAF38</f>
        <v/>
      </c>
      <c r="AAH38" s="12">
        <f>IF(ProviderDelay&gt;=1,ZO37*BlendedProvPayEss+ZP37*BlendedProvPayPrem+ZQ37*BlendedProvPayElite+ZR37*BlendedProvPayEss+ZS37*BlendedProvPayPrem+ZT37*BlendedProvPayElite,ZO38*BlendedProvPayEss+ZP38*BlendedProvPayPrem+ZQ38*BlendedProvPayElite+ZR38*BlendedProvPayEss+ZS38*BlendedProvPayPrem+ZT38*BlendedProvPayElite)</f>
        <v/>
      </c>
      <c r="AAI38" s="12">
        <f>AAA38*PaymentFee</f>
        <v/>
      </c>
      <c r="AAJ38" s="12">
        <f>ZU38*OpsAI</f>
        <v/>
      </c>
      <c r="AAK38" s="12">
        <f>MonthlyFixed</f>
        <v/>
      </c>
      <c r="AAL38" s="12">
        <f>ZE38*ReferralReward</f>
        <v/>
      </c>
      <c r="AAM38" s="12">
        <f>ZC38</f>
        <v/>
      </c>
      <c r="AAN38" s="9">
        <f>AAD38-AAH38-AAI38-AAJ38-AAK38-AAL38-AAM38</f>
        <v/>
      </c>
      <c r="AAO38" s="9">
        <f>AAO37+AAA38-(AAH38+AAI38+AAJ38+AAK38+AAL38+AAM38+AAF38)</f>
        <v/>
      </c>
      <c r="AAP38" s="12">
        <f>IF(ZU38&gt;0,ZV38/ZU38,0)</f>
        <v/>
      </c>
      <c r="AAQ38" s="11">
        <f>IF(ZU37&gt;0,MAX(0,(ZU37+ZF38-ZU38)/ZU37),0)</f>
        <v/>
      </c>
      <c r="AAS38" s="12" t="n">
        <v>34</v>
      </c>
      <c r="AAT38" s="12">
        <f>MOD(AAS38-1+LaunchMonth-1,12)+1</f>
        <v/>
      </c>
      <c r="AAU38" s="12">
        <f>INT((AAS38-1+LaunchMonth-1)/12)+1</f>
        <v/>
      </c>
      <c r="AAV38" s="12">
        <f>VLOOKUP(AAT38,SeasonTable,2,FALSE)</f>
        <v/>
      </c>
      <c r="AAW38" s="12">
        <f>(1+InflationRate)^INT((AAS38-1)/12)</f>
        <v/>
      </c>
      <c r="AAX38" s="11">
        <f>MonthlyChurn*VLOOKUP(AAT38,ChurnSeasonTable,4,FALSE)</f>
        <v/>
      </c>
      <c r="AAY38" s="12">
        <f>MIN(MAX(MktMin19plus,ABW37*MktPct19plus),MAX(0,ACK37-CashBuffer))</f>
        <v/>
      </c>
      <c r="AAZ38" s="12">
        <f>IF(AAY38&gt;0,MAX(1,ROUND(AAY38/CAC*AAV38,0)),0)</f>
        <v/>
      </c>
      <c r="ABA38" s="12">
        <f>IF(AAZ38&gt;0,ROUND(AAZ38*ReferralMix/(1-ReferralMix),0),0)</f>
        <v/>
      </c>
      <c r="ABB38" s="12">
        <f>AAZ38+ABA38</f>
        <v/>
      </c>
      <c r="ABC38" s="12">
        <f>ROUND(ABB38*(1-'Sens - Annual Mix'!$A$12),0)</f>
        <v/>
      </c>
      <c r="ABD38" s="12">
        <f>ABB38-ABC38</f>
        <v/>
      </c>
      <c r="ABE38" s="12">
        <f>ROUND(ABC38*EssentialMix,0)</f>
        <v/>
      </c>
      <c r="ABF38" s="12">
        <f>ROUND(ABC38*PremiumMix,0)</f>
        <v/>
      </c>
      <c r="ABG38" s="12">
        <f>ABC38-ABE38-ABF38</f>
        <v/>
      </c>
      <c r="ABH38" s="12">
        <f>ROUND(ABD38*EssentialMix,0)</f>
        <v/>
      </c>
      <c r="ABI38" s="12">
        <f>ROUND(ABD38*PremiumMix,0)</f>
        <v/>
      </c>
      <c r="ABJ38" s="12">
        <f>ABD38-ABH38-ABI38</f>
        <v/>
      </c>
      <c r="ABK38" s="12">
        <f>ABE38+ABE37+ABE36+MAX(0,ABK37-ABE37-ABE36)*(1-AAX38)</f>
        <v/>
      </c>
      <c r="ABL38" s="12">
        <f>ABF38+ABF37+ABF36+MAX(0,ABL37-ABF37-ABF36)*(1-AAX38)</f>
        <v/>
      </c>
      <c r="ABM38" s="12">
        <f>ABG38+ABG37+ABG36+MAX(0,ABM37-ABG37-ABG36)*(1-AAX38)</f>
        <v/>
      </c>
      <c r="ABN38" s="12">
        <f>ABN37+ABH38-ABH26*(AnnualChurn*VLOOKUP(AAT38,ChurnSeasonTable,4,FALSE))*POWER(1-(AnnualChurn*VLOOKUP(AAT38,ChurnSeasonTable,4,FALSE)),0)+ABH14*(AnnualChurn*VLOOKUP(AAT38,ChurnSeasonTable,4,FALSE))*POWER(1-(AnnualChurn*VLOOKUP(AAT38,ChurnSeasonTable,4,FALSE)),1)</f>
        <v/>
      </c>
      <c r="ABO38" s="12">
        <f>ABO37+ABI38-ABI26*(AnnualChurn*VLOOKUP(AAT38,ChurnSeasonTable,4,FALSE))*POWER(1-(AnnualChurn*VLOOKUP(AAT38,ChurnSeasonTable,4,FALSE)),0)+ABI14*(AnnualChurn*VLOOKUP(AAT38,ChurnSeasonTable,4,FALSE))*POWER(1-(AnnualChurn*VLOOKUP(AAT38,ChurnSeasonTable,4,FALSE)),1)</f>
        <v/>
      </c>
      <c r="ABP38" s="12">
        <f>ABP37+ABJ38-ABJ26*(AnnualChurn*VLOOKUP(AAT38,ChurnSeasonTable,4,FALSE))*POWER(1-(AnnualChurn*VLOOKUP(AAT38,ChurnSeasonTable,4,FALSE)),0)+ABJ14*(AnnualChurn*VLOOKUP(AAT38,ChurnSeasonTable,4,FALSE))*POWER(1-(AnnualChurn*VLOOKUP(AAT38,ChurnSeasonTable,4,FALSE)),1)</f>
        <v/>
      </c>
      <c r="ABQ38" s="12">
        <f>ABK38+ABL38+ABM38+ABN38+ABO38+ABP38</f>
        <v/>
      </c>
      <c r="ABR38" s="9">
        <f>ABK38*BlendedPriceEssMonthly*AAW38+ABL38*BlendedPricePremMonthly*AAW38+ABM38*BlendedPriceEliteMonthly*AAW38+ABN38*BlendedPriceEssAnnual*AAW38/12+ABO38*BlendedPricePremAnnual*AAW38/12+ABP38*BlendedPriceEliteAnnual*AAW38/12</f>
        <v/>
      </c>
      <c r="ABS38" s="9">
        <f>ABR38*12</f>
        <v/>
      </c>
      <c r="ABT38" s="12">
        <f>ABK38*BlendedPriceEssMonthly*AAW38+ABL38*BlendedPricePremMonthly*AAW38+ABM38*BlendedPriceEliteMonthly*AAW38</f>
        <v/>
      </c>
      <c r="ABU38" s="12">
        <f>ABH38*BlendedPriceEssAnnual*AAW38+ABI38*BlendedPricePremAnnual*AAW38+ABJ38*BlendedPriceEliteAnnual*AAW38</f>
        <v/>
      </c>
      <c r="ABV38" s="12">
        <f>ABH26*POWER(1-(AnnualChurn*VLOOKUP(AAT38,ChurnSeasonTable,4,FALSE)),1)*BlendedPriceEssAnnual*AAW38+ABH14*POWER(1-(AnnualChurn*VLOOKUP(AAT38,ChurnSeasonTable,4,FALSE)),2)*BlendedPriceEssAnnual*AAW38+ABI26*POWER(1-(AnnualChurn*VLOOKUP(AAT38,ChurnSeasonTable,4,FALSE)),1)*BlendedPricePremAnnual*AAW38+ABI14*POWER(1-(AnnualChurn*VLOOKUP(AAT38,ChurnSeasonTable,4,FALSE)),2)*BlendedPricePremAnnual*AAW38+ABJ26*POWER(1-(AnnualChurn*VLOOKUP(AAT38,ChurnSeasonTable,4,FALSE)),1)*BlendedPriceEliteAnnual*AAW38+ABJ14*POWER(1-(AnnualChurn*VLOOKUP(AAT38,ChurnSeasonTable,4,FALSE)),2)*BlendedPriceEliteAnnual*AAW38</f>
        <v/>
      </c>
      <c r="ABW38" s="9">
        <f>ABT38+ABU38+ABV38</f>
        <v/>
      </c>
      <c r="ABX38" s="12">
        <f>SUM(ABW27:ABW38)</f>
        <v/>
      </c>
      <c r="ABY38" s="12">
        <f>OR(ABY37,IF(VATAgentMode,SUM($ABW27:$ABW38)-SUM($ACD27:$ACD38)&gt;=VATThreshold,SUM($ABW27:$ABW38)&gt;=VATThreshold))</f>
        <v/>
      </c>
      <c r="ABZ38" s="9">
        <f>IF(ABY38,IF(VATAgentMode,ABW38-((ABW38-ACD38)-(ABW38-ACD38)/(1+VATRate)),ABW38/(1+VATRate)),ABW38)</f>
        <v/>
      </c>
      <c r="ACA38" s="12">
        <f>ABW38-ABZ38</f>
        <v/>
      </c>
      <c r="ACB38" s="12">
        <f>IF(ABY38=0,0,IF(AAT38=1,SUMPRODUCT(--(($AAU$5:$AAU38=$AAU38-1)*($AAT$5:$AAT38&gt;=10)*($AAT$5:$AAT38&lt;=12)),$ACA$5:$ACA38),IF(AAT38=4,SUMPRODUCT(--(($AAU$5:$AAU38=$AAU38)*($AAT$5:$AAT38&gt;=1)*($AAT$5:$AAT38&lt;=3)),$ACA$5:$ACA38),IF(AAT38=7,SUMPRODUCT(--(($AAU$5:$AAU38=$AAU38)*($AAT$5:$AAT38&gt;=4)*($AAT$5:$AAT38&lt;=6)),$ACA$5:$ACA38),IF(AAT38=10,SUMPRODUCT(--(($AAU$5:$AAU38=$AAU38)*($AAT$5:$AAT38&gt;=7)*($AAT$5:$AAT38&lt;=9)),$ACA$5:$ACA38),0)))))</f>
        <v/>
      </c>
      <c r="ACC38" s="12">
        <f>ACC37+ACA38-ACB38</f>
        <v/>
      </c>
      <c r="ACD38" s="12">
        <f>IF(ProviderDelay&gt;=1,ABK37*BlendedProvPayEss+ABL37*BlendedProvPayPrem+ABM37*BlendedProvPayElite+ABN37*BlendedProvPayEss+ABO37*BlendedProvPayPrem+ABP37*BlendedProvPayElite,ABK38*BlendedProvPayEss+ABL38*BlendedProvPayPrem+ABM38*BlendedProvPayElite+ABN38*BlendedProvPayEss+ABO38*BlendedProvPayPrem+ABP38*BlendedProvPayElite)</f>
        <v/>
      </c>
      <c r="ACE38" s="12">
        <f>ABW38*PaymentFee</f>
        <v/>
      </c>
      <c r="ACF38" s="12">
        <f>ABQ38*OpsAI</f>
        <v/>
      </c>
      <c r="ACG38" s="12">
        <f>MonthlyFixed</f>
        <v/>
      </c>
      <c r="ACH38" s="12">
        <f>ABA38*ReferralReward</f>
        <v/>
      </c>
      <c r="ACI38" s="12">
        <f>AAY38</f>
        <v/>
      </c>
      <c r="ACJ38" s="9">
        <f>ABZ38-ACD38-ACE38-ACF38-ACG38-ACH38-ACI38</f>
        <v/>
      </c>
      <c r="ACK38" s="9">
        <f>ACK37+ABW38-(ACD38+ACE38+ACF38+ACG38+ACH38+ACI38+ACB38)</f>
        <v/>
      </c>
      <c r="ACL38" s="12">
        <f>IF(ABQ38&gt;0,ABR38/ABQ38,0)</f>
        <v/>
      </c>
      <c r="ACM38" s="11">
        <f>IF(ABQ37&gt;0,MAX(0,(ABQ37+ABB38-ABQ38)/ABQ37),0)</f>
        <v/>
      </c>
      <c r="ACO38" s="12" t="n">
        <v>34</v>
      </c>
      <c r="ACP38" s="12">
        <f>MOD(ACO38-1+LaunchMonth-1,12)+1</f>
        <v/>
      </c>
      <c r="ACQ38" s="12">
        <f>INT((ACO38-1+LaunchMonth-1)/12)+1</f>
        <v/>
      </c>
      <c r="ACR38" s="12">
        <f>VLOOKUP(ACP38,SeasonTable,2,FALSE)</f>
        <v/>
      </c>
      <c r="ACS38" s="12">
        <f>(1+InflationRate)^INT((ACO38-1)/12)</f>
        <v/>
      </c>
      <c r="ACT38" s="11">
        <f>MonthlyChurn*VLOOKUP(ACP38,ChurnSeasonTable,4,FALSE)</f>
        <v/>
      </c>
      <c r="ACU38" s="12">
        <f>MIN(MAX(MktMin19plus,ADS37*MktPct19plus),MAX(0,AEG37-CashBuffer))</f>
        <v/>
      </c>
      <c r="ACV38" s="12">
        <f>IF(ACU38&gt;0,MAX(1,ROUND(ACU38/CAC*ACR38,0)),0)</f>
        <v/>
      </c>
      <c r="ACW38" s="12">
        <f>IF(ACV38&gt;0,ROUND(ACV38*ReferralMix/(1-ReferralMix),0),0)</f>
        <v/>
      </c>
      <c r="ACX38" s="12">
        <f>ACV38+ACW38</f>
        <v/>
      </c>
      <c r="ACY38" s="12">
        <f>ROUND(ACX38*(1-'Sens - Annual Mix'!$A$13),0)</f>
        <v/>
      </c>
      <c r="ACZ38" s="12">
        <f>ACX38-ACY38</f>
        <v/>
      </c>
      <c r="ADA38" s="12">
        <f>ROUND(ACY38*EssentialMix,0)</f>
        <v/>
      </c>
      <c r="ADB38" s="12">
        <f>ROUND(ACY38*PremiumMix,0)</f>
        <v/>
      </c>
      <c r="ADC38" s="12">
        <f>ACY38-ADA38-ADB38</f>
        <v/>
      </c>
      <c r="ADD38" s="12">
        <f>ROUND(ACZ38*EssentialMix,0)</f>
        <v/>
      </c>
      <c r="ADE38" s="12">
        <f>ROUND(ACZ38*PremiumMix,0)</f>
        <v/>
      </c>
      <c r="ADF38" s="12">
        <f>ACZ38-ADD38-ADE38</f>
        <v/>
      </c>
      <c r="ADG38" s="12">
        <f>ADA38+ADA37+ADA36+MAX(0,ADG37-ADA37-ADA36)*(1-ACT38)</f>
        <v/>
      </c>
      <c r="ADH38" s="12">
        <f>ADB38+ADB37+ADB36+MAX(0,ADH37-ADB37-ADB36)*(1-ACT38)</f>
        <v/>
      </c>
      <c r="ADI38" s="12">
        <f>ADC38+ADC37+ADC36+MAX(0,ADI37-ADC37-ADC36)*(1-ACT38)</f>
        <v/>
      </c>
      <c r="ADJ38" s="12">
        <f>ADJ37+ADD38-ADD26*(AnnualChurn*VLOOKUP(ACP38,ChurnSeasonTable,4,FALSE))*POWER(1-(AnnualChurn*VLOOKUP(ACP38,ChurnSeasonTable,4,FALSE)),0)+ADD14*(AnnualChurn*VLOOKUP(ACP38,ChurnSeasonTable,4,FALSE))*POWER(1-(AnnualChurn*VLOOKUP(ACP38,ChurnSeasonTable,4,FALSE)),1)</f>
        <v/>
      </c>
      <c r="ADK38" s="12">
        <f>ADK37+ADE38-ADE26*(AnnualChurn*VLOOKUP(ACP38,ChurnSeasonTable,4,FALSE))*POWER(1-(AnnualChurn*VLOOKUP(ACP38,ChurnSeasonTable,4,FALSE)),0)+ADE14*(AnnualChurn*VLOOKUP(ACP38,ChurnSeasonTable,4,FALSE))*POWER(1-(AnnualChurn*VLOOKUP(ACP38,ChurnSeasonTable,4,FALSE)),1)</f>
        <v/>
      </c>
      <c r="ADL38" s="12">
        <f>ADL37+ADF38-ADF26*(AnnualChurn*VLOOKUP(ACP38,ChurnSeasonTable,4,FALSE))*POWER(1-(AnnualChurn*VLOOKUP(ACP38,ChurnSeasonTable,4,FALSE)),0)+ADF14*(AnnualChurn*VLOOKUP(ACP38,ChurnSeasonTable,4,FALSE))*POWER(1-(AnnualChurn*VLOOKUP(ACP38,ChurnSeasonTable,4,FALSE)),1)</f>
        <v/>
      </c>
      <c r="ADM38" s="12">
        <f>ADG38+ADH38+ADI38+ADJ38+ADK38+ADL38</f>
        <v/>
      </c>
      <c r="ADN38" s="9">
        <f>ADG38*BlendedPriceEssMonthly*ACS38+ADH38*BlendedPricePremMonthly*ACS38+ADI38*BlendedPriceEliteMonthly*ACS38+ADJ38*BlendedPriceEssAnnual*ACS38/12+ADK38*BlendedPricePremAnnual*ACS38/12+ADL38*BlendedPriceEliteAnnual*ACS38/12</f>
        <v/>
      </c>
      <c r="ADO38" s="9">
        <f>ADN38*12</f>
        <v/>
      </c>
      <c r="ADP38" s="12">
        <f>ADG38*BlendedPriceEssMonthly*ACS38+ADH38*BlendedPricePremMonthly*ACS38+ADI38*BlendedPriceEliteMonthly*ACS38</f>
        <v/>
      </c>
      <c r="ADQ38" s="12">
        <f>ADD38*BlendedPriceEssAnnual*ACS38+ADE38*BlendedPricePremAnnual*ACS38+ADF38*BlendedPriceEliteAnnual*ACS38</f>
        <v/>
      </c>
      <c r="ADR38" s="12">
        <f>ADD26*POWER(1-(AnnualChurn*VLOOKUP(ACP38,ChurnSeasonTable,4,FALSE)),1)*BlendedPriceEssAnnual*ACS38+ADD14*POWER(1-(AnnualChurn*VLOOKUP(ACP38,ChurnSeasonTable,4,FALSE)),2)*BlendedPriceEssAnnual*ACS38+ADE26*POWER(1-(AnnualChurn*VLOOKUP(ACP38,ChurnSeasonTable,4,FALSE)),1)*BlendedPricePremAnnual*ACS38+ADE14*POWER(1-(AnnualChurn*VLOOKUP(ACP38,ChurnSeasonTable,4,FALSE)),2)*BlendedPricePremAnnual*ACS38+ADF26*POWER(1-(AnnualChurn*VLOOKUP(ACP38,ChurnSeasonTable,4,FALSE)),1)*BlendedPriceEliteAnnual*ACS38+ADF14*POWER(1-(AnnualChurn*VLOOKUP(ACP38,ChurnSeasonTable,4,FALSE)),2)*BlendedPriceEliteAnnual*ACS38</f>
        <v/>
      </c>
      <c r="ADS38" s="9">
        <f>ADP38+ADQ38+ADR38</f>
        <v/>
      </c>
      <c r="ADT38" s="12">
        <f>SUM(ADS27:ADS38)</f>
        <v/>
      </c>
      <c r="ADU38" s="12">
        <f>OR(ADU37,IF(VATAgentMode,SUM($ADS27:$ADS38)-SUM($ADZ27:$ADZ38)&gt;=VATThreshold,SUM($ADS27:$ADS38)&gt;=VATThreshold))</f>
        <v/>
      </c>
      <c r="ADV38" s="9">
        <f>IF(ADU38,IF(VATAgentMode,ADS38-((ADS38-ADZ38)-(ADS38-ADZ38)/(1+VATRate)),ADS38/(1+VATRate)),ADS38)</f>
        <v/>
      </c>
      <c r="ADW38" s="12">
        <f>ADS38-ADV38</f>
        <v/>
      </c>
      <c r="ADX38" s="12">
        <f>IF(ADU38=0,0,IF(ACP38=1,SUMPRODUCT(--(($ACQ$5:$ACQ38=$ACQ38-1)*($ACP$5:$ACP38&gt;=10)*($ACP$5:$ACP38&lt;=12)),$ADW$5:$ADW38),IF(ACP38=4,SUMPRODUCT(--(($ACQ$5:$ACQ38=$ACQ38)*($ACP$5:$ACP38&gt;=1)*($ACP$5:$ACP38&lt;=3)),$ADW$5:$ADW38),IF(ACP38=7,SUMPRODUCT(--(($ACQ$5:$ACQ38=$ACQ38)*($ACP$5:$ACP38&gt;=4)*($ACP$5:$ACP38&lt;=6)),$ADW$5:$ADW38),IF(ACP38=10,SUMPRODUCT(--(($ACQ$5:$ACQ38=$ACQ38)*($ACP$5:$ACP38&gt;=7)*($ACP$5:$ACP38&lt;=9)),$ADW$5:$ADW38),0)))))</f>
        <v/>
      </c>
      <c r="ADY38" s="12">
        <f>ADY37+ADW38-ADX38</f>
        <v/>
      </c>
      <c r="ADZ38" s="12">
        <f>IF(ProviderDelay&gt;=1,ADG37*BlendedProvPayEss+ADH37*BlendedProvPayPrem+ADI37*BlendedProvPayElite+ADJ37*BlendedProvPayEss+ADK37*BlendedProvPayPrem+ADL37*BlendedProvPayElite,ADG38*BlendedProvPayEss+ADH38*BlendedProvPayPrem+ADI38*BlendedProvPayElite+ADJ38*BlendedProvPayEss+ADK38*BlendedProvPayPrem+ADL38*BlendedProvPayElite)</f>
        <v/>
      </c>
      <c r="AEA38" s="12">
        <f>ADS38*PaymentFee</f>
        <v/>
      </c>
      <c r="AEB38" s="12">
        <f>ADM38*OpsAI</f>
        <v/>
      </c>
      <c r="AEC38" s="12">
        <f>MonthlyFixed</f>
        <v/>
      </c>
      <c r="AED38" s="12">
        <f>ACW38*ReferralReward</f>
        <v/>
      </c>
      <c r="AEE38" s="12">
        <f>ACU38</f>
        <v/>
      </c>
      <c r="AEF38" s="9">
        <f>ADV38-ADZ38-AEA38-AEB38-AEC38-AED38-AEE38</f>
        <v/>
      </c>
      <c r="AEG38" s="9">
        <f>AEG37+ADS38-(ADZ38+AEA38+AEB38+AEC38+AED38+AEE38+ADX38)</f>
        <v/>
      </c>
      <c r="AEH38" s="12">
        <f>IF(ADM38&gt;0,ADN38/ADM38,0)</f>
        <v/>
      </c>
      <c r="AEI38" s="11">
        <f>IF(ADM37&gt;0,MAX(0,(ADM37+ACX38-ADM38)/ADM37),0)</f>
        <v/>
      </c>
      <c r="AEK38" s="12" t="n">
        <v>34</v>
      </c>
      <c r="AEL38" s="12">
        <f>MOD(AEK38-1+LaunchMonth-1,12)+1</f>
        <v/>
      </c>
      <c r="AEM38" s="12">
        <f>INT((AEK38-1+LaunchMonth-1)/12)+1</f>
        <v/>
      </c>
      <c r="AEN38" s="12">
        <f>VLOOKUP(AEL38,SeasonTable,2,FALSE)</f>
        <v/>
      </c>
      <c r="AEO38" s="12">
        <f>(1+InflationRate)^INT((AEK38-1)/12)</f>
        <v/>
      </c>
      <c r="AEP38" s="11">
        <f>MonthlyChurn*VLOOKUP(AEL38,ChurnSeasonTable,4,FALSE)</f>
        <v/>
      </c>
      <c r="AEQ38" s="12">
        <f>MIN(MAX(MktMin19plus,AFO37*MktPct19plus),MAX(0,AGC37-CashBuffer))</f>
        <v/>
      </c>
      <c r="AER38" s="12">
        <f>IF(AEQ38&gt;0,MAX(1,ROUND(AEQ38/CAC*AEN38,0)),0)</f>
        <v/>
      </c>
      <c r="AES38" s="12">
        <f>IF(AER38&gt;0,ROUND(AER38*ReferralMix/(1-ReferralMix),0),0)</f>
        <v/>
      </c>
      <c r="AET38" s="12">
        <f>AER38+AES38</f>
        <v/>
      </c>
      <c r="AEU38" s="12">
        <f>ROUND(AET38*(1-'Sens - Annual Mix'!$A$14),0)</f>
        <v/>
      </c>
      <c r="AEV38" s="12">
        <f>AET38-AEU38</f>
        <v/>
      </c>
      <c r="AEW38" s="12">
        <f>ROUND(AEU38*EssentialMix,0)</f>
        <v/>
      </c>
      <c r="AEX38" s="12">
        <f>ROUND(AEU38*PremiumMix,0)</f>
        <v/>
      </c>
      <c r="AEY38" s="12">
        <f>AEU38-AEW38-AEX38</f>
        <v/>
      </c>
      <c r="AEZ38" s="12">
        <f>ROUND(AEV38*EssentialMix,0)</f>
        <v/>
      </c>
      <c r="AFA38" s="12">
        <f>ROUND(AEV38*PremiumMix,0)</f>
        <v/>
      </c>
      <c r="AFB38" s="12">
        <f>AEV38-AEZ38-AFA38</f>
        <v/>
      </c>
      <c r="AFC38" s="12">
        <f>AEW38+AEW37+AEW36+MAX(0,AFC37-AEW37-AEW36)*(1-AEP38)</f>
        <v/>
      </c>
      <c r="AFD38" s="12">
        <f>AEX38+AEX37+AEX36+MAX(0,AFD37-AEX37-AEX36)*(1-AEP38)</f>
        <v/>
      </c>
      <c r="AFE38" s="12">
        <f>AEY38+AEY37+AEY36+MAX(0,AFE37-AEY37-AEY36)*(1-AEP38)</f>
        <v/>
      </c>
      <c r="AFF38" s="12">
        <f>AFF37+AEZ38-AEZ26*(AnnualChurn*VLOOKUP(AEL38,ChurnSeasonTable,4,FALSE))*POWER(1-(AnnualChurn*VLOOKUP(AEL38,ChurnSeasonTable,4,FALSE)),0)+AEZ14*(AnnualChurn*VLOOKUP(AEL38,ChurnSeasonTable,4,FALSE))*POWER(1-(AnnualChurn*VLOOKUP(AEL38,ChurnSeasonTable,4,FALSE)),1)</f>
        <v/>
      </c>
      <c r="AFG38" s="12">
        <f>AFG37+AFA38-AFA26*(AnnualChurn*VLOOKUP(AEL38,ChurnSeasonTable,4,FALSE))*POWER(1-(AnnualChurn*VLOOKUP(AEL38,ChurnSeasonTable,4,FALSE)),0)+AFA14*(AnnualChurn*VLOOKUP(AEL38,ChurnSeasonTable,4,FALSE))*POWER(1-(AnnualChurn*VLOOKUP(AEL38,ChurnSeasonTable,4,FALSE)),1)</f>
        <v/>
      </c>
      <c r="AFH38" s="12">
        <f>AFH37+AFB38-AFB26*(AnnualChurn*VLOOKUP(AEL38,ChurnSeasonTable,4,FALSE))*POWER(1-(AnnualChurn*VLOOKUP(AEL38,ChurnSeasonTable,4,FALSE)),0)+AFB14*(AnnualChurn*VLOOKUP(AEL38,ChurnSeasonTable,4,FALSE))*POWER(1-(AnnualChurn*VLOOKUP(AEL38,ChurnSeasonTable,4,FALSE)),1)</f>
        <v/>
      </c>
      <c r="AFI38" s="12">
        <f>AFC38+AFD38+AFE38+AFF38+AFG38+AFH38</f>
        <v/>
      </c>
      <c r="AFJ38" s="9">
        <f>AFC38*BlendedPriceEssMonthly*AEO38+AFD38*BlendedPricePremMonthly*AEO38+AFE38*BlendedPriceEliteMonthly*AEO38+AFF38*BlendedPriceEssAnnual*AEO38/12+AFG38*BlendedPricePremAnnual*AEO38/12+AFH38*BlendedPriceEliteAnnual*AEO38/12</f>
        <v/>
      </c>
      <c r="AFK38" s="9">
        <f>AFJ38*12</f>
        <v/>
      </c>
      <c r="AFL38" s="12">
        <f>AFC38*BlendedPriceEssMonthly*AEO38+AFD38*BlendedPricePremMonthly*AEO38+AFE38*BlendedPriceEliteMonthly*AEO38</f>
        <v/>
      </c>
      <c r="AFM38" s="12">
        <f>AEZ38*BlendedPriceEssAnnual*AEO38+AFA38*BlendedPricePremAnnual*AEO38+AFB38*BlendedPriceEliteAnnual*AEO38</f>
        <v/>
      </c>
      <c r="AFN38" s="12">
        <f>AEZ26*POWER(1-(AnnualChurn*VLOOKUP(AEL38,ChurnSeasonTable,4,FALSE)),1)*BlendedPriceEssAnnual*AEO38+AEZ14*POWER(1-(AnnualChurn*VLOOKUP(AEL38,ChurnSeasonTable,4,FALSE)),2)*BlendedPriceEssAnnual*AEO38+AFA26*POWER(1-(AnnualChurn*VLOOKUP(AEL38,ChurnSeasonTable,4,FALSE)),1)*BlendedPricePremAnnual*AEO38+AFA14*POWER(1-(AnnualChurn*VLOOKUP(AEL38,ChurnSeasonTable,4,FALSE)),2)*BlendedPricePremAnnual*AEO38+AFB26*POWER(1-(AnnualChurn*VLOOKUP(AEL38,ChurnSeasonTable,4,FALSE)),1)*BlendedPriceEliteAnnual*AEO38+AFB14*POWER(1-(AnnualChurn*VLOOKUP(AEL38,ChurnSeasonTable,4,FALSE)),2)*BlendedPriceEliteAnnual*AEO38</f>
        <v/>
      </c>
      <c r="AFO38" s="9">
        <f>AFL38+AFM38+AFN38</f>
        <v/>
      </c>
      <c r="AFP38" s="12">
        <f>SUM(AFO27:AFO38)</f>
        <v/>
      </c>
      <c r="AFQ38" s="12">
        <f>OR(AFQ37,IF(VATAgentMode,SUM($AFO27:$AFO38)-SUM($AFV27:$AFV38)&gt;=VATThreshold,SUM($AFO27:$AFO38)&gt;=VATThreshold))</f>
        <v/>
      </c>
      <c r="AFR38" s="9">
        <f>IF(AFQ38,IF(VATAgentMode,AFO38-((AFO38-AFV38)-(AFO38-AFV38)/(1+VATRate)),AFO38/(1+VATRate)),AFO38)</f>
        <v/>
      </c>
      <c r="AFS38" s="12">
        <f>AFO38-AFR38</f>
        <v/>
      </c>
      <c r="AFT38" s="12">
        <f>IF(AFQ38=0,0,IF(AEL38=1,SUMPRODUCT(--(($AEM$5:$AEM38=$AEM38-1)*($AEL$5:$AEL38&gt;=10)*($AEL$5:$AEL38&lt;=12)),$AFS$5:$AFS38),IF(AEL38=4,SUMPRODUCT(--(($AEM$5:$AEM38=$AEM38)*($AEL$5:$AEL38&gt;=1)*($AEL$5:$AEL38&lt;=3)),$AFS$5:$AFS38),IF(AEL38=7,SUMPRODUCT(--(($AEM$5:$AEM38=$AEM38)*($AEL$5:$AEL38&gt;=4)*($AEL$5:$AEL38&lt;=6)),$AFS$5:$AFS38),IF(AEL38=10,SUMPRODUCT(--(($AEM$5:$AEM38=$AEM38)*($AEL$5:$AEL38&gt;=7)*($AEL$5:$AEL38&lt;=9)),$AFS$5:$AFS38),0)))))</f>
        <v/>
      </c>
      <c r="AFU38" s="12">
        <f>AFU37+AFS38-AFT38</f>
        <v/>
      </c>
      <c r="AFV38" s="12">
        <f>IF(ProviderDelay&gt;=1,AFC37*BlendedProvPayEss+AFD37*BlendedProvPayPrem+AFE37*BlendedProvPayElite+AFF37*BlendedProvPayEss+AFG37*BlendedProvPayPrem+AFH37*BlendedProvPayElite,AFC38*BlendedProvPayEss+AFD38*BlendedProvPayPrem+AFE38*BlendedProvPayElite+AFF38*BlendedProvPayEss+AFG38*BlendedProvPayPrem+AFH38*BlendedProvPayElite)</f>
        <v/>
      </c>
      <c r="AFW38" s="12">
        <f>AFO38*PaymentFee</f>
        <v/>
      </c>
      <c r="AFX38" s="12">
        <f>AFI38*OpsAI</f>
        <v/>
      </c>
      <c r="AFY38" s="12">
        <f>MonthlyFixed</f>
        <v/>
      </c>
      <c r="AFZ38" s="12">
        <f>AES38*ReferralReward</f>
        <v/>
      </c>
      <c r="AGA38" s="12">
        <f>AEQ38</f>
        <v/>
      </c>
      <c r="AGB38" s="9">
        <f>AFR38-AFV38-AFW38-AFX38-AFY38-AFZ38-AGA38</f>
        <v/>
      </c>
      <c r="AGC38" s="9">
        <f>AGC37+AFO38-(AFV38+AFW38+AFX38+AFY38+AFZ38+AGA38+AFT38)</f>
        <v/>
      </c>
      <c r="AGD38" s="12">
        <f>IF(AFI38&gt;0,AFJ38/AFI38,0)</f>
        <v/>
      </c>
      <c r="AGE38" s="11">
        <f>IF(AFI37&gt;0,MAX(0,(AFI37+AET38-AFI38)/AFI37),0)</f>
        <v/>
      </c>
      <c r="AGG38" s="12" t="n">
        <v>34</v>
      </c>
      <c r="AGH38" s="12">
        <f>MOD(AGG38-1+LaunchMonth-1,12)+1</f>
        <v/>
      </c>
      <c r="AGI38" s="12">
        <f>INT((AGG38-1+LaunchMonth-1)/12)+1</f>
        <v/>
      </c>
      <c r="AGJ38" s="12">
        <f>VLOOKUP(AGH38,SeasonTable,2,FALSE)</f>
        <v/>
      </c>
      <c r="AGK38" s="12">
        <f>(1+InflationRate)^INT((AGG38-1)/12)</f>
        <v/>
      </c>
      <c r="AGL38" s="11">
        <f>MonthlyChurn*VLOOKUP(AGH38,ChurnSeasonTable,4,FALSE)</f>
        <v/>
      </c>
      <c r="AGM38" s="12">
        <f>MIN(MAX(MktMin19plus,AHK37*MktPct19plus),MAX(0,AHY37-CashBuffer))</f>
        <v/>
      </c>
      <c r="AGN38" s="12">
        <f>IF(AGM38&gt;0,MAX(1,ROUND(AGM38/CAC*AGJ38,0)),0)</f>
        <v/>
      </c>
      <c r="AGO38" s="12">
        <f>IF(AGN38&gt;0,ROUND(AGN38*ReferralMix/(1-ReferralMix),0),0)</f>
        <v/>
      </c>
      <c r="AGP38" s="12">
        <f>AGN38+AGO38</f>
        <v/>
      </c>
      <c r="AGQ38" s="12">
        <f>ROUND(AGP38*(1-'Sens - Annual Mix'!$A$15),0)</f>
        <v/>
      </c>
      <c r="AGR38" s="12">
        <f>AGP38-AGQ38</f>
        <v/>
      </c>
      <c r="AGS38" s="12">
        <f>ROUND(AGQ38*EssentialMix,0)</f>
        <v/>
      </c>
      <c r="AGT38" s="12">
        <f>ROUND(AGQ38*PremiumMix,0)</f>
        <v/>
      </c>
      <c r="AGU38" s="12">
        <f>AGQ38-AGS38-AGT38</f>
        <v/>
      </c>
      <c r="AGV38" s="12">
        <f>ROUND(AGR38*EssentialMix,0)</f>
        <v/>
      </c>
      <c r="AGW38" s="12">
        <f>ROUND(AGR38*PremiumMix,0)</f>
        <v/>
      </c>
      <c r="AGX38" s="12">
        <f>AGR38-AGV38-AGW38</f>
        <v/>
      </c>
      <c r="AGY38" s="12">
        <f>AGS38+AGS37+AGS36+MAX(0,AGY37-AGS37-AGS36)*(1-AGL38)</f>
        <v/>
      </c>
      <c r="AGZ38" s="12">
        <f>AGT38+AGT37+AGT36+MAX(0,AGZ37-AGT37-AGT36)*(1-AGL38)</f>
        <v/>
      </c>
      <c r="AHA38" s="12">
        <f>AGU38+AGU37+AGU36+MAX(0,AHA37-AGU37-AGU36)*(1-AGL38)</f>
        <v/>
      </c>
      <c r="AHB38" s="12">
        <f>AHB37+AGV38-AGV26*(AnnualChurn*VLOOKUP(AGH38,ChurnSeasonTable,4,FALSE))*POWER(1-(AnnualChurn*VLOOKUP(AGH38,ChurnSeasonTable,4,FALSE)),0)+AGV14*(AnnualChurn*VLOOKUP(AGH38,ChurnSeasonTable,4,FALSE))*POWER(1-(AnnualChurn*VLOOKUP(AGH38,ChurnSeasonTable,4,FALSE)),1)</f>
        <v/>
      </c>
      <c r="AHC38" s="12">
        <f>AHC37+AGW38-AGW26*(AnnualChurn*VLOOKUP(AGH38,ChurnSeasonTable,4,FALSE))*POWER(1-(AnnualChurn*VLOOKUP(AGH38,ChurnSeasonTable,4,FALSE)),0)+AGW14*(AnnualChurn*VLOOKUP(AGH38,ChurnSeasonTable,4,FALSE))*POWER(1-(AnnualChurn*VLOOKUP(AGH38,ChurnSeasonTable,4,FALSE)),1)</f>
        <v/>
      </c>
      <c r="AHD38" s="12">
        <f>AHD37+AGX38-AGX26*(AnnualChurn*VLOOKUP(AGH38,ChurnSeasonTable,4,FALSE))*POWER(1-(AnnualChurn*VLOOKUP(AGH38,ChurnSeasonTable,4,FALSE)),0)+AGX14*(AnnualChurn*VLOOKUP(AGH38,ChurnSeasonTable,4,FALSE))*POWER(1-(AnnualChurn*VLOOKUP(AGH38,ChurnSeasonTable,4,FALSE)),1)</f>
        <v/>
      </c>
      <c r="AHE38" s="12">
        <f>AGY38+AGZ38+AHA38+AHB38+AHC38+AHD38</f>
        <v/>
      </c>
      <c r="AHF38" s="9">
        <f>AGY38*BlendedPriceEssMonthly*AGK38+AGZ38*BlendedPricePremMonthly*AGK38+AHA38*BlendedPriceEliteMonthly*AGK38+AHB38*BlendedPriceEssAnnual*AGK38/12+AHC38*BlendedPricePremAnnual*AGK38/12+AHD38*BlendedPriceEliteAnnual*AGK38/12</f>
        <v/>
      </c>
      <c r="AHG38" s="9">
        <f>AHF38*12</f>
        <v/>
      </c>
      <c r="AHH38" s="12">
        <f>AGY38*BlendedPriceEssMonthly*AGK38+AGZ38*BlendedPricePremMonthly*AGK38+AHA38*BlendedPriceEliteMonthly*AGK38</f>
        <v/>
      </c>
      <c r="AHI38" s="12">
        <f>AGV38*BlendedPriceEssAnnual*AGK38+AGW38*BlendedPricePremAnnual*AGK38+AGX38*BlendedPriceEliteAnnual*AGK38</f>
        <v/>
      </c>
      <c r="AHJ38" s="12">
        <f>AGV26*POWER(1-(AnnualChurn*VLOOKUP(AGH38,ChurnSeasonTable,4,FALSE)),1)*BlendedPriceEssAnnual*AGK38+AGV14*POWER(1-(AnnualChurn*VLOOKUP(AGH38,ChurnSeasonTable,4,FALSE)),2)*BlendedPriceEssAnnual*AGK38+AGW26*POWER(1-(AnnualChurn*VLOOKUP(AGH38,ChurnSeasonTable,4,FALSE)),1)*BlendedPricePremAnnual*AGK38+AGW14*POWER(1-(AnnualChurn*VLOOKUP(AGH38,ChurnSeasonTable,4,FALSE)),2)*BlendedPricePremAnnual*AGK38+AGX26*POWER(1-(AnnualChurn*VLOOKUP(AGH38,ChurnSeasonTable,4,FALSE)),1)*BlendedPriceEliteAnnual*AGK38+AGX14*POWER(1-(AnnualChurn*VLOOKUP(AGH38,ChurnSeasonTable,4,FALSE)),2)*BlendedPriceEliteAnnual*AGK38</f>
        <v/>
      </c>
      <c r="AHK38" s="9">
        <f>AHH38+AHI38+AHJ38</f>
        <v/>
      </c>
      <c r="AHL38" s="12">
        <f>SUM(AHK27:AHK38)</f>
        <v/>
      </c>
      <c r="AHM38" s="12">
        <f>OR(AHM37,IF(VATAgentMode,SUM($AHK27:$AHK38)-SUM($AHR27:$AHR38)&gt;=VATThreshold,SUM($AHK27:$AHK38)&gt;=VATThreshold))</f>
        <v/>
      </c>
      <c r="AHN38" s="9">
        <f>IF(AHM38,IF(VATAgentMode,AHK38-((AHK38-AHR38)-(AHK38-AHR38)/(1+VATRate)),AHK38/(1+VATRate)),AHK38)</f>
        <v/>
      </c>
      <c r="AHO38" s="12">
        <f>AHK38-AHN38</f>
        <v/>
      </c>
      <c r="AHP38" s="12">
        <f>IF(AHM38=0,0,IF(AGH38=1,SUMPRODUCT(--(($AGI$5:$AGI38=$AGI38-1)*($AGH$5:$AGH38&gt;=10)*($AGH$5:$AGH38&lt;=12)),$AHO$5:$AHO38),IF(AGH38=4,SUMPRODUCT(--(($AGI$5:$AGI38=$AGI38)*($AGH$5:$AGH38&gt;=1)*($AGH$5:$AGH38&lt;=3)),$AHO$5:$AHO38),IF(AGH38=7,SUMPRODUCT(--(($AGI$5:$AGI38=$AGI38)*($AGH$5:$AGH38&gt;=4)*($AGH$5:$AGH38&lt;=6)),$AHO$5:$AHO38),IF(AGH38=10,SUMPRODUCT(--(($AGI$5:$AGI38=$AGI38)*($AGH$5:$AGH38&gt;=7)*($AGH$5:$AGH38&lt;=9)),$AHO$5:$AHO38),0)))))</f>
        <v/>
      </c>
      <c r="AHQ38" s="12">
        <f>AHQ37+AHO38-AHP38</f>
        <v/>
      </c>
      <c r="AHR38" s="12">
        <f>IF(ProviderDelay&gt;=1,AGY37*BlendedProvPayEss+AGZ37*BlendedProvPayPrem+AHA37*BlendedProvPayElite+AHB37*BlendedProvPayEss+AHC37*BlendedProvPayPrem+AHD37*BlendedProvPayElite,AGY38*BlendedProvPayEss+AGZ38*BlendedProvPayPrem+AHA38*BlendedProvPayElite+AHB38*BlendedProvPayEss+AHC38*BlendedProvPayPrem+AHD38*BlendedProvPayElite)</f>
        <v/>
      </c>
      <c r="AHS38" s="12">
        <f>AHK38*PaymentFee</f>
        <v/>
      </c>
      <c r="AHT38" s="12">
        <f>AHE38*OpsAI</f>
        <v/>
      </c>
      <c r="AHU38" s="12">
        <f>MonthlyFixed</f>
        <v/>
      </c>
      <c r="AHV38" s="12">
        <f>AGO38*ReferralReward</f>
        <v/>
      </c>
      <c r="AHW38" s="12">
        <f>AGM38</f>
        <v/>
      </c>
      <c r="AHX38" s="9">
        <f>AHN38-AHR38-AHS38-AHT38-AHU38-AHV38-AHW38</f>
        <v/>
      </c>
      <c r="AHY38" s="9">
        <f>AHY37+AHK38-(AHR38+AHS38+AHT38+AHU38+AHV38+AHW38+AHP38)</f>
        <v/>
      </c>
      <c r="AHZ38" s="12">
        <f>IF(AHE38&gt;0,AHF38/AHE38,0)</f>
        <v/>
      </c>
      <c r="AIA38" s="11">
        <f>IF(AHE37&gt;0,MAX(0,(AHE37+AGP38-AHE38)/AHE37),0)</f>
        <v/>
      </c>
      <c r="AIC38" s="12" t="n">
        <v>34</v>
      </c>
      <c r="AID38" s="12">
        <f>MOD(AIC38-1+LaunchMonth-1,12)+1</f>
        <v/>
      </c>
      <c r="AIE38" s="12">
        <f>INT((AIC38-1+LaunchMonth-1)/12)+1</f>
        <v/>
      </c>
      <c r="AIF38" s="12">
        <f>VLOOKUP(AID38,SeasonTable,2,FALSE)</f>
        <v/>
      </c>
      <c r="AIG38" s="12">
        <f>(1+InflationRate)^INT((AIC38-1)/12)</f>
        <v/>
      </c>
      <c r="AIH38" s="11">
        <f>MonthlyChurn*VLOOKUP(AID38,ChurnSeasonTable,4,FALSE)</f>
        <v/>
      </c>
      <c r="AII38" s="12">
        <f>MIN(MAX(MktMin19plus,AJG37*MktPct19plus),MAX(0,AJU37-CashBuffer))</f>
        <v/>
      </c>
      <c r="AIJ38" s="12">
        <f>IF(AII38&gt;0,MAX(1,ROUND(AII38/'Sens - CAC &amp; Marketing'!$A$9*AIF38,0)),0)</f>
        <v/>
      </c>
      <c r="AIK38" s="12">
        <f>IF(AIJ38&gt;0,ROUND(AIJ38*ReferralMix/(1-ReferralMix),0),0)</f>
        <v/>
      </c>
      <c r="AIL38" s="12">
        <f>AIJ38+AIK38</f>
        <v/>
      </c>
      <c r="AIM38" s="12">
        <f>ROUND(AIL38*(1-AnnualMix),0)</f>
        <v/>
      </c>
      <c r="AIN38" s="12">
        <f>AIL38-AIM38</f>
        <v/>
      </c>
      <c r="AIO38" s="12">
        <f>ROUND(AIM38*EssentialMix,0)</f>
        <v/>
      </c>
      <c r="AIP38" s="12">
        <f>ROUND(AIM38*PremiumMix,0)</f>
        <v/>
      </c>
      <c r="AIQ38" s="12">
        <f>AIM38-AIO38-AIP38</f>
        <v/>
      </c>
      <c r="AIR38" s="12">
        <f>ROUND(AIN38*EssentialMix,0)</f>
        <v/>
      </c>
      <c r="AIS38" s="12">
        <f>ROUND(AIN38*PremiumMix,0)</f>
        <v/>
      </c>
      <c r="AIT38" s="12">
        <f>AIN38-AIR38-AIS38</f>
        <v/>
      </c>
      <c r="AIU38" s="12">
        <f>AIO38+AIO37+AIO36+MAX(0,AIU37-AIO37-AIO36)*(1-AIH38)</f>
        <v/>
      </c>
      <c r="AIV38" s="12">
        <f>AIP38+AIP37+AIP36+MAX(0,AIV37-AIP37-AIP36)*(1-AIH38)</f>
        <v/>
      </c>
      <c r="AIW38" s="12">
        <f>AIQ38+AIQ37+AIQ36+MAX(0,AIW37-AIQ37-AIQ36)*(1-AIH38)</f>
        <v/>
      </c>
      <c r="AIX38" s="12">
        <f>AIX37+AIR38-AIR26*(AnnualChurn*VLOOKUP(AID38,ChurnSeasonTable,4,FALSE))*POWER(1-(AnnualChurn*VLOOKUP(AID38,ChurnSeasonTable,4,FALSE)),0)+AIR14*(AnnualChurn*VLOOKUP(AID38,ChurnSeasonTable,4,FALSE))*POWER(1-(AnnualChurn*VLOOKUP(AID38,ChurnSeasonTable,4,FALSE)),1)</f>
        <v/>
      </c>
      <c r="AIY38" s="12">
        <f>AIY37+AIS38-AIS26*(AnnualChurn*VLOOKUP(AID38,ChurnSeasonTable,4,FALSE))*POWER(1-(AnnualChurn*VLOOKUP(AID38,ChurnSeasonTable,4,FALSE)),0)+AIS14*(AnnualChurn*VLOOKUP(AID38,ChurnSeasonTable,4,FALSE))*POWER(1-(AnnualChurn*VLOOKUP(AID38,ChurnSeasonTable,4,FALSE)),1)</f>
        <v/>
      </c>
      <c r="AIZ38" s="12">
        <f>AIZ37+AIT38-AIT26*(AnnualChurn*VLOOKUP(AID38,ChurnSeasonTable,4,FALSE))*POWER(1-(AnnualChurn*VLOOKUP(AID38,ChurnSeasonTable,4,FALSE)),0)+AIT14*(AnnualChurn*VLOOKUP(AID38,ChurnSeasonTable,4,FALSE))*POWER(1-(AnnualChurn*VLOOKUP(AID38,ChurnSeasonTable,4,FALSE)),1)</f>
        <v/>
      </c>
      <c r="AJA38" s="12">
        <f>AIU38+AIV38+AIW38+AIX38+AIY38+AIZ38</f>
        <v/>
      </c>
      <c r="AJB38" s="9">
        <f>AIU38*BlendedPriceEssMonthly*AIG38+AIV38*BlendedPricePremMonthly*AIG38+AIW38*BlendedPriceEliteMonthly*AIG38+AIX38*BlendedPriceEssAnnual*AIG38/12+AIY38*BlendedPricePremAnnual*AIG38/12+AIZ38*BlendedPriceEliteAnnual*AIG38/12</f>
        <v/>
      </c>
      <c r="AJC38" s="9">
        <f>AJB38*12</f>
        <v/>
      </c>
      <c r="AJD38" s="12">
        <f>AIU38*BlendedPriceEssMonthly*AIG38+AIV38*BlendedPricePremMonthly*AIG38+AIW38*BlendedPriceEliteMonthly*AIG38</f>
        <v/>
      </c>
      <c r="AJE38" s="12">
        <f>AIR38*BlendedPriceEssAnnual*AIG38+AIS38*BlendedPricePremAnnual*AIG38+AIT38*BlendedPriceEliteAnnual*AIG38</f>
        <v/>
      </c>
      <c r="AJF38" s="12">
        <f>AIR26*POWER(1-(AnnualChurn*VLOOKUP(AID38,ChurnSeasonTable,4,FALSE)),1)*BlendedPriceEssAnnual*AIG38+AIR14*POWER(1-(AnnualChurn*VLOOKUP(AID38,ChurnSeasonTable,4,FALSE)),2)*BlendedPriceEssAnnual*AIG38+AIS26*POWER(1-(AnnualChurn*VLOOKUP(AID38,ChurnSeasonTable,4,FALSE)),1)*BlendedPricePremAnnual*AIG38+AIS14*POWER(1-(AnnualChurn*VLOOKUP(AID38,ChurnSeasonTable,4,FALSE)),2)*BlendedPricePremAnnual*AIG38+AIT26*POWER(1-(AnnualChurn*VLOOKUP(AID38,ChurnSeasonTable,4,FALSE)),1)*BlendedPriceEliteAnnual*AIG38+AIT14*POWER(1-(AnnualChurn*VLOOKUP(AID38,ChurnSeasonTable,4,FALSE)),2)*BlendedPriceEliteAnnual*AIG38</f>
        <v/>
      </c>
      <c r="AJG38" s="9">
        <f>AJD38+AJE38+AJF38</f>
        <v/>
      </c>
      <c r="AJH38" s="12">
        <f>SUM(AJG27:AJG38)</f>
        <v/>
      </c>
      <c r="AJI38" s="12">
        <f>OR(AJI37,IF(VATAgentMode,SUM($AJG27:$AJG38)-SUM($AJN27:$AJN38)&gt;=VATThreshold,SUM($AJG27:$AJG38)&gt;=VATThreshold))</f>
        <v/>
      </c>
      <c r="AJJ38" s="9">
        <f>IF(AJI38,IF(VATAgentMode,AJG38-((AJG38-AJN38)-(AJG38-AJN38)/(1+VATRate)),AJG38/(1+VATRate)),AJG38)</f>
        <v/>
      </c>
      <c r="AJK38" s="12">
        <f>AJG38-AJJ38</f>
        <v/>
      </c>
      <c r="AJL38" s="12">
        <f>IF(AJI38=0,0,IF(AID38=1,SUMPRODUCT(--(($AIE$5:$AIE38=$AIE38-1)*($AID$5:$AID38&gt;=10)*($AID$5:$AID38&lt;=12)),$AJK$5:$AJK38),IF(AID38=4,SUMPRODUCT(--(($AIE$5:$AIE38=$AIE38)*($AID$5:$AID38&gt;=1)*($AID$5:$AID38&lt;=3)),$AJK$5:$AJK38),IF(AID38=7,SUMPRODUCT(--(($AIE$5:$AIE38=$AIE38)*($AID$5:$AID38&gt;=4)*($AID$5:$AID38&lt;=6)),$AJK$5:$AJK38),IF(AID38=10,SUMPRODUCT(--(($AIE$5:$AIE38=$AIE38)*($AID$5:$AID38&gt;=7)*($AID$5:$AID38&lt;=9)),$AJK$5:$AJK38),0)))))</f>
        <v/>
      </c>
      <c r="AJM38" s="12">
        <f>AJM37+AJK38-AJL38</f>
        <v/>
      </c>
      <c r="AJN38" s="12">
        <f>IF(ProviderDelay&gt;=1,AIU37*BlendedProvPayEss+AIV37*BlendedProvPayPrem+AIW37*BlendedProvPayElite+AIX37*BlendedProvPayEss+AIY37*BlendedProvPayPrem+AIZ37*BlendedProvPayElite,AIU38*BlendedProvPayEss+AIV38*BlendedProvPayPrem+AIW38*BlendedProvPayElite+AIX38*BlendedProvPayEss+AIY38*BlendedProvPayPrem+AIZ38*BlendedProvPayElite)</f>
        <v/>
      </c>
      <c r="AJO38" s="12">
        <f>AJG38*PaymentFee</f>
        <v/>
      </c>
      <c r="AJP38" s="12">
        <f>AJA38*OpsAI</f>
        <v/>
      </c>
      <c r="AJQ38" s="12">
        <f>MonthlyFixed</f>
        <v/>
      </c>
      <c r="AJR38" s="12">
        <f>AIK38*ReferralReward</f>
        <v/>
      </c>
      <c r="AJS38" s="12">
        <f>AII38</f>
        <v/>
      </c>
      <c r="AJT38" s="9">
        <f>AJJ38-AJN38-AJO38-AJP38-AJQ38-AJR38-AJS38</f>
        <v/>
      </c>
      <c r="AJU38" s="9">
        <f>AJU37+AJG38-(AJN38+AJO38+AJP38+AJQ38+AJR38+AJS38+AJL38)</f>
        <v/>
      </c>
      <c r="AJV38" s="12">
        <f>IF(AJA38&gt;0,AJB38/AJA38,0)</f>
        <v/>
      </c>
      <c r="AJW38" s="11">
        <f>IF(AJA37&gt;0,MAX(0,(AJA37+AIL38-AJA38)/AJA37),0)</f>
        <v/>
      </c>
      <c r="AJY38" s="12" t="n">
        <v>34</v>
      </c>
      <c r="AJZ38" s="12">
        <f>MOD(AJY38-1+LaunchMonth-1,12)+1</f>
        <v/>
      </c>
      <c r="AKA38" s="12">
        <f>INT((AJY38-1+LaunchMonth-1)/12)+1</f>
        <v/>
      </c>
      <c r="AKB38" s="12">
        <f>VLOOKUP(AJZ38,SeasonTable,2,FALSE)</f>
        <v/>
      </c>
      <c r="AKC38" s="12">
        <f>(1+InflationRate)^INT((AJY38-1)/12)</f>
        <v/>
      </c>
      <c r="AKD38" s="11">
        <f>MonthlyChurn*VLOOKUP(AJZ38,ChurnSeasonTable,4,FALSE)</f>
        <v/>
      </c>
      <c r="AKE38" s="12">
        <f>MIN(MAX(MktMin19plus,ALC37*MktPct19plus),MAX(0,ALQ37-CashBuffer))</f>
        <v/>
      </c>
      <c r="AKF38" s="12">
        <f>IF(AKE38&gt;0,MAX(1,ROUND(AKE38/'Sens - CAC &amp; Marketing'!$A$10*AKB38,0)),0)</f>
        <v/>
      </c>
      <c r="AKG38" s="12">
        <f>IF(AKF38&gt;0,ROUND(AKF38*ReferralMix/(1-ReferralMix),0),0)</f>
        <v/>
      </c>
      <c r="AKH38" s="12">
        <f>AKF38+AKG38</f>
        <v/>
      </c>
      <c r="AKI38" s="12">
        <f>ROUND(AKH38*(1-AnnualMix),0)</f>
        <v/>
      </c>
      <c r="AKJ38" s="12">
        <f>AKH38-AKI38</f>
        <v/>
      </c>
      <c r="AKK38" s="12">
        <f>ROUND(AKI38*EssentialMix,0)</f>
        <v/>
      </c>
      <c r="AKL38" s="12">
        <f>ROUND(AKI38*PremiumMix,0)</f>
        <v/>
      </c>
      <c r="AKM38" s="12">
        <f>AKI38-AKK38-AKL38</f>
        <v/>
      </c>
      <c r="AKN38" s="12">
        <f>ROUND(AKJ38*EssentialMix,0)</f>
        <v/>
      </c>
      <c r="AKO38" s="12">
        <f>ROUND(AKJ38*PremiumMix,0)</f>
        <v/>
      </c>
      <c r="AKP38" s="12">
        <f>AKJ38-AKN38-AKO38</f>
        <v/>
      </c>
      <c r="AKQ38" s="12">
        <f>AKK38+AKK37+AKK36+MAX(0,AKQ37-AKK37-AKK36)*(1-AKD38)</f>
        <v/>
      </c>
      <c r="AKR38" s="12">
        <f>AKL38+AKL37+AKL36+MAX(0,AKR37-AKL37-AKL36)*(1-AKD38)</f>
        <v/>
      </c>
      <c r="AKS38" s="12">
        <f>AKM38+AKM37+AKM36+MAX(0,AKS37-AKM37-AKM36)*(1-AKD38)</f>
        <v/>
      </c>
      <c r="AKT38" s="12">
        <f>AKT37+AKN38-AKN26*(AnnualChurn*VLOOKUP(AJZ38,ChurnSeasonTable,4,FALSE))*POWER(1-(AnnualChurn*VLOOKUP(AJZ38,ChurnSeasonTable,4,FALSE)),0)+AKN14*(AnnualChurn*VLOOKUP(AJZ38,ChurnSeasonTable,4,FALSE))*POWER(1-(AnnualChurn*VLOOKUP(AJZ38,ChurnSeasonTable,4,FALSE)),1)</f>
        <v/>
      </c>
      <c r="AKU38" s="12">
        <f>AKU37+AKO38-AKO26*(AnnualChurn*VLOOKUP(AJZ38,ChurnSeasonTable,4,FALSE))*POWER(1-(AnnualChurn*VLOOKUP(AJZ38,ChurnSeasonTable,4,FALSE)),0)+AKO14*(AnnualChurn*VLOOKUP(AJZ38,ChurnSeasonTable,4,FALSE))*POWER(1-(AnnualChurn*VLOOKUP(AJZ38,ChurnSeasonTable,4,FALSE)),1)</f>
        <v/>
      </c>
      <c r="AKV38" s="12">
        <f>AKV37+AKP38-AKP26*(AnnualChurn*VLOOKUP(AJZ38,ChurnSeasonTable,4,FALSE))*POWER(1-(AnnualChurn*VLOOKUP(AJZ38,ChurnSeasonTable,4,FALSE)),0)+AKP14*(AnnualChurn*VLOOKUP(AJZ38,ChurnSeasonTable,4,FALSE))*POWER(1-(AnnualChurn*VLOOKUP(AJZ38,ChurnSeasonTable,4,FALSE)),1)</f>
        <v/>
      </c>
      <c r="AKW38" s="12">
        <f>AKQ38+AKR38+AKS38+AKT38+AKU38+AKV38</f>
        <v/>
      </c>
      <c r="AKX38" s="9">
        <f>AKQ38*BlendedPriceEssMonthly*AKC38+AKR38*BlendedPricePremMonthly*AKC38+AKS38*BlendedPriceEliteMonthly*AKC38+AKT38*BlendedPriceEssAnnual*AKC38/12+AKU38*BlendedPricePremAnnual*AKC38/12+AKV38*BlendedPriceEliteAnnual*AKC38/12</f>
        <v/>
      </c>
      <c r="AKY38" s="9">
        <f>AKX38*12</f>
        <v/>
      </c>
      <c r="AKZ38" s="12">
        <f>AKQ38*BlendedPriceEssMonthly*AKC38+AKR38*BlendedPricePremMonthly*AKC38+AKS38*BlendedPriceEliteMonthly*AKC38</f>
        <v/>
      </c>
      <c r="ALA38" s="12">
        <f>AKN38*BlendedPriceEssAnnual*AKC38+AKO38*BlendedPricePremAnnual*AKC38+AKP38*BlendedPriceEliteAnnual*AKC38</f>
        <v/>
      </c>
      <c r="ALB38" s="12">
        <f>AKN26*POWER(1-(AnnualChurn*VLOOKUP(AJZ38,ChurnSeasonTable,4,FALSE)),1)*BlendedPriceEssAnnual*AKC38+AKN14*POWER(1-(AnnualChurn*VLOOKUP(AJZ38,ChurnSeasonTable,4,FALSE)),2)*BlendedPriceEssAnnual*AKC38+AKO26*POWER(1-(AnnualChurn*VLOOKUP(AJZ38,ChurnSeasonTable,4,FALSE)),1)*BlendedPricePremAnnual*AKC38+AKO14*POWER(1-(AnnualChurn*VLOOKUP(AJZ38,ChurnSeasonTable,4,FALSE)),2)*BlendedPricePremAnnual*AKC38+AKP26*POWER(1-(AnnualChurn*VLOOKUP(AJZ38,ChurnSeasonTable,4,FALSE)),1)*BlendedPriceEliteAnnual*AKC38+AKP14*POWER(1-(AnnualChurn*VLOOKUP(AJZ38,ChurnSeasonTable,4,FALSE)),2)*BlendedPriceEliteAnnual*AKC38</f>
        <v/>
      </c>
      <c r="ALC38" s="9">
        <f>AKZ38+ALA38+ALB38</f>
        <v/>
      </c>
      <c r="ALD38" s="12">
        <f>SUM(ALC27:ALC38)</f>
        <v/>
      </c>
      <c r="ALE38" s="12">
        <f>OR(ALE37,IF(VATAgentMode,SUM($ALC27:$ALC38)-SUM($ALJ27:$ALJ38)&gt;=VATThreshold,SUM($ALC27:$ALC38)&gt;=VATThreshold))</f>
        <v/>
      </c>
      <c r="ALF38" s="9">
        <f>IF(ALE38,IF(VATAgentMode,ALC38-((ALC38-ALJ38)-(ALC38-ALJ38)/(1+VATRate)),ALC38/(1+VATRate)),ALC38)</f>
        <v/>
      </c>
      <c r="ALG38" s="12">
        <f>ALC38-ALF38</f>
        <v/>
      </c>
      <c r="ALH38" s="12">
        <f>IF(ALE38=0,0,IF(AJZ38=1,SUMPRODUCT(--(($AKA$5:$AKA38=$AKA38-1)*($AJZ$5:$AJZ38&gt;=10)*($AJZ$5:$AJZ38&lt;=12)),$ALG$5:$ALG38),IF(AJZ38=4,SUMPRODUCT(--(($AKA$5:$AKA38=$AKA38)*($AJZ$5:$AJZ38&gt;=1)*($AJZ$5:$AJZ38&lt;=3)),$ALG$5:$ALG38),IF(AJZ38=7,SUMPRODUCT(--(($AKA$5:$AKA38=$AKA38)*($AJZ$5:$AJZ38&gt;=4)*($AJZ$5:$AJZ38&lt;=6)),$ALG$5:$ALG38),IF(AJZ38=10,SUMPRODUCT(--(($AKA$5:$AKA38=$AKA38)*($AJZ$5:$AJZ38&gt;=7)*($AJZ$5:$AJZ38&lt;=9)),$ALG$5:$ALG38),0)))))</f>
        <v/>
      </c>
      <c r="ALI38" s="12">
        <f>ALI37+ALG38-ALH38</f>
        <v/>
      </c>
      <c r="ALJ38" s="12">
        <f>IF(ProviderDelay&gt;=1,AKQ37*BlendedProvPayEss+AKR37*BlendedProvPayPrem+AKS37*BlendedProvPayElite+AKT37*BlendedProvPayEss+AKU37*BlendedProvPayPrem+AKV37*BlendedProvPayElite,AKQ38*BlendedProvPayEss+AKR38*BlendedProvPayPrem+AKS38*BlendedProvPayElite+AKT38*BlendedProvPayEss+AKU38*BlendedProvPayPrem+AKV38*BlendedProvPayElite)</f>
        <v/>
      </c>
      <c r="ALK38" s="12">
        <f>ALC38*PaymentFee</f>
        <v/>
      </c>
      <c r="ALL38" s="12">
        <f>AKW38*OpsAI</f>
        <v/>
      </c>
      <c r="ALM38" s="12">
        <f>MonthlyFixed</f>
        <v/>
      </c>
      <c r="ALN38" s="12">
        <f>AKG38*ReferralReward</f>
        <v/>
      </c>
      <c r="ALO38" s="12">
        <f>AKE38</f>
        <v/>
      </c>
      <c r="ALP38" s="9">
        <f>ALF38-ALJ38-ALK38-ALL38-ALM38-ALN38-ALO38</f>
        <v/>
      </c>
      <c r="ALQ38" s="9">
        <f>ALQ37+ALC38-(ALJ38+ALK38+ALL38+ALM38+ALN38+ALO38+ALH38)</f>
        <v/>
      </c>
      <c r="ALR38" s="12">
        <f>IF(AKW38&gt;0,AKX38/AKW38,0)</f>
        <v/>
      </c>
      <c r="ALS38" s="11">
        <f>IF(AKW37&gt;0,MAX(0,(AKW37+AKH38-AKW38)/AKW37),0)</f>
        <v/>
      </c>
      <c r="ALU38" s="12" t="n">
        <v>34</v>
      </c>
      <c r="ALV38" s="12">
        <f>MOD(ALU38-1+LaunchMonth-1,12)+1</f>
        <v/>
      </c>
      <c r="ALW38" s="12">
        <f>INT((ALU38-1+LaunchMonth-1)/12)+1</f>
        <v/>
      </c>
      <c r="ALX38" s="12">
        <f>VLOOKUP(ALV38,SeasonTable,2,FALSE)</f>
        <v/>
      </c>
      <c r="ALY38" s="12">
        <f>(1+InflationRate)^INT((ALU38-1)/12)</f>
        <v/>
      </c>
      <c r="ALZ38" s="11">
        <f>MonthlyChurn*VLOOKUP(ALV38,ChurnSeasonTable,4,FALSE)</f>
        <v/>
      </c>
      <c r="AMA38" s="12">
        <f>MIN(MAX(MktMin19plus,AMY37*MktPct19plus),MAX(0,ANM37-CashBuffer))</f>
        <v/>
      </c>
      <c r="AMB38" s="12">
        <f>IF(AMA38&gt;0,MAX(1,ROUND(AMA38/'Sens - CAC &amp; Marketing'!$A$11*ALX38,0)),0)</f>
        <v/>
      </c>
      <c r="AMC38" s="12">
        <f>IF(AMB38&gt;0,ROUND(AMB38*ReferralMix/(1-ReferralMix),0),0)</f>
        <v/>
      </c>
      <c r="AMD38" s="12">
        <f>AMB38+AMC38</f>
        <v/>
      </c>
      <c r="AME38" s="12">
        <f>ROUND(AMD38*(1-AnnualMix),0)</f>
        <v/>
      </c>
      <c r="AMF38" s="12">
        <f>AMD38-AME38</f>
        <v/>
      </c>
      <c r="AMG38" s="12">
        <f>ROUND(AME38*EssentialMix,0)</f>
        <v/>
      </c>
      <c r="AMH38" s="12">
        <f>ROUND(AME38*PremiumMix,0)</f>
        <v/>
      </c>
      <c r="AMI38" s="12">
        <f>AME38-AMG38-AMH38</f>
        <v/>
      </c>
      <c r="AMJ38" s="12">
        <f>ROUND(AMF38*EssentialMix,0)</f>
        <v/>
      </c>
      <c r="AMK38" s="12">
        <f>ROUND(AMF38*PremiumMix,0)</f>
        <v/>
      </c>
      <c r="AML38" s="12">
        <f>AMF38-AMJ38-AMK38</f>
        <v/>
      </c>
      <c r="AMM38" s="12">
        <f>AMG38+AMG37+AMG36+MAX(0,AMM37-AMG37-AMG36)*(1-ALZ38)</f>
        <v/>
      </c>
      <c r="AMN38" s="12">
        <f>AMH38+AMH37+AMH36+MAX(0,AMN37-AMH37-AMH36)*(1-ALZ38)</f>
        <v/>
      </c>
      <c r="AMO38" s="12">
        <f>AMI38+AMI37+AMI36+MAX(0,AMO37-AMI37-AMI36)*(1-ALZ38)</f>
        <v/>
      </c>
      <c r="AMP38" s="12">
        <f>AMP37+AMJ38-AMJ26*(AnnualChurn*VLOOKUP(ALV38,ChurnSeasonTable,4,FALSE))*POWER(1-(AnnualChurn*VLOOKUP(ALV38,ChurnSeasonTable,4,FALSE)),0)+AMJ14*(AnnualChurn*VLOOKUP(ALV38,ChurnSeasonTable,4,FALSE))*POWER(1-(AnnualChurn*VLOOKUP(ALV38,ChurnSeasonTable,4,FALSE)),1)</f>
        <v/>
      </c>
      <c r="AMQ38" s="12">
        <f>AMQ37+AMK38-AMK26*(AnnualChurn*VLOOKUP(ALV38,ChurnSeasonTable,4,FALSE))*POWER(1-(AnnualChurn*VLOOKUP(ALV38,ChurnSeasonTable,4,FALSE)),0)+AMK14*(AnnualChurn*VLOOKUP(ALV38,ChurnSeasonTable,4,FALSE))*POWER(1-(AnnualChurn*VLOOKUP(ALV38,ChurnSeasonTable,4,FALSE)),1)</f>
        <v/>
      </c>
      <c r="AMR38" s="12">
        <f>AMR37+AML38-AML26*(AnnualChurn*VLOOKUP(ALV38,ChurnSeasonTable,4,FALSE))*POWER(1-(AnnualChurn*VLOOKUP(ALV38,ChurnSeasonTable,4,FALSE)),0)+AML14*(AnnualChurn*VLOOKUP(ALV38,ChurnSeasonTable,4,FALSE))*POWER(1-(AnnualChurn*VLOOKUP(ALV38,ChurnSeasonTable,4,FALSE)),1)</f>
        <v/>
      </c>
      <c r="AMS38" s="12">
        <f>AMM38+AMN38+AMO38+AMP38+AMQ38+AMR38</f>
        <v/>
      </c>
      <c r="AMT38" s="9">
        <f>AMM38*BlendedPriceEssMonthly*ALY38+AMN38*BlendedPricePremMonthly*ALY38+AMO38*BlendedPriceEliteMonthly*ALY38+AMP38*BlendedPriceEssAnnual*ALY38/12+AMQ38*BlendedPricePremAnnual*ALY38/12+AMR38*BlendedPriceEliteAnnual*ALY38/12</f>
        <v/>
      </c>
      <c r="AMU38" s="9">
        <f>AMT38*12</f>
        <v/>
      </c>
      <c r="AMV38" s="12">
        <f>AMM38*BlendedPriceEssMonthly*ALY38+AMN38*BlendedPricePremMonthly*ALY38+AMO38*BlendedPriceEliteMonthly*ALY38</f>
        <v/>
      </c>
      <c r="AMW38" s="12">
        <f>AMJ38*BlendedPriceEssAnnual*ALY38+AMK38*BlendedPricePremAnnual*ALY38+AML38*BlendedPriceEliteAnnual*ALY38</f>
        <v/>
      </c>
      <c r="AMX38" s="12">
        <f>AMJ26*POWER(1-(AnnualChurn*VLOOKUP(ALV38,ChurnSeasonTable,4,FALSE)),1)*BlendedPriceEssAnnual*ALY38+AMJ14*POWER(1-(AnnualChurn*VLOOKUP(ALV38,ChurnSeasonTable,4,FALSE)),2)*BlendedPriceEssAnnual*ALY38+AMK26*POWER(1-(AnnualChurn*VLOOKUP(ALV38,ChurnSeasonTable,4,FALSE)),1)*BlendedPricePremAnnual*ALY38+AMK14*POWER(1-(AnnualChurn*VLOOKUP(ALV38,ChurnSeasonTable,4,FALSE)),2)*BlendedPricePremAnnual*ALY38+AML26*POWER(1-(AnnualChurn*VLOOKUP(ALV38,ChurnSeasonTable,4,FALSE)),1)*BlendedPriceEliteAnnual*ALY38+AML14*POWER(1-(AnnualChurn*VLOOKUP(ALV38,ChurnSeasonTable,4,FALSE)),2)*BlendedPriceEliteAnnual*ALY38</f>
        <v/>
      </c>
      <c r="AMY38" s="9">
        <f>AMV38+AMW38+AMX38</f>
        <v/>
      </c>
      <c r="AMZ38" s="12">
        <f>SUM(AMY27:AMY38)</f>
        <v/>
      </c>
      <c r="ANA38" s="12">
        <f>OR(ANA37,IF(VATAgentMode,SUM($AMY27:$AMY38)-SUM($ANF27:$ANF38)&gt;=VATThreshold,SUM($AMY27:$AMY38)&gt;=VATThreshold))</f>
        <v/>
      </c>
      <c r="ANB38" s="9">
        <f>IF(ANA38,IF(VATAgentMode,AMY38-((AMY38-ANF38)-(AMY38-ANF38)/(1+VATRate)),AMY38/(1+VATRate)),AMY38)</f>
        <v/>
      </c>
      <c r="ANC38" s="12">
        <f>AMY38-ANB38</f>
        <v/>
      </c>
      <c r="AND38" s="12">
        <f>IF(ANA38=0,0,IF(ALV38=1,SUMPRODUCT(--(($ALW$5:$ALW38=$ALW38-1)*($ALV$5:$ALV38&gt;=10)*($ALV$5:$ALV38&lt;=12)),$ANC$5:$ANC38),IF(ALV38=4,SUMPRODUCT(--(($ALW$5:$ALW38=$ALW38)*($ALV$5:$ALV38&gt;=1)*($ALV$5:$ALV38&lt;=3)),$ANC$5:$ANC38),IF(ALV38=7,SUMPRODUCT(--(($ALW$5:$ALW38=$ALW38)*($ALV$5:$ALV38&gt;=4)*($ALV$5:$ALV38&lt;=6)),$ANC$5:$ANC38),IF(ALV38=10,SUMPRODUCT(--(($ALW$5:$ALW38=$ALW38)*($ALV$5:$ALV38&gt;=7)*($ALV$5:$ALV38&lt;=9)),$ANC$5:$ANC38),0)))))</f>
        <v/>
      </c>
      <c r="ANE38" s="12">
        <f>ANE37+ANC38-AND38</f>
        <v/>
      </c>
      <c r="ANF38" s="12">
        <f>IF(ProviderDelay&gt;=1,AMM37*BlendedProvPayEss+AMN37*BlendedProvPayPrem+AMO37*BlendedProvPayElite+AMP37*BlendedProvPayEss+AMQ37*BlendedProvPayPrem+AMR37*BlendedProvPayElite,AMM38*BlendedProvPayEss+AMN38*BlendedProvPayPrem+AMO38*BlendedProvPayElite+AMP38*BlendedProvPayEss+AMQ38*BlendedProvPayPrem+AMR38*BlendedProvPayElite)</f>
        <v/>
      </c>
      <c r="ANG38" s="12">
        <f>AMY38*PaymentFee</f>
        <v/>
      </c>
      <c r="ANH38" s="12">
        <f>AMS38*OpsAI</f>
        <v/>
      </c>
      <c r="ANI38" s="12">
        <f>MonthlyFixed</f>
        <v/>
      </c>
      <c r="ANJ38" s="12">
        <f>AMC38*ReferralReward</f>
        <v/>
      </c>
      <c r="ANK38" s="12">
        <f>AMA38</f>
        <v/>
      </c>
      <c r="ANL38" s="9">
        <f>ANB38-ANF38-ANG38-ANH38-ANI38-ANJ38-ANK38</f>
        <v/>
      </c>
      <c r="ANM38" s="9">
        <f>ANM37+AMY38-(ANF38+ANG38+ANH38+ANI38+ANJ38+ANK38+AND38)</f>
        <v/>
      </c>
      <c r="ANN38" s="12">
        <f>IF(AMS38&gt;0,AMT38/AMS38,0)</f>
        <v/>
      </c>
      <c r="ANO38" s="11">
        <f>IF(AMS37&gt;0,MAX(0,(AMS37+AMD38-AMS38)/AMS37),0)</f>
        <v/>
      </c>
      <c r="ANQ38" s="12" t="n">
        <v>34</v>
      </c>
      <c r="ANR38" s="12">
        <f>MOD(ANQ38-1+LaunchMonth-1,12)+1</f>
        <v/>
      </c>
      <c r="ANS38" s="12">
        <f>INT((ANQ38-1+LaunchMonth-1)/12)+1</f>
        <v/>
      </c>
      <c r="ANT38" s="12">
        <f>VLOOKUP(ANR38,SeasonTable,2,FALSE)</f>
        <v/>
      </c>
      <c r="ANU38" s="12">
        <f>(1+InflationRate)^INT((ANQ38-1)/12)</f>
        <v/>
      </c>
      <c r="ANV38" s="11">
        <f>MonthlyChurn*VLOOKUP(ANR38,ChurnSeasonTable,4,FALSE)</f>
        <v/>
      </c>
      <c r="ANW38" s="12">
        <f>MIN(MAX(MktMin19plus,AOU37*MktPct19plus),MAX(0,API37-CashBuffer))</f>
        <v/>
      </c>
      <c r="ANX38" s="12">
        <f>IF(ANW38&gt;0,MAX(1,ROUND(ANW38/'Sens - CAC &amp; Marketing'!$A$12*ANT38,0)),0)</f>
        <v/>
      </c>
      <c r="ANY38" s="12">
        <f>IF(ANX38&gt;0,ROUND(ANX38*ReferralMix/(1-ReferralMix),0),0)</f>
        <v/>
      </c>
      <c r="ANZ38" s="12">
        <f>ANX38+ANY38</f>
        <v/>
      </c>
      <c r="AOA38" s="12">
        <f>ROUND(ANZ38*(1-AnnualMix),0)</f>
        <v/>
      </c>
      <c r="AOB38" s="12">
        <f>ANZ38-AOA38</f>
        <v/>
      </c>
      <c r="AOC38" s="12">
        <f>ROUND(AOA38*EssentialMix,0)</f>
        <v/>
      </c>
      <c r="AOD38" s="12">
        <f>ROUND(AOA38*PremiumMix,0)</f>
        <v/>
      </c>
      <c r="AOE38" s="12">
        <f>AOA38-AOC38-AOD38</f>
        <v/>
      </c>
      <c r="AOF38" s="12">
        <f>ROUND(AOB38*EssentialMix,0)</f>
        <v/>
      </c>
      <c r="AOG38" s="12">
        <f>ROUND(AOB38*PremiumMix,0)</f>
        <v/>
      </c>
      <c r="AOH38" s="12">
        <f>AOB38-AOF38-AOG38</f>
        <v/>
      </c>
      <c r="AOI38" s="12">
        <f>AOC38+AOC37+AOC36+MAX(0,AOI37-AOC37-AOC36)*(1-ANV38)</f>
        <v/>
      </c>
      <c r="AOJ38" s="12">
        <f>AOD38+AOD37+AOD36+MAX(0,AOJ37-AOD37-AOD36)*(1-ANV38)</f>
        <v/>
      </c>
      <c r="AOK38" s="12">
        <f>AOE38+AOE37+AOE36+MAX(0,AOK37-AOE37-AOE36)*(1-ANV38)</f>
        <v/>
      </c>
      <c r="AOL38" s="12">
        <f>AOL37+AOF38-AOF26*(AnnualChurn*VLOOKUP(ANR38,ChurnSeasonTable,4,FALSE))*POWER(1-(AnnualChurn*VLOOKUP(ANR38,ChurnSeasonTable,4,FALSE)),0)+AOF14*(AnnualChurn*VLOOKUP(ANR38,ChurnSeasonTable,4,FALSE))*POWER(1-(AnnualChurn*VLOOKUP(ANR38,ChurnSeasonTable,4,FALSE)),1)</f>
        <v/>
      </c>
      <c r="AOM38" s="12">
        <f>AOM37+AOG38-AOG26*(AnnualChurn*VLOOKUP(ANR38,ChurnSeasonTable,4,FALSE))*POWER(1-(AnnualChurn*VLOOKUP(ANR38,ChurnSeasonTable,4,FALSE)),0)+AOG14*(AnnualChurn*VLOOKUP(ANR38,ChurnSeasonTable,4,FALSE))*POWER(1-(AnnualChurn*VLOOKUP(ANR38,ChurnSeasonTable,4,FALSE)),1)</f>
        <v/>
      </c>
      <c r="AON38" s="12">
        <f>AON37+AOH38-AOH26*(AnnualChurn*VLOOKUP(ANR38,ChurnSeasonTable,4,FALSE))*POWER(1-(AnnualChurn*VLOOKUP(ANR38,ChurnSeasonTable,4,FALSE)),0)+AOH14*(AnnualChurn*VLOOKUP(ANR38,ChurnSeasonTable,4,FALSE))*POWER(1-(AnnualChurn*VLOOKUP(ANR38,ChurnSeasonTable,4,FALSE)),1)</f>
        <v/>
      </c>
      <c r="AOO38" s="12">
        <f>AOI38+AOJ38+AOK38+AOL38+AOM38+AON38</f>
        <v/>
      </c>
      <c r="AOP38" s="9">
        <f>AOI38*BlendedPriceEssMonthly*ANU38+AOJ38*BlendedPricePremMonthly*ANU38+AOK38*BlendedPriceEliteMonthly*ANU38+AOL38*BlendedPriceEssAnnual*ANU38/12+AOM38*BlendedPricePremAnnual*ANU38/12+AON38*BlendedPriceEliteAnnual*ANU38/12</f>
        <v/>
      </c>
      <c r="AOQ38" s="9">
        <f>AOP38*12</f>
        <v/>
      </c>
      <c r="AOR38" s="12">
        <f>AOI38*BlendedPriceEssMonthly*ANU38+AOJ38*BlendedPricePremMonthly*ANU38+AOK38*BlendedPriceEliteMonthly*ANU38</f>
        <v/>
      </c>
      <c r="AOS38" s="12">
        <f>AOF38*BlendedPriceEssAnnual*ANU38+AOG38*BlendedPricePremAnnual*ANU38+AOH38*BlendedPriceEliteAnnual*ANU38</f>
        <v/>
      </c>
      <c r="AOT38" s="12">
        <f>AOF26*POWER(1-(AnnualChurn*VLOOKUP(ANR38,ChurnSeasonTable,4,FALSE)),1)*BlendedPriceEssAnnual*ANU38+AOF14*POWER(1-(AnnualChurn*VLOOKUP(ANR38,ChurnSeasonTable,4,FALSE)),2)*BlendedPriceEssAnnual*ANU38+AOG26*POWER(1-(AnnualChurn*VLOOKUP(ANR38,ChurnSeasonTable,4,FALSE)),1)*BlendedPricePremAnnual*ANU38+AOG14*POWER(1-(AnnualChurn*VLOOKUP(ANR38,ChurnSeasonTable,4,FALSE)),2)*BlendedPricePremAnnual*ANU38+AOH26*POWER(1-(AnnualChurn*VLOOKUP(ANR38,ChurnSeasonTable,4,FALSE)),1)*BlendedPriceEliteAnnual*ANU38+AOH14*POWER(1-(AnnualChurn*VLOOKUP(ANR38,ChurnSeasonTable,4,FALSE)),2)*BlendedPriceEliteAnnual*ANU38</f>
        <v/>
      </c>
      <c r="AOU38" s="9">
        <f>AOR38+AOS38+AOT38</f>
        <v/>
      </c>
      <c r="AOV38" s="12">
        <f>SUM(AOU27:AOU38)</f>
        <v/>
      </c>
      <c r="AOW38" s="12">
        <f>OR(AOW37,IF(VATAgentMode,SUM($AOU27:$AOU38)-SUM($APB27:$APB38)&gt;=VATThreshold,SUM($AOU27:$AOU38)&gt;=VATThreshold))</f>
        <v/>
      </c>
      <c r="AOX38" s="9">
        <f>IF(AOW38,IF(VATAgentMode,AOU38-((AOU38-APB38)-(AOU38-APB38)/(1+VATRate)),AOU38/(1+VATRate)),AOU38)</f>
        <v/>
      </c>
      <c r="AOY38" s="12">
        <f>AOU38-AOX38</f>
        <v/>
      </c>
      <c r="AOZ38" s="12">
        <f>IF(AOW38=0,0,IF(ANR38=1,SUMPRODUCT(--(($ANS$5:$ANS38=$ANS38-1)*($ANR$5:$ANR38&gt;=10)*($ANR$5:$ANR38&lt;=12)),$AOY$5:$AOY38),IF(ANR38=4,SUMPRODUCT(--(($ANS$5:$ANS38=$ANS38)*($ANR$5:$ANR38&gt;=1)*($ANR$5:$ANR38&lt;=3)),$AOY$5:$AOY38),IF(ANR38=7,SUMPRODUCT(--(($ANS$5:$ANS38=$ANS38)*($ANR$5:$ANR38&gt;=4)*($ANR$5:$ANR38&lt;=6)),$AOY$5:$AOY38),IF(ANR38=10,SUMPRODUCT(--(($ANS$5:$ANS38=$ANS38)*($ANR$5:$ANR38&gt;=7)*($ANR$5:$ANR38&lt;=9)),$AOY$5:$AOY38),0)))))</f>
        <v/>
      </c>
      <c r="APA38" s="12">
        <f>APA37+AOY38-AOZ38</f>
        <v/>
      </c>
      <c r="APB38" s="12">
        <f>IF(ProviderDelay&gt;=1,AOI37*BlendedProvPayEss+AOJ37*BlendedProvPayPrem+AOK37*BlendedProvPayElite+AOL37*BlendedProvPayEss+AOM37*BlendedProvPayPrem+AON37*BlendedProvPayElite,AOI38*BlendedProvPayEss+AOJ38*BlendedProvPayPrem+AOK38*BlendedProvPayElite+AOL38*BlendedProvPayEss+AOM38*BlendedProvPayPrem+AON38*BlendedProvPayElite)</f>
        <v/>
      </c>
      <c r="APC38" s="12">
        <f>AOU38*PaymentFee</f>
        <v/>
      </c>
      <c r="APD38" s="12">
        <f>AOO38*OpsAI</f>
        <v/>
      </c>
      <c r="APE38" s="12">
        <f>MonthlyFixed</f>
        <v/>
      </c>
      <c r="APF38" s="12">
        <f>ANY38*ReferralReward</f>
        <v/>
      </c>
      <c r="APG38" s="12">
        <f>ANW38</f>
        <v/>
      </c>
      <c r="APH38" s="9">
        <f>AOX38-APB38-APC38-APD38-APE38-APF38-APG38</f>
        <v/>
      </c>
      <c r="API38" s="9">
        <f>API37+AOU38-(APB38+APC38+APD38+APE38+APF38+APG38+AOZ38)</f>
        <v/>
      </c>
      <c r="APJ38" s="12">
        <f>IF(AOO38&gt;0,AOP38/AOO38,0)</f>
        <v/>
      </c>
      <c r="APK38" s="11">
        <f>IF(AOO37&gt;0,MAX(0,(AOO37+ANZ38-AOO38)/AOO37),0)</f>
        <v/>
      </c>
      <c r="APM38" s="12" t="n">
        <v>34</v>
      </c>
      <c r="APN38" s="12">
        <f>MOD(APM38-1+LaunchMonth-1,12)+1</f>
        <v/>
      </c>
      <c r="APO38" s="12">
        <f>INT((APM38-1+LaunchMonth-1)/12)+1</f>
        <v/>
      </c>
      <c r="APP38" s="12">
        <f>VLOOKUP(APN38,SeasonTable,2,FALSE)</f>
        <v/>
      </c>
      <c r="APQ38" s="12">
        <f>(1+InflationRate)^INT((APM38-1)/12)</f>
        <v/>
      </c>
      <c r="APR38" s="11">
        <f>MonthlyChurn*VLOOKUP(APN38,ChurnSeasonTable,4,FALSE)</f>
        <v/>
      </c>
      <c r="APS38" s="12">
        <f>MIN(MAX(MktMin19plus,AQQ37*MktPct19plus),MAX(0,ARE37-CashBuffer))</f>
        <v/>
      </c>
      <c r="APT38" s="12">
        <f>IF(APS38&gt;0,MAX(1,ROUND(APS38/'Sens - CAC &amp; Marketing'!$A$13*APP38,0)),0)</f>
        <v/>
      </c>
      <c r="APU38" s="12">
        <f>IF(APT38&gt;0,ROUND(APT38*ReferralMix/(1-ReferralMix),0),0)</f>
        <v/>
      </c>
      <c r="APV38" s="12">
        <f>APT38+APU38</f>
        <v/>
      </c>
      <c r="APW38" s="12">
        <f>ROUND(APV38*(1-AnnualMix),0)</f>
        <v/>
      </c>
      <c r="APX38" s="12">
        <f>APV38-APW38</f>
        <v/>
      </c>
      <c r="APY38" s="12">
        <f>ROUND(APW38*EssentialMix,0)</f>
        <v/>
      </c>
      <c r="APZ38" s="12">
        <f>ROUND(APW38*PremiumMix,0)</f>
        <v/>
      </c>
      <c r="AQA38" s="12">
        <f>APW38-APY38-APZ38</f>
        <v/>
      </c>
      <c r="AQB38" s="12">
        <f>ROUND(APX38*EssentialMix,0)</f>
        <v/>
      </c>
      <c r="AQC38" s="12">
        <f>ROUND(APX38*PremiumMix,0)</f>
        <v/>
      </c>
      <c r="AQD38" s="12">
        <f>APX38-AQB38-AQC38</f>
        <v/>
      </c>
      <c r="AQE38" s="12">
        <f>APY38+APY37+APY36+MAX(0,AQE37-APY37-APY36)*(1-APR38)</f>
        <v/>
      </c>
      <c r="AQF38" s="12">
        <f>APZ38+APZ37+APZ36+MAX(0,AQF37-APZ37-APZ36)*(1-APR38)</f>
        <v/>
      </c>
      <c r="AQG38" s="12">
        <f>AQA38+AQA37+AQA36+MAX(0,AQG37-AQA37-AQA36)*(1-APR38)</f>
        <v/>
      </c>
      <c r="AQH38" s="12">
        <f>AQH37+AQB38-AQB26*(AnnualChurn*VLOOKUP(APN38,ChurnSeasonTable,4,FALSE))*POWER(1-(AnnualChurn*VLOOKUP(APN38,ChurnSeasonTable,4,FALSE)),0)+AQB14*(AnnualChurn*VLOOKUP(APN38,ChurnSeasonTable,4,FALSE))*POWER(1-(AnnualChurn*VLOOKUP(APN38,ChurnSeasonTable,4,FALSE)),1)</f>
        <v/>
      </c>
      <c r="AQI38" s="12">
        <f>AQI37+AQC38-AQC26*(AnnualChurn*VLOOKUP(APN38,ChurnSeasonTable,4,FALSE))*POWER(1-(AnnualChurn*VLOOKUP(APN38,ChurnSeasonTable,4,FALSE)),0)+AQC14*(AnnualChurn*VLOOKUP(APN38,ChurnSeasonTable,4,FALSE))*POWER(1-(AnnualChurn*VLOOKUP(APN38,ChurnSeasonTable,4,FALSE)),1)</f>
        <v/>
      </c>
      <c r="AQJ38" s="12">
        <f>AQJ37+AQD38-AQD26*(AnnualChurn*VLOOKUP(APN38,ChurnSeasonTable,4,FALSE))*POWER(1-(AnnualChurn*VLOOKUP(APN38,ChurnSeasonTable,4,FALSE)),0)+AQD14*(AnnualChurn*VLOOKUP(APN38,ChurnSeasonTable,4,FALSE))*POWER(1-(AnnualChurn*VLOOKUP(APN38,ChurnSeasonTable,4,FALSE)),1)</f>
        <v/>
      </c>
      <c r="AQK38" s="12">
        <f>AQE38+AQF38+AQG38+AQH38+AQI38+AQJ38</f>
        <v/>
      </c>
      <c r="AQL38" s="9">
        <f>AQE38*BlendedPriceEssMonthly*APQ38+AQF38*BlendedPricePremMonthly*APQ38+AQG38*BlendedPriceEliteMonthly*APQ38+AQH38*BlendedPriceEssAnnual*APQ38/12+AQI38*BlendedPricePremAnnual*APQ38/12+AQJ38*BlendedPriceEliteAnnual*APQ38/12</f>
        <v/>
      </c>
      <c r="AQM38" s="9">
        <f>AQL38*12</f>
        <v/>
      </c>
      <c r="AQN38" s="12">
        <f>AQE38*BlendedPriceEssMonthly*APQ38+AQF38*BlendedPricePremMonthly*APQ38+AQG38*BlendedPriceEliteMonthly*APQ38</f>
        <v/>
      </c>
      <c r="AQO38" s="12">
        <f>AQB38*BlendedPriceEssAnnual*APQ38+AQC38*BlendedPricePremAnnual*APQ38+AQD38*BlendedPriceEliteAnnual*APQ38</f>
        <v/>
      </c>
      <c r="AQP38" s="12">
        <f>AQB26*POWER(1-(AnnualChurn*VLOOKUP(APN38,ChurnSeasonTable,4,FALSE)),1)*BlendedPriceEssAnnual*APQ38+AQB14*POWER(1-(AnnualChurn*VLOOKUP(APN38,ChurnSeasonTable,4,FALSE)),2)*BlendedPriceEssAnnual*APQ38+AQC26*POWER(1-(AnnualChurn*VLOOKUP(APN38,ChurnSeasonTable,4,FALSE)),1)*BlendedPricePremAnnual*APQ38+AQC14*POWER(1-(AnnualChurn*VLOOKUP(APN38,ChurnSeasonTable,4,FALSE)),2)*BlendedPricePremAnnual*APQ38+AQD26*POWER(1-(AnnualChurn*VLOOKUP(APN38,ChurnSeasonTable,4,FALSE)),1)*BlendedPriceEliteAnnual*APQ38+AQD14*POWER(1-(AnnualChurn*VLOOKUP(APN38,ChurnSeasonTable,4,FALSE)),2)*BlendedPriceEliteAnnual*APQ38</f>
        <v/>
      </c>
      <c r="AQQ38" s="9">
        <f>AQN38+AQO38+AQP38</f>
        <v/>
      </c>
      <c r="AQR38" s="12">
        <f>SUM(AQQ27:AQQ38)</f>
        <v/>
      </c>
      <c r="AQS38" s="12">
        <f>OR(AQS37,IF(VATAgentMode,SUM($AQQ27:$AQQ38)-SUM($AQX27:$AQX38)&gt;=VATThreshold,SUM($AQQ27:$AQQ38)&gt;=VATThreshold))</f>
        <v/>
      </c>
      <c r="AQT38" s="9">
        <f>IF(AQS38,IF(VATAgentMode,AQQ38-((AQQ38-AQX38)-(AQQ38-AQX38)/(1+VATRate)),AQQ38/(1+VATRate)),AQQ38)</f>
        <v/>
      </c>
      <c r="AQU38" s="12">
        <f>AQQ38-AQT38</f>
        <v/>
      </c>
      <c r="AQV38" s="12">
        <f>IF(AQS38=0,0,IF(APN38=1,SUMPRODUCT(--(($APO$5:$APO38=$APO38-1)*($APN$5:$APN38&gt;=10)*($APN$5:$APN38&lt;=12)),$AQU$5:$AQU38),IF(APN38=4,SUMPRODUCT(--(($APO$5:$APO38=$APO38)*($APN$5:$APN38&gt;=1)*($APN$5:$APN38&lt;=3)),$AQU$5:$AQU38),IF(APN38=7,SUMPRODUCT(--(($APO$5:$APO38=$APO38)*($APN$5:$APN38&gt;=4)*($APN$5:$APN38&lt;=6)),$AQU$5:$AQU38),IF(APN38=10,SUMPRODUCT(--(($APO$5:$APO38=$APO38)*($APN$5:$APN38&gt;=7)*($APN$5:$APN38&lt;=9)),$AQU$5:$AQU38),0)))))</f>
        <v/>
      </c>
      <c r="AQW38" s="12">
        <f>AQW37+AQU38-AQV38</f>
        <v/>
      </c>
      <c r="AQX38" s="12">
        <f>IF(ProviderDelay&gt;=1,AQE37*BlendedProvPayEss+AQF37*BlendedProvPayPrem+AQG37*BlendedProvPayElite+AQH37*BlendedProvPayEss+AQI37*BlendedProvPayPrem+AQJ37*BlendedProvPayElite,AQE38*BlendedProvPayEss+AQF38*BlendedProvPayPrem+AQG38*BlendedProvPayElite+AQH38*BlendedProvPayEss+AQI38*BlendedProvPayPrem+AQJ38*BlendedProvPayElite)</f>
        <v/>
      </c>
      <c r="AQY38" s="12">
        <f>AQQ38*PaymentFee</f>
        <v/>
      </c>
      <c r="AQZ38" s="12">
        <f>AQK38*OpsAI</f>
        <v/>
      </c>
      <c r="ARA38" s="12">
        <f>MonthlyFixed</f>
        <v/>
      </c>
      <c r="ARB38" s="12">
        <f>APU38*ReferralReward</f>
        <v/>
      </c>
      <c r="ARC38" s="12">
        <f>APS38</f>
        <v/>
      </c>
      <c r="ARD38" s="9">
        <f>AQT38-AQX38-AQY38-AQZ38-ARA38-ARB38-ARC38</f>
        <v/>
      </c>
      <c r="ARE38" s="9">
        <f>ARE37+AQQ38-(AQX38+AQY38+AQZ38+ARA38+ARB38+ARC38+AQV38)</f>
        <v/>
      </c>
      <c r="ARF38" s="12">
        <f>IF(AQK38&gt;0,AQL38/AQK38,0)</f>
        <v/>
      </c>
      <c r="ARG38" s="11">
        <f>IF(AQK37&gt;0,MAX(0,(AQK37+APV38-AQK38)/AQK37),0)</f>
        <v/>
      </c>
      <c r="ARI38" s="12" t="n">
        <v>34</v>
      </c>
      <c r="ARJ38" s="12">
        <f>MOD(ARI38-1+LaunchMonth-1,12)+1</f>
        <v/>
      </c>
      <c r="ARK38" s="12">
        <f>INT((ARI38-1+LaunchMonth-1)/12)+1</f>
        <v/>
      </c>
      <c r="ARL38" s="12">
        <f>VLOOKUP(ARJ38,SeasonTable,2,FALSE)</f>
        <v/>
      </c>
      <c r="ARM38" s="12">
        <f>(1+InflationRate)^INT((ARI38-1)/12)</f>
        <v/>
      </c>
      <c r="ARN38" s="11">
        <f>MonthlyChurn*VLOOKUP(ARJ38,ChurnSeasonTable,4,FALSE)</f>
        <v/>
      </c>
      <c r="ARO38" s="12">
        <f>MIN(MAX(MktMin19plus,ASM37*MktPct19plus),MAX(0,ATA37-CashBuffer))</f>
        <v/>
      </c>
      <c r="ARP38" s="12">
        <f>IF(ARO38&gt;0,MAX(1,ROUND(ARO38/'Sens - CAC &amp; Marketing'!$A$14*ARL38,0)),0)</f>
        <v/>
      </c>
      <c r="ARQ38" s="12">
        <f>IF(ARP38&gt;0,ROUND(ARP38*ReferralMix/(1-ReferralMix),0),0)</f>
        <v/>
      </c>
      <c r="ARR38" s="12">
        <f>ARP38+ARQ38</f>
        <v/>
      </c>
      <c r="ARS38" s="12">
        <f>ROUND(ARR38*(1-AnnualMix),0)</f>
        <v/>
      </c>
      <c r="ART38" s="12">
        <f>ARR38-ARS38</f>
        <v/>
      </c>
      <c r="ARU38" s="12">
        <f>ROUND(ARS38*EssentialMix,0)</f>
        <v/>
      </c>
      <c r="ARV38" s="12">
        <f>ROUND(ARS38*PremiumMix,0)</f>
        <v/>
      </c>
      <c r="ARW38" s="12">
        <f>ARS38-ARU38-ARV38</f>
        <v/>
      </c>
      <c r="ARX38" s="12">
        <f>ROUND(ART38*EssentialMix,0)</f>
        <v/>
      </c>
      <c r="ARY38" s="12">
        <f>ROUND(ART38*PremiumMix,0)</f>
        <v/>
      </c>
      <c r="ARZ38" s="12">
        <f>ART38-ARX38-ARY38</f>
        <v/>
      </c>
      <c r="ASA38" s="12">
        <f>ARU38+ARU37+ARU36+MAX(0,ASA37-ARU37-ARU36)*(1-ARN38)</f>
        <v/>
      </c>
      <c r="ASB38" s="12">
        <f>ARV38+ARV37+ARV36+MAX(0,ASB37-ARV37-ARV36)*(1-ARN38)</f>
        <v/>
      </c>
      <c r="ASC38" s="12">
        <f>ARW38+ARW37+ARW36+MAX(0,ASC37-ARW37-ARW36)*(1-ARN38)</f>
        <v/>
      </c>
      <c r="ASD38" s="12">
        <f>ASD37+ARX38-ARX26*(AnnualChurn*VLOOKUP(ARJ38,ChurnSeasonTable,4,FALSE))*POWER(1-(AnnualChurn*VLOOKUP(ARJ38,ChurnSeasonTable,4,FALSE)),0)+ARX14*(AnnualChurn*VLOOKUP(ARJ38,ChurnSeasonTable,4,FALSE))*POWER(1-(AnnualChurn*VLOOKUP(ARJ38,ChurnSeasonTable,4,FALSE)),1)</f>
        <v/>
      </c>
      <c r="ASE38" s="12">
        <f>ASE37+ARY38-ARY26*(AnnualChurn*VLOOKUP(ARJ38,ChurnSeasonTable,4,FALSE))*POWER(1-(AnnualChurn*VLOOKUP(ARJ38,ChurnSeasonTable,4,FALSE)),0)+ARY14*(AnnualChurn*VLOOKUP(ARJ38,ChurnSeasonTable,4,FALSE))*POWER(1-(AnnualChurn*VLOOKUP(ARJ38,ChurnSeasonTable,4,FALSE)),1)</f>
        <v/>
      </c>
      <c r="ASF38" s="12">
        <f>ASF37+ARZ38-ARZ26*(AnnualChurn*VLOOKUP(ARJ38,ChurnSeasonTable,4,FALSE))*POWER(1-(AnnualChurn*VLOOKUP(ARJ38,ChurnSeasonTable,4,FALSE)),0)+ARZ14*(AnnualChurn*VLOOKUP(ARJ38,ChurnSeasonTable,4,FALSE))*POWER(1-(AnnualChurn*VLOOKUP(ARJ38,ChurnSeasonTable,4,FALSE)),1)</f>
        <v/>
      </c>
      <c r="ASG38" s="12">
        <f>ASA38+ASB38+ASC38+ASD38+ASE38+ASF38</f>
        <v/>
      </c>
      <c r="ASH38" s="9">
        <f>ASA38*BlendedPriceEssMonthly*ARM38+ASB38*BlendedPricePremMonthly*ARM38+ASC38*BlendedPriceEliteMonthly*ARM38+ASD38*BlendedPriceEssAnnual*ARM38/12+ASE38*BlendedPricePremAnnual*ARM38/12+ASF38*BlendedPriceEliteAnnual*ARM38/12</f>
        <v/>
      </c>
      <c r="ASI38" s="9">
        <f>ASH38*12</f>
        <v/>
      </c>
      <c r="ASJ38" s="12">
        <f>ASA38*BlendedPriceEssMonthly*ARM38+ASB38*BlendedPricePremMonthly*ARM38+ASC38*BlendedPriceEliteMonthly*ARM38</f>
        <v/>
      </c>
      <c r="ASK38" s="12">
        <f>ARX38*BlendedPriceEssAnnual*ARM38+ARY38*BlendedPricePremAnnual*ARM38+ARZ38*BlendedPriceEliteAnnual*ARM38</f>
        <v/>
      </c>
      <c r="ASL38" s="12">
        <f>ARX26*POWER(1-(AnnualChurn*VLOOKUP(ARJ38,ChurnSeasonTable,4,FALSE)),1)*BlendedPriceEssAnnual*ARM38+ARX14*POWER(1-(AnnualChurn*VLOOKUP(ARJ38,ChurnSeasonTable,4,FALSE)),2)*BlendedPriceEssAnnual*ARM38+ARY26*POWER(1-(AnnualChurn*VLOOKUP(ARJ38,ChurnSeasonTable,4,FALSE)),1)*BlendedPricePremAnnual*ARM38+ARY14*POWER(1-(AnnualChurn*VLOOKUP(ARJ38,ChurnSeasonTable,4,FALSE)),2)*BlendedPricePremAnnual*ARM38+ARZ26*POWER(1-(AnnualChurn*VLOOKUP(ARJ38,ChurnSeasonTable,4,FALSE)),1)*BlendedPriceEliteAnnual*ARM38+ARZ14*POWER(1-(AnnualChurn*VLOOKUP(ARJ38,ChurnSeasonTable,4,FALSE)),2)*BlendedPriceEliteAnnual*ARM38</f>
        <v/>
      </c>
      <c r="ASM38" s="9">
        <f>ASJ38+ASK38+ASL38</f>
        <v/>
      </c>
      <c r="ASN38" s="12">
        <f>SUM(ASM27:ASM38)</f>
        <v/>
      </c>
      <c r="ASO38" s="12">
        <f>OR(ASO37,IF(VATAgentMode,SUM($ASM27:$ASM38)-SUM($AST27:$AST38)&gt;=VATThreshold,SUM($ASM27:$ASM38)&gt;=VATThreshold))</f>
        <v/>
      </c>
      <c r="ASP38" s="9">
        <f>IF(ASO38,IF(VATAgentMode,ASM38-((ASM38-AST38)-(ASM38-AST38)/(1+VATRate)),ASM38/(1+VATRate)),ASM38)</f>
        <v/>
      </c>
      <c r="ASQ38" s="12">
        <f>ASM38-ASP38</f>
        <v/>
      </c>
      <c r="ASR38" s="12">
        <f>IF(ASO38=0,0,IF(ARJ38=1,SUMPRODUCT(--(($ARK$5:$ARK38=$ARK38-1)*($ARJ$5:$ARJ38&gt;=10)*($ARJ$5:$ARJ38&lt;=12)),$ASQ$5:$ASQ38),IF(ARJ38=4,SUMPRODUCT(--(($ARK$5:$ARK38=$ARK38)*($ARJ$5:$ARJ38&gt;=1)*($ARJ$5:$ARJ38&lt;=3)),$ASQ$5:$ASQ38),IF(ARJ38=7,SUMPRODUCT(--(($ARK$5:$ARK38=$ARK38)*($ARJ$5:$ARJ38&gt;=4)*($ARJ$5:$ARJ38&lt;=6)),$ASQ$5:$ASQ38),IF(ARJ38=10,SUMPRODUCT(--(($ARK$5:$ARK38=$ARK38)*($ARJ$5:$ARJ38&gt;=7)*($ARJ$5:$ARJ38&lt;=9)),$ASQ$5:$ASQ38),0)))))</f>
        <v/>
      </c>
      <c r="ASS38" s="12">
        <f>ASS37+ASQ38-ASR38</f>
        <v/>
      </c>
      <c r="AST38" s="12">
        <f>IF(ProviderDelay&gt;=1,ASA37*BlendedProvPayEss+ASB37*BlendedProvPayPrem+ASC37*BlendedProvPayElite+ASD37*BlendedProvPayEss+ASE37*BlendedProvPayPrem+ASF37*BlendedProvPayElite,ASA38*BlendedProvPayEss+ASB38*BlendedProvPayPrem+ASC38*BlendedProvPayElite+ASD38*BlendedProvPayEss+ASE38*BlendedProvPayPrem+ASF38*BlendedProvPayElite)</f>
        <v/>
      </c>
      <c r="ASU38" s="12">
        <f>ASM38*PaymentFee</f>
        <v/>
      </c>
      <c r="ASV38" s="12">
        <f>ASG38*OpsAI</f>
        <v/>
      </c>
      <c r="ASW38" s="12">
        <f>MonthlyFixed</f>
        <v/>
      </c>
      <c r="ASX38" s="12">
        <f>ARQ38*ReferralReward</f>
        <v/>
      </c>
      <c r="ASY38" s="12">
        <f>ARO38</f>
        <v/>
      </c>
      <c r="ASZ38" s="9">
        <f>ASP38-AST38-ASU38-ASV38-ASW38-ASX38-ASY38</f>
        <v/>
      </c>
      <c r="ATA38" s="9">
        <f>ATA37+ASM38-(AST38+ASU38+ASV38+ASW38+ASX38+ASY38+ASR38)</f>
        <v/>
      </c>
      <c r="ATB38" s="12">
        <f>IF(ASG38&gt;0,ASH38/ASG38,0)</f>
        <v/>
      </c>
      <c r="ATC38" s="11">
        <f>IF(ASG37&gt;0,MAX(0,(ASG37+ARR38-ASG38)/ASG37),0)</f>
        <v/>
      </c>
      <c r="ATE38" s="12" t="n">
        <v>34</v>
      </c>
      <c r="ATF38" s="12">
        <f>MOD(ATE38-1+LaunchMonth-1,12)+1</f>
        <v/>
      </c>
      <c r="ATG38" s="12">
        <f>INT((ATE38-1+LaunchMonth-1)/12)+1</f>
        <v/>
      </c>
      <c r="ATH38" s="12">
        <f>VLOOKUP(ATF38,SeasonTable,2,FALSE)</f>
        <v/>
      </c>
      <c r="ATI38" s="12">
        <f>(1+InflationRate)^INT((ATE38-1)/12)</f>
        <v/>
      </c>
      <c r="ATJ38" s="11">
        <f>MonthlyChurn*VLOOKUP(ATF38,ChurnSeasonTable,4,FALSE)</f>
        <v/>
      </c>
      <c r="ATK38" s="12">
        <f>MIN(MAX(MktMin19plus,AUI37*MktPct19plus),MAX(0,AUW37-CashBuffer))</f>
        <v/>
      </c>
      <c r="ATL38" s="12">
        <f>IF(ATK38&gt;0,MAX(1,ROUND(ATK38/'Sens - CAC &amp; Marketing'!$A$15*ATH38,0)),0)</f>
        <v/>
      </c>
      <c r="ATM38" s="12">
        <f>IF(ATL38&gt;0,ROUND(ATL38*ReferralMix/(1-ReferralMix),0),0)</f>
        <v/>
      </c>
      <c r="ATN38" s="12">
        <f>ATL38+ATM38</f>
        <v/>
      </c>
      <c r="ATO38" s="12">
        <f>ROUND(ATN38*(1-AnnualMix),0)</f>
        <v/>
      </c>
      <c r="ATP38" s="12">
        <f>ATN38-ATO38</f>
        <v/>
      </c>
      <c r="ATQ38" s="12">
        <f>ROUND(ATO38*EssentialMix,0)</f>
        <v/>
      </c>
      <c r="ATR38" s="12">
        <f>ROUND(ATO38*PremiumMix,0)</f>
        <v/>
      </c>
      <c r="ATS38" s="12">
        <f>ATO38-ATQ38-ATR38</f>
        <v/>
      </c>
      <c r="ATT38" s="12">
        <f>ROUND(ATP38*EssentialMix,0)</f>
        <v/>
      </c>
      <c r="ATU38" s="12">
        <f>ROUND(ATP38*PremiumMix,0)</f>
        <v/>
      </c>
      <c r="ATV38" s="12">
        <f>ATP38-ATT38-ATU38</f>
        <v/>
      </c>
      <c r="ATW38" s="12">
        <f>ATQ38+ATQ37+ATQ36+MAX(0,ATW37-ATQ37-ATQ36)*(1-ATJ38)</f>
        <v/>
      </c>
      <c r="ATX38" s="12">
        <f>ATR38+ATR37+ATR36+MAX(0,ATX37-ATR37-ATR36)*(1-ATJ38)</f>
        <v/>
      </c>
      <c r="ATY38" s="12">
        <f>ATS38+ATS37+ATS36+MAX(0,ATY37-ATS37-ATS36)*(1-ATJ38)</f>
        <v/>
      </c>
      <c r="ATZ38" s="12">
        <f>ATZ37+ATT38-ATT26*(AnnualChurn*VLOOKUP(ATF38,ChurnSeasonTable,4,FALSE))*POWER(1-(AnnualChurn*VLOOKUP(ATF38,ChurnSeasonTable,4,FALSE)),0)+ATT14*(AnnualChurn*VLOOKUP(ATF38,ChurnSeasonTable,4,FALSE))*POWER(1-(AnnualChurn*VLOOKUP(ATF38,ChurnSeasonTable,4,FALSE)),1)</f>
        <v/>
      </c>
      <c r="AUA38" s="12">
        <f>AUA37+ATU38-ATU26*(AnnualChurn*VLOOKUP(ATF38,ChurnSeasonTable,4,FALSE))*POWER(1-(AnnualChurn*VLOOKUP(ATF38,ChurnSeasonTable,4,FALSE)),0)+ATU14*(AnnualChurn*VLOOKUP(ATF38,ChurnSeasonTable,4,FALSE))*POWER(1-(AnnualChurn*VLOOKUP(ATF38,ChurnSeasonTable,4,FALSE)),1)</f>
        <v/>
      </c>
      <c r="AUB38" s="12">
        <f>AUB37+ATV38-ATV26*(AnnualChurn*VLOOKUP(ATF38,ChurnSeasonTable,4,FALSE))*POWER(1-(AnnualChurn*VLOOKUP(ATF38,ChurnSeasonTable,4,FALSE)),0)+ATV14*(AnnualChurn*VLOOKUP(ATF38,ChurnSeasonTable,4,FALSE))*POWER(1-(AnnualChurn*VLOOKUP(ATF38,ChurnSeasonTable,4,FALSE)),1)</f>
        <v/>
      </c>
      <c r="AUC38" s="12">
        <f>ATW38+ATX38+ATY38+ATZ38+AUA38+AUB38</f>
        <v/>
      </c>
      <c r="AUD38" s="9">
        <f>ATW38*BlendedPriceEssMonthly*ATI38+ATX38*BlendedPricePremMonthly*ATI38+ATY38*BlendedPriceEliteMonthly*ATI38+ATZ38*BlendedPriceEssAnnual*ATI38/12+AUA38*BlendedPricePremAnnual*ATI38/12+AUB38*BlendedPriceEliteAnnual*ATI38/12</f>
        <v/>
      </c>
      <c r="AUE38" s="9">
        <f>AUD38*12</f>
        <v/>
      </c>
      <c r="AUF38" s="12">
        <f>ATW38*BlendedPriceEssMonthly*ATI38+ATX38*BlendedPricePremMonthly*ATI38+ATY38*BlendedPriceEliteMonthly*ATI38</f>
        <v/>
      </c>
      <c r="AUG38" s="12">
        <f>ATT38*BlendedPriceEssAnnual*ATI38+ATU38*BlendedPricePremAnnual*ATI38+ATV38*BlendedPriceEliteAnnual*ATI38</f>
        <v/>
      </c>
      <c r="AUH38" s="12">
        <f>ATT26*POWER(1-(AnnualChurn*VLOOKUP(ATF38,ChurnSeasonTable,4,FALSE)),1)*BlendedPriceEssAnnual*ATI38+ATT14*POWER(1-(AnnualChurn*VLOOKUP(ATF38,ChurnSeasonTable,4,FALSE)),2)*BlendedPriceEssAnnual*ATI38+ATU26*POWER(1-(AnnualChurn*VLOOKUP(ATF38,ChurnSeasonTable,4,FALSE)),1)*BlendedPricePremAnnual*ATI38+ATU14*POWER(1-(AnnualChurn*VLOOKUP(ATF38,ChurnSeasonTable,4,FALSE)),2)*BlendedPricePremAnnual*ATI38+ATV26*POWER(1-(AnnualChurn*VLOOKUP(ATF38,ChurnSeasonTable,4,FALSE)),1)*BlendedPriceEliteAnnual*ATI38+ATV14*POWER(1-(AnnualChurn*VLOOKUP(ATF38,ChurnSeasonTable,4,FALSE)),2)*BlendedPriceEliteAnnual*ATI38</f>
        <v/>
      </c>
      <c r="AUI38" s="9">
        <f>AUF38+AUG38+AUH38</f>
        <v/>
      </c>
      <c r="AUJ38" s="12">
        <f>SUM(AUI27:AUI38)</f>
        <v/>
      </c>
      <c r="AUK38" s="12">
        <f>OR(AUK37,IF(VATAgentMode,SUM($AUI27:$AUI38)-SUM($AUP27:$AUP38)&gt;=VATThreshold,SUM($AUI27:$AUI38)&gt;=VATThreshold))</f>
        <v/>
      </c>
      <c r="AUL38" s="9">
        <f>IF(AUK38,IF(VATAgentMode,AUI38-((AUI38-AUP38)-(AUI38-AUP38)/(1+VATRate)),AUI38/(1+VATRate)),AUI38)</f>
        <v/>
      </c>
      <c r="AUM38" s="12">
        <f>AUI38-AUL38</f>
        <v/>
      </c>
      <c r="AUN38" s="12">
        <f>IF(AUK38=0,0,IF(ATF38=1,SUMPRODUCT(--(($ATG$5:$ATG38=$ATG38-1)*($ATF$5:$ATF38&gt;=10)*($ATF$5:$ATF38&lt;=12)),$AUM$5:$AUM38),IF(ATF38=4,SUMPRODUCT(--(($ATG$5:$ATG38=$ATG38)*($ATF$5:$ATF38&gt;=1)*($ATF$5:$ATF38&lt;=3)),$AUM$5:$AUM38),IF(ATF38=7,SUMPRODUCT(--(($ATG$5:$ATG38=$ATG38)*($ATF$5:$ATF38&gt;=4)*($ATF$5:$ATF38&lt;=6)),$AUM$5:$AUM38),IF(ATF38=10,SUMPRODUCT(--(($ATG$5:$ATG38=$ATG38)*($ATF$5:$ATF38&gt;=7)*($ATF$5:$ATF38&lt;=9)),$AUM$5:$AUM38),0)))))</f>
        <v/>
      </c>
      <c r="AUO38" s="12">
        <f>AUO37+AUM38-AUN38</f>
        <v/>
      </c>
      <c r="AUP38" s="12">
        <f>IF(ProviderDelay&gt;=1,ATW37*BlendedProvPayEss+ATX37*BlendedProvPayPrem+ATY37*BlendedProvPayElite+ATZ37*BlendedProvPayEss+AUA37*BlendedProvPayPrem+AUB37*BlendedProvPayElite,ATW38*BlendedProvPayEss+ATX38*BlendedProvPayPrem+ATY38*BlendedProvPayElite+ATZ38*BlendedProvPayEss+AUA38*BlendedProvPayPrem+AUB38*BlendedProvPayElite)</f>
        <v/>
      </c>
      <c r="AUQ38" s="12">
        <f>AUI38*PaymentFee</f>
        <v/>
      </c>
      <c r="AUR38" s="12">
        <f>AUC38*OpsAI</f>
        <v/>
      </c>
      <c r="AUS38" s="12">
        <f>MonthlyFixed</f>
        <v/>
      </c>
      <c r="AUT38" s="12">
        <f>ATM38*ReferralReward</f>
        <v/>
      </c>
      <c r="AUU38" s="12">
        <f>ATK38</f>
        <v/>
      </c>
      <c r="AUV38" s="9">
        <f>AUL38-AUP38-AUQ38-AUR38-AUS38-AUT38-AUU38</f>
        <v/>
      </c>
      <c r="AUW38" s="9">
        <f>AUW37+AUI38-(AUP38+AUQ38+AUR38+AUS38+AUT38+AUU38+AUN38)</f>
        <v/>
      </c>
      <c r="AUX38" s="12">
        <f>IF(AUC38&gt;0,AUD38/AUC38,0)</f>
        <v/>
      </c>
      <c r="AUY38" s="11">
        <f>IF(AUC37&gt;0,MAX(0,(AUC37+ATN38-AUC38)/AUC37),0)</f>
        <v/>
      </c>
      <c r="AVA38" s="12" t="n">
        <v>34</v>
      </c>
      <c r="AVB38" s="12">
        <f>MOD(AVA38-1+LaunchMonth-1,12)+1</f>
        <v/>
      </c>
      <c r="AVC38" s="12">
        <f>INT((AVA38-1+LaunchMonth-1)/12)+1</f>
        <v/>
      </c>
      <c r="AVD38" s="12">
        <f>VLOOKUP(AVB38,WinterPivotSeasonTable,5,FALSE)</f>
        <v/>
      </c>
      <c r="AVE38" s="12">
        <f>(1+InflationRate)^INT((AVA38-1)/12)</f>
        <v/>
      </c>
      <c r="AVF38" s="11">
        <f>MonthlyChurn*VLOOKUP(AVB38,WinterPivotChurnTable,6,FALSE)</f>
        <v/>
      </c>
      <c r="AVG38" s="12">
        <f>MIN(MAX(MktMin19plus,AWE37*MktPct19plus),MAX(0,AWS37-CashBuffer))</f>
        <v/>
      </c>
      <c r="AVH38" s="12">
        <f>IF(AVG38&gt;0,MAX(1,ROUND(AVG38/CAC*AVD38,0)),0)</f>
        <v/>
      </c>
      <c r="AVI38" s="12">
        <f>IF(AVH38&gt;0,ROUND(AVH38*ReferralMix/(1-ReferralMix),0),0)</f>
        <v/>
      </c>
      <c r="AVJ38" s="12">
        <f>AVH38+AVI38</f>
        <v/>
      </c>
      <c r="AVK38" s="12">
        <f>ROUND(AVJ38*(1-AnnualMix),0)</f>
        <v/>
      </c>
      <c r="AVL38" s="12">
        <f>AVJ38-AVK38</f>
        <v/>
      </c>
      <c r="AVM38" s="12">
        <f>ROUND(AVK38*'Sens - Winter Pivot'!$B$6,0)</f>
        <v/>
      </c>
      <c r="AVN38" s="12">
        <f>ROUND(AVK38*PremiumMix,0)</f>
        <v/>
      </c>
      <c r="AVO38" s="12">
        <f>AVK38-AVM38-AVN38</f>
        <v/>
      </c>
      <c r="AVP38" s="12">
        <f>ROUND(AVL38*'Sens - Winter Pivot'!$B$6,0)</f>
        <v/>
      </c>
      <c r="AVQ38" s="12">
        <f>ROUND(AVL38*PremiumMix,0)</f>
        <v/>
      </c>
      <c r="AVR38" s="12">
        <f>AVL38-AVP38-AVQ38</f>
        <v/>
      </c>
      <c r="AVS38" s="12">
        <f>AVM38+AVM37+AVM36+MAX(0,AVS37-AVM37-AVM36)*(1-AVF38)</f>
        <v/>
      </c>
      <c r="AVT38" s="12">
        <f>AVN38+AVN37+AVN36+MAX(0,AVT37-AVN37-AVN36)*(1-AVF38)</f>
        <v/>
      </c>
      <c r="AVU38" s="12">
        <f>AVO38+AVO37+AVO36+MAX(0,AVU37-AVO37-AVO36)*(1-AVF38)</f>
        <v/>
      </c>
      <c r="AVV38" s="12">
        <f>AVV37+AVP38-AVP26*(AnnualChurn*VLOOKUP(AVB38,ChurnSeasonTable,4,FALSE))*POWER(1-(AnnualChurn*VLOOKUP(AVB38,ChurnSeasonTable,4,FALSE)),0)+AVP14*(AnnualChurn*VLOOKUP(AVB38,ChurnSeasonTable,4,FALSE))*POWER(1-(AnnualChurn*VLOOKUP(AVB38,ChurnSeasonTable,4,FALSE)),1)</f>
        <v/>
      </c>
      <c r="AVW38" s="12">
        <f>AVW37+AVQ38-AVQ26*(AnnualChurn*VLOOKUP(AVB38,ChurnSeasonTable,4,FALSE))*POWER(1-(AnnualChurn*VLOOKUP(AVB38,ChurnSeasonTable,4,FALSE)),0)+AVQ14*(AnnualChurn*VLOOKUP(AVB38,ChurnSeasonTable,4,FALSE))*POWER(1-(AnnualChurn*VLOOKUP(AVB38,ChurnSeasonTable,4,FALSE)),1)</f>
        <v/>
      </c>
      <c r="AVX38" s="12">
        <f>AVX37+AVR38-AVR26*(AnnualChurn*VLOOKUP(AVB38,ChurnSeasonTable,4,FALSE))*POWER(1-(AnnualChurn*VLOOKUP(AVB38,ChurnSeasonTable,4,FALSE)),0)+AVR14*(AnnualChurn*VLOOKUP(AVB38,ChurnSeasonTable,4,FALSE))*POWER(1-(AnnualChurn*VLOOKUP(AVB38,ChurnSeasonTable,4,FALSE)),1)</f>
        <v/>
      </c>
      <c r="AVY38" s="12">
        <f>AVS38+AVT38+AVU38+AVV38+AVW38+AVX38</f>
        <v/>
      </c>
      <c r="AVZ38" s="9">
        <f>AVS38*BlendedPriceEssMonthly*AVE38+AVT38*(BlendedPricePremMonthly+'Sens - Winter Pivot'!$B$7)*AVE38+AVU38*BlendedPriceEliteMonthly*AVE38+AVV38*BlendedPriceEssAnnual*AVE38/12+AVW38*(BlendedPricePremAnnual+'Sens - Winter Pivot'!$B$7*12)*AVE38/12+AVX38*BlendedPriceEliteAnnual*AVE38/12</f>
        <v/>
      </c>
      <c r="AWA38" s="9">
        <f>AVZ38*12</f>
        <v/>
      </c>
      <c r="AWB38" s="12">
        <f>AVS38*BlendedPriceEssMonthly*AVE38+AVT38*(BlendedPricePremMonthly+'Sens - Winter Pivot'!$B$7)*AVE38+AVU38*BlendedPriceEliteMonthly*AVE38</f>
        <v/>
      </c>
      <c r="AWC38" s="12">
        <f>AVP38*BlendedPriceEssAnnual*AVE38+AVQ38*(BlendedPricePremAnnual+'Sens - Winter Pivot'!$B$7*12)*AVE38+AVR38*BlendedPriceEliteAnnual*AVE38</f>
        <v/>
      </c>
      <c r="AWD38" s="12">
        <f>AVP26*POWER(1-(AnnualChurn*VLOOKUP(AVB38,ChurnSeasonTable,4,FALSE)),1)*BlendedPriceEssAnnual*AVE38+AVP14*POWER(1-(AnnualChurn*VLOOKUP(AVB38,ChurnSeasonTable,4,FALSE)),2)*BlendedPriceEssAnnual*AVE38+AVQ26*POWER(1-(AnnualChurn*VLOOKUP(AVB38,ChurnSeasonTable,4,FALSE)),1)*BlendedPricePremAnnual*AVE38+AVQ14*POWER(1-(AnnualChurn*VLOOKUP(AVB38,ChurnSeasonTable,4,FALSE)),2)*BlendedPricePremAnnual*AVE38+AVR26*POWER(1-(AnnualChurn*VLOOKUP(AVB38,ChurnSeasonTable,4,FALSE)),1)*BlendedPriceEliteAnnual*AVE38+AVR14*POWER(1-(AnnualChurn*VLOOKUP(AVB38,ChurnSeasonTable,4,FALSE)),2)*BlendedPriceEliteAnnual*AVE38</f>
        <v/>
      </c>
      <c r="AWE38" s="9">
        <f>AWB38+AWC38+AWD38</f>
        <v/>
      </c>
      <c r="AWF38" s="12">
        <f>SUM(AWE27:AWE38)</f>
        <v/>
      </c>
      <c r="AWG38" s="12">
        <f>OR(AWG37,IF(VATAgentMode,SUM($AWE27:$AWE38)-SUM($AWL27:$AWL38)&gt;=VATThreshold,SUM($AWE27:$AWE38)&gt;=VATThreshold))</f>
        <v/>
      </c>
      <c r="AWH38" s="9">
        <f>IF(AWG38,IF(VATAgentMode,AWE38-((AWE38-AWL38)-(AWE38-AWL38)/(1+VATRate)),AWE38/(1+VATRate)),AWE38)</f>
        <v/>
      </c>
      <c r="AWI38" s="12">
        <f>AWE38-AWH38</f>
        <v/>
      </c>
      <c r="AWJ38" s="12">
        <f>IF(AWG38=0,0,IF(AVB38=1,SUMPRODUCT(--(($AVC$5:$AVC38=$AVC38-1)*($AVB$5:$AVB38&gt;=10)*($AVB$5:$AVB38&lt;=12)),$AWI$5:$AWI38),IF(AVB38=4,SUMPRODUCT(--(($AVC$5:$AVC38=$AVC38)*($AVB$5:$AVB38&gt;=1)*($AVB$5:$AVB38&lt;=3)),$AWI$5:$AWI38),IF(AVB38=7,SUMPRODUCT(--(($AVC$5:$AVC38=$AVC38)*($AVB$5:$AVB38&gt;=4)*($AVB$5:$AVB38&lt;=6)),$AWI$5:$AWI38),IF(AVB38=10,SUMPRODUCT(--(($AVC$5:$AVC38=$AVC38)*($AVB$5:$AVB38&gt;=7)*($AVB$5:$AVB38&lt;=9)),$AWI$5:$AWI38),0)))))</f>
        <v/>
      </c>
      <c r="AWK38" s="12">
        <f>AWK37+AWI38-AWJ38</f>
        <v/>
      </c>
      <c r="AWL38" s="12">
        <f>IF(ProviderDelay&gt;=1,AVS37*BlendedProvPayEss+AVT37*BlendedProvPayPrem+AVU37*BlendedProvPayElite+AVV37*BlendedProvPayEss+AVW37*BlendedProvPayPrem+AVX37*BlendedProvPayElite,AVS38*BlendedProvPayEss+AVT38*BlendedProvPayPrem+AVU38*BlendedProvPayElite+AVV38*BlendedProvPayEss+AVW38*BlendedProvPayPrem+AVX38*BlendedProvPayElite)</f>
        <v/>
      </c>
      <c r="AWM38" s="12">
        <f>AWE38*PaymentFee</f>
        <v/>
      </c>
      <c r="AWN38" s="12">
        <f>AVY38*OpsAI</f>
        <v/>
      </c>
      <c r="AWO38" s="12">
        <f>MonthlyFixed</f>
        <v/>
      </c>
      <c r="AWP38" s="12">
        <f>AVI38*ReferralReward</f>
        <v/>
      </c>
      <c r="AWQ38" s="12">
        <f>AVG38</f>
        <v/>
      </c>
      <c r="AWR38" s="9">
        <f>AWH38-AWL38-AWM38-AWN38-AWO38-AWP38-AWQ38</f>
        <v/>
      </c>
      <c r="AWS38" s="9">
        <f>AWS37+AWE38-(AWL38+AWM38+AWN38+AWO38+AWP38+AWQ38+AWJ38)</f>
        <v/>
      </c>
      <c r="AWT38" s="12">
        <f>IF(AVY38&gt;0,AVZ38/AVY38,0)</f>
        <v/>
      </c>
      <c r="AWU38" s="11">
        <f>IF(AVY37&gt;0,MAX(0,(AVY37+AVJ38-AVY38)/AVY37),0)</f>
        <v/>
      </c>
    </row>
    <row r="39">
      <c r="A39" s="12" t="n">
        <v>35</v>
      </c>
      <c r="B39" s="12">
        <f>MOD(A39-1+LaunchMonth-1,12)+1</f>
        <v/>
      </c>
      <c r="C39" s="12">
        <f>INT((A39-1+LaunchMonth-1)/12)+1</f>
        <v/>
      </c>
      <c r="D39" s="12">
        <f>VLOOKUP(B39,SeasonTable,2,FALSE)</f>
        <v/>
      </c>
      <c r="E39" s="12">
        <f>(1+InflationRate)^INT((A39-1)/12)</f>
        <v/>
      </c>
      <c r="F39" s="11">
        <f>'Sens - Scenarios'!$B$5*VLOOKUP(B39,ChurnSeasonTable,4,FALSE)</f>
        <v/>
      </c>
      <c r="G39" s="12">
        <f>MIN(MAX(MktMin19plus,AE38*MktPct19plus),MAX(0,AS38-CashBuffer))</f>
        <v/>
      </c>
      <c r="H39" s="12">
        <f>IF(G39&gt;0,MAX(1,ROUND(G39/'Sens - Scenarios'!$B$8*D39,0)),0)</f>
        <v/>
      </c>
      <c r="I39" s="12">
        <f>IF(H39&gt;0,ROUND(H39*ReferralMix/(1-ReferralMix),0),0)</f>
        <v/>
      </c>
      <c r="J39" s="12">
        <f>H39+I39</f>
        <v/>
      </c>
      <c r="K39" s="12">
        <f>ROUND(J39*(1-'Sens - Scenarios'!$B$7),0)</f>
        <v/>
      </c>
      <c r="L39" s="12">
        <f>J39-K39</f>
        <v/>
      </c>
      <c r="M39" s="12">
        <f>ROUND(K39*EssentialMix,0)</f>
        <v/>
      </c>
      <c r="N39" s="12">
        <f>ROUND(K39*PremiumMix,0)</f>
        <v/>
      </c>
      <c r="O39" s="12">
        <f>K39-M39-N39</f>
        <v/>
      </c>
      <c r="P39" s="12">
        <f>ROUND(L39*EssentialMix,0)</f>
        <v/>
      </c>
      <c r="Q39" s="12">
        <f>ROUND(L39*PremiumMix,0)</f>
        <v/>
      </c>
      <c r="R39" s="12">
        <f>L39-P39-Q39</f>
        <v/>
      </c>
      <c r="S39" s="12">
        <f>M39+M38+M37+MAX(0,S38-M38-M37)*(1-F39)</f>
        <v/>
      </c>
      <c r="T39" s="12">
        <f>N39+N38+N37+MAX(0,T38-N38-N37)*(1-F39)</f>
        <v/>
      </c>
      <c r="U39" s="12">
        <f>O39+O38+O37+MAX(0,U38-O38-O37)*(1-F39)</f>
        <v/>
      </c>
      <c r="V39" s="12">
        <f>V38+P39-P27*('Sens - Scenarios'!$B$6*VLOOKUP(B39,ChurnSeasonTable,4,FALSE))*POWER(1-('Sens - Scenarios'!$B$6*VLOOKUP(B39,ChurnSeasonTable,4,FALSE)),0)+P15*('Sens - Scenarios'!$B$6*VLOOKUP(B39,ChurnSeasonTable,4,FALSE))*POWER(1-('Sens - Scenarios'!$B$6*VLOOKUP(B39,ChurnSeasonTable,4,FALSE)),1)</f>
        <v/>
      </c>
      <c r="W39" s="12">
        <f>W38+Q39-Q27*('Sens - Scenarios'!$B$6*VLOOKUP(B39,ChurnSeasonTable,4,FALSE))*POWER(1-('Sens - Scenarios'!$B$6*VLOOKUP(B39,ChurnSeasonTable,4,FALSE)),0)+Q15*('Sens - Scenarios'!$B$6*VLOOKUP(B39,ChurnSeasonTable,4,FALSE))*POWER(1-('Sens - Scenarios'!$B$6*VLOOKUP(B39,ChurnSeasonTable,4,FALSE)),1)</f>
        <v/>
      </c>
      <c r="X39" s="12">
        <f>X38+R39-R27*('Sens - Scenarios'!$B$6*VLOOKUP(B39,ChurnSeasonTable,4,FALSE))*POWER(1-('Sens - Scenarios'!$B$6*VLOOKUP(B39,ChurnSeasonTable,4,FALSE)),0)+R15*('Sens - Scenarios'!$B$6*VLOOKUP(B39,ChurnSeasonTable,4,FALSE))*POWER(1-('Sens - Scenarios'!$B$6*VLOOKUP(B39,ChurnSeasonTable,4,FALSE)),1)</f>
        <v/>
      </c>
      <c r="Y39" s="12">
        <f>S39+T39+U39+V39+W39+X39</f>
        <v/>
      </c>
      <c r="Z39" s="9">
        <f>S39*BlendedPriceEssMonthly*E39+T39*BlendedPricePremMonthly*E39+U39*BlendedPriceEliteMonthly*E39+V39*BlendedPriceEssAnnual*E39/12+W39*BlendedPricePremAnnual*E39/12+X39*BlendedPriceEliteAnnual*E39/12</f>
        <v/>
      </c>
      <c r="AA39" s="9">
        <f>Z39*12</f>
        <v/>
      </c>
      <c r="AB39" s="12">
        <f>S39*BlendedPriceEssMonthly*E39+T39*BlendedPricePremMonthly*E39+U39*BlendedPriceEliteMonthly*E39</f>
        <v/>
      </c>
      <c r="AC39" s="12">
        <f>P39*BlendedPriceEssAnnual*E39+Q39*BlendedPricePremAnnual*E39+R39*BlendedPriceEliteAnnual*E39</f>
        <v/>
      </c>
      <c r="AD39" s="12">
        <f>P27*POWER(1-('Sens - Scenarios'!$B$6*VLOOKUP(B39,ChurnSeasonTable,4,FALSE)),1)*BlendedPriceEssAnnual*E39+P15*POWER(1-('Sens - Scenarios'!$B$6*VLOOKUP(B39,ChurnSeasonTable,4,FALSE)),2)*BlendedPriceEssAnnual*E39+Q27*POWER(1-('Sens - Scenarios'!$B$6*VLOOKUP(B39,ChurnSeasonTable,4,FALSE)),1)*BlendedPricePremAnnual*E39+Q15*POWER(1-('Sens - Scenarios'!$B$6*VLOOKUP(B39,ChurnSeasonTable,4,FALSE)),2)*BlendedPricePremAnnual*E39+R27*POWER(1-('Sens - Scenarios'!$B$6*VLOOKUP(B39,ChurnSeasonTable,4,FALSE)),1)*BlendedPriceEliteAnnual*E39+R15*POWER(1-('Sens - Scenarios'!$B$6*VLOOKUP(B39,ChurnSeasonTable,4,FALSE)),2)*BlendedPriceEliteAnnual*E39</f>
        <v/>
      </c>
      <c r="AE39" s="9">
        <f>AB39+AC39+AD39</f>
        <v/>
      </c>
      <c r="AF39" s="12">
        <f>SUM(AE28:AE39)</f>
        <v/>
      </c>
      <c r="AG39" s="12">
        <f>OR(AG38,IF(VATAgentMode,SUM($AE28:$AE39)-SUM($AL28:$AL39)&gt;=VATThreshold,SUM($AE28:$AE39)&gt;=VATThreshold))</f>
        <v/>
      </c>
      <c r="AH39" s="9">
        <f>IF(AG39,IF(VATAgentMode,AE39-((AE39-AL39)-(AE39-AL39)/(1+VATRate)),AE39/(1+VATRate)),AE39)</f>
        <v/>
      </c>
      <c r="AI39" s="12">
        <f>AE39-AH39</f>
        <v/>
      </c>
      <c r="AJ39" s="12">
        <f>IF(AG39=0,0,IF(B39=1,SUMPRODUCT(--(($C$5:$C39=$C39-1)*($B$5:$B39&gt;=10)*($B$5:$B39&lt;=12)),$AI$5:$AI39),IF(B39=4,SUMPRODUCT(--(($C$5:$C39=$C39)*($B$5:$B39&gt;=1)*($B$5:$B39&lt;=3)),$AI$5:$AI39),IF(B39=7,SUMPRODUCT(--(($C$5:$C39=$C39)*($B$5:$B39&gt;=4)*($B$5:$B39&lt;=6)),$AI$5:$AI39),IF(B39=10,SUMPRODUCT(--(($C$5:$C39=$C39)*($B$5:$B39&gt;=7)*($B$5:$B39&lt;=9)),$AI$5:$AI39),0)))))</f>
        <v/>
      </c>
      <c r="AK39" s="12">
        <f>AK38+AI39-AJ39</f>
        <v/>
      </c>
      <c r="AL39" s="12">
        <f>IF(ProviderDelay&gt;=1,S38*BlendedProvPayEss+T38*BlendedProvPayPrem+U38*BlendedProvPayElite+V38*BlendedProvPayEss+W38*BlendedProvPayPrem+X38*BlendedProvPayElite,S39*BlendedProvPayEss+T39*BlendedProvPayPrem+U39*BlendedProvPayElite+V39*BlendedProvPayEss+W39*BlendedProvPayPrem+X39*BlendedProvPayElite)</f>
        <v/>
      </c>
      <c r="AM39" s="12">
        <f>AE39*PaymentFee</f>
        <v/>
      </c>
      <c r="AN39" s="12">
        <f>Y39*OpsAI</f>
        <v/>
      </c>
      <c r="AO39" s="12">
        <f>MonthlyFixed</f>
        <v/>
      </c>
      <c r="AP39" s="12">
        <f>I39*ReferralReward</f>
        <v/>
      </c>
      <c r="AQ39" s="12">
        <f>G39</f>
        <v/>
      </c>
      <c r="AR39" s="9">
        <f>AH39-AL39-AM39-AN39-AO39-AP39-AQ39</f>
        <v/>
      </c>
      <c r="AS39" s="9">
        <f>AS38+AE39-(AL39+AM39+AN39+AO39+AP39+AQ39+AJ39)</f>
        <v/>
      </c>
      <c r="AT39" s="12">
        <f>IF(Y39&gt;0,Z39/Y39,0)</f>
        <v/>
      </c>
      <c r="AU39" s="11">
        <f>IF(Y38&gt;0,MAX(0,(Y38+J39-Y39)/Y38),0)</f>
        <v/>
      </c>
      <c r="AW39" s="12" t="n">
        <v>35</v>
      </c>
      <c r="AX39" s="12">
        <f>MOD(AW39-1+LaunchMonth-1,12)+1</f>
        <v/>
      </c>
      <c r="AY39" s="12">
        <f>INT((AW39-1+LaunchMonth-1)/12)+1</f>
        <v/>
      </c>
      <c r="AZ39" s="12">
        <f>VLOOKUP(AX39,SeasonTable,2,FALSE)</f>
        <v/>
      </c>
      <c r="BA39" s="12">
        <f>(1+InflationRate)^INT((AW39-1)/12)</f>
        <v/>
      </c>
      <c r="BB39" s="11">
        <f>MonthlyChurn*VLOOKUP(AX39,ChurnSeasonTable,4,FALSE)</f>
        <v/>
      </c>
      <c r="BC39" s="12">
        <f>MIN(MAX(MktMin19plus,CA38*MktPct19plus),MAX(0,CO38-CashBuffer))</f>
        <v/>
      </c>
      <c r="BD39" s="12">
        <f>IF(BC39&gt;0,MAX(1,ROUND(BC39/CAC*AZ39,0)),0)</f>
        <v/>
      </c>
      <c r="BE39" s="12">
        <f>IF(BD39&gt;0,ROUND(BD39*ReferralMix/(1-ReferralMix),0),0)</f>
        <v/>
      </c>
      <c r="BF39" s="12">
        <f>BD39+BE39</f>
        <v/>
      </c>
      <c r="BG39" s="12">
        <f>ROUND(BF39*(1-AnnualMix),0)</f>
        <v/>
      </c>
      <c r="BH39" s="12">
        <f>BF39-BG39</f>
        <v/>
      </c>
      <c r="BI39" s="12">
        <f>ROUND(BG39*EssentialMix,0)</f>
        <v/>
      </c>
      <c r="BJ39" s="12">
        <f>ROUND(BG39*PremiumMix,0)</f>
        <v/>
      </c>
      <c r="BK39" s="12">
        <f>BG39-BI39-BJ39</f>
        <v/>
      </c>
      <c r="BL39" s="12">
        <f>ROUND(BH39*EssentialMix,0)</f>
        <v/>
      </c>
      <c r="BM39" s="12">
        <f>ROUND(BH39*PremiumMix,0)</f>
        <v/>
      </c>
      <c r="BN39" s="12">
        <f>BH39-BL39-BM39</f>
        <v/>
      </c>
      <c r="BO39" s="12">
        <f>BI39+BI38+BI37+MAX(0,BO38-BI38-BI37)*(1-BB39)</f>
        <v/>
      </c>
      <c r="BP39" s="12">
        <f>BJ39+BJ38+BJ37+MAX(0,BP38-BJ38-BJ37)*(1-BB39)</f>
        <v/>
      </c>
      <c r="BQ39" s="12">
        <f>BK39+BK38+BK37+MAX(0,BQ38-BK38-BK37)*(1-BB39)</f>
        <v/>
      </c>
      <c r="BR39" s="12">
        <f>BR38+BL39-BL27*(AnnualChurn*VLOOKUP(AX39,ChurnSeasonTable,4,FALSE))*POWER(1-(AnnualChurn*VLOOKUP(AX39,ChurnSeasonTable,4,FALSE)),0)+BL15*(AnnualChurn*VLOOKUP(AX39,ChurnSeasonTable,4,FALSE))*POWER(1-(AnnualChurn*VLOOKUP(AX39,ChurnSeasonTable,4,FALSE)),1)</f>
        <v/>
      </c>
      <c r="BS39" s="12">
        <f>BS38+BM39-BM27*(AnnualChurn*VLOOKUP(AX39,ChurnSeasonTable,4,FALSE))*POWER(1-(AnnualChurn*VLOOKUP(AX39,ChurnSeasonTable,4,FALSE)),0)+BM15*(AnnualChurn*VLOOKUP(AX39,ChurnSeasonTable,4,FALSE))*POWER(1-(AnnualChurn*VLOOKUP(AX39,ChurnSeasonTable,4,FALSE)),1)</f>
        <v/>
      </c>
      <c r="BT39" s="12">
        <f>BT38+BN39-BN27*(AnnualChurn*VLOOKUP(AX39,ChurnSeasonTable,4,FALSE))*POWER(1-(AnnualChurn*VLOOKUP(AX39,ChurnSeasonTable,4,FALSE)),0)+BN15*(AnnualChurn*VLOOKUP(AX39,ChurnSeasonTable,4,FALSE))*POWER(1-(AnnualChurn*VLOOKUP(AX39,ChurnSeasonTable,4,FALSE)),1)</f>
        <v/>
      </c>
      <c r="BU39" s="12">
        <f>BO39+BP39+BQ39+BR39+BS39+BT39</f>
        <v/>
      </c>
      <c r="BV39" s="9">
        <f>BO39*BlendedPriceEssMonthly*BA39+BP39*BlendedPricePremMonthly*BA39+BQ39*BlendedPriceEliteMonthly*BA39+BR39*BlendedPriceEssAnnual*BA39/12+BS39*BlendedPricePremAnnual*BA39/12+BT39*BlendedPriceEliteAnnual*BA39/12</f>
        <v/>
      </c>
      <c r="BW39" s="9">
        <f>BV39*12</f>
        <v/>
      </c>
      <c r="BX39" s="12">
        <f>BO39*BlendedPriceEssMonthly*BA39+BP39*BlendedPricePremMonthly*BA39+BQ39*BlendedPriceEliteMonthly*BA39</f>
        <v/>
      </c>
      <c r="BY39" s="12">
        <f>BL39*BlendedPriceEssAnnual*BA39+BM39*BlendedPricePremAnnual*BA39+BN39*BlendedPriceEliteAnnual*BA39</f>
        <v/>
      </c>
      <c r="BZ39" s="12">
        <f>BL27*POWER(1-(AnnualChurn*VLOOKUP(AX39,ChurnSeasonTable,4,FALSE)),1)*BlendedPriceEssAnnual*BA39+BL15*POWER(1-(AnnualChurn*VLOOKUP(AX39,ChurnSeasonTable,4,FALSE)),2)*BlendedPriceEssAnnual*BA39+BM27*POWER(1-(AnnualChurn*VLOOKUP(AX39,ChurnSeasonTable,4,FALSE)),1)*BlendedPricePremAnnual*BA39+BM15*POWER(1-(AnnualChurn*VLOOKUP(AX39,ChurnSeasonTable,4,FALSE)),2)*BlendedPricePremAnnual*BA39+BN27*POWER(1-(AnnualChurn*VLOOKUP(AX39,ChurnSeasonTable,4,FALSE)),1)*BlendedPriceEliteAnnual*BA39+BN15*POWER(1-(AnnualChurn*VLOOKUP(AX39,ChurnSeasonTable,4,FALSE)),2)*BlendedPriceEliteAnnual*BA39</f>
        <v/>
      </c>
      <c r="CA39" s="9">
        <f>BX39+BY39+BZ39</f>
        <v/>
      </c>
      <c r="CB39" s="12">
        <f>SUM(CA28:CA39)</f>
        <v/>
      </c>
      <c r="CC39" s="12">
        <f>OR(CC38,IF(VATAgentMode,SUM($CA28:$CA39)-SUM($CH28:$CH39)&gt;=VATThreshold,SUM($CA28:$CA39)&gt;=VATThreshold))</f>
        <v/>
      </c>
      <c r="CD39" s="9">
        <f>IF(CC39,IF(VATAgentMode,CA39-((CA39-CH39)-(CA39-CH39)/(1+VATRate)),CA39/(1+VATRate)),CA39)</f>
        <v/>
      </c>
      <c r="CE39" s="12">
        <f>CA39-CD39</f>
        <v/>
      </c>
      <c r="CF39" s="12">
        <f>IF(CC39=0,0,IF(AX39=1,SUMPRODUCT(--(($AY$5:$AY39=$AY39-1)*($AX$5:$AX39&gt;=10)*($AX$5:$AX39&lt;=12)),$CE$5:$CE39),IF(AX39=4,SUMPRODUCT(--(($AY$5:$AY39=$AY39)*($AX$5:$AX39&gt;=1)*($AX$5:$AX39&lt;=3)),$CE$5:$CE39),IF(AX39=7,SUMPRODUCT(--(($AY$5:$AY39=$AY39)*($AX$5:$AX39&gt;=4)*($AX$5:$AX39&lt;=6)),$CE$5:$CE39),IF(AX39=10,SUMPRODUCT(--(($AY$5:$AY39=$AY39)*($AX$5:$AX39&gt;=7)*($AX$5:$AX39&lt;=9)),$CE$5:$CE39),0)))))</f>
        <v/>
      </c>
      <c r="CG39" s="12">
        <f>CG38+CE39-CF39</f>
        <v/>
      </c>
      <c r="CH39" s="12">
        <f>IF(ProviderDelay&gt;=1,BO38*BlendedProvPayEss+BP38*BlendedProvPayPrem+BQ38*BlendedProvPayElite+BR38*BlendedProvPayEss+BS38*BlendedProvPayPrem+BT38*BlendedProvPayElite,BO39*BlendedProvPayEss+BP39*BlendedProvPayPrem+BQ39*BlendedProvPayElite+BR39*BlendedProvPayEss+BS39*BlendedProvPayPrem+BT39*BlendedProvPayElite)</f>
        <v/>
      </c>
      <c r="CI39" s="12">
        <f>CA39*PaymentFee</f>
        <v/>
      </c>
      <c r="CJ39" s="12">
        <f>BU39*OpsAI</f>
        <v/>
      </c>
      <c r="CK39" s="12">
        <f>MonthlyFixed</f>
        <v/>
      </c>
      <c r="CL39" s="12">
        <f>BE39*ReferralReward</f>
        <v/>
      </c>
      <c r="CM39" s="12">
        <f>BC39</f>
        <v/>
      </c>
      <c r="CN39" s="9">
        <f>CD39-CH39-CI39-CJ39-CK39-CL39-CM39</f>
        <v/>
      </c>
      <c r="CO39" s="9">
        <f>CO38+CA39-(CH39+CI39+CJ39+CK39+CL39+CM39+CF39)</f>
        <v/>
      </c>
      <c r="CP39" s="12">
        <f>IF(BU39&gt;0,BV39/BU39,0)</f>
        <v/>
      </c>
      <c r="CQ39" s="11">
        <f>IF(BU38&gt;0,MAX(0,(BU38+BF39-BU39)/BU38),0)</f>
        <v/>
      </c>
      <c r="CS39" s="12" t="n">
        <v>35</v>
      </c>
      <c r="CT39" s="12">
        <f>MOD(CS39-1+LaunchMonth-1,12)+1</f>
        <v/>
      </c>
      <c r="CU39" s="12">
        <f>INT((CS39-1+LaunchMonth-1)/12)+1</f>
        <v/>
      </c>
      <c r="CV39" s="12">
        <f>VLOOKUP(CT39,SeasonTable,2,FALSE)</f>
        <v/>
      </c>
      <c r="CW39" s="12">
        <f>(1+InflationRate)^INT((CS39-1)/12)</f>
        <v/>
      </c>
      <c r="CX39" s="11">
        <f>'Sens - Scenarios'!$D$5*VLOOKUP(CT39,ChurnSeasonTable,4,FALSE)</f>
        <v/>
      </c>
      <c r="CY39" s="12">
        <f>MIN(MAX(MktMin19plus,DW38*MktPct19plus),MAX(0,EK38-CashBuffer))</f>
        <v/>
      </c>
      <c r="CZ39" s="12">
        <f>IF(CY39&gt;0,MAX(1,ROUND(CY39/'Sens - Scenarios'!$D$8*CV39,0)),0)</f>
        <v/>
      </c>
      <c r="DA39" s="12">
        <f>IF(CZ39&gt;0,ROUND(CZ39*ReferralMix/(1-ReferralMix),0),0)</f>
        <v/>
      </c>
      <c r="DB39" s="12">
        <f>CZ39+DA39</f>
        <v/>
      </c>
      <c r="DC39" s="12">
        <f>ROUND(DB39*(1-'Sens - Scenarios'!$D$7),0)</f>
        <v/>
      </c>
      <c r="DD39" s="12">
        <f>DB39-DC39</f>
        <v/>
      </c>
      <c r="DE39" s="12">
        <f>ROUND(DC39*EssentialMix,0)</f>
        <v/>
      </c>
      <c r="DF39" s="12">
        <f>ROUND(DC39*PremiumMix,0)</f>
        <v/>
      </c>
      <c r="DG39" s="12">
        <f>DC39-DE39-DF39</f>
        <v/>
      </c>
      <c r="DH39" s="12">
        <f>ROUND(DD39*EssentialMix,0)</f>
        <v/>
      </c>
      <c r="DI39" s="12">
        <f>ROUND(DD39*PremiumMix,0)</f>
        <v/>
      </c>
      <c r="DJ39" s="12">
        <f>DD39-DH39-DI39</f>
        <v/>
      </c>
      <c r="DK39" s="12">
        <f>DE39+DE38+DE37+MAX(0,DK38-DE38-DE37)*(1-CX39)</f>
        <v/>
      </c>
      <c r="DL39" s="12">
        <f>DF39+DF38+DF37+MAX(0,DL38-DF38-DF37)*(1-CX39)</f>
        <v/>
      </c>
      <c r="DM39" s="12">
        <f>DG39+DG38+DG37+MAX(0,DM38-DG38-DG37)*(1-CX39)</f>
        <v/>
      </c>
      <c r="DN39" s="12">
        <f>DN38+DH39-DH27*('Sens - Scenarios'!$D$6*VLOOKUP(CT39,ChurnSeasonTable,4,FALSE))*POWER(1-('Sens - Scenarios'!$D$6*VLOOKUP(CT39,ChurnSeasonTable,4,FALSE)),0)+DH15*('Sens - Scenarios'!$D$6*VLOOKUP(CT39,ChurnSeasonTable,4,FALSE))*POWER(1-('Sens - Scenarios'!$D$6*VLOOKUP(CT39,ChurnSeasonTable,4,FALSE)),1)</f>
        <v/>
      </c>
      <c r="DO39" s="12">
        <f>DO38+DI39-DI27*('Sens - Scenarios'!$D$6*VLOOKUP(CT39,ChurnSeasonTable,4,FALSE))*POWER(1-('Sens - Scenarios'!$D$6*VLOOKUP(CT39,ChurnSeasonTable,4,FALSE)),0)+DI15*('Sens - Scenarios'!$D$6*VLOOKUP(CT39,ChurnSeasonTable,4,FALSE))*POWER(1-('Sens - Scenarios'!$D$6*VLOOKUP(CT39,ChurnSeasonTable,4,FALSE)),1)</f>
        <v/>
      </c>
      <c r="DP39" s="12">
        <f>DP38+DJ39-DJ27*('Sens - Scenarios'!$D$6*VLOOKUP(CT39,ChurnSeasonTable,4,FALSE))*POWER(1-('Sens - Scenarios'!$D$6*VLOOKUP(CT39,ChurnSeasonTable,4,FALSE)),0)+DJ15*('Sens - Scenarios'!$D$6*VLOOKUP(CT39,ChurnSeasonTable,4,FALSE))*POWER(1-('Sens - Scenarios'!$D$6*VLOOKUP(CT39,ChurnSeasonTable,4,FALSE)),1)</f>
        <v/>
      </c>
      <c r="DQ39" s="12">
        <f>DK39+DL39+DM39+DN39+DO39+DP39</f>
        <v/>
      </c>
      <c r="DR39" s="9">
        <f>DK39*BlendedPriceEssMonthly*CW39+DL39*BlendedPricePremMonthly*CW39+DM39*BlendedPriceEliteMonthly*CW39+DN39*BlendedPriceEssAnnual*CW39/12+DO39*BlendedPricePremAnnual*CW39/12+DP39*BlendedPriceEliteAnnual*CW39/12</f>
        <v/>
      </c>
      <c r="DS39" s="9">
        <f>DR39*12</f>
        <v/>
      </c>
      <c r="DT39" s="12">
        <f>DK39*BlendedPriceEssMonthly*CW39+DL39*BlendedPricePremMonthly*CW39+DM39*BlendedPriceEliteMonthly*CW39</f>
        <v/>
      </c>
      <c r="DU39" s="12">
        <f>DH39*BlendedPriceEssAnnual*CW39+DI39*BlendedPricePremAnnual*CW39+DJ39*BlendedPriceEliteAnnual*CW39</f>
        <v/>
      </c>
      <c r="DV39" s="12">
        <f>DH27*POWER(1-('Sens - Scenarios'!$D$6*VLOOKUP(CT39,ChurnSeasonTable,4,FALSE)),1)*BlendedPriceEssAnnual*CW39+DH15*POWER(1-('Sens - Scenarios'!$D$6*VLOOKUP(CT39,ChurnSeasonTable,4,FALSE)),2)*BlendedPriceEssAnnual*CW39+DI27*POWER(1-('Sens - Scenarios'!$D$6*VLOOKUP(CT39,ChurnSeasonTable,4,FALSE)),1)*BlendedPricePremAnnual*CW39+DI15*POWER(1-('Sens - Scenarios'!$D$6*VLOOKUP(CT39,ChurnSeasonTable,4,FALSE)),2)*BlendedPricePremAnnual*CW39+DJ27*POWER(1-('Sens - Scenarios'!$D$6*VLOOKUP(CT39,ChurnSeasonTable,4,FALSE)),1)*BlendedPriceEliteAnnual*CW39+DJ15*POWER(1-('Sens - Scenarios'!$D$6*VLOOKUP(CT39,ChurnSeasonTable,4,FALSE)),2)*BlendedPriceEliteAnnual*CW39</f>
        <v/>
      </c>
      <c r="DW39" s="9">
        <f>DT39+DU39+DV39</f>
        <v/>
      </c>
      <c r="DX39" s="12">
        <f>SUM(DW28:DW39)</f>
        <v/>
      </c>
      <c r="DY39" s="12">
        <f>OR(DY38,IF(VATAgentMode,SUM($DW28:$DW39)-SUM($ED28:$ED39)&gt;=VATThreshold,SUM($DW28:$DW39)&gt;=VATThreshold))</f>
        <v/>
      </c>
      <c r="DZ39" s="9">
        <f>IF(DY39,IF(VATAgentMode,DW39-((DW39-ED39)-(DW39-ED39)/(1+VATRate)),DW39/(1+VATRate)),DW39)</f>
        <v/>
      </c>
      <c r="EA39" s="12">
        <f>DW39-DZ39</f>
        <v/>
      </c>
      <c r="EB39" s="12">
        <f>IF(DY39=0,0,IF(CT39=1,SUMPRODUCT(--(($CU$5:$CU39=$CU39-1)*($CT$5:$CT39&gt;=10)*($CT$5:$CT39&lt;=12)),$EA$5:$EA39),IF(CT39=4,SUMPRODUCT(--(($CU$5:$CU39=$CU39)*($CT$5:$CT39&gt;=1)*($CT$5:$CT39&lt;=3)),$EA$5:$EA39),IF(CT39=7,SUMPRODUCT(--(($CU$5:$CU39=$CU39)*($CT$5:$CT39&gt;=4)*($CT$5:$CT39&lt;=6)),$EA$5:$EA39),IF(CT39=10,SUMPRODUCT(--(($CU$5:$CU39=$CU39)*($CT$5:$CT39&gt;=7)*($CT$5:$CT39&lt;=9)),$EA$5:$EA39),0)))))</f>
        <v/>
      </c>
      <c r="EC39" s="12">
        <f>EC38+EA39-EB39</f>
        <v/>
      </c>
      <c r="ED39" s="12">
        <f>IF(ProviderDelay&gt;=1,DK38*BlendedProvPayEss+DL38*BlendedProvPayPrem+DM38*BlendedProvPayElite+DN38*BlendedProvPayEss+DO38*BlendedProvPayPrem+DP38*BlendedProvPayElite,DK39*BlendedProvPayEss+DL39*BlendedProvPayPrem+DM39*BlendedProvPayElite+DN39*BlendedProvPayEss+DO39*BlendedProvPayPrem+DP39*BlendedProvPayElite)</f>
        <v/>
      </c>
      <c r="EE39" s="12">
        <f>DW39*PaymentFee</f>
        <v/>
      </c>
      <c r="EF39" s="12">
        <f>DQ39*OpsAI</f>
        <v/>
      </c>
      <c r="EG39" s="12">
        <f>MonthlyFixed</f>
        <v/>
      </c>
      <c r="EH39" s="12">
        <f>DA39*ReferralReward</f>
        <v/>
      </c>
      <c r="EI39" s="12">
        <f>CY39</f>
        <v/>
      </c>
      <c r="EJ39" s="9">
        <f>DZ39-ED39-EE39-EF39-EG39-EH39-EI39</f>
        <v/>
      </c>
      <c r="EK39" s="9">
        <f>EK38+DW39-(ED39+EE39+EF39+EG39+EH39+EI39+EB39)</f>
        <v/>
      </c>
      <c r="EL39" s="12">
        <f>IF(DQ39&gt;0,DR39/DQ39,0)</f>
        <v/>
      </c>
      <c r="EM39" s="11">
        <f>IF(DQ38&gt;0,MAX(0,(DQ38+DB39-DQ39)/DQ38),0)</f>
        <v/>
      </c>
      <c r="EO39" s="12" t="n">
        <v>35</v>
      </c>
      <c r="EP39" s="12">
        <f>MOD(EO39-1+LaunchMonth-1,12)+1</f>
        <v/>
      </c>
      <c r="EQ39" s="12">
        <f>INT((EO39-1+LaunchMonth-1)/12)+1</f>
        <v/>
      </c>
      <c r="ER39" s="12">
        <f>VLOOKUP(EP39,SeasonTable,2,FALSE)</f>
        <v/>
      </c>
      <c r="ES39" s="12">
        <f>(1+InflationRate)^INT((EO39-1)/12)</f>
        <v/>
      </c>
      <c r="ET39" s="11">
        <f>'Sens - Churn'!$A$13*VLOOKUP(EP39,ChurnSeasonTable,4,FALSE)</f>
        <v/>
      </c>
      <c r="EU39" s="12">
        <f>MIN(MAX(MktMin19plus,FS38*MktPct19plus),MAX(0,GG38-CashBuffer))</f>
        <v/>
      </c>
      <c r="EV39" s="12">
        <f>IF(EU39&gt;0,MAX(1,ROUND(EU39/CAC*ER39,0)),0)</f>
        <v/>
      </c>
      <c r="EW39" s="12">
        <f>IF(EV39&gt;0,ROUND(EV39*ReferralMix/(1-ReferralMix),0),0)</f>
        <v/>
      </c>
      <c r="EX39" s="12">
        <f>EV39+EW39</f>
        <v/>
      </c>
      <c r="EY39" s="12">
        <f>ROUND(EX39*(1-AnnualMix),0)</f>
        <v/>
      </c>
      <c r="EZ39" s="12">
        <f>EX39-EY39</f>
        <v/>
      </c>
      <c r="FA39" s="12">
        <f>ROUND(EY39*EssentialMix,0)</f>
        <v/>
      </c>
      <c r="FB39" s="12">
        <f>ROUND(EY39*PremiumMix,0)</f>
        <v/>
      </c>
      <c r="FC39" s="12">
        <f>EY39-FA39-FB39</f>
        <v/>
      </c>
      <c r="FD39" s="12">
        <f>ROUND(EZ39*EssentialMix,0)</f>
        <v/>
      </c>
      <c r="FE39" s="12">
        <f>ROUND(EZ39*PremiumMix,0)</f>
        <v/>
      </c>
      <c r="FF39" s="12">
        <f>EZ39-FD39-FE39</f>
        <v/>
      </c>
      <c r="FG39" s="12">
        <f>FA39+FA38+FA37+MAX(0,FG38-FA38-FA37)*(1-ET39)</f>
        <v/>
      </c>
      <c r="FH39" s="12">
        <f>FB39+FB38+FB37+MAX(0,FH38-FB38-FB37)*(1-ET39)</f>
        <v/>
      </c>
      <c r="FI39" s="12">
        <f>FC39+FC38+FC37+MAX(0,FI38-FC38-FC37)*(1-ET39)</f>
        <v/>
      </c>
      <c r="FJ39" s="12">
        <f>FJ38+FD39-FD27*(AnnualChurn*VLOOKUP(EP39,ChurnSeasonTable,4,FALSE))*POWER(1-(AnnualChurn*VLOOKUP(EP39,ChurnSeasonTable,4,FALSE)),0)+FD15*(AnnualChurn*VLOOKUP(EP39,ChurnSeasonTable,4,FALSE))*POWER(1-(AnnualChurn*VLOOKUP(EP39,ChurnSeasonTable,4,FALSE)),1)</f>
        <v/>
      </c>
      <c r="FK39" s="12">
        <f>FK38+FE39-FE27*(AnnualChurn*VLOOKUP(EP39,ChurnSeasonTable,4,FALSE))*POWER(1-(AnnualChurn*VLOOKUP(EP39,ChurnSeasonTable,4,FALSE)),0)+FE15*(AnnualChurn*VLOOKUP(EP39,ChurnSeasonTable,4,FALSE))*POWER(1-(AnnualChurn*VLOOKUP(EP39,ChurnSeasonTable,4,FALSE)),1)</f>
        <v/>
      </c>
      <c r="FL39" s="12">
        <f>FL38+FF39-FF27*(AnnualChurn*VLOOKUP(EP39,ChurnSeasonTable,4,FALSE))*POWER(1-(AnnualChurn*VLOOKUP(EP39,ChurnSeasonTable,4,FALSE)),0)+FF15*(AnnualChurn*VLOOKUP(EP39,ChurnSeasonTable,4,FALSE))*POWER(1-(AnnualChurn*VLOOKUP(EP39,ChurnSeasonTable,4,FALSE)),1)</f>
        <v/>
      </c>
      <c r="FM39" s="12">
        <f>FG39+FH39+FI39+FJ39+FK39+FL39</f>
        <v/>
      </c>
      <c r="FN39" s="9">
        <f>FG39*BlendedPriceEssMonthly*ES39+FH39*BlendedPricePremMonthly*ES39+FI39*BlendedPriceEliteMonthly*ES39+FJ39*BlendedPriceEssAnnual*ES39/12+FK39*BlendedPricePremAnnual*ES39/12+FL39*BlendedPriceEliteAnnual*ES39/12</f>
        <v/>
      </c>
      <c r="FO39" s="9">
        <f>FN39*12</f>
        <v/>
      </c>
      <c r="FP39" s="12">
        <f>FG39*BlendedPriceEssMonthly*ES39+FH39*BlendedPricePremMonthly*ES39+FI39*BlendedPriceEliteMonthly*ES39</f>
        <v/>
      </c>
      <c r="FQ39" s="12">
        <f>FD39*BlendedPriceEssAnnual*ES39+FE39*BlendedPricePremAnnual*ES39+FF39*BlendedPriceEliteAnnual*ES39</f>
        <v/>
      </c>
      <c r="FR39" s="12">
        <f>FD27*POWER(1-(AnnualChurn*VLOOKUP(EP39,ChurnSeasonTable,4,FALSE)),1)*BlendedPriceEssAnnual*ES39+FD15*POWER(1-(AnnualChurn*VLOOKUP(EP39,ChurnSeasonTable,4,FALSE)),2)*BlendedPriceEssAnnual*ES39+FE27*POWER(1-(AnnualChurn*VLOOKUP(EP39,ChurnSeasonTable,4,FALSE)),1)*BlendedPricePremAnnual*ES39+FE15*POWER(1-(AnnualChurn*VLOOKUP(EP39,ChurnSeasonTable,4,FALSE)),2)*BlendedPricePremAnnual*ES39+FF27*POWER(1-(AnnualChurn*VLOOKUP(EP39,ChurnSeasonTable,4,FALSE)),1)*BlendedPriceEliteAnnual*ES39+FF15*POWER(1-(AnnualChurn*VLOOKUP(EP39,ChurnSeasonTable,4,FALSE)),2)*BlendedPriceEliteAnnual*ES39</f>
        <v/>
      </c>
      <c r="FS39" s="9">
        <f>FP39+FQ39+FR39</f>
        <v/>
      </c>
      <c r="FT39" s="12">
        <f>SUM(FS28:FS39)</f>
        <v/>
      </c>
      <c r="FU39" s="12">
        <f>OR(FU38,IF(VATAgentMode,SUM($FS28:$FS39)-SUM($FZ28:$FZ39)&gt;=VATThreshold,SUM($FS28:$FS39)&gt;=VATThreshold))</f>
        <v/>
      </c>
      <c r="FV39" s="9">
        <f>IF(FU39,IF(VATAgentMode,FS39-((FS39-FZ39)-(FS39-FZ39)/(1+VATRate)),FS39/(1+VATRate)),FS39)</f>
        <v/>
      </c>
      <c r="FW39" s="12">
        <f>FS39-FV39</f>
        <v/>
      </c>
      <c r="FX39" s="12">
        <f>IF(FU39=0,0,IF(EP39=1,SUMPRODUCT(--(($EQ$5:$EQ39=$EQ39-1)*($EP$5:$EP39&gt;=10)*($EP$5:$EP39&lt;=12)),$FW$5:$FW39),IF(EP39=4,SUMPRODUCT(--(($EQ$5:$EQ39=$EQ39)*($EP$5:$EP39&gt;=1)*($EP$5:$EP39&lt;=3)),$FW$5:$FW39),IF(EP39=7,SUMPRODUCT(--(($EQ$5:$EQ39=$EQ39)*($EP$5:$EP39&gt;=4)*($EP$5:$EP39&lt;=6)),$FW$5:$FW39),IF(EP39=10,SUMPRODUCT(--(($EQ$5:$EQ39=$EQ39)*($EP$5:$EP39&gt;=7)*($EP$5:$EP39&lt;=9)),$FW$5:$FW39),0)))))</f>
        <v/>
      </c>
      <c r="FY39" s="12">
        <f>FY38+FW39-FX39</f>
        <v/>
      </c>
      <c r="FZ39" s="12">
        <f>IF(ProviderDelay&gt;=1,FG38*BlendedProvPayEss+FH38*BlendedProvPayPrem+FI38*BlendedProvPayElite+FJ38*BlendedProvPayEss+FK38*BlendedProvPayPrem+FL38*BlendedProvPayElite,FG39*BlendedProvPayEss+FH39*BlendedProvPayPrem+FI39*BlendedProvPayElite+FJ39*BlendedProvPayEss+FK39*BlendedProvPayPrem+FL39*BlendedProvPayElite)</f>
        <v/>
      </c>
      <c r="GA39" s="12">
        <f>FS39*PaymentFee</f>
        <v/>
      </c>
      <c r="GB39" s="12">
        <f>FM39*OpsAI</f>
        <v/>
      </c>
      <c r="GC39" s="12">
        <f>MonthlyFixed</f>
        <v/>
      </c>
      <c r="GD39" s="12">
        <f>EW39*ReferralReward</f>
        <v/>
      </c>
      <c r="GE39" s="12">
        <f>EU39</f>
        <v/>
      </c>
      <c r="GF39" s="9">
        <f>FV39-FZ39-GA39-GB39-GC39-GD39-GE39</f>
        <v/>
      </c>
      <c r="GG39" s="9">
        <f>GG38+FS39-(FZ39+GA39+GB39+GC39+GD39+GE39+FX39)</f>
        <v/>
      </c>
      <c r="GH39" s="12">
        <f>IF(FM39&gt;0,FN39/FM39,0)</f>
        <v/>
      </c>
      <c r="GI39" s="11">
        <f>IF(FM38&gt;0,MAX(0,(FM38+EX39-FM39)/FM38),0)</f>
        <v/>
      </c>
      <c r="GK39" s="12" t="n">
        <v>35</v>
      </c>
      <c r="GL39" s="12">
        <f>MOD(GK39-1+LaunchMonth-1,12)+1</f>
        <v/>
      </c>
      <c r="GM39" s="12">
        <f>INT((GK39-1+LaunchMonth-1)/12)+1</f>
        <v/>
      </c>
      <c r="GN39" s="12">
        <f>VLOOKUP(GL39,SeasonTable,2,FALSE)</f>
        <v/>
      </c>
      <c r="GO39" s="12">
        <f>(1+InflationRate)^INT((GK39-1)/12)</f>
        <v/>
      </c>
      <c r="GP39" s="11">
        <f>'Sens - Churn'!$A$14*VLOOKUP(GL39,ChurnSeasonTable,4,FALSE)</f>
        <v/>
      </c>
      <c r="GQ39" s="12">
        <f>MIN(MAX(MktMin19plus,HO38*MktPct19plus),MAX(0,IC38-CashBuffer))</f>
        <v/>
      </c>
      <c r="GR39" s="12">
        <f>IF(GQ39&gt;0,MAX(1,ROUND(GQ39/CAC*GN39,0)),0)</f>
        <v/>
      </c>
      <c r="GS39" s="12">
        <f>IF(GR39&gt;0,ROUND(GR39*ReferralMix/(1-ReferralMix),0),0)</f>
        <v/>
      </c>
      <c r="GT39" s="12">
        <f>GR39+GS39</f>
        <v/>
      </c>
      <c r="GU39" s="12">
        <f>ROUND(GT39*(1-AnnualMix),0)</f>
        <v/>
      </c>
      <c r="GV39" s="12">
        <f>GT39-GU39</f>
        <v/>
      </c>
      <c r="GW39" s="12">
        <f>ROUND(GU39*EssentialMix,0)</f>
        <v/>
      </c>
      <c r="GX39" s="12">
        <f>ROUND(GU39*PremiumMix,0)</f>
        <v/>
      </c>
      <c r="GY39" s="12">
        <f>GU39-GW39-GX39</f>
        <v/>
      </c>
      <c r="GZ39" s="12">
        <f>ROUND(GV39*EssentialMix,0)</f>
        <v/>
      </c>
      <c r="HA39" s="12">
        <f>ROUND(GV39*PremiumMix,0)</f>
        <v/>
      </c>
      <c r="HB39" s="12">
        <f>GV39-GZ39-HA39</f>
        <v/>
      </c>
      <c r="HC39" s="12">
        <f>GW39+GW38+GW37+MAX(0,HC38-GW38-GW37)*(1-GP39)</f>
        <v/>
      </c>
      <c r="HD39" s="12">
        <f>GX39+GX38+GX37+MAX(0,HD38-GX38-GX37)*(1-GP39)</f>
        <v/>
      </c>
      <c r="HE39" s="12">
        <f>GY39+GY38+GY37+MAX(0,HE38-GY38-GY37)*(1-GP39)</f>
        <v/>
      </c>
      <c r="HF39" s="12">
        <f>HF38+GZ39-GZ27*(AnnualChurn*VLOOKUP(GL39,ChurnSeasonTable,4,FALSE))*POWER(1-(AnnualChurn*VLOOKUP(GL39,ChurnSeasonTable,4,FALSE)),0)+GZ15*(AnnualChurn*VLOOKUP(GL39,ChurnSeasonTable,4,FALSE))*POWER(1-(AnnualChurn*VLOOKUP(GL39,ChurnSeasonTable,4,FALSE)),1)</f>
        <v/>
      </c>
      <c r="HG39" s="12">
        <f>HG38+HA39-HA27*(AnnualChurn*VLOOKUP(GL39,ChurnSeasonTable,4,FALSE))*POWER(1-(AnnualChurn*VLOOKUP(GL39,ChurnSeasonTable,4,FALSE)),0)+HA15*(AnnualChurn*VLOOKUP(GL39,ChurnSeasonTable,4,FALSE))*POWER(1-(AnnualChurn*VLOOKUP(GL39,ChurnSeasonTable,4,FALSE)),1)</f>
        <v/>
      </c>
      <c r="HH39" s="12">
        <f>HH38+HB39-HB27*(AnnualChurn*VLOOKUP(GL39,ChurnSeasonTable,4,FALSE))*POWER(1-(AnnualChurn*VLOOKUP(GL39,ChurnSeasonTable,4,FALSE)),0)+HB15*(AnnualChurn*VLOOKUP(GL39,ChurnSeasonTable,4,FALSE))*POWER(1-(AnnualChurn*VLOOKUP(GL39,ChurnSeasonTable,4,FALSE)),1)</f>
        <v/>
      </c>
      <c r="HI39" s="12">
        <f>HC39+HD39+HE39+HF39+HG39+HH39</f>
        <v/>
      </c>
      <c r="HJ39" s="9">
        <f>HC39*BlendedPriceEssMonthly*GO39+HD39*BlendedPricePremMonthly*GO39+HE39*BlendedPriceEliteMonthly*GO39+HF39*BlendedPriceEssAnnual*GO39/12+HG39*BlendedPricePremAnnual*GO39/12+HH39*BlendedPriceEliteAnnual*GO39/12</f>
        <v/>
      </c>
      <c r="HK39" s="9">
        <f>HJ39*12</f>
        <v/>
      </c>
      <c r="HL39" s="12">
        <f>HC39*BlendedPriceEssMonthly*GO39+HD39*BlendedPricePremMonthly*GO39+HE39*BlendedPriceEliteMonthly*GO39</f>
        <v/>
      </c>
      <c r="HM39" s="12">
        <f>GZ39*BlendedPriceEssAnnual*GO39+HA39*BlendedPricePremAnnual*GO39+HB39*BlendedPriceEliteAnnual*GO39</f>
        <v/>
      </c>
      <c r="HN39" s="12">
        <f>GZ27*POWER(1-(AnnualChurn*VLOOKUP(GL39,ChurnSeasonTable,4,FALSE)),1)*BlendedPriceEssAnnual*GO39+GZ15*POWER(1-(AnnualChurn*VLOOKUP(GL39,ChurnSeasonTable,4,FALSE)),2)*BlendedPriceEssAnnual*GO39+HA27*POWER(1-(AnnualChurn*VLOOKUP(GL39,ChurnSeasonTable,4,FALSE)),1)*BlendedPricePremAnnual*GO39+HA15*POWER(1-(AnnualChurn*VLOOKUP(GL39,ChurnSeasonTable,4,FALSE)),2)*BlendedPricePremAnnual*GO39+HB27*POWER(1-(AnnualChurn*VLOOKUP(GL39,ChurnSeasonTable,4,FALSE)),1)*BlendedPriceEliteAnnual*GO39+HB15*POWER(1-(AnnualChurn*VLOOKUP(GL39,ChurnSeasonTable,4,FALSE)),2)*BlendedPriceEliteAnnual*GO39</f>
        <v/>
      </c>
      <c r="HO39" s="9">
        <f>HL39+HM39+HN39</f>
        <v/>
      </c>
      <c r="HP39" s="12">
        <f>SUM(HO28:HO39)</f>
        <v/>
      </c>
      <c r="HQ39" s="12">
        <f>OR(HQ38,IF(VATAgentMode,SUM($HO28:$HO39)-SUM($HV28:$HV39)&gt;=VATThreshold,SUM($HO28:$HO39)&gt;=VATThreshold))</f>
        <v/>
      </c>
      <c r="HR39" s="9">
        <f>IF(HQ39,IF(VATAgentMode,HO39-((HO39-HV39)-(HO39-HV39)/(1+VATRate)),HO39/(1+VATRate)),HO39)</f>
        <v/>
      </c>
      <c r="HS39" s="12">
        <f>HO39-HR39</f>
        <v/>
      </c>
      <c r="HT39" s="12">
        <f>IF(HQ39=0,0,IF(GL39=1,SUMPRODUCT(--(($GM$5:$GM39=$GM39-1)*($GL$5:$GL39&gt;=10)*($GL$5:$GL39&lt;=12)),$HS$5:$HS39),IF(GL39=4,SUMPRODUCT(--(($GM$5:$GM39=$GM39)*($GL$5:$GL39&gt;=1)*($GL$5:$GL39&lt;=3)),$HS$5:$HS39),IF(GL39=7,SUMPRODUCT(--(($GM$5:$GM39=$GM39)*($GL$5:$GL39&gt;=4)*($GL$5:$GL39&lt;=6)),$HS$5:$HS39),IF(GL39=10,SUMPRODUCT(--(($GM$5:$GM39=$GM39)*($GL$5:$GL39&gt;=7)*($GL$5:$GL39&lt;=9)),$HS$5:$HS39),0)))))</f>
        <v/>
      </c>
      <c r="HU39" s="12">
        <f>HU38+HS39-HT39</f>
        <v/>
      </c>
      <c r="HV39" s="12">
        <f>IF(ProviderDelay&gt;=1,HC38*BlendedProvPayEss+HD38*BlendedProvPayPrem+HE38*BlendedProvPayElite+HF38*BlendedProvPayEss+HG38*BlendedProvPayPrem+HH38*BlendedProvPayElite,HC39*BlendedProvPayEss+HD39*BlendedProvPayPrem+HE39*BlendedProvPayElite+HF39*BlendedProvPayEss+HG39*BlendedProvPayPrem+HH39*BlendedProvPayElite)</f>
        <v/>
      </c>
      <c r="HW39" s="12">
        <f>HO39*PaymentFee</f>
        <v/>
      </c>
      <c r="HX39" s="12">
        <f>HI39*OpsAI</f>
        <v/>
      </c>
      <c r="HY39" s="12">
        <f>MonthlyFixed</f>
        <v/>
      </c>
      <c r="HZ39" s="12">
        <f>GS39*ReferralReward</f>
        <v/>
      </c>
      <c r="IA39" s="12">
        <f>GQ39</f>
        <v/>
      </c>
      <c r="IB39" s="9">
        <f>HR39-HV39-HW39-HX39-HY39-HZ39-IA39</f>
        <v/>
      </c>
      <c r="IC39" s="9">
        <f>IC38+HO39-(HV39+HW39+HX39+HY39+HZ39+IA39+HT39)</f>
        <v/>
      </c>
      <c r="ID39" s="12">
        <f>IF(HI39&gt;0,HJ39/HI39,0)</f>
        <v/>
      </c>
      <c r="IE39" s="11">
        <f>IF(HI38&gt;0,MAX(0,(HI38+GT39-HI39)/HI38),0)</f>
        <v/>
      </c>
      <c r="IG39" s="12" t="n">
        <v>35</v>
      </c>
      <c r="IH39" s="12">
        <f>MOD(IG39-1+LaunchMonth-1,12)+1</f>
        <v/>
      </c>
      <c r="II39" s="12">
        <f>INT((IG39-1+LaunchMonth-1)/12)+1</f>
        <v/>
      </c>
      <c r="IJ39" s="12">
        <f>VLOOKUP(IH39,SeasonTable,2,FALSE)</f>
        <v/>
      </c>
      <c r="IK39" s="12">
        <f>(1+InflationRate)^INT((IG39-1)/12)</f>
        <v/>
      </c>
      <c r="IL39" s="11">
        <f>'Sens - Churn'!$A$15*VLOOKUP(IH39,ChurnSeasonTable,4,FALSE)</f>
        <v/>
      </c>
      <c r="IM39" s="12">
        <f>MIN(MAX(MktMin19plus,JK38*MktPct19plus),MAX(0,JY38-CashBuffer))</f>
        <v/>
      </c>
      <c r="IN39" s="12">
        <f>IF(IM39&gt;0,MAX(1,ROUND(IM39/CAC*IJ39,0)),0)</f>
        <v/>
      </c>
      <c r="IO39" s="12">
        <f>IF(IN39&gt;0,ROUND(IN39*ReferralMix/(1-ReferralMix),0),0)</f>
        <v/>
      </c>
      <c r="IP39" s="12">
        <f>IN39+IO39</f>
        <v/>
      </c>
      <c r="IQ39" s="12">
        <f>ROUND(IP39*(1-AnnualMix),0)</f>
        <v/>
      </c>
      <c r="IR39" s="12">
        <f>IP39-IQ39</f>
        <v/>
      </c>
      <c r="IS39" s="12">
        <f>ROUND(IQ39*EssentialMix,0)</f>
        <v/>
      </c>
      <c r="IT39" s="12">
        <f>ROUND(IQ39*PremiumMix,0)</f>
        <v/>
      </c>
      <c r="IU39" s="12">
        <f>IQ39-IS39-IT39</f>
        <v/>
      </c>
      <c r="IV39" s="12">
        <f>ROUND(IR39*EssentialMix,0)</f>
        <v/>
      </c>
      <c r="IW39" s="12">
        <f>ROUND(IR39*PremiumMix,0)</f>
        <v/>
      </c>
      <c r="IX39" s="12">
        <f>IR39-IV39-IW39</f>
        <v/>
      </c>
      <c r="IY39" s="12">
        <f>IS39+IS38+IS37+MAX(0,IY38-IS38-IS37)*(1-IL39)</f>
        <v/>
      </c>
      <c r="IZ39" s="12">
        <f>IT39+IT38+IT37+MAX(0,IZ38-IT38-IT37)*(1-IL39)</f>
        <v/>
      </c>
      <c r="JA39" s="12">
        <f>IU39+IU38+IU37+MAX(0,JA38-IU38-IU37)*(1-IL39)</f>
        <v/>
      </c>
      <c r="JB39" s="12">
        <f>JB38+IV39-IV27*(AnnualChurn*VLOOKUP(IH39,ChurnSeasonTable,4,FALSE))*POWER(1-(AnnualChurn*VLOOKUP(IH39,ChurnSeasonTable,4,FALSE)),0)+IV15*(AnnualChurn*VLOOKUP(IH39,ChurnSeasonTable,4,FALSE))*POWER(1-(AnnualChurn*VLOOKUP(IH39,ChurnSeasonTable,4,FALSE)),1)</f>
        <v/>
      </c>
      <c r="JC39" s="12">
        <f>JC38+IW39-IW27*(AnnualChurn*VLOOKUP(IH39,ChurnSeasonTable,4,FALSE))*POWER(1-(AnnualChurn*VLOOKUP(IH39,ChurnSeasonTable,4,FALSE)),0)+IW15*(AnnualChurn*VLOOKUP(IH39,ChurnSeasonTable,4,FALSE))*POWER(1-(AnnualChurn*VLOOKUP(IH39,ChurnSeasonTable,4,FALSE)),1)</f>
        <v/>
      </c>
      <c r="JD39" s="12">
        <f>JD38+IX39-IX27*(AnnualChurn*VLOOKUP(IH39,ChurnSeasonTable,4,FALSE))*POWER(1-(AnnualChurn*VLOOKUP(IH39,ChurnSeasonTable,4,FALSE)),0)+IX15*(AnnualChurn*VLOOKUP(IH39,ChurnSeasonTable,4,FALSE))*POWER(1-(AnnualChurn*VLOOKUP(IH39,ChurnSeasonTable,4,FALSE)),1)</f>
        <v/>
      </c>
      <c r="JE39" s="12">
        <f>IY39+IZ39+JA39+JB39+JC39+JD39</f>
        <v/>
      </c>
      <c r="JF39" s="9">
        <f>IY39*BlendedPriceEssMonthly*IK39+IZ39*BlendedPricePremMonthly*IK39+JA39*BlendedPriceEliteMonthly*IK39+JB39*BlendedPriceEssAnnual*IK39/12+JC39*BlendedPricePremAnnual*IK39/12+JD39*BlendedPriceEliteAnnual*IK39/12</f>
        <v/>
      </c>
      <c r="JG39" s="9">
        <f>JF39*12</f>
        <v/>
      </c>
      <c r="JH39" s="12">
        <f>IY39*BlendedPriceEssMonthly*IK39+IZ39*BlendedPricePremMonthly*IK39+JA39*BlendedPriceEliteMonthly*IK39</f>
        <v/>
      </c>
      <c r="JI39" s="12">
        <f>IV39*BlendedPriceEssAnnual*IK39+IW39*BlendedPricePremAnnual*IK39+IX39*BlendedPriceEliteAnnual*IK39</f>
        <v/>
      </c>
      <c r="JJ39" s="12">
        <f>IV27*POWER(1-(AnnualChurn*VLOOKUP(IH39,ChurnSeasonTable,4,FALSE)),1)*BlendedPriceEssAnnual*IK39+IV15*POWER(1-(AnnualChurn*VLOOKUP(IH39,ChurnSeasonTable,4,FALSE)),2)*BlendedPriceEssAnnual*IK39+IW27*POWER(1-(AnnualChurn*VLOOKUP(IH39,ChurnSeasonTable,4,FALSE)),1)*BlendedPricePremAnnual*IK39+IW15*POWER(1-(AnnualChurn*VLOOKUP(IH39,ChurnSeasonTable,4,FALSE)),2)*BlendedPricePremAnnual*IK39+IX27*POWER(1-(AnnualChurn*VLOOKUP(IH39,ChurnSeasonTable,4,FALSE)),1)*BlendedPriceEliteAnnual*IK39+IX15*POWER(1-(AnnualChurn*VLOOKUP(IH39,ChurnSeasonTable,4,FALSE)),2)*BlendedPriceEliteAnnual*IK39</f>
        <v/>
      </c>
      <c r="JK39" s="9">
        <f>JH39+JI39+JJ39</f>
        <v/>
      </c>
      <c r="JL39" s="12">
        <f>SUM(JK28:JK39)</f>
        <v/>
      </c>
      <c r="JM39" s="12">
        <f>OR(JM38,IF(VATAgentMode,SUM($JK28:$JK39)-SUM($JR28:$JR39)&gt;=VATThreshold,SUM($JK28:$JK39)&gt;=VATThreshold))</f>
        <v/>
      </c>
      <c r="JN39" s="9">
        <f>IF(JM39,IF(VATAgentMode,JK39-((JK39-JR39)-(JK39-JR39)/(1+VATRate)),JK39/(1+VATRate)),JK39)</f>
        <v/>
      </c>
      <c r="JO39" s="12">
        <f>JK39-JN39</f>
        <v/>
      </c>
      <c r="JP39" s="12">
        <f>IF(JM39=0,0,IF(IH39=1,SUMPRODUCT(--(($II$5:$II39=$II39-1)*($IH$5:$IH39&gt;=10)*($IH$5:$IH39&lt;=12)),$JO$5:$JO39),IF(IH39=4,SUMPRODUCT(--(($II$5:$II39=$II39)*($IH$5:$IH39&gt;=1)*($IH$5:$IH39&lt;=3)),$JO$5:$JO39),IF(IH39=7,SUMPRODUCT(--(($II$5:$II39=$II39)*($IH$5:$IH39&gt;=4)*($IH$5:$IH39&lt;=6)),$JO$5:$JO39),IF(IH39=10,SUMPRODUCT(--(($II$5:$II39=$II39)*($IH$5:$IH39&gt;=7)*($IH$5:$IH39&lt;=9)),$JO$5:$JO39),0)))))</f>
        <v/>
      </c>
      <c r="JQ39" s="12">
        <f>JQ38+JO39-JP39</f>
        <v/>
      </c>
      <c r="JR39" s="12">
        <f>IF(ProviderDelay&gt;=1,IY38*BlendedProvPayEss+IZ38*BlendedProvPayPrem+JA38*BlendedProvPayElite+JB38*BlendedProvPayEss+JC38*BlendedProvPayPrem+JD38*BlendedProvPayElite,IY39*BlendedProvPayEss+IZ39*BlendedProvPayPrem+JA39*BlendedProvPayElite+JB39*BlendedProvPayEss+JC39*BlendedProvPayPrem+JD39*BlendedProvPayElite)</f>
        <v/>
      </c>
      <c r="JS39" s="12">
        <f>JK39*PaymentFee</f>
        <v/>
      </c>
      <c r="JT39" s="12">
        <f>JE39*OpsAI</f>
        <v/>
      </c>
      <c r="JU39" s="12">
        <f>MonthlyFixed</f>
        <v/>
      </c>
      <c r="JV39" s="12">
        <f>IO39*ReferralReward</f>
        <v/>
      </c>
      <c r="JW39" s="12">
        <f>IM39</f>
        <v/>
      </c>
      <c r="JX39" s="9">
        <f>JN39-JR39-JS39-JT39-JU39-JV39-JW39</f>
        <v/>
      </c>
      <c r="JY39" s="9">
        <f>JY38+JK39-(JR39+JS39+JT39+JU39+JV39+JW39+JP39)</f>
        <v/>
      </c>
      <c r="JZ39" s="12">
        <f>IF(JE39&gt;0,JF39/JE39,0)</f>
        <v/>
      </c>
      <c r="KA39" s="11">
        <f>IF(JE38&gt;0,MAX(0,(JE38+IP39-JE39)/JE38),0)</f>
        <v/>
      </c>
      <c r="KC39" s="12" t="n">
        <v>35</v>
      </c>
      <c r="KD39" s="12">
        <f>MOD(KC39-1+LaunchMonth-1,12)+1</f>
        <v/>
      </c>
      <c r="KE39" s="12">
        <f>INT((KC39-1+LaunchMonth-1)/12)+1</f>
        <v/>
      </c>
      <c r="KF39" s="12">
        <f>VLOOKUP(KD39,SeasonTable,2,FALSE)</f>
        <v/>
      </c>
      <c r="KG39" s="12">
        <f>(1+InflationRate)^INT((KC39-1)/12)</f>
        <v/>
      </c>
      <c r="KH39" s="11">
        <f>'Sens - Churn'!$A$16*VLOOKUP(KD39,ChurnSeasonTable,4,FALSE)</f>
        <v/>
      </c>
      <c r="KI39" s="12">
        <f>MIN(MAX(MktMin19plus,LG38*MktPct19plus),MAX(0,LU38-CashBuffer))</f>
        <v/>
      </c>
      <c r="KJ39" s="12">
        <f>IF(KI39&gt;0,MAX(1,ROUND(KI39/CAC*KF39,0)),0)</f>
        <v/>
      </c>
      <c r="KK39" s="12">
        <f>IF(KJ39&gt;0,ROUND(KJ39*ReferralMix/(1-ReferralMix),0),0)</f>
        <v/>
      </c>
      <c r="KL39" s="12">
        <f>KJ39+KK39</f>
        <v/>
      </c>
      <c r="KM39" s="12">
        <f>ROUND(KL39*(1-AnnualMix),0)</f>
        <v/>
      </c>
      <c r="KN39" s="12">
        <f>KL39-KM39</f>
        <v/>
      </c>
      <c r="KO39" s="12">
        <f>ROUND(KM39*EssentialMix,0)</f>
        <v/>
      </c>
      <c r="KP39" s="12">
        <f>ROUND(KM39*PremiumMix,0)</f>
        <v/>
      </c>
      <c r="KQ39" s="12">
        <f>KM39-KO39-KP39</f>
        <v/>
      </c>
      <c r="KR39" s="12">
        <f>ROUND(KN39*EssentialMix,0)</f>
        <v/>
      </c>
      <c r="KS39" s="12">
        <f>ROUND(KN39*PremiumMix,0)</f>
        <v/>
      </c>
      <c r="KT39" s="12">
        <f>KN39-KR39-KS39</f>
        <v/>
      </c>
      <c r="KU39" s="12">
        <f>KO39+KO38+KO37+MAX(0,KU38-KO38-KO37)*(1-KH39)</f>
        <v/>
      </c>
      <c r="KV39" s="12">
        <f>KP39+KP38+KP37+MAX(0,KV38-KP38-KP37)*(1-KH39)</f>
        <v/>
      </c>
      <c r="KW39" s="12">
        <f>KQ39+KQ38+KQ37+MAX(0,KW38-KQ38-KQ37)*(1-KH39)</f>
        <v/>
      </c>
      <c r="KX39" s="12">
        <f>KX38+KR39-KR27*(AnnualChurn*VLOOKUP(KD39,ChurnSeasonTable,4,FALSE))*POWER(1-(AnnualChurn*VLOOKUP(KD39,ChurnSeasonTable,4,FALSE)),0)+KR15*(AnnualChurn*VLOOKUP(KD39,ChurnSeasonTable,4,FALSE))*POWER(1-(AnnualChurn*VLOOKUP(KD39,ChurnSeasonTable,4,FALSE)),1)</f>
        <v/>
      </c>
      <c r="KY39" s="12">
        <f>KY38+KS39-KS27*(AnnualChurn*VLOOKUP(KD39,ChurnSeasonTable,4,FALSE))*POWER(1-(AnnualChurn*VLOOKUP(KD39,ChurnSeasonTable,4,FALSE)),0)+KS15*(AnnualChurn*VLOOKUP(KD39,ChurnSeasonTable,4,FALSE))*POWER(1-(AnnualChurn*VLOOKUP(KD39,ChurnSeasonTable,4,FALSE)),1)</f>
        <v/>
      </c>
      <c r="KZ39" s="12">
        <f>KZ38+KT39-KT27*(AnnualChurn*VLOOKUP(KD39,ChurnSeasonTable,4,FALSE))*POWER(1-(AnnualChurn*VLOOKUP(KD39,ChurnSeasonTable,4,FALSE)),0)+KT15*(AnnualChurn*VLOOKUP(KD39,ChurnSeasonTable,4,FALSE))*POWER(1-(AnnualChurn*VLOOKUP(KD39,ChurnSeasonTable,4,FALSE)),1)</f>
        <v/>
      </c>
      <c r="LA39" s="12">
        <f>KU39+KV39+KW39+KX39+KY39+KZ39</f>
        <v/>
      </c>
      <c r="LB39" s="9">
        <f>KU39*BlendedPriceEssMonthly*KG39+KV39*BlendedPricePremMonthly*KG39+KW39*BlendedPriceEliteMonthly*KG39+KX39*BlendedPriceEssAnnual*KG39/12+KY39*BlendedPricePremAnnual*KG39/12+KZ39*BlendedPriceEliteAnnual*KG39/12</f>
        <v/>
      </c>
      <c r="LC39" s="9">
        <f>LB39*12</f>
        <v/>
      </c>
      <c r="LD39" s="12">
        <f>KU39*BlendedPriceEssMonthly*KG39+KV39*BlendedPricePremMonthly*KG39+KW39*BlendedPriceEliteMonthly*KG39</f>
        <v/>
      </c>
      <c r="LE39" s="12">
        <f>KR39*BlendedPriceEssAnnual*KG39+KS39*BlendedPricePremAnnual*KG39+KT39*BlendedPriceEliteAnnual*KG39</f>
        <v/>
      </c>
      <c r="LF39" s="12">
        <f>KR27*POWER(1-(AnnualChurn*VLOOKUP(KD39,ChurnSeasonTable,4,FALSE)),1)*BlendedPriceEssAnnual*KG39+KR15*POWER(1-(AnnualChurn*VLOOKUP(KD39,ChurnSeasonTable,4,FALSE)),2)*BlendedPriceEssAnnual*KG39+KS27*POWER(1-(AnnualChurn*VLOOKUP(KD39,ChurnSeasonTable,4,FALSE)),1)*BlendedPricePremAnnual*KG39+KS15*POWER(1-(AnnualChurn*VLOOKUP(KD39,ChurnSeasonTable,4,FALSE)),2)*BlendedPricePremAnnual*KG39+KT27*POWER(1-(AnnualChurn*VLOOKUP(KD39,ChurnSeasonTable,4,FALSE)),1)*BlendedPriceEliteAnnual*KG39+KT15*POWER(1-(AnnualChurn*VLOOKUP(KD39,ChurnSeasonTable,4,FALSE)),2)*BlendedPriceEliteAnnual*KG39</f>
        <v/>
      </c>
      <c r="LG39" s="9">
        <f>LD39+LE39+LF39</f>
        <v/>
      </c>
      <c r="LH39" s="12">
        <f>SUM(LG28:LG39)</f>
        <v/>
      </c>
      <c r="LI39" s="12">
        <f>OR(LI38,IF(VATAgentMode,SUM($LG28:$LG39)-SUM($LN28:$LN39)&gt;=VATThreshold,SUM($LG28:$LG39)&gt;=VATThreshold))</f>
        <v/>
      </c>
      <c r="LJ39" s="9">
        <f>IF(LI39,IF(VATAgentMode,LG39-((LG39-LN39)-(LG39-LN39)/(1+VATRate)),LG39/(1+VATRate)),LG39)</f>
        <v/>
      </c>
      <c r="LK39" s="12">
        <f>LG39-LJ39</f>
        <v/>
      </c>
      <c r="LL39" s="12">
        <f>IF(LI39=0,0,IF(KD39=1,SUMPRODUCT(--(($KE$5:$KE39=$KE39-1)*($KD$5:$KD39&gt;=10)*($KD$5:$KD39&lt;=12)),$LK$5:$LK39),IF(KD39=4,SUMPRODUCT(--(($KE$5:$KE39=$KE39)*($KD$5:$KD39&gt;=1)*($KD$5:$KD39&lt;=3)),$LK$5:$LK39),IF(KD39=7,SUMPRODUCT(--(($KE$5:$KE39=$KE39)*($KD$5:$KD39&gt;=4)*($KD$5:$KD39&lt;=6)),$LK$5:$LK39),IF(KD39=10,SUMPRODUCT(--(($KE$5:$KE39=$KE39)*($KD$5:$KD39&gt;=7)*($KD$5:$KD39&lt;=9)),$LK$5:$LK39),0)))))</f>
        <v/>
      </c>
      <c r="LM39" s="12">
        <f>LM38+LK39-LL39</f>
        <v/>
      </c>
      <c r="LN39" s="12">
        <f>IF(ProviderDelay&gt;=1,KU38*BlendedProvPayEss+KV38*BlendedProvPayPrem+KW38*BlendedProvPayElite+KX38*BlendedProvPayEss+KY38*BlendedProvPayPrem+KZ38*BlendedProvPayElite,KU39*BlendedProvPayEss+KV39*BlendedProvPayPrem+KW39*BlendedProvPayElite+KX39*BlendedProvPayEss+KY39*BlendedProvPayPrem+KZ39*BlendedProvPayElite)</f>
        <v/>
      </c>
      <c r="LO39" s="12">
        <f>LG39*PaymentFee</f>
        <v/>
      </c>
      <c r="LP39" s="12">
        <f>LA39*OpsAI</f>
        <v/>
      </c>
      <c r="LQ39" s="12">
        <f>MonthlyFixed</f>
        <v/>
      </c>
      <c r="LR39" s="12">
        <f>KK39*ReferralReward</f>
        <v/>
      </c>
      <c r="LS39" s="12">
        <f>KI39</f>
        <v/>
      </c>
      <c r="LT39" s="9">
        <f>LJ39-LN39-LO39-LP39-LQ39-LR39-LS39</f>
        <v/>
      </c>
      <c r="LU39" s="9">
        <f>LU38+LG39-(LN39+LO39+LP39+LQ39+LR39+LS39+LL39)</f>
        <v/>
      </c>
      <c r="LV39" s="12">
        <f>IF(LA39&gt;0,LB39/LA39,0)</f>
        <v/>
      </c>
      <c r="LW39" s="11">
        <f>IF(LA38&gt;0,MAX(0,(LA38+KL39-LA39)/LA38),0)</f>
        <v/>
      </c>
      <c r="LY39" s="12" t="n">
        <v>35</v>
      </c>
      <c r="LZ39" s="12">
        <f>MOD(LY39-1+LaunchMonth-1,12)+1</f>
        <v/>
      </c>
      <c r="MA39" s="12">
        <f>INT((LY39-1+LaunchMonth-1)/12)+1</f>
        <v/>
      </c>
      <c r="MB39" s="12">
        <f>VLOOKUP(LZ39,SeasonTable,2,FALSE)</f>
        <v/>
      </c>
      <c r="MC39" s="12">
        <f>(1+InflationRate)^INT((LY39-1)/12)</f>
        <v/>
      </c>
      <c r="MD39" s="11">
        <f>'Sens - Churn'!$A$17*VLOOKUP(LZ39,ChurnSeasonTable,4,FALSE)</f>
        <v/>
      </c>
      <c r="ME39" s="12">
        <f>MIN(MAX(MktMin19plus,NC38*MktPct19plus),MAX(0,NQ38-CashBuffer))</f>
        <v/>
      </c>
      <c r="MF39" s="12">
        <f>IF(ME39&gt;0,MAX(1,ROUND(ME39/CAC*MB39,0)),0)</f>
        <v/>
      </c>
      <c r="MG39" s="12">
        <f>IF(MF39&gt;0,ROUND(MF39*ReferralMix/(1-ReferralMix),0),0)</f>
        <v/>
      </c>
      <c r="MH39" s="12">
        <f>MF39+MG39</f>
        <v/>
      </c>
      <c r="MI39" s="12">
        <f>ROUND(MH39*(1-AnnualMix),0)</f>
        <v/>
      </c>
      <c r="MJ39" s="12">
        <f>MH39-MI39</f>
        <v/>
      </c>
      <c r="MK39" s="12">
        <f>ROUND(MI39*EssentialMix,0)</f>
        <v/>
      </c>
      <c r="ML39" s="12">
        <f>ROUND(MI39*PremiumMix,0)</f>
        <v/>
      </c>
      <c r="MM39" s="12">
        <f>MI39-MK39-ML39</f>
        <v/>
      </c>
      <c r="MN39" s="12">
        <f>ROUND(MJ39*EssentialMix,0)</f>
        <v/>
      </c>
      <c r="MO39" s="12">
        <f>ROUND(MJ39*PremiumMix,0)</f>
        <v/>
      </c>
      <c r="MP39" s="12">
        <f>MJ39-MN39-MO39</f>
        <v/>
      </c>
      <c r="MQ39" s="12">
        <f>MK39+MK38+MK37+MAX(0,MQ38-MK38-MK37)*(1-MD39)</f>
        <v/>
      </c>
      <c r="MR39" s="12">
        <f>ML39+ML38+ML37+MAX(0,MR38-ML38-ML37)*(1-MD39)</f>
        <v/>
      </c>
      <c r="MS39" s="12">
        <f>MM39+MM38+MM37+MAX(0,MS38-MM38-MM37)*(1-MD39)</f>
        <v/>
      </c>
      <c r="MT39" s="12">
        <f>MT38+MN39-MN27*(AnnualChurn*VLOOKUP(LZ39,ChurnSeasonTable,4,FALSE))*POWER(1-(AnnualChurn*VLOOKUP(LZ39,ChurnSeasonTable,4,FALSE)),0)+MN15*(AnnualChurn*VLOOKUP(LZ39,ChurnSeasonTable,4,FALSE))*POWER(1-(AnnualChurn*VLOOKUP(LZ39,ChurnSeasonTable,4,FALSE)),1)</f>
        <v/>
      </c>
      <c r="MU39" s="12">
        <f>MU38+MO39-MO27*(AnnualChurn*VLOOKUP(LZ39,ChurnSeasonTable,4,FALSE))*POWER(1-(AnnualChurn*VLOOKUP(LZ39,ChurnSeasonTable,4,FALSE)),0)+MO15*(AnnualChurn*VLOOKUP(LZ39,ChurnSeasonTable,4,FALSE))*POWER(1-(AnnualChurn*VLOOKUP(LZ39,ChurnSeasonTable,4,FALSE)),1)</f>
        <v/>
      </c>
      <c r="MV39" s="12">
        <f>MV38+MP39-MP27*(AnnualChurn*VLOOKUP(LZ39,ChurnSeasonTable,4,FALSE))*POWER(1-(AnnualChurn*VLOOKUP(LZ39,ChurnSeasonTable,4,FALSE)),0)+MP15*(AnnualChurn*VLOOKUP(LZ39,ChurnSeasonTable,4,FALSE))*POWER(1-(AnnualChurn*VLOOKUP(LZ39,ChurnSeasonTable,4,FALSE)),1)</f>
        <v/>
      </c>
      <c r="MW39" s="12">
        <f>MQ39+MR39+MS39+MT39+MU39+MV39</f>
        <v/>
      </c>
      <c r="MX39" s="9">
        <f>MQ39*BlendedPriceEssMonthly*MC39+MR39*BlendedPricePremMonthly*MC39+MS39*BlendedPriceEliteMonthly*MC39+MT39*BlendedPriceEssAnnual*MC39/12+MU39*BlendedPricePremAnnual*MC39/12+MV39*BlendedPriceEliteAnnual*MC39/12</f>
        <v/>
      </c>
      <c r="MY39" s="9">
        <f>MX39*12</f>
        <v/>
      </c>
      <c r="MZ39" s="12">
        <f>MQ39*BlendedPriceEssMonthly*MC39+MR39*BlendedPricePremMonthly*MC39+MS39*BlendedPriceEliteMonthly*MC39</f>
        <v/>
      </c>
      <c r="NA39" s="12">
        <f>MN39*BlendedPriceEssAnnual*MC39+MO39*BlendedPricePremAnnual*MC39+MP39*BlendedPriceEliteAnnual*MC39</f>
        <v/>
      </c>
      <c r="NB39" s="12">
        <f>MN27*POWER(1-(AnnualChurn*VLOOKUP(LZ39,ChurnSeasonTable,4,FALSE)),1)*BlendedPriceEssAnnual*MC39+MN15*POWER(1-(AnnualChurn*VLOOKUP(LZ39,ChurnSeasonTable,4,FALSE)),2)*BlendedPriceEssAnnual*MC39+MO27*POWER(1-(AnnualChurn*VLOOKUP(LZ39,ChurnSeasonTable,4,FALSE)),1)*BlendedPricePremAnnual*MC39+MO15*POWER(1-(AnnualChurn*VLOOKUP(LZ39,ChurnSeasonTable,4,FALSE)),2)*BlendedPricePremAnnual*MC39+MP27*POWER(1-(AnnualChurn*VLOOKUP(LZ39,ChurnSeasonTable,4,FALSE)),1)*BlendedPriceEliteAnnual*MC39+MP15*POWER(1-(AnnualChurn*VLOOKUP(LZ39,ChurnSeasonTable,4,FALSE)),2)*BlendedPriceEliteAnnual*MC39</f>
        <v/>
      </c>
      <c r="NC39" s="9">
        <f>MZ39+NA39+NB39</f>
        <v/>
      </c>
      <c r="ND39" s="12">
        <f>SUM(NC28:NC39)</f>
        <v/>
      </c>
      <c r="NE39" s="12">
        <f>OR(NE38,IF(VATAgentMode,SUM($NC28:$NC39)-SUM($NJ28:$NJ39)&gt;=VATThreshold,SUM($NC28:$NC39)&gt;=VATThreshold))</f>
        <v/>
      </c>
      <c r="NF39" s="9">
        <f>IF(NE39,IF(VATAgentMode,NC39-((NC39-NJ39)-(NC39-NJ39)/(1+VATRate)),NC39/(1+VATRate)),NC39)</f>
        <v/>
      </c>
      <c r="NG39" s="12">
        <f>NC39-NF39</f>
        <v/>
      </c>
      <c r="NH39" s="12">
        <f>IF(NE39=0,0,IF(LZ39=1,SUMPRODUCT(--(($MA$5:$MA39=$MA39-1)*($LZ$5:$LZ39&gt;=10)*($LZ$5:$LZ39&lt;=12)),$NG$5:$NG39),IF(LZ39=4,SUMPRODUCT(--(($MA$5:$MA39=$MA39)*($LZ$5:$LZ39&gt;=1)*($LZ$5:$LZ39&lt;=3)),$NG$5:$NG39),IF(LZ39=7,SUMPRODUCT(--(($MA$5:$MA39=$MA39)*($LZ$5:$LZ39&gt;=4)*($LZ$5:$LZ39&lt;=6)),$NG$5:$NG39),IF(LZ39=10,SUMPRODUCT(--(($MA$5:$MA39=$MA39)*($LZ$5:$LZ39&gt;=7)*($LZ$5:$LZ39&lt;=9)),$NG$5:$NG39),0)))))</f>
        <v/>
      </c>
      <c r="NI39" s="12">
        <f>NI38+NG39-NH39</f>
        <v/>
      </c>
      <c r="NJ39" s="12">
        <f>IF(ProviderDelay&gt;=1,MQ38*BlendedProvPayEss+MR38*BlendedProvPayPrem+MS38*BlendedProvPayElite+MT38*BlendedProvPayEss+MU38*BlendedProvPayPrem+MV38*BlendedProvPayElite,MQ39*BlendedProvPayEss+MR39*BlendedProvPayPrem+MS39*BlendedProvPayElite+MT39*BlendedProvPayEss+MU39*BlendedProvPayPrem+MV39*BlendedProvPayElite)</f>
        <v/>
      </c>
      <c r="NK39" s="12">
        <f>NC39*PaymentFee</f>
        <v/>
      </c>
      <c r="NL39" s="12">
        <f>MW39*OpsAI</f>
        <v/>
      </c>
      <c r="NM39" s="12">
        <f>MonthlyFixed</f>
        <v/>
      </c>
      <c r="NN39" s="12">
        <f>MG39*ReferralReward</f>
        <v/>
      </c>
      <c r="NO39" s="12">
        <f>ME39</f>
        <v/>
      </c>
      <c r="NP39" s="9">
        <f>NF39-NJ39-NK39-NL39-NM39-NN39-NO39</f>
        <v/>
      </c>
      <c r="NQ39" s="9">
        <f>NQ38+NC39-(NJ39+NK39+NL39+NM39+NN39+NO39+NH39)</f>
        <v/>
      </c>
      <c r="NR39" s="12">
        <f>IF(MW39&gt;0,MX39/MW39,0)</f>
        <v/>
      </c>
      <c r="NS39" s="11">
        <f>IF(MW38&gt;0,MAX(0,(MW38+MH39-MW39)/MW38),0)</f>
        <v/>
      </c>
      <c r="NU39" s="12" t="n">
        <v>35</v>
      </c>
      <c r="NV39" s="12">
        <f>MOD(NU39-1+LaunchMonth-1,12)+1</f>
        <v/>
      </c>
      <c r="NW39" s="12">
        <f>INT((NU39-1+LaunchMonth-1)/12)+1</f>
        <v/>
      </c>
      <c r="NX39" s="12">
        <f>VLOOKUP(NV39,SeasonTable,2,FALSE)</f>
        <v/>
      </c>
      <c r="NY39" s="12">
        <f>(1+InflationRate)^INT((NU39-1)/12)</f>
        <v/>
      </c>
      <c r="NZ39" s="11">
        <f>'Sens - Churn'!$A$18*VLOOKUP(NV39,ChurnSeasonTable,4,FALSE)</f>
        <v/>
      </c>
      <c r="OA39" s="12">
        <f>MIN(MAX(MktMin19plus,OY38*MktPct19plus),MAX(0,PM38-CashBuffer))</f>
        <v/>
      </c>
      <c r="OB39" s="12">
        <f>IF(OA39&gt;0,MAX(1,ROUND(OA39/CAC*NX39,0)),0)</f>
        <v/>
      </c>
      <c r="OC39" s="12">
        <f>IF(OB39&gt;0,ROUND(OB39*ReferralMix/(1-ReferralMix),0),0)</f>
        <v/>
      </c>
      <c r="OD39" s="12">
        <f>OB39+OC39</f>
        <v/>
      </c>
      <c r="OE39" s="12">
        <f>ROUND(OD39*(1-AnnualMix),0)</f>
        <v/>
      </c>
      <c r="OF39" s="12">
        <f>OD39-OE39</f>
        <v/>
      </c>
      <c r="OG39" s="12">
        <f>ROUND(OE39*EssentialMix,0)</f>
        <v/>
      </c>
      <c r="OH39" s="12">
        <f>ROUND(OE39*PremiumMix,0)</f>
        <v/>
      </c>
      <c r="OI39" s="12">
        <f>OE39-OG39-OH39</f>
        <v/>
      </c>
      <c r="OJ39" s="12">
        <f>ROUND(OF39*EssentialMix,0)</f>
        <v/>
      </c>
      <c r="OK39" s="12">
        <f>ROUND(OF39*PremiumMix,0)</f>
        <v/>
      </c>
      <c r="OL39" s="12">
        <f>OF39-OJ39-OK39</f>
        <v/>
      </c>
      <c r="OM39" s="12">
        <f>OG39+OG38+OG37+MAX(0,OM38-OG38-OG37)*(1-NZ39)</f>
        <v/>
      </c>
      <c r="ON39" s="12">
        <f>OH39+OH38+OH37+MAX(0,ON38-OH38-OH37)*(1-NZ39)</f>
        <v/>
      </c>
      <c r="OO39" s="12">
        <f>OI39+OI38+OI37+MAX(0,OO38-OI38-OI37)*(1-NZ39)</f>
        <v/>
      </c>
      <c r="OP39" s="12">
        <f>OP38+OJ39-OJ27*(AnnualChurn*VLOOKUP(NV39,ChurnSeasonTable,4,FALSE))*POWER(1-(AnnualChurn*VLOOKUP(NV39,ChurnSeasonTable,4,FALSE)),0)+OJ15*(AnnualChurn*VLOOKUP(NV39,ChurnSeasonTable,4,FALSE))*POWER(1-(AnnualChurn*VLOOKUP(NV39,ChurnSeasonTable,4,FALSE)),1)</f>
        <v/>
      </c>
      <c r="OQ39" s="12">
        <f>OQ38+OK39-OK27*(AnnualChurn*VLOOKUP(NV39,ChurnSeasonTable,4,FALSE))*POWER(1-(AnnualChurn*VLOOKUP(NV39,ChurnSeasonTable,4,FALSE)),0)+OK15*(AnnualChurn*VLOOKUP(NV39,ChurnSeasonTable,4,FALSE))*POWER(1-(AnnualChurn*VLOOKUP(NV39,ChurnSeasonTable,4,FALSE)),1)</f>
        <v/>
      </c>
      <c r="OR39" s="12">
        <f>OR38+OL39-OL27*(AnnualChurn*VLOOKUP(NV39,ChurnSeasonTable,4,FALSE))*POWER(1-(AnnualChurn*VLOOKUP(NV39,ChurnSeasonTable,4,FALSE)),0)+OL15*(AnnualChurn*VLOOKUP(NV39,ChurnSeasonTable,4,FALSE))*POWER(1-(AnnualChurn*VLOOKUP(NV39,ChurnSeasonTable,4,FALSE)),1)</f>
        <v/>
      </c>
      <c r="OS39" s="12">
        <f>OM39+ON39+OO39+OP39+OQ39+OR39</f>
        <v/>
      </c>
      <c r="OT39" s="9">
        <f>OM39*BlendedPriceEssMonthly*NY39+ON39*BlendedPricePremMonthly*NY39+OO39*BlendedPriceEliteMonthly*NY39+OP39*BlendedPriceEssAnnual*NY39/12+OQ39*BlendedPricePremAnnual*NY39/12+OR39*BlendedPriceEliteAnnual*NY39/12</f>
        <v/>
      </c>
      <c r="OU39" s="9">
        <f>OT39*12</f>
        <v/>
      </c>
      <c r="OV39" s="12">
        <f>OM39*BlendedPriceEssMonthly*NY39+ON39*BlendedPricePremMonthly*NY39+OO39*BlendedPriceEliteMonthly*NY39</f>
        <v/>
      </c>
      <c r="OW39" s="12">
        <f>OJ39*BlendedPriceEssAnnual*NY39+OK39*BlendedPricePremAnnual*NY39+OL39*BlendedPriceEliteAnnual*NY39</f>
        <v/>
      </c>
      <c r="OX39" s="12">
        <f>OJ27*POWER(1-(AnnualChurn*VLOOKUP(NV39,ChurnSeasonTable,4,FALSE)),1)*BlendedPriceEssAnnual*NY39+OJ15*POWER(1-(AnnualChurn*VLOOKUP(NV39,ChurnSeasonTable,4,FALSE)),2)*BlendedPriceEssAnnual*NY39+OK27*POWER(1-(AnnualChurn*VLOOKUP(NV39,ChurnSeasonTable,4,FALSE)),1)*BlendedPricePremAnnual*NY39+OK15*POWER(1-(AnnualChurn*VLOOKUP(NV39,ChurnSeasonTable,4,FALSE)),2)*BlendedPricePremAnnual*NY39+OL27*POWER(1-(AnnualChurn*VLOOKUP(NV39,ChurnSeasonTable,4,FALSE)),1)*BlendedPriceEliteAnnual*NY39+OL15*POWER(1-(AnnualChurn*VLOOKUP(NV39,ChurnSeasonTable,4,FALSE)),2)*BlendedPriceEliteAnnual*NY39</f>
        <v/>
      </c>
      <c r="OY39" s="9">
        <f>OV39+OW39+OX39</f>
        <v/>
      </c>
      <c r="OZ39" s="12">
        <f>SUM(OY28:OY39)</f>
        <v/>
      </c>
      <c r="PA39" s="12">
        <f>OR(PA38,IF(VATAgentMode,SUM($OY28:$OY39)-SUM($PF28:$PF39)&gt;=VATThreshold,SUM($OY28:$OY39)&gt;=VATThreshold))</f>
        <v/>
      </c>
      <c r="PB39" s="9">
        <f>IF(PA39,IF(VATAgentMode,OY39-((OY39-PF39)-(OY39-PF39)/(1+VATRate)),OY39/(1+VATRate)),OY39)</f>
        <v/>
      </c>
      <c r="PC39" s="12">
        <f>OY39-PB39</f>
        <v/>
      </c>
      <c r="PD39" s="12">
        <f>IF(PA39=0,0,IF(NV39=1,SUMPRODUCT(--(($NW$5:$NW39=$NW39-1)*($NV$5:$NV39&gt;=10)*($NV$5:$NV39&lt;=12)),$PC$5:$PC39),IF(NV39=4,SUMPRODUCT(--(($NW$5:$NW39=$NW39)*($NV$5:$NV39&gt;=1)*($NV$5:$NV39&lt;=3)),$PC$5:$PC39),IF(NV39=7,SUMPRODUCT(--(($NW$5:$NW39=$NW39)*($NV$5:$NV39&gt;=4)*($NV$5:$NV39&lt;=6)),$PC$5:$PC39),IF(NV39=10,SUMPRODUCT(--(($NW$5:$NW39=$NW39)*($NV$5:$NV39&gt;=7)*($NV$5:$NV39&lt;=9)),$PC$5:$PC39),0)))))</f>
        <v/>
      </c>
      <c r="PE39" s="12">
        <f>PE38+PC39-PD39</f>
        <v/>
      </c>
      <c r="PF39" s="12">
        <f>IF(ProviderDelay&gt;=1,OM38*BlendedProvPayEss+ON38*BlendedProvPayPrem+OO38*BlendedProvPayElite+OP38*BlendedProvPayEss+OQ38*BlendedProvPayPrem+OR38*BlendedProvPayElite,OM39*BlendedProvPayEss+ON39*BlendedProvPayPrem+OO39*BlendedProvPayElite+OP39*BlendedProvPayEss+OQ39*BlendedProvPayPrem+OR39*BlendedProvPayElite)</f>
        <v/>
      </c>
      <c r="PG39" s="12">
        <f>OY39*PaymentFee</f>
        <v/>
      </c>
      <c r="PH39" s="12">
        <f>OS39*OpsAI</f>
        <v/>
      </c>
      <c r="PI39" s="12">
        <f>MonthlyFixed</f>
        <v/>
      </c>
      <c r="PJ39" s="12">
        <f>OC39*ReferralReward</f>
        <v/>
      </c>
      <c r="PK39" s="12">
        <f>OA39</f>
        <v/>
      </c>
      <c r="PL39" s="9">
        <f>PB39-PF39-PG39-PH39-PI39-PJ39-PK39</f>
        <v/>
      </c>
      <c r="PM39" s="9">
        <f>PM38+OY39-(PF39+PG39+PH39+PI39+PJ39+PK39+PD39)</f>
        <v/>
      </c>
      <c r="PN39" s="12">
        <f>IF(OS39&gt;0,OT39/OS39,0)</f>
        <v/>
      </c>
      <c r="PO39" s="11">
        <f>IF(OS38&gt;0,MAX(0,(OS38+OD39-OS39)/OS38),0)</f>
        <v/>
      </c>
      <c r="PQ39" s="12" t="n">
        <v>35</v>
      </c>
      <c r="PR39" s="12">
        <f>MOD(PQ39-1+LaunchMonth-1,12)+1</f>
        <v/>
      </c>
      <c r="PS39" s="12">
        <f>INT((PQ39-1+LaunchMonth-1)/12)+1</f>
        <v/>
      </c>
      <c r="PT39" s="12">
        <f>VLOOKUP(PR39,SeasonTable,2,FALSE)</f>
        <v/>
      </c>
      <c r="PU39" s="12">
        <f>(1+InflationRate)^INT((PQ39-1)/12)</f>
        <v/>
      </c>
      <c r="PV39" s="11">
        <f>'Sens - Churn'!$A$19*VLOOKUP(PR39,ChurnSeasonTable,4,FALSE)</f>
        <v/>
      </c>
      <c r="PW39" s="12">
        <f>MIN(MAX(MktMin19plus,QU38*MktPct19plus),MAX(0,RI38-CashBuffer))</f>
        <v/>
      </c>
      <c r="PX39" s="12">
        <f>IF(PW39&gt;0,MAX(1,ROUND(PW39/CAC*PT39,0)),0)</f>
        <v/>
      </c>
      <c r="PY39" s="12">
        <f>IF(PX39&gt;0,ROUND(PX39*ReferralMix/(1-ReferralMix),0),0)</f>
        <v/>
      </c>
      <c r="PZ39" s="12">
        <f>PX39+PY39</f>
        <v/>
      </c>
      <c r="QA39" s="12">
        <f>ROUND(PZ39*(1-AnnualMix),0)</f>
        <v/>
      </c>
      <c r="QB39" s="12">
        <f>PZ39-QA39</f>
        <v/>
      </c>
      <c r="QC39" s="12">
        <f>ROUND(QA39*EssentialMix,0)</f>
        <v/>
      </c>
      <c r="QD39" s="12">
        <f>ROUND(QA39*PremiumMix,0)</f>
        <v/>
      </c>
      <c r="QE39" s="12">
        <f>QA39-QC39-QD39</f>
        <v/>
      </c>
      <c r="QF39" s="12">
        <f>ROUND(QB39*EssentialMix,0)</f>
        <v/>
      </c>
      <c r="QG39" s="12">
        <f>ROUND(QB39*PremiumMix,0)</f>
        <v/>
      </c>
      <c r="QH39" s="12">
        <f>QB39-QF39-QG39</f>
        <v/>
      </c>
      <c r="QI39" s="12">
        <f>QC39+QC38+QC37+MAX(0,QI38-QC38-QC37)*(1-PV39)</f>
        <v/>
      </c>
      <c r="QJ39" s="12">
        <f>QD39+QD38+QD37+MAX(0,QJ38-QD38-QD37)*(1-PV39)</f>
        <v/>
      </c>
      <c r="QK39" s="12">
        <f>QE39+QE38+QE37+MAX(0,QK38-QE38-QE37)*(1-PV39)</f>
        <v/>
      </c>
      <c r="QL39" s="12">
        <f>QL38+QF39-QF27*(AnnualChurn*VLOOKUP(PR39,ChurnSeasonTable,4,FALSE))*POWER(1-(AnnualChurn*VLOOKUP(PR39,ChurnSeasonTable,4,FALSE)),0)+QF15*(AnnualChurn*VLOOKUP(PR39,ChurnSeasonTable,4,FALSE))*POWER(1-(AnnualChurn*VLOOKUP(PR39,ChurnSeasonTable,4,FALSE)),1)</f>
        <v/>
      </c>
      <c r="QM39" s="12">
        <f>QM38+QG39-QG27*(AnnualChurn*VLOOKUP(PR39,ChurnSeasonTable,4,FALSE))*POWER(1-(AnnualChurn*VLOOKUP(PR39,ChurnSeasonTable,4,FALSE)),0)+QG15*(AnnualChurn*VLOOKUP(PR39,ChurnSeasonTable,4,FALSE))*POWER(1-(AnnualChurn*VLOOKUP(PR39,ChurnSeasonTable,4,FALSE)),1)</f>
        <v/>
      </c>
      <c r="QN39" s="12">
        <f>QN38+QH39-QH27*(AnnualChurn*VLOOKUP(PR39,ChurnSeasonTable,4,FALSE))*POWER(1-(AnnualChurn*VLOOKUP(PR39,ChurnSeasonTable,4,FALSE)),0)+QH15*(AnnualChurn*VLOOKUP(PR39,ChurnSeasonTable,4,FALSE))*POWER(1-(AnnualChurn*VLOOKUP(PR39,ChurnSeasonTable,4,FALSE)),1)</f>
        <v/>
      </c>
      <c r="QO39" s="12">
        <f>QI39+QJ39+QK39+QL39+QM39+QN39</f>
        <v/>
      </c>
      <c r="QP39" s="9">
        <f>QI39*BlendedPriceEssMonthly*PU39+QJ39*BlendedPricePremMonthly*PU39+QK39*BlendedPriceEliteMonthly*PU39+QL39*BlendedPriceEssAnnual*PU39/12+QM39*BlendedPricePremAnnual*PU39/12+QN39*BlendedPriceEliteAnnual*PU39/12</f>
        <v/>
      </c>
      <c r="QQ39" s="9">
        <f>QP39*12</f>
        <v/>
      </c>
      <c r="QR39" s="12">
        <f>QI39*BlendedPriceEssMonthly*PU39+QJ39*BlendedPricePremMonthly*PU39+QK39*BlendedPriceEliteMonthly*PU39</f>
        <v/>
      </c>
      <c r="QS39" s="12">
        <f>QF39*BlendedPriceEssAnnual*PU39+QG39*BlendedPricePremAnnual*PU39+QH39*BlendedPriceEliteAnnual*PU39</f>
        <v/>
      </c>
      <c r="QT39" s="12">
        <f>QF27*POWER(1-(AnnualChurn*VLOOKUP(PR39,ChurnSeasonTable,4,FALSE)),1)*BlendedPriceEssAnnual*PU39+QF15*POWER(1-(AnnualChurn*VLOOKUP(PR39,ChurnSeasonTable,4,FALSE)),2)*BlendedPriceEssAnnual*PU39+QG27*POWER(1-(AnnualChurn*VLOOKUP(PR39,ChurnSeasonTable,4,FALSE)),1)*BlendedPricePremAnnual*PU39+QG15*POWER(1-(AnnualChurn*VLOOKUP(PR39,ChurnSeasonTable,4,FALSE)),2)*BlendedPricePremAnnual*PU39+QH27*POWER(1-(AnnualChurn*VLOOKUP(PR39,ChurnSeasonTable,4,FALSE)),1)*BlendedPriceEliteAnnual*PU39+QH15*POWER(1-(AnnualChurn*VLOOKUP(PR39,ChurnSeasonTable,4,FALSE)),2)*BlendedPriceEliteAnnual*PU39</f>
        <v/>
      </c>
      <c r="QU39" s="9">
        <f>QR39+QS39+QT39</f>
        <v/>
      </c>
      <c r="QV39" s="12">
        <f>SUM(QU28:QU39)</f>
        <v/>
      </c>
      <c r="QW39" s="12">
        <f>OR(QW38,IF(VATAgentMode,SUM($QU28:$QU39)-SUM($RB28:$RB39)&gt;=VATThreshold,SUM($QU28:$QU39)&gt;=VATThreshold))</f>
        <v/>
      </c>
      <c r="QX39" s="9">
        <f>IF(QW39,IF(VATAgentMode,QU39-((QU39-RB39)-(QU39-RB39)/(1+VATRate)),QU39/(1+VATRate)),QU39)</f>
        <v/>
      </c>
      <c r="QY39" s="12">
        <f>QU39-QX39</f>
        <v/>
      </c>
      <c r="QZ39" s="12">
        <f>IF(QW39=0,0,IF(PR39=1,SUMPRODUCT(--(($PS$5:$PS39=$PS39-1)*($PR$5:$PR39&gt;=10)*($PR$5:$PR39&lt;=12)),$QY$5:$QY39),IF(PR39=4,SUMPRODUCT(--(($PS$5:$PS39=$PS39)*($PR$5:$PR39&gt;=1)*($PR$5:$PR39&lt;=3)),$QY$5:$QY39),IF(PR39=7,SUMPRODUCT(--(($PS$5:$PS39=$PS39)*($PR$5:$PR39&gt;=4)*($PR$5:$PR39&lt;=6)),$QY$5:$QY39),IF(PR39=10,SUMPRODUCT(--(($PS$5:$PS39=$PS39)*($PR$5:$PR39&gt;=7)*($PR$5:$PR39&lt;=9)),$QY$5:$QY39),0)))))</f>
        <v/>
      </c>
      <c r="RA39" s="12">
        <f>RA38+QY39-QZ39</f>
        <v/>
      </c>
      <c r="RB39" s="12">
        <f>IF(ProviderDelay&gt;=1,QI38*BlendedProvPayEss+QJ38*BlendedProvPayPrem+QK38*BlendedProvPayElite+QL38*BlendedProvPayEss+QM38*BlendedProvPayPrem+QN38*BlendedProvPayElite,QI39*BlendedProvPayEss+QJ39*BlendedProvPayPrem+QK39*BlendedProvPayElite+QL39*BlendedProvPayEss+QM39*BlendedProvPayPrem+QN39*BlendedProvPayElite)</f>
        <v/>
      </c>
      <c r="RC39" s="12">
        <f>QU39*PaymentFee</f>
        <v/>
      </c>
      <c r="RD39" s="12">
        <f>QO39*OpsAI</f>
        <v/>
      </c>
      <c r="RE39" s="12">
        <f>MonthlyFixed</f>
        <v/>
      </c>
      <c r="RF39" s="12">
        <f>PY39*ReferralReward</f>
        <v/>
      </c>
      <c r="RG39" s="12">
        <f>PW39</f>
        <v/>
      </c>
      <c r="RH39" s="9">
        <f>QX39-RB39-RC39-RD39-RE39-RF39-RG39</f>
        <v/>
      </c>
      <c r="RI39" s="9">
        <f>RI38+QU39-(RB39+RC39+RD39+RE39+RF39+RG39+QZ39)</f>
        <v/>
      </c>
      <c r="RJ39" s="12">
        <f>IF(QO39&gt;0,QP39/QO39,0)</f>
        <v/>
      </c>
      <c r="RK39" s="11">
        <f>IF(QO38&gt;0,MAX(0,(QO38+PZ39-QO39)/QO38),0)</f>
        <v/>
      </c>
      <c r="RM39" s="12" t="n">
        <v>35</v>
      </c>
      <c r="RN39" s="12">
        <f>MOD(RM39-1+LaunchMonth-1,12)+1</f>
        <v/>
      </c>
      <c r="RO39" s="12">
        <f>INT((RM39-1+LaunchMonth-1)/12)+1</f>
        <v/>
      </c>
      <c r="RP39" s="12">
        <f>VLOOKUP(RN39,SeasonTable,2,FALSE)</f>
        <v/>
      </c>
      <c r="RQ39" s="12">
        <f>(1+InflationRate)^INT((RM39-1)/12)</f>
        <v/>
      </c>
      <c r="RR39" s="11">
        <f>'Sens - Churn'!$A$20*VLOOKUP(RN39,ChurnSeasonTable,4,FALSE)</f>
        <v/>
      </c>
      <c r="RS39" s="12">
        <f>MIN(MAX(MktMin19plus,SQ38*MktPct19plus),MAX(0,TE38-CashBuffer))</f>
        <v/>
      </c>
      <c r="RT39" s="12">
        <f>IF(RS39&gt;0,MAX(1,ROUND(RS39/CAC*RP39,0)),0)</f>
        <v/>
      </c>
      <c r="RU39" s="12">
        <f>IF(RT39&gt;0,ROUND(RT39*ReferralMix/(1-ReferralMix),0),0)</f>
        <v/>
      </c>
      <c r="RV39" s="12">
        <f>RT39+RU39</f>
        <v/>
      </c>
      <c r="RW39" s="12">
        <f>ROUND(RV39*(1-AnnualMix),0)</f>
        <v/>
      </c>
      <c r="RX39" s="12">
        <f>RV39-RW39</f>
        <v/>
      </c>
      <c r="RY39" s="12">
        <f>ROUND(RW39*EssentialMix,0)</f>
        <v/>
      </c>
      <c r="RZ39" s="12">
        <f>ROUND(RW39*PremiumMix,0)</f>
        <v/>
      </c>
      <c r="SA39" s="12">
        <f>RW39-RY39-RZ39</f>
        <v/>
      </c>
      <c r="SB39" s="12">
        <f>ROUND(RX39*EssentialMix,0)</f>
        <v/>
      </c>
      <c r="SC39" s="12">
        <f>ROUND(RX39*PremiumMix,0)</f>
        <v/>
      </c>
      <c r="SD39" s="12">
        <f>RX39-SB39-SC39</f>
        <v/>
      </c>
      <c r="SE39" s="12">
        <f>RY39+RY38+RY37+MAX(0,SE38-RY38-RY37)*(1-RR39)</f>
        <v/>
      </c>
      <c r="SF39" s="12">
        <f>RZ39+RZ38+RZ37+MAX(0,SF38-RZ38-RZ37)*(1-RR39)</f>
        <v/>
      </c>
      <c r="SG39" s="12">
        <f>SA39+SA38+SA37+MAX(0,SG38-SA38-SA37)*(1-RR39)</f>
        <v/>
      </c>
      <c r="SH39" s="12">
        <f>SH38+SB39-SB27*(AnnualChurn*VLOOKUP(RN39,ChurnSeasonTable,4,FALSE))*POWER(1-(AnnualChurn*VLOOKUP(RN39,ChurnSeasonTable,4,FALSE)),0)+SB15*(AnnualChurn*VLOOKUP(RN39,ChurnSeasonTable,4,FALSE))*POWER(1-(AnnualChurn*VLOOKUP(RN39,ChurnSeasonTable,4,FALSE)),1)</f>
        <v/>
      </c>
      <c r="SI39" s="12">
        <f>SI38+SC39-SC27*(AnnualChurn*VLOOKUP(RN39,ChurnSeasonTable,4,FALSE))*POWER(1-(AnnualChurn*VLOOKUP(RN39,ChurnSeasonTable,4,FALSE)),0)+SC15*(AnnualChurn*VLOOKUP(RN39,ChurnSeasonTable,4,FALSE))*POWER(1-(AnnualChurn*VLOOKUP(RN39,ChurnSeasonTable,4,FALSE)),1)</f>
        <v/>
      </c>
      <c r="SJ39" s="12">
        <f>SJ38+SD39-SD27*(AnnualChurn*VLOOKUP(RN39,ChurnSeasonTable,4,FALSE))*POWER(1-(AnnualChurn*VLOOKUP(RN39,ChurnSeasonTable,4,FALSE)),0)+SD15*(AnnualChurn*VLOOKUP(RN39,ChurnSeasonTable,4,FALSE))*POWER(1-(AnnualChurn*VLOOKUP(RN39,ChurnSeasonTable,4,FALSE)),1)</f>
        <v/>
      </c>
      <c r="SK39" s="12">
        <f>SE39+SF39+SG39+SH39+SI39+SJ39</f>
        <v/>
      </c>
      <c r="SL39" s="9">
        <f>SE39*BlendedPriceEssMonthly*RQ39+SF39*BlendedPricePremMonthly*RQ39+SG39*BlendedPriceEliteMonthly*RQ39+SH39*BlendedPriceEssAnnual*RQ39/12+SI39*BlendedPricePremAnnual*RQ39/12+SJ39*BlendedPriceEliteAnnual*RQ39/12</f>
        <v/>
      </c>
      <c r="SM39" s="9">
        <f>SL39*12</f>
        <v/>
      </c>
      <c r="SN39" s="12">
        <f>SE39*BlendedPriceEssMonthly*RQ39+SF39*BlendedPricePremMonthly*RQ39+SG39*BlendedPriceEliteMonthly*RQ39</f>
        <v/>
      </c>
      <c r="SO39" s="12">
        <f>SB39*BlendedPriceEssAnnual*RQ39+SC39*BlendedPricePremAnnual*RQ39+SD39*BlendedPriceEliteAnnual*RQ39</f>
        <v/>
      </c>
      <c r="SP39" s="12">
        <f>SB27*POWER(1-(AnnualChurn*VLOOKUP(RN39,ChurnSeasonTable,4,FALSE)),1)*BlendedPriceEssAnnual*RQ39+SB15*POWER(1-(AnnualChurn*VLOOKUP(RN39,ChurnSeasonTable,4,FALSE)),2)*BlendedPriceEssAnnual*RQ39+SC27*POWER(1-(AnnualChurn*VLOOKUP(RN39,ChurnSeasonTable,4,FALSE)),1)*BlendedPricePremAnnual*RQ39+SC15*POWER(1-(AnnualChurn*VLOOKUP(RN39,ChurnSeasonTable,4,FALSE)),2)*BlendedPricePremAnnual*RQ39+SD27*POWER(1-(AnnualChurn*VLOOKUP(RN39,ChurnSeasonTable,4,FALSE)),1)*BlendedPriceEliteAnnual*RQ39+SD15*POWER(1-(AnnualChurn*VLOOKUP(RN39,ChurnSeasonTable,4,FALSE)),2)*BlendedPriceEliteAnnual*RQ39</f>
        <v/>
      </c>
      <c r="SQ39" s="9">
        <f>SN39+SO39+SP39</f>
        <v/>
      </c>
      <c r="SR39" s="12">
        <f>SUM(SQ28:SQ39)</f>
        <v/>
      </c>
      <c r="SS39" s="12">
        <f>OR(SS38,IF(VATAgentMode,SUM($SQ28:$SQ39)-SUM($SX28:$SX39)&gt;=VATThreshold,SUM($SQ28:$SQ39)&gt;=VATThreshold))</f>
        <v/>
      </c>
      <c r="ST39" s="9">
        <f>IF(SS39,IF(VATAgentMode,SQ39-((SQ39-SX39)-(SQ39-SX39)/(1+VATRate)),SQ39/(1+VATRate)),SQ39)</f>
        <v/>
      </c>
      <c r="SU39" s="12">
        <f>SQ39-ST39</f>
        <v/>
      </c>
      <c r="SV39" s="12">
        <f>IF(SS39=0,0,IF(RN39=1,SUMPRODUCT(--(($RO$5:$RO39=$RO39-1)*($RN$5:$RN39&gt;=10)*($RN$5:$RN39&lt;=12)),$SU$5:$SU39),IF(RN39=4,SUMPRODUCT(--(($RO$5:$RO39=$RO39)*($RN$5:$RN39&gt;=1)*($RN$5:$RN39&lt;=3)),$SU$5:$SU39),IF(RN39=7,SUMPRODUCT(--(($RO$5:$RO39=$RO39)*($RN$5:$RN39&gt;=4)*($RN$5:$RN39&lt;=6)),$SU$5:$SU39),IF(RN39=10,SUMPRODUCT(--(($RO$5:$RO39=$RO39)*($RN$5:$RN39&gt;=7)*($RN$5:$RN39&lt;=9)),$SU$5:$SU39),0)))))</f>
        <v/>
      </c>
      <c r="SW39" s="12">
        <f>SW38+SU39-SV39</f>
        <v/>
      </c>
      <c r="SX39" s="12">
        <f>IF(ProviderDelay&gt;=1,SE38*BlendedProvPayEss+SF38*BlendedProvPayPrem+SG38*BlendedProvPayElite+SH38*BlendedProvPayEss+SI38*BlendedProvPayPrem+SJ38*BlendedProvPayElite,SE39*BlendedProvPayEss+SF39*BlendedProvPayPrem+SG39*BlendedProvPayElite+SH39*BlendedProvPayEss+SI39*BlendedProvPayPrem+SJ39*BlendedProvPayElite)</f>
        <v/>
      </c>
      <c r="SY39" s="12">
        <f>SQ39*PaymentFee</f>
        <v/>
      </c>
      <c r="SZ39" s="12">
        <f>SK39*OpsAI</f>
        <v/>
      </c>
      <c r="TA39" s="12">
        <f>MonthlyFixed</f>
        <v/>
      </c>
      <c r="TB39" s="12">
        <f>RU39*ReferralReward</f>
        <v/>
      </c>
      <c r="TC39" s="12">
        <f>RS39</f>
        <v/>
      </c>
      <c r="TD39" s="9">
        <f>ST39-SX39-SY39-SZ39-TA39-TB39-TC39</f>
        <v/>
      </c>
      <c r="TE39" s="9">
        <f>TE38+SQ39-(SX39+SY39+SZ39+TA39+TB39+TC39+SV39)</f>
        <v/>
      </c>
      <c r="TF39" s="12">
        <f>IF(SK39&gt;0,SL39/SK39,0)</f>
        <v/>
      </c>
      <c r="TG39" s="11">
        <f>IF(SK38&gt;0,MAX(0,(SK38+RV39-SK39)/SK38),0)</f>
        <v/>
      </c>
      <c r="TI39" s="12" t="n">
        <v>35</v>
      </c>
      <c r="TJ39" s="12">
        <f>MOD(TI39-1+LaunchMonth-1,12)+1</f>
        <v/>
      </c>
      <c r="TK39" s="12">
        <f>INT((TI39-1+LaunchMonth-1)/12)+1</f>
        <v/>
      </c>
      <c r="TL39" s="12">
        <f>VLOOKUP(TJ39,SeasonTable,2,FALSE)</f>
        <v/>
      </c>
      <c r="TM39" s="12">
        <f>(1+InflationRate)^INT((TI39-1)/12)</f>
        <v/>
      </c>
      <c r="TN39" s="11">
        <f>'Sens - Churn'!$A$21*VLOOKUP(TJ39,ChurnSeasonTable,4,FALSE)</f>
        <v/>
      </c>
      <c r="TO39" s="12">
        <f>MIN(MAX(MktMin19plus,UM38*MktPct19plus),MAX(0,VA38-CashBuffer))</f>
        <v/>
      </c>
      <c r="TP39" s="12">
        <f>IF(TO39&gt;0,MAX(1,ROUND(TO39/CAC*TL39,0)),0)</f>
        <v/>
      </c>
      <c r="TQ39" s="12">
        <f>IF(TP39&gt;0,ROUND(TP39*ReferralMix/(1-ReferralMix),0),0)</f>
        <v/>
      </c>
      <c r="TR39" s="12">
        <f>TP39+TQ39</f>
        <v/>
      </c>
      <c r="TS39" s="12">
        <f>ROUND(TR39*(1-AnnualMix),0)</f>
        <v/>
      </c>
      <c r="TT39" s="12">
        <f>TR39-TS39</f>
        <v/>
      </c>
      <c r="TU39" s="12">
        <f>ROUND(TS39*EssentialMix,0)</f>
        <v/>
      </c>
      <c r="TV39" s="12">
        <f>ROUND(TS39*PremiumMix,0)</f>
        <v/>
      </c>
      <c r="TW39" s="12">
        <f>TS39-TU39-TV39</f>
        <v/>
      </c>
      <c r="TX39" s="12">
        <f>ROUND(TT39*EssentialMix,0)</f>
        <v/>
      </c>
      <c r="TY39" s="12">
        <f>ROUND(TT39*PremiumMix,0)</f>
        <v/>
      </c>
      <c r="TZ39" s="12">
        <f>TT39-TX39-TY39</f>
        <v/>
      </c>
      <c r="UA39" s="12">
        <f>TU39+TU38+TU37+MAX(0,UA38-TU38-TU37)*(1-TN39)</f>
        <v/>
      </c>
      <c r="UB39" s="12">
        <f>TV39+TV38+TV37+MAX(0,UB38-TV38-TV37)*(1-TN39)</f>
        <v/>
      </c>
      <c r="UC39" s="12">
        <f>TW39+TW38+TW37+MAX(0,UC38-TW38-TW37)*(1-TN39)</f>
        <v/>
      </c>
      <c r="UD39" s="12">
        <f>UD38+TX39-TX27*(AnnualChurn*VLOOKUP(TJ39,ChurnSeasonTable,4,FALSE))*POWER(1-(AnnualChurn*VLOOKUP(TJ39,ChurnSeasonTable,4,FALSE)),0)+TX15*(AnnualChurn*VLOOKUP(TJ39,ChurnSeasonTable,4,FALSE))*POWER(1-(AnnualChurn*VLOOKUP(TJ39,ChurnSeasonTable,4,FALSE)),1)</f>
        <v/>
      </c>
      <c r="UE39" s="12">
        <f>UE38+TY39-TY27*(AnnualChurn*VLOOKUP(TJ39,ChurnSeasonTable,4,FALSE))*POWER(1-(AnnualChurn*VLOOKUP(TJ39,ChurnSeasonTable,4,FALSE)),0)+TY15*(AnnualChurn*VLOOKUP(TJ39,ChurnSeasonTable,4,FALSE))*POWER(1-(AnnualChurn*VLOOKUP(TJ39,ChurnSeasonTable,4,FALSE)),1)</f>
        <v/>
      </c>
      <c r="UF39" s="12">
        <f>UF38+TZ39-TZ27*(AnnualChurn*VLOOKUP(TJ39,ChurnSeasonTable,4,FALSE))*POWER(1-(AnnualChurn*VLOOKUP(TJ39,ChurnSeasonTable,4,FALSE)),0)+TZ15*(AnnualChurn*VLOOKUP(TJ39,ChurnSeasonTable,4,FALSE))*POWER(1-(AnnualChurn*VLOOKUP(TJ39,ChurnSeasonTable,4,FALSE)),1)</f>
        <v/>
      </c>
      <c r="UG39" s="12">
        <f>UA39+UB39+UC39+UD39+UE39+UF39</f>
        <v/>
      </c>
      <c r="UH39" s="9">
        <f>UA39*BlendedPriceEssMonthly*TM39+UB39*BlendedPricePremMonthly*TM39+UC39*BlendedPriceEliteMonthly*TM39+UD39*BlendedPriceEssAnnual*TM39/12+UE39*BlendedPricePremAnnual*TM39/12+UF39*BlendedPriceEliteAnnual*TM39/12</f>
        <v/>
      </c>
      <c r="UI39" s="9">
        <f>UH39*12</f>
        <v/>
      </c>
      <c r="UJ39" s="12">
        <f>UA39*BlendedPriceEssMonthly*TM39+UB39*BlendedPricePremMonthly*TM39+UC39*BlendedPriceEliteMonthly*TM39</f>
        <v/>
      </c>
      <c r="UK39" s="12">
        <f>TX39*BlendedPriceEssAnnual*TM39+TY39*BlendedPricePremAnnual*TM39+TZ39*BlendedPriceEliteAnnual*TM39</f>
        <v/>
      </c>
      <c r="UL39" s="12">
        <f>TX27*POWER(1-(AnnualChurn*VLOOKUP(TJ39,ChurnSeasonTable,4,FALSE)),1)*BlendedPriceEssAnnual*TM39+TX15*POWER(1-(AnnualChurn*VLOOKUP(TJ39,ChurnSeasonTable,4,FALSE)),2)*BlendedPriceEssAnnual*TM39+TY27*POWER(1-(AnnualChurn*VLOOKUP(TJ39,ChurnSeasonTable,4,FALSE)),1)*BlendedPricePremAnnual*TM39+TY15*POWER(1-(AnnualChurn*VLOOKUP(TJ39,ChurnSeasonTable,4,FALSE)),2)*BlendedPricePremAnnual*TM39+TZ27*POWER(1-(AnnualChurn*VLOOKUP(TJ39,ChurnSeasonTable,4,FALSE)),1)*BlendedPriceEliteAnnual*TM39+TZ15*POWER(1-(AnnualChurn*VLOOKUP(TJ39,ChurnSeasonTable,4,FALSE)),2)*BlendedPriceEliteAnnual*TM39</f>
        <v/>
      </c>
      <c r="UM39" s="9">
        <f>UJ39+UK39+UL39</f>
        <v/>
      </c>
      <c r="UN39" s="12">
        <f>SUM(UM28:UM39)</f>
        <v/>
      </c>
      <c r="UO39" s="12">
        <f>OR(UO38,IF(VATAgentMode,SUM($UM28:$UM39)-SUM($UT28:$UT39)&gt;=VATThreshold,SUM($UM28:$UM39)&gt;=VATThreshold))</f>
        <v/>
      </c>
      <c r="UP39" s="9">
        <f>IF(UO39,IF(VATAgentMode,UM39-((UM39-UT39)-(UM39-UT39)/(1+VATRate)),UM39/(1+VATRate)),UM39)</f>
        <v/>
      </c>
      <c r="UQ39" s="12">
        <f>UM39-UP39</f>
        <v/>
      </c>
      <c r="UR39" s="12">
        <f>IF(UO39=0,0,IF(TJ39=1,SUMPRODUCT(--(($TK$5:$TK39=$TK39-1)*($TJ$5:$TJ39&gt;=10)*($TJ$5:$TJ39&lt;=12)),$UQ$5:$UQ39),IF(TJ39=4,SUMPRODUCT(--(($TK$5:$TK39=$TK39)*($TJ$5:$TJ39&gt;=1)*($TJ$5:$TJ39&lt;=3)),$UQ$5:$UQ39),IF(TJ39=7,SUMPRODUCT(--(($TK$5:$TK39=$TK39)*($TJ$5:$TJ39&gt;=4)*($TJ$5:$TJ39&lt;=6)),$UQ$5:$UQ39),IF(TJ39=10,SUMPRODUCT(--(($TK$5:$TK39=$TK39)*($TJ$5:$TJ39&gt;=7)*($TJ$5:$TJ39&lt;=9)),$UQ$5:$UQ39),0)))))</f>
        <v/>
      </c>
      <c r="US39" s="12">
        <f>US38+UQ39-UR39</f>
        <v/>
      </c>
      <c r="UT39" s="12">
        <f>IF(ProviderDelay&gt;=1,UA38*BlendedProvPayEss+UB38*BlendedProvPayPrem+UC38*BlendedProvPayElite+UD38*BlendedProvPayEss+UE38*BlendedProvPayPrem+UF38*BlendedProvPayElite,UA39*BlendedProvPayEss+UB39*BlendedProvPayPrem+UC39*BlendedProvPayElite+UD39*BlendedProvPayEss+UE39*BlendedProvPayPrem+UF39*BlendedProvPayElite)</f>
        <v/>
      </c>
      <c r="UU39" s="12">
        <f>UM39*PaymentFee</f>
        <v/>
      </c>
      <c r="UV39" s="12">
        <f>UG39*OpsAI</f>
        <v/>
      </c>
      <c r="UW39" s="12">
        <f>MonthlyFixed</f>
        <v/>
      </c>
      <c r="UX39" s="12">
        <f>TQ39*ReferralReward</f>
        <v/>
      </c>
      <c r="UY39" s="12">
        <f>TO39</f>
        <v/>
      </c>
      <c r="UZ39" s="9">
        <f>UP39-UT39-UU39-UV39-UW39-UX39-UY39</f>
        <v/>
      </c>
      <c r="VA39" s="9">
        <f>VA38+UM39-(UT39+UU39+UV39+UW39+UX39+UY39+UR39)</f>
        <v/>
      </c>
      <c r="VB39" s="12">
        <f>IF(UG39&gt;0,UH39/UG39,0)</f>
        <v/>
      </c>
      <c r="VC39" s="11">
        <f>IF(UG38&gt;0,MAX(0,(UG38+TR39-UG39)/UG38),0)</f>
        <v/>
      </c>
      <c r="VE39" s="12" t="n">
        <v>35</v>
      </c>
      <c r="VF39" s="12">
        <f>MOD(VE39-1+LaunchMonth-1,12)+1</f>
        <v/>
      </c>
      <c r="VG39" s="12">
        <f>INT((VE39-1+LaunchMonth-1)/12)+1</f>
        <v/>
      </c>
      <c r="VH39" s="12">
        <f>VLOOKUP(VF39,SeasonTable,2,FALSE)</f>
        <v/>
      </c>
      <c r="VI39" s="12">
        <f>(1+InflationRate)^INT((VE39-1)/12)</f>
        <v/>
      </c>
      <c r="VJ39" s="11">
        <f>MonthlyChurn*VLOOKUP(VF39,ChurnSeasonTable,4,FALSE)</f>
        <v/>
      </c>
      <c r="VK39" s="12">
        <f>MIN(MAX(MktMin19plus,WI38*MktPct19plus),MAX(0,WW38-CashBuffer))</f>
        <v/>
      </c>
      <c r="VL39" s="12">
        <f>IF(VK39&gt;0,MAX(1,ROUND(VK39/CAC*VH39,0)),0)</f>
        <v/>
      </c>
      <c r="VM39" s="12">
        <f>IF(VL39&gt;0,ROUND(VL39*ReferralMix/(1-ReferralMix),0),0)</f>
        <v/>
      </c>
      <c r="VN39" s="12">
        <f>VL39+VM39</f>
        <v/>
      </c>
      <c r="VO39" s="12">
        <f>ROUND(VN39*(1-'Sens - Annual Mix'!$A$9),0)</f>
        <v/>
      </c>
      <c r="VP39" s="12">
        <f>VN39-VO39</f>
        <v/>
      </c>
      <c r="VQ39" s="12">
        <f>ROUND(VO39*EssentialMix,0)</f>
        <v/>
      </c>
      <c r="VR39" s="12">
        <f>ROUND(VO39*PremiumMix,0)</f>
        <v/>
      </c>
      <c r="VS39" s="12">
        <f>VO39-VQ39-VR39</f>
        <v/>
      </c>
      <c r="VT39" s="12">
        <f>ROUND(VP39*EssentialMix,0)</f>
        <v/>
      </c>
      <c r="VU39" s="12">
        <f>ROUND(VP39*PremiumMix,0)</f>
        <v/>
      </c>
      <c r="VV39" s="12">
        <f>VP39-VT39-VU39</f>
        <v/>
      </c>
      <c r="VW39" s="12">
        <f>VQ39+VQ38+VQ37+MAX(0,VW38-VQ38-VQ37)*(1-VJ39)</f>
        <v/>
      </c>
      <c r="VX39" s="12">
        <f>VR39+VR38+VR37+MAX(0,VX38-VR38-VR37)*(1-VJ39)</f>
        <v/>
      </c>
      <c r="VY39" s="12">
        <f>VS39+VS38+VS37+MAX(0,VY38-VS38-VS37)*(1-VJ39)</f>
        <v/>
      </c>
      <c r="VZ39" s="12">
        <f>VZ38+VT39-VT27*(AnnualChurn*VLOOKUP(VF39,ChurnSeasonTable,4,FALSE))*POWER(1-(AnnualChurn*VLOOKUP(VF39,ChurnSeasonTable,4,FALSE)),0)+VT15*(AnnualChurn*VLOOKUP(VF39,ChurnSeasonTable,4,FALSE))*POWER(1-(AnnualChurn*VLOOKUP(VF39,ChurnSeasonTable,4,FALSE)),1)</f>
        <v/>
      </c>
      <c r="WA39" s="12">
        <f>WA38+VU39-VU27*(AnnualChurn*VLOOKUP(VF39,ChurnSeasonTable,4,FALSE))*POWER(1-(AnnualChurn*VLOOKUP(VF39,ChurnSeasonTable,4,FALSE)),0)+VU15*(AnnualChurn*VLOOKUP(VF39,ChurnSeasonTable,4,FALSE))*POWER(1-(AnnualChurn*VLOOKUP(VF39,ChurnSeasonTable,4,FALSE)),1)</f>
        <v/>
      </c>
      <c r="WB39" s="12">
        <f>WB38+VV39-VV27*(AnnualChurn*VLOOKUP(VF39,ChurnSeasonTable,4,FALSE))*POWER(1-(AnnualChurn*VLOOKUP(VF39,ChurnSeasonTable,4,FALSE)),0)+VV15*(AnnualChurn*VLOOKUP(VF39,ChurnSeasonTable,4,FALSE))*POWER(1-(AnnualChurn*VLOOKUP(VF39,ChurnSeasonTable,4,FALSE)),1)</f>
        <v/>
      </c>
      <c r="WC39" s="12">
        <f>VW39+VX39+VY39+VZ39+WA39+WB39</f>
        <v/>
      </c>
      <c r="WD39" s="9">
        <f>VW39*BlendedPriceEssMonthly*VI39+VX39*BlendedPricePremMonthly*VI39+VY39*BlendedPriceEliteMonthly*VI39+VZ39*BlendedPriceEssAnnual*VI39/12+WA39*BlendedPricePremAnnual*VI39/12+WB39*BlendedPriceEliteAnnual*VI39/12</f>
        <v/>
      </c>
      <c r="WE39" s="9">
        <f>WD39*12</f>
        <v/>
      </c>
      <c r="WF39" s="12">
        <f>VW39*BlendedPriceEssMonthly*VI39+VX39*BlendedPricePremMonthly*VI39+VY39*BlendedPriceEliteMonthly*VI39</f>
        <v/>
      </c>
      <c r="WG39" s="12">
        <f>VT39*BlendedPriceEssAnnual*VI39+VU39*BlendedPricePremAnnual*VI39+VV39*BlendedPriceEliteAnnual*VI39</f>
        <v/>
      </c>
      <c r="WH39" s="12">
        <f>VT27*POWER(1-(AnnualChurn*VLOOKUP(VF39,ChurnSeasonTable,4,FALSE)),1)*BlendedPriceEssAnnual*VI39+VT15*POWER(1-(AnnualChurn*VLOOKUP(VF39,ChurnSeasonTable,4,FALSE)),2)*BlendedPriceEssAnnual*VI39+VU27*POWER(1-(AnnualChurn*VLOOKUP(VF39,ChurnSeasonTable,4,FALSE)),1)*BlendedPricePremAnnual*VI39+VU15*POWER(1-(AnnualChurn*VLOOKUP(VF39,ChurnSeasonTable,4,FALSE)),2)*BlendedPricePremAnnual*VI39+VV27*POWER(1-(AnnualChurn*VLOOKUP(VF39,ChurnSeasonTable,4,FALSE)),1)*BlendedPriceEliteAnnual*VI39+VV15*POWER(1-(AnnualChurn*VLOOKUP(VF39,ChurnSeasonTable,4,FALSE)),2)*BlendedPriceEliteAnnual*VI39</f>
        <v/>
      </c>
      <c r="WI39" s="9">
        <f>WF39+WG39+WH39</f>
        <v/>
      </c>
      <c r="WJ39" s="12">
        <f>SUM(WI28:WI39)</f>
        <v/>
      </c>
      <c r="WK39" s="12">
        <f>OR(WK38,IF(VATAgentMode,SUM($WI28:$WI39)-SUM($WP28:$WP39)&gt;=VATThreshold,SUM($WI28:$WI39)&gt;=VATThreshold))</f>
        <v/>
      </c>
      <c r="WL39" s="9">
        <f>IF(WK39,IF(VATAgentMode,WI39-((WI39-WP39)-(WI39-WP39)/(1+VATRate)),WI39/(1+VATRate)),WI39)</f>
        <v/>
      </c>
      <c r="WM39" s="12">
        <f>WI39-WL39</f>
        <v/>
      </c>
      <c r="WN39" s="12">
        <f>IF(WK39=0,0,IF(VF39=1,SUMPRODUCT(--(($VG$5:$VG39=$VG39-1)*($VF$5:$VF39&gt;=10)*($VF$5:$VF39&lt;=12)),$WM$5:$WM39),IF(VF39=4,SUMPRODUCT(--(($VG$5:$VG39=$VG39)*($VF$5:$VF39&gt;=1)*($VF$5:$VF39&lt;=3)),$WM$5:$WM39),IF(VF39=7,SUMPRODUCT(--(($VG$5:$VG39=$VG39)*($VF$5:$VF39&gt;=4)*($VF$5:$VF39&lt;=6)),$WM$5:$WM39),IF(VF39=10,SUMPRODUCT(--(($VG$5:$VG39=$VG39)*($VF$5:$VF39&gt;=7)*($VF$5:$VF39&lt;=9)),$WM$5:$WM39),0)))))</f>
        <v/>
      </c>
      <c r="WO39" s="12">
        <f>WO38+WM39-WN39</f>
        <v/>
      </c>
      <c r="WP39" s="12">
        <f>IF(ProviderDelay&gt;=1,VW38*BlendedProvPayEss+VX38*BlendedProvPayPrem+VY38*BlendedProvPayElite+VZ38*BlendedProvPayEss+WA38*BlendedProvPayPrem+WB38*BlendedProvPayElite,VW39*BlendedProvPayEss+VX39*BlendedProvPayPrem+VY39*BlendedProvPayElite+VZ39*BlendedProvPayEss+WA39*BlendedProvPayPrem+WB39*BlendedProvPayElite)</f>
        <v/>
      </c>
      <c r="WQ39" s="12">
        <f>WI39*PaymentFee</f>
        <v/>
      </c>
      <c r="WR39" s="12">
        <f>WC39*OpsAI</f>
        <v/>
      </c>
      <c r="WS39" s="12">
        <f>MonthlyFixed</f>
        <v/>
      </c>
      <c r="WT39" s="12">
        <f>VM39*ReferralReward</f>
        <v/>
      </c>
      <c r="WU39" s="12">
        <f>VK39</f>
        <v/>
      </c>
      <c r="WV39" s="9">
        <f>WL39-WP39-WQ39-WR39-WS39-WT39-WU39</f>
        <v/>
      </c>
      <c r="WW39" s="9">
        <f>WW38+WI39-(WP39+WQ39+WR39+WS39+WT39+WU39+WN39)</f>
        <v/>
      </c>
      <c r="WX39" s="12">
        <f>IF(WC39&gt;0,WD39/WC39,0)</f>
        <v/>
      </c>
      <c r="WY39" s="11">
        <f>IF(WC38&gt;0,MAX(0,(WC38+VN39-WC39)/WC38),0)</f>
        <v/>
      </c>
      <c r="XA39" s="12" t="n">
        <v>35</v>
      </c>
      <c r="XB39" s="12">
        <f>MOD(XA39-1+LaunchMonth-1,12)+1</f>
        <v/>
      </c>
      <c r="XC39" s="12">
        <f>INT((XA39-1+LaunchMonth-1)/12)+1</f>
        <v/>
      </c>
      <c r="XD39" s="12">
        <f>VLOOKUP(XB39,SeasonTable,2,FALSE)</f>
        <v/>
      </c>
      <c r="XE39" s="12">
        <f>(1+InflationRate)^INT((XA39-1)/12)</f>
        <v/>
      </c>
      <c r="XF39" s="11">
        <f>MonthlyChurn*VLOOKUP(XB39,ChurnSeasonTable,4,FALSE)</f>
        <v/>
      </c>
      <c r="XG39" s="12">
        <f>MIN(MAX(MktMin19plus,YE38*MktPct19plus),MAX(0,YS38-CashBuffer))</f>
        <v/>
      </c>
      <c r="XH39" s="12">
        <f>IF(XG39&gt;0,MAX(1,ROUND(XG39/CAC*XD39,0)),0)</f>
        <v/>
      </c>
      <c r="XI39" s="12">
        <f>IF(XH39&gt;0,ROUND(XH39*ReferralMix/(1-ReferralMix),0),0)</f>
        <v/>
      </c>
      <c r="XJ39" s="12">
        <f>XH39+XI39</f>
        <v/>
      </c>
      <c r="XK39" s="12">
        <f>ROUND(XJ39*(1-'Sens - Annual Mix'!$A$10),0)</f>
        <v/>
      </c>
      <c r="XL39" s="12">
        <f>XJ39-XK39</f>
        <v/>
      </c>
      <c r="XM39" s="12">
        <f>ROUND(XK39*EssentialMix,0)</f>
        <v/>
      </c>
      <c r="XN39" s="12">
        <f>ROUND(XK39*PremiumMix,0)</f>
        <v/>
      </c>
      <c r="XO39" s="12">
        <f>XK39-XM39-XN39</f>
        <v/>
      </c>
      <c r="XP39" s="12">
        <f>ROUND(XL39*EssentialMix,0)</f>
        <v/>
      </c>
      <c r="XQ39" s="12">
        <f>ROUND(XL39*PremiumMix,0)</f>
        <v/>
      </c>
      <c r="XR39" s="12">
        <f>XL39-XP39-XQ39</f>
        <v/>
      </c>
      <c r="XS39" s="12">
        <f>XM39+XM38+XM37+MAX(0,XS38-XM38-XM37)*(1-XF39)</f>
        <v/>
      </c>
      <c r="XT39" s="12">
        <f>XN39+XN38+XN37+MAX(0,XT38-XN38-XN37)*(1-XF39)</f>
        <v/>
      </c>
      <c r="XU39" s="12">
        <f>XO39+XO38+XO37+MAX(0,XU38-XO38-XO37)*(1-XF39)</f>
        <v/>
      </c>
      <c r="XV39" s="12">
        <f>XV38+XP39-XP27*(AnnualChurn*VLOOKUP(XB39,ChurnSeasonTable,4,FALSE))*POWER(1-(AnnualChurn*VLOOKUP(XB39,ChurnSeasonTable,4,FALSE)),0)+XP15*(AnnualChurn*VLOOKUP(XB39,ChurnSeasonTable,4,FALSE))*POWER(1-(AnnualChurn*VLOOKUP(XB39,ChurnSeasonTable,4,FALSE)),1)</f>
        <v/>
      </c>
      <c r="XW39" s="12">
        <f>XW38+XQ39-XQ27*(AnnualChurn*VLOOKUP(XB39,ChurnSeasonTable,4,FALSE))*POWER(1-(AnnualChurn*VLOOKUP(XB39,ChurnSeasonTable,4,FALSE)),0)+XQ15*(AnnualChurn*VLOOKUP(XB39,ChurnSeasonTable,4,FALSE))*POWER(1-(AnnualChurn*VLOOKUP(XB39,ChurnSeasonTable,4,FALSE)),1)</f>
        <v/>
      </c>
      <c r="XX39" s="12">
        <f>XX38+XR39-XR27*(AnnualChurn*VLOOKUP(XB39,ChurnSeasonTable,4,FALSE))*POWER(1-(AnnualChurn*VLOOKUP(XB39,ChurnSeasonTable,4,FALSE)),0)+XR15*(AnnualChurn*VLOOKUP(XB39,ChurnSeasonTable,4,FALSE))*POWER(1-(AnnualChurn*VLOOKUP(XB39,ChurnSeasonTable,4,FALSE)),1)</f>
        <v/>
      </c>
      <c r="XY39" s="12">
        <f>XS39+XT39+XU39+XV39+XW39+XX39</f>
        <v/>
      </c>
      <c r="XZ39" s="9">
        <f>XS39*BlendedPriceEssMonthly*XE39+XT39*BlendedPricePremMonthly*XE39+XU39*BlendedPriceEliteMonthly*XE39+XV39*BlendedPriceEssAnnual*XE39/12+XW39*BlendedPricePremAnnual*XE39/12+XX39*BlendedPriceEliteAnnual*XE39/12</f>
        <v/>
      </c>
      <c r="YA39" s="9">
        <f>XZ39*12</f>
        <v/>
      </c>
      <c r="YB39" s="12">
        <f>XS39*BlendedPriceEssMonthly*XE39+XT39*BlendedPricePremMonthly*XE39+XU39*BlendedPriceEliteMonthly*XE39</f>
        <v/>
      </c>
      <c r="YC39" s="12">
        <f>XP39*BlendedPriceEssAnnual*XE39+XQ39*BlendedPricePremAnnual*XE39+XR39*BlendedPriceEliteAnnual*XE39</f>
        <v/>
      </c>
      <c r="YD39" s="12">
        <f>XP27*POWER(1-(AnnualChurn*VLOOKUP(XB39,ChurnSeasonTable,4,FALSE)),1)*BlendedPriceEssAnnual*XE39+XP15*POWER(1-(AnnualChurn*VLOOKUP(XB39,ChurnSeasonTable,4,FALSE)),2)*BlendedPriceEssAnnual*XE39+XQ27*POWER(1-(AnnualChurn*VLOOKUP(XB39,ChurnSeasonTable,4,FALSE)),1)*BlendedPricePremAnnual*XE39+XQ15*POWER(1-(AnnualChurn*VLOOKUP(XB39,ChurnSeasonTable,4,FALSE)),2)*BlendedPricePremAnnual*XE39+XR27*POWER(1-(AnnualChurn*VLOOKUP(XB39,ChurnSeasonTable,4,FALSE)),1)*BlendedPriceEliteAnnual*XE39+XR15*POWER(1-(AnnualChurn*VLOOKUP(XB39,ChurnSeasonTable,4,FALSE)),2)*BlendedPriceEliteAnnual*XE39</f>
        <v/>
      </c>
      <c r="YE39" s="9">
        <f>YB39+YC39+YD39</f>
        <v/>
      </c>
      <c r="YF39" s="12">
        <f>SUM(YE28:YE39)</f>
        <v/>
      </c>
      <c r="YG39" s="12">
        <f>OR(YG38,IF(VATAgentMode,SUM($YE28:$YE39)-SUM($YL28:$YL39)&gt;=VATThreshold,SUM($YE28:$YE39)&gt;=VATThreshold))</f>
        <v/>
      </c>
      <c r="YH39" s="9">
        <f>IF(YG39,IF(VATAgentMode,YE39-((YE39-YL39)-(YE39-YL39)/(1+VATRate)),YE39/(1+VATRate)),YE39)</f>
        <v/>
      </c>
      <c r="YI39" s="12">
        <f>YE39-YH39</f>
        <v/>
      </c>
      <c r="YJ39" s="12">
        <f>IF(YG39=0,0,IF(XB39=1,SUMPRODUCT(--(($XC$5:$XC39=$XC39-1)*($XB$5:$XB39&gt;=10)*($XB$5:$XB39&lt;=12)),$YI$5:$YI39),IF(XB39=4,SUMPRODUCT(--(($XC$5:$XC39=$XC39)*($XB$5:$XB39&gt;=1)*($XB$5:$XB39&lt;=3)),$YI$5:$YI39),IF(XB39=7,SUMPRODUCT(--(($XC$5:$XC39=$XC39)*($XB$5:$XB39&gt;=4)*($XB$5:$XB39&lt;=6)),$YI$5:$YI39),IF(XB39=10,SUMPRODUCT(--(($XC$5:$XC39=$XC39)*($XB$5:$XB39&gt;=7)*($XB$5:$XB39&lt;=9)),$YI$5:$YI39),0)))))</f>
        <v/>
      </c>
      <c r="YK39" s="12">
        <f>YK38+YI39-YJ39</f>
        <v/>
      </c>
      <c r="YL39" s="12">
        <f>IF(ProviderDelay&gt;=1,XS38*BlendedProvPayEss+XT38*BlendedProvPayPrem+XU38*BlendedProvPayElite+XV38*BlendedProvPayEss+XW38*BlendedProvPayPrem+XX38*BlendedProvPayElite,XS39*BlendedProvPayEss+XT39*BlendedProvPayPrem+XU39*BlendedProvPayElite+XV39*BlendedProvPayEss+XW39*BlendedProvPayPrem+XX39*BlendedProvPayElite)</f>
        <v/>
      </c>
      <c r="YM39" s="12">
        <f>YE39*PaymentFee</f>
        <v/>
      </c>
      <c r="YN39" s="12">
        <f>XY39*OpsAI</f>
        <v/>
      </c>
      <c r="YO39" s="12">
        <f>MonthlyFixed</f>
        <v/>
      </c>
      <c r="YP39" s="12">
        <f>XI39*ReferralReward</f>
        <v/>
      </c>
      <c r="YQ39" s="12">
        <f>XG39</f>
        <v/>
      </c>
      <c r="YR39" s="9">
        <f>YH39-YL39-YM39-YN39-YO39-YP39-YQ39</f>
        <v/>
      </c>
      <c r="YS39" s="9">
        <f>YS38+YE39-(YL39+YM39+YN39+YO39+YP39+YQ39+YJ39)</f>
        <v/>
      </c>
      <c r="YT39" s="12">
        <f>IF(XY39&gt;0,XZ39/XY39,0)</f>
        <v/>
      </c>
      <c r="YU39" s="11">
        <f>IF(XY38&gt;0,MAX(0,(XY38+XJ39-XY39)/XY38),0)</f>
        <v/>
      </c>
      <c r="YW39" s="12" t="n">
        <v>35</v>
      </c>
      <c r="YX39" s="12">
        <f>MOD(YW39-1+LaunchMonth-1,12)+1</f>
        <v/>
      </c>
      <c r="YY39" s="12">
        <f>INT((YW39-1+LaunchMonth-1)/12)+1</f>
        <v/>
      </c>
      <c r="YZ39" s="12">
        <f>VLOOKUP(YX39,SeasonTable,2,FALSE)</f>
        <v/>
      </c>
      <c r="ZA39" s="12">
        <f>(1+InflationRate)^INT((YW39-1)/12)</f>
        <v/>
      </c>
      <c r="ZB39" s="11">
        <f>MonthlyChurn*VLOOKUP(YX39,ChurnSeasonTable,4,FALSE)</f>
        <v/>
      </c>
      <c r="ZC39" s="12">
        <f>MIN(MAX(MktMin19plus,AAA38*MktPct19plus),MAX(0,AAO38-CashBuffer))</f>
        <v/>
      </c>
      <c r="ZD39" s="12">
        <f>IF(ZC39&gt;0,MAX(1,ROUND(ZC39/CAC*YZ39,0)),0)</f>
        <v/>
      </c>
      <c r="ZE39" s="12">
        <f>IF(ZD39&gt;0,ROUND(ZD39*ReferralMix/(1-ReferralMix),0),0)</f>
        <v/>
      </c>
      <c r="ZF39" s="12">
        <f>ZD39+ZE39</f>
        <v/>
      </c>
      <c r="ZG39" s="12">
        <f>ROUND(ZF39*(1-'Sens - Annual Mix'!$A$11),0)</f>
        <v/>
      </c>
      <c r="ZH39" s="12">
        <f>ZF39-ZG39</f>
        <v/>
      </c>
      <c r="ZI39" s="12">
        <f>ROUND(ZG39*EssentialMix,0)</f>
        <v/>
      </c>
      <c r="ZJ39" s="12">
        <f>ROUND(ZG39*PremiumMix,0)</f>
        <v/>
      </c>
      <c r="ZK39" s="12">
        <f>ZG39-ZI39-ZJ39</f>
        <v/>
      </c>
      <c r="ZL39" s="12">
        <f>ROUND(ZH39*EssentialMix,0)</f>
        <v/>
      </c>
      <c r="ZM39" s="12">
        <f>ROUND(ZH39*PremiumMix,0)</f>
        <v/>
      </c>
      <c r="ZN39" s="12">
        <f>ZH39-ZL39-ZM39</f>
        <v/>
      </c>
      <c r="ZO39" s="12">
        <f>ZI39+ZI38+ZI37+MAX(0,ZO38-ZI38-ZI37)*(1-ZB39)</f>
        <v/>
      </c>
      <c r="ZP39" s="12">
        <f>ZJ39+ZJ38+ZJ37+MAX(0,ZP38-ZJ38-ZJ37)*(1-ZB39)</f>
        <v/>
      </c>
      <c r="ZQ39" s="12">
        <f>ZK39+ZK38+ZK37+MAX(0,ZQ38-ZK38-ZK37)*(1-ZB39)</f>
        <v/>
      </c>
      <c r="ZR39" s="12">
        <f>ZR38+ZL39-ZL27*(AnnualChurn*VLOOKUP(YX39,ChurnSeasonTable,4,FALSE))*POWER(1-(AnnualChurn*VLOOKUP(YX39,ChurnSeasonTable,4,FALSE)),0)+ZL15*(AnnualChurn*VLOOKUP(YX39,ChurnSeasonTable,4,FALSE))*POWER(1-(AnnualChurn*VLOOKUP(YX39,ChurnSeasonTable,4,FALSE)),1)</f>
        <v/>
      </c>
      <c r="ZS39" s="12">
        <f>ZS38+ZM39-ZM27*(AnnualChurn*VLOOKUP(YX39,ChurnSeasonTable,4,FALSE))*POWER(1-(AnnualChurn*VLOOKUP(YX39,ChurnSeasonTable,4,FALSE)),0)+ZM15*(AnnualChurn*VLOOKUP(YX39,ChurnSeasonTable,4,FALSE))*POWER(1-(AnnualChurn*VLOOKUP(YX39,ChurnSeasonTable,4,FALSE)),1)</f>
        <v/>
      </c>
      <c r="ZT39" s="12">
        <f>ZT38+ZN39-ZN27*(AnnualChurn*VLOOKUP(YX39,ChurnSeasonTable,4,FALSE))*POWER(1-(AnnualChurn*VLOOKUP(YX39,ChurnSeasonTable,4,FALSE)),0)+ZN15*(AnnualChurn*VLOOKUP(YX39,ChurnSeasonTable,4,FALSE))*POWER(1-(AnnualChurn*VLOOKUP(YX39,ChurnSeasonTable,4,FALSE)),1)</f>
        <v/>
      </c>
      <c r="ZU39" s="12">
        <f>ZO39+ZP39+ZQ39+ZR39+ZS39+ZT39</f>
        <v/>
      </c>
      <c r="ZV39" s="9">
        <f>ZO39*BlendedPriceEssMonthly*ZA39+ZP39*BlendedPricePremMonthly*ZA39+ZQ39*BlendedPriceEliteMonthly*ZA39+ZR39*BlendedPriceEssAnnual*ZA39/12+ZS39*BlendedPricePremAnnual*ZA39/12+ZT39*BlendedPriceEliteAnnual*ZA39/12</f>
        <v/>
      </c>
      <c r="ZW39" s="9">
        <f>ZV39*12</f>
        <v/>
      </c>
      <c r="ZX39" s="12">
        <f>ZO39*BlendedPriceEssMonthly*ZA39+ZP39*BlendedPricePremMonthly*ZA39+ZQ39*BlendedPriceEliteMonthly*ZA39</f>
        <v/>
      </c>
      <c r="ZY39" s="12">
        <f>ZL39*BlendedPriceEssAnnual*ZA39+ZM39*BlendedPricePremAnnual*ZA39+ZN39*BlendedPriceEliteAnnual*ZA39</f>
        <v/>
      </c>
      <c r="ZZ39" s="12">
        <f>ZL27*POWER(1-(AnnualChurn*VLOOKUP(YX39,ChurnSeasonTable,4,FALSE)),1)*BlendedPriceEssAnnual*ZA39+ZL15*POWER(1-(AnnualChurn*VLOOKUP(YX39,ChurnSeasonTable,4,FALSE)),2)*BlendedPriceEssAnnual*ZA39+ZM27*POWER(1-(AnnualChurn*VLOOKUP(YX39,ChurnSeasonTable,4,FALSE)),1)*BlendedPricePremAnnual*ZA39+ZM15*POWER(1-(AnnualChurn*VLOOKUP(YX39,ChurnSeasonTable,4,FALSE)),2)*BlendedPricePremAnnual*ZA39+ZN27*POWER(1-(AnnualChurn*VLOOKUP(YX39,ChurnSeasonTable,4,FALSE)),1)*BlendedPriceEliteAnnual*ZA39+ZN15*POWER(1-(AnnualChurn*VLOOKUP(YX39,ChurnSeasonTable,4,FALSE)),2)*BlendedPriceEliteAnnual*ZA39</f>
        <v/>
      </c>
      <c r="AAA39" s="9">
        <f>ZX39+ZY39+ZZ39</f>
        <v/>
      </c>
      <c r="AAB39" s="12">
        <f>SUM(AAA28:AAA39)</f>
        <v/>
      </c>
      <c r="AAC39" s="12">
        <f>OR(AAC38,IF(VATAgentMode,SUM($AAA28:$AAA39)-SUM($AAH28:$AAH39)&gt;=VATThreshold,SUM($AAA28:$AAA39)&gt;=VATThreshold))</f>
        <v/>
      </c>
      <c r="AAD39" s="9">
        <f>IF(AAC39,IF(VATAgentMode,AAA39-((AAA39-AAH39)-(AAA39-AAH39)/(1+VATRate)),AAA39/(1+VATRate)),AAA39)</f>
        <v/>
      </c>
      <c r="AAE39" s="12">
        <f>AAA39-AAD39</f>
        <v/>
      </c>
      <c r="AAF39" s="12">
        <f>IF(AAC39=0,0,IF(YX39=1,SUMPRODUCT(--(($YY$5:$YY39=$YY39-1)*($YX$5:$YX39&gt;=10)*($YX$5:$YX39&lt;=12)),$AAE$5:$AAE39),IF(YX39=4,SUMPRODUCT(--(($YY$5:$YY39=$YY39)*($YX$5:$YX39&gt;=1)*($YX$5:$YX39&lt;=3)),$AAE$5:$AAE39),IF(YX39=7,SUMPRODUCT(--(($YY$5:$YY39=$YY39)*($YX$5:$YX39&gt;=4)*($YX$5:$YX39&lt;=6)),$AAE$5:$AAE39),IF(YX39=10,SUMPRODUCT(--(($YY$5:$YY39=$YY39)*($YX$5:$YX39&gt;=7)*($YX$5:$YX39&lt;=9)),$AAE$5:$AAE39),0)))))</f>
        <v/>
      </c>
      <c r="AAG39" s="12">
        <f>AAG38+AAE39-AAF39</f>
        <v/>
      </c>
      <c r="AAH39" s="12">
        <f>IF(ProviderDelay&gt;=1,ZO38*BlendedProvPayEss+ZP38*BlendedProvPayPrem+ZQ38*BlendedProvPayElite+ZR38*BlendedProvPayEss+ZS38*BlendedProvPayPrem+ZT38*BlendedProvPayElite,ZO39*BlendedProvPayEss+ZP39*BlendedProvPayPrem+ZQ39*BlendedProvPayElite+ZR39*BlendedProvPayEss+ZS39*BlendedProvPayPrem+ZT39*BlendedProvPayElite)</f>
        <v/>
      </c>
      <c r="AAI39" s="12">
        <f>AAA39*PaymentFee</f>
        <v/>
      </c>
      <c r="AAJ39" s="12">
        <f>ZU39*OpsAI</f>
        <v/>
      </c>
      <c r="AAK39" s="12">
        <f>MonthlyFixed</f>
        <v/>
      </c>
      <c r="AAL39" s="12">
        <f>ZE39*ReferralReward</f>
        <v/>
      </c>
      <c r="AAM39" s="12">
        <f>ZC39</f>
        <v/>
      </c>
      <c r="AAN39" s="9">
        <f>AAD39-AAH39-AAI39-AAJ39-AAK39-AAL39-AAM39</f>
        <v/>
      </c>
      <c r="AAO39" s="9">
        <f>AAO38+AAA39-(AAH39+AAI39+AAJ39+AAK39+AAL39+AAM39+AAF39)</f>
        <v/>
      </c>
      <c r="AAP39" s="12">
        <f>IF(ZU39&gt;0,ZV39/ZU39,0)</f>
        <v/>
      </c>
      <c r="AAQ39" s="11">
        <f>IF(ZU38&gt;0,MAX(0,(ZU38+ZF39-ZU39)/ZU38),0)</f>
        <v/>
      </c>
      <c r="AAS39" s="12" t="n">
        <v>35</v>
      </c>
      <c r="AAT39" s="12">
        <f>MOD(AAS39-1+LaunchMonth-1,12)+1</f>
        <v/>
      </c>
      <c r="AAU39" s="12">
        <f>INT((AAS39-1+LaunchMonth-1)/12)+1</f>
        <v/>
      </c>
      <c r="AAV39" s="12">
        <f>VLOOKUP(AAT39,SeasonTable,2,FALSE)</f>
        <v/>
      </c>
      <c r="AAW39" s="12">
        <f>(1+InflationRate)^INT((AAS39-1)/12)</f>
        <v/>
      </c>
      <c r="AAX39" s="11">
        <f>MonthlyChurn*VLOOKUP(AAT39,ChurnSeasonTable,4,FALSE)</f>
        <v/>
      </c>
      <c r="AAY39" s="12">
        <f>MIN(MAX(MktMin19plus,ABW38*MktPct19plus),MAX(0,ACK38-CashBuffer))</f>
        <v/>
      </c>
      <c r="AAZ39" s="12">
        <f>IF(AAY39&gt;0,MAX(1,ROUND(AAY39/CAC*AAV39,0)),0)</f>
        <v/>
      </c>
      <c r="ABA39" s="12">
        <f>IF(AAZ39&gt;0,ROUND(AAZ39*ReferralMix/(1-ReferralMix),0),0)</f>
        <v/>
      </c>
      <c r="ABB39" s="12">
        <f>AAZ39+ABA39</f>
        <v/>
      </c>
      <c r="ABC39" s="12">
        <f>ROUND(ABB39*(1-'Sens - Annual Mix'!$A$12),0)</f>
        <v/>
      </c>
      <c r="ABD39" s="12">
        <f>ABB39-ABC39</f>
        <v/>
      </c>
      <c r="ABE39" s="12">
        <f>ROUND(ABC39*EssentialMix,0)</f>
        <v/>
      </c>
      <c r="ABF39" s="12">
        <f>ROUND(ABC39*PremiumMix,0)</f>
        <v/>
      </c>
      <c r="ABG39" s="12">
        <f>ABC39-ABE39-ABF39</f>
        <v/>
      </c>
      <c r="ABH39" s="12">
        <f>ROUND(ABD39*EssentialMix,0)</f>
        <v/>
      </c>
      <c r="ABI39" s="12">
        <f>ROUND(ABD39*PremiumMix,0)</f>
        <v/>
      </c>
      <c r="ABJ39" s="12">
        <f>ABD39-ABH39-ABI39</f>
        <v/>
      </c>
      <c r="ABK39" s="12">
        <f>ABE39+ABE38+ABE37+MAX(0,ABK38-ABE38-ABE37)*(1-AAX39)</f>
        <v/>
      </c>
      <c r="ABL39" s="12">
        <f>ABF39+ABF38+ABF37+MAX(0,ABL38-ABF38-ABF37)*(1-AAX39)</f>
        <v/>
      </c>
      <c r="ABM39" s="12">
        <f>ABG39+ABG38+ABG37+MAX(0,ABM38-ABG38-ABG37)*(1-AAX39)</f>
        <v/>
      </c>
      <c r="ABN39" s="12">
        <f>ABN38+ABH39-ABH27*(AnnualChurn*VLOOKUP(AAT39,ChurnSeasonTable,4,FALSE))*POWER(1-(AnnualChurn*VLOOKUP(AAT39,ChurnSeasonTable,4,FALSE)),0)+ABH15*(AnnualChurn*VLOOKUP(AAT39,ChurnSeasonTable,4,FALSE))*POWER(1-(AnnualChurn*VLOOKUP(AAT39,ChurnSeasonTable,4,FALSE)),1)</f>
        <v/>
      </c>
      <c r="ABO39" s="12">
        <f>ABO38+ABI39-ABI27*(AnnualChurn*VLOOKUP(AAT39,ChurnSeasonTable,4,FALSE))*POWER(1-(AnnualChurn*VLOOKUP(AAT39,ChurnSeasonTable,4,FALSE)),0)+ABI15*(AnnualChurn*VLOOKUP(AAT39,ChurnSeasonTable,4,FALSE))*POWER(1-(AnnualChurn*VLOOKUP(AAT39,ChurnSeasonTable,4,FALSE)),1)</f>
        <v/>
      </c>
      <c r="ABP39" s="12">
        <f>ABP38+ABJ39-ABJ27*(AnnualChurn*VLOOKUP(AAT39,ChurnSeasonTable,4,FALSE))*POWER(1-(AnnualChurn*VLOOKUP(AAT39,ChurnSeasonTable,4,FALSE)),0)+ABJ15*(AnnualChurn*VLOOKUP(AAT39,ChurnSeasonTable,4,FALSE))*POWER(1-(AnnualChurn*VLOOKUP(AAT39,ChurnSeasonTable,4,FALSE)),1)</f>
        <v/>
      </c>
      <c r="ABQ39" s="12">
        <f>ABK39+ABL39+ABM39+ABN39+ABO39+ABP39</f>
        <v/>
      </c>
      <c r="ABR39" s="9">
        <f>ABK39*BlendedPriceEssMonthly*AAW39+ABL39*BlendedPricePremMonthly*AAW39+ABM39*BlendedPriceEliteMonthly*AAW39+ABN39*BlendedPriceEssAnnual*AAW39/12+ABO39*BlendedPricePremAnnual*AAW39/12+ABP39*BlendedPriceEliteAnnual*AAW39/12</f>
        <v/>
      </c>
      <c r="ABS39" s="9">
        <f>ABR39*12</f>
        <v/>
      </c>
      <c r="ABT39" s="12">
        <f>ABK39*BlendedPriceEssMonthly*AAW39+ABL39*BlendedPricePremMonthly*AAW39+ABM39*BlendedPriceEliteMonthly*AAW39</f>
        <v/>
      </c>
      <c r="ABU39" s="12">
        <f>ABH39*BlendedPriceEssAnnual*AAW39+ABI39*BlendedPricePremAnnual*AAW39+ABJ39*BlendedPriceEliteAnnual*AAW39</f>
        <v/>
      </c>
      <c r="ABV39" s="12">
        <f>ABH27*POWER(1-(AnnualChurn*VLOOKUP(AAT39,ChurnSeasonTable,4,FALSE)),1)*BlendedPriceEssAnnual*AAW39+ABH15*POWER(1-(AnnualChurn*VLOOKUP(AAT39,ChurnSeasonTable,4,FALSE)),2)*BlendedPriceEssAnnual*AAW39+ABI27*POWER(1-(AnnualChurn*VLOOKUP(AAT39,ChurnSeasonTable,4,FALSE)),1)*BlendedPricePremAnnual*AAW39+ABI15*POWER(1-(AnnualChurn*VLOOKUP(AAT39,ChurnSeasonTable,4,FALSE)),2)*BlendedPricePremAnnual*AAW39+ABJ27*POWER(1-(AnnualChurn*VLOOKUP(AAT39,ChurnSeasonTable,4,FALSE)),1)*BlendedPriceEliteAnnual*AAW39+ABJ15*POWER(1-(AnnualChurn*VLOOKUP(AAT39,ChurnSeasonTable,4,FALSE)),2)*BlendedPriceEliteAnnual*AAW39</f>
        <v/>
      </c>
      <c r="ABW39" s="9">
        <f>ABT39+ABU39+ABV39</f>
        <v/>
      </c>
      <c r="ABX39" s="12">
        <f>SUM(ABW28:ABW39)</f>
        <v/>
      </c>
      <c r="ABY39" s="12">
        <f>OR(ABY38,IF(VATAgentMode,SUM($ABW28:$ABW39)-SUM($ACD28:$ACD39)&gt;=VATThreshold,SUM($ABW28:$ABW39)&gt;=VATThreshold))</f>
        <v/>
      </c>
      <c r="ABZ39" s="9">
        <f>IF(ABY39,IF(VATAgentMode,ABW39-((ABW39-ACD39)-(ABW39-ACD39)/(1+VATRate)),ABW39/(1+VATRate)),ABW39)</f>
        <v/>
      </c>
      <c r="ACA39" s="12">
        <f>ABW39-ABZ39</f>
        <v/>
      </c>
      <c r="ACB39" s="12">
        <f>IF(ABY39=0,0,IF(AAT39=1,SUMPRODUCT(--(($AAU$5:$AAU39=$AAU39-1)*($AAT$5:$AAT39&gt;=10)*($AAT$5:$AAT39&lt;=12)),$ACA$5:$ACA39),IF(AAT39=4,SUMPRODUCT(--(($AAU$5:$AAU39=$AAU39)*($AAT$5:$AAT39&gt;=1)*($AAT$5:$AAT39&lt;=3)),$ACA$5:$ACA39),IF(AAT39=7,SUMPRODUCT(--(($AAU$5:$AAU39=$AAU39)*($AAT$5:$AAT39&gt;=4)*($AAT$5:$AAT39&lt;=6)),$ACA$5:$ACA39),IF(AAT39=10,SUMPRODUCT(--(($AAU$5:$AAU39=$AAU39)*($AAT$5:$AAT39&gt;=7)*($AAT$5:$AAT39&lt;=9)),$ACA$5:$ACA39),0)))))</f>
        <v/>
      </c>
      <c r="ACC39" s="12">
        <f>ACC38+ACA39-ACB39</f>
        <v/>
      </c>
      <c r="ACD39" s="12">
        <f>IF(ProviderDelay&gt;=1,ABK38*BlendedProvPayEss+ABL38*BlendedProvPayPrem+ABM38*BlendedProvPayElite+ABN38*BlendedProvPayEss+ABO38*BlendedProvPayPrem+ABP38*BlendedProvPayElite,ABK39*BlendedProvPayEss+ABL39*BlendedProvPayPrem+ABM39*BlendedProvPayElite+ABN39*BlendedProvPayEss+ABO39*BlendedProvPayPrem+ABP39*BlendedProvPayElite)</f>
        <v/>
      </c>
      <c r="ACE39" s="12">
        <f>ABW39*PaymentFee</f>
        <v/>
      </c>
      <c r="ACF39" s="12">
        <f>ABQ39*OpsAI</f>
        <v/>
      </c>
      <c r="ACG39" s="12">
        <f>MonthlyFixed</f>
        <v/>
      </c>
      <c r="ACH39" s="12">
        <f>ABA39*ReferralReward</f>
        <v/>
      </c>
      <c r="ACI39" s="12">
        <f>AAY39</f>
        <v/>
      </c>
      <c r="ACJ39" s="9">
        <f>ABZ39-ACD39-ACE39-ACF39-ACG39-ACH39-ACI39</f>
        <v/>
      </c>
      <c r="ACK39" s="9">
        <f>ACK38+ABW39-(ACD39+ACE39+ACF39+ACG39+ACH39+ACI39+ACB39)</f>
        <v/>
      </c>
      <c r="ACL39" s="12">
        <f>IF(ABQ39&gt;0,ABR39/ABQ39,0)</f>
        <v/>
      </c>
      <c r="ACM39" s="11">
        <f>IF(ABQ38&gt;0,MAX(0,(ABQ38+ABB39-ABQ39)/ABQ38),0)</f>
        <v/>
      </c>
      <c r="ACO39" s="12" t="n">
        <v>35</v>
      </c>
      <c r="ACP39" s="12">
        <f>MOD(ACO39-1+LaunchMonth-1,12)+1</f>
        <v/>
      </c>
      <c r="ACQ39" s="12">
        <f>INT((ACO39-1+LaunchMonth-1)/12)+1</f>
        <v/>
      </c>
      <c r="ACR39" s="12">
        <f>VLOOKUP(ACP39,SeasonTable,2,FALSE)</f>
        <v/>
      </c>
      <c r="ACS39" s="12">
        <f>(1+InflationRate)^INT((ACO39-1)/12)</f>
        <v/>
      </c>
      <c r="ACT39" s="11">
        <f>MonthlyChurn*VLOOKUP(ACP39,ChurnSeasonTable,4,FALSE)</f>
        <v/>
      </c>
      <c r="ACU39" s="12">
        <f>MIN(MAX(MktMin19plus,ADS38*MktPct19plus),MAX(0,AEG38-CashBuffer))</f>
        <v/>
      </c>
      <c r="ACV39" s="12">
        <f>IF(ACU39&gt;0,MAX(1,ROUND(ACU39/CAC*ACR39,0)),0)</f>
        <v/>
      </c>
      <c r="ACW39" s="12">
        <f>IF(ACV39&gt;0,ROUND(ACV39*ReferralMix/(1-ReferralMix),0),0)</f>
        <v/>
      </c>
      <c r="ACX39" s="12">
        <f>ACV39+ACW39</f>
        <v/>
      </c>
      <c r="ACY39" s="12">
        <f>ROUND(ACX39*(1-'Sens - Annual Mix'!$A$13),0)</f>
        <v/>
      </c>
      <c r="ACZ39" s="12">
        <f>ACX39-ACY39</f>
        <v/>
      </c>
      <c r="ADA39" s="12">
        <f>ROUND(ACY39*EssentialMix,0)</f>
        <v/>
      </c>
      <c r="ADB39" s="12">
        <f>ROUND(ACY39*PremiumMix,0)</f>
        <v/>
      </c>
      <c r="ADC39" s="12">
        <f>ACY39-ADA39-ADB39</f>
        <v/>
      </c>
      <c r="ADD39" s="12">
        <f>ROUND(ACZ39*EssentialMix,0)</f>
        <v/>
      </c>
      <c r="ADE39" s="12">
        <f>ROUND(ACZ39*PremiumMix,0)</f>
        <v/>
      </c>
      <c r="ADF39" s="12">
        <f>ACZ39-ADD39-ADE39</f>
        <v/>
      </c>
      <c r="ADG39" s="12">
        <f>ADA39+ADA38+ADA37+MAX(0,ADG38-ADA38-ADA37)*(1-ACT39)</f>
        <v/>
      </c>
      <c r="ADH39" s="12">
        <f>ADB39+ADB38+ADB37+MAX(0,ADH38-ADB38-ADB37)*(1-ACT39)</f>
        <v/>
      </c>
      <c r="ADI39" s="12">
        <f>ADC39+ADC38+ADC37+MAX(0,ADI38-ADC38-ADC37)*(1-ACT39)</f>
        <v/>
      </c>
      <c r="ADJ39" s="12">
        <f>ADJ38+ADD39-ADD27*(AnnualChurn*VLOOKUP(ACP39,ChurnSeasonTable,4,FALSE))*POWER(1-(AnnualChurn*VLOOKUP(ACP39,ChurnSeasonTable,4,FALSE)),0)+ADD15*(AnnualChurn*VLOOKUP(ACP39,ChurnSeasonTable,4,FALSE))*POWER(1-(AnnualChurn*VLOOKUP(ACP39,ChurnSeasonTable,4,FALSE)),1)</f>
        <v/>
      </c>
      <c r="ADK39" s="12">
        <f>ADK38+ADE39-ADE27*(AnnualChurn*VLOOKUP(ACP39,ChurnSeasonTable,4,FALSE))*POWER(1-(AnnualChurn*VLOOKUP(ACP39,ChurnSeasonTable,4,FALSE)),0)+ADE15*(AnnualChurn*VLOOKUP(ACP39,ChurnSeasonTable,4,FALSE))*POWER(1-(AnnualChurn*VLOOKUP(ACP39,ChurnSeasonTable,4,FALSE)),1)</f>
        <v/>
      </c>
      <c r="ADL39" s="12">
        <f>ADL38+ADF39-ADF27*(AnnualChurn*VLOOKUP(ACP39,ChurnSeasonTable,4,FALSE))*POWER(1-(AnnualChurn*VLOOKUP(ACP39,ChurnSeasonTable,4,FALSE)),0)+ADF15*(AnnualChurn*VLOOKUP(ACP39,ChurnSeasonTable,4,FALSE))*POWER(1-(AnnualChurn*VLOOKUP(ACP39,ChurnSeasonTable,4,FALSE)),1)</f>
        <v/>
      </c>
      <c r="ADM39" s="12">
        <f>ADG39+ADH39+ADI39+ADJ39+ADK39+ADL39</f>
        <v/>
      </c>
      <c r="ADN39" s="9">
        <f>ADG39*BlendedPriceEssMonthly*ACS39+ADH39*BlendedPricePremMonthly*ACS39+ADI39*BlendedPriceEliteMonthly*ACS39+ADJ39*BlendedPriceEssAnnual*ACS39/12+ADK39*BlendedPricePremAnnual*ACS39/12+ADL39*BlendedPriceEliteAnnual*ACS39/12</f>
        <v/>
      </c>
      <c r="ADO39" s="9">
        <f>ADN39*12</f>
        <v/>
      </c>
      <c r="ADP39" s="12">
        <f>ADG39*BlendedPriceEssMonthly*ACS39+ADH39*BlendedPricePremMonthly*ACS39+ADI39*BlendedPriceEliteMonthly*ACS39</f>
        <v/>
      </c>
      <c r="ADQ39" s="12">
        <f>ADD39*BlendedPriceEssAnnual*ACS39+ADE39*BlendedPricePremAnnual*ACS39+ADF39*BlendedPriceEliteAnnual*ACS39</f>
        <v/>
      </c>
      <c r="ADR39" s="12">
        <f>ADD27*POWER(1-(AnnualChurn*VLOOKUP(ACP39,ChurnSeasonTable,4,FALSE)),1)*BlendedPriceEssAnnual*ACS39+ADD15*POWER(1-(AnnualChurn*VLOOKUP(ACP39,ChurnSeasonTable,4,FALSE)),2)*BlendedPriceEssAnnual*ACS39+ADE27*POWER(1-(AnnualChurn*VLOOKUP(ACP39,ChurnSeasonTable,4,FALSE)),1)*BlendedPricePremAnnual*ACS39+ADE15*POWER(1-(AnnualChurn*VLOOKUP(ACP39,ChurnSeasonTable,4,FALSE)),2)*BlendedPricePremAnnual*ACS39+ADF27*POWER(1-(AnnualChurn*VLOOKUP(ACP39,ChurnSeasonTable,4,FALSE)),1)*BlendedPriceEliteAnnual*ACS39+ADF15*POWER(1-(AnnualChurn*VLOOKUP(ACP39,ChurnSeasonTable,4,FALSE)),2)*BlendedPriceEliteAnnual*ACS39</f>
        <v/>
      </c>
      <c r="ADS39" s="9">
        <f>ADP39+ADQ39+ADR39</f>
        <v/>
      </c>
      <c r="ADT39" s="12">
        <f>SUM(ADS28:ADS39)</f>
        <v/>
      </c>
      <c r="ADU39" s="12">
        <f>OR(ADU38,IF(VATAgentMode,SUM($ADS28:$ADS39)-SUM($ADZ28:$ADZ39)&gt;=VATThreshold,SUM($ADS28:$ADS39)&gt;=VATThreshold))</f>
        <v/>
      </c>
      <c r="ADV39" s="9">
        <f>IF(ADU39,IF(VATAgentMode,ADS39-((ADS39-ADZ39)-(ADS39-ADZ39)/(1+VATRate)),ADS39/(1+VATRate)),ADS39)</f>
        <v/>
      </c>
      <c r="ADW39" s="12">
        <f>ADS39-ADV39</f>
        <v/>
      </c>
      <c r="ADX39" s="12">
        <f>IF(ADU39=0,0,IF(ACP39=1,SUMPRODUCT(--(($ACQ$5:$ACQ39=$ACQ39-1)*($ACP$5:$ACP39&gt;=10)*($ACP$5:$ACP39&lt;=12)),$ADW$5:$ADW39),IF(ACP39=4,SUMPRODUCT(--(($ACQ$5:$ACQ39=$ACQ39)*($ACP$5:$ACP39&gt;=1)*($ACP$5:$ACP39&lt;=3)),$ADW$5:$ADW39),IF(ACP39=7,SUMPRODUCT(--(($ACQ$5:$ACQ39=$ACQ39)*($ACP$5:$ACP39&gt;=4)*($ACP$5:$ACP39&lt;=6)),$ADW$5:$ADW39),IF(ACP39=10,SUMPRODUCT(--(($ACQ$5:$ACQ39=$ACQ39)*($ACP$5:$ACP39&gt;=7)*($ACP$5:$ACP39&lt;=9)),$ADW$5:$ADW39),0)))))</f>
        <v/>
      </c>
      <c r="ADY39" s="12">
        <f>ADY38+ADW39-ADX39</f>
        <v/>
      </c>
      <c r="ADZ39" s="12">
        <f>IF(ProviderDelay&gt;=1,ADG38*BlendedProvPayEss+ADH38*BlendedProvPayPrem+ADI38*BlendedProvPayElite+ADJ38*BlendedProvPayEss+ADK38*BlendedProvPayPrem+ADL38*BlendedProvPayElite,ADG39*BlendedProvPayEss+ADH39*BlendedProvPayPrem+ADI39*BlendedProvPayElite+ADJ39*BlendedProvPayEss+ADK39*BlendedProvPayPrem+ADL39*BlendedProvPayElite)</f>
        <v/>
      </c>
      <c r="AEA39" s="12">
        <f>ADS39*PaymentFee</f>
        <v/>
      </c>
      <c r="AEB39" s="12">
        <f>ADM39*OpsAI</f>
        <v/>
      </c>
      <c r="AEC39" s="12">
        <f>MonthlyFixed</f>
        <v/>
      </c>
      <c r="AED39" s="12">
        <f>ACW39*ReferralReward</f>
        <v/>
      </c>
      <c r="AEE39" s="12">
        <f>ACU39</f>
        <v/>
      </c>
      <c r="AEF39" s="9">
        <f>ADV39-ADZ39-AEA39-AEB39-AEC39-AED39-AEE39</f>
        <v/>
      </c>
      <c r="AEG39" s="9">
        <f>AEG38+ADS39-(ADZ39+AEA39+AEB39+AEC39+AED39+AEE39+ADX39)</f>
        <v/>
      </c>
      <c r="AEH39" s="12">
        <f>IF(ADM39&gt;0,ADN39/ADM39,0)</f>
        <v/>
      </c>
      <c r="AEI39" s="11">
        <f>IF(ADM38&gt;0,MAX(0,(ADM38+ACX39-ADM39)/ADM38),0)</f>
        <v/>
      </c>
      <c r="AEK39" s="12" t="n">
        <v>35</v>
      </c>
      <c r="AEL39" s="12">
        <f>MOD(AEK39-1+LaunchMonth-1,12)+1</f>
        <v/>
      </c>
      <c r="AEM39" s="12">
        <f>INT((AEK39-1+LaunchMonth-1)/12)+1</f>
        <v/>
      </c>
      <c r="AEN39" s="12">
        <f>VLOOKUP(AEL39,SeasonTable,2,FALSE)</f>
        <v/>
      </c>
      <c r="AEO39" s="12">
        <f>(1+InflationRate)^INT((AEK39-1)/12)</f>
        <v/>
      </c>
      <c r="AEP39" s="11">
        <f>MonthlyChurn*VLOOKUP(AEL39,ChurnSeasonTable,4,FALSE)</f>
        <v/>
      </c>
      <c r="AEQ39" s="12">
        <f>MIN(MAX(MktMin19plus,AFO38*MktPct19plus),MAX(0,AGC38-CashBuffer))</f>
        <v/>
      </c>
      <c r="AER39" s="12">
        <f>IF(AEQ39&gt;0,MAX(1,ROUND(AEQ39/CAC*AEN39,0)),0)</f>
        <v/>
      </c>
      <c r="AES39" s="12">
        <f>IF(AER39&gt;0,ROUND(AER39*ReferralMix/(1-ReferralMix),0),0)</f>
        <v/>
      </c>
      <c r="AET39" s="12">
        <f>AER39+AES39</f>
        <v/>
      </c>
      <c r="AEU39" s="12">
        <f>ROUND(AET39*(1-'Sens - Annual Mix'!$A$14),0)</f>
        <v/>
      </c>
      <c r="AEV39" s="12">
        <f>AET39-AEU39</f>
        <v/>
      </c>
      <c r="AEW39" s="12">
        <f>ROUND(AEU39*EssentialMix,0)</f>
        <v/>
      </c>
      <c r="AEX39" s="12">
        <f>ROUND(AEU39*PremiumMix,0)</f>
        <v/>
      </c>
      <c r="AEY39" s="12">
        <f>AEU39-AEW39-AEX39</f>
        <v/>
      </c>
      <c r="AEZ39" s="12">
        <f>ROUND(AEV39*EssentialMix,0)</f>
        <v/>
      </c>
      <c r="AFA39" s="12">
        <f>ROUND(AEV39*PremiumMix,0)</f>
        <v/>
      </c>
      <c r="AFB39" s="12">
        <f>AEV39-AEZ39-AFA39</f>
        <v/>
      </c>
      <c r="AFC39" s="12">
        <f>AEW39+AEW38+AEW37+MAX(0,AFC38-AEW38-AEW37)*(1-AEP39)</f>
        <v/>
      </c>
      <c r="AFD39" s="12">
        <f>AEX39+AEX38+AEX37+MAX(0,AFD38-AEX38-AEX37)*(1-AEP39)</f>
        <v/>
      </c>
      <c r="AFE39" s="12">
        <f>AEY39+AEY38+AEY37+MAX(0,AFE38-AEY38-AEY37)*(1-AEP39)</f>
        <v/>
      </c>
      <c r="AFF39" s="12">
        <f>AFF38+AEZ39-AEZ27*(AnnualChurn*VLOOKUP(AEL39,ChurnSeasonTable,4,FALSE))*POWER(1-(AnnualChurn*VLOOKUP(AEL39,ChurnSeasonTable,4,FALSE)),0)+AEZ15*(AnnualChurn*VLOOKUP(AEL39,ChurnSeasonTable,4,FALSE))*POWER(1-(AnnualChurn*VLOOKUP(AEL39,ChurnSeasonTable,4,FALSE)),1)</f>
        <v/>
      </c>
      <c r="AFG39" s="12">
        <f>AFG38+AFA39-AFA27*(AnnualChurn*VLOOKUP(AEL39,ChurnSeasonTable,4,FALSE))*POWER(1-(AnnualChurn*VLOOKUP(AEL39,ChurnSeasonTable,4,FALSE)),0)+AFA15*(AnnualChurn*VLOOKUP(AEL39,ChurnSeasonTable,4,FALSE))*POWER(1-(AnnualChurn*VLOOKUP(AEL39,ChurnSeasonTable,4,FALSE)),1)</f>
        <v/>
      </c>
      <c r="AFH39" s="12">
        <f>AFH38+AFB39-AFB27*(AnnualChurn*VLOOKUP(AEL39,ChurnSeasonTable,4,FALSE))*POWER(1-(AnnualChurn*VLOOKUP(AEL39,ChurnSeasonTable,4,FALSE)),0)+AFB15*(AnnualChurn*VLOOKUP(AEL39,ChurnSeasonTable,4,FALSE))*POWER(1-(AnnualChurn*VLOOKUP(AEL39,ChurnSeasonTable,4,FALSE)),1)</f>
        <v/>
      </c>
      <c r="AFI39" s="12">
        <f>AFC39+AFD39+AFE39+AFF39+AFG39+AFH39</f>
        <v/>
      </c>
      <c r="AFJ39" s="9">
        <f>AFC39*BlendedPriceEssMonthly*AEO39+AFD39*BlendedPricePremMonthly*AEO39+AFE39*BlendedPriceEliteMonthly*AEO39+AFF39*BlendedPriceEssAnnual*AEO39/12+AFG39*BlendedPricePremAnnual*AEO39/12+AFH39*BlendedPriceEliteAnnual*AEO39/12</f>
        <v/>
      </c>
      <c r="AFK39" s="9">
        <f>AFJ39*12</f>
        <v/>
      </c>
      <c r="AFL39" s="12">
        <f>AFC39*BlendedPriceEssMonthly*AEO39+AFD39*BlendedPricePremMonthly*AEO39+AFE39*BlendedPriceEliteMonthly*AEO39</f>
        <v/>
      </c>
      <c r="AFM39" s="12">
        <f>AEZ39*BlendedPriceEssAnnual*AEO39+AFA39*BlendedPricePremAnnual*AEO39+AFB39*BlendedPriceEliteAnnual*AEO39</f>
        <v/>
      </c>
      <c r="AFN39" s="12">
        <f>AEZ27*POWER(1-(AnnualChurn*VLOOKUP(AEL39,ChurnSeasonTable,4,FALSE)),1)*BlendedPriceEssAnnual*AEO39+AEZ15*POWER(1-(AnnualChurn*VLOOKUP(AEL39,ChurnSeasonTable,4,FALSE)),2)*BlendedPriceEssAnnual*AEO39+AFA27*POWER(1-(AnnualChurn*VLOOKUP(AEL39,ChurnSeasonTable,4,FALSE)),1)*BlendedPricePremAnnual*AEO39+AFA15*POWER(1-(AnnualChurn*VLOOKUP(AEL39,ChurnSeasonTable,4,FALSE)),2)*BlendedPricePremAnnual*AEO39+AFB27*POWER(1-(AnnualChurn*VLOOKUP(AEL39,ChurnSeasonTable,4,FALSE)),1)*BlendedPriceEliteAnnual*AEO39+AFB15*POWER(1-(AnnualChurn*VLOOKUP(AEL39,ChurnSeasonTable,4,FALSE)),2)*BlendedPriceEliteAnnual*AEO39</f>
        <v/>
      </c>
      <c r="AFO39" s="9">
        <f>AFL39+AFM39+AFN39</f>
        <v/>
      </c>
      <c r="AFP39" s="12">
        <f>SUM(AFO28:AFO39)</f>
        <v/>
      </c>
      <c r="AFQ39" s="12">
        <f>OR(AFQ38,IF(VATAgentMode,SUM($AFO28:$AFO39)-SUM($AFV28:$AFV39)&gt;=VATThreshold,SUM($AFO28:$AFO39)&gt;=VATThreshold))</f>
        <v/>
      </c>
      <c r="AFR39" s="9">
        <f>IF(AFQ39,IF(VATAgentMode,AFO39-((AFO39-AFV39)-(AFO39-AFV39)/(1+VATRate)),AFO39/(1+VATRate)),AFO39)</f>
        <v/>
      </c>
      <c r="AFS39" s="12">
        <f>AFO39-AFR39</f>
        <v/>
      </c>
      <c r="AFT39" s="12">
        <f>IF(AFQ39=0,0,IF(AEL39=1,SUMPRODUCT(--(($AEM$5:$AEM39=$AEM39-1)*($AEL$5:$AEL39&gt;=10)*($AEL$5:$AEL39&lt;=12)),$AFS$5:$AFS39),IF(AEL39=4,SUMPRODUCT(--(($AEM$5:$AEM39=$AEM39)*($AEL$5:$AEL39&gt;=1)*($AEL$5:$AEL39&lt;=3)),$AFS$5:$AFS39),IF(AEL39=7,SUMPRODUCT(--(($AEM$5:$AEM39=$AEM39)*($AEL$5:$AEL39&gt;=4)*($AEL$5:$AEL39&lt;=6)),$AFS$5:$AFS39),IF(AEL39=10,SUMPRODUCT(--(($AEM$5:$AEM39=$AEM39)*($AEL$5:$AEL39&gt;=7)*($AEL$5:$AEL39&lt;=9)),$AFS$5:$AFS39),0)))))</f>
        <v/>
      </c>
      <c r="AFU39" s="12">
        <f>AFU38+AFS39-AFT39</f>
        <v/>
      </c>
      <c r="AFV39" s="12">
        <f>IF(ProviderDelay&gt;=1,AFC38*BlendedProvPayEss+AFD38*BlendedProvPayPrem+AFE38*BlendedProvPayElite+AFF38*BlendedProvPayEss+AFG38*BlendedProvPayPrem+AFH38*BlendedProvPayElite,AFC39*BlendedProvPayEss+AFD39*BlendedProvPayPrem+AFE39*BlendedProvPayElite+AFF39*BlendedProvPayEss+AFG39*BlendedProvPayPrem+AFH39*BlendedProvPayElite)</f>
        <v/>
      </c>
      <c r="AFW39" s="12">
        <f>AFO39*PaymentFee</f>
        <v/>
      </c>
      <c r="AFX39" s="12">
        <f>AFI39*OpsAI</f>
        <v/>
      </c>
      <c r="AFY39" s="12">
        <f>MonthlyFixed</f>
        <v/>
      </c>
      <c r="AFZ39" s="12">
        <f>AES39*ReferralReward</f>
        <v/>
      </c>
      <c r="AGA39" s="12">
        <f>AEQ39</f>
        <v/>
      </c>
      <c r="AGB39" s="9">
        <f>AFR39-AFV39-AFW39-AFX39-AFY39-AFZ39-AGA39</f>
        <v/>
      </c>
      <c r="AGC39" s="9">
        <f>AGC38+AFO39-(AFV39+AFW39+AFX39+AFY39+AFZ39+AGA39+AFT39)</f>
        <v/>
      </c>
      <c r="AGD39" s="12">
        <f>IF(AFI39&gt;0,AFJ39/AFI39,0)</f>
        <v/>
      </c>
      <c r="AGE39" s="11">
        <f>IF(AFI38&gt;0,MAX(0,(AFI38+AET39-AFI39)/AFI38),0)</f>
        <v/>
      </c>
      <c r="AGG39" s="12" t="n">
        <v>35</v>
      </c>
      <c r="AGH39" s="12">
        <f>MOD(AGG39-1+LaunchMonth-1,12)+1</f>
        <v/>
      </c>
      <c r="AGI39" s="12">
        <f>INT((AGG39-1+LaunchMonth-1)/12)+1</f>
        <v/>
      </c>
      <c r="AGJ39" s="12">
        <f>VLOOKUP(AGH39,SeasonTable,2,FALSE)</f>
        <v/>
      </c>
      <c r="AGK39" s="12">
        <f>(1+InflationRate)^INT((AGG39-1)/12)</f>
        <v/>
      </c>
      <c r="AGL39" s="11">
        <f>MonthlyChurn*VLOOKUP(AGH39,ChurnSeasonTable,4,FALSE)</f>
        <v/>
      </c>
      <c r="AGM39" s="12">
        <f>MIN(MAX(MktMin19plus,AHK38*MktPct19plus),MAX(0,AHY38-CashBuffer))</f>
        <v/>
      </c>
      <c r="AGN39" s="12">
        <f>IF(AGM39&gt;0,MAX(1,ROUND(AGM39/CAC*AGJ39,0)),0)</f>
        <v/>
      </c>
      <c r="AGO39" s="12">
        <f>IF(AGN39&gt;0,ROUND(AGN39*ReferralMix/(1-ReferralMix),0),0)</f>
        <v/>
      </c>
      <c r="AGP39" s="12">
        <f>AGN39+AGO39</f>
        <v/>
      </c>
      <c r="AGQ39" s="12">
        <f>ROUND(AGP39*(1-'Sens - Annual Mix'!$A$15),0)</f>
        <v/>
      </c>
      <c r="AGR39" s="12">
        <f>AGP39-AGQ39</f>
        <v/>
      </c>
      <c r="AGS39" s="12">
        <f>ROUND(AGQ39*EssentialMix,0)</f>
        <v/>
      </c>
      <c r="AGT39" s="12">
        <f>ROUND(AGQ39*PremiumMix,0)</f>
        <v/>
      </c>
      <c r="AGU39" s="12">
        <f>AGQ39-AGS39-AGT39</f>
        <v/>
      </c>
      <c r="AGV39" s="12">
        <f>ROUND(AGR39*EssentialMix,0)</f>
        <v/>
      </c>
      <c r="AGW39" s="12">
        <f>ROUND(AGR39*PremiumMix,0)</f>
        <v/>
      </c>
      <c r="AGX39" s="12">
        <f>AGR39-AGV39-AGW39</f>
        <v/>
      </c>
      <c r="AGY39" s="12">
        <f>AGS39+AGS38+AGS37+MAX(0,AGY38-AGS38-AGS37)*(1-AGL39)</f>
        <v/>
      </c>
      <c r="AGZ39" s="12">
        <f>AGT39+AGT38+AGT37+MAX(0,AGZ38-AGT38-AGT37)*(1-AGL39)</f>
        <v/>
      </c>
      <c r="AHA39" s="12">
        <f>AGU39+AGU38+AGU37+MAX(0,AHA38-AGU38-AGU37)*(1-AGL39)</f>
        <v/>
      </c>
      <c r="AHB39" s="12">
        <f>AHB38+AGV39-AGV27*(AnnualChurn*VLOOKUP(AGH39,ChurnSeasonTable,4,FALSE))*POWER(1-(AnnualChurn*VLOOKUP(AGH39,ChurnSeasonTable,4,FALSE)),0)+AGV15*(AnnualChurn*VLOOKUP(AGH39,ChurnSeasonTable,4,FALSE))*POWER(1-(AnnualChurn*VLOOKUP(AGH39,ChurnSeasonTable,4,FALSE)),1)</f>
        <v/>
      </c>
      <c r="AHC39" s="12">
        <f>AHC38+AGW39-AGW27*(AnnualChurn*VLOOKUP(AGH39,ChurnSeasonTable,4,FALSE))*POWER(1-(AnnualChurn*VLOOKUP(AGH39,ChurnSeasonTable,4,FALSE)),0)+AGW15*(AnnualChurn*VLOOKUP(AGH39,ChurnSeasonTable,4,FALSE))*POWER(1-(AnnualChurn*VLOOKUP(AGH39,ChurnSeasonTable,4,FALSE)),1)</f>
        <v/>
      </c>
      <c r="AHD39" s="12">
        <f>AHD38+AGX39-AGX27*(AnnualChurn*VLOOKUP(AGH39,ChurnSeasonTable,4,FALSE))*POWER(1-(AnnualChurn*VLOOKUP(AGH39,ChurnSeasonTable,4,FALSE)),0)+AGX15*(AnnualChurn*VLOOKUP(AGH39,ChurnSeasonTable,4,FALSE))*POWER(1-(AnnualChurn*VLOOKUP(AGH39,ChurnSeasonTable,4,FALSE)),1)</f>
        <v/>
      </c>
      <c r="AHE39" s="12">
        <f>AGY39+AGZ39+AHA39+AHB39+AHC39+AHD39</f>
        <v/>
      </c>
      <c r="AHF39" s="9">
        <f>AGY39*BlendedPriceEssMonthly*AGK39+AGZ39*BlendedPricePremMonthly*AGK39+AHA39*BlendedPriceEliteMonthly*AGK39+AHB39*BlendedPriceEssAnnual*AGK39/12+AHC39*BlendedPricePremAnnual*AGK39/12+AHD39*BlendedPriceEliteAnnual*AGK39/12</f>
        <v/>
      </c>
      <c r="AHG39" s="9">
        <f>AHF39*12</f>
        <v/>
      </c>
      <c r="AHH39" s="12">
        <f>AGY39*BlendedPriceEssMonthly*AGK39+AGZ39*BlendedPricePremMonthly*AGK39+AHA39*BlendedPriceEliteMonthly*AGK39</f>
        <v/>
      </c>
      <c r="AHI39" s="12">
        <f>AGV39*BlendedPriceEssAnnual*AGK39+AGW39*BlendedPricePremAnnual*AGK39+AGX39*BlendedPriceEliteAnnual*AGK39</f>
        <v/>
      </c>
      <c r="AHJ39" s="12">
        <f>AGV27*POWER(1-(AnnualChurn*VLOOKUP(AGH39,ChurnSeasonTable,4,FALSE)),1)*BlendedPriceEssAnnual*AGK39+AGV15*POWER(1-(AnnualChurn*VLOOKUP(AGH39,ChurnSeasonTable,4,FALSE)),2)*BlendedPriceEssAnnual*AGK39+AGW27*POWER(1-(AnnualChurn*VLOOKUP(AGH39,ChurnSeasonTable,4,FALSE)),1)*BlendedPricePremAnnual*AGK39+AGW15*POWER(1-(AnnualChurn*VLOOKUP(AGH39,ChurnSeasonTable,4,FALSE)),2)*BlendedPricePremAnnual*AGK39+AGX27*POWER(1-(AnnualChurn*VLOOKUP(AGH39,ChurnSeasonTable,4,FALSE)),1)*BlendedPriceEliteAnnual*AGK39+AGX15*POWER(1-(AnnualChurn*VLOOKUP(AGH39,ChurnSeasonTable,4,FALSE)),2)*BlendedPriceEliteAnnual*AGK39</f>
        <v/>
      </c>
      <c r="AHK39" s="9">
        <f>AHH39+AHI39+AHJ39</f>
        <v/>
      </c>
      <c r="AHL39" s="12">
        <f>SUM(AHK28:AHK39)</f>
        <v/>
      </c>
      <c r="AHM39" s="12">
        <f>OR(AHM38,IF(VATAgentMode,SUM($AHK28:$AHK39)-SUM($AHR28:$AHR39)&gt;=VATThreshold,SUM($AHK28:$AHK39)&gt;=VATThreshold))</f>
        <v/>
      </c>
      <c r="AHN39" s="9">
        <f>IF(AHM39,IF(VATAgentMode,AHK39-((AHK39-AHR39)-(AHK39-AHR39)/(1+VATRate)),AHK39/(1+VATRate)),AHK39)</f>
        <v/>
      </c>
      <c r="AHO39" s="12">
        <f>AHK39-AHN39</f>
        <v/>
      </c>
      <c r="AHP39" s="12">
        <f>IF(AHM39=0,0,IF(AGH39=1,SUMPRODUCT(--(($AGI$5:$AGI39=$AGI39-1)*($AGH$5:$AGH39&gt;=10)*($AGH$5:$AGH39&lt;=12)),$AHO$5:$AHO39),IF(AGH39=4,SUMPRODUCT(--(($AGI$5:$AGI39=$AGI39)*($AGH$5:$AGH39&gt;=1)*($AGH$5:$AGH39&lt;=3)),$AHO$5:$AHO39),IF(AGH39=7,SUMPRODUCT(--(($AGI$5:$AGI39=$AGI39)*($AGH$5:$AGH39&gt;=4)*($AGH$5:$AGH39&lt;=6)),$AHO$5:$AHO39),IF(AGH39=10,SUMPRODUCT(--(($AGI$5:$AGI39=$AGI39)*($AGH$5:$AGH39&gt;=7)*($AGH$5:$AGH39&lt;=9)),$AHO$5:$AHO39),0)))))</f>
        <v/>
      </c>
      <c r="AHQ39" s="12">
        <f>AHQ38+AHO39-AHP39</f>
        <v/>
      </c>
      <c r="AHR39" s="12">
        <f>IF(ProviderDelay&gt;=1,AGY38*BlendedProvPayEss+AGZ38*BlendedProvPayPrem+AHA38*BlendedProvPayElite+AHB38*BlendedProvPayEss+AHC38*BlendedProvPayPrem+AHD38*BlendedProvPayElite,AGY39*BlendedProvPayEss+AGZ39*BlendedProvPayPrem+AHA39*BlendedProvPayElite+AHB39*BlendedProvPayEss+AHC39*BlendedProvPayPrem+AHD39*BlendedProvPayElite)</f>
        <v/>
      </c>
      <c r="AHS39" s="12">
        <f>AHK39*PaymentFee</f>
        <v/>
      </c>
      <c r="AHT39" s="12">
        <f>AHE39*OpsAI</f>
        <v/>
      </c>
      <c r="AHU39" s="12">
        <f>MonthlyFixed</f>
        <v/>
      </c>
      <c r="AHV39" s="12">
        <f>AGO39*ReferralReward</f>
        <v/>
      </c>
      <c r="AHW39" s="12">
        <f>AGM39</f>
        <v/>
      </c>
      <c r="AHX39" s="9">
        <f>AHN39-AHR39-AHS39-AHT39-AHU39-AHV39-AHW39</f>
        <v/>
      </c>
      <c r="AHY39" s="9">
        <f>AHY38+AHK39-(AHR39+AHS39+AHT39+AHU39+AHV39+AHW39+AHP39)</f>
        <v/>
      </c>
      <c r="AHZ39" s="12">
        <f>IF(AHE39&gt;0,AHF39/AHE39,0)</f>
        <v/>
      </c>
      <c r="AIA39" s="11">
        <f>IF(AHE38&gt;0,MAX(0,(AHE38+AGP39-AHE39)/AHE38),0)</f>
        <v/>
      </c>
      <c r="AIC39" s="12" t="n">
        <v>35</v>
      </c>
      <c r="AID39" s="12">
        <f>MOD(AIC39-1+LaunchMonth-1,12)+1</f>
        <v/>
      </c>
      <c r="AIE39" s="12">
        <f>INT((AIC39-1+LaunchMonth-1)/12)+1</f>
        <v/>
      </c>
      <c r="AIF39" s="12">
        <f>VLOOKUP(AID39,SeasonTable,2,FALSE)</f>
        <v/>
      </c>
      <c r="AIG39" s="12">
        <f>(1+InflationRate)^INT((AIC39-1)/12)</f>
        <v/>
      </c>
      <c r="AIH39" s="11">
        <f>MonthlyChurn*VLOOKUP(AID39,ChurnSeasonTable,4,FALSE)</f>
        <v/>
      </c>
      <c r="AII39" s="12">
        <f>MIN(MAX(MktMin19plus,AJG38*MktPct19plus),MAX(0,AJU38-CashBuffer))</f>
        <v/>
      </c>
      <c r="AIJ39" s="12">
        <f>IF(AII39&gt;0,MAX(1,ROUND(AII39/'Sens - CAC &amp; Marketing'!$A$9*AIF39,0)),0)</f>
        <v/>
      </c>
      <c r="AIK39" s="12">
        <f>IF(AIJ39&gt;0,ROUND(AIJ39*ReferralMix/(1-ReferralMix),0),0)</f>
        <v/>
      </c>
      <c r="AIL39" s="12">
        <f>AIJ39+AIK39</f>
        <v/>
      </c>
      <c r="AIM39" s="12">
        <f>ROUND(AIL39*(1-AnnualMix),0)</f>
        <v/>
      </c>
      <c r="AIN39" s="12">
        <f>AIL39-AIM39</f>
        <v/>
      </c>
      <c r="AIO39" s="12">
        <f>ROUND(AIM39*EssentialMix,0)</f>
        <v/>
      </c>
      <c r="AIP39" s="12">
        <f>ROUND(AIM39*PremiumMix,0)</f>
        <v/>
      </c>
      <c r="AIQ39" s="12">
        <f>AIM39-AIO39-AIP39</f>
        <v/>
      </c>
      <c r="AIR39" s="12">
        <f>ROUND(AIN39*EssentialMix,0)</f>
        <v/>
      </c>
      <c r="AIS39" s="12">
        <f>ROUND(AIN39*PremiumMix,0)</f>
        <v/>
      </c>
      <c r="AIT39" s="12">
        <f>AIN39-AIR39-AIS39</f>
        <v/>
      </c>
      <c r="AIU39" s="12">
        <f>AIO39+AIO38+AIO37+MAX(0,AIU38-AIO38-AIO37)*(1-AIH39)</f>
        <v/>
      </c>
      <c r="AIV39" s="12">
        <f>AIP39+AIP38+AIP37+MAX(0,AIV38-AIP38-AIP37)*(1-AIH39)</f>
        <v/>
      </c>
      <c r="AIW39" s="12">
        <f>AIQ39+AIQ38+AIQ37+MAX(0,AIW38-AIQ38-AIQ37)*(1-AIH39)</f>
        <v/>
      </c>
      <c r="AIX39" s="12">
        <f>AIX38+AIR39-AIR27*(AnnualChurn*VLOOKUP(AID39,ChurnSeasonTable,4,FALSE))*POWER(1-(AnnualChurn*VLOOKUP(AID39,ChurnSeasonTable,4,FALSE)),0)+AIR15*(AnnualChurn*VLOOKUP(AID39,ChurnSeasonTable,4,FALSE))*POWER(1-(AnnualChurn*VLOOKUP(AID39,ChurnSeasonTable,4,FALSE)),1)</f>
        <v/>
      </c>
      <c r="AIY39" s="12">
        <f>AIY38+AIS39-AIS27*(AnnualChurn*VLOOKUP(AID39,ChurnSeasonTable,4,FALSE))*POWER(1-(AnnualChurn*VLOOKUP(AID39,ChurnSeasonTable,4,FALSE)),0)+AIS15*(AnnualChurn*VLOOKUP(AID39,ChurnSeasonTable,4,FALSE))*POWER(1-(AnnualChurn*VLOOKUP(AID39,ChurnSeasonTable,4,FALSE)),1)</f>
        <v/>
      </c>
      <c r="AIZ39" s="12">
        <f>AIZ38+AIT39-AIT27*(AnnualChurn*VLOOKUP(AID39,ChurnSeasonTable,4,FALSE))*POWER(1-(AnnualChurn*VLOOKUP(AID39,ChurnSeasonTable,4,FALSE)),0)+AIT15*(AnnualChurn*VLOOKUP(AID39,ChurnSeasonTable,4,FALSE))*POWER(1-(AnnualChurn*VLOOKUP(AID39,ChurnSeasonTable,4,FALSE)),1)</f>
        <v/>
      </c>
      <c r="AJA39" s="12">
        <f>AIU39+AIV39+AIW39+AIX39+AIY39+AIZ39</f>
        <v/>
      </c>
      <c r="AJB39" s="9">
        <f>AIU39*BlendedPriceEssMonthly*AIG39+AIV39*BlendedPricePremMonthly*AIG39+AIW39*BlendedPriceEliteMonthly*AIG39+AIX39*BlendedPriceEssAnnual*AIG39/12+AIY39*BlendedPricePremAnnual*AIG39/12+AIZ39*BlendedPriceEliteAnnual*AIG39/12</f>
        <v/>
      </c>
      <c r="AJC39" s="9">
        <f>AJB39*12</f>
        <v/>
      </c>
      <c r="AJD39" s="12">
        <f>AIU39*BlendedPriceEssMonthly*AIG39+AIV39*BlendedPricePremMonthly*AIG39+AIW39*BlendedPriceEliteMonthly*AIG39</f>
        <v/>
      </c>
      <c r="AJE39" s="12">
        <f>AIR39*BlendedPriceEssAnnual*AIG39+AIS39*BlendedPricePremAnnual*AIG39+AIT39*BlendedPriceEliteAnnual*AIG39</f>
        <v/>
      </c>
      <c r="AJF39" s="12">
        <f>AIR27*POWER(1-(AnnualChurn*VLOOKUP(AID39,ChurnSeasonTable,4,FALSE)),1)*BlendedPriceEssAnnual*AIG39+AIR15*POWER(1-(AnnualChurn*VLOOKUP(AID39,ChurnSeasonTable,4,FALSE)),2)*BlendedPriceEssAnnual*AIG39+AIS27*POWER(1-(AnnualChurn*VLOOKUP(AID39,ChurnSeasonTable,4,FALSE)),1)*BlendedPricePremAnnual*AIG39+AIS15*POWER(1-(AnnualChurn*VLOOKUP(AID39,ChurnSeasonTable,4,FALSE)),2)*BlendedPricePremAnnual*AIG39+AIT27*POWER(1-(AnnualChurn*VLOOKUP(AID39,ChurnSeasonTable,4,FALSE)),1)*BlendedPriceEliteAnnual*AIG39+AIT15*POWER(1-(AnnualChurn*VLOOKUP(AID39,ChurnSeasonTable,4,FALSE)),2)*BlendedPriceEliteAnnual*AIG39</f>
        <v/>
      </c>
      <c r="AJG39" s="9">
        <f>AJD39+AJE39+AJF39</f>
        <v/>
      </c>
      <c r="AJH39" s="12">
        <f>SUM(AJG28:AJG39)</f>
        <v/>
      </c>
      <c r="AJI39" s="12">
        <f>OR(AJI38,IF(VATAgentMode,SUM($AJG28:$AJG39)-SUM($AJN28:$AJN39)&gt;=VATThreshold,SUM($AJG28:$AJG39)&gt;=VATThreshold))</f>
        <v/>
      </c>
      <c r="AJJ39" s="9">
        <f>IF(AJI39,IF(VATAgentMode,AJG39-((AJG39-AJN39)-(AJG39-AJN39)/(1+VATRate)),AJG39/(1+VATRate)),AJG39)</f>
        <v/>
      </c>
      <c r="AJK39" s="12">
        <f>AJG39-AJJ39</f>
        <v/>
      </c>
      <c r="AJL39" s="12">
        <f>IF(AJI39=0,0,IF(AID39=1,SUMPRODUCT(--(($AIE$5:$AIE39=$AIE39-1)*($AID$5:$AID39&gt;=10)*($AID$5:$AID39&lt;=12)),$AJK$5:$AJK39),IF(AID39=4,SUMPRODUCT(--(($AIE$5:$AIE39=$AIE39)*($AID$5:$AID39&gt;=1)*($AID$5:$AID39&lt;=3)),$AJK$5:$AJK39),IF(AID39=7,SUMPRODUCT(--(($AIE$5:$AIE39=$AIE39)*($AID$5:$AID39&gt;=4)*($AID$5:$AID39&lt;=6)),$AJK$5:$AJK39),IF(AID39=10,SUMPRODUCT(--(($AIE$5:$AIE39=$AIE39)*($AID$5:$AID39&gt;=7)*($AID$5:$AID39&lt;=9)),$AJK$5:$AJK39),0)))))</f>
        <v/>
      </c>
      <c r="AJM39" s="12">
        <f>AJM38+AJK39-AJL39</f>
        <v/>
      </c>
      <c r="AJN39" s="12">
        <f>IF(ProviderDelay&gt;=1,AIU38*BlendedProvPayEss+AIV38*BlendedProvPayPrem+AIW38*BlendedProvPayElite+AIX38*BlendedProvPayEss+AIY38*BlendedProvPayPrem+AIZ38*BlendedProvPayElite,AIU39*BlendedProvPayEss+AIV39*BlendedProvPayPrem+AIW39*BlendedProvPayElite+AIX39*BlendedProvPayEss+AIY39*BlendedProvPayPrem+AIZ39*BlendedProvPayElite)</f>
        <v/>
      </c>
      <c r="AJO39" s="12">
        <f>AJG39*PaymentFee</f>
        <v/>
      </c>
      <c r="AJP39" s="12">
        <f>AJA39*OpsAI</f>
        <v/>
      </c>
      <c r="AJQ39" s="12">
        <f>MonthlyFixed</f>
        <v/>
      </c>
      <c r="AJR39" s="12">
        <f>AIK39*ReferralReward</f>
        <v/>
      </c>
      <c r="AJS39" s="12">
        <f>AII39</f>
        <v/>
      </c>
      <c r="AJT39" s="9">
        <f>AJJ39-AJN39-AJO39-AJP39-AJQ39-AJR39-AJS39</f>
        <v/>
      </c>
      <c r="AJU39" s="9">
        <f>AJU38+AJG39-(AJN39+AJO39+AJP39+AJQ39+AJR39+AJS39+AJL39)</f>
        <v/>
      </c>
      <c r="AJV39" s="12">
        <f>IF(AJA39&gt;0,AJB39/AJA39,0)</f>
        <v/>
      </c>
      <c r="AJW39" s="11">
        <f>IF(AJA38&gt;0,MAX(0,(AJA38+AIL39-AJA39)/AJA38),0)</f>
        <v/>
      </c>
      <c r="AJY39" s="12" t="n">
        <v>35</v>
      </c>
      <c r="AJZ39" s="12">
        <f>MOD(AJY39-1+LaunchMonth-1,12)+1</f>
        <v/>
      </c>
      <c r="AKA39" s="12">
        <f>INT((AJY39-1+LaunchMonth-1)/12)+1</f>
        <v/>
      </c>
      <c r="AKB39" s="12">
        <f>VLOOKUP(AJZ39,SeasonTable,2,FALSE)</f>
        <v/>
      </c>
      <c r="AKC39" s="12">
        <f>(1+InflationRate)^INT((AJY39-1)/12)</f>
        <v/>
      </c>
      <c r="AKD39" s="11">
        <f>MonthlyChurn*VLOOKUP(AJZ39,ChurnSeasonTable,4,FALSE)</f>
        <v/>
      </c>
      <c r="AKE39" s="12">
        <f>MIN(MAX(MktMin19plus,ALC38*MktPct19plus),MAX(0,ALQ38-CashBuffer))</f>
        <v/>
      </c>
      <c r="AKF39" s="12">
        <f>IF(AKE39&gt;0,MAX(1,ROUND(AKE39/'Sens - CAC &amp; Marketing'!$A$10*AKB39,0)),0)</f>
        <v/>
      </c>
      <c r="AKG39" s="12">
        <f>IF(AKF39&gt;0,ROUND(AKF39*ReferralMix/(1-ReferralMix),0),0)</f>
        <v/>
      </c>
      <c r="AKH39" s="12">
        <f>AKF39+AKG39</f>
        <v/>
      </c>
      <c r="AKI39" s="12">
        <f>ROUND(AKH39*(1-AnnualMix),0)</f>
        <v/>
      </c>
      <c r="AKJ39" s="12">
        <f>AKH39-AKI39</f>
        <v/>
      </c>
      <c r="AKK39" s="12">
        <f>ROUND(AKI39*EssentialMix,0)</f>
        <v/>
      </c>
      <c r="AKL39" s="12">
        <f>ROUND(AKI39*PremiumMix,0)</f>
        <v/>
      </c>
      <c r="AKM39" s="12">
        <f>AKI39-AKK39-AKL39</f>
        <v/>
      </c>
      <c r="AKN39" s="12">
        <f>ROUND(AKJ39*EssentialMix,0)</f>
        <v/>
      </c>
      <c r="AKO39" s="12">
        <f>ROUND(AKJ39*PremiumMix,0)</f>
        <v/>
      </c>
      <c r="AKP39" s="12">
        <f>AKJ39-AKN39-AKO39</f>
        <v/>
      </c>
      <c r="AKQ39" s="12">
        <f>AKK39+AKK38+AKK37+MAX(0,AKQ38-AKK38-AKK37)*(1-AKD39)</f>
        <v/>
      </c>
      <c r="AKR39" s="12">
        <f>AKL39+AKL38+AKL37+MAX(0,AKR38-AKL38-AKL37)*(1-AKD39)</f>
        <v/>
      </c>
      <c r="AKS39" s="12">
        <f>AKM39+AKM38+AKM37+MAX(0,AKS38-AKM38-AKM37)*(1-AKD39)</f>
        <v/>
      </c>
      <c r="AKT39" s="12">
        <f>AKT38+AKN39-AKN27*(AnnualChurn*VLOOKUP(AJZ39,ChurnSeasonTable,4,FALSE))*POWER(1-(AnnualChurn*VLOOKUP(AJZ39,ChurnSeasonTable,4,FALSE)),0)+AKN15*(AnnualChurn*VLOOKUP(AJZ39,ChurnSeasonTable,4,FALSE))*POWER(1-(AnnualChurn*VLOOKUP(AJZ39,ChurnSeasonTable,4,FALSE)),1)</f>
        <v/>
      </c>
      <c r="AKU39" s="12">
        <f>AKU38+AKO39-AKO27*(AnnualChurn*VLOOKUP(AJZ39,ChurnSeasonTable,4,FALSE))*POWER(1-(AnnualChurn*VLOOKUP(AJZ39,ChurnSeasonTable,4,FALSE)),0)+AKO15*(AnnualChurn*VLOOKUP(AJZ39,ChurnSeasonTable,4,FALSE))*POWER(1-(AnnualChurn*VLOOKUP(AJZ39,ChurnSeasonTable,4,FALSE)),1)</f>
        <v/>
      </c>
      <c r="AKV39" s="12">
        <f>AKV38+AKP39-AKP27*(AnnualChurn*VLOOKUP(AJZ39,ChurnSeasonTable,4,FALSE))*POWER(1-(AnnualChurn*VLOOKUP(AJZ39,ChurnSeasonTable,4,FALSE)),0)+AKP15*(AnnualChurn*VLOOKUP(AJZ39,ChurnSeasonTable,4,FALSE))*POWER(1-(AnnualChurn*VLOOKUP(AJZ39,ChurnSeasonTable,4,FALSE)),1)</f>
        <v/>
      </c>
      <c r="AKW39" s="12">
        <f>AKQ39+AKR39+AKS39+AKT39+AKU39+AKV39</f>
        <v/>
      </c>
      <c r="AKX39" s="9">
        <f>AKQ39*BlendedPriceEssMonthly*AKC39+AKR39*BlendedPricePremMonthly*AKC39+AKS39*BlendedPriceEliteMonthly*AKC39+AKT39*BlendedPriceEssAnnual*AKC39/12+AKU39*BlendedPricePremAnnual*AKC39/12+AKV39*BlendedPriceEliteAnnual*AKC39/12</f>
        <v/>
      </c>
      <c r="AKY39" s="9">
        <f>AKX39*12</f>
        <v/>
      </c>
      <c r="AKZ39" s="12">
        <f>AKQ39*BlendedPriceEssMonthly*AKC39+AKR39*BlendedPricePremMonthly*AKC39+AKS39*BlendedPriceEliteMonthly*AKC39</f>
        <v/>
      </c>
      <c r="ALA39" s="12">
        <f>AKN39*BlendedPriceEssAnnual*AKC39+AKO39*BlendedPricePremAnnual*AKC39+AKP39*BlendedPriceEliteAnnual*AKC39</f>
        <v/>
      </c>
      <c r="ALB39" s="12">
        <f>AKN27*POWER(1-(AnnualChurn*VLOOKUP(AJZ39,ChurnSeasonTable,4,FALSE)),1)*BlendedPriceEssAnnual*AKC39+AKN15*POWER(1-(AnnualChurn*VLOOKUP(AJZ39,ChurnSeasonTable,4,FALSE)),2)*BlendedPriceEssAnnual*AKC39+AKO27*POWER(1-(AnnualChurn*VLOOKUP(AJZ39,ChurnSeasonTable,4,FALSE)),1)*BlendedPricePremAnnual*AKC39+AKO15*POWER(1-(AnnualChurn*VLOOKUP(AJZ39,ChurnSeasonTable,4,FALSE)),2)*BlendedPricePremAnnual*AKC39+AKP27*POWER(1-(AnnualChurn*VLOOKUP(AJZ39,ChurnSeasonTable,4,FALSE)),1)*BlendedPriceEliteAnnual*AKC39+AKP15*POWER(1-(AnnualChurn*VLOOKUP(AJZ39,ChurnSeasonTable,4,FALSE)),2)*BlendedPriceEliteAnnual*AKC39</f>
        <v/>
      </c>
      <c r="ALC39" s="9">
        <f>AKZ39+ALA39+ALB39</f>
        <v/>
      </c>
      <c r="ALD39" s="12">
        <f>SUM(ALC28:ALC39)</f>
        <v/>
      </c>
      <c r="ALE39" s="12">
        <f>OR(ALE38,IF(VATAgentMode,SUM($ALC28:$ALC39)-SUM($ALJ28:$ALJ39)&gt;=VATThreshold,SUM($ALC28:$ALC39)&gt;=VATThreshold))</f>
        <v/>
      </c>
      <c r="ALF39" s="9">
        <f>IF(ALE39,IF(VATAgentMode,ALC39-((ALC39-ALJ39)-(ALC39-ALJ39)/(1+VATRate)),ALC39/(1+VATRate)),ALC39)</f>
        <v/>
      </c>
      <c r="ALG39" s="12">
        <f>ALC39-ALF39</f>
        <v/>
      </c>
      <c r="ALH39" s="12">
        <f>IF(ALE39=0,0,IF(AJZ39=1,SUMPRODUCT(--(($AKA$5:$AKA39=$AKA39-1)*($AJZ$5:$AJZ39&gt;=10)*($AJZ$5:$AJZ39&lt;=12)),$ALG$5:$ALG39),IF(AJZ39=4,SUMPRODUCT(--(($AKA$5:$AKA39=$AKA39)*($AJZ$5:$AJZ39&gt;=1)*($AJZ$5:$AJZ39&lt;=3)),$ALG$5:$ALG39),IF(AJZ39=7,SUMPRODUCT(--(($AKA$5:$AKA39=$AKA39)*($AJZ$5:$AJZ39&gt;=4)*($AJZ$5:$AJZ39&lt;=6)),$ALG$5:$ALG39),IF(AJZ39=10,SUMPRODUCT(--(($AKA$5:$AKA39=$AKA39)*($AJZ$5:$AJZ39&gt;=7)*($AJZ$5:$AJZ39&lt;=9)),$ALG$5:$ALG39),0)))))</f>
        <v/>
      </c>
      <c r="ALI39" s="12">
        <f>ALI38+ALG39-ALH39</f>
        <v/>
      </c>
      <c r="ALJ39" s="12">
        <f>IF(ProviderDelay&gt;=1,AKQ38*BlendedProvPayEss+AKR38*BlendedProvPayPrem+AKS38*BlendedProvPayElite+AKT38*BlendedProvPayEss+AKU38*BlendedProvPayPrem+AKV38*BlendedProvPayElite,AKQ39*BlendedProvPayEss+AKR39*BlendedProvPayPrem+AKS39*BlendedProvPayElite+AKT39*BlendedProvPayEss+AKU39*BlendedProvPayPrem+AKV39*BlendedProvPayElite)</f>
        <v/>
      </c>
      <c r="ALK39" s="12">
        <f>ALC39*PaymentFee</f>
        <v/>
      </c>
      <c r="ALL39" s="12">
        <f>AKW39*OpsAI</f>
        <v/>
      </c>
      <c r="ALM39" s="12">
        <f>MonthlyFixed</f>
        <v/>
      </c>
      <c r="ALN39" s="12">
        <f>AKG39*ReferralReward</f>
        <v/>
      </c>
      <c r="ALO39" s="12">
        <f>AKE39</f>
        <v/>
      </c>
      <c r="ALP39" s="9">
        <f>ALF39-ALJ39-ALK39-ALL39-ALM39-ALN39-ALO39</f>
        <v/>
      </c>
      <c r="ALQ39" s="9">
        <f>ALQ38+ALC39-(ALJ39+ALK39+ALL39+ALM39+ALN39+ALO39+ALH39)</f>
        <v/>
      </c>
      <c r="ALR39" s="12">
        <f>IF(AKW39&gt;0,AKX39/AKW39,0)</f>
        <v/>
      </c>
      <c r="ALS39" s="11">
        <f>IF(AKW38&gt;0,MAX(0,(AKW38+AKH39-AKW39)/AKW38),0)</f>
        <v/>
      </c>
      <c r="ALU39" s="12" t="n">
        <v>35</v>
      </c>
      <c r="ALV39" s="12">
        <f>MOD(ALU39-1+LaunchMonth-1,12)+1</f>
        <v/>
      </c>
      <c r="ALW39" s="12">
        <f>INT((ALU39-1+LaunchMonth-1)/12)+1</f>
        <v/>
      </c>
      <c r="ALX39" s="12">
        <f>VLOOKUP(ALV39,SeasonTable,2,FALSE)</f>
        <v/>
      </c>
      <c r="ALY39" s="12">
        <f>(1+InflationRate)^INT((ALU39-1)/12)</f>
        <v/>
      </c>
      <c r="ALZ39" s="11">
        <f>MonthlyChurn*VLOOKUP(ALV39,ChurnSeasonTable,4,FALSE)</f>
        <v/>
      </c>
      <c r="AMA39" s="12">
        <f>MIN(MAX(MktMin19plus,AMY38*MktPct19plus),MAX(0,ANM38-CashBuffer))</f>
        <v/>
      </c>
      <c r="AMB39" s="12">
        <f>IF(AMA39&gt;0,MAX(1,ROUND(AMA39/'Sens - CAC &amp; Marketing'!$A$11*ALX39,0)),0)</f>
        <v/>
      </c>
      <c r="AMC39" s="12">
        <f>IF(AMB39&gt;0,ROUND(AMB39*ReferralMix/(1-ReferralMix),0),0)</f>
        <v/>
      </c>
      <c r="AMD39" s="12">
        <f>AMB39+AMC39</f>
        <v/>
      </c>
      <c r="AME39" s="12">
        <f>ROUND(AMD39*(1-AnnualMix),0)</f>
        <v/>
      </c>
      <c r="AMF39" s="12">
        <f>AMD39-AME39</f>
        <v/>
      </c>
      <c r="AMG39" s="12">
        <f>ROUND(AME39*EssentialMix,0)</f>
        <v/>
      </c>
      <c r="AMH39" s="12">
        <f>ROUND(AME39*PremiumMix,0)</f>
        <v/>
      </c>
      <c r="AMI39" s="12">
        <f>AME39-AMG39-AMH39</f>
        <v/>
      </c>
      <c r="AMJ39" s="12">
        <f>ROUND(AMF39*EssentialMix,0)</f>
        <v/>
      </c>
      <c r="AMK39" s="12">
        <f>ROUND(AMF39*PremiumMix,0)</f>
        <v/>
      </c>
      <c r="AML39" s="12">
        <f>AMF39-AMJ39-AMK39</f>
        <v/>
      </c>
      <c r="AMM39" s="12">
        <f>AMG39+AMG38+AMG37+MAX(0,AMM38-AMG38-AMG37)*(1-ALZ39)</f>
        <v/>
      </c>
      <c r="AMN39" s="12">
        <f>AMH39+AMH38+AMH37+MAX(0,AMN38-AMH38-AMH37)*(1-ALZ39)</f>
        <v/>
      </c>
      <c r="AMO39" s="12">
        <f>AMI39+AMI38+AMI37+MAX(0,AMO38-AMI38-AMI37)*(1-ALZ39)</f>
        <v/>
      </c>
      <c r="AMP39" s="12">
        <f>AMP38+AMJ39-AMJ27*(AnnualChurn*VLOOKUP(ALV39,ChurnSeasonTable,4,FALSE))*POWER(1-(AnnualChurn*VLOOKUP(ALV39,ChurnSeasonTable,4,FALSE)),0)+AMJ15*(AnnualChurn*VLOOKUP(ALV39,ChurnSeasonTable,4,FALSE))*POWER(1-(AnnualChurn*VLOOKUP(ALV39,ChurnSeasonTable,4,FALSE)),1)</f>
        <v/>
      </c>
      <c r="AMQ39" s="12">
        <f>AMQ38+AMK39-AMK27*(AnnualChurn*VLOOKUP(ALV39,ChurnSeasonTable,4,FALSE))*POWER(1-(AnnualChurn*VLOOKUP(ALV39,ChurnSeasonTable,4,FALSE)),0)+AMK15*(AnnualChurn*VLOOKUP(ALV39,ChurnSeasonTable,4,FALSE))*POWER(1-(AnnualChurn*VLOOKUP(ALV39,ChurnSeasonTable,4,FALSE)),1)</f>
        <v/>
      </c>
      <c r="AMR39" s="12">
        <f>AMR38+AML39-AML27*(AnnualChurn*VLOOKUP(ALV39,ChurnSeasonTable,4,FALSE))*POWER(1-(AnnualChurn*VLOOKUP(ALV39,ChurnSeasonTable,4,FALSE)),0)+AML15*(AnnualChurn*VLOOKUP(ALV39,ChurnSeasonTable,4,FALSE))*POWER(1-(AnnualChurn*VLOOKUP(ALV39,ChurnSeasonTable,4,FALSE)),1)</f>
        <v/>
      </c>
      <c r="AMS39" s="12">
        <f>AMM39+AMN39+AMO39+AMP39+AMQ39+AMR39</f>
        <v/>
      </c>
      <c r="AMT39" s="9">
        <f>AMM39*BlendedPriceEssMonthly*ALY39+AMN39*BlendedPricePremMonthly*ALY39+AMO39*BlendedPriceEliteMonthly*ALY39+AMP39*BlendedPriceEssAnnual*ALY39/12+AMQ39*BlendedPricePremAnnual*ALY39/12+AMR39*BlendedPriceEliteAnnual*ALY39/12</f>
        <v/>
      </c>
      <c r="AMU39" s="9">
        <f>AMT39*12</f>
        <v/>
      </c>
      <c r="AMV39" s="12">
        <f>AMM39*BlendedPriceEssMonthly*ALY39+AMN39*BlendedPricePremMonthly*ALY39+AMO39*BlendedPriceEliteMonthly*ALY39</f>
        <v/>
      </c>
      <c r="AMW39" s="12">
        <f>AMJ39*BlendedPriceEssAnnual*ALY39+AMK39*BlendedPricePremAnnual*ALY39+AML39*BlendedPriceEliteAnnual*ALY39</f>
        <v/>
      </c>
      <c r="AMX39" s="12">
        <f>AMJ27*POWER(1-(AnnualChurn*VLOOKUP(ALV39,ChurnSeasonTable,4,FALSE)),1)*BlendedPriceEssAnnual*ALY39+AMJ15*POWER(1-(AnnualChurn*VLOOKUP(ALV39,ChurnSeasonTable,4,FALSE)),2)*BlendedPriceEssAnnual*ALY39+AMK27*POWER(1-(AnnualChurn*VLOOKUP(ALV39,ChurnSeasonTable,4,FALSE)),1)*BlendedPricePremAnnual*ALY39+AMK15*POWER(1-(AnnualChurn*VLOOKUP(ALV39,ChurnSeasonTable,4,FALSE)),2)*BlendedPricePremAnnual*ALY39+AML27*POWER(1-(AnnualChurn*VLOOKUP(ALV39,ChurnSeasonTable,4,FALSE)),1)*BlendedPriceEliteAnnual*ALY39+AML15*POWER(1-(AnnualChurn*VLOOKUP(ALV39,ChurnSeasonTable,4,FALSE)),2)*BlendedPriceEliteAnnual*ALY39</f>
        <v/>
      </c>
      <c r="AMY39" s="9">
        <f>AMV39+AMW39+AMX39</f>
        <v/>
      </c>
      <c r="AMZ39" s="12">
        <f>SUM(AMY28:AMY39)</f>
        <v/>
      </c>
      <c r="ANA39" s="12">
        <f>OR(ANA38,IF(VATAgentMode,SUM($AMY28:$AMY39)-SUM($ANF28:$ANF39)&gt;=VATThreshold,SUM($AMY28:$AMY39)&gt;=VATThreshold))</f>
        <v/>
      </c>
      <c r="ANB39" s="9">
        <f>IF(ANA39,IF(VATAgentMode,AMY39-((AMY39-ANF39)-(AMY39-ANF39)/(1+VATRate)),AMY39/(1+VATRate)),AMY39)</f>
        <v/>
      </c>
      <c r="ANC39" s="12">
        <f>AMY39-ANB39</f>
        <v/>
      </c>
      <c r="AND39" s="12">
        <f>IF(ANA39=0,0,IF(ALV39=1,SUMPRODUCT(--(($ALW$5:$ALW39=$ALW39-1)*($ALV$5:$ALV39&gt;=10)*($ALV$5:$ALV39&lt;=12)),$ANC$5:$ANC39),IF(ALV39=4,SUMPRODUCT(--(($ALW$5:$ALW39=$ALW39)*($ALV$5:$ALV39&gt;=1)*($ALV$5:$ALV39&lt;=3)),$ANC$5:$ANC39),IF(ALV39=7,SUMPRODUCT(--(($ALW$5:$ALW39=$ALW39)*($ALV$5:$ALV39&gt;=4)*($ALV$5:$ALV39&lt;=6)),$ANC$5:$ANC39),IF(ALV39=10,SUMPRODUCT(--(($ALW$5:$ALW39=$ALW39)*($ALV$5:$ALV39&gt;=7)*($ALV$5:$ALV39&lt;=9)),$ANC$5:$ANC39),0)))))</f>
        <v/>
      </c>
      <c r="ANE39" s="12">
        <f>ANE38+ANC39-AND39</f>
        <v/>
      </c>
      <c r="ANF39" s="12">
        <f>IF(ProviderDelay&gt;=1,AMM38*BlendedProvPayEss+AMN38*BlendedProvPayPrem+AMO38*BlendedProvPayElite+AMP38*BlendedProvPayEss+AMQ38*BlendedProvPayPrem+AMR38*BlendedProvPayElite,AMM39*BlendedProvPayEss+AMN39*BlendedProvPayPrem+AMO39*BlendedProvPayElite+AMP39*BlendedProvPayEss+AMQ39*BlendedProvPayPrem+AMR39*BlendedProvPayElite)</f>
        <v/>
      </c>
      <c r="ANG39" s="12">
        <f>AMY39*PaymentFee</f>
        <v/>
      </c>
      <c r="ANH39" s="12">
        <f>AMS39*OpsAI</f>
        <v/>
      </c>
      <c r="ANI39" s="12">
        <f>MonthlyFixed</f>
        <v/>
      </c>
      <c r="ANJ39" s="12">
        <f>AMC39*ReferralReward</f>
        <v/>
      </c>
      <c r="ANK39" s="12">
        <f>AMA39</f>
        <v/>
      </c>
      <c r="ANL39" s="9">
        <f>ANB39-ANF39-ANG39-ANH39-ANI39-ANJ39-ANK39</f>
        <v/>
      </c>
      <c r="ANM39" s="9">
        <f>ANM38+AMY39-(ANF39+ANG39+ANH39+ANI39+ANJ39+ANK39+AND39)</f>
        <v/>
      </c>
      <c r="ANN39" s="12">
        <f>IF(AMS39&gt;0,AMT39/AMS39,0)</f>
        <v/>
      </c>
      <c r="ANO39" s="11">
        <f>IF(AMS38&gt;0,MAX(0,(AMS38+AMD39-AMS39)/AMS38),0)</f>
        <v/>
      </c>
      <c r="ANQ39" s="12" t="n">
        <v>35</v>
      </c>
      <c r="ANR39" s="12">
        <f>MOD(ANQ39-1+LaunchMonth-1,12)+1</f>
        <v/>
      </c>
      <c r="ANS39" s="12">
        <f>INT((ANQ39-1+LaunchMonth-1)/12)+1</f>
        <v/>
      </c>
      <c r="ANT39" s="12">
        <f>VLOOKUP(ANR39,SeasonTable,2,FALSE)</f>
        <v/>
      </c>
      <c r="ANU39" s="12">
        <f>(1+InflationRate)^INT((ANQ39-1)/12)</f>
        <v/>
      </c>
      <c r="ANV39" s="11">
        <f>MonthlyChurn*VLOOKUP(ANR39,ChurnSeasonTable,4,FALSE)</f>
        <v/>
      </c>
      <c r="ANW39" s="12">
        <f>MIN(MAX(MktMin19plus,AOU38*MktPct19plus),MAX(0,API38-CashBuffer))</f>
        <v/>
      </c>
      <c r="ANX39" s="12">
        <f>IF(ANW39&gt;0,MAX(1,ROUND(ANW39/'Sens - CAC &amp; Marketing'!$A$12*ANT39,0)),0)</f>
        <v/>
      </c>
      <c r="ANY39" s="12">
        <f>IF(ANX39&gt;0,ROUND(ANX39*ReferralMix/(1-ReferralMix),0),0)</f>
        <v/>
      </c>
      <c r="ANZ39" s="12">
        <f>ANX39+ANY39</f>
        <v/>
      </c>
      <c r="AOA39" s="12">
        <f>ROUND(ANZ39*(1-AnnualMix),0)</f>
        <v/>
      </c>
      <c r="AOB39" s="12">
        <f>ANZ39-AOA39</f>
        <v/>
      </c>
      <c r="AOC39" s="12">
        <f>ROUND(AOA39*EssentialMix,0)</f>
        <v/>
      </c>
      <c r="AOD39" s="12">
        <f>ROUND(AOA39*PremiumMix,0)</f>
        <v/>
      </c>
      <c r="AOE39" s="12">
        <f>AOA39-AOC39-AOD39</f>
        <v/>
      </c>
      <c r="AOF39" s="12">
        <f>ROUND(AOB39*EssentialMix,0)</f>
        <v/>
      </c>
      <c r="AOG39" s="12">
        <f>ROUND(AOB39*PremiumMix,0)</f>
        <v/>
      </c>
      <c r="AOH39" s="12">
        <f>AOB39-AOF39-AOG39</f>
        <v/>
      </c>
      <c r="AOI39" s="12">
        <f>AOC39+AOC38+AOC37+MAX(0,AOI38-AOC38-AOC37)*(1-ANV39)</f>
        <v/>
      </c>
      <c r="AOJ39" s="12">
        <f>AOD39+AOD38+AOD37+MAX(0,AOJ38-AOD38-AOD37)*(1-ANV39)</f>
        <v/>
      </c>
      <c r="AOK39" s="12">
        <f>AOE39+AOE38+AOE37+MAX(0,AOK38-AOE38-AOE37)*(1-ANV39)</f>
        <v/>
      </c>
      <c r="AOL39" s="12">
        <f>AOL38+AOF39-AOF27*(AnnualChurn*VLOOKUP(ANR39,ChurnSeasonTable,4,FALSE))*POWER(1-(AnnualChurn*VLOOKUP(ANR39,ChurnSeasonTable,4,FALSE)),0)+AOF15*(AnnualChurn*VLOOKUP(ANR39,ChurnSeasonTable,4,FALSE))*POWER(1-(AnnualChurn*VLOOKUP(ANR39,ChurnSeasonTable,4,FALSE)),1)</f>
        <v/>
      </c>
      <c r="AOM39" s="12">
        <f>AOM38+AOG39-AOG27*(AnnualChurn*VLOOKUP(ANR39,ChurnSeasonTable,4,FALSE))*POWER(1-(AnnualChurn*VLOOKUP(ANR39,ChurnSeasonTable,4,FALSE)),0)+AOG15*(AnnualChurn*VLOOKUP(ANR39,ChurnSeasonTable,4,FALSE))*POWER(1-(AnnualChurn*VLOOKUP(ANR39,ChurnSeasonTable,4,FALSE)),1)</f>
        <v/>
      </c>
      <c r="AON39" s="12">
        <f>AON38+AOH39-AOH27*(AnnualChurn*VLOOKUP(ANR39,ChurnSeasonTable,4,FALSE))*POWER(1-(AnnualChurn*VLOOKUP(ANR39,ChurnSeasonTable,4,FALSE)),0)+AOH15*(AnnualChurn*VLOOKUP(ANR39,ChurnSeasonTable,4,FALSE))*POWER(1-(AnnualChurn*VLOOKUP(ANR39,ChurnSeasonTable,4,FALSE)),1)</f>
        <v/>
      </c>
      <c r="AOO39" s="12">
        <f>AOI39+AOJ39+AOK39+AOL39+AOM39+AON39</f>
        <v/>
      </c>
      <c r="AOP39" s="9">
        <f>AOI39*BlendedPriceEssMonthly*ANU39+AOJ39*BlendedPricePremMonthly*ANU39+AOK39*BlendedPriceEliteMonthly*ANU39+AOL39*BlendedPriceEssAnnual*ANU39/12+AOM39*BlendedPricePremAnnual*ANU39/12+AON39*BlendedPriceEliteAnnual*ANU39/12</f>
        <v/>
      </c>
      <c r="AOQ39" s="9">
        <f>AOP39*12</f>
        <v/>
      </c>
      <c r="AOR39" s="12">
        <f>AOI39*BlendedPriceEssMonthly*ANU39+AOJ39*BlendedPricePremMonthly*ANU39+AOK39*BlendedPriceEliteMonthly*ANU39</f>
        <v/>
      </c>
      <c r="AOS39" s="12">
        <f>AOF39*BlendedPriceEssAnnual*ANU39+AOG39*BlendedPricePremAnnual*ANU39+AOH39*BlendedPriceEliteAnnual*ANU39</f>
        <v/>
      </c>
      <c r="AOT39" s="12">
        <f>AOF27*POWER(1-(AnnualChurn*VLOOKUP(ANR39,ChurnSeasonTable,4,FALSE)),1)*BlendedPriceEssAnnual*ANU39+AOF15*POWER(1-(AnnualChurn*VLOOKUP(ANR39,ChurnSeasonTable,4,FALSE)),2)*BlendedPriceEssAnnual*ANU39+AOG27*POWER(1-(AnnualChurn*VLOOKUP(ANR39,ChurnSeasonTable,4,FALSE)),1)*BlendedPricePremAnnual*ANU39+AOG15*POWER(1-(AnnualChurn*VLOOKUP(ANR39,ChurnSeasonTable,4,FALSE)),2)*BlendedPricePremAnnual*ANU39+AOH27*POWER(1-(AnnualChurn*VLOOKUP(ANR39,ChurnSeasonTable,4,FALSE)),1)*BlendedPriceEliteAnnual*ANU39+AOH15*POWER(1-(AnnualChurn*VLOOKUP(ANR39,ChurnSeasonTable,4,FALSE)),2)*BlendedPriceEliteAnnual*ANU39</f>
        <v/>
      </c>
      <c r="AOU39" s="9">
        <f>AOR39+AOS39+AOT39</f>
        <v/>
      </c>
      <c r="AOV39" s="12">
        <f>SUM(AOU28:AOU39)</f>
        <v/>
      </c>
      <c r="AOW39" s="12">
        <f>OR(AOW38,IF(VATAgentMode,SUM($AOU28:$AOU39)-SUM($APB28:$APB39)&gt;=VATThreshold,SUM($AOU28:$AOU39)&gt;=VATThreshold))</f>
        <v/>
      </c>
      <c r="AOX39" s="9">
        <f>IF(AOW39,IF(VATAgentMode,AOU39-((AOU39-APB39)-(AOU39-APB39)/(1+VATRate)),AOU39/(1+VATRate)),AOU39)</f>
        <v/>
      </c>
      <c r="AOY39" s="12">
        <f>AOU39-AOX39</f>
        <v/>
      </c>
      <c r="AOZ39" s="12">
        <f>IF(AOW39=0,0,IF(ANR39=1,SUMPRODUCT(--(($ANS$5:$ANS39=$ANS39-1)*($ANR$5:$ANR39&gt;=10)*($ANR$5:$ANR39&lt;=12)),$AOY$5:$AOY39),IF(ANR39=4,SUMPRODUCT(--(($ANS$5:$ANS39=$ANS39)*($ANR$5:$ANR39&gt;=1)*($ANR$5:$ANR39&lt;=3)),$AOY$5:$AOY39),IF(ANR39=7,SUMPRODUCT(--(($ANS$5:$ANS39=$ANS39)*($ANR$5:$ANR39&gt;=4)*($ANR$5:$ANR39&lt;=6)),$AOY$5:$AOY39),IF(ANR39=10,SUMPRODUCT(--(($ANS$5:$ANS39=$ANS39)*($ANR$5:$ANR39&gt;=7)*($ANR$5:$ANR39&lt;=9)),$AOY$5:$AOY39),0)))))</f>
        <v/>
      </c>
      <c r="APA39" s="12">
        <f>APA38+AOY39-AOZ39</f>
        <v/>
      </c>
      <c r="APB39" s="12">
        <f>IF(ProviderDelay&gt;=1,AOI38*BlendedProvPayEss+AOJ38*BlendedProvPayPrem+AOK38*BlendedProvPayElite+AOL38*BlendedProvPayEss+AOM38*BlendedProvPayPrem+AON38*BlendedProvPayElite,AOI39*BlendedProvPayEss+AOJ39*BlendedProvPayPrem+AOK39*BlendedProvPayElite+AOL39*BlendedProvPayEss+AOM39*BlendedProvPayPrem+AON39*BlendedProvPayElite)</f>
        <v/>
      </c>
      <c r="APC39" s="12">
        <f>AOU39*PaymentFee</f>
        <v/>
      </c>
      <c r="APD39" s="12">
        <f>AOO39*OpsAI</f>
        <v/>
      </c>
      <c r="APE39" s="12">
        <f>MonthlyFixed</f>
        <v/>
      </c>
      <c r="APF39" s="12">
        <f>ANY39*ReferralReward</f>
        <v/>
      </c>
      <c r="APG39" s="12">
        <f>ANW39</f>
        <v/>
      </c>
      <c r="APH39" s="9">
        <f>AOX39-APB39-APC39-APD39-APE39-APF39-APG39</f>
        <v/>
      </c>
      <c r="API39" s="9">
        <f>API38+AOU39-(APB39+APC39+APD39+APE39+APF39+APG39+AOZ39)</f>
        <v/>
      </c>
      <c r="APJ39" s="12">
        <f>IF(AOO39&gt;0,AOP39/AOO39,0)</f>
        <v/>
      </c>
      <c r="APK39" s="11">
        <f>IF(AOO38&gt;0,MAX(0,(AOO38+ANZ39-AOO39)/AOO38),0)</f>
        <v/>
      </c>
      <c r="APM39" s="12" t="n">
        <v>35</v>
      </c>
      <c r="APN39" s="12">
        <f>MOD(APM39-1+LaunchMonth-1,12)+1</f>
        <v/>
      </c>
      <c r="APO39" s="12">
        <f>INT((APM39-1+LaunchMonth-1)/12)+1</f>
        <v/>
      </c>
      <c r="APP39" s="12">
        <f>VLOOKUP(APN39,SeasonTable,2,FALSE)</f>
        <v/>
      </c>
      <c r="APQ39" s="12">
        <f>(1+InflationRate)^INT((APM39-1)/12)</f>
        <v/>
      </c>
      <c r="APR39" s="11">
        <f>MonthlyChurn*VLOOKUP(APN39,ChurnSeasonTable,4,FALSE)</f>
        <v/>
      </c>
      <c r="APS39" s="12">
        <f>MIN(MAX(MktMin19plus,AQQ38*MktPct19plus),MAX(0,ARE38-CashBuffer))</f>
        <v/>
      </c>
      <c r="APT39" s="12">
        <f>IF(APS39&gt;0,MAX(1,ROUND(APS39/'Sens - CAC &amp; Marketing'!$A$13*APP39,0)),0)</f>
        <v/>
      </c>
      <c r="APU39" s="12">
        <f>IF(APT39&gt;0,ROUND(APT39*ReferralMix/(1-ReferralMix),0),0)</f>
        <v/>
      </c>
      <c r="APV39" s="12">
        <f>APT39+APU39</f>
        <v/>
      </c>
      <c r="APW39" s="12">
        <f>ROUND(APV39*(1-AnnualMix),0)</f>
        <v/>
      </c>
      <c r="APX39" s="12">
        <f>APV39-APW39</f>
        <v/>
      </c>
      <c r="APY39" s="12">
        <f>ROUND(APW39*EssentialMix,0)</f>
        <v/>
      </c>
      <c r="APZ39" s="12">
        <f>ROUND(APW39*PremiumMix,0)</f>
        <v/>
      </c>
      <c r="AQA39" s="12">
        <f>APW39-APY39-APZ39</f>
        <v/>
      </c>
      <c r="AQB39" s="12">
        <f>ROUND(APX39*EssentialMix,0)</f>
        <v/>
      </c>
      <c r="AQC39" s="12">
        <f>ROUND(APX39*PremiumMix,0)</f>
        <v/>
      </c>
      <c r="AQD39" s="12">
        <f>APX39-AQB39-AQC39</f>
        <v/>
      </c>
      <c r="AQE39" s="12">
        <f>APY39+APY38+APY37+MAX(0,AQE38-APY38-APY37)*(1-APR39)</f>
        <v/>
      </c>
      <c r="AQF39" s="12">
        <f>APZ39+APZ38+APZ37+MAX(0,AQF38-APZ38-APZ37)*(1-APR39)</f>
        <v/>
      </c>
      <c r="AQG39" s="12">
        <f>AQA39+AQA38+AQA37+MAX(0,AQG38-AQA38-AQA37)*(1-APR39)</f>
        <v/>
      </c>
      <c r="AQH39" s="12">
        <f>AQH38+AQB39-AQB27*(AnnualChurn*VLOOKUP(APN39,ChurnSeasonTable,4,FALSE))*POWER(1-(AnnualChurn*VLOOKUP(APN39,ChurnSeasonTable,4,FALSE)),0)+AQB15*(AnnualChurn*VLOOKUP(APN39,ChurnSeasonTable,4,FALSE))*POWER(1-(AnnualChurn*VLOOKUP(APN39,ChurnSeasonTable,4,FALSE)),1)</f>
        <v/>
      </c>
      <c r="AQI39" s="12">
        <f>AQI38+AQC39-AQC27*(AnnualChurn*VLOOKUP(APN39,ChurnSeasonTable,4,FALSE))*POWER(1-(AnnualChurn*VLOOKUP(APN39,ChurnSeasonTable,4,FALSE)),0)+AQC15*(AnnualChurn*VLOOKUP(APN39,ChurnSeasonTable,4,FALSE))*POWER(1-(AnnualChurn*VLOOKUP(APN39,ChurnSeasonTable,4,FALSE)),1)</f>
        <v/>
      </c>
      <c r="AQJ39" s="12">
        <f>AQJ38+AQD39-AQD27*(AnnualChurn*VLOOKUP(APN39,ChurnSeasonTable,4,FALSE))*POWER(1-(AnnualChurn*VLOOKUP(APN39,ChurnSeasonTable,4,FALSE)),0)+AQD15*(AnnualChurn*VLOOKUP(APN39,ChurnSeasonTable,4,FALSE))*POWER(1-(AnnualChurn*VLOOKUP(APN39,ChurnSeasonTable,4,FALSE)),1)</f>
        <v/>
      </c>
      <c r="AQK39" s="12">
        <f>AQE39+AQF39+AQG39+AQH39+AQI39+AQJ39</f>
        <v/>
      </c>
      <c r="AQL39" s="9">
        <f>AQE39*BlendedPriceEssMonthly*APQ39+AQF39*BlendedPricePremMonthly*APQ39+AQG39*BlendedPriceEliteMonthly*APQ39+AQH39*BlendedPriceEssAnnual*APQ39/12+AQI39*BlendedPricePremAnnual*APQ39/12+AQJ39*BlendedPriceEliteAnnual*APQ39/12</f>
        <v/>
      </c>
      <c r="AQM39" s="9">
        <f>AQL39*12</f>
        <v/>
      </c>
      <c r="AQN39" s="12">
        <f>AQE39*BlendedPriceEssMonthly*APQ39+AQF39*BlendedPricePremMonthly*APQ39+AQG39*BlendedPriceEliteMonthly*APQ39</f>
        <v/>
      </c>
      <c r="AQO39" s="12">
        <f>AQB39*BlendedPriceEssAnnual*APQ39+AQC39*BlendedPricePremAnnual*APQ39+AQD39*BlendedPriceEliteAnnual*APQ39</f>
        <v/>
      </c>
      <c r="AQP39" s="12">
        <f>AQB27*POWER(1-(AnnualChurn*VLOOKUP(APN39,ChurnSeasonTable,4,FALSE)),1)*BlendedPriceEssAnnual*APQ39+AQB15*POWER(1-(AnnualChurn*VLOOKUP(APN39,ChurnSeasonTable,4,FALSE)),2)*BlendedPriceEssAnnual*APQ39+AQC27*POWER(1-(AnnualChurn*VLOOKUP(APN39,ChurnSeasonTable,4,FALSE)),1)*BlendedPricePremAnnual*APQ39+AQC15*POWER(1-(AnnualChurn*VLOOKUP(APN39,ChurnSeasonTable,4,FALSE)),2)*BlendedPricePremAnnual*APQ39+AQD27*POWER(1-(AnnualChurn*VLOOKUP(APN39,ChurnSeasonTable,4,FALSE)),1)*BlendedPriceEliteAnnual*APQ39+AQD15*POWER(1-(AnnualChurn*VLOOKUP(APN39,ChurnSeasonTable,4,FALSE)),2)*BlendedPriceEliteAnnual*APQ39</f>
        <v/>
      </c>
      <c r="AQQ39" s="9">
        <f>AQN39+AQO39+AQP39</f>
        <v/>
      </c>
      <c r="AQR39" s="12">
        <f>SUM(AQQ28:AQQ39)</f>
        <v/>
      </c>
      <c r="AQS39" s="12">
        <f>OR(AQS38,IF(VATAgentMode,SUM($AQQ28:$AQQ39)-SUM($AQX28:$AQX39)&gt;=VATThreshold,SUM($AQQ28:$AQQ39)&gt;=VATThreshold))</f>
        <v/>
      </c>
      <c r="AQT39" s="9">
        <f>IF(AQS39,IF(VATAgentMode,AQQ39-((AQQ39-AQX39)-(AQQ39-AQX39)/(1+VATRate)),AQQ39/(1+VATRate)),AQQ39)</f>
        <v/>
      </c>
      <c r="AQU39" s="12">
        <f>AQQ39-AQT39</f>
        <v/>
      </c>
      <c r="AQV39" s="12">
        <f>IF(AQS39=0,0,IF(APN39=1,SUMPRODUCT(--(($APO$5:$APO39=$APO39-1)*($APN$5:$APN39&gt;=10)*($APN$5:$APN39&lt;=12)),$AQU$5:$AQU39),IF(APN39=4,SUMPRODUCT(--(($APO$5:$APO39=$APO39)*($APN$5:$APN39&gt;=1)*($APN$5:$APN39&lt;=3)),$AQU$5:$AQU39),IF(APN39=7,SUMPRODUCT(--(($APO$5:$APO39=$APO39)*($APN$5:$APN39&gt;=4)*($APN$5:$APN39&lt;=6)),$AQU$5:$AQU39),IF(APN39=10,SUMPRODUCT(--(($APO$5:$APO39=$APO39)*($APN$5:$APN39&gt;=7)*($APN$5:$APN39&lt;=9)),$AQU$5:$AQU39),0)))))</f>
        <v/>
      </c>
      <c r="AQW39" s="12">
        <f>AQW38+AQU39-AQV39</f>
        <v/>
      </c>
      <c r="AQX39" s="12">
        <f>IF(ProviderDelay&gt;=1,AQE38*BlendedProvPayEss+AQF38*BlendedProvPayPrem+AQG38*BlendedProvPayElite+AQH38*BlendedProvPayEss+AQI38*BlendedProvPayPrem+AQJ38*BlendedProvPayElite,AQE39*BlendedProvPayEss+AQF39*BlendedProvPayPrem+AQG39*BlendedProvPayElite+AQH39*BlendedProvPayEss+AQI39*BlendedProvPayPrem+AQJ39*BlendedProvPayElite)</f>
        <v/>
      </c>
      <c r="AQY39" s="12">
        <f>AQQ39*PaymentFee</f>
        <v/>
      </c>
      <c r="AQZ39" s="12">
        <f>AQK39*OpsAI</f>
        <v/>
      </c>
      <c r="ARA39" s="12">
        <f>MonthlyFixed</f>
        <v/>
      </c>
      <c r="ARB39" s="12">
        <f>APU39*ReferralReward</f>
        <v/>
      </c>
      <c r="ARC39" s="12">
        <f>APS39</f>
        <v/>
      </c>
      <c r="ARD39" s="9">
        <f>AQT39-AQX39-AQY39-AQZ39-ARA39-ARB39-ARC39</f>
        <v/>
      </c>
      <c r="ARE39" s="9">
        <f>ARE38+AQQ39-(AQX39+AQY39+AQZ39+ARA39+ARB39+ARC39+AQV39)</f>
        <v/>
      </c>
      <c r="ARF39" s="12">
        <f>IF(AQK39&gt;0,AQL39/AQK39,0)</f>
        <v/>
      </c>
      <c r="ARG39" s="11">
        <f>IF(AQK38&gt;0,MAX(0,(AQK38+APV39-AQK39)/AQK38),0)</f>
        <v/>
      </c>
      <c r="ARI39" s="12" t="n">
        <v>35</v>
      </c>
      <c r="ARJ39" s="12">
        <f>MOD(ARI39-1+LaunchMonth-1,12)+1</f>
        <v/>
      </c>
      <c r="ARK39" s="12">
        <f>INT((ARI39-1+LaunchMonth-1)/12)+1</f>
        <v/>
      </c>
      <c r="ARL39" s="12">
        <f>VLOOKUP(ARJ39,SeasonTable,2,FALSE)</f>
        <v/>
      </c>
      <c r="ARM39" s="12">
        <f>(1+InflationRate)^INT((ARI39-1)/12)</f>
        <v/>
      </c>
      <c r="ARN39" s="11">
        <f>MonthlyChurn*VLOOKUP(ARJ39,ChurnSeasonTable,4,FALSE)</f>
        <v/>
      </c>
      <c r="ARO39" s="12">
        <f>MIN(MAX(MktMin19plus,ASM38*MktPct19plus),MAX(0,ATA38-CashBuffer))</f>
        <v/>
      </c>
      <c r="ARP39" s="12">
        <f>IF(ARO39&gt;0,MAX(1,ROUND(ARO39/'Sens - CAC &amp; Marketing'!$A$14*ARL39,0)),0)</f>
        <v/>
      </c>
      <c r="ARQ39" s="12">
        <f>IF(ARP39&gt;0,ROUND(ARP39*ReferralMix/(1-ReferralMix),0),0)</f>
        <v/>
      </c>
      <c r="ARR39" s="12">
        <f>ARP39+ARQ39</f>
        <v/>
      </c>
      <c r="ARS39" s="12">
        <f>ROUND(ARR39*(1-AnnualMix),0)</f>
        <v/>
      </c>
      <c r="ART39" s="12">
        <f>ARR39-ARS39</f>
        <v/>
      </c>
      <c r="ARU39" s="12">
        <f>ROUND(ARS39*EssentialMix,0)</f>
        <v/>
      </c>
      <c r="ARV39" s="12">
        <f>ROUND(ARS39*PremiumMix,0)</f>
        <v/>
      </c>
      <c r="ARW39" s="12">
        <f>ARS39-ARU39-ARV39</f>
        <v/>
      </c>
      <c r="ARX39" s="12">
        <f>ROUND(ART39*EssentialMix,0)</f>
        <v/>
      </c>
      <c r="ARY39" s="12">
        <f>ROUND(ART39*PremiumMix,0)</f>
        <v/>
      </c>
      <c r="ARZ39" s="12">
        <f>ART39-ARX39-ARY39</f>
        <v/>
      </c>
      <c r="ASA39" s="12">
        <f>ARU39+ARU38+ARU37+MAX(0,ASA38-ARU38-ARU37)*(1-ARN39)</f>
        <v/>
      </c>
      <c r="ASB39" s="12">
        <f>ARV39+ARV38+ARV37+MAX(0,ASB38-ARV38-ARV37)*(1-ARN39)</f>
        <v/>
      </c>
      <c r="ASC39" s="12">
        <f>ARW39+ARW38+ARW37+MAX(0,ASC38-ARW38-ARW37)*(1-ARN39)</f>
        <v/>
      </c>
      <c r="ASD39" s="12">
        <f>ASD38+ARX39-ARX27*(AnnualChurn*VLOOKUP(ARJ39,ChurnSeasonTable,4,FALSE))*POWER(1-(AnnualChurn*VLOOKUP(ARJ39,ChurnSeasonTable,4,FALSE)),0)+ARX15*(AnnualChurn*VLOOKUP(ARJ39,ChurnSeasonTable,4,FALSE))*POWER(1-(AnnualChurn*VLOOKUP(ARJ39,ChurnSeasonTable,4,FALSE)),1)</f>
        <v/>
      </c>
      <c r="ASE39" s="12">
        <f>ASE38+ARY39-ARY27*(AnnualChurn*VLOOKUP(ARJ39,ChurnSeasonTable,4,FALSE))*POWER(1-(AnnualChurn*VLOOKUP(ARJ39,ChurnSeasonTable,4,FALSE)),0)+ARY15*(AnnualChurn*VLOOKUP(ARJ39,ChurnSeasonTable,4,FALSE))*POWER(1-(AnnualChurn*VLOOKUP(ARJ39,ChurnSeasonTable,4,FALSE)),1)</f>
        <v/>
      </c>
      <c r="ASF39" s="12">
        <f>ASF38+ARZ39-ARZ27*(AnnualChurn*VLOOKUP(ARJ39,ChurnSeasonTable,4,FALSE))*POWER(1-(AnnualChurn*VLOOKUP(ARJ39,ChurnSeasonTable,4,FALSE)),0)+ARZ15*(AnnualChurn*VLOOKUP(ARJ39,ChurnSeasonTable,4,FALSE))*POWER(1-(AnnualChurn*VLOOKUP(ARJ39,ChurnSeasonTable,4,FALSE)),1)</f>
        <v/>
      </c>
      <c r="ASG39" s="12">
        <f>ASA39+ASB39+ASC39+ASD39+ASE39+ASF39</f>
        <v/>
      </c>
      <c r="ASH39" s="9">
        <f>ASA39*BlendedPriceEssMonthly*ARM39+ASB39*BlendedPricePremMonthly*ARM39+ASC39*BlendedPriceEliteMonthly*ARM39+ASD39*BlendedPriceEssAnnual*ARM39/12+ASE39*BlendedPricePremAnnual*ARM39/12+ASF39*BlendedPriceEliteAnnual*ARM39/12</f>
        <v/>
      </c>
      <c r="ASI39" s="9">
        <f>ASH39*12</f>
        <v/>
      </c>
      <c r="ASJ39" s="12">
        <f>ASA39*BlendedPriceEssMonthly*ARM39+ASB39*BlendedPricePremMonthly*ARM39+ASC39*BlendedPriceEliteMonthly*ARM39</f>
        <v/>
      </c>
      <c r="ASK39" s="12">
        <f>ARX39*BlendedPriceEssAnnual*ARM39+ARY39*BlendedPricePremAnnual*ARM39+ARZ39*BlendedPriceEliteAnnual*ARM39</f>
        <v/>
      </c>
      <c r="ASL39" s="12">
        <f>ARX27*POWER(1-(AnnualChurn*VLOOKUP(ARJ39,ChurnSeasonTable,4,FALSE)),1)*BlendedPriceEssAnnual*ARM39+ARX15*POWER(1-(AnnualChurn*VLOOKUP(ARJ39,ChurnSeasonTable,4,FALSE)),2)*BlendedPriceEssAnnual*ARM39+ARY27*POWER(1-(AnnualChurn*VLOOKUP(ARJ39,ChurnSeasonTable,4,FALSE)),1)*BlendedPricePremAnnual*ARM39+ARY15*POWER(1-(AnnualChurn*VLOOKUP(ARJ39,ChurnSeasonTable,4,FALSE)),2)*BlendedPricePremAnnual*ARM39+ARZ27*POWER(1-(AnnualChurn*VLOOKUP(ARJ39,ChurnSeasonTable,4,FALSE)),1)*BlendedPriceEliteAnnual*ARM39+ARZ15*POWER(1-(AnnualChurn*VLOOKUP(ARJ39,ChurnSeasonTable,4,FALSE)),2)*BlendedPriceEliteAnnual*ARM39</f>
        <v/>
      </c>
      <c r="ASM39" s="9">
        <f>ASJ39+ASK39+ASL39</f>
        <v/>
      </c>
      <c r="ASN39" s="12">
        <f>SUM(ASM28:ASM39)</f>
        <v/>
      </c>
      <c r="ASO39" s="12">
        <f>OR(ASO38,IF(VATAgentMode,SUM($ASM28:$ASM39)-SUM($AST28:$AST39)&gt;=VATThreshold,SUM($ASM28:$ASM39)&gt;=VATThreshold))</f>
        <v/>
      </c>
      <c r="ASP39" s="9">
        <f>IF(ASO39,IF(VATAgentMode,ASM39-((ASM39-AST39)-(ASM39-AST39)/(1+VATRate)),ASM39/(1+VATRate)),ASM39)</f>
        <v/>
      </c>
      <c r="ASQ39" s="12">
        <f>ASM39-ASP39</f>
        <v/>
      </c>
      <c r="ASR39" s="12">
        <f>IF(ASO39=0,0,IF(ARJ39=1,SUMPRODUCT(--(($ARK$5:$ARK39=$ARK39-1)*($ARJ$5:$ARJ39&gt;=10)*($ARJ$5:$ARJ39&lt;=12)),$ASQ$5:$ASQ39),IF(ARJ39=4,SUMPRODUCT(--(($ARK$5:$ARK39=$ARK39)*($ARJ$5:$ARJ39&gt;=1)*($ARJ$5:$ARJ39&lt;=3)),$ASQ$5:$ASQ39),IF(ARJ39=7,SUMPRODUCT(--(($ARK$5:$ARK39=$ARK39)*($ARJ$5:$ARJ39&gt;=4)*($ARJ$5:$ARJ39&lt;=6)),$ASQ$5:$ASQ39),IF(ARJ39=10,SUMPRODUCT(--(($ARK$5:$ARK39=$ARK39)*($ARJ$5:$ARJ39&gt;=7)*($ARJ$5:$ARJ39&lt;=9)),$ASQ$5:$ASQ39),0)))))</f>
        <v/>
      </c>
      <c r="ASS39" s="12">
        <f>ASS38+ASQ39-ASR39</f>
        <v/>
      </c>
      <c r="AST39" s="12">
        <f>IF(ProviderDelay&gt;=1,ASA38*BlendedProvPayEss+ASB38*BlendedProvPayPrem+ASC38*BlendedProvPayElite+ASD38*BlendedProvPayEss+ASE38*BlendedProvPayPrem+ASF38*BlendedProvPayElite,ASA39*BlendedProvPayEss+ASB39*BlendedProvPayPrem+ASC39*BlendedProvPayElite+ASD39*BlendedProvPayEss+ASE39*BlendedProvPayPrem+ASF39*BlendedProvPayElite)</f>
        <v/>
      </c>
      <c r="ASU39" s="12">
        <f>ASM39*PaymentFee</f>
        <v/>
      </c>
      <c r="ASV39" s="12">
        <f>ASG39*OpsAI</f>
        <v/>
      </c>
      <c r="ASW39" s="12">
        <f>MonthlyFixed</f>
        <v/>
      </c>
      <c r="ASX39" s="12">
        <f>ARQ39*ReferralReward</f>
        <v/>
      </c>
      <c r="ASY39" s="12">
        <f>ARO39</f>
        <v/>
      </c>
      <c r="ASZ39" s="9">
        <f>ASP39-AST39-ASU39-ASV39-ASW39-ASX39-ASY39</f>
        <v/>
      </c>
      <c r="ATA39" s="9">
        <f>ATA38+ASM39-(AST39+ASU39+ASV39+ASW39+ASX39+ASY39+ASR39)</f>
        <v/>
      </c>
      <c r="ATB39" s="12">
        <f>IF(ASG39&gt;0,ASH39/ASG39,0)</f>
        <v/>
      </c>
      <c r="ATC39" s="11">
        <f>IF(ASG38&gt;0,MAX(0,(ASG38+ARR39-ASG39)/ASG38),0)</f>
        <v/>
      </c>
      <c r="ATE39" s="12" t="n">
        <v>35</v>
      </c>
      <c r="ATF39" s="12">
        <f>MOD(ATE39-1+LaunchMonth-1,12)+1</f>
        <v/>
      </c>
      <c r="ATG39" s="12">
        <f>INT((ATE39-1+LaunchMonth-1)/12)+1</f>
        <v/>
      </c>
      <c r="ATH39" s="12">
        <f>VLOOKUP(ATF39,SeasonTable,2,FALSE)</f>
        <v/>
      </c>
      <c r="ATI39" s="12">
        <f>(1+InflationRate)^INT((ATE39-1)/12)</f>
        <v/>
      </c>
      <c r="ATJ39" s="11">
        <f>MonthlyChurn*VLOOKUP(ATF39,ChurnSeasonTable,4,FALSE)</f>
        <v/>
      </c>
      <c r="ATK39" s="12">
        <f>MIN(MAX(MktMin19plus,AUI38*MktPct19plus),MAX(0,AUW38-CashBuffer))</f>
        <v/>
      </c>
      <c r="ATL39" s="12">
        <f>IF(ATK39&gt;0,MAX(1,ROUND(ATK39/'Sens - CAC &amp; Marketing'!$A$15*ATH39,0)),0)</f>
        <v/>
      </c>
      <c r="ATM39" s="12">
        <f>IF(ATL39&gt;0,ROUND(ATL39*ReferralMix/(1-ReferralMix),0),0)</f>
        <v/>
      </c>
      <c r="ATN39" s="12">
        <f>ATL39+ATM39</f>
        <v/>
      </c>
      <c r="ATO39" s="12">
        <f>ROUND(ATN39*(1-AnnualMix),0)</f>
        <v/>
      </c>
      <c r="ATP39" s="12">
        <f>ATN39-ATO39</f>
        <v/>
      </c>
      <c r="ATQ39" s="12">
        <f>ROUND(ATO39*EssentialMix,0)</f>
        <v/>
      </c>
      <c r="ATR39" s="12">
        <f>ROUND(ATO39*PremiumMix,0)</f>
        <v/>
      </c>
      <c r="ATS39" s="12">
        <f>ATO39-ATQ39-ATR39</f>
        <v/>
      </c>
      <c r="ATT39" s="12">
        <f>ROUND(ATP39*EssentialMix,0)</f>
        <v/>
      </c>
      <c r="ATU39" s="12">
        <f>ROUND(ATP39*PremiumMix,0)</f>
        <v/>
      </c>
      <c r="ATV39" s="12">
        <f>ATP39-ATT39-ATU39</f>
        <v/>
      </c>
      <c r="ATW39" s="12">
        <f>ATQ39+ATQ38+ATQ37+MAX(0,ATW38-ATQ38-ATQ37)*(1-ATJ39)</f>
        <v/>
      </c>
      <c r="ATX39" s="12">
        <f>ATR39+ATR38+ATR37+MAX(0,ATX38-ATR38-ATR37)*(1-ATJ39)</f>
        <v/>
      </c>
      <c r="ATY39" s="12">
        <f>ATS39+ATS38+ATS37+MAX(0,ATY38-ATS38-ATS37)*(1-ATJ39)</f>
        <v/>
      </c>
      <c r="ATZ39" s="12">
        <f>ATZ38+ATT39-ATT27*(AnnualChurn*VLOOKUP(ATF39,ChurnSeasonTable,4,FALSE))*POWER(1-(AnnualChurn*VLOOKUP(ATF39,ChurnSeasonTable,4,FALSE)),0)+ATT15*(AnnualChurn*VLOOKUP(ATF39,ChurnSeasonTable,4,FALSE))*POWER(1-(AnnualChurn*VLOOKUP(ATF39,ChurnSeasonTable,4,FALSE)),1)</f>
        <v/>
      </c>
      <c r="AUA39" s="12">
        <f>AUA38+ATU39-ATU27*(AnnualChurn*VLOOKUP(ATF39,ChurnSeasonTable,4,FALSE))*POWER(1-(AnnualChurn*VLOOKUP(ATF39,ChurnSeasonTable,4,FALSE)),0)+ATU15*(AnnualChurn*VLOOKUP(ATF39,ChurnSeasonTable,4,FALSE))*POWER(1-(AnnualChurn*VLOOKUP(ATF39,ChurnSeasonTable,4,FALSE)),1)</f>
        <v/>
      </c>
      <c r="AUB39" s="12">
        <f>AUB38+ATV39-ATV27*(AnnualChurn*VLOOKUP(ATF39,ChurnSeasonTable,4,FALSE))*POWER(1-(AnnualChurn*VLOOKUP(ATF39,ChurnSeasonTable,4,FALSE)),0)+ATV15*(AnnualChurn*VLOOKUP(ATF39,ChurnSeasonTable,4,FALSE))*POWER(1-(AnnualChurn*VLOOKUP(ATF39,ChurnSeasonTable,4,FALSE)),1)</f>
        <v/>
      </c>
      <c r="AUC39" s="12">
        <f>ATW39+ATX39+ATY39+ATZ39+AUA39+AUB39</f>
        <v/>
      </c>
      <c r="AUD39" s="9">
        <f>ATW39*BlendedPriceEssMonthly*ATI39+ATX39*BlendedPricePremMonthly*ATI39+ATY39*BlendedPriceEliteMonthly*ATI39+ATZ39*BlendedPriceEssAnnual*ATI39/12+AUA39*BlendedPricePremAnnual*ATI39/12+AUB39*BlendedPriceEliteAnnual*ATI39/12</f>
        <v/>
      </c>
      <c r="AUE39" s="9">
        <f>AUD39*12</f>
        <v/>
      </c>
      <c r="AUF39" s="12">
        <f>ATW39*BlendedPriceEssMonthly*ATI39+ATX39*BlendedPricePremMonthly*ATI39+ATY39*BlendedPriceEliteMonthly*ATI39</f>
        <v/>
      </c>
      <c r="AUG39" s="12">
        <f>ATT39*BlendedPriceEssAnnual*ATI39+ATU39*BlendedPricePremAnnual*ATI39+ATV39*BlendedPriceEliteAnnual*ATI39</f>
        <v/>
      </c>
      <c r="AUH39" s="12">
        <f>ATT27*POWER(1-(AnnualChurn*VLOOKUP(ATF39,ChurnSeasonTable,4,FALSE)),1)*BlendedPriceEssAnnual*ATI39+ATT15*POWER(1-(AnnualChurn*VLOOKUP(ATF39,ChurnSeasonTable,4,FALSE)),2)*BlendedPriceEssAnnual*ATI39+ATU27*POWER(1-(AnnualChurn*VLOOKUP(ATF39,ChurnSeasonTable,4,FALSE)),1)*BlendedPricePremAnnual*ATI39+ATU15*POWER(1-(AnnualChurn*VLOOKUP(ATF39,ChurnSeasonTable,4,FALSE)),2)*BlendedPricePremAnnual*ATI39+ATV27*POWER(1-(AnnualChurn*VLOOKUP(ATF39,ChurnSeasonTable,4,FALSE)),1)*BlendedPriceEliteAnnual*ATI39+ATV15*POWER(1-(AnnualChurn*VLOOKUP(ATF39,ChurnSeasonTable,4,FALSE)),2)*BlendedPriceEliteAnnual*ATI39</f>
        <v/>
      </c>
      <c r="AUI39" s="9">
        <f>AUF39+AUG39+AUH39</f>
        <v/>
      </c>
      <c r="AUJ39" s="12">
        <f>SUM(AUI28:AUI39)</f>
        <v/>
      </c>
      <c r="AUK39" s="12">
        <f>OR(AUK38,IF(VATAgentMode,SUM($AUI28:$AUI39)-SUM($AUP28:$AUP39)&gt;=VATThreshold,SUM($AUI28:$AUI39)&gt;=VATThreshold))</f>
        <v/>
      </c>
      <c r="AUL39" s="9">
        <f>IF(AUK39,IF(VATAgentMode,AUI39-((AUI39-AUP39)-(AUI39-AUP39)/(1+VATRate)),AUI39/(1+VATRate)),AUI39)</f>
        <v/>
      </c>
      <c r="AUM39" s="12">
        <f>AUI39-AUL39</f>
        <v/>
      </c>
      <c r="AUN39" s="12">
        <f>IF(AUK39=0,0,IF(ATF39=1,SUMPRODUCT(--(($ATG$5:$ATG39=$ATG39-1)*($ATF$5:$ATF39&gt;=10)*($ATF$5:$ATF39&lt;=12)),$AUM$5:$AUM39),IF(ATF39=4,SUMPRODUCT(--(($ATG$5:$ATG39=$ATG39)*($ATF$5:$ATF39&gt;=1)*($ATF$5:$ATF39&lt;=3)),$AUM$5:$AUM39),IF(ATF39=7,SUMPRODUCT(--(($ATG$5:$ATG39=$ATG39)*($ATF$5:$ATF39&gt;=4)*($ATF$5:$ATF39&lt;=6)),$AUM$5:$AUM39),IF(ATF39=10,SUMPRODUCT(--(($ATG$5:$ATG39=$ATG39)*($ATF$5:$ATF39&gt;=7)*($ATF$5:$ATF39&lt;=9)),$AUM$5:$AUM39),0)))))</f>
        <v/>
      </c>
      <c r="AUO39" s="12">
        <f>AUO38+AUM39-AUN39</f>
        <v/>
      </c>
      <c r="AUP39" s="12">
        <f>IF(ProviderDelay&gt;=1,ATW38*BlendedProvPayEss+ATX38*BlendedProvPayPrem+ATY38*BlendedProvPayElite+ATZ38*BlendedProvPayEss+AUA38*BlendedProvPayPrem+AUB38*BlendedProvPayElite,ATW39*BlendedProvPayEss+ATX39*BlendedProvPayPrem+ATY39*BlendedProvPayElite+ATZ39*BlendedProvPayEss+AUA39*BlendedProvPayPrem+AUB39*BlendedProvPayElite)</f>
        <v/>
      </c>
      <c r="AUQ39" s="12">
        <f>AUI39*PaymentFee</f>
        <v/>
      </c>
      <c r="AUR39" s="12">
        <f>AUC39*OpsAI</f>
        <v/>
      </c>
      <c r="AUS39" s="12">
        <f>MonthlyFixed</f>
        <v/>
      </c>
      <c r="AUT39" s="12">
        <f>ATM39*ReferralReward</f>
        <v/>
      </c>
      <c r="AUU39" s="12">
        <f>ATK39</f>
        <v/>
      </c>
      <c r="AUV39" s="9">
        <f>AUL39-AUP39-AUQ39-AUR39-AUS39-AUT39-AUU39</f>
        <v/>
      </c>
      <c r="AUW39" s="9">
        <f>AUW38+AUI39-(AUP39+AUQ39+AUR39+AUS39+AUT39+AUU39+AUN39)</f>
        <v/>
      </c>
      <c r="AUX39" s="12">
        <f>IF(AUC39&gt;0,AUD39/AUC39,0)</f>
        <v/>
      </c>
      <c r="AUY39" s="11">
        <f>IF(AUC38&gt;0,MAX(0,(AUC38+ATN39-AUC39)/AUC38),0)</f>
        <v/>
      </c>
      <c r="AVA39" s="12" t="n">
        <v>35</v>
      </c>
      <c r="AVB39" s="12">
        <f>MOD(AVA39-1+LaunchMonth-1,12)+1</f>
        <v/>
      </c>
      <c r="AVC39" s="12">
        <f>INT((AVA39-1+LaunchMonth-1)/12)+1</f>
        <v/>
      </c>
      <c r="AVD39" s="12">
        <f>VLOOKUP(AVB39,WinterPivotSeasonTable,5,FALSE)</f>
        <v/>
      </c>
      <c r="AVE39" s="12">
        <f>(1+InflationRate)^INT((AVA39-1)/12)</f>
        <v/>
      </c>
      <c r="AVF39" s="11">
        <f>MonthlyChurn*VLOOKUP(AVB39,WinterPivotChurnTable,6,FALSE)</f>
        <v/>
      </c>
      <c r="AVG39" s="12">
        <f>MIN(MAX(MktMin19plus,AWE38*MktPct19plus),MAX(0,AWS38-CashBuffer))</f>
        <v/>
      </c>
      <c r="AVH39" s="12">
        <f>IF(AVG39&gt;0,MAX(1,ROUND(AVG39/CAC*AVD39,0)),0)</f>
        <v/>
      </c>
      <c r="AVI39" s="12">
        <f>IF(AVH39&gt;0,ROUND(AVH39*ReferralMix/(1-ReferralMix),0),0)</f>
        <v/>
      </c>
      <c r="AVJ39" s="12">
        <f>AVH39+AVI39</f>
        <v/>
      </c>
      <c r="AVK39" s="12">
        <f>ROUND(AVJ39*(1-AnnualMix),0)</f>
        <v/>
      </c>
      <c r="AVL39" s="12">
        <f>AVJ39-AVK39</f>
        <v/>
      </c>
      <c r="AVM39" s="12">
        <f>ROUND(AVK39*'Sens - Winter Pivot'!$B$6,0)</f>
        <v/>
      </c>
      <c r="AVN39" s="12">
        <f>ROUND(AVK39*PremiumMix,0)</f>
        <v/>
      </c>
      <c r="AVO39" s="12">
        <f>AVK39-AVM39-AVN39</f>
        <v/>
      </c>
      <c r="AVP39" s="12">
        <f>ROUND(AVL39*'Sens - Winter Pivot'!$B$6,0)</f>
        <v/>
      </c>
      <c r="AVQ39" s="12">
        <f>ROUND(AVL39*PremiumMix,0)</f>
        <v/>
      </c>
      <c r="AVR39" s="12">
        <f>AVL39-AVP39-AVQ39</f>
        <v/>
      </c>
      <c r="AVS39" s="12">
        <f>AVM39+AVM38+AVM37+MAX(0,AVS38-AVM38-AVM37)*(1-AVF39)</f>
        <v/>
      </c>
      <c r="AVT39" s="12">
        <f>AVN39+AVN38+AVN37+MAX(0,AVT38-AVN38-AVN37)*(1-AVF39)</f>
        <v/>
      </c>
      <c r="AVU39" s="12">
        <f>AVO39+AVO38+AVO37+MAX(0,AVU38-AVO38-AVO37)*(1-AVF39)</f>
        <v/>
      </c>
      <c r="AVV39" s="12">
        <f>AVV38+AVP39-AVP27*(AnnualChurn*VLOOKUP(AVB39,ChurnSeasonTable,4,FALSE))*POWER(1-(AnnualChurn*VLOOKUP(AVB39,ChurnSeasonTable,4,FALSE)),0)+AVP15*(AnnualChurn*VLOOKUP(AVB39,ChurnSeasonTable,4,FALSE))*POWER(1-(AnnualChurn*VLOOKUP(AVB39,ChurnSeasonTable,4,FALSE)),1)</f>
        <v/>
      </c>
      <c r="AVW39" s="12">
        <f>AVW38+AVQ39-AVQ27*(AnnualChurn*VLOOKUP(AVB39,ChurnSeasonTable,4,FALSE))*POWER(1-(AnnualChurn*VLOOKUP(AVB39,ChurnSeasonTable,4,FALSE)),0)+AVQ15*(AnnualChurn*VLOOKUP(AVB39,ChurnSeasonTable,4,FALSE))*POWER(1-(AnnualChurn*VLOOKUP(AVB39,ChurnSeasonTable,4,FALSE)),1)</f>
        <v/>
      </c>
      <c r="AVX39" s="12">
        <f>AVX38+AVR39-AVR27*(AnnualChurn*VLOOKUP(AVB39,ChurnSeasonTable,4,FALSE))*POWER(1-(AnnualChurn*VLOOKUP(AVB39,ChurnSeasonTable,4,FALSE)),0)+AVR15*(AnnualChurn*VLOOKUP(AVB39,ChurnSeasonTable,4,FALSE))*POWER(1-(AnnualChurn*VLOOKUP(AVB39,ChurnSeasonTable,4,FALSE)),1)</f>
        <v/>
      </c>
      <c r="AVY39" s="12">
        <f>AVS39+AVT39+AVU39+AVV39+AVW39+AVX39</f>
        <v/>
      </c>
      <c r="AVZ39" s="9">
        <f>AVS39*BlendedPriceEssMonthly*AVE39+AVT39*(BlendedPricePremMonthly+'Sens - Winter Pivot'!$B$7)*AVE39+AVU39*BlendedPriceEliteMonthly*AVE39+AVV39*BlendedPriceEssAnnual*AVE39/12+AVW39*(BlendedPricePremAnnual+'Sens - Winter Pivot'!$B$7*12)*AVE39/12+AVX39*BlendedPriceEliteAnnual*AVE39/12</f>
        <v/>
      </c>
      <c r="AWA39" s="9">
        <f>AVZ39*12</f>
        <v/>
      </c>
      <c r="AWB39" s="12">
        <f>AVS39*BlendedPriceEssMonthly*AVE39+AVT39*(BlendedPricePremMonthly+'Sens - Winter Pivot'!$B$7)*AVE39+AVU39*BlendedPriceEliteMonthly*AVE39</f>
        <v/>
      </c>
      <c r="AWC39" s="12">
        <f>AVP39*BlendedPriceEssAnnual*AVE39+AVQ39*(BlendedPricePremAnnual+'Sens - Winter Pivot'!$B$7*12)*AVE39+AVR39*BlendedPriceEliteAnnual*AVE39</f>
        <v/>
      </c>
      <c r="AWD39" s="12">
        <f>AVP27*POWER(1-(AnnualChurn*VLOOKUP(AVB39,ChurnSeasonTable,4,FALSE)),1)*BlendedPriceEssAnnual*AVE39+AVP15*POWER(1-(AnnualChurn*VLOOKUP(AVB39,ChurnSeasonTable,4,FALSE)),2)*BlendedPriceEssAnnual*AVE39+AVQ27*POWER(1-(AnnualChurn*VLOOKUP(AVB39,ChurnSeasonTable,4,FALSE)),1)*BlendedPricePremAnnual*AVE39+AVQ15*POWER(1-(AnnualChurn*VLOOKUP(AVB39,ChurnSeasonTable,4,FALSE)),2)*BlendedPricePremAnnual*AVE39+AVR27*POWER(1-(AnnualChurn*VLOOKUP(AVB39,ChurnSeasonTable,4,FALSE)),1)*BlendedPriceEliteAnnual*AVE39+AVR15*POWER(1-(AnnualChurn*VLOOKUP(AVB39,ChurnSeasonTable,4,FALSE)),2)*BlendedPriceEliteAnnual*AVE39</f>
        <v/>
      </c>
      <c r="AWE39" s="9">
        <f>AWB39+AWC39+AWD39</f>
        <v/>
      </c>
      <c r="AWF39" s="12">
        <f>SUM(AWE28:AWE39)</f>
        <v/>
      </c>
      <c r="AWG39" s="12">
        <f>OR(AWG38,IF(VATAgentMode,SUM($AWE28:$AWE39)-SUM($AWL28:$AWL39)&gt;=VATThreshold,SUM($AWE28:$AWE39)&gt;=VATThreshold))</f>
        <v/>
      </c>
      <c r="AWH39" s="9">
        <f>IF(AWG39,IF(VATAgentMode,AWE39-((AWE39-AWL39)-(AWE39-AWL39)/(1+VATRate)),AWE39/(1+VATRate)),AWE39)</f>
        <v/>
      </c>
      <c r="AWI39" s="12">
        <f>AWE39-AWH39</f>
        <v/>
      </c>
      <c r="AWJ39" s="12">
        <f>IF(AWG39=0,0,IF(AVB39=1,SUMPRODUCT(--(($AVC$5:$AVC39=$AVC39-1)*($AVB$5:$AVB39&gt;=10)*($AVB$5:$AVB39&lt;=12)),$AWI$5:$AWI39),IF(AVB39=4,SUMPRODUCT(--(($AVC$5:$AVC39=$AVC39)*($AVB$5:$AVB39&gt;=1)*($AVB$5:$AVB39&lt;=3)),$AWI$5:$AWI39),IF(AVB39=7,SUMPRODUCT(--(($AVC$5:$AVC39=$AVC39)*($AVB$5:$AVB39&gt;=4)*($AVB$5:$AVB39&lt;=6)),$AWI$5:$AWI39),IF(AVB39=10,SUMPRODUCT(--(($AVC$5:$AVC39=$AVC39)*($AVB$5:$AVB39&gt;=7)*($AVB$5:$AVB39&lt;=9)),$AWI$5:$AWI39),0)))))</f>
        <v/>
      </c>
      <c r="AWK39" s="12">
        <f>AWK38+AWI39-AWJ39</f>
        <v/>
      </c>
      <c r="AWL39" s="12">
        <f>IF(ProviderDelay&gt;=1,AVS38*BlendedProvPayEss+AVT38*BlendedProvPayPrem+AVU38*BlendedProvPayElite+AVV38*BlendedProvPayEss+AVW38*BlendedProvPayPrem+AVX38*BlendedProvPayElite,AVS39*BlendedProvPayEss+AVT39*BlendedProvPayPrem+AVU39*BlendedProvPayElite+AVV39*BlendedProvPayEss+AVW39*BlendedProvPayPrem+AVX39*BlendedProvPayElite)</f>
        <v/>
      </c>
      <c r="AWM39" s="12">
        <f>AWE39*PaymentFee</f>
        <v/>
      </c>
      <c r="AWN39" s="12">
        <f>AVY39*OpsAI</f>
        <v/>
      </c>
      <c r="AWO39" s="12">
        <f>MonthlyFixed</f>
        <v/>
      </c>
      <c r="AWP39" s="12">
        <f>AVI39*ReferralReward</f>
        <v/>
      </c>
      <c r="AWQ39" s="12">
        <f>AVG39</f>
        <v/>
      </c>
      <c r="AWR39" s="9">
        <f>AWH39-AWL39-AWM39-AWN39-AWO39-AWP39-AWQ39</f>
        <v/>
      </c>
      <c r="AWS39" s="9">
        <f>AWS38+AWE39-(AWL39+AWM39+AWN39+AWO39+AWP39+AWQ39+AWJ39)</f>
        <v/>
      </c>
      <c r="AWT39" s="12">
        <f>IF(AVY39&gt;0,AVZ39/AVY39,0)</f>
        <v/>
      </c>
      <c r="AWU39" s="11">
        <f>IF(AVY38&gt;0,MAX(0,(AVY38+AVJ39-AVY39)/AVY38),0)</f>
        <v/>
      </c>
    </row>
    <row r="40">
      <c r="A40" s="12" t="n">
        <v>36</v>
      </c>
      <c r="B40" s="12">
        <f>MOD(A40-1+LaunchMonth-1,12)+1</f>
        <v/>
      </c>
      <c r="C40" s="12">
        <f>INT((A40-1+LaunchMonth-1)/12)+1</f>
        <v/>
      </c>
      <c r="D40" s="12">
        <f>VLOOKUP(B40,SeasonTable,2,FALSE)</f>
        <v/>
      </c>
      <c r="E40" s="12">
        <f>(1+InflationRate)^INT((A40-1)/12)</f>
        <v/>
      </c>
      <c r="F40" s="11">
        <f>'Sens - Scenarios'!$B$5*VLOOKUP(B40,ChurnSeasonTable,4,FALSE)</f>
        <v/>
      </c>
      <c r="G40" s="12">
        <f>MIN(MAX(MktMin19plus,AE39*MktPct19plus),MAX(0,AS39-CashBuffer))</f>
        <v/>
      </c>
      <c r="H40" s="12">
        <f>IF(G40&gt;0,MAX(1,ROUND(G40/'Sens - Scenarios'!$B$8*D40,0)),0)</f>
        <v/>
      </c>
      <c r="I40" s="12">
        <f>IF(H40&gt;0,ROUND(H40*ReferralMix/(1-ReferralMix),0),0)</f>
        <v/>
      </c>
      <c r="J40" s="12">
        <f>H40+I40</f>
        <v/>
      </c>
      <c r="K40" s="12">
        <f>ROUND(J40*(1-'Sens - Scenarios'!$B$7),0)</f>
        <v/>
      </c>
      <c r="L40" s="12">
        <f>J40-K40</f>
        <v/>
      </c>
      <c r="M40" s="12">
        <f>ROUND(K40*EssentialMix,0)</f>
        <v/>
      </c>
      <c r="N40" s="12">
        <f>ROUND(K40*PremiumMix,0)</f>
        <v/>
      </c>
      <c r="O40" s="12">
        <f>K40-M40-N40</f>
        <v/>
      </c>
      <c r="P40" s="12">
        <f>ROUND(L40*EssentialMix,0)</f>
        <v/>
      </c>
      <c r="Q40" s="12">
        <f>ROUND(L40*PremiumMix,0)</f>
        <v/>
      </c>
      <c r="R40" s="12">
        <f>L40-P40-Q40</f>
        <v/>
      </c>
      <c r="S40" s="12">
        <f>M40+M39+M38+MAX(0,S39-M39-M38)*(1-F40)</f>
        <v/>
      </c>
      <c r="T40" s="12">
        <f>N40+N39+N38+MAX(0,T39-N39-N38)*(1-F40)</f>
        <v/>
      </c>
      <c r="U40" s="12">
        <f>O40+O39+O38+MAX(0,U39-O39-O38)*(1-F40)</f>
        <v/>
      </c>
      <c r="V40" s="12">
        <f>V39+P40-P28*('Sens - Scenarios'!$B$6*VLOOKUP(B40,ChurnSeasonTable,4,FALSE))*POWER(1-('Sens - Scenarios'!$B$6*VLOOKUP(B40,ChurnSeasonTable,4,FALSE)),0)+P16*('Sens - Scenarios'!$B$6*VLOOKUP(B40,ChurnSeasonTable,4,FALSE))*POWER(1-('Sens - Scenarios'!$B$6*VLOOKUP(B40,ChurnSeasonTable,4,FALSE)),1)</f>
        <v/>
      </c>
      <c r="W40" s="12">
        <f>W39+Q40-Q28*('Sens - Scenarios'!$B$6*VLOOKUP(B40,ChurnSeasonTable,4,FALSE))*POWER(1-('Sens - Scenarios'!$B$6*VLOOKUP(B40,ChurnSeasonTable,4,FALSE)),0)+Q16*('Sens - Scenarios'!$B$6*VLOOKUP(B40,ChurnSeasonTable,4,FALSE))*POWER(1-('Sens - Scenarios'!$B$6*VLOOKUP(B40,ChurnSeasonTable,4,FALSE)),1)</f>
        <v/>
      </c>
      <c r="X40" s="12">
        <f>X39+R40-R28*('Sens - Scenarios'!$B$6*VLOOKUP(B40,ChurnSeasonTable,4,FALSE))*POWER(1-('Sens - Scenarios'!$B$6*VLOOKUP(B40,ChurnSeasonTable,4,FALSE)),0)+R16*('Sens - Scenarios'!$B$6*VLOOKUP(B40,ChurnSeasonTable,4,FALSE))*POWER(1-('Sens - Scenarios'!$B$6*VLOOKUP(B40,ChurnSeasonTable,4,FALSE)),1)</f>
        <v/>
      </c>
      <c r="Y40" s="12">
        <f>S40+T40+U40+V40+W40+X40</f>
        <v/>
      </c>
      <c r="Z40" s="9">
        <f>S40*BlendedPriceEssMonthly*E40+T40*BlendedPricePremMonthly*E40+U40*BlendedPriceEliteMonthly*E40+V40*BlendedPriceEssAnnual*E40/12+W40*BlendedPricePremAnnual*E40/12+X40*BlendedPriceEliteAnnual*E40/12</f>
        <v/>
      </c>
      <c r="AA40" s="9">
        <f>Z40*12</f>
        <v/>
      </c>
      <c r="AB40" s="12">
        <f>S40*BlendedPriceEssMonthly*E40+T40*BlendedPricePremMonthly*E40+U40*BlendedPriceEliteMonthly*E40</f>
        <v/>
      </c>
      <c r="AC40" s="12">
        <f>P40*BlendedPriceEssAnnual*E40+Q40*BlendedPricePremAnnual*E40+R40*BlendedPriceEliteAnnual*E40</f>
        <v/>
      </c>
      <c r="AD40" s="12">
        <f>P28*POWER(1-('Sens - Scenarios'!$B$6*VLOOKUP(B40,ChurnSeasonTable,4,FALSE)),1)*BlendedPriceEssAnnual*E40+P16*POWER(1-('Sens - Scenarios'!$B$6*VLOOKUP(B40,ChurnSeasonTable,4,FALSE)),2)*BlendedPriceEssAnnual*E40+Q28*POWER(1-('Sens - Scenarios'!$B$6*VLOOKUP(B40,ChurnSeasonTable,4,FALSE)),1)*BlendedPricePremAnnual*E40+Q16*POWER(1-('Sens - Scenarios'!$B$6*VLOOKUP(B40,ChurnSeasonTable,4,FALSE)),2)*BlendedPricePremAnnual*E40+R28*POWER(1-('Sens - Scenarios'!$B$6*VLOOKUP(B40,ChurnSeasonTable,4,FALSE)),1)*BlendedPriceEliteAnnual*E40+R16*POWER(1-('Sens - Scenarios'!$B$6*VLOOKUP(B40,ChurnSeasonTable,4,FALSE)),2)*BlendedPriceEliteAnnual*E40</f>
        <v/>
      </c>
      <c r="AE40" s="9">
        <f>AB40+AC40+AD40</f>
        <v/>
      </c>
      <c r="AF40" s="12">
        <f>SUM(AE29:AE40)</f>
        <v/>
      </c>
      <c r="AG40" s="12">
        <f>OR(AG39,IF(VATAgentMode,SUM($AE29:$AE40)-SUM($AL29:$AL40)&gt;=VATThreshold,SUM($AE29:$AE40)&gt;=VATThreshold))</f>
        <v/>
      </c>
      <c r="AH40" s="9">
        <f>IF(AG40,IF(VATAgentMode,AE40-((AE40-AL40)-(AE40-AL40)/(1+VATRate)),AE40/(1+VATRate)),AE40)</f>
        <v/>
      </c>
      <c r="AI40" s="12">
        <f>AE40-AH40</f>
        <v/>
      </c>
      <c r="AJ40" s="12">
        <f>IF(AG40=0,0,IF(B40=1,SUMPRODUCT(--(($C$5:$C40=$C40-1)*($B$5:$B40&gt;=10)*($B$5:$B40&lt;=12)),$AI$5:$AI40),IF(B40=4,SUMPRODUCT(--(($C$5:$C40=$C40)*($B$5:$B40&gt;=1)*($B$5:$B40&lt;=3)),$AI$5:$AI40),IF(B40=7,SUMPRODUCT(--(($C$5:$C40=$C40)*($B$5:$B40&gt;=4)*($B$5:$B40&lt;=6)),$AI$5:$AI40),IF(B40=10,SUMPRODUCT(--(($C$5:$C40=$C40)*($B$5:$B40&gt;=7)*($B$5:$B40&lt;=9)),$AI$5:$AI40),0)))))</f>
        <v/>
      </c>
      <c r="AK40" s="12">
        <f>AK39+AI40-AJ40</f>
        <v/>
      </c>
      <c r="AL40" s="12">
        <f>IF(ProviderDelay&gt;=1,S39*BlendedProvPayEss+T39*BlendedProvPayPrem+U39*BlendedProvPayElite+V39*BlendedProvPayEss+W39*BlendedProvPayPrem+X39*BlendedProvPayElite,S40*BlendedProvPayEss+T40*BlendedProvPayPrem+U40*BlendedProvPayElite+V40*BlendedProvPayEss+W40*BlendedProvPayPrem+X40*BlendedProvPayElite)</f>
        <v/>
      </c>
      <c r="AM40" s="12">
        <f>AE40*PaymentFee</f>
        <v/>
      </c>
      <c r="AN40" s="12">
        <f>Y40*OpsAI</f>
        <v/>
      </c>
      <c r="AO40" s="12">
        <f>MonthlyFixed</f>
        <v/>
      </c>
      <c r="AP40" s="12">
        <f>I40*ReferralReward</f>
        <v/>
      </c>
      <c r="AQ40" s="12">
        <f>G40</f>
        <v/>
      </c>
      <c r="AR40" s="9">
        <f>AH40-AL40-AM40-AN40-AO40-AP40-AQ40</f>
        <v/>
      </c>
      <c r="AS40" s="9">
        <f>AS39+AE40-(AL40+AM40+AN40+AO40+AP40+AQ40+AJ40)</f>
        <v/>
      </c>
      <c r="AT40" s="12">
        <f>IF(Y40&gt;0,Z40/Y40,0)</f>
        <v/>
      </c>
      <c r="AU40" s="11">
        <f>IF(Y39&gt;0,MAX(0,(Y39+J40-Y40)/Y39),0)</f>
        <v/>
      </c>
      <c r="AW40" s="12" t="n">
        <v>36</v>
      </c>
      <c r="AX40" s="12">
        <f>MOD(AW40-1+LaunchMonth-1,12)+1</f>
        <v/>
      </c>
      <c r="AY40" s="12">
        <f>INT((AW40-1+LaunchMonth-1)/12)+1</f>
        <v/>
      </c>
      <c r="AZ40" s="12">
        <f>VLOOKUP(AX40,SeasonTable,2,FALSE)</f>
        <v/>
      </c>
      <c r="BA40" s="12">
        <f>(1+InflationRate)^INT((AW40-1)/12)</f>
        <v/>
      </c>
      <c r="BB40" s="11">
        <f>MonthlyChurn*VLOOKUP(AX40,ChurnSeasonTable,4,FALSE)</f>
        <v/>
      </c>
      <c r="BC40" s="12">
        <f>MIN(MAX(MktMin19plus,CA39*MktPct19plus),MAX(0,CO39-CashBuffer))</f>
        <v/>
      </c>
      <c r="BD40" s="12">
        <f>IF(BC40&gt;0,MAX(1,ROUND(BC40/CAC*AZ40,0)),0)</f>
        <v/>
      </c>
      <c r="BE40" s="12">
        <f>IF(BD40&gt;0,ROUND(BD40*ReferralMix/(1-ReferralMix),0),0)</f>
        <v/>
      </c>
      <c r="BF40" s="12">
        <f>BD40+BE40</f>
        <v/>
      </c>
      <c r="BG40" s="12">
        <f>ROUND(BF40*(1-AnnualMix),0)</f>
        <v/>
      </c>
      <c r="BH40" s="12">
        <f>BF40-BG40</f>
        <v/>
      </c>
      <c r="BI40" s="12">
        <f>ROUND(BG40*EssentialMix,0)</f>
        <v/>
      </c>
      <c r="BJ40" s="12">
        <f>ROUND(BG40*PremiumMix,0)</f>
        <v/>
      </c>
      <c r="BK40" s="12">
        <f>BG40-BI40-BJ40</f>
        <v/>
      </c>
      <c r="BL40" s="12">
        <f>ROUND(BH40*EssentialMix,0)</f>
        <v/>
      </c>
      <c r="BM40" s="12">
        <f>ROUND(BH40*PremiumMix,0)</f>
        <v/>
      </c>
      <c r="BN40" s="12">
        <f>BH40-BL40-BM40</f>
        <v/>
      </c>
      <c r="BO40" s="12">
        <f>BI40+BI39+BI38+MAX(0,BO39-BI39-BI38)*(1-BB40)</f>
        <v/>
      </c>
      <c r="BP40" s="12">
        <f>BJ40+BJ39+BJ38+MAX(0,BP39-BJ39-BJ38)*(1-BB40)</f>
        <v/>
      </c>
      <c r="BQ40" s="12">
        <f>BK40+BK39+BK38+MAX(0,BQ39-BK39-BK38)*(1-BB40)</f>
        <v/>
      </c>
      <c r="BR40" s="12">
        <f>BR39+BL40-BL28*(AnnualChurn*VLOOKUP(AX40,ChurnSeasonTable,4,FALSE))*POWER(1-(AnnualChurn*VLOOKUP(AX40,ChurnSeasonTable,4,FALSE)),0)+BL16*(AnnualChurn*VLOOKUP(AX40,ChurnSeasonTable,4,FALSE))*POWER(1-(AnnualChurn*VLOOKUP(AX40,ChurnSeasonTable,4,FALSE)),1)</f>
        <v/>
      </c>
      <c r="BS40" s="12">
        <f>BS39+BM40-BM28*(AnnualChurn*VLOOKUP(AX40,ChurnSeasonTable,4,FALSE))*POWER(1-(AnnualChurn*VLOOKUP(AX40,ChurnSeasonTable,4,FALSE)),0)+BM16*(AnnualChurn*VLOOKUP(AX40,ChurnSeasonTable,4,FALSE))*POWER(1-(AnnualChurn*VLOOKUP(AX40,ChurnSeasonTable,4,FALSE)),1)</f>
        <v/>
      </c>
      <c r="BT40" s="12">
        <f>BT39+BN40-BN28*(AnnualChurn*VLOOKUP(AX40,ChurnSeasonTable,4,FALSE))*POWER(1-(AnnualChurn*VLOOKUP(AX40,ChurnSeasonTable,4,FALSE)),0)+BN16*(AnnualChurn*VLOOKUP(AX40,ChurnSeasonTable,4,FALSE))*POWER(1-(AnnualChurn*VLOOKUP(AX40,ChurnSeasonTable,4,FALSE)),1)</f>
        <v/>
      </c>
      <c r="BU40" s="12">
        <f>BO40+BP40+BQ40+BR40+BS40+BT40</f>
        <v/>
      </c>
      <c r="BV40" s="9">
        <f>BO40*BlendedPriceEssMonthly*BA40+BP40*BlendedPricePremMonthly*BA40+BQ40*BlendedPriceEliteMonthly*BA40+BR40*BlendedPriceEssAnnual*BA40/12+BS40*BlendedPricePremAnnual*BA40/12+BT40*BlendedPriceEliteAnnual*BA40/12</f>
        <v/>
      </c>
      <c r="BW40" s="9">
        <f>BV40*12</f>
        <v/>
      </c>
      <c r="BX40" s="12">
        <f>BO40*BlendedPriceEssMonthly*BA40+BP40*BlendedPricePremMonthly*BA40+BQ40*BlendedPriceEliteMonthly*BA40</f>
        <v/>
      </c>
      <c r="BY40" s="12">
        <f>BL40*BlendedPriceEssAnnual*BA40+BM40*BlendedPricePremAnnual*BA40+BN40*BlendedPriceEliteAnnual*BA40</f>
        <v/>
      </c>
      <c r="BZ40" s="12">
        <f>BL28*POWER(1-(AnnualChurn*VLOOKUP(AX40,ChurnSeasonTable,4,FALSE)),1)*BlendedPriceEssAnnual*BA40+BL16*POWER(1-(AnnualChurn*VLOOKUP(AX40,ChurnSeasonTable,4,FALSE)),2)*BlendedPriceEssAnnual*BA40+BM28*POWER(1-(AnnualChurn*VLOOKUP(AX40,ChurnSeasonTable,4,FALSE)),1)*BlendedPricePremAnnual*BA40+BM16*POWER(1-(AnnualChurn*VLOOKUP(AX40,ChurnSeasonTable,4,FALSE)),2)*BlendedPricePremAnnual*BA40+BN28*POWER(1-(AnnualChurn*VLOOKUP(AX40,ChurnSeasonTable,4,FALSE)),1)*BlendedPriceEliteAnnual*BA40+BN16*POWER(1-(AnnualChurn*VLOOKUP(AX40,ChurnSeasonTable,4,FALSE)),2)*BlendedPriceEliteAnnual*BA40</f>
        <v/>
      </c>
      <c r="CA40" s="9">
        <f>BX40+BY40+BZ40</f>
        <v/>
      </c>
      <c r="CB40" s="12">
        <f>SUM(CA29:CA40)</f>
        <v/>
      </c>
      <c r="CC40" s="12">
        <f>OR(CC39,IF(VATAgentMode,SUM($CA29:$CA40)-SUM($CH29:$CH40)&gt;=VATThreshold,SUM($CA29:$CA40)&gt;=VATThreshold))</f>
        <v/>
      </c>
      <c r="CD40" s="9">
        <f>IF(CC40,IF(VATAgentMode,CA40-((CA40-CH40)-(CA40-CH40)/(1+VATRate)),CA40/(1+VATRate)),CA40)</f>
        <v/>
      </c>
      <c r="CE40" s="12">
        <f>CA40-CD40</f>
        <v/>
      </c>
      <c r="CF40" s="12">
        <f>IF(CC40=0,0,IF(AX40=1,SUMPRODUCT(--(($AY$5:$AY40=$AY40-1)*($AX$5:$AX40&gt;=10)*($AX$5:$AX40&lt;=12)),$CE$5:$CE40),IF(AX40=4,SUMPRODUCT(--(($AY$5:$AY40=$AY40)*($AX$5:$AX40&gt;=1)*($AX$5:$AX40&lt;=3)),$CE$5:$CE40),IF(AX40=7,SUMPRODUCT(--(($AY$5:$AY40=$AY40)*($AX$5:$AX40&gt;=4)*($AX$5:$AX40&lt;=6)),$CE$5:$CE40),IF(AX40=10,SUMPRODUCT(--(($AY$5:$AY40=$AY40)*($AX$5:$AX40&gt;=7)*($AX$5:$AX40&lt;=9)),$CE$5:$CE40),0)))))</f>
        <v/>
      </c>
      <c r="CG40" s="12">
        <f>CG39+CE40-CF40</f>
        <v/>
      </c>
      <c r="CH40" s="12">
        <f>IF(ProviderDelay&gt;=1,BO39*BlendedProvPayEss+BP39*BlendedProvPayPrem+BQ39*BlendedProvPayElite+BR39*BlendedProvPayEss+BS39*BlendedProvPayPrem+BT39*BlendedProvPayElite,BO40*BlendedProvPayEss+BP40*BlendedProvPayPrem+BQ40*BlendedProvPayElite+BR40*BlendedProvPayEss+BS40*BlendedProvPayPrem+BT40*BlendedProvPayElite)</f>
        <v/>
      </c>
      <c r="CI40" s="12">
        <f>CA40*PaymentFee</f>
        <v/>
      </c>
      <c r="CJ40" s="12">
        <f>BU40*OpsAI</f>
        <v/>
      </c>
      <c r="CK40" s="12">
        <f>MonthlyFixed</f>
        <v/>
      </c>
      <c r="CL40" s="12">
        <f>BE40*ReferralReward</f>
        <v/>
      </c>
      <c r="CM40" s="12">
        <f>BC40</f>
        <v/>
      </c>
      <c r="CN40" s="9">
        <f>CD40-CH40-CI40-CJ40-CK40-CL40-CM40</f>
        <v/>
      </c>
      <c r="CO40" s="9">
        <f>CO39+CA40-(CH40+CI40+CJ40+CK40+CL40+CM40+CF40)</f>
        <v/>
      </c>
      <c r="CP40" s="12">
        <f>IF(BU40&gt;0,BV40/BU40,0)</f>
        <v/>
      </c>
      <c r="CQ40" s="11">
        <f>IF(BU39&gt;0,MAX(0,(BU39+BF40-BU40)/BU39),0)</f>
        <v/>
      </c>
      <c r="CS40" s="12" t="n">
        <v>36</v>
      </c>
      <c r="CT40" s="12">
        <f>MOD(CS40-1+LaunchMonth-1,12)+1</f>
        <v/>
      </c>
      <c r="CU40" s="12">
        <f>INT((CS40-1+LaunchMonth-1)/12)+1</f>
        <v/>
      </c>
      <c r="CV40" s="12">
        <f>VLOOKUP(CT40,SeasonTable,2,FALSE)</f>
        <v/>
      </c>
      <c r="CW40" s="12">
        <f>(1+InflationRate)^INT((CS40-1)/12)</f>
        <v/>
      </c>
      <c r="CX40" s="11">
        <f>'Sens - Scenarios'!$D$5*VLOOKUP(CT40,ChurnSeasonTable,4,FALSE)</f>
        <v/>
      </c>
      <c r="CY40" s="12">
        <f>MIN(MAX(MktMin19plus,DW39*MktPct19plus),MAX(0,EK39-CashBuffer))</f>
        <v/>
      </c>
      <c r="CZ40" s="12">
        <f>IF(CY40&gt;0,MAX(1,ROUND(CY40/'Sens - Scenarios'!$D$8*CV40,0)),0)</f>
        <v/>
      </c>
      <c r="DA40" s="12">
        <f>IF(CZ40&gt;0,ROUND(CZ40*ReferralMix/(1-ReferralMix),0),0)</f>
        <v/>
      </c>
      <c r="DB40" s="12">
        <f>CZ40+DA40</f>
        <v/>
      </c>
      <c r="DC40" s="12">
        <f>ROUND(DB40*(1-'Sens - Scenarios'!$D$7),0)</f>
        <v/>
      </c>
      <c r="DD40" s="12">
        <f>DB40-DC40</f>
        <v/>
      </c>
      <c r="DE40" s="12">
        <f>ROUND(DC40*EssentialMix,0)</f>
        <v/>
      </c>
      <c r="DF40" s="12">
        <f>ROUND(DC40*PremiumMix,0)</f>
        <v/>
      </c>
      <c r="DG40" s="12">
        <f>DC40-DE40-DF40</f>
        <v/>
      </c>
      <c r="DH40" s="12">
        <f>ROUND(DD40*EssentialMix,0)</f>
        <v/>
      </c>
      <c r="DI40" s="12">
        <f>ROUND(DD40*PremiumMix,0)</f>
        <v/>
      </c>
      <c r="DJ40" s="12">
        <f>DD40-DH40-DI40</f>
        <v/>
      </c>
      <c r="DK40" s="12">
        <f>DE40+DE39+DE38+MAX(0,DK39-DE39-DE38)*(1-CX40)</f>
        <v/>
      </c>
      <c r="DL40" s="12">
        <f>DF40+DF39+DF38+MAX(0,DL39-DF39-DF38)*(1-CX40)</f>
        <v/>
      </c>
      <c r="DM40" s="12">
        <f>DG40+DG39+DG38+MAX(0,DM39-DG39-DG38)*(1-CX40)</f>
        <v/>
      </c>
      <c r="DN40" s="12">
        <f>DN39+DH40-DH28*('Sens - Scenarios'!$D$6*VLOOKUP(CT40,ChurnSeasonTable,4,FALSE))*POWER(1-('Sens - Scenarios'!$D$6*VLOOKUP(CT40,ChurnSeasonTable,4,FALSE)),0)+DH16*('Sens - Scenarios'!$D$6*VLOOKUP(CT40,ChurnSeasonTable,4,FALSE))*POWER(1-('Sens - Scenarios'!$D$6*VLOOKUP(CT40,ChurnSeasonTable,4,FALSE)),1)</f>
        <v/>
      </c>
      <c r="DO40" s="12">
        <f>DO39+DI40-DI28*('Sens - Scenarios'!$D$6*VLOOKUP(CT40,ChurnSeasonTable,4,FALSE))*POWER(1-('Sens - Scenarios'!$D$6*VLOOKUP(CT40,ChurnSeasonTable,4,FALSE)),0)+DI16*('Sens - Scenarios'!$D$6*VLOOKUP(CT40,ChurnSeasonTable,4,FALSE))*POWER(1-('Sens - Scenarios'!$D$6*VLOOKUP(CT40,ChurnSeasonTable,4,FALSE)),1)</f>
        <v/>
      </c>
      <c r="DP40" s="12">
        <f>DP39+DJ40-DJ28*('Sens - Scenarios'!$D$6*VLOOKUP(CT40,ChurnSeasonTable,4,FALSE))*POWER(1-('Sens - Scenarios'!$D$6*VLOOKUP(CT40,ChurnSeasonTable,4,FALSE)),0)+DJ16*('Sens - Scenarios'!$D$6*VLOOKUP(CT40,ChurnSeasonTable,4,FALSE))*POWER(1-('Sens - Scenarios'!$D$6*VLOOKUP(CT40,ChurnSeasonTable,4,FALSE)),1)</f>
        <v/>
      </c>
      <c r="DQ40" s="12">
        <f>DK40+DL40+DM40+DN40+DO40+DP40</f>
        <v/>
      </c>
      <c r="DR40" s="9">
        <f>DK40*BlendedPriceEssMonthly*CW40+DL40*BlendedPricePremMonthly*CW40+DM40*BlendedPriceEliteMonthly*CW40+DN40*BlendedPriceEssAnnual*CW40/12+DO40*BlendedPricePremAnnual*CW40/12+DP40*BlendedPriceEliteAnnual*CW40/12</f>
        <v/>
      </c>
      <c r="DS40" s="9">
        <f>DR40*12</f>
        <v/>
      </c>
      <c r="DT40" s="12">
        <f>DK40*BlendedPriceEssMonthly*CW40+DL40*BlendedPricePremMonthly*CW40+DM40*BlendedPriceEliteMonthly*CW40</f>
        <v/>
      </c>
      <c r="DU40" s="12">
        <f>DH40*BlendedPriceEssAnnual*CW40+DI40*BlendedPricePremAnnual*CW40+DJ40*BlendedPriceEliteAnnual*CW40</f>
        <v/>
      </c>
      <c r="DV40" s="12">
        <f>DH28*POWER(1-('Sens - Scenarios'!$D$6*VLOOKUP(CT40,ChurnSeasonTable,4,FALSE)),1)*BlendedPriceEssAnnual*CW40+DH16*POWER(1-('Sens - Scenarios'!$D$6*VLOOKUP(CT40,ChurnSeasonTable,4,FALSE)),2)*BlendedPriceEssAnnual*CW40+DI28*POWER(1-('Sens - Scenarios'!$D$6*VLOOKUP(CT40,ChurnSeasonTable,4,FALSE)),1)*BlendedPricePremAnnual*CW40+DI16*POWER(1-('Sens - Scenarios'!$D$6*VLOOKUP(CT40,ChurnSeasonTable,4,FALSE)),2)*BlendedPricePremAnnual*CW40+DJ28*POWER(1-('Sens - Scenarios'!$D$6*VLOOKUP(CT40,ChurnSeasonTable,4,FALSE)),1)*BlendedPriceEliteAnnual*CW40+DJ16*POWER(1-('Sens - Scenarios'!$D$6*VLOOKUP(CT40,ChurnSeasonTable,4,FALSE)),2)*BlendedPriceEliteAnnual*CW40</f>
        <v/>
      </c>
      <c r="DW40" s="9">
        <f>DT40+DU40+DV40</f>
        <v/>
      </c>
      <c r="DX40" s="12">
        <f>SUM(DW29:DW40)</f>
        <v/>
      </c>
      <c r="DY40" s="12">
        <f>OR(DY39,IF(VATAgentMode,SUM($DW29:$DW40)-SUM($ED29:$ED40)&gt;=VATThreshold,SUM($DW29:$DW40)&gt;=VATThreshold))</f>
        <v/>
      </c>
      <c r="DZ40" s="9">
        <f>IF(DY40,IF(VATAgentMode,DW40-((DW40-ED40)-(DW40-ED40)/(1+VATRate)),DW40/(1+VATRate)),DW40)</f>
        <v/>
      </c>
      <c r="EA40" s="12">
        <f>DW40-DZ40</f>
        <v/>
      </c>
      <c r="EB40" s="12">
        <f>IF(DY40=0,0,IF(CT40=1,SUMPRODUCT(--(($CU$5:$CU40=$CU40-1)*($CT$5:$CT40&gt;=10)*($CT$5:$CT40&lt;=12)),$EA$5:$EA40),IF(CT40=4,SUMPRODUCT(--(($CU$5:$CU40=$CU40)*($CT$5:$CT40&gt;=1)*($CT$5:$CT40&lt;=3)),$EA$5:$EA40),IF(CT40=7,SUMPRODUCT(--(($CU$5:$CU40=$CU40)*($CT$5:$CT40&gt;=4)*($CT$5:$CT40&lt;=6)),$EA$5:$EA40),IF(CT40=10,SUMPRODUCT(--(($CU$5:$CU40=$CU40)*($CT$5:$CT40&gt;=7)*($CT$5:$CT40&lt;=9)),$EA$5:$EA40),0)))))</f>
        <v/>
      </c>
      <c r="EC40" s="12">
        <f>EC39+EA40-EB40</f>
        <v/>
      </c>
      <c r="ED40" s="12">
        <f>IF(ProviderDelay&gt;=1,DK39*BlendedProvPayEss+DL39*BlendedProvPayPrem+DM39*BlendedProvPayElite+DN39*BlendedProvPayEss+DO39*BlendedProvPayPrem+DP39*BlendedProvPayElite,DK40*BlendedProvPayEss+DL40*BlendedProvPayPrem+DM40*BlendedProvPayElite+DN40*BlendedProvPayEss+DO40*BlendedProvPayPrem+DP40*BlendedProvPayElite)</f>
        <v/>
      </c>
      <c r="EE40" s="12">
        <f>DW40*PaymentFee</f>
        <v/>
      </c>
      <c r="EF40" s="12">
        <f>DQ40*OpsAI</f>
        <v/>
      </c>
      <c r="EG40" s="12">
        <f>MonthlyFixed</f>
        <v/>
      </c>
      <c r="EH40" s="12">
        <f>DA40*ReferralReward</f>
        <v/>
      </c>
      <c r="EI40" s="12">
        <f>CY40</f>
        <v/>
      </c>
      <c r="EJ40" s="9">
        <f>DZ40-ED40-EE40-EF40-EG40-EH40-EI40</f>
        <v/>
      </c>
      <c r="EK40" s="9">
        <f>EK39+DW40-(ED40+EE40+EF40+EG40+EH40+EI40+EB40)</f>
        <v/>
      </c>
      <c r="EL40" s="12">
        <f>IF(DQ40&gt;0,DR40/DQ40,0)</f>
        <v/>
      </c>
      <c r="EM40" s="11">
        <f>IF(DQ39&gt;0,MAX(0,(DQ39+DB40-DQ40)/DQ39),0)</f>
        <v/>
      </c>
      <c r="EO40" s="12" t="n">
        <v>36</v>
      </c>
      <c r="EP40" s="12">
        <f>MOD(EO40-1+LaunchMonth-1,12)+1</f>
        <v/>
      </c>
      <c r="EQ40" s="12">
        <f>INT((EO40-1+LaunchMonth-1)/12)+1</f>
        <v/>
      </c>
      <c r="ER40" s="12">
        <f>VLOOKUP(EP40,SeasonTable,2,FALSE)</f>
        <v/>
      </c>
      <c r="ES40" s="12">
        <f>(1+InflationRate)^INT((EO40-1)/12)</f>
        <v/>
      </c>
      <c r="ET40" s="11">
        <f>'Sens - Churn'!$A$13*VLOOKUP(EP40,ChurnSeasonTable,4,FALSE)</f>
        <v/>
      </c>
      <c r="EU40" s="12">
        <f>MIN(MAX(MktMin19plus,FS39*MktPct19plus),MAX(0,GG39-CashBuffer))</f>
        <v/>
      </c>
      <c r="EV40" s="12">
        <f>IF(EU40&gt;0,MAX(1,ROUND(EU40/CAC*ER40,0)),0)</f>
        <v/>
      </c>
      <c r="EW40" s="12">
        <f>IF(EV40&gt;0,ROUND(EV40*ReferralMix/(1-ReferralMix),0),0)</f>
        <v/>
      </c>
      <c r="EX40" s="12">
        <f>EV40+EW40</f>
        <v/>
      </c>
      <c r="EY40" s="12">
        <f>ROUND(EX40*(1-AnnualMix),0)</f>
        <v/>
      </c>
      <c r="EZ40" s="12">
        <f>EX40-EY40</f>
        <v/>
      </c>
      <c r="FA40" s="12">
        <f>ROUND(EY40*EssentialMix,0)</f>
        <v/>
      </c>
      <c r="FB40" s="12">
        <f>ROUND(EY40*PremiumMix,0)</f>
        <v/>
      </c>
      <c r="FC40" s="12">
        <f>EY40-FA40-FB40</f>
        <v/>
      </c>
      <c r="FD40" s="12">
        <f>ROUND(EZ40*EssentialMix,0)</f>
        <v/>
      </c>
      <c r="FE40" s="12">
        <f>ROUND(EZ40*PremiumMix,0)</f>
        <v/>
      </c>
      <c r="FF40" s="12">
        <f>EZ40-FD40-FE40</f>
        <v/>
      </c>
      <c r="FG40" s="12">
        <f>FA40+FA39+FA38+MAX(0,FG39-FA39-FA38)*(1-ET40)</f>
        <v/>
      </c>
      <c r="FH40" s="12">
        <f>FB40+FB39+FB38+MAX(0,FH39-FB39-FB38)*(1-ET40)</f>
        <v/>
      </c>
      <c r="FI40" s="12">
        <f>FC40+FC39+FC38+MAX(0,FI39-FC39-FC38)*(1-ET40)</f>
        <v/>
      </c>
      <c r="FJ40" s="12">
        <f>FJ39+FD40-FD28*(AnnualChurn*VLOOKUP(EP40,ChurnSeasonTable,4,FALSE))*POWER(1-(AnnualChurn*VLOOKUP(EP40,ChurnSeasonTable,4,FALSE)),0)+FD16*(AnnualChurn*VLOOKUP(EP40,ChurnSeasonTable,4,FALSE))*POWER(1-(AnnualChurn*VLOOKUP(EP40,ChurnSeasonTable,4,FALSE)),1)</f>
        <v/>
      </c>
      <c r="FK40" s="12">
        <f>FK39+FE40-FE28*(AnnualChurn*VLOOKUP(EP40,ChurnSeasonTable,4,FALSE))*POWER(1-(AnnualChurn*VLOOKUP(EP40,ChurnSeasonTable,4,FALSE)),0)+FE16*(AnnualChurn*VLOOKUP(EP40,ChurnSeasonTable,4,FALSE))*POWER(1-(AnnualChurn*VLOOKUP(EP40,ChurnSeasonTable,4,FALSE)),1)</f>
        <v/>
      </c>
      <c r="FL40" s="12">
        <f>FL39+FF40-FF28*(AnnualChurn*VLOOKUP(EP40,ChurnSeasonTable,4,FALSE))*POWER(1-(AnnualChurn*VLOOKUP(EP40,ChurnSeasonTable,4,FALSE)),0)+FF16*(AnnualChurn*VLOOKUP(EP40,ChurnSeasonTable,4,FALSE))*POWER(1-(AnnualChurn*VLOOKUP(EP40,ChurnSeasonTable,4,FALSE)),1)</f>
        <v/>
      </c>
      <c r="FM40" s="12">
        <f>FG40+FH40+FI40+FJ40+FK40+FL40</f>
        <v/>
      </c>
      <c r="FN40" s="9">
        <f>FG40*BlendedPriceEssMonthly*ES40+FH40*BlendedPricePremMonthly*ES40+FI40*BlendedPriceEliteMonthly*ES40+FJ40*BlendedPriceEssAnnual*ES40/12+FK40*BlendedPricePremAnnual*ES40/12+FL40*BlendedPriceEliteAnnual*ES40/12</f>
        <v/>
      </c>
      <c r="FO40" s="9">
        <f>FN40*12</f>
        <v/>
      </c>
      <c r="FP40" s="12">
        <f>FG40*BlendedPriceEssMonthly*ES40+FH40*BlendedPricePremMonthly*ES40+FI40*BlendedPriceEliteMonthly*ES40</f>
        <v/>
      </c>
      <c r="FQ40" s="12">
        <f>FD40*BlendedPriceEssAnnual*ES40+FE40*BlendedPricePremAnnual*ES40+FF40*BlendedPriceEliteAnnual*ES40</f>
        <v/>
      </c>
      <c r="FR40" s="12">
        <f>FD28*POWER(1-(AnnualChurn*VLOOKUP(EP40,ChurnSeasonTable,4,FALSE)),1)*BlendedPriceEssAnnual*ES40+FD16*POWER(1-(AnnualChurn*VLOOKUP(EP40,ChurnSeasonTable,4,FALSE)),2)*BlendedPriceEssAnnual*ES40+FE28*POWER(1-(AnnualChurn*VLOOKUP(EP40,ChurnSeasonTable,4,FALSE)),1)*BlendedPricePremAnnual*ES40+FE16*POWER(1-(AnnualChurn*VLOOKUP(EP40,ChurnSeasonTable,4,FALSE)),2)*BlendedPricePremAnnual*ES40+FF28*POWER(1-(AnnualChurn*VLOOKUP(EP40,ChurnSeasonTable,4,FALSE)),1)*BlendedPriceEliteAnnual*ES40+FF16*POWER(1-(AnnualChurn*VLOOKUP(EP40,ChurnSeasonTable,4,FALSE)),2)*BlendedPriceEliteAnnual*ES40</f>
        <v/>
      </c>
      <c r="FS40" s="9">
        <f>FP40+FQ40+FR40</f>
        <v/>
      </c>
      <c r="FT40" s="12">
        <f>SUM(FS29:FS40)</f>
        <v/>
      </c>
      <c r="FU40" s="12">
        <f>OR(FU39,IF(VATAgentMode,SUM($FS29:$FS40)-SUM($FZ29:$FZ40)&gt;=VATThreshold,SUM($FS29:$FS40)&gt;=VATThreshold))</f>
        <v/>
      </c>
      <c r="FV40" s="9">
        <f>IF(FU40,IF(VATAgentMode,FS40-((FS40-FZ40)-(FS40-FZ40)/(1+VATRate)),FS40/(1+VATRate)),FS40)</f>
        <v/>
      </c>
      <c r="FW40" s="12">
        <f>FS40-FV40</f>
        <v/>
      </c>
      <c r="FX40" s="12">
        <f>IF(FU40=0,0,IF(EP40=1,SUMPRODUCT(--(($EQ$5:$EQ40=$EQ40-1)*($EP$5:$EP40&gt;=10)*($EP$5:$EP40&lt;=12)),$FW$5:$FW40),IF(EP40=4,SUMPRODUCT(--(($EQ$5:$EQ40=$EQ40)*($EP$5:$EP40&gt;=1)*($EP$5:$EP40&lt;=3)),$FW$5:$FW40),IF(EP40=7,SUMPRODUCT(--(($EQ$5:$EQ40=$EQ40)*($EP$5:$EP40&gt;=4)*($EP$5:$EP40&lt;=6)),$FW$5:$FW40),IF(EP40=10,SUMPRODUCT(--(($EQ$5:$EQ40=$EQ40)*($EP$5:$EP40&gt;=7)*($EP$5:$EP40&lt;=9)),$FW$5:$FW40),0)))))</f>
        <v/>
      </c>
      <c r="FY40" s="12">
        <f>FY39+FW40-FX40</f>
        <v/>
      </c>
      <c r="FZ40" s="12">
        <f>IF(ProviderDelay&gt;=1,FG39*BlendedProvPayEss+FH39*BlendedProvPayPrem+FI39*BlendedProvPayElite+FJ39*BlendedProvPayEss+FK39*BlendedProvPayPrem+FL39*BlendedProvPayElite,FG40*BlendedProvPayEss+FH40*BlendedProvPayPrem+FI40*BlendedProvPayElite+FJ40*BlendedProvPayEss+FK40*BlendedProvPayPrem+FL40*BlendedProvPayElite)</f>
        <v/>
      </c>
      <c r="GA40" s="12">
        <f>FS40*PaymentFee</f>
        <v/>
      </c>
      <c r="GB40" s="12">
        <f>FM40*OpsAI</f>
        <v/>
      </c>
      <c r="GC40" s="12">
        <f>MonthlyFixed</f>
        <v/>
      </c>
      <c r="GD40" s="12">
        <f>EW40*ReferralReward</f>
        <v/>
      </c>
      <c r="GE40" s="12">
        <f>EU40</f>
        <v/>
      </c>
      <c r="GF40" s="9">
        <f>FV40-FZ40-GA40-GB40-GC40-GD40-GE40</f>
        <v/>
      </c>
      <c r="GG40" s="9">
        <f>GG39+FS40-(FZ40+GA40+GB40+GC40+GD40+GE40+FX40)</f>
        <v/>
      </c>
      <c r="GH40" s="12">
        <f>IF(FM40&gt;0,FN40/FM40,0)</f>
        <v/>
      </c>
      <c r="GI40" s="11">
        <f>IF(FM39&gt;0,MAX(0,(FM39+EX40-FM40)/FM39),0)</f>
        <v/>
      </c>
      <c r="GK40" s="12" t="n">
        <v>36</v>
      </c>
      <c r="GL40" s="12">
        <f>MOD(GK40-1+LaunchMonth-1,12)+1</f>
        <v/>
      </c>
      <c r="GM40" s="12">
        <f>INT((GK40-1+LaunchMonth-1)/12)+1</f>
        <v/>
      </c>
      <c r="GN40" s="12">
        <f>VLOOKUP(GL40,SeasonTable,2,FALSE)</f>
        <v/>
      </c>
      <c r="GO40" s="12">
        <f>(1+InflationRate)^INT((GK40-1)/12)</f>
        <v/>
      </c>
      <c r="GP40" s="11">
        <f>'Sens - Churn'!$A$14*VLOOKUP(GL40,ChurnSeasonTable,4,FALSE)</f>
        <v/>
      </c>
      <c r="GQ40" s="12">
        <f>MIN(MAX(MktMin19plus,HO39*MktPct19plus),MAX(0,IC39-CashBuffer))</f>
        <v/>
      </c>
      <c r="GR40" s="12">
        <f>IF(GQ40&gt;0,MAX(1,ROUND(GQ40/CAC*GN40,0)),0)</f>
        <v/>
      </c>
      <c r="GS40" s="12">
        <f>IF(GR40&gt;0,ROUND(GR40*ReferralMix/(1-ReferralMix),0),0)</f>
        <v/>
      </c>
      <c r="GT40" s="12">
        <f>GR40+GS40</f>
        <v/>
      </c>
      <c r="GU40" s="12">
        <f>ROUND(GT40*(1-AnnualMix),0)</f>
        <v/>
      </c>
      <c r="GV40" s="12">
        <f>GT40-GU40</f>
        <v/>
      </c>
      <c r="GW40" s="12">
        <f>ROUND(GU40*EssentialMix,0)</f>
        <v/>
      </c>
      <c r="GX40" s="12">
        <f>ROUND(GU40*PremiumMix,0)</f>
        <v/>
      </c>
      <c r="GY40" s="12">
        <f>GU40-GW40-GX40</f>
        <v/>
      </c>
      <c r="GZ40" s="12">
        <f>ROUND(GV40*EssentialMix,0)</f>
        <v/>
      </c>
      <c r="HA40" s="12">
        <f>ROUND(GV40*PremiumMix,0)</f>
        <v/>
      </c>
      <c r="HB40" s="12">
        <f>GV40-GZ40-HA40</f>
        <v/>
      </c>
      <c r="HC40" s="12">
        <f>GW40+GW39+GW38+MAX(0,HC39-GW39-GW38)*(1-GP40)</f>
        <v/>
      </c>
      <c r="HD40" s="12">
        <f>GX40+GX39+GX38+MAX(0,HD39-GX39-GX38)*(1-GP40)</f>
        <v/>
      </c>
      <c r="HE40" s="12">
        <f>GY40+GY39+GY38+MAX(0,HE39-GY39-GY38)*(1-GP40)</f>
        <v/>
      </c>
      <c r="HF40" s="12">
        <f>HF39+GZ40-GZ28*(AnnualChurn*VLOOKUP(GL40,ChurnSeasonTable,4,FALSE))*POWER(1-(AnnualChurn*VLOOKUP(GL40,ChurnSeasonTable,4,FALSE)),0)+GZ16*(AnnualChurn*VLOOKUP(GL40,ChurnSeasonTable,4,FALSE))*POWER(1-(AnnualChurn*VLOOKUP(GL40,ChurnSeasonTable,4,FALSE)),1)</f>
        <v/>
      </c>
      <c r="HG40" s="12">
        <f>HG39+HA40-HA28*(AnnualChurn*VLOOKUP(GL40,ChurnSeasonTable,4,FALSE))*POWER(1-(AnnualChurn*VLOOKUP(GL40,ChurnSeasonTable,4,FALSE)),0)+HA16*(AnnualChurn*VLOOKUP(GL40,ChurnSeasonTable,4,FALSE))*POWER(1-(AnnualChurn*VLOOKUP(GL40,ChurnSeasonTable,4,FALSE)),1)</f>
        <v/>
      </c>
      <c r="HH40" s="12">
        <f>HH39+HB40-HB28*(AnnualChurn*VLOOKUP(GL40,ChurnSeasonTable,4,FALSE))*POWER(1-(AnnualChurn*VLOOKUP(GL40,ChurnSeasonTable,4,FALSE)),0)+HB16*(AnnualChurn*VLOOKUP(GL40,ChurnSeasonTable,4,FALSE))*POWER(1-(AnnualChurn*VLOOKUP(GL40,ChurnSeasonTable,4,FALSE)),1)</f>
        <v/>
      </c>
      <c r="HI40" s="12">
        <f>HC40+HD40+HE40+HF40+HG40+HH40</f>
        <v/>
      </c>
      <c r="HJ40" s="9">
        <f>HC40*BlendedPriceEssMonthly*GO40+HD40*BlendedPricePremMonthly*GO40+HE40*BlendedPriceEliteMonthly*GO40+HF40*BlendedPriceEssAnnual*GO40/12+HG40*BlendedPricePremAnnual*GO40/12+HH40*BlendedPriceEliteAnnual*GO40/12</f>
        <v/>
      </c>
      <c r="HK40" s="9">
        <f>HJ40*12</f>
        <v/>
      </c>
      <c r="HL40" s="12">
        <f>HC40*BlendedPriceEssMonthly*GO40+HD40*BlendedPricePremMonthly*GO40+HE40*BlendedPriceEliteMonthly*GO40</f>
        <v/>
      </c>
      <c r="HM40" s="12">
        <f>GZ40*BlendedPriceEssAnnual*GO40+HA40*BlendedPricePremAnnual*GO40+HB40*BlendedPriceEliteAnnual*GO40</f>
        <v/>
      </c>
      <c r="HN40" s="12">
        <f>GZ28*POWER(1-(AnnualChurn*VLOOKUP(GL40,ChurnSeasonTable,4,FALSE)),1)*BlendedPriceEssAnnual*GO40+GZ16*POWER(1-(AnnualChurn*VLOOKUP(GL40,ChurnSeasonTable,4,FALSE)),2)*BlendedPriceEssAnnual*GO40+HA28*POWER(1-(AnnualChurn*VLOOKUP(GL40,ChurnSeasonTable,4,FALSE)),1)*BlendedPricePremAnnual*GO40+HA16*POWER(1-(AnnualChurn*VLOOKUP(GL40,ChurnSeasonTable,4,FALSE)),2)*BlendedPricePremAnnual*GO40+HB28*POWER(1-(AnnualChurn*VLOOKUP(GL40,ChurnSeasonTable,4,FALSE)),1)*BlendedPriceEliteAnnual*GO40+HB16*POWER(1-(AnnualChurn*VLOOKUP(GL40,ChurnSeasonTable,4,FALSE)),2)*BlendedPriceEliteAnnual*GO40</f>
        <v/>
      </c>
      <c r="HO40" s="9">
        <f>HL40+HM40+HN40</f>
        <v/>
      </c>
      <c r="HP40" s="12">
        <f>SUM(HO29:HO40)</f>
        <v/>
      </c>
      <c r="HQ40" s="12">
        <f>OR(HQ39,IF(VATAgentMode,SUM($HO29:$HO40)-SUM($HV29:$HV40)&gt;=VATThreshold,SUM($HO29:$HO40)&gt;=VATThreshold))</f>
        <v/>
      </c>
      <c r="HR40" s="9">
        <f>IF(HQ40,IF(VATAgentMode,HO40-((HO40-HV40)-(HO40-HV40)/(1+VATRate)),HO40/(1+VATRate)),HO40)</f>
        <v/>
      </c>
      <c r="HS40" s="12">
        <f>HO40-HR40</f>
        <v/>
      </c>
      <c r="HT40" s="12">
        <f>IF(HQ40=0,0,IF(GL40=1,SUMPRODUCT(--(($GM$5:$GM40=$GM40-1)*($GL$5:$GL40&gt;=10)*($GL$5:$GL40&lt;=12)),$HS$5:$HS40),IF(GL40=4,SUMPRODUCT(--(($GM$5:$GM40=$GM40)*($GL$5:$GL40&gt;=1)*($GL$5:$GL40&lt;=3)),$HS$5:$HS40),IF(GL40=7,SUMPRODUCT(--(($GM$5:$GM40=$GM40)*($GL$5:$GL40&gt;=4)*($GL$5:$GL40&lt;=6)),$HS$5:$HS40),IF(GL40=10,SUMPRODUCT(--(($GM$5:$GM40=$GM40)*($GL$5:$GL40&gt;=7)*($GL$5:$GL40&lt;=9)),$HS$5:$HS40),0)))))</f>
        <v/>
      </c>
      <c r="HU40" s="12">
        <f>HU39+HS40-HT40</f>
        <v/>
      </c>
      <c r="HV40" s="12">
        <f>IF(ProviderDelay&gt;=1,HC39*BlendedProvPayEss+HD39*BlendedProvPayPrem+HE39*BlendedProvPayElite+HF39*BlendedProvPayEss+HG39*BlendedProvPayPrem+HH39*BlendedProvPayElite,HC40*BlendedProvPayEss+HD40*BlendedProvPayPrem+HE40*BlendedProvPayElite+HF40*BlendedProvPayEss+HG40*BlendedProvPayPrem+HH40*BlendedProvPayElite)</f>
        <v/>
      </c>
      <c r="HW40" s="12">
        <f>HO40*PaymentFee</f>
        <v/>
      </c>
      <c r="HX40" s="12">
        <f>HI40*OpsAI</f>
        <v/>
      </c>
      <c r="HY40" s="12">
        <f>MonthlyFixed</f>
        <v/>
      </c>
      <c r="HZ40" s="12">
        <f>GS40*ReferralReward</f>
        <v/>
      </c>
      <c r="IA40" s="12">
        <f>GQ40</f>
        <v/>
      </c>
      <c r="IB40" s="9">
        <f>HR40-HV40-HW40-HX40-HY40-HZ40-IA40</f>
        <v/>
      </c>
      <c r="IC40" s="9">
        <f>IC39+HO40-(HV40+HW40+HX40+HY40+HZ40+IA40+HT40)</f>
        <v/>
      </c>
      <c r="ID40" s="12">
        <f>IF(HI40&gt;0,HJ40/HI40,0)</f>
        <v/>
      </c>
      <c r="IE40" s="11">
        <f>IF(HI39&gt;0,MAX(0,(HI39+GT40-HI40)/HI39),0)</f>
        <v/>
      </c>
      <c r="IG40" s="12" t="n">
        <v>36</v>
      </c>
      <c r="IH40" s="12">
        <f>MOD(IG40-1+LaunchMonth-1,12)+1</f>
        <v/>
      </c>
      <c r="II40" s="12">
        <f>INT((IG40-1+LaunchMonth-1)/12)+1</f>
        <v/>
      </c>
      <c r="IJ40" s="12">
        <f>VLOOKUP(IH40,SeasonTable,2,FALSE)</f>
        <v/>
      </c>
      <c r="IK40" s="12">
        <f>(1+InflationRate)^INT((IG40-1)/12)</f>
        <v/>
      </c>
      <c r="IL40" s="11">
        <f>'Sens - Churn'!$A$15*VLOOKUP(IH40,ChurnSeasonTable,4,FALSE)</f>
        <v/>
      </c>
      <c r="IM40" s="12">
        <f>MIN(MAX(MktMin19plus,JK39*MktPct19plus),MAX(0,JY39-CashBuffer))</f>
        <v/>
      </c>
      <c r="IN40" s="12">
        <f>IF(IM40&gt;0,MAX(1,ROUND(IM40/CAC*IJ40,0)),0)</f>
        <v/>
      </c>
      <c r="IO40" s="12">
        <f>IF(IN40&gt;0,ROUND(IN40*ReferralMix/(1-ReferralMix),0),0)</f>
        <v/>
      </c>
      <c r="IP40" s="12">
        <f>IN40+IO40</f>
        <v/>
      </c>
      <c r="IQ40" s="12">
        <f>ROUND(IP40*(1-AnnualMix),0)</f>
        <v/>
      </c>
      <c r="IR40" s="12">
        <f>IP40-IQ40</f>
        <v/>
      </c>
      <c r="IS40" s="12">
        <f>ROUND(IQ40*EssentialMix,0)</f>
        <v/>
      </c>
      <c r="IT40" s="12">
        <f>ROUND(IQ40*PremiumMix,0)</f>
        <v/>
      </c>
      <c r="IU40" s="12">
        <f>IQ40-IS40-IT40</f>
        <v/>
      </c>
      <c r="IV40" s="12">
        <f>ROUND(IR40*EssentialMix,0)</f>
        <v/>
      </c>
      <c r="IW40" s="12">
        <f>ROUND(IR40*PremiumMix,0)</f>
        <v/>
      </c>
      <c r="IX40" s="12">
        <f>IR40-IV40-IW40</f>
        <v/>
      </c>
      <c r="IY40" s="12">
        <f>IS40+IS39+IS38+MAX(0,IY39-IS39-IS38)*(1-IL40)</f>
        <v/>
      </c>
      <c r="IZ40" s="12">
        <f>IT40+IT39+IT38+MAX(0,IZ39-IT39-IT38)*(1-IL40)</f>
        <v/>
      </c>
      <c r="JA40" s="12">
        <f>IU40+IU39+IU38+MAX(0,JA39-IU39-IU38)*(1-IL40)</f>
        <v/>
      </c>
      <c r="JB40" s="12">
        <f>JB39+IV40-IV28*(AnnualChurn*VLOOKUP(IH40,ChurnSeasonTable,4,FALSE))*POWER(1-(AnnualChurn*VLOOKUP(IH40,ChurnSeasonTable,4,FALSE)),0)+IV16*(AnnualChurn*VLOOKUP(IH40,ChurnSeasonTable,4,FALSE))*POWER(1-(AnnualChurn*VLOOKUP(IH40,ChurnSeasonTable,4,FALSE)),1)</f>
        <v/>
      </c>
      <c r="JC40" s="12">
        <f>JC39+IW40-IW28*(AnnualChurn*VLOOKUP(IH40,ChurnSeasonTable,4,FALSE))*POWER(1-(AnnualChurn*VLOOKUP(IH40,ChurnSeasonTable,4,FALSE)),0)+IW16*(AnnualChurn*VLOOKUP(IH40,ChurnSeasonTable,4,FALSE))*POWER(1-(AnnualChurn*VLOOKUP(IH40,ChurnSeasonTable,4,FALSE)),1)</f>
        <v/>
      </c>
      <c r="JD40" s="12">
        <f>JD39+IX40-IX28*(AnnualChurn*VLOOKUP(IH40,ChurnSeasonTable,4,FALSE))*POWER(1-(AnnualChurn*VLOOKUP(IH40,ChurnSeasonTable,4,FALSE)),0)+IX16*(AnnualChurn*VLOOKUP(IH40,ChurnSeasonTable,4,FALSE))*POWER(1-(AnnualChurn*VLOOKUP(IH40,ChurnSeasonTable,4,FALSE)),1)</f>
        <v/>
      </c>
      <c r="JE40" s="12">
        <f>IY40+IZ40+JA40+JB40+JC40+JD40</f>
        <v/>
      </c>
      <c r="JF40" s="9">
        <f>IY40*BlendedPriceEssMonthly*IK40+IZ40*BlendedPricePremMonthly*IK40+JA40*BlendedPriceEliteMonthly*IK40+JB40*BlendedPriceEssAnnual*IK40/12+JC40*BlendedPricePremAnnual*IK40/12+JD40*BlendedPriceEliteAnnual*IK40/12</f>
        <v/>
      </c>
      <c r="JG40" s="9">
        <f>JF40*12</f>
        <v/>
      </c>
      <c r="JH40" s="12">
        <f>IY40*BlendedPriceEssMonthly*IK40+IZ40*BlendedPricePremMonthly*IK40+JA40*BlendedPriceEliteMonthly*IK40</f>
        <v/>
      </c>
      <c r="JI40" s="12">
        <f>IV40*BlendedPriceEssAnnual*IK40+IW40*BlendedPricePremAnnual*IK40+IX40*BlendedPriceEliteAnnual*IK40</f>
        <v/>
      </c>
      <c r="JJ40" s="12">
        <f>IV28*POWER(1-(AnnualChurn*VLOOKUP(IH40,ChurnSeasonTable,4,FALSE)),1)*BlendedPriceEssAnnual*IK40+IV16*POWER(1-(AnnualChurn*VLOOKUP(IH40,ChurnSeasonTable,4,FALSE)),2)*BlendedPriceEssAnnual*IK40+IW28*POWER(1-(AnnualChurn*VLOOKUP(IH40,ChurnSeasonTable,4,FALSE)),1)*BlendedPricePremAnnual*IK40+IW16*POWER(1-(AnnualChurn*VLOOKUP(IH40,ChurnSeasonTable,4,FALSE)),2)*BlendedPricePremAnnual*IK40+IX28*POWER(1-(AnnualChurn*VLOOKUP(IH40,ChurnSeasonTable,4,FALSE)),1)*BlendedPriceEliteAnnual*IK40+IX16*POWER(1-(AnnualChurn*VLOOKUP(IH40,ChurnSeasonTable,4,FALSE)),2)*BlendedPriceEliteAnnual*IK40</f>
        <v/>
      </c>
      <c r="JK40" s="9">
        <f>JH40+JI40+JJ40</f>
        <v/>
      </c>
      <c r="JL40" s="12">
        <f>SUM(JK29:JK40)</f>
        <v/>
      </c>
      <c r="JM40" s="12">
        <f>OR(JM39,IF(VATAgentMode,SUM($JK29:$JK40)-SUM($JR29:$JR40)&gt;=VATThreshold,SUM($JK29:$JK40)&gt;=VATThreshold))</f>
        <v/>
      </c>
      <c r="JN40" s="9">
        <f>IF(JM40,IF(VATAgentMode,JK40-((JK40-JR40)-(JK40-JR40)/(1+VATRate)),JK40/(1+VATRate)),JK40)</f>
        <v/>
      </c>
      <c r="JO40" s="12">
        <f>JK40-JN40</f>
        <v/>
      </c>
      <c r="JP40" s="12">
        <f>IF(JM40=0,0,IF(IH40=1,SUMPRODUCT(--(($II$5:$II40=$II40-1)*($IH$5:$IH40&gt;=10)*($IH$5:$IH40&lt;=12)),$JO$5:$JO40),IF(IH40=4,SUMPRODUCT(--(($II$5:$II40=$II40)*($IH$5:$IH40&gt;=1)*($IH$5:$IH40&lt;=3)),$JO$5:$JO40),IF(IH40=7,SUMPRODUCT(--(($II$5:$II40=$II40)*($IH$5:$IH40&gt;=4)*($IH$5:$IH40&lt;=6)),$JO$5:$JO40),IF(IH40=10,SUMPRODUCT(--(($II$5:$II40=$II40)*($IH$5:$IH40&gt;=7)*($IH$5:$IH40&lt;=9)),$JO$5:$JO40),0)))))</f>
        <v/>
      </c>
      <c r="JQ40" s="12">
        <f>JQ39+JO40-JP40</f>
        <v/>
      </c>
      <c r="JR40" s="12">
        <f>IF(ProviderDelay&gt;=1,IY39*BlendedProvPayEss+IZ39*BlendedProvPayPrem+JA39*BlendedProvPayElite+JB39*BlendedProvPayEss+JC39*BlendedProvPayPrem+JD39*BlendedProvPayElite,IY40*BlendedProvPayEss+IZ40*BlendedProvPayPrem+JA40*BlendedProvPayElite+JB40*BlendedProvPayEss+JC40*BlendedProvPayPrem+JD40*BlendedProvPayElite)</f>
        <v/>
      </c>
      <c r="JS40" s="12">
        <f>JK40*PaymentFee</f>
        <v/>
      </c>
      <c r="JT40" s="12">
        <f>JE40*OpsAI</f>
        <v/>
      </c>
      <c r="JU40" s="12">
        <f>MonthlyFixed</f>
        <v/>
      </c>
      <c r="JV40" s="12">
        <f>IO40*ReferralReward</f>
        <v/>
      </c>
      <c r="JW40" s="12">
        <f>IM40</f>
        <v/>
      </c>
      <c r="JX40" s="9">
        <f>JN40-JR40-JS40-JT40-JU40-JV40-JW40</f>
        <v/>
      </c>
      <c r="JY40" s="9">
        <f>JY39+JK40-(JR40+JS40+JT40+JU40+JV40+JW40+JP40)</f>
        <v/>
      </c>
      <c r="JZ40" s="12">
        <f>IF(JE40&gt;0,JF40/JE40,0)</f>
        <v/>
      </c>
      <c r="KA40" s="11">
        <f>IF(JE39&gt;0,MAX(0,(JE39+IP40-JE40)/JE39),0)</f>
        <v/>
      </c>
      <c r="KC40" s="12" t="n">
        <v>36</v>
      </c>
      <c r="KD40" s="12">
        <f>MOD(KC40-1+LaunchMonth-1,12)+1</f>
        <v/>
      </c>
      <c r="KE40" s="12">
        <f>INT((KC40-1+LaunchMonth-1)/12)+1</f>
        <v/>
      </c>
      <c r="KF40" s="12">
        <f>VLOOKUP(KD40,SeasonTable,2,FALSE)</f>
        <v/>
      </c>
      <c r="KG40" s="12">
        <f>(1+InflationRate)^INT((KC40-1)/12)</f>
        <v/>
      </c>
      <c r="KH40" s="11">
        <f>'Sens - Churn'!$A$16*VLOOKUP(KD40,ChurnSeasonTable,4,FALSE)</f>
        <v/>
      </c>
      <c r="KI40" s="12">
        <f>MIN(MAX(MktMin19plus,LG39*MktPct19plus),MAX(0,LU39-CashBuffer))</f>
        <v/>
      </c>
      <c r="KJ40" s="12">
        <f>IF(KI40&gt;0,MAX(1,ROUND(KI40/CAC*KF40,0)),0)</f>
        <v/>
      </c>
      <c r="KK40" s="12">
        <f>IF(KJ40&gt;0,ROUND(KJ40*ReferralMix/(1-ReferralMix),0),0)</f>
        <v/>
      </c>
      <c r="KL40" s="12">
        <f>KJ40+KK40</f>
        <v/>
      </c>
      <c r="KM40" s="12">
        <f>ROUND(KL40*(1-AnnualMix),0)</f>
        <v/>
      </c>
      <c r="KN40" s="12">
        <f>KL40-KM40</f>
        <v/>
      </c>
      <c r="KO40" s="12">
        <f>ROUND(KM40*EssentialMix,0)</f>
        <v/>
      </c>
      <c r="KP40" s="12">
        <f>ROUND(KM40*PremiumMix,0)</f>
        <v/>
      </c>
      <c r="KQ40" s="12">
        <f>KM40-KO40-KP40</f>
        <v/>
      </c>
      <c r="KR40" s="12">
        <f>ROUND(KN40*EssentialMix,0)</f>
        <v/>
      </c>
      <c r="KS40" s="12">
        <f>ROUND(KN40*PremiumMix,0)</f>
        <v/>
      </c>
      <c r="KT40" s="12">
        <f>KN40-KR40-KS40</f>
        <v/>
      </c>
      <c r="KU40" s="12">
        <f>KO40+KO39+KO38+MAX(0,KU39-KO39-KO38)*(1-KH40)</f>
        <v/>
      </c>
      <c r="KV40" s="12">
        <f>KP40+KP39+KP38+MAX(0,KV39-KP39-KP38)*(1-KH40)</f>
        <v/>
      </c>
      <c r="KW40" s="12">
        <f>KQ40+KQ39+KQ38+MAX(0,KW39-KQ39-KQ38)*(1-KH40)</f>
        <v/>
      </c>
      <c r="KX40" s="12">
        <f>KX39+KR40-KR28*(AnnualChurn*VLOOKUP(KD40,ChurnSeasonTable,4,FALSE))*POWER(1-(AnnualChurn*VLOOKUP(KD40,ChurnSeasonTable,4,FALSE)),0)+KR16*(AnnualChurn*VLOOKUP(KD40,ChurnSeasonTable,4,FALSE))*POWER(1-(AnnualChurn*VLOOKUP(KD40,ChurnSeasonTable,4,FALSE)),1)</f>
        <v/>
      </c>
      <c r="KY40" s="12">
        <f>KY39+KS40-KS28*(AnnualChurn*VLOOKUP(KD40,ChurnSeasonTable,4,FALSE))*POWER(1-(AnnualChurn*VLOOKUP(KD40,ChurnSeasonTable,4,FALSE)),0)+KS16*(AnnualChurn*VLOOKUP(KD40,ChurnSeasonTable,4,FALSE))*POWER(1-(AnnualChurn*VLOOKUP(KD40,ChurnSeasonTable,4,FALSE)),1)</f>
        <v/>
      </c>
      <c r="KZ40" s="12">
        <f>KZ39+KT40-KT28*(AnnualChurn*VLOOKUP(KD40,ChurnSeasonTable,4,FALSE))*POWER(1-(AnnualChurn*VLOOKUP(KD40,ChurnSeasonTable,4,FALSE)),0)+KT16*(AnnualChurn*VLOOKUP(KD40,ChurnSeasonTable,4,FALSE))*POWER(1-(AnnualChurn*VLOOKUP(KD40,ChurnSeasonTable,4,FALSE)),1)</f>
        <v/>
      </c>
      <c r="LA40" s="12">
        <f>KU40+KV40+KW40+KX40+KY40+KZ40</f>
        <v/>
      </c>
      <c r="LB40" s="9">
        <f>KU40*BlendedPriceEssMonthly*KG40+KV40*BlendedPricePremMonthly*KG40+KW40*BlendedPriceEliteMonthly*KG40+KX40*BlendedPriceEssAnnual*KG40/12+KY40*BlendedPricePremAnnual*KG40/12+KZ40*BlendedPriceEliteAnnual*KG40/12</f>
        <v/>
      </c>
      <c r="LC40" s="9">
        <f>LB40*12</f>
        <v/>
      </c>
      <c r="LD40" s="12">
        <f>KU40*BlendedPriceEssMonthly*KG40+KV40*BlendedPricePremMonthly*KG40+KW40*BlendedPriceEliteMonthly*KG40</f>
        <v/>
      </c>
      <c r="LE40" s="12">
        <f>KR40*BlendedPriceEssAnnual*KG40+KS40*BlendedPricePremAnnual*KG40+KT40*BlendedPriceEliteAnnual*KG40</f>
        <v/>
      </c>
      <c r="LF40" s="12">
        <f>KR28*POWER(1-(AnnualChurn*VLOOKUP(KD40,ChurnSeasonTable,4,FALSE)),1)*BlendedPriceEssAnnual*KG40+KR16*POWER(1-(AnnualChurn*VLOOKUP(KD40,ChurnSeasonTable,4,FALSE)),2)*BlendedPriceEssAnnual*KG40+KS28*POWER(1-(AnnualChurn*VLOOKUP(KD40,ChurnSeasonTable,4,FALSE)),1)*BlendedPricePremAnnual*KG40+KS16*POWER(1-(AnnualChurn*VLOOKUP(KD40,ChurnSeasonTable,4,FALSE)),2)*BlendedPricePremAnnual*KG40+KT28*POWER(1-(AnnualChurn*VLOOKUP(KD40,ChurnSeasonTable,4,FALSE)),1)*BlendedPriceEliteAnnual*KG40+KT16*POWER(1-(AnnualChurn*VLOOKUP(KD40,ChurnSeasonTable,4,FALSE)),2)*BlendedPriceEliteAnnual*KG40</f>
        <v/>
      </c>
      <c r="LG40" s="9">
        <f>LD40+LE40+LF40</f>
        <v/>
      </c>
      <c r="LH40" s="12">
        <f>SUM(LG29:LG40)</f>
        <v/>
      </c>
      <c r="LI40" s="12">
        <f>OR(LI39,IF(VATAgentMode,SUM($LG29:$LG40)-SUM($LN29:$LN40)&gt;=VATThreshold,SUM($LG29:$LG40)&gt;=VATThreshold))</f>
        <v/>
      </c>
      <c r="LJ40" s="9">
        <f>IF(LI40,IF(VATAgentMode,LG40-((LG40-LN40)-(LG40-LN40)/(1+VATRate)),LG40/(1+VATRate)),LG40)</f>
        <v/>
      </c>
      <c r="LK40" s="12">
        <f>LG40-LJ40</f>
        <v/>
      </c>
      <c r="LL40" s="12">
        <f>IF(LI40=0,0,IF(KD40=1,SUMPRODUCT(--(($KE$5:$KE40=$KE40-1)*($KD$5:$KD40&gt;=10)*($KD$5:$KD40&lt;=12)),$LK$5:$LK40),IF(KD40=4,SUMPRODUCT(--(($KE$5:$KE40=$KE40)*($KD$5:$KD40&gt;=1)*($KD$5:$KD40&lt;=3)),$LK$5:$LK40),IF(KD40=7,SUMPRODUCT(--(($KE$5:$KE40=$KE40)*($KD$5:$KD40&gt;=4)*($KD$5:$KD40&lt;=6)),$LK$5:$LK40),IF(KD40=10,SUMPRODUCT(--(($KE$5:$KE40=$KE40)*($KD$5:$KD40&gt;=7)*($KD$5:$KD40&lt;=9)),$LK$5:$LK40),0)))))</f>
        <v/>
      </c>
      <c r="LM40" s="12">
        <f>LM39+LK40-LL40</f>
        <v/>
      </c>
      <c r="LN40" s="12">
        <f>IF(ProviderDelay&gt;=1,KU39*BlendedProvPayEss+KV39*BlendedProvPayPrem+KW39*BlendedProvPayElite+KX39*BlendedProvPayEss+KY39*BlendedProvPayPrem+KZ39*BlendedProvPayElite,KU40*BlendedProvPayEss+KV40*BlendedProvPayPrem+KW40*BlendedProvPayElite+KX40*BlendedProvPayEss+KY40*BlendedProvPayPrem+KZ40*BlendedProvPayElite)</f>
        <v/>
      </c>
      <c r="LO40" s="12">
        <f>LG40*PaymentFee</f>
        <v/>
      </c>
      <c r="LP40" s="12">
        <f>LA40*OpsAI</f>
        <v/>
      </c>
      <c r="LQ40" s="12">
        <f>MonthlyFixed</f>
        <v/>
      </c>
      <c r="LR40" s="12">
        <f>KK40*ReferralReward</f>
        <v/>
      </c>
      <c r="LS40" s="12">
        <f>KI40</f>
        <v/>
      </c>
      <c r="LT40" s="9">
        <f>LJ40-LN40-LO40-LP40-LQ40-LR40-LS40</f>
        <v/>
      </c>
      <c r="LU40" s="9">
        <f>LU39+LG40-(LN40+LO40+LP40+LQ40+LR40+LS40+LL40)</f>
        <v/>
      </c>
      <c r="LV40" s="12">
        <f>IF(LA40&gt;0,LB40/LA40,0)</f>
        <v/>
      </c>
      <c r="LW40" s="11">
        <f>IF(LA39&gt;0,MAX(0,(LA39+KL40-LA40)/LA39),0)</f>
        <v/>
      </c>
      <c r="LY40" s="12" t="n">
        <v>36</v>
      </c>
      <c r="LZ40" s="12">
        <f>MOD(LY40-1+LaunchMonth-1,12)+1</f>
        <v/>
      </c>
      <c r="MA40" s="12">
        <f>INT((LY40-1+LaunchMonth-1)/12)+1</f>
        <v/>
      </c>
      <c r="MB40" s="12">
        <f>VLOOKUP(LZ40,SeasonTable,2,FALSE)</f>
        <v/>
      </c>
      <c r="MC40" s="12">
        <f>(1+InflationRate)^INT((LY40-1)/12)</f>
        <v/>
      </c>
      <c r="MD40" s="11">
        <f>'Sens - Churn'!$A$17*VLOOKUP(LZ40,ChurnSeasonTable,4,FALSE)</f>
        <v/>
      </c>
      <c r="ME40" s="12">
        <f>MIN(MAX(MktMin19plus,NC39*MktPct19plus),MAX(0,NQ39-CashBuffer))</f>
        <v/>
      </c>
      <c r="MF40" s="12">
        <f>IF(ME40&gt;0,MAX(1,ROUND(ME40/CAC*MB40,0)),0)</f>
        <v/>
      </c>
      <c r="MG40" s="12">
        <f>IF(MF40&gt;0,ROUND(MF40*ReferralMix/(1-ReferralMix),0),0)</f>
        <v/>
      </c>
      <c r="MH40" s="12">
        <f>MF40+MG40</f>
        <v/>
      </c>
      <c r="MI40" s="12">
        <f>ROUND(MH40*(1-AnnualMix),0)</f>
        <v/>
      </c>
      <c r="MJ40" s="12">
        <f>MH40-MI40</f>
        <v/>
      </c>
      <c r="MK40" s="12">
        <f>ROUND(MI40*EssentialMix,0)</f>
        <v/>
      </c>
      <c r="ML40" s="12">
        <f>ROUND(MI40*PremiumMix,0)</f>
        <v/>
      </c>
      <c r="MM40" s="12">
        <f>MI40-MK40-ML40</f>
        <v/>
      </c>
      <c r="MN40" s="12">
        <f>ROUND(MJ40*EssentialMix,0)</f>
        <v/>
      </c>
      <c r="MO40" s="12">
        <f>ROUND(MJ40*PremiumMix,0)</f>
        <v/>
      </c>
      <c r="MP40" s="12">
        <f>MJ40-MN40-MO40</f>
        <v/>
      </c>
      <c r="MQ40" s="12">
        <f>MK40+MK39+MK38+MAX(0,MQ39-MK39-MK38)*(1-MD40)</f>
        <v/>
      </c>
      <c r="MR40" s="12">
        <f>ML40+ML39+ML38+MAX(0,MR39-ML39-ML38)*(1-MD40)</f>
        <v/>
      </c>
      <c r="MS40" s="12">
        <f>MM40+MM39+MM38+MAX(0,MS39-MM39-MM38)*(1-MD40)</f>
        <v/>
      </c>
      <c r="MT40" s="12">
        <f>MT39+MN40-MN28*(AnnualChurn*VLOOKUP(LZ40,ChurnSeasonTable,4,FALSE))*POWER(1-(AnnualChurn*VLOOKUP(LZ40,ChurnSeasonTable,4,FALSE)),0)+MN16*(AnnualChurn*VLOOKUP(LZ40,ChurnSeasonTable,4,FALSE))*POWER(1-(AnnualChurn*VLOOKUP(LZ40,ChurnSeasonTable,4,FALSE)),1)</f>
        <v/>
      </c>
      <c r="MU40" s="12">
        <f>MU39+MO40-MO28*(AnnualChurn*VLOOKUP(LZ40,ChurnSeasonTable,4,FALSE))*POWER(1-(AnnualChurn*VLOOKUP(LZ40,ChurnSeasonTable,4,FALSE)),0)+MO16*(AnnualChurn*VLOOKUP(LZ40,ChurnSeasonTable,4,FALSE))*POWER(1-(AnnualChurn*VLOOKUP(LZ40,ChurnSeasonTable,4,FALSE)),1)</f>
        <v/>
      </c>
      <c r="MV40" s="12">
        <f>MV39+MP40-MP28*(AnnualChurn*VLOOKUP(LZ40,ChurnSeasonTable,4,FALSE))*POWER(1-(AnnualChurn*VLOOKUP(LZ40,ChurnSeasonTable,4,FALSE)),0)+MP16*(AnnualChurn*VLOOKUP(LZ40,ChurnSeasonTable,4,FALSE))*POWER(1-(AnnualChurn*VLOOKUP(LZ40,ChurnSeasonTable,4,FALSE)),1)</f>
        <v/>
      </c>
      <c r="MW40" s="12">
        <f>MQ40+MR40+MS40+MT40+MU40+MV40</f>
        <v/>
      </c>
      <c r="MX40" s="9">
        <f>MQ40*BlendedPriceEssMonthly*MC40+MR40*BlendedPricePremMonthly*MC40+MS40*BlendedPriceEliteMonthly*MC40+MT40*BlendedPriceEssAnnual*MC40/12+MU40*BlendedPricePremAnnual*MC40/12+MV40*BlendedPriceEliteAnnual*MC40/12</f>
        <v/>
      </c>
      <c r="MY40" s="9">
        <f>MX40*12</f>
        <v/>
      </c>
      <c r="MZ40" s="12">
        <f>MQ40*BlendedPriceEssMonthly*MC40+MR40*BlendedPricePremMonthly*MC40+MS40*BlendedPriceEliteMonthly*MC40</f>
        <v/>
      </c>
      <c r="NA40" s="12">
        <f>MN40*BlendedPriceEssAnnual*MC40+MO40*BlendedPricePremAnnual*MC40+MP40*BlendedPriceEliteAnnual*MC40</f>
        <v/>
      </c>
      <c r="NB40" s="12">
        <f>MN28*POWER(1-(AnnualChurn*VLOOKUP(LZ40,ChurnSeasonTable,4,FALSE)),1)*BlendedPriceEssAnnual*MC40+MN16*POWER(1-(AnnualChurn*VLOOKUP(LZ40,ChurnSeasonTable,4,FALSE)),2)*BlendedPriceEssAnnual*MC40+MO28*POWER(1-(AnnualChurn*VLOOKUP(LZ40,ChurnSeasonTable,4,FALSE)),1)*BlendedPricePremAnnual*MC40+MO16*POWER(1-(AnnualChurn*VLOOKUP(LZ40,ChurnSeasonTable,4,FALSE)),2)*BlendedPricePremAnnual*MC40+MP28*POWER(1-(AnnualChurn*VLOOKUP(LZ40,ChurnSeasonTable,4,FALSE)),1)*BlendedPriceEliteAnnual*MC40+MP16*POWER(1-(AnnualChurn*VLOOKUP(LZ40,ChurnSeasonTable,4,FALSE)),2)*BlendedPriceEliteAnnual*MC40</f>
        <v/>
      </c>
      <c r="NC40" s="9">
        <f>MZ40+NA40+NB40</f>
        <v/>
      </c>
      <c r="ND40" s="12">
        <f>SUM(NC29:NC40)</f>
        <v/>
      </c>
      <c r="NE40" s="12">
        <f>OR(NE39,IF(VATAgentMode,SUM($NC29:$NC40)-SUM($NJ29:$NJ40)&gt;=VATThreshold,SUM($NC29:$NC40)&gt;=VATThreshold))</f>
        <v/>
      </c>
      <c r="NF40" s="9">
        <f>IF(NE40,IF(VATAgentMode,NC40-((NC40-NJ40)-(NC40-NJ40)/(1+VATRate)),NC40/(1+VATRate)),NC40)</f>
        <v/>
      </c>
      <c r="NG40" s="12">
        <f>NC40-NF40</f>
        <v/>
      </c>
      <c r="NH40" s="12">
        <f>IF(NE40=0,0,IF(LZ40=1,SUMPRODUCT(--(($MA$5:$MA40=$MA40-1)*($LZ$5:$LZ40&gt;=10)*($LZ$5:$LZ40&lt;=12)),$NG$5:$NG40),IF(LZ40=4,SUMPRODUCT(--(($MA$5:$MA40=$MA40)*($LZ$5:$LZ40&gt;=1)*($LZ$5:$LZ40&lt;=3)),$NG$5:$NG40),IF(LZ40=7,SUMPRODUCT(--(($MA$5:$MA40=$MA40)*($LZ$5:$LZ40&gt;=4)*($LZ$5:$LZ40&lt;=6)),$NG$5:$NG40),IF(LZ40=10,SUMPRODUCT(--(($MA$5:$MA40=$MA40)*($LZ$5:$LZ40&gt;=7)*($LZ$5:$LZ40&lt;=9)),$NG$5:$NG40),0)))))</f>
        <v/>
      </c>
      <c r="NI40" s="12">
        <f>NI39+NG40-NH40</f>
        <v/>
      </c>
      <c r="NJ40" s="12">
        <f>IF(ProviderDelay&gt;=1,MQ39*BlendedProvPayEss+MR39*BlendedProvPayPrem+MS39*BlendedProvPayElite+MT39*BlendedProvPayEss+MU39*BlendedProvPayPrem+MV39*BlendedProvPayElite,MQ40*BlendedProvPayEss+MR40*BlendedProvPayPrem+MS40*BlendedProvPayElite+MT40*BlendedProvPayEss+MU40*BlendedProvPayPrem+MV40*BlendedProvPayElite)</f>
        <v/>
      </c>
      <c r="NK40" s="12">
        <f>NC40*PaymentFee</f>
        <v/>
      </c>
      <c r="NL40" s="12">
        <f>MW40*OpsAI</f>
        <v/>
      </c>
      <c r="NM40" s="12">
        <f>MonthlyFixed</f>
        <v/>
      </c>
      <c r="NN40" s="12">
        <f>MG40*ReferralReward</f>
        <v/>
      </c>
      <c r="NO40" s="12">
        <f>ME40</f>
        <v/>
      </c>
      <c r="NP40" s="9">
        <f>NF40-NJ40-NK40-NL40-NM40-NN40-NO40</f>
        <v/>
      </c>
      <c r="NQ40" s="9">
        <f>NQ39+NC40-(NJ40+NK40+NL40+NM40+NN40+NO40+NH40)</f>
        <v/>
      </c>
      <c r="NR40" s="12">
        <f>IF(MW40&gt;0,MX40/MW40,0)</f>
        <v/>
      </c>
      <c r="NS40" s="11">
        <f>IF(MW39&gt;0,MAX(0,(MW39+MH40-MW40)/MW39),0)</f>
        <v/>
      </c>
      <c r="NU40" s="12" t="n">
        <v>36</v>
      </c>
      <c r="NV40" s="12">
        <f>MOD(NU40-1+LaunchMonth-1,12)+1</f>
        <v/>
      </c>
      <c r="NW40" s="12">
        <f>INT((NU40-1+LaunchMonth-1)/12)+1</f>
        <v/>
      </c>
      <c r="NX40" s="12">
        <f>VLOOKUP(NV40,SeasonTable,2,FALSE)</f>
        <v/>
      </c>
      <c r="NY40" s="12">
        <f>(1+InflationRate)^INT((NU40-1)/12)</f>
        <v/>
      </c>
      <c r="NZ40" s="11">
        <f>'Sens - Churn'!$A$18*VLOOKUP(NV40,ChurnSeasonTable,4,FALSE)</f>
        <v/>
      </c>
      <c r="OA40" s="12">
        <f>MIN(MAX(MktMin19plus,OY39*MktPct19plus),MAX(0,PM39-CashBuffer))</f>
        <v/>
      </c>
      <c r="OB40" s="12">
        <f>IF(OA40&gt;0,MAX(1,ROUND(OA40/CAC*NX40,0)),0)</f>
        <v/>
      </c>
      <c r="OC40" s="12">
        <f>IF(OB40&gt;0,ROUND(OB40*ReferralMix/(1-ReferralMix),0),0)</f>
        <v/>
      </c>
      <c r="OD40" s="12">
        <f>OB40+OC40</f>
        <v/>
      </c>
      <c r="OE40" s="12">
        <f>ROUND(OD40*(1-AnnualMix),0)</f>
        <v/>
      </c>
      <c r="OF40" s="12">
        <f>OD40-OE40</f>
        <v/>
      </c>
      <c r="OG40" s="12">
        <f>ROUND(OE40*EssentialMix,0)</f>
        <v/>
      </c>
      <c r="OH40" s="12">
        <f>ROUND(OE40*PremiumMix,0)</f>
        <v/>
      </c>
      <c r="OI40" s="12">
        <f>OE40-OG40-OH40</f>
        <v/>
      </c>
      <c r="OJ40" s="12">
        <f>ROUND(OF40*EssentialMix,0)</f>
        <v/>
      </c>
      <c r="OK40" s="12">
        <f>ROUND(OF40*PremiumMix,0)</f>
        <v/>
      </c>
      <c r="OL40" s="12">
        <f>OF40-OJ40-OK40</f>
        <v/>
      </c>
      <c r="OM40" s="12">
        <f>OG40+OG39+OG38+MAX(0,OM39-OG39-OG38)*(1-NZ40)</f>
        <v/>
      </c>
      <c r="ON40" s="12">
        <f>OH40+OH39+OH38+MAX(0,ON39-OH39-OH38)*(1-NZ40)</f>
        <v/>
      </c>
      <c r="OO40" s="12">
        <f>OI40+OI39+OI38+MAX(0,OO39-OI39-OI38)*(1-NZ40)</f>
        <v/>
      </c>
      <c r="OP40" s="12">
        <f>OP39+OJ40-OJ28*(AnnualChurn*VLOOKUP(NV40,ChurnSeasonTable,4,FALSE))*POWER(1-(AnnualChurn*VLOOKUP(NV40,ChurnSeasonTable,4,FALSE)),0)+OJ16*(AnnualChurn*VLOOKUP(NV40,ChurnSeasonTable,4,FALSE))*POWER(1-(AnnualChurn*VLOOKUP(NV40,ChurnSeasonTable,4,FALSE)),1)</f>
        <v/>
      </c>
      <c r="OQ40" s="12">
        <f>OQ39+OK40-OK28*(AnnualChurn*VLOOKUP(NV40,ChurnSeasonTable,4,FALSE))*POWER(1-(AnnualChurn*VLOOKUP(NV40,ChurnSeasonTable,4,FALSE)),0)+OK16*(AnnualChurn*VLOOKUP(NV40,ChurnSeasonTable,4,FALSE))*POWER(1-(AnnualChurn*VLOOKUP(NV40,ChurnSeasonTable,4,FALSE)),1)</f>
        <v/>
      </c>
      <c r="OR40" s="12">
        <f>OR39+OL40-OL28*(AnnualChurn*VLOOKUP(NV40,ChurnSeasonTable,4,FALSE))*POWER(1-(AnnualChurn*VLOOKUP(NV40,ChurnSeasonTable,4,FALSE)),0)+OL16*(AnnualChurn*VLOOKUP(NV40,ChurnSeasonTable,4,FALSE))*POWER(1-(AnnualChurn*VLOOKUP(NV40,ChurnSeasonTable,4,FALSE)),1)</f>
        <v/>
      </c>
      <c r="OS40" s="12">
        <f>OM40+ON40+OO40+OP40+OQ40+OR40</f>
        <v/>
      </c>
      <c r="OT40" s="9">
        <f>OM40*BlendedPriceEssMonthly*NY40+ON40*BlendedPricePremMonthly*NY40+OO40*BlendedPriceEliteMonthly*NY40+OP40*BlendedPriceEssAnnual*NY40/12+OQ40*BlendedPricePremAnnual*NY40/12+OR40*BlendedPriceEliteAnnual*NY40/12</f>
        <v/>
      </c>
      <c r="OU40" s="9">
        <f>OT40*12</f>
        <v/>
      </c>
      <c r="OV40" s="12">
        <f>OM40*BlendedPriceEssMonthly*NY40+ON40*BlendedPricePremMonthly*NY40+OO40*BlendedPriceEliteMonthly*NY40</f>
        <v/>
      </c>
      <c r="OW40" s="12">
        <f>OJ40*BlendedPriceEssAnnual*NY40+OK40*BlendedPricePremAnnual*NY40+OL40*BlendedPriceEliteAnnual*NY40</f>
        <v/>
      </c>
      <c r="OX40" s="12">
        <f>OJ28*POWER(1-(AnnualChurn*VLOOKUP(NV40,ChurnSeasonTable,4,FALSE)),1)*BlendedPriceEssAnnual*NY40+OJ16*POWER(1-(AnnualChurn*VLOOKUP(NV40,ChurnSeasonTable,4,FALSE)),2)*BlendedPriceEssAnnual*NY40+OK28*POWER(1-(AnnualChurn*VLOOKUP(NV40,ChurnSeasonTable,4,FALSE)),1)*BlendedPricePremAnnual*NY40+OK16*POWER(1-(AnnualChurn*VLOOKUP(NV40,ChurnSeasonTable,4,FALSE)),2)*BlendedPricePremAnnual*NY40+OL28*POWER(1-(AnnualChurn*VLOOKUP(NV40,ChurnSeasonTable,4,FALSE)),1)*BlendedPriceEliteAnnual*NY40+OL16*POWER(1-(AnnualChurn*VLOOKUP(NV40,ChurnSeasonTable,4,FALSE)),2)*BlendedPriceEliteAnnual*NY40</f>
        <v/>
      </c>
      <c r="OY40" s="9">
        <f>OV40+OW40+OX40</f>
        <v/>
      </c>
      <c r="OZ40" s="12">
        <f>SUM(OY29:OY40)</f>
        <v/>
      </c>
      <c r="PA40" s="12">
        <f>OR(PA39,IF(VATAgentMode,SUM($OY29:$OY40)-SUM($PF29:$PF40)&gt;=VATThreshold,SUM($OY29:$OY40)&gt;=VATThreshold))</f>
        <v/>
      </c>
      <c r="PB40" s="9">
        <f>IF(PA40,IF(VATAgentMode,OY40-((OY40-PF40)-(OY40-PF40)/(1+VATRate)),OY40/(1+VATRate)),OY40)</f>
        <v/>
      </c>
      <c r="PC40" s="12">
        <f>OY40-PB40</f>
        <v/>
      </c>
      <c r="PD40" s="12">
        <f>IF(PA40=0,0,IF(NV40=1,SUMPRODUCT(--(($NW$5:$NW40=$NW40-1)*($NV$5:$NV40&gt;=10)*($NV$5:$NV40&lt;=12)),$PC$5:$PC40),IF(NV40=4,SUMPRODUCT(--(($NW$5:$NW40=$NW40)*($NV$5:$NV40&gt;=1)*($NV$5:$NV40&lt;=3)),$PC$5:$PC40),IF(NV40=7,SUMPRODUCT(--(($NW$5:$NW40=$NW40)*($NV$5:$NV40&gt;=4)*($NV$5:$NV40&lt;=6)),$PC$5:$PC40),IF(NV40=10,SUMPRODUCT(--(($NW$5:$NW40=$NW40)*($NV$5:$NV40&gt;=7)*($NV$5:$NV40&lt;=9)),$PC$5:$PC40),0)))))</f>
        <v/>
      </c>
      <c r="PE40" s="12">
        <f>PE39+PC40-PD40</f>
        <v/>
      </c>
      <c r="PF40" s="12">
        <f>IF(ProviderDelay&gt;=1,OM39*BlendedProvPayEss+ON39*BlendedProvPayPrem+OO39*BlendedProvPayElite+OP39*BlendedProvPayEss+OQ39*BlendedProvPayPrem+OR39*BlendedProvPayElite,OM40*BlendedProvPayEss+ON40*BlendedProvPayPrem+OO40*BlendedProvPayElite+OP40*BlendedProvPayEss+OQ40*BlendedProvPayPrem+OR40*BlendedProvPayElite)</f>
        <v/>
      </c>
      <c r="PG40" s="12">
        <f>OY40*PaymentFee</f>
        <v/>
      </c>
      <c r="PH40" s="12">
        <f>OS40*OpsAI</f>
        <v/>
      </c>
      <c r="PI40" s="12">
        <f>MonthlyFixed</f>
        <v/>
      </c>
      <c r="PJ40" s="12">
        <f>OC40*ReferralReward</f>
        <v/>
      </c>
      <c r="PK40" s="12">
        <f>OA40</f>
        <v/>
      </c>
      <c r="PL40" s="9">
        <f>PB40-PF40-PG40-PH40-PI40-PJ40-PK40</f>
        <v/>
      </c>
      <c r="PM40" s="9">
        <f>PM39+OY40-(PF40+PG40+PH40+PI40+PJ40+PK40+PD40)</f>
        <v/>
      </c>
      <c r="PN40" s="12">
        <f>IF(OS40&gt;0,OT40/OS40,0)</f>
        <v/>
      </c>
      <c r="PO40" s="11">
        <f>IF(OS39&gt;0,MAX(0,(OS39+OD40-OS40)/OS39),0)</f>
        <v/>
      </c>
      <c r="PQ40" s="12" t="n">
        <v>36</v>
      </c>
      <c r="PR40" s="12">
        <f>MOD(PQ40-1+LaunchMonth-1,12)+1</f>
        <v/>
      </c>
      <c r="PS40" s="12">
        <f>INT((PQ40-1+LaunchMonth-1)/12)+1</f>
        <v/>
      </c>
      <c r="PT40" s="12">
        <f>VLOOKUP(PR40,SeasonTable,2,FALSE)</f>
        <v/>
      </c>
      <c r="PU40" s="12">
        <f>(1+InflationRate)^INT((PQ40-1)/12)</f>
        <v/>
      </c>
      <c r="PV40" s="11">
        <f>'Sens - Churn'!$A$19*VLOOKUP(PR40,ChurnSeasonTable,4,FALSE)</f>
        <v/>
      </c>
      <c r="PW40" s="12">
        <f>MIN(MAX(MktMin19plus,QU39*MktPct19plus),MAX(0,RI39-CashBuffer))</f>
        <v/>
      </c>
      <c r="PX40" s="12">
        <f>IF(PW40&gt;0,MAX(1,ROUND(PW40/CAC*PT40,0)),0)</f>
        <v/>
      </c>
      <c r="PY40" s="12">
        <f>IF(PX40&gt;0,ROUND(PX40*ReferralMix/(1-ReferralMix),0),0)</f>
        <v/>
      </c>
      <c r="PZ40" s="12">
        <f>PX40+PY40</f>
        <v/>
      </c>
      <c r="QA40" s="12">
        <f>ROUND(PZ40*(1-AnnualMix),0)</f>
        <v/>
      </c>
      <c r="QB40" s="12">
        <f>PZ40-QA40</f>
        <v/>
      </c>
      <c r="QC40" s="12">
        <f>ROUND(QA40*EssentialMix,0)</f>
        <v/>
      </c>
      <c r="QD40" s="12">
        <f>ROUND(QA40*PremiumMix,0)</f>
        <v/>
      </c>
      <c r="QE40" s="12">
        <f>QA40-QC40-QD40</f>
        <v/>
      </c>
      <c r="QF40" s="12">
        <f>ROUND(QB40*EssentialMix,0)</f>
        <v/>
      </c>
      <c r="QG40" s="12">
        <f>ROUND(QB40*PremiumMix,0)</f>
        <v/>
      </c>
      <c r="QH40" s="12">
        <f>QB40-QF40-QG40</f>
        <v/>
      </c>
      <c r="QI40" s="12">
        <f>QC40+QC39+QC38+MAX(0,QI39-QC39-QC38)*(1-PV40)</f>
        <v/>
      </c>
      <c r="QJ40" s="12">
        <f>QD40+QD39+QD38+MAX(0,QJ39-QD39-QD38)*(1-PV40)</f>
        <v/>
      </c>
      <c r="QK40" s="12">
        <f>QE40+QE39+QE38+MAX(0,QK39-QE39-QE38)*(1-PV40)</f>
        <v/>
      </c>
      <c r="QL40" s="12">
        <f>QL39+QF40-QF28*(AnnualChurn*VLOOKUP(PR40,ChurnSeasonTable,4,FALSE))*POWER(1-(AnnualChurn*VLOOKUP(PR40,ChurnSeasonTable,4,FALSE)),0)+QF16*(AnnualChurn*VLOOKUP(PR40,ChurnSeasonTable,4,FALSE))*POWER(1-(AnnualChurn*VLOOKUP(PR40,ChurnSeasonTable,4,FALSE)),1)</f>
        <v/>
      </c>
      <c r="QM40" s="12">
        <f>QM39+QG40-QG28*(AnnualChurn*VLOOKUP(PR40,ChurnSeasonTable,4,FALSE))*POWER(1-(AnnualChurn*VLOOKUP(PR40,ChurnSeasonTable,4,FALSE)),0)+QG16*(AnnualChurn*VLOOKUP(PR40,ChurnSeasonTable,4,FALSE))*POWER(1-(AnnualChurn*VLOOKUP(PR40,ChurnSeasonTable,4,FALSE)),1)</f>
        <v/>
      </c>
      <c r="QN40" s="12">
        <f>QN39+QH40-QH28*(AnnualChurn*VLOOKUP(PR40,ChurnSeasonTable,4,FALSE))*POWER(1-(AnnualChurn*VLOOKUP(PR40,ChurnSeasonTable,4,FALSE)),0)+QH16*(AnnualChurn*VLOOKUP(PR40,ChurnSeasonTable,4,FALSE))*POWER(1-(AnnualChurn*VLOOKUP(PR40,ChurnSeasonTable,4,FALSE)),1)</f>
        <v/>
      </c>
      <c r="QO40" s="12">
        <f>QI40+QJ40+QK40+QL40+QM40+QN40</f>
        <v/>
      </c>
      <c r="QP40" s="9">
        <f>QI40*BlendedPriceEssMonthly*PU40+QJ40*BlendedPricePremMonthly*PU40+QK40*BlendedPriceEliteMonthly*PU40+QL40*BlendedPriceEssAnnual*PU40/12+QM40*BlendedPricePremAnnual*PU40/12+QN40*BlendedPriceEliteAnnual*PU40/12</f>
        <v/>
      </c>
      <c r="QQ40" s="9">
        <f>QP40*12</f>
        <v/>
      </c>
      <c r="QR40" s="12">
        <f>QI40*BlendedPriceEssMonthly*PU40+QJ40*BlendedPricePremMonthly*PU40+QK40*BlendedPriceEliteMonthly*PU40</f>
        <v/>
      </c>
      <c r="QS40" s="12">
        <f>QF40*BlendedPriceEssAnnual*PU40+QG40*BlendedPricePremAnnual*PU40+QH40*BlendedPriceEliteAnnual*PU40</f>
        <v/>
      </c>
      <c r="QT40" s="12">
        <f>QF28*POWER(1-(AnnualChurn*VLOOKUP(PR40,ChurnSeasonTable,4,FALSE)),1)*BlendedPriceEssAnnual*PU40+QF16*POWER(1-(AnnualChurn*VLOOKUP(PR40,ChurnSeasonTable,4,FALSE)),2)*BlendedPriceEssAnnual*PU40+QG28*POWER(1-(AnnualChurn*VLOOKUP(PR40,ChurnSeasonTable,4,FALSE)),1)*BlendedPricePremAnnual*PU40+QG16*POWER(1-(AnnualChurn*VLOOKUP(PR40,ChurnSeasonTable,4,FALSE)),2)*BlendedPricePremAnnual*PU40+QH28*POWER(1-(AnnualChurn*VLOOKUP(PR40,ChurnSeasonTable,4,FALSE)),1)*BlendedPriceEliteAnnual*PU40+QH16*POWER(1-(AnnualChurn*VLOOKUP(PR40,ChurnSeasonTable,4,FALSE)),2)*BlendedPriceEliteAnnual*PU40</f>
        <v/>
      </c>
      <c r="QU40" s="9">
        <f>QR40+QS40+QT40</f>
        <v/>
      </c>
      <c r="QV40" s="12">
        <f>SUM(QU29:QU40)</f>
        <v/>
      </c>
      <c r="QW40" s="12">
        <f>OR(QW39,IF(VATAgentMode,SUM($QU29:$QU40)-SUM($RB29:$RB40)&gt;=VATThreshold,SUM($QU29:$QU40)&gt;=VATThreshold))</f>
        <v/>
      </c>
      <c r="QX40" s="9">
        <f>IF(QW40,IF(VATAgentMode,QU40-((QU40-RB40)-(QU40-RB40)/(1+VATRate)),QU40/(1+VATRate)),QU40)</f>
        <v/>
      </c>
      <c r="QY40" s="12">
        <f>QU40-QX40</f>
        <v/>
      </c>
      <c r="QZ40" s="12">
        <f>IF(QW40=0,0,IF(PR40=1,SUMPRODUCT(--(($PS$5:$PS40=$PS40-1)*($PR$5:$PR40&gt;=10)*($PR$5:$PR40&lt;=12)),$QY$5:$QY40),IF(PR40=4,SUMPRODUCT(--(($PS$5:$PS40=$PS40)*($PR$5:$PR40&gt;=1)*($PR$5:$PR40&lt;=3)),$QY$5:$QY40),IF(PR40=7,SUMPRODUCT(--(($PS$5:$PS40=$PS40)*($PR$5:$PR40&gt;=4)*($PR$5:$PR40&lt;=6)),$QY$5:$QY40),IF(PR40=10,SUMPRODUCT(--(($PS$5:$PS40=$PS40)*($PR$5:$PR40&gt;=7)*($PR$5:$PR40&lt;=9)),$QY$5:$QY40),0)))))</f>
        <v/>
      </c>
      <c r="RA40" s="12">
        <f>RA39+QY40-QZ40</f>
        <v/>
      </c>
      <c r="RB40" s="12">
        <f>IF(ProviderDelay&gt;=1,QI39*BlendedProvPayEss+QJ39*BlendedProvPayPrem+QK39*BlendedProvPayElite+QL39*BlendedProvPayEss+QM39*BlendedProvPayPrem+QN39*BlendedProvPayElite,QI40*BlendedProvPayEss+QJ40*BlendedProvPayPrem+QK40*BlendedProvPayElite+QL40*BlendedProvPayEss+QM40*BlendedProvPayPrem+QN40*BlendedProvPayElite)</f>
        <v/>
      </c>
      <c r="RC40" s="12">
        <f>QU40*PaymentFee</f>
        <v/>
      </c>
      <c r="RD40" s="12">
        <f>QO40*OpsAI</f>
        <v/>
      </c>
      <c r="RE40" s="12">
        <f>MonthlyFixed</f>
        <v/>
      </c>
      <c r="RF40" s="12">
        <f>PY40*ReferralReward</f>
        <v/>
      </c>
      <c r="RG40" s="12">
        <f>PW40</f>
        <v/>
      </c>
      <c r="RH40" s="9">
        <f>QX40-RB40-RC40-RD40-RE40-RF40-RG40</f>
        <v/>
      </c>
      <c r="RI40" s="9">
        <f>RI39+QU40-(RB40+RC40+RD40+RE40+RF40+RG40+QZ40)</f>
        <v/>
      </c>
      <c r="RJ40" s="12">
        <f>IF(QO40&gt;0,QP40/QO40,0)</f>
        <v/>
      </c>
      <c r="RK40" s="11">
        <f>IF(QO39&gt;0,MAX(0,(QO39+PZ40-QO40)/QO39),0)</f>
        <v/>
      </c>
      <c r="RM40" s="12" t="n">
        <v>36</v>
      </c>
      <c r="RN40" s="12">
        <f>MOD(RM40-1+LaunchMonth-1,12)+1</f>
        <v/>
      </c>
      <c r="RO40" s="12">
        <f>INT((RM40-1+LaunchMonth-1)/12)+1</f>
        <v/>
      </c>
      <c r="RP40" s="12">
        <f>VLOOKUP(RN40,SeasonTable,2,FALSE)</f>
        <v/>
      </c>
      <c r="RQ40" s="12">
        <f>(1+InflationRate)^INT((RM40-1)/12)</f>
        <v/>
      </c>
      <c r="RR40" s="11">
        <f>'Sens - Churn'!$A$20*VLOOKUP(RN40,ChurnSeasonTable,4,FALSE)</f>
        <v/>
      </c>
      <c r="RS40" s="12">
        <f>MIN(MAX(MktMin19plus,SQ39*MktPct19plus),MAX(0,TE39-CashBuffer))</f>
        <v/>
      </c>
      <c r="RT40" s="12">
        <f>IF(RS40&gt;0,MAX(1,ROUND(RS40/CAC*RP40,0)),0)</f>
        <v/>
      </c>
      <c r="RU40" s="12">
        <f>IF(RT40&gt;0,ROUND(RT40*ReferralMix/(1-ReferralMix),0),0)</f>
        <v/>
      </c>
      <c r="RV40" s="12">
        <f>RT40+RU40</f>
        <v/>
      </c>
      <c r="RW40" s="12">
        <f>ROUND(RV40*(1-AnnualMix),0)</f>
        <v/>
      </c>
      <c r="RX40" s="12">
        <f>RV40-RW40</f>
        <v/>
      </c>
      <c r="RY40" s="12">
        <f>ROUND(RW40*EssentialMix,0)</f>
        <v/>
      </c>
      <c r="RZ40" s="12">
        <f>ROUND(RW40*PremiumMix,0)</f>
        <v/>
      </c>
      <c r="SA40" s="12">
        <f>RW40-RY40-RZ40</f>
        <v/>
      </c>
      <c r="SB40" s="12">
        <f>ROUND(RX40*EssentialMix,0)</f>
        <v/>
      </c>
      <c r="SC40" s="12">
        <f>ROUND(RX40*PremiumMix,0)</f>
        <v/>
      </c>
      <c r="SD40" s="12">
        <f>RX40-SB40-SC40</f>
        <v/>
      </c>
      <c r="SE40" s="12">
        <f>RY40+RY39+RY38+MAX(0,SE39-RY39-RY38)*(1-RR40)</f>
        <v/>
      </c>
      <c r="SF40" s="12">
        <f>RZ40+RZ39+RZ38+MAX(0,SF39-RZ39-RZ38)*(1-RR40)</f>
        <v/>
      </c>
      <c r="SG40" s="12">
        <f>SA40+SA39+SA38+MAX(0,SG39-SA39-SA38)*(1-RR40)</f>
        <v/>
      </c>
      <c r="SH40" s="12">
        <f>SH39+SB40-SB28*(AnnualChurn*VLOOKUP(RN40,ChurnSeasonTable,4,FALSE))*POWER(1-(AnnualChurn*VLOOKUP(RN40,ChurnSeasonTable,4,FALSE)),0)+SB16*(AnnualChurn*VLOOKUP(RN40,ChurnSeasonTable,4,FALSE))*POWER(1-(AnnualChurn*VLOOKUP(RN40,ChurnSeasonTable,4,FALSE)),1)</f>
        <v/>
      </c>
      <c r="SI40" s="12">
        <f>SI39+SC40-SC28*(AnnualChurn*VLOOKUP(RN40,ChurnSeasonTable,4,FALSE))*POWER(1-(AnnualChurn*VLOOKUP(RN40,ChurnSeasonTable,4,FALSE)),0)+SC16*(AnnualChurn*VLOOKUP(RN40,ChurnSeasonTable,4,FALSE))*POWER(1-(AnnualChurn*VLOOKUP(RN40,ChurnSeasonTable,4,FALSE)),1)</f>
        <v/>
      </c>
      <c r="SJ40" s="12">
        <f>SJ39+SD40-SD28*(AnnualChurn*VLOOKUP(RN40,ChurnSeasonTable,4,FALSE))*POWER(1-(AnnualChurn*VLOOKUP(RN40,ChurnSeasonTable,4,FALSE)),0)+SD16*(AnnualChurn*VLOOKUP(RN40,ChurnSeasonTable,4,FALSE))*POWER(1-(AnnualChurn*VLOOKUP(RN40,ChurnSeasonTable,4,FALSE)),1)</f>
        <v/>
      </c>
      <c r="SK40" s="12">
        <f>SE40+SF40+SG40+SH40+SI40+SJ40</f>
        <v/>
      </c>
      <c r="SL40" s="9">
        <f>SE40*BlendedPriceEssMonthly*RQ40+SF40*BlendedPricePremMonthly*RQ40+SG40*BlendedPriceEliteMonthly*RQ40+SH40*BlendedPriceEssAnnual*RQ40/12+SI40*BlendedPricePremAnnual*RQ40/12+SJ40*BlendedPriceEliteAnnual*RQ40/12</f>
        <v/>
      </c>
      <c r="SM40" s="9">
        <f>SL40*12</f>
        <v/>
      </c>
      <c r="SN40" s="12">
        <f>SE40*BlendedPriceEssMonthly*RQ40+SF40*BlendedPricePremMonthly*RQ40+SG40*BlendedPriceEliteMonthly*RQ40</f>
        <v/>
      </c>
      <c r="SO40" s="12">
        <f>SB40*BlendedPriceEssAnnual*RQ40+SC40*BlendedPricePremAnnual*RQ40+SD40*BlendedPriceEliteAnnual*RQ40</f>
        <v/>
      </c>
      <c r="SP40" s="12">
        <f>SB28*POWER(1-(AnnualChurn*VLOOKUP(RN40,ChurnSeasonTable,4,FALSE)),1)*BlendedPriceEssAnnual*RQ40+SB16*POWER(1-(AnnualChurn*VLOOKUP(RN40,ChurnSeasonTable,4,FALSE)),2)*BlendedPriceEssAnnual*RQ40+SC28*POWER(1-(AnnualChurn*VLOOKUP(RN40,ChurnSeasonTable,4,FALSE)),1)*BlendedPricePremAnnual*RQ40+SC16*POWER(1-(AnnualChurn*VLOOKUP(RN40,ChurnSeasonTable,4,FALSE)),2)*BlendedPricePremAnnual*RQ40+SD28*POWER(1-(AnnualChurn*VLOOKUP(RN40,ChurnSeasonTable,4,FALSE)),1)*BlendedPriceEliteAnnual*RQ40+SD16*POWER(1-(AnnualChurn*VLOOKUP(RN40,ChurnSeasonTable,4,FALSE)),2)*BlendedPriceEliteAnnual*RQ40</f>
        <v/>
      </c>
      <c r="SQ40" s="9">
        <f>SN40+SO40+SP40</f>
        <v/>
      </c>
      <c r="SR40" s="12">
        <f>SUM(SQ29:SQ40)</f>
        <v/>
      </c>
      <c r="SS40" s="12">
        <f>OR(SS39,IF(VATAgentMode,SUM($SQ29:$SQ40)-SUM($SX29:$SX40)&gt;=VATThreshold,SUM($SQ29:$SQ40)&gt;=VATThreshold))</f>
        <v/>
      </c>
      <c r="ST40" s="9">
        <f>IF(SS40,IF(VATAgentMode,SQ40-((SQ40-SX40)-(SQ40-SX40)/(1+VATRate)),SQ40/(1+VATRate)),SQ40)</f>
        <v/>
      </c>
      <c r="SU40" s="12">
        <f>SQ40-ST40</f>
        <v/>
      </c>
      <c r="SV40" s="12">
        <f>IF(SS40=0,0,IF(RN40=1,SUMPRODUCT(--(($RO$5:$RO40=$RO40-1)*($RN$5:$RN40&gt;=10)*($RN$5:$RN40&lt;=12)),$SU$5:$SU40),IF(RN40=4,SUMPRODUCT(--(($RO$5:$RO40=$RO40)*($RN$5:$RN40&gt;=1)*($RN$5:$RN40&lt;=3)),$SU$5:$SU40),IF(RN40=7,SUMPRODUCT(--(($RO$5:$RO40=$RO40)*($RN$5:$RN40&gt;=4)*($RN$5:$RN40&lt;=6)),$SU$5:$SU40),IF(RN40=10,SUMPRODUCT(--(($RO$5:$RO40=$RO40)*($RN$5:$RN40&gt;=7)*($RN$5:$RN40&lt;=9)),$SU$5:$SU40),0)))))</f>
        <v/>
      </c>
      <c r="SW40" s="12">
        <f>SW39+SU40-SV40</f>
        <v/>
      </c>
      <c r="SX40" s="12">
        <f>IF(ProviderDelay&gt;=1,SE39*BlendedProvPayEss+SF39*BlendedProvPayPrem+SG39*BlendedProvPayElite+SH39*BlendedProvPayEss+SI39*BlendedProvPayPrem+SJ39*BlendedProvPayElite,SE40*BlendedProvPayEss+SF40*BlendedProvPayPrem+SG40*BlendedProvPayElite+SH40*BlendedProvPayEss+SI40*BlendedProvPayPrem+SJ40*BlendedProvPayElite)</f>
        <v/>
      </c>
      <c r="SY40" s="12">
        <f>SQ40*PaymentFee</f>
        <v/>
      </c>
      <c r="SZ40" s="12">
        <f>SK40*OpsAI</f>
        <v/>
      </c>
      <c r="TA40" s="12">
        <f>MonthlyFixed</f>
        <v/>
      </c>
      <c r="TB40" s="12">
        <f>RU40*ReferralReward</f>
        <v/>
      </c>
      <c r="TC40" s="12">
        <f>RS40</f>
        <v/>
      </c>
      <c r="TD40" s="9">
        <f>ST40-SX40-SY40-SZ40-TA40-TB40-TC40</f>
        <v/>
      </c>
      <c r="TE40" s="9">
        <f>TE39+SQ40-(SX40+SY40+SZ40+TA40+TB40+TC40+SV40)</f>
        <v/>
      </c>
      <c r="TF40" s="12">
        <f>IF(SK40&gt;0,SL40/SK40,0)</f>
        <v/>
      </c>
      <c r="TG40" s="11">
        <f>IF(SK39&gt;0,MAX(0,(SK39+RV40-SK40)/SK39),0)</f>
        <v/>
      </c>
      <c r="TI40" s="12" t="n">
        <v>36</v>
      </c>
      <c r="TJ40" s="12">
        <f>MOD(TI40-1+LaunchMonth-1,12)+1</f>
        <v/>
      </c>
      <c r="TK40" s="12">
        <f>INT((TI40-1+LaunchMonth-1)/12)+1</f>
        <v/>
      </c>
      <c r="TL40" s="12">
        <f>VLOOKUP(TJ40,SeasonTable,2,FALSE)</f>
        <v/>
      </c>
      <c r="TM40" s="12">
        <f>(1+InflationRate)^INT((TI40-1)/12)</f>
        <v/>
      </c>
      <c r="TN40" s="11">
        <f>'Sens - Churn'!$A$21*VLOOKUP(TJ40,ChurnSeasonTable,4,FALSE)</f>
        <v/>
      </c>
      <c r="TO40" s="12">
        <f>MIN(MAX(MktMin19plus,UM39*MktPct19plus),MAX(0,VA39-CashBuffer))</f>
        <v/>
      </c>
      <c r="TP40" s="12">
        <f>IF(TO40&gt;0,MAX(1,ROUND(TO40/CAC*TL40,0)),0)</f>
        <v/>
      </c>
      <c r="TQ40" s="12">
        <f>IF(TP40&gt;0,ROUND(TP40*ReferralMix/(1-ReferralMix),0),0)</f>
        <v/>
      </c>
      <c r="TR40" s="12">
        <f>TP40+TQ40</f>
        <v/>
      </c>
      <c r="TS40" s="12">
        <f>ROUND(TR40*(1-AnnualMix),0)</f>
        <v/>
      </c>
      <c r="TT40" s="12">
        <f>TR40-TS40</f>
        <v/>
      </c>
      <c r="TU40" s="12">
        <f>ROUND(TS40*EssentialMix,0)</f>
        <v/>
      </c>
      <c r="TV40" s="12">
        <f>ROUND(TS40*PremiumMix,0)</f>
        <v/>
      </c>
      <c r="TW40" s="12">
        <f>TS40-TU40-TV40</f>
        <v/>
      </c>
      <c r="TX40" s="12">
        <f>ROUND(TT40*EssentialMix,0)</f>
        <v/>
      </c>
      <c r="TY40" s="12">
        <f>ROUND(TT40*PremiumMix,0)</f>
        <v/>
      </c>
      <c r="TZ40" s="12">
        <f>TT40-TX40-TY40</f>
        <v/>
      </c>
      <c r="UA40" s="12">
        <f>TU40+TU39+TU38+MAX(0,UA39-TU39-TU38)*(1-TN40)</f>
        <v/>
      </c>
      <c r="UB40" s="12">
        <f>TV40+TV39+TV38+MAX(0,UB39-TV39-TV38)*(1-TN40)</f>
        <v/>
      </c>
      <c r="UC40" s="12">
        <f>TW40+TW39+TW38+MAX(0,UC39-TW39-TW38)*(1-TN40)</f>
        <v/>
      </c>
      <c r="UD40" s="12">
        <f>UD39+TX40-TX28*(AnnualChurn*VLOOKUP(TJ40,ChurnSeasonTable,4,FALSE))*POWER(1-(AnnualChurn*VLOOKUP(TJ40,ChurnSeasonTable,4,FALSE)),0)+TX16*(AnnualChurn*VLOOKUP(TJ40,ChurnSeasonTable,4,FALSE))*POWER(1-(AnnualChurn*VLOOKUP(TJ40,ChurnSeasonTable,4,FALSE)),1)</f>
        <v/>
      </c>
      <c r="UE40" s="12">
        <f>UE39+TY40-TY28*(AnnualChurn*VLOOKUP(TJ40,ChurnSeasonTable,4,FALSE))*POWER(1-(AnnualChurn*VLOOKUP(TJ40,ChurnSeasonTable,4,FALSE)),0)+TY16*(AnnualChurn*VLOOKUP(TJ40,ChurnSeasonTable,4,FALSE))*POWER(1-(AnnualChurn*VLOOKUP(TJ40,ChurnSeasonTable,4,FALSE)),1)</f>
        <v/>
      </c>
      <c r="UF40" s="12">
        <f>UF39+TZ40-TZ28*(AnnualChurn*VLOOKUP(TJ40,ChurnSeasonTable,4,FALSE))*POWER(1-(AnnualChurn*VLOOKUP(TJ40,ChurnSeasonTable,4,FALSE)),0)+TZ16*(AnnualChurn*VLOOKUP(TJ40,ChurnSeasonTable,4,FALSE))*POWER(1-(AnnualChurn*VLOOKUP(TJ40,ChurnSeasonTable,4,FALSE)),1)</f>
        <v/>
      </c>
      <c r="UG40" s="12">
        <f>UA40+UB40+UC40+UD40+UE40+UF40</f>
        <v/>
      </c>
      <c r="UH40" s="9">
        <f>UA40*BlendedPriceEssMonthly*TM40+UB40*BlendedPricePremMonthly*TM40+UC40*BlendedPriceEliteMonthly*TM40+UD40*BlendedPriceEssAnnual*TM40/12+UE40*BlendedPricePremAnnual*TM40/12+UF40*BlendedPriceEliteAnnual*TM40/12</f>
        <v/>
      </c>
      <c r="UI40" s="9">
        <f>UH40*12</f>
        <v/>
      </c>
      <c r="UJ40" s="12">
        <f>UA40*BlendedPriceEssMonthly*TM40+UB40*BlendedPricePremMonthly*TM40+UC40*BlendedPriceEliteMonthly*TM40</f>
        <v/>
      </c>
      <c r="UK40" s="12">
        <f>TX40*BlendedPriceEssAnnual*TM40+TY40*BlendedPricePremAnnual*TM40+TZ40*BlendedPriceEliteAnnual*TM40</f>
        <v/>
      </c>
      <c r="UL40" s="12">
        <f>TX28*POWER(1-(AnnualChurn*VLOOKUP(TJ40,ChurnSeasonTable,4,FALSE)),1)*BlendedPriceEssAnnual*TM40+TX16*POWER(1-(AnnualChurn*VLOOKUP(TJ40,ChurnSeasonTable,4,FALSE)),2)*BlendedPriceEssAnnual*TM40+TY28*POWER(1-(AnnualChurn*VLOOKUP(TJ40,ChurnSeasonTable,4,FALSE)),1)*BlendedPricePremAnnual*TM40+TY16*POWER(1-(AnnualChurn*VLOOKUP(TJ40,ChurnSeasonTable,4,FALSE)),2)*BlendedPricePremAnnual*TM40+TZ28*POWER(1-(AnnualChurn*VLOOKUP(TJ40,ChurnSeasonTable,4,FALSE)),1)*BlendedPriceEliteAnnual*TM40+TZ16*POWER(1-(AnnualChurn*VLOOKUP(TJ40,ChurnSeasonTable,4,FALSE)),2)*BlendedPriceEliteAnnual*TM40</f>
        <v/>
      </c>
      <c r="UM40" s="9">
        <f>UJ40+UK40+UL40</f>
        <v/>
      </c>
      <c r="UN40" s="12">
        <f>SUM(UM29:UM40)</f>
        <v/>
      </c>
      <c r="UO40" s="12">
        <f>OR(UO39,IF(VATAgentMode,SUM($UM29:$UM40)-SUM($UT29:$UT40)&gt;=VATThreshold,SUM($UM29:$UM40)&gt;=VATThreshold))</f>
        <v/>
      </c>
      <c r="UP40" s="9">
        <f>IF(UO40,IF(VATAgentMode,UM40-((UM40-UT40)-(UM40-UT40)/(1+VATRate)),UM40/(1+VATRate)),UM40)</f>
        <v/>
      </c>
      <c r="UQ40" s="12">
        <f>UM40-UP40</f>
        <v/>
      </c>
      <c r="UR40" s="12">
        <f>IF(UO40=0,0,IF(TJ40=1,SUMPRODUCT(--(($TK$5:$TK40=$TK40-1)*($TJ$5:$TJ40&gt;=10)*($TJ$5:$TJ40&lt;=12)),$UQ$5:$UQ40),IF(TJ40=4,SUMPRODUCT(--(($TK$5:$TK40=$TK40)*($TJ$5:$TJ40&gt;=1)*($TJ$5:$TJ40&lt;=3)),$UQ$5:$UQ40),IF(TJ40=7,SUMPRODUCT(--(($TK$5:$TK40=$TK40)*($TJ$5:$TJ40&gt;=4)*($TJ$5:$TJ40&lt;=6)),$UQ$5:$UQ40),IF(TJ40=10,SUMPRODUCT(--(($TK$5:$TK40=$TK40)*($TJ$5:$TJ40&gt;=7)*($TJ$5:$TJ40&lt;=9)),$UQ$5:$UQ40),0)))))</f>
        <v/>
      </c>
      <c r="US40" s="12">
        <f>US39+UQ40-UR40</f>
        <v/>
      </c>
      <c r="UT40" s="12">
        <f>IF(ProviderDelay&gt;=1,UA39*BlendedProvPayEss+UB39*BlendedProvPayPrem+UC39*BlendedProvPayElite+UD39*BlendedProvPayEss+UE39*BlendedProvPayPrem+UF39*BlendedProvPayElite,UA40*BlendedProvPayEss+UB40*BlendedProvPayPrem+UC40*BlendedProvPayElite+UD40*BlendedProvPayEss+UE40*BlendedProvPayPrem+UF40*BlendedProvPayElite)</f>
        <v/>
      </c>
      <c r="UU40" s="12">
        <f>UM40*PaymentFee</f>
        <v/>
      </c>
      <c r="UV40" s="12">
        <f>UG40*OpsAI</f>
        <v/>
      </c>
      <c r="UW40" s="12">
        <f>MonthlyFixed</f>
        <v/>
      </c>
      <c r="UX40" s="12">
        <f>TQ40*ReferralReward</f>
        <v/>
      </c>
      <c r="UY40" s="12">
        <f>TO40</f>
        <v/>
      </c>
      <c r="UZ40" s="9">
        <f>UP40-UT40-UU40-UV40-UW40-UX40-UY40</f>
        <v/>
      </c>
      <c r="VA40" s="9">
        <f>VA39+UM40-(UT40+UU40+UV40+UW40+UX40+UY40+UR40)</f>
        <v/>
      </c>
      <c r="VB40" s="12">
        <f>IF(UG40&gt;0,UH40/UG40,0)</f>
        <v/>
      </c>
      <c r="VC40" s="11">
        <f>IF(UG39&gt;0,MAX(0,(UG39+TR40-UG40)/UG39),0)</f>
        <v/>
      </c>
      <c r="VE40" s="12" t="n">
        <v>36</v>
      </c>
      <c r="VF40" s="12">
        <f>MOD(VE40-1+LaunchMonth-1,12)+1</f>
        <v/>
      </c>
      <c r="VG40" s="12">
        <f>INT((VE40-1+LaunchMonth-1)/12)+1</f>
        <v/>
      </c>
      <c r="VH40" s="12">
        <f>VLOOKUP(VF40,SeasonTable,2,FALSE)</f>
        <v/>
      </c>
      <c r="VI40" s="12">
        <f>(1+InflationRate)^INT((VE40-1)/12)</f>
        <v/>
      </c>
      <c r="VJ40" s="11">
        <f>MonthlyChurn*VLOOKUP(VF40,ChurnSeasonTable,4,FALSE)</f>
        <v/>
      </c>
      <c r="VK40" s="12">
        <f>MIN(MAX(MktMin19plus,WI39*MktPct19plus),MAX(0,WW39-CashBuffer))</f>
        <v/>
      </c>
      <c r="VL40" s="12">
        <f>IF(VK40&gt;0,MAX(1,ROUND(VK40/CAC*VH40,0)),0)</f>
        <v/>
      </c>
      <c r="VM40" s="12">
        <f>IF(VL40&gt;0,ROUND(VL40*ReferralMix/(1-ReferralMix),0),0)</f>
        <v/>
      </c>
      <c r="VN40" s="12">
        <f>VL40+VM40</f>
        <v/>
      </c>
      <c r="VO40" s="12">
        <f>ROUND(VN40*(1-'Sens - Annual Mix'!$A$9),0)</f>
        <v/>
      </c>
      <c r="VP40" s="12">
        <f>VN40-VO40</f>
        <v/>
      </c>
      <c r="VQ40" s="12">
        <f>ROUND(VO40*EssentialMix,0)</f>
        <v/>
      </c>
      <c r="VR40" s="12">
        <f>ROUND(VO40*PremiumMix,0)</f>
        <v/>
      </c>
      <c r="VS40" s="12">
        <f>VO40-VQ40-VR40</f>
        <v/>
      </c>
      <c r="VT40" s="12">
        <f>ROUND(VP40*EssentialMix,0)</f>
        <v/>
      </c>
      <c r="VU40" s="12">
        <f>ROUND(VP40*PremiumMix,0)</f>
        <v/>
      </c>
      <c r="VV40" s="12">
        <f>VP40-VT40-VU40</f>
        <v/>
      </c>
      <c r="VW40" s="12">
        <f>VQ40+VQ39+VQ38+MAX(0,VW39-VQ39-VQ38)*(1-VJ40)</f>
        <v/>
      </c>
      <c r="VX40" s="12">
        <f>VR40+VR39+VR38+MAX(0,VX39-VR39-VR38)*(1-VJ40)</f>
        <v/>
      </c>
      <c r="VY40" s="12">
        <f>VS40+VS39+VS38+MAX(0,VY39-VS39-VS38)*(1-VJ40)</f>
        <v/>
      </c>
      <c r="VZ40" s="12">
        <f>VZ39+VT40-VT28*(AnnualChurn*VLOOKUP(VF40,ChurnSeasonTable,4,FALSE))*POWER(1-(AnnualChurn*VLOOKUP(VF40,ChurnSeasonTable,4,FALSE)),0)+VT16*(AnnualChurn*VLOOKUP(VF40,ChurnSeasonTable,4,FALSE))*POWER(1-(AnnualChurn*VLOOKUP(VF40,ChurnSeasonTable,4,FALSE)),1)</f>
        <v/>
      </c>
      <c r="WA40" s="12">
        <f>WA39+VU40-VU28*(AnnualChurn*VLOOKUP(VF40,ChurnSeasonTable,4,FALSE))*POWER(1-(AnnualChurn*VLOOKUP(VF40,ChurnSeasonTable,4,FALSE)),0)+VU16*(AnnualChurn*VLOOKUP(VF40,ChurnSeasonTable,4,FALSE))*POWER(1-(AnnualChurn*VLOOKUP(VF40,ChurnSeasonTable,4,FALSE)),1)</f>
        <v/>
      </c>
      <c r="WB40" s="12">
        <f>WB39+VV40-VV28*(AnnualChurn*VLOOKUP(VF40,ChurnSeasonTable,4,FALSE))*POWER(1-(AnnualChurn*VLOOKUP(VF40,ChurnSeasonTable,4,FALSE)),0)+VV16*(AnnualChurn*VLOOKUP(VF40,ChurnSeasonTable,4,FALSE))*POWER(1-(AnnualChurn*VLOOKUP(VF40,ChurnSeasonTable,4,FALSE)),1)</f>
        <v/>
      </c>
      <c r="WC40" s="12">
        <f>VW40+VX40+VY40+VZ40+WA40+WB40</f>
        <v/>
      </c>
      <c r="WD40" s="9">
        <f>VW40*BlendedPriceEssMonthly*VI40+VX40*BlendedPricePremMonthly*VI40+VY40*BlendedPriceEliteMonthly*VI40+VZ40*BlendedPriceEssAnnual*VI40/12+WA40*BlendedPricePremAnnual*VI40/12+WB40*BlendedPriceEliteAnnual*VI40/12</f>
        <v/>
      </c>
      <c r="WE40" s="9">
        <f>WD40*12</f>
        <v/>
      </c>
      <c r="WF40" s="12">
        <f>VW40*BlendedPriceEssMonthly*VI40+VX40*BlendedPricePremMonthly*VI40+VY40*BlendedPriceEliteMonthly*VI40</f>
        <v/>
      </c>
      <c r="WG40" s="12">
        <f>VT40*BlendedPriceEssAnnual*VI40+VU40*BlendedPricePremAnnual*VI40+VV40*BlendedPriceEliteAnnual*VI40</f>
        <v/>
      </c>
      <c r="WH40" s="12">
        <f>VT28*POWER(1-(AnnualChurn*VLOOKUP(VF40,ChurnSeasonTable,4,FALSE)),1)*BlendedPriceEssAnnual*VI40+VT16*POWER(1-(AnnualChurn*VLOOKUP(VF40,ChurnSeasonTable,4,FALSE)),2)*BlendedPriceEssAnnual*VI40+VU28*POWER(1-(AnnualChurn*VLOOKUP(VF40,ChurnSeasonTable,4,FALSE)),1)*BlendedPricePremAnnual*VI40+VU16*POWER(1-(AnnualChurn*VLOOKUP(VF40,ChurnSeasonTable,4,FALSE)),2)*BlendedPricePremAnnual*VI40+VV28*POWER(1-(AnnualChurn*VLOOKUP(VF40,ChurnSeasonTable,4,FALSE)),1)*BlendedPriceEliteAnnual*VI40+VV16*POWER(1-(AnnualChurn*VLOOKUP(VF40,ChurnSeasonTable,4,FALSE)),2)*BlendedPriceEliteAnnual*VI40</f>
        <v/>
      </c>
      <c r="WI40" s="9">
        <f>WF40+WG40+WH40</f>
        <v/>
      </c>
      <c r="WJ40" s="12">
        <f>SUM(WI29:WI40)</f>
        <v/>
      </c>
      <c r="WK40" s="12">
        <f>OR(WK39,IF(VATAgentMode,SUM($WI29:$WI40)-SUM($WP29:$WP40)&gt;=VATThreshold,SUM($WI29:$WI40)&gt;=VATThreshold))</f>
        <v/>
      </c>
      <c r="WL40" s="9">
        <f>IF(WK40,IF(VATAgentMode,WI40-((WI40-WP40)-(WI40-WP40)/(1+VATRate)),WI40/(1+VATRate)),WI40)</f>
        <v/>
      </c>
      <c r="WM40" s="12">
        <f>WI40-WL40</f>
        <v/>
      </c>
      <c r="WN40" s="12">
        <f>IF(WK40=0,0,IF(VF40=1,SUMPRODUCT(--(($VG$5:$VG40=$VG40-1)*($VF$5:$VF40&gt;=10)*($VF$5:$VF40&lt;=12)),$WM$5:$WM40),IF(VF40=4,SUMPRODUCT(--(($VG$5:$VG40=$VG40)*($VF$5:$VF40&gt;=1)*($VF$5:$VF40&lt;=3)),$WM$5:$WM40),IF(VF40=7,SUMPRODUCT(--(($VG$5:$VG40=$VG40)*($VF$5:$VF40&gt;=4)*($VF$5:$VF40&lt;=6)),$WM$5:$WM40),IF(VF40=10,SUMPRODUCT(--(($VG$5:$VG40=$VG40)*($VF$5:$VF40&gt;=7)*($VF$5:$VF40&lt;=9)),$WM$5:$WM40),0)))))</f>
        <v/>
      </c>
      <c r="WO40" s="12">
        <f>WO39+WM40-WN40</f>
        <v/>
      </c>
      <c r="WP40" s="12">
        <f>IF(ProviderDelay&gt;=1,VW39*BlendedProvPayEss+VX39*BlendedProvPayPrem+VY39*BlendedProvPayElite+VZ39*BlendedProvPayEss+WA39*BlendedProvPayPrem+WB39*BlendedProvPayElite,VW40*BlendedProvPayEss+VX40*BlendedProvPayPrem+VY40*BlendedProvPayElite+VZ40*BlendedProvPayEss+WA40*BlendedProvPayPrem+WB40*BlendedProvPayElite)</f>
        <v/>
      </c>
      <c r="WQ40" s="12">
        <f>WI40*PaymentFee</f>
        <v/>
      </c>
      <c r="WR40" s="12">
        <f>WC40*OpsAI</f>
        <v/>
      </c>
      <c r="WS40" s="12">
        <f>MonthlyFixed</f>
        <v/>
      </c>
      <c r="WT40" s="12">
        <f>VM40*ReferralReward</f>
        <v/>
      </c>
      <c r="WU40" s="12">
        <f>VK40</f>
        <v/>
      </c>
      <c r="WV40" s="9">
        <f>WL40-WP40-WQ40-WR40-WS40-WT40-WU40</f>
        <v/>
      </c>
      <c r="WW40" s="9">
        <f>WW39+WI40-(WP40+WQ40+WR40+WS40+WT40+WU40+WN40)</f>
        <v/>
      </c>
      <c r="WX40" s="12">
        <f>IF(WC40&gt;0,WD40/WC40,0)</f>
        <v/>
      </c>
      <c r="WY40" s="11">
        <f>IF(WC39&gt;0,MAX(0,(WC39+VN40-WC40)/WC39),0)</f>
        <v/>
      </c>
      <c r="XA40" s="12" t="n">
        <v>36</v>
      </c>
      <c r="XB40" s="12">
        <f>MOD(XA40-1+LaunchMonth-1,12)+1</f>
        <v/>
      </c>
      <c r="XC40" s="12">
        <f>INT((XA40-1+LaunchMonth-1)/12)+1</f>
        <v/>
      </c>
      <c r="XD40" s="12">
        <f>VLOOKUP(XB40,SeasonTable,2,FALSE)</f>
        <v/>
      </c>
      <c r="XE40" s="12">
        <f>(1+InflationRate)^INT((XA40-1)/12)</f>
        <v/>
      </c>
      <c r="XF40" s="11">
        <f>MonthlyChurn*VLOOKUP(XB40,ChurnSeasonTable,4,FALSE)</f>
        <v/>
      </c>
      <c r="XG40" s="12">
        <f>MIN(MAX(MktMin19plus,YE39*MktPct19plus),MAX(0,YS39-CashBuffer))</f>
        <v/>
      </c>
      <c r="XH40" s="12">
        <f>IF(XG40&gt;0,MAX(1,ROUND(XG40/CAC*XD40,0)),0)</f>
        <v/>
      </c>
      <c r="XI40" s="12">
        <f>IF(XH40&gt;0,ROUND(XH40*ReferralMix/(1-ReferralMix),0),0)</f>
        <v/>
      </c>
      <c r="XJ40" s="12">
        <f>XH40+XI40</f>
        <v/>
      </c>
      <c r="XK40" s="12">
        <f>ROUND(XJ40*(1-'Sens - Annual Mix'!$A$10),0)</f>
        <v/>
      </c>
      <c r="XL40" s="12">
        <f>XJ40-XK40</f>
        <v/>
      </c>
      <c r="XM40" s="12">
        <f>ROUND(XK40*EssentialMix,0)</f>
        <v/>
      </c>
      <c r="XN40" s="12">
        <f>ROUND(XK40*PremiumMix,0)</f>
        <v/>
      </c>
      <c r="XO40" s="12">
        <f>XK40-XM40-XN40</f>
        <v/>
      </c>
      <c r="XP40" s="12">
        <f>ROUND(XL40*EssentialMix,0)</f>
        <v/>
      </c>
      <c r="XQ40" s="12">
        <f>ROUND(XL40*PremiumMix,0)</f>
        <v/>
      </c>
      <c r="XR40" s="12">
        <f>XL40-XP40-XQ40</f>
        <v/>
      </c>
      <c r="XS40" s="12">
        <f>XM40+XM39+XM38+MAX(0,XS39-XM39-XM38)*(1-XF40)</f>
        <v/>
      </c>
      <c r="XT40" s="12">
        <f>XN40+XN39+XN38+MAX(0,XT39-XN39-XN38)*(1-XF40)</f>
        <v/>
      </c>
      <c r="XU40" s="12">
        <f>XO40+XO39+XO38+MAX(0,XU39-XO39-XO38)*(1-XF40)</f>
        <v/>
      </c>
      <c r="XV40" s="12">
        <f>XV39+XP40-XP28*(AnnualChurn*VLOOKUP(XB40,ChurnSeasonTable,4,FALSE))*POWER(1-(AnnualChurn*VLOOKUP(XB40,ChurnSeasonTable,4,FALSE)),0)+XP16*(AnnualChurn*VLOOKUP(XB40,ChurnSeasonTable,4,FALSE))*POWER(1-(AnnualChurn*VLOOKUP(XB40,ChurnSeasonTable,4,FALSE)),1)</f>
        <v/>
      </c>
      <c r="XW40" s="12">
        <f>XW39+XQ40-XQ28*(AnnualChurn*VLOOKUP(XB40,ChurnSeasonTable,4,FALSE))*POWER(1-(AnnualChurn*VLOOKUP(XB40,ChurnSeasonTable,4,FALSE)),0)+XQ16*(AnnualChurn*VLOOKUP(XB40,ChurnSeasonTable,4,FALSE))*POWER(1-(AnnualChurn*VLOOKUP(XB40,ChurnSeasonTable,4,FALSE)),1)</f>
        <v/>
      </c>
      <c r="XX40" s="12">
        <f>XX39+XR40-XR28*(AnnualChurn*VLOOKUP(XB40,ChurnSeasonTable,4,FALSE))*POWER(1-(AnnualChurn*VLOOKUP(XB40,ChurnSeasonTable,4,FALSE)),0)+XR16*(AnnualChurn*VLOOKUP(XB40,ChurnSeasonTable,4,FALSE))*POWER(1-(AnnualChurn*VLOOKUP(XB40,ChurnSeasonTable,4,FALSE)),1)</f>
        <v/>
      </c>
      <c r="XY40" s="12">
        <f>XS40+XT40+XU40+XV40+XW40+XX40</f>
        <v/>
      </c>
      <c r="XZ40" s="9">
        <f>XS40*BlendedPriceEssMonthly*XE40+XT40*BlendedPricePremMonthly*XE40+XU40*BlendedPriceEliteMonthly*XE40+XV40*BlendedPriceEssAnnual*XE40/12+XW40*BlendedPricePremAnnual*XE40/12+XX40*BlendedPriceEliteAnnual*XE40/12</f>
        <v/>
      </c>
      <c r="YA40" s="9">
        <f>XZ40*12</f>
        <v/>
      </c>
      <c r="YB40" s="12">
        <f>XS40*BlendedPriceEssMonthly*XE40+XT40*BlendedPricePremMonthly*XE40+XU40*BlendedPriceEliteMonthly*XE40</f>
        <v/>
      </c>
      <c r="YC40" s="12">
        <f>XP40*BlendedPriceEssAnnual*XE40+XQ40*BlendedPricePremAnnual*XE40+XR40*BlendedPriceEliteAnnual*XE40</f>
        <v/>
      </c>
      <c r="YD40" s="12">
        <f>XP28*POWER(1-(AnnualChurn*VLOOKUP(XB40,ChurnSeasonTable,4,FALSE)),1)*BlendedPriceEssAnnual*XE40+XP16*POWER(1-(AnnualChurn*VLOOKUP(XB40,ChurnSeasonTable,4,FALSE)),2)*BlendedPriceEssAnnual*XE40+XQ28*POWER(1-(AnnualChurn*VLOOKUP(XB40,ChurnSeasonTable,4,FALSE)),1)*BlendedPricePremAnnual*XE40+XQ16*POWER(1-(AnnualChurn*VLOOKUP(XB40,ChurnSeasonTable,4,FALSE)),2)*BlendedPricePremAnnual*XE40+XR28*POWER(1-(AnnualChurn*VLOOKUP(XB40,ChurnSeasonTable,4,FALSE)),1)*BlendedPriceEliteAnnual*XE40+XR16*POWER(1-(AnnualChurn*VLOOKUP(XB40,ChurnSeasonTable,4,FALSE)),2)*BlendedPriceEliteAnnual*XE40</f>
        <v/>
      </c>
      <c r="YE40" s="9">
        <f>YB40+YC40+YD40</f>
        <v/>
      </c>
      <c r="YF40" s="12">
        <f>SUM(YE29:YE40)</f>
        <v/>
      </c>
      <c r="YG40" s="12">
        <f>OR(YG39,IF(VATAgentMode,SUM($YE29:$YE40)-SUM($YL29:$YL40)&gt;=VATThreshold,SUM($YE29:$YE40)&gt;=VATThreshold))</f>
        <v/>
      </c>
      <c r="YH40" s="9">
        <f>IF(YG40,IF(VATAgentMode,YE40-((YE40-YL40)-(YE40-YL40)/(1+VATRate)),YE40/(1+VATRate)),YE40)</f>
        <v/>
      </c>
      <c r="YI40" s="12">
        <f>YE40-YH40</f>
        <v/>
      </c>
      <c r="YJ40" s="12">
        <f>IF(YG40=0,0,IF(XB40=1,SUMPRODUCT(--(($XC$5:$XC40=$XC40-1)*($XB$5:$XB40&gt;=10)*($XB$5:$XB40&lt;=12)),$YI$5:$YI40),IF(XB40=4,SUMPRODUCT(--(($XC$5:$XC40=$XC40)*($XB$5:$XB40&gt;=1)*($XB$5:$XB40&lt;=3)),$YI$5:$YI40),IF(XB40=7,SUMPRODUCT(--(($XC$5:$XC40=$XC40)*($XB$5:$XB40&gt;=4)*($XB$5:$XB40&lt;=6)),$YI$5:$YI40),IF(XB40=10,SUMPRODUCT(--(($XC$5:$XC40=$XC40)*($XB$5:$XB40&gt;=7)*($XB$5:$XB40&lt;=9)),$YI$5:$YI40),0)))))</f>
        <v/>
      </c>
      <c r="YK40" s="12">
        <f>YK39+YI40-YJ40</f>
        <v/>
      </c>
      <c r="YL40" s="12">
        <f>IF(ProviderDelay&gt;=1,XS39*BlendedProvPayEss+XT39*BlendedProvPayPrem+XU39*BlendedProvPayElite+XV39*BlendedProvPayEss+XW39*BlendedProvPayPrem+XX39*BlendedProvPayElite,XS40*BlendedProvPayEss+XT40*BlendedProvPayPrem+XU40*BlendedProvPayElite+XV40*BlendedProvPayEss+XW40*BlendedProvPayPrem+XX40*BlendedProvPayElite)</f>
        <v/>
      </c>
      <c r="YM40" s="12">
        <f>YE40*PaymentFee</f>
        <v/>
      </c>
      <c r="YN40" s="12">
        <f>XY40*OpsAI</f>
        <v/>
      </c>
      <c r="YO40" s="12">
        <f>MonthlyFixed</f>
        <v/>
      </c>
      <c r="YP40" s="12">
        <f>XI40*ReferralReward</f>
        <v/>
      </c>
      <c r="YQ40" s="12">
        <f>XG40</f>
        <v/>
      </c>
      <c r="YR40" s="9">
        <f>YH40-YL40-YM40-YN40-YO40-YP40-YQ40</f>
        <v/>
      </c>
      <c r="YS40" s="9">
        <f>YS39+YE40-(YL40+YM40+YN40+YO40+YP40+YQ40+YJ40)</f>
        <v/>
      </c>
      <c r="YT40" s="12">
        <f>IF(XY40&gt;0,XZ40/XY40,0)</f>
        <v/>
      </c>
      <c r="YU40" s="11">
        <f>IF(XY39&gt;0,MAX(0,(XY39+XJ40-XY40)/XY39),0)</f>
        <v/>
      </c>
      <c r="YW40" s="12" t="n">
        <v>36</v>
      </c>
      <c r="YX40" s="12">
        <f>MOD(YW40-1+LaunchMonth-1,12)+1</f>
        <v/>
      </c>
      <c r="YY40" s="12">
        <f>INT((YW40-1+LaunchMonth-1)/12)+1</f>
        <v/>
      </c>
      <c r="YZ40" s="12">
        <f>VLOOKUP(YX40,SeasonTable,2,FALSE)</f>
        <v/>
      </c>
      <c r="ZA40" s="12">
        <f>(1+InflationRate)^INT((YW40-1)/12)</f>
        <v/>
      </c>
      <c r="ZB40" s="11">
        <f>MonthlyChurn*VLOOKUP(YX40,ChurnSeasonTable,4,FALSE)</f>
        <v/>
      </c>
      <c r="ZC40" s="12">
        <f>MIN(MAX(MktMin19plus,AAA39*MktPct19plus),MAX(0,AAO39-CashBuffer))</f>
        <v/>
      </c>
      <c r="ZD40" s="12">
        <f>IF(ZC40&gt;0,MAX(1,ROUND(ZC40/CAC*YZ40,0)),0)</f>
        <v/>
      </c>
      <c r="ZE40" s="12">
        <f>IF(ZD40&gt;0,ROUND(ZD40*ReferralMix/(1-ReferralMix),0),0)</f>
        <v/>
      </c>
      <c r="ZF40" s="12">
        <f>ZD40+ZE40</f>
        <v/>
      </c>
      <c r="ZG40" s="12">
        <f>ROUND(ZF40*(1-'Sens - Annual Mix'!$A$11),0)</f>
        <v/>
      </c>
      <c r="ZH40" s="12">
        <f>ZF40-ZG40</f>
        <v/>
      </c>
      <c r="ZI40" s="12">
        <f>ROUND(ZG40*EssentialMix,0)</f>
        <v/>
      </c>
      <c r="ZJ40" s="12">
        <f>ROUND(ZG40*PremiumMix,0)</f>
        <v/>
      </c>
      <c r="ZK40" s="12">
        <f>ZG40-ZI40-ZJ40</f>
        <v/>
      </c>
      <c r="ZL40" s="12">
        <f>ROUND(ZH40*EssentialMix,0)</f>
        <v/>
      </c>
      <c r="ZM40" s="12">
        <f>ROUND(ZH40*PremiumMix,0)</f>
        <v/>
      </c>
      <c r="ZN40" s="12">
        <f>ZH40-ZL40-ZM40</f>
        <v/>
      </c>
      <c r="ZO40" s="12">
        <f>ZI40+ZI39+ZI38+MAX(0,ZO39-ZI39-ZI38)*(1-ZB40)</f>
        <v/>
      </c>
      <c r="ZP40" s="12">
        <f>ZJ40+ZJ39+ZJ38+MAX(0,ZP39-ZJ39-ZJ38)*(1-ZB40)</f>
        <v/>
      </c>
      <c r="ZQ40" s="12">
        <f>ZK40+ZK39+ZK38+MAX(0,ZQ39-ZK39-ZK38)*(1-ZB40)</f>
        <v/>
      </c>
      <c r="ZR40" s="12">
        <f>ZR39+ZL40-ZL28*(AnnualChurn*VLOOKUP(YX40,ChurnSeasonTable,4,FALSE))*POWER(1-(AnnualChurn*VLOOKUP(YX40,ChurnSeasonTable,4,FALSE)),0)+ZL16*(AnnualChurn*VLOOKUP(YX40,ChurnSeasonTable,4,FALSE))*POWER(1-(AnnualChurn*VLOOKUP(YX40,ChurnSeasonTable,4,FALSE)),1)</f>
        <v/>
      </c>
      <c r="ZS40" s="12">
        <f>ZS39+ZM40-ZM28*(AnnualChurn*VLOOKUP(YX40,ChurnSeasonTable,4,FALSE))*POWER(1-(AnnualChurn*VLOOKUP(YX40,ChurnSeasonTable,4,FALSE)),0)+ZM16*(AnnualChurn*VLOOKUP(YX40,ChurnSeasonTable,4,FALSE))*POWER(1-(AnnualChurn*VLOOKUP(YX40,ChurnSeasonTable,4,FALSE)),1)</f>
        <v/>
      </c>
      <c r="ZT40" s="12">
        <f>ZT39+ZN40-ZN28*(AnnualChurn*VLOOKUP(YX40,ChurnSeasonTable,4,FALSE))*POWER(1-(AnnualChurn*VLOOKUP(YX40,ChurnSeasonTable,4,FALSE)),0)+ZN16*(AnnualChurn*VLOOKUP(YX40,ChurnSeasonTable,4,FALSE))*POWER(1-(AnnualChurn*VLOOKUP(YX40,ChurnSeasonTable,4,FALSE)),1)</f>
        <v/>
      </c>
      <c r="ZU40" s="12">
        <f>ZO40+ZP40+ZQ40+ZR40+ZS40+ZT40</f>
        <v/>
      </c>
      <c r="ZV40" s="9">
        <f>ZO40*BlendedPriceEssMonthly*ZA40+ZP40*BlendedPricePremMonthly*ZA40+ZQ40*BlendedPriceEliteMonthly*ZA40+ZR40*BlendedPriceEssAnnual*ZA40/12+ZS40*BlendedPricePremAnnual*ZA40/12+ZT40*BlendedPriceEliteAnnual*ZA40/12</f>
        <v/>
      </c>
      <c r="ZW40" s="9">
        <f>ZV40*12</f>
        <v/>
      </c>
      <c r="ZX40" s="12">
        <f>ZO40*BlendedPriceEssMonthly*ZA40+ZP40*BlendedPricePremMonthly*ZA40+ZQ40*BlendedPriceEliteMonthly*ZA40</f>
        <v/>
      </c>
      <c r="ZY40" s="12">
        <f>ZL40*BlendedPriceEssAnnual*ZA40+ZM40*BlendedPricePremAnnual*ZA40+ZN40*BlendedPriceEliteAnnual*ZA40</f>
        <v/>
      </c>
      <c r="ZZ40" s="12">
        <f>ZL28*POWER(1-(AnnualChurn*VLOOKUP(YX40,ChurnSeasonTable,4,FALSE)),1)*BlendedPriceEssAnnual*ZA40+ZL16*POWER(1-(AnnualChurn*VLOOKUP(YX40,ChurnSeasonTable,4,FALSE)),2)*BlendedPriceEssAnnual*ZA40+ZM28*POWER(1-(AnnualChurn*VLOOKUP(YX40,ChurnSeasonTable,4,FALSE)),1)*BlendedPricePremAnnual*ZA40+ZM16*POWER(1-(AnnualChurn*VLOOKUP(YX40,ChurnSeasonTable,4,FALSE)),2)*BlendedPricePremAnnual*ZA40+ZN28*POWER(1-(AnnualChurn*VLOOKUP(YX40,ChurnSeasonTable,4,FALSE)),1)*BlendedPriceEliteAnnual*ZA40+ZN16*POWER(1-(AnnualChurn*VLOOKUP(YX40,ChurnSeasonTable,4,FALSE)),2)*BlendedPriceEliteAnnual*ZA40</f>
        <v/>
      </c>
      <c r="AAA40" s="9">
        <f>ZX40+ZY40+ZZ40</f>
        <v/>
      </c>
      <c r="AAB40" s="12">
        <f>SUM(AAA29:AAA40)</f>
        <v/>
      </c>
      <c r="AAC40" s="12">
        <f>OR(AAC39,IF(VATAgentMode,SUM($AAA29:$AAA40)-SUM($AAH29:$AAH40)&gt;=VATThreshold,SUM($AAA29:$AAA40)&gt;=VATThreshold))</f>
        <v/>
      </c>
      <c r="AAD40" s="9">
        <f>IF(AAC40,IF(VATAgentMode,AAA40-((AAA40-AAH40)-(AAA40-AAH40)/(1+VATRate)),AAA40/(1+VATRate)),AAA40)</f>
        <v/>
      </c>
      <c r="AAE40" s="12">
        <f>AAA40-AAD40</f>
        <v/>
      </c>
      <c r="AAF40" s="12">
        <f>IF(AAC40=0,0,IF(YX40=1,SUMPRODUCT(--(($YY$5:$YY40=$YY40-1)*($YX$5:$YX40&gt;=10)*($YX$5:$YX40&lt;=12)),$AAE$5:$AAE40),IF(YX40=4,SUMPRODUCT(--(($YY$5:$YY40=$YY40)*($YX$5:$YX40&gt;=1)*($YX$5:$YX40&lt;=3)),$AAE$5:$AAE40),IF(YX40=7,SUMPRODUCT(--(($YY$5:$YY40=$YY40)*($YX$5:$YX40&gt;=4)*($YX$5:$YX40&lt;=6)),$AAE$5:$AAE40),IF(YX40=10,SUMPRODUCT(--(($YY$5:$YY40=$YY40)*($YX$5:$YX40&gt;=7)*($YX$5:$YX40&lt;=9)),$AAE$5:$AAE40),0)))))</f>
        <v/>
      </c>
      <c r="AAG40" s="12">
        <f>AAG39+AAE40-AAF40</f>
        <v/>
      </c>
      <c r="AAH40" s="12">
        <f>IF(ProviderDelay&gt;=1,ZO39*BlendedProvPayEss+ZP39*BlendedProvPayPrem+ZQ39*BlendedProvPayElite+ZR39*BlendedProvPayEss+ZS39*BlendedProvPayPrem+ZT39*BlendedProvPayElite,ZO40*BlendedProvPayEss+ZP40*BlendedProvPayPrem+ZQ40*BlendedProvPayElite+ZR40*BlendedProvPayEss+ZS40*BlendedProvPayPrem+ZT40*BlendedProvPayElite)</f>
        <v/>
      </c>
      <c r="AAI40" s="12">
        <f>AAA40*PaymentFee</f>
        <v/>
      </c>
      <c r="AAJ40" s="12">
        <f>ZU40*OpsAI</f>
        <v/>
      </c>
      <c r="AAK40" s="12">
        <f>MonthlyFixed</f>
        <v/>
      </c>
      <c r="AAL40" s="12">
        <f>ZE40*ReferralReward</f>
        <v/>
      </c>
      <c r="AAM40" s="12">
        <f>ZC40</f>
        <v/>
      </c>
      <c r="AAN40" s="9">
        <f>AAD40-AAH40-AAI40-AAJ40-AAK40-AAL40-AAM40</f>
        <v/>
      </c>
      <c r="AAO40" s="9">
        <f>AAO39+AAA40-(AAH40+AAI40+AAJ40+AAK40+AAL40+AAM40+AAF40)</f>
        <v/>
      </c>
      <c r="AAP40" s="12">
        <f>IF(ZU40&gt;0,ZV40/ZU40,0)</f>
        <v/>
      </c>
      <c r="AAQ40" s="11">
        <f>IF(ZU39&gt;0,MAX(0,(ZU39+ZF40-ZU40)/ZU39),0)</f>
        <v/>
      </c>
      <c r="AAS40" s="12" t="n">
        <v>36</v>
      </c>
      <c r="AAT40" s="12">
        <f>MOD(AAS40-1+LaunchMonth-1,12)+1</f>
        <v/>
      </c>
      <c r="AAU40" s="12">
        <f>INT((AAS40-1+LaunchMonth-1)/12)+1</f>
        <v/>
      </c>
      <c r="AAV40" s="12">
        <f>VLOOKUP(AAT40,SeasonTable,2,FALSE)</f>
        <v/>
      </c>
      <c r="AAW40" s="12">
        <f>(1+InflationRate)^INT((AAS40-1)/12)</f>
        <v/>
      </c>
      <c r="AAX40" s="11">
        <f>MonthlyChurn*VLOOKUP(AAT40,ChurnSeasonTable,4,FALSE)</f>
        <v/>
      </c>
      <c r="AAY40" s="12">
        <f>MIN(MAX(MktMin19plus,ABW39*MktPct19plus),MAX(0,ACK39-CashBuffer))</f>
        <v/>
      </c>
      <c r="AAZ40" s="12">
        <f>IF(AAY40&gt;0,MAX(1,ROUND(AAY40/CAC*AAV40,0)),0)</f>
        <v/>
      </c>
      <c r="ABA40" s="12">
        <f>IF(AAZ40&gt;0,ROUND(AAZ40*ReferralMix/(1-ReferralMix),0),0)</f>
        <v/>
      </c>
      <c r="ABB40" s="12">
        <f>AAZ40+ABA40</f>
        <v/>
      </c>
      <c r="ABC40" s="12">
        <f>ROUND(ABB40*(1-'Sens - Annual Mix'!$A$12),0)</f>
        <v/>
      </c>
      <c r="ABD40" s="12">
        <f>ABB40-ABC40</f>
        <v/>
      </c>
      <c r="ABE40" s="12">
        <f>ROUND(ABC40*EssentialMix,0)</f>
        <v/>
      </c>
      <c r="ABF40" s="12">
        <f>ROUND(ABC40*PremiumMix,0)</f>
        <v/>
      </c>
      <c r="ABG40" s="12">
        <f>ABC40-ABE40-ABF40</f>
        <v/>
      </c>
      <c r="ABH40" s="12">
        <f>ROUND(ABD40*EssentialMix,0)</f>
        <v/>
      </c>
      <c r="ABI40" s="12">
        <f>ROUND(ABD40*PremiumMix,0)</f>
        <v/>
      </c>
      <c r="ABJ40" s="12">
        <f>ABD40-ABH40-ABI40</f>
        <v/>
      </c>
      <c r="ABK40" s="12">
        <f>ABE40+ABE39+ABE38+MAX(0,ABK39-ABE39-ABE38)*(1-AAX40)</f>
        <v/>
      </c>
      <c r="ABL40" s="12">
        <f>ABF40+ABF39+ABF38+MAX(0,ABL39-ABF39-ABF38)*(1-AAX40)</f>
        <v/>
      </c>
      <c r="ABM40" s="12">
        <f>ABG40+ABG39+ABG38+MAX(0,ABM39-ABG39-ABG38)*(1-AAX40)</f>
        <v/>
      </c>
      <c r="ABN40" s="12">
        <f>ABN39+ABH40-ABH28*(AnnualChurn*VLOOKUP(AAT40,ChurnSeasonTable,4,FALSE))*POWER(1-(AnnualChurn*VLOOKUP(AAT40,ChurnSeasonTable,4,FALSE)),0)+ABH16*(AnnualChurn*VLOOKUP(AAT40,ChurnSeasonTable,4,FALSE))*POWER(1-(AnnualChurn*VLOOKUP(AAT40,ChurnSeasonTable,4,FALSE)),1)</f>
        <v/>
      </c>
      <c r="ABO40" s="12">
        <f>ABO39+ABI40-ABI28*(AnnualChurn*VLOOKUP(AAT40,ChurnSeasonTable,4,FALSE))*POWER(1-(AnnualChurn*VLOOKUP(AAT40,ChurnSeasonTable,4,FALSE)),0)+ABI16*(AnnualChurn*VLOOKUP(AAT40,ChurnSeasonTable,4,FALSE))*POWER(1-(AnnualChurn*VLOOKUP(AAT40,ChurnSeasonTable,4,FALSE)),1)</f>
        <v/>
      </c>
      <c r="ABP40" s="12">
        <f>ABP39+ABJ40-ABJ28*(AnnualChurn*VLOOKUP(AAT40,ChurnSeasonTable,4,FALSE))*POWER(1-(AnnualChurn*VLOOKUP(AAT40,ChurnSeasonTable,4,FALSE)),0)+ABJ16*(AnnualChurn*VLOOKUP(AAT40,ChurnSeasonTable,4,FALSE))*POWER(1-(AnnualChurn*VLOOKUP(AAT40,ChurnSeasonTable,4,FALSE)),1)</f>
        <v/>
      </c>
      <c r="ABQ40" s="12">
        <f>ABK40+ABL40+ABM40+ABN40+ABO40+ABP40</f>
        <v/>
      </c>
      <c r="ABR40" s="9">
        <f>ABK40*BlendedPriceEssMonthly*AAW40+ABL40*BlendedPricePremMonthly*AAW40+ABM40*BlendedPriceEliteMonthly*AAW40+ABN40*BlendedPriceEssAnnual*AAW40/12+ABO40*BlendedPricePremAnnual*AAW40/12+ABP40*BlendedPriceEliteAnnual*AAW40/12</f>
        <v/>
      </c>
      <c r="ABS40" s="9">
        <f>ABR40*12</f>
        <v/>
      </c>
      <c r="ABT40" s="12">
        <f>ABK40*BlendedPriceEssMonthly*AAW40+ABL40*BlendedPricePremMonthly*AAW40+ABM40*BlendedPriceEliteMonthly*AAW40</f>
        <v/>
      </c>
      <c r="ABU40" s="12">
        <f>ABH40*BlendedPriceEssAnnual*AAW40+ABI40*BlendedPricePremAnnual*AAW40+ABJ40*BlendedPriceEliteAnnual*AAW40</f>
        <v/>
      </c>
      <c r="ABV40" s="12">
        <f>ABH28*POWER(1-(AnnualChurn*VLOOKUP(AAT40,ChurnSeasonTable,4,FALSE)),1)*BlendedPriceEssAnnual*AAW40+ABH16*POWER(1-(AnnualChurn*VLOOKUP(AAT40,ChurnSeasonTable,4,FALSE)),2)*BlendedPriceEssAnnual*AAW40+ABI28*POWER(1-(AnnualChurn*VLOOKUP(AAT40,ChurnSeasonTable,4,FALSE)),1)*BlendedPricePremAnnual*AAW40+ABI16*POWER(1-(AnnualChurn*VLOOKUP(AAT40,ChurnSeasonTable,4,FALSE)),2)*BlendedPricePremAnnual*AAW40+ABJ28*POWER(1-(AnnualChurn*VLOOKUP(AAT40,ChurnSeasonTable,4,FALSE)),1)*BlendedPriceEliteAnnual*AAW40+ABJ16*POWER(1-(AnnualChurn*VLOOKUP(AAT40,ChurnSeasonTable,4,FALSE)),2)*BlendedPriceEliteAnnual*AAW40</f>
        <v/>
      </c>
      <c r="ABW40" s="9">
        <f>ABT40+ABU40+ABV40</f>
        <v/>
      </c>
      <c r="ABX40" s="12">
        <f>SUM(ABW29:ABW40)</f>
        <v/>
      </c>
      <c r="ABY40" s="12">
        <f>OR(ABY39,IF(VATAgentMode,SUM($ABW29:$ABW40)-SUM($ACD29:$ACD40)&gt;=VATThreshold,SUM($ABW29:$ABW40)&gt;=VATThreshold))</f>
        <v/>
      </c>
      <c r="ABZ40" s="9">
        <f>IF(ABY40,IF(VATAgentMode,ABW40-((ABW40-ACD40)-(ABW40-ACD40)/(1+VATRate)),ABW40/(1+VATRate)),ABW40)</f>
        <v/>
      </c>
      <c r="ACA40" s="12">
        <f>ABW40-ABZ40</f>
        <v/>
      </c>
      <c r="ACB40" s="12">
        <f>IF(ABY40=0,0,IF(AAT40=1,SUMPRODUCT(--(($AAU$5:$AAU40=$AAU40-1)*($AAT$5:$AAT40&gt;=10)*($AAT$5:$AAT40&lt;=12)),$ACA$5:$ACA40),IF(AAT40=4,SUMPRODUCT(--(($AAU$5:$AAU40=$AAU40)*($AAT$5:$AAT40&gt;=1)*($AAT$5:$AAT40&lt;=3)),$ACA$5:$ACA40),IF(AAT40=7,SUMPRODUCT(--(($AAU$5:$AAU40=$AAU40)*($AAT$5:$AAT40&gt;=4)*($AAT$5:$AAT40&lt;=6)),$ACA$5:$ACA40),IF(AAT40=10,SUMPRODUCT(--(($AAU$5:$AAU40=$AAU40)*($AAT$5:$AAT40&gt;=7)*($AAT$5:$AAT40&lt;=9)),$ACA$5:$ACA40),0)))))</f>
        <v/>
      </c>
      <c r="ACC40" s="12">
        <f>ACC39+ACA40-ACB40</f>
        <v/>
      </c>
      <c r="ACD40" s="12">
        <f>IF(ProviderDelay&gt;=1,ABK39*BlendedProvPayEss+ABL39*BlendedProvPayPrem+ABM39*BlendedProvPayElite+ABN39*BlendedProvPayEss+ABO39*BlendedProvPayPrem+ABP39*BlendedProvPayElite,ABK40*BlendedProvPayEss+ABL40*BlendedProvPayPrem+ABM40*BlendedProvPayElite+ABN40*BlendedProvPayEss+ABO40*BlendedProvPayPrem+ABP40*BlendedProvPayElite)</f>
        <v/>
      </c>
      <c r="ACE40" s="12">
        <f>ABW40*PaymentFee</f>
        <v/>
      </c>
      <c r="ACF40" s="12">
        <f>ABQ40*OpsAI</f>
        <v/>
      </c>
      <c r="ACG40" s="12">
        <f>MonthlyFixed</f>
        <v/>
      </c>
      <c r="ACH40" s="12">
        <f>ABA40*ReferralReward</f>
        <v/>
      </c>
      <c r="ACI40" s="12">
        <f>AAY40</f>
        <v/>
      </c>
      <c r="ACJ40" s="9">
        <f>ABZ40-ACD40-ACE40-ACF40-ACG40-ACH40-ACI40</f>
        <v/>
      </c>
      <c r="ACK40" s="9">
        <f>ACK39+ABW40-(ACD40+ACE40+ACF40+ACG40+ACH40+ACI40+ACB40)</f>
        <v/>
      </c>
      <c r="ACL40" s="12">
        <f>IF(ABQ40&gt;0,ABR40/ABQ40,0)</f>
        <v/>
      </c>
      <c r="ACM40" s="11">
        <f>IF(ABQ39&gt;0,MAX(0,(ABQ39+ABB40-ABQ40)/ABQ39),0)</f>
        <v/>
      </c>
      <c r="ACO40" s="12" t="n">
        <v>36</v>
      </c>
      <c r="ACP40" s="12">
        <f>MOD(ACO40-1+LaunchMonth-1,12)+1</f>
        <v/>
      </c>
      <c r="ACQ40" s="12">
        <f>INT((ACO40-1+LaunchMonth-1)/12)+1</f>
        <v/>
      </c>
      <c r="ACR40" s="12">
        <f>VLOOKUP(ACP40,SeasonTable,2,FALSE)</f>
        <v/>
      </c>
      <c r="ACS40" s="12">
        <f>(1+InflationRate)^INT((ACO40-1)/12)</f>
        <v/>
      </c>
      <c r="ACT40" s="11">
        <f>MonthlyChurn*VLOOKUP(ACP40,ChurnSeasonTable,4,FALSE)</f>
        <v/>
      </c>
      <c r="ACU40" s="12">
        <f>MIN(MAX(MktMin19plus,ADS39*MktPct19plus),MAX(0,AEG39-CashBuffer))</f>
        <v/>
      </c>
      <c r="ACV40" s="12">
        <f>IF(ACU40&gt;0,MAX(1,ROUND(ACU40/CAC*ACR40,0)),0)</f>
        <v/>
      </c>
      <c r="ACW40" s="12">
        <f>IF(ACV40&gt;0,ROUND(ACV40*ReferralMix/(1-ReferralMix),0),0)</f>
        <v/>
      </c>
      <c r="ACX40" s="12">
        <f>ACV40+ACW40</f>
        <v/>
      </c>
      <c r="ACY40" s="12">
        <f>ROUND(ACX40*(1-'Sens - Annual Mix'!$A$13),0)</f>
        <v/>
      </c>
      <c r="ACZ40" s="12">
        <f>ACX40-ACY40</f>
        <v/>
      </c>
      <c r="ADA40" s="12">
        <f>ROUND(ACY40*EssentialMix,0)</f>
        <v/>
      </c>
      <c r="ADB40" s="12">
        <f>ROUND(ACY40*PremiumMix,0)</f>
        <v/>
      </c>
      <c r="ADC40" s="12">
        <f>ACY40-ADA40-ADB40</f>
        <v/>
      </c>
      <c r="ADD40" s="12">
        <f>ROUND(ACZ40*EssentialMix,0)</f>
        <v/>
      </c>
      <c r="ADE40" s="12">
        <f>ROUND(ACZ40*PremiumMix,0)</f>
        <v/>
      </c>
      <c r="ADF40" s="12">
        <f>ACZ40-ADD40-ADE40</f>
        <v/>
      </c>
      <c r="ADG40" s="12">
        <f>ADA40+ADA39+ADA38+MAX(0,ADG39-ADA39-ADA38)*(1-ACT40)</f>
        <v/>
      </c>
      <c r="ADH40" s="12">
        <f>ADB40+ADB39+ADB38+MAX(0,ADH39-ADB39-ADB38)*(1-ACT40)</f>
        <v/>
      </c>
      <c r="ADI40" s="12">
        <f>ADC40+ADC39+ADC38+MAX(0,ADI39-ADC39-ADC38)*(1-ACT40)</f>
        <v/>
      </c>
      <c r="ADJ40" s="12">
        <f>ADJ39+ADD40-ADD28*(AnnualChurn*VLOOKUP(ACP40,ChurnSeasonTable,4,FALSE))*POWER(1-(AnnualChurn*VLOOKUP(ACP40,ChurnSeasonTable,4,FALSE)),0)+ADD16*(AnnualChurn*VLOOKUP(ACP40,ChurnSeasonTable,4,FALSE))*POWER(1-(AnnualChurn*VLOOKUP(ACP40,ChurnSeasonTable,4,FALSE)),1)</f>
        <v/>
      </c>
      <c r="ADK40" s="12">
        <f>ADK39+ADE40-ADE28*(AnnualChurn*VLOOKUP(ACP40,ChurnSeasonTable,4,FALSE))*POWER(1-(AnnualChurn*VLOOKUP(ACP40,ChurnSeasonTable,4,FALSE)),0)+ADE16*(AnnualChurn*VLOOKUP(ACP40,ChurnSeasonTable,4,FALSE))*POWER(1-(AnnualChurn*VLOOKUP(ACP40,ChurnSeasonTable,4,FALSE)),1)</f>
        <v/>
      </c>
      <c r="ADL40" s="12">
        <f>ADL39+ADF40-ADF28*(AnnualChurn*VLOOKUP(ACP40,ChurnSeasonTable,4,FALSE))*POWER(1-(AnnualChurn*VLOOKUP(ACP40,ChurnSeasonTable,4,FALSE)),0)+ADF16*(AnnualChurn*VLOOKUP(ACP40,ChurnSeasonTable,4,FALSE))*POWER(1-(AnnualChurn*VLOOKUP(ACP40,ChurnSeasonTable,4,FALSE)),1)</f>
        <v/>
      </c>
      <c r="ADM40" s="12">
        <f>ADG40+ADH40+ADI40+ADJ40+ADK40+ADL40</f>
        <v/>
      </c>
      <c r="ADN40" s="9">
        <f>ADG40*BlendedPriceEssMonthly*ACS40+ADH40*BlendedPricePremMonthly*ACS40+ADI40*BlendedPriceEliteMonthly*ACS40+ADJ40*BlendedPriceEssAnnual*ACS40/12+ADK40*BlendedPricePremAnnual*ACS40/12+ADL40*BlendedPriceEliteAnnual*ACS40/12</f>
        <v/>
      </c>
      <c r="ADO40" s="9">
        <f>ADN40*12</f>
        <v/>
      </c>
      <c r="ADP40" s="12">
        <f>ADG40*BlendedPriceEssMonthly*ACS40+ADH40*BlendedPricePremMonthly*ACS40+ADI40*BlendedPriceEliteMonthly*ACS40</f>
        <v/>
      </c>
      <c r="ADQ40" s="12">
        <f>ADD40*BlendedPriceEssAnnual*ACS40+ADE40*BlendedPricePremAnnual*ACS40+ADF40*BlendedPriceEliteAnnual*ACS40</f>
        <v/>
      </c>
      <c r="ADR40" s="12">
        <f>ADD28*POWER(1-(AnnualChurn*VLOOKUP(ACP40,ChurnSeasonTable,4,FALSE)),1)*BlendedPriceEssAnnual*ACS40+ADD16*POWER(1-(AnnualChurn*VLOOKUP(ACP40,ChurnSeasonTable,4,FALSE)),2)*BlendedPriceEssAnnual*ACS40+ADE28*POWER(1-(AnnualChurn*VLOOKUP(ACP40,ChurnSeasonTable,4,FALSE)),1)*BlendedPricePremAnnual*ACS40+ADE16*POWER(1-(AnnualChurn*VLOOKUP(ACP40,ChurnSeasonTable,4,FALSE)),2)*BlendedPricePremAnnual*ACS40+ADF28*POWER(1-(AnnualChurn*VLOOKUP(ACP40,ChurnSeasonTable,4,FALSE)),1)*BlendedPriceEliteAnnual*ACS40+ADF16*POWER(1-(AnnualChurn*VLOOKUP(ACP40,ChurnSeasonTable,4,FALSE)),2)*BlendedPriceEliteAnnual*ACS40</f>
        <v/>
      </c>
      <c r="ADS40" s="9">
        <f>ADP40+ADQ40+ADR40</f>
        <v/>
      </c>
      <c r="ADT40" s="12">
        <f>SUM(ADS29:ADS40)</f>
        <v/>
      </c>
      <c r="ADU40" s="12">
        <f>OR(ADU39,IF(VATAgentMode,SUM($ADS29:$ADS40)-SUM($ADZ29:$ADZ40)&gt;=VATThreshold,SUM($ADS29:$ADS40)&gt;=VATThreshold))</f>
        <v/>
      </c>
      <c r="ADV40" s="9">
        <f>IF(ADU40,IF(VATAgentMode,ADS40-((ADS40-ADZ40)-(ADS40-ADZ40)/(1+VATRate)),ADS40/(1+VATRate)),ADS40)</f>
        <v/>
      </c>
      <c r="ADW40" s="12">
        <f>ADS40-ADV40</f>
        <v/>
      </c>
      <c r="ADX40" s="12">
        <f>IF(ADU40=0,0,IF(ACP40=1,SUMPRODUCT(--(($ACQ$5:$ACQ40=$ACQ40-1)*($ACP$5:$ACP40&gt;=10)*($ACP$5:$ACP40&lt;=12)),$ADW$5:$ADW40),IF(ACP40=4,SUMPRODUCT(--(($ACQ$5:$ACQ40=$ACQ40)*($ACP$5:$ACP40&gt;=1)*($ACP$5:$ACP40&lt;=3)),$ADW$5:$ADW40),IF(ACP40=7,SUMPRODUCT(--(($ACQ$5:$ACQ40=$ACQ40)*($ACP$5:$ACP40&gt;=4)*($ACP$5:$ACP40&lt;=6)),$ADW$5:$ADW40),IF(ACP40=10,SUMPRODUCT(--(($ACQ$5:$ACQ40=$ACQ40)*($ACP$5:$ACP40&gt;=7)*($ACP$5:$ACP40&lt;=9)),$ADW$5:$ADW40),0)))))</f>
        <v/>
      </c>
      <c r="ADY40" s="12">
        <f>ADY39+ADW40-ADX40</f>
        <v/>
      </c>
      <c r="ADZ40" s="12">
        <f>IF(ProviderDelay&gt;=1,ADG39*BlendedProvPayEss+ADH39*BlendedProvPayPrem+ADI39*BlendedProvPayElite+ADJ39*BlendedProvPayEss+ADK39*BlendedProvPayPrem+ADL39*BlendedProvPayElite,ADG40*BlendedProvPayEss+ADH40*BlendedProvPayPrem+ADI40*BlendedProvPayElite+ADJ40*BlendedProvPayEss+ADK40*BlendedProvPayPrem+ADL40*BlendedProvPayElite)</f>
        <v/>
      </c>
      <c r="AEA40" s="12">
        <f>ADS40*PaymentFee</f>
        <v/>
      </c>
      <c r="AEB40" s="12">
        <f>ADM40*OpsAI</f>
        <v/>
      </c>
      <c r="AEC40" s="12">
        <f>MonthlyFixed</f>
        <v/>
      </c>
      <c r="AED40" s="12">
        <f>ACW40*ReferralReward</f>
        <v/>
      </c>
      <c r="AEE40" s="12">
        <f>ACU40</f>
        <v/>
      </c>
      <c r="AEF40" s="9">
        <f>ADV40-ADZ40-AEA40-AEB40-AEC40-AED40-AEE40</f>
        <v/>
      </c>
      <c r="AEG40" s="9">
        <f>AEG39+ADS40-(ADZ40+AEA40+AEB40+AEC40+AED40+AEE40+ADX40)</f>
        <v/>
      </c>
      <c r="AEH40" s="12">
        <f>IF(ADM40&gt;0,ADN40/ADM40,0)</f>
        <v/>
      </c>
      <c r="AEI40" s="11">
        <f>IF(ADM39&gt;0,MAX(0,(ADM39+ACX40-ADM40)/ADM39),0)</f>
        <v/>
      </c>
      <c r="AEK40" s="12" t="n">
        <v>36</v>
      </c>
      <c r="AEL40" s="12">
        <f>MOD(AEK40-1+LaunchMonth-1,12)+1</f>
        <v/>
      </c>
      <c r="AEM40" s="12">
        <f>INT((AEK40-1+LaunchMonth-1)/12)+1</f>
        <v/>
      </c>
      <c r="AEN40" s="12">
        <f>VLOOKUP(AEL40,SeasonTable,2,FALSE)</f>
        <v/>
      </c>
      <c r="AEO40" s="12">
        <f>(1+InflationRate)^INT((AEK40-1)/12)</f>
        <v/>
      </c>
      <c r="AEP40" s="11">
        <f>MonthlyChurn*VLOOKUP(AEL40,ChurnSeasonTable,4,FALSE)</f>
        <v/>
      </c>
      <c r="AEQ40" s="12">
        <f>MIN(MAX(MktMin19plus,AFO39*MktPct19plus),MAX(0,AGC39-CashBuffer))</f>
        <v/>
      </c>
      <c r="AER40" s="12">
        <f>IF(AEQ40&gt;0,MAX(1,ROUND(AEQ40/CAC*AEN40,0)),0)</f>
        <v/>
      </c>
      <c r="AES40" s="12">
        <f>IF(AER40&gt;0,ROUND(AER40*ReferralMix/(1-ReferralMix),0),0)</f>
        <v/>
      </c>
      <c r="AET40" s="12">
        <f>AER40+AES40</f>
        <v/>
      </c>
      <c r="AEU40" s="12">
        <f>ROUND(AET40*(1-'Sens - Annual Mix'!$A$14),0)</f>
        <v/>
      </c>
      <c r="AEV40" s="12">
        <f>AET40-AEU40</f>
        <v/>
      </c>
      <c r="AEW40" s="12">
        <f>ROUND(AEU40*EssentialMix,0)</f>
        <v/>
      </c>
      <c r="AEX40" s="12">
        <f>ROUND(AEU40*PremiumMix,0)</f>
        <v/>
      </c>
      <c r="AEY40" s="12">
        <f>AEU40-AEW40-AEX40</f>
        <v/>
      </c>
      <c r="AEZ40" s="12">
        <f>ROUND(AEV40*EssentialMix,0)</f>
        <v/>
      </c>
      <c r="AFA40" s="12">
        <f>ROUND(AEV40*PremiumMix,0)</f>
        <v/>
      </c>
      <c r="AFB40" s="12">
        <f>AEV40-AEZ40-AFA40</f>
        <v/>
      </c>
      <c r="AFC40" s="12">
        <f>AEW40+AEW39+AEW38+MAX(0,AFC39-AEW39-AEW38)*(1-AEP40)</f>
        <v/>
      </c>
      <c r="AFD40" s="12">
        <f>AEX40+AEX39+AEX38+MAX(0,AFD39-AEX39-AEX38)*(1-AEP40)</f>
        <v/>
      </c>
      <c r="AFE40" s="12">
        <f>AEY40+AEY39+AEY38+MAX(0,AFE39-AEY39-AEY38)*(1-AEP40)</f>
        <v/>
      </c>
      <c r="AFF40" s="12">
        <f>AFF39+AEZ40-AEZ28*(AnnualChurn*VLOOKUP(AEL40,ChurnSeasonTable,4,FALSE))*POWER(1-(AnnualChurn*VLOOKUP(AEL40,ChurnSeasonTable,4,FALSE)),0)+AEZ16*(AnnualChurn*VLOOKUP(AEL40,ChurnSeasonTable,4,FALSE))*POWER(1-(AnnualChurn*VLOOKUP(AEL40,ChurnSeasonTable,4,FALSE)),1)</f>
        <v/>
      </c>
      <c r="AFG40" s="12">
        <f>AFG39+AFA40-AFA28*(AnnualChurn*VLOOKUP(AEL40,ChurnSeasonTable,4,FALSE))*POWER(1-(AnnualChurn*VLOOKUP(AEL40,ChurnSeasonTable,4,FALSE)),0)+AFA16*(AnnualChurn*VLOOKUP(AEL40,ChurnSeasonTable,4,FALSE))*POWER(1-(AnnualChurn*VLOOKUP(AEL40,ChurnSeasonTable,4,FALSE)),1)</f>
        <v/>
      </c>
      <c r="AFH40" s="12">
        <f>AFH39+AFB40-AFB28*(AnnualChurn*VLOOKUP(AEL40,ChurnSeasonTable,4,FALSE))*POWER(1-(AnnualChurn*VLOOKUP(AEL40,ChurnSeasonTable,4,FALSE)),0)+AFB16*(AnnualChurn*VLOOKUP(AEL40,ChurnSeasonTable,4,FALSE))*POWER(1-(AnnualChurn*VLOOKUP(AEL40,ChurnSeasonTable,4,FALSE)),1)</f>
        <v/>
      </c>
      <c r="AFI40" s="12">
        <f>AFC40+AFD40+AFE40+AFF40+AFG40+AFH40</f>
        <v/>
      </c>
      <c r="AFJ40" s="9">
        <f>AFC40*BlendedPriceEssMonthly*AEO40+AFD40*BlendedPricePremMonthly*AEO40+AFE40*BlendedPriceEliteMonthly*AEO40+AFF40*BlendedPriceEssAnnual*AEO40/12+AFG40*BlendedPricePremAnnual*AEO40/12+AFH40*BlendedPriceEliteAnnual*AEO40/12</f>
        <v/>
      </c>
      <c r="AFK40" s="9">
        <f>AFJ40*12</f>
        <v/>
      </c>
      <c r="AFL40" s="12">
        <f>AFC40*BlendedPriceEssMonthly*AEO40+AFD40*BlendedPricePremMonthly*AEO40+AFE40*BlendedPriceEliteMonthly*AEO40</f>
        <v/>
      </c>
      <c r="AFM40" s="12">
        <f>AEZ40*BlendedPriceEssAnnual*AEO40+AFA40*BlendedPricePremAnnual*AEO40+AFB40*BlendedPriceEliteAnnual*AEO40</f>
        <v/>
      </c>
      <c r="AFN40" s="12">
        <f>AEZ28*POWER(1-(AnnualChurn*VLOOKUP(AEL40,ChurnSeasonTable,4,FALSE)),1)*BlendedPriceEssAnnual*AEO40+AEZ16*POWER(1-(AnnualChurn*VLOOKUP(AEL40,ChurnSeasonTable,4,FALSE)),2)*BlendedPriceEssAnnual*AEO40+AFA28*POWER(1-(AnnualChurn*VLOOKUP(AEL40,ChurnSeasonTable,4,FALSE)),1)*BlendedPricePremAnnual*AEO40+AFA16*POWER(1-(AnnualChurn*VLOOKUP(AEL40,ChurnSeasonTable,4,FALSE)),2)*BlendedPricePremAnnual*AEO40+AFB28*POWER(1-(AnnualChurn*VLOOKUP(AEL40,ChurnSeasonTable,4,FALSE)),1)*BlendedPriceEliteAnnual*AEO40+AFB16*POWER(1-(AnnualChurn*VLOOKUP(AEL40,ChurnSeasonTable,4,FALSE)),2)*BlendedPriceEliteAnnual*AEO40</f>
        <v/>
      </c>
      <c r="AFO40" s="9">
        <f>AFL40+AFM40+AFN40</f>
        <v/>
      </c>
      <c r="AFP40" s="12">
        <f>SUM(AFO29:AFO40)</f>
        <v/>
      </c>
      <c r="AFQ40" s="12">
        <f>OR(AFQ39,IF(VATAgentMode,SUM($AFO29:$AFO40)-SUM($AFV29:$AFV40)&gt;=VATThreshold,SUM($AFO29:$AFO40)&gt;=VATThreshold))</f>
        <v/>
      </c>
      <c r="AFR40" s="9">
        <f>IF(AFQ40,IF(VATAgentMode,AFO40-((AFO40-AFV40)-(AFO40-AFV40)/(1+VATRate)),AFO40/(1+VATRate)),AFO40)</f>
        <v/>
      </c>
      <c r="AFS40" s="12">
        <f>AFO40-AFR40</f>
        <v/>
      </c>
      <c r="AFT40" s="12">
        <f>IF(AFQ40=0,0,IF(AEL40=1,SUMPRODUCT(--(($AEM$5:$AEM40=$AEM40-1)*($AEL$5:$AEL40&gt;=10)*($AEL$5:$AEL40&lt;=12)),$AFS$5:$AFS40),IF(AEL40=4,SUMPRODUCT(--(($AEM$5:$AEM40=$AEM40)*($AEL$5:$AEL40&gt;=1)*($AEL$5:$AEL40&lt;=3)),$AFS$5:$AFS40),IF(AEL40=7,SUMPRODUCT(--(($AEM$5:$AEM40=$AEM40)*($AEL$5:$AEL40&gt;=4)*($AEL$5:$AEL40&lt;=6)),$AFS$5:$AFS40),IF(AEL40=10,SUMPRODUCT(--(($AEM$5:$AEM40=$AEM40)*($AEL$5:$AEL40&gt;=7)*($AEL$5:$AEL40&lt;=9)),$AFS$5:$AFS40),0)))))</f>
        <v/>
      </c>
      <c r="AFU40" s="12">
        <f>AFU39+AFS40-AFT40</f>
        <v/>
      </c>
      <c r="AFV40" s="12">
        <f>IF(ProviderDelay&gt;=1,AFC39*BlendedProvPayEss+AFD39*BlendedProvPayPrem+AFE39*BlendedProvPayElite+AFF39*BlendedProvPayEss+AFG39*BlendedProvPayPrem+AFH39*BlendedProvPayElite,AFC40*BlendedProvPayEss+AFD40*BlendedProvPayPrem+AFE40*BlendedProvPayElite+AFF40*BlendedProvPayEss+AFG40*BlendedProvPayPrem+AFH40*BlendedProvPayElite)</f>
        <v/>
      </c>
      <c r="AFW40" s="12">
        <f>AFO40*PaymentFee</f>
        <v/>
      </c>
      <c r="AFX40" s="12">
        <f>AFI40*OpsAI</f>
        <v/>
      </c>
      <c r="AFY40" s="12">
        <f>MonthlyFixed</f>
        <v/>
      </c>
      <c r="AFZ40" s="12">
        <f>AES40*ReferralReward</f>
        <v/>
      </c>
      <c r="AGA40" s="12">
        <f>AEQ40</f>
        <v/>
      </c>
      <c r="AGB40" s="9">
        <f>AFR40-AFV40-AFW40-AFX40-AFY40-AFZ40-AGA40</f>
        <v/>
      </c>
      <c r="AGC40" s="9">
        <f>AGC39+AFO40-(AFV40+AFW40+AFX40+AFY40+AFZ40+AGA40+AFT40)</f>
        <v/>
      </c>
      <c r="AGD40" s="12">
        <f>IF(AFI40&gt;0,AFJ40/AFI40,0)</f>
        <v/>
      </c>
      <c r="AGE40" s="11">
        <f>IF(AFI39&gt;0,MAX(0,(AFI39+AET40-AFI40)/AFI39),0)</f>
        <v/>
      </c>
      <c r="AGG40" s="12" t="n">
        <v>36</v>
      </c>
      <c r="AGH40" s="12">
        <f>MOD(AGG40-1+LaunchMonth-1,12)+1</f>
        <v/>
      </c>
      <c r="AGI40" s="12">
        <f>INT((AGG40-1+LaunchMonth-1)/12)+1</f>
        <v/>
      </c>
      <c r="AGJ40" s="12">
        <f>VLOOKUP(AGH40,SeasonTable,2,FALSE)</f>
        <v/>
      </c>
      <c r="AGK40" s="12">
        <f>(1+InflationRate)^INT((AGG40-1)/12)</f>
        <v/>
      </c>
      <c r="AGL40" s="11">
        <f>MonthlyChurn*VLOOKUP(AGH40,ChurnSeasonTable,4,FALSE)</f>
        <v/>
      </c>
      <c r="AGM40" s="12">
        <f>MIN(MAX(MktMin19plus,AHK39*MktPct19plus),MAX(0,AHY39-CashBuffer))</f>
        <v/>
      </c>
      <c r="AGN40" s="12">
        <f>IF(AGM40&gt;0,MAX(1,ROUND(AGM40/CAC*AGJ40,0)),0)</f>
        <v/>
      </c>
      <c r="AGO40" s="12">
        <f>IF(AGN40&gt;0,ROUND(AGN40*ReferralMix/(1-ReferralMix),0),0)</f>
        <v/>
      </c>
      <c r="AGP40" s="12">
        <f>AGN40+AGO40</f>
        <v/>
      </c>
      <c r="AGQ40" s="12">
        <f>ROUND(AGP40*(1-'Sens - Annual Mix'!$A$15),0)</f>
        <v/>
      </c>
      <c r="AGR40" s="12">
        <f>AGP40-AGQ40</f>
        <v/>
      </c>
      <c r="AGS40" s="12">
        <f>ROUND(AGQ40*EssentialMix,0)</f>
        <v/>
      </c>
      <c r="AGT40" s="12">
        <f>ROUND(AGQ40*PremiumMix,0)</f>
        <v/>
      </c>
      <c r="AGU40" s="12">
        <f>AGQ40-AGS40-AGT40</f>
        <v/>
      </c>
      <c r="AGV40" s="12">
        <f>ROUND(AGR40*EssentialMix,0)</f>
        <v/>
      </c>
      <c r="AGW40" s="12">
        <f>ROUND(AGR40*PremiumMix,0)</f>
        <v/>
      </c>
      <c r="AGX40" s="12">
        <f>AGR40-AGV40-AGW40</f>
        <v/>
      </c>
      <c r="AGY40" s="12">
        <f>AGS40+AGS39+AGS38+MAX(0,AGY39-AGS39-AGS38)*(1-AGL40)</f>
        <v/>
      </c>
      <c r="AGZ40" s="12">
        <f>AGT40+AGT39+AGT38+MAX(0,AGZ39-AGT39-AGT38)*(1-AGL40)</f>
        <v/>
      </c>
      <c r="AHA40" s="12">
        <f>AGU40+AGU39+AGU38+MAX(0,AHA39-AGU39-AGU38)*(1-AGL40)</f>
        <v/>
      </c>
      <c r="AHB40" s="12">
        <f>AHB39+AGV40-AGV28*(AnnualChurn*VLOOKUP(AGH40,ChurnSeasonTable,4,FALSE))*POWER(1-(AnnualChurn*VLOOKUP(AGH40,ChurnSeasonTable,4,FALSE)),0)+AGV16*(AnnualChurn*VLOOKUP(AGH40,ChurnSeasonTable,4,FALSE))*POWER(1-(AnnualChurn*VLOOKUP(AGH40,ChurnSeasonTable,4,FALSE)),1)</f>
        <v/>
      </c>
      <c r="AHC40" s="12">
        <f>AHC39+AGW40-AGW28*(AnnualChurn*VLOOKUP(AGH40,ChurnSeasonTable,4,FALSE))*POWER(1-(AnnualChurn*VLOOKUP(AGH40,ChurnSeasonTable,4,FALSE)),0)+AGW16*(AnnualChurn*VLOOKUP(AGH40,ChurnSeasonTable,4,FALSE))*POWER(1-(AnnualChurn*VLOOKUP(AGH40,ChurnSeasonTable,4,FALSE)),1)</f>
        <v/>
      </c>
      <c r="AHD40" s="12">
        <f>AHD39+AGX40-AGX28*(AnnualChurn*VLOOKUP(AGH40,ChurnSeasonTable,4,FALSE))*POWER(1-(AnnualChurn*VLOOKUP(AGH40,ChurnSeasonTable,4,FALSE)),0)+AGX16*(AnnualChurn*VLOOKUP(AGH40,ChurnSeasonTable,4,FALSE))*POWER(1-(AnnualChurn*VLOOKUP(AGH40,ChurnSeasonTable,4,FALSE)),1)</f>
        <v/>
      </c>
      <c r="AHE40" s="12">
        <f>AGY40+AGZ40+AHA40+AHB40+AHC40+AHD40</f>
        <v/>
      </c>
      <c r="AHF40" s="9">
        <f>AGY40*BlendedPriceEssMonthly*AGK40+AGZ40*BlendedPricePremMonthly*AGK40+AHA40*BlendedPriceEliteMonthly*AGK40+AHB40*BlendedPriceEssAnnual*AGK40/12+AHC40*BlendedPricePremAnnual*AGK40/12+AHD40*BlendedPriceEliteAnnual*AGK40/12</f>
        <v/>
      </c>
      <c r="AHG40" s="9">
        <f>AHF40*12</f>
        <v/>
      </c>
      <c r="AHH40" s="12">
        <f>AGY40*BlendedPriceEssMonthly*AGK40+AGZ40*BlendedPricePremMonthly*AGK40+AHA40*BlendedPriceEliteMonthly*AGK40</f>
        <v/>
      </c>
      <c r="AHI40" s="12">
        <f>AGV40*BlendedPriceEssAnnual*AGK40+AGW40*BlendedPricePremAnnual*AGK40+AGX40*BlendedPriceEliteAnnual*AGK40</f>
        <v/>
      </c>
      <c r="AHJ40" s="12">
        <f>AGV28*POWER(1-(AnnualChurn*VLOOKUP(AGH40,ChurnSeasonTable,4,FALSE)),1)*BlendedPriceEssAnnual*AGK40+AGV16*POWER(1-(AnnualChurn*VLOOKUP(AGH40,ChurnSeasonTable,4,FALSE)),2)*BlendedPriceEssAnnual*AGK40+AGW28*POWER(1-(AnnualChurn*VLOOKUP(AGH40,ChurnSeasonTable,4,FALSE)),1)*BlendedPricePremAnnual*AGK40+AGW16*POWER(1-(AnnualChurn*VLOOKUP(AGH40,ChurnSeasonTable,4,FALSE)),2)*BlendedPricePremAnnual*AGK40+AGX28*POWER(1-(AnnualChurn*VLOOKUP(AGH40,ChurnSeasonTable,4,FALSE)),1)*BlendedPriceEliteAnnual*AGK40+AGX16*POWER(1-(AnnualChurn*VLOOKUP(AGH40,ChurnSeasonTable,4,FALSE)),2)*BlendedPriceEliteAnnual*AGK40</f>
        <v/>
      </c>
      <c r="AHK40" s="9">
        <f>AHH40+AHI40+AHJ40</f>
        <v/>
      </c>
      <c r="AHL40" s="12">
        <f>SUM(AHK29:AHK40)</f>
        <v/>
      </c>
      <c r="AHM40" s="12">
        <f>OR(AHM39,IF(VATAgentMode,SUM($AHK29:$AHK40)-SUM($AHR29:$AHR40)&gt;=VATThreshold,SUM($AHK29:$AHK40)&gt;=VATThreshold))</f>
        <v/>
      </c>
      <c r="AHN40" s="9">
        <f>IF(AHM40,IF(VATAgentMode,AHK40-((AHK40-AHR40)-(AHK40-AHR40)/(1+VATRate)),AHK40/(1+VATRate)),AHK40)</f>
        <v/>
      </c>
      <c r="AHO40" s="12">
        <f>AHK40-AHN40</f>
        <v/>
      </c>
      <c r="AHP40" s="12">
        <f>IF(AHM40=0,0,IF(AGH40=1,SUMPRODUCT(--(($AGI$5:$AGI40=$AGI40-1)*($AGH$5:$AGH40&gt;=10)*($AGH$5:$AGH40&lt;=12)),$AHO$5:$AHO40),IF(AGH40=4,SUMPRODUCT(--(($AGI$5:$AGI40=$AGI40)*($AGH$5:$AGH40&gt;=1)*($AGH$5:$AGH40&lt;=3)),$AHO$5:$AHO40),IF(AGH40=7,SUMPRODUCT(--(($AGI$5:$AGI40=$AGI40)*($AGH$5:$AGH40&gt;=4)*($AGH$5:$AGH40&lt;=6)),$AHO$5:$AHO40),IF(AGH40=10,SUMPRODUCT(--(($AGI$5:$AGI40=$AGI40)*($AGH$5:$AGH40&gt;=7)*($AGH$5:$AGH40&lt;=9)),$AHO$5:$AHO40),0)))))</f>
        <v/>
      </c>
      <c r="AHQ40" s="12">
        <f>AHQ39+AHO40-AHP40</f>
        <v/>
      </c>
      <c r="AHR40" s="12">
        <f>IF(ProviderDelay&gt;=1,AGY39*BlendedProvPayEss+AGZ39*BlendedProvPayPrem+AHA39*BlendedProvPayElite+AHB39*BlendedProvPayEss+AHC39*BlendedProvPayPrem+AHD39*BlendedProvPayElite,AGY40*BlendedProvPayEss+AGZ40*BlendedProvPayPrem+AHA40*BlendedProvPayElite+AHB40*BlendedProvPayEss+AHC40*BlendedProvPayPrem+AHD40*BlendedProvPayElite)</f>
        <v/>
      </c>
      <c r="AHS40" s="12">
        <f>AHK40*PaymentFee</f>
        <v/>
      </c>
      <c r="AHT40" s="12">
        <f>AHE40*OpsAI</f>
        <v/>
      </c>
      <c r="AHU40" s="12">
        <f>MonthlyFixed</f>
        <v/>
      </c>
      <c r="AHV40" s="12">
        <f>AGO40*ReferralReward</f>
        <v/>
      </c>
      <c r="AHW40" s="12">
        <f>AGM40</f>
        <v/>
      </c>
      <c r="AHX40" s="9">
        <f>AHN40-AHR40-AHS40-AHT40-AHU40-AHV40-AHW40</f>
        <v/>
      </c>
      <c r="AHY40" s="9">
        <f>AHY39+AHK40-(AHR40+AHS40+AHT40+AHU40+AHV40+AHW40+AHP40)</f>
        <v/>
      </c>
      <c r="AHZ40" s="12">
        <f>IF(AHE40&gt;0,AHF40/AHE40,0)</f>
        <v/>
      </c>
      <c r="AIA40" s="11">
        <f>IF(AHE39&gt;0,MAX(0,(AHE39+AGP40-AHE40)/AHE39),0)</f>
        <v/>
      </c>
      <c r="AIC40" s="12" t="n">
        <v>36</v>
      </c>
      <c r="AID40" s="12">
        <f>MOD(AIC40-1+LaunchMonth-1,12)+1</f>
        <v/>
      </c>
      <c r="AIE40" s="12">
        <f>INT((AIC40-1+LaunchMonth-1)/12)+1</f>
        <v/>
      </c>
      <c r="AIF40" s="12">
        <f>VLOOKUP(AID40,SeasonTable,2,FALSE)</f>
        <v/>
      </c>
      <c r="AIG40" s="12">
        <f>(1+InflationRate)^INT((AIC40-1)/12)</f>
        <v/>
      </c>
      <c r="AIH40" s="11">
        <f>MonthlyChurn*VLOOKUP(AID40,ChurnSeasonTable,4,FALSE)</f>
        <v/>
      </c>
      <c r="AII40" s="12">
        <f>MIN(MAX(MktMin19plus,AJG39*MktPct19plus),MAX(0,AJU39-CashBuffer))</f>
        <v/>
      </c>
      <c r="AIJ40" s="12">
        <f>IF(AII40&gt;0,MAX(1,ROUND(AII40/'Sens - CAC &amp; Marketing'!$A$9*AIF40,0)),0)</f>
        <v/>
      </c>
      <c r="AIK40" s="12">
        <f>IF(AIJ40&gt;0,ROUND(AIJ40*ReferralMix/(1-ReferralMix),0),0)</f>
        <v/>
      </c>
      <c r="AIL40" s="12">
        <f>AIJ40+AIK40</f>
        <v/>
      </c>
      <c r="AIM40" s="12">
        <f>ROUND(AIL40*(1-AnnualMix),0)</f>
        <v/>
      </c>
      <c r="AIN40" s="12">
        <f>AIL40-AIM40</f>
        <v/>
      </c>
      <c r="AIO40" s="12">
        <f>ROUND(AIM40*EssentialMix,0)</f>
        <v/>
      </c>
      <c r="AIP40" s="12">
        <f>ROUND(AIM40*PremiumMix,0)</f>
        <v/>
      </c>
      <c r="AIQ40" s="12">
        <f>AIM40-AIO40-AIP40</f>
        <v/>
      </c>
      <c r="AIR40" s="12">
        <f>ROUND(AIN40*EssentialMix,0)</f>
        <v/>
      </c>
      <c r="AIS40" s="12">
        <f>ROUND(AIN40*PremiumMix,0)</f>
        <v/>
      </c>
      <c r="AIT40" s="12">
        <f>AIN40-AIR40-AIS40</f>
        <v/>
      </c>
      <c r="AIU40" s="12">
        <f>AIO40+AIO39+AIO38+MAX(0,AIU39-AIO39-AIO38)*(1-AIH40)</f>
        <v/>
      </c>
      <c r="AIV40" s="12">
        <f>AIP40+AIP39+AIP38+MAX(0,AIV39-AIP39-AIP38)*(1-AIH40)</f>
        <v/>
      </c>
      <c r="AIW40" s="12">
        <f>AIQ40+AIQ39+AIQ38+MAX(0,AIW39-AIQ39-AIQ38)*(1-AIH40)</f>
        <v/>
      </c>
      <c r="AIX40" s="12">
        <f>AIX39+AIR40-AIR28*(AnnualChurn*VLOOKUP(AID40,ChurnSeasonTable,4,FALSE))*POWER(1-(AnnualChurn*VLOOKUP(AID40,ChurnSeasonTable,4,FALSE)),0)+AIR16*(AnnualChurn*VLOOKUP(AID40,ChurnSeasonTable,4,FALSE))*POWER(1-(AnnualChurn*VLOOKUP(AID40,ChurnSeasonTable,4,FALSE)),1)</f>
        <v/>
      </c>
      <c r="AIY40" s="12">
        <f>AIY39+AIS40-AIS28*(AnnualChurn*VLOOKUP(AID40,ChurnSeasonTable,4,FALSE))*POWER(1-(AnnualChurn*VLOOKUP(AID40,ChurnSeasonTable,4,FALSE)),0)+AIS16*(AnnualChurn*VLOOKUP(AID40,ChurnSeasonTable,4,FALSE))*POWER(1-(AnnualChurn*VLOOKUP(AID40,ChurnSeasonTable,4,FALSE)),1)</f>
        <v/>
      </c>
      <c r="AIZ40" s="12">
        <f>AIZ39+AIT40-AIT28*(AnnualChurn*VLOOKUP(AID40,ChurnSeasonTable,4,FALSE))*POWER(1-(AnnualChurn*VLOOKUP(AID40,ChurnSeasonTable,4,FALSE)),0)+AIT16*(AnnualChurn*VLOOKUP(AID40,ChurnSeasonTable,4,FALSE))*POWER(1-(AnnualChurn*VLOOKUP(AID40,ChurnSeasonTable,4,FALSE)),1)</f>
        <v/>
      </c>
      <c r="AJA40" s="12">
        <f>AIU40+AIV40+AIW40+AIX40+AIY40+AIZ40</f>
        <v/>
      </c>
      <c r="AJB40" s="9">
        <f>AIU40*BlendedPriceEssMonthly*AIG40+AIV40*BlendedPricePremMonthly*AIG40+AIW40*BlendedPriceEliteMonthly*AIG40+AIX40*BlendedPriceEssAnnual*AIG40/12+AIY40*BlendedPricePremAnnual*AIG40/12+AIZ40*BlendedPriceEliteAnnual*AIG40/12</f>
        <v/>
      </c>
      <c r="AJC40" s="9">
        <f>AJB40*12</f>
        <v/>
      </c>
      <c r="AJD40" s="12">
        <f>AIU40*BlendedPriceEssMonthly*AIG40+AIV40*BlendedPricePremMonthly*AIG40+AIW40*BlendedPriceEliteMonthly*AIG40</f>
        <v/>
      </c>
      <c r="AJE40" s="12">
        <f>AIR40*BlendedPriceEssAnnual*AIG40+AIS40*BlendedPricePremAnnual*AIG40+AIT40*BlendedPriceEliteAnnual*AIG40</f>
        <v/>
      </c>
      <c r="AJF40" s="12">
        <f>AIR28*POWER(1-(AnnualChurn*VLOOKUP(AID40,ChurnSeasonTable,4,FALSE)),1)*BlendedPriceEssAnnual*AIG40+AIR16*POWER(1-(AnnualChurn*VLOOKUP(AID40,ChurnSeasonTable,4,FALSE)),2)*BlendedPriceEssAnnual*AIG40+AIS28*POWER(1-(AnnualChurn*VLOOKUP(AID40,ChurnSeasonTable,4,FALSE)),1)*BlendedPricePremAnnual*AIG40+AIS16*POWER(1-(AnnualChurn*VLOOKUP(AID40,ChurnSeasonTable,4,FALSE)),2)*BlendedPricePremAnnual*AIG40+AIT28*POWER(1-(AnnualChurn*VLOOKUP(AID40,ChurnSeasonTable,4,FALSE)),1)*BlendedPriceEliteAnnual*AIG40+AIT16*POWER(1-(AnnualChurn*VLOOKUP(AID40,ChurnSeasonTable,4,FALSE)),2)*BlendedPriceEliteAnnual*AIG40</f>
        <v/>
      </c>
      <c r="AJG40" s="9">
        <f>AJD40+AJE40+AJF40</f>
        <v/>
      </c>
      <c r="AJH40" s="12">
        <f>SUM(AJG29:AJG40)</f>
        <v/>
      </c>
      <c r="AJI40" s="12">
        <f>OR(AJI39,IF(VATAgentMode,SUM($AJG29:$AJG40)-SUM($AJN29:$AJN40)&gt;=VATThreshold,SUM($AJG29:$AJG40)&gt;=VATThreshold))</f>
        <v/>
      </c>
      <c r="AJJ40" s="9">
        <f>IF(AJI40,IF(VATAgentMode,AJG40-((AJG40-AJN40)-(AJG40-AJN40)/(1+VATRate)),AJG40/(1+VATRate)),AJG40)</f>
        <v/>
      </c>
      <c r="AJK40" s="12">
        <f>AJG40-AJJ40</f>
        <v/>
      </c>
      <c r="AJL40" s="12">
        <f>IF(AJI40=0,0,IF(AID40=1,SUMPRODUCT(--(($AIE$5:$AIE40=$AIE40-1)*($AID$5:$AID40&gt;=10)*($AID$5:$AID40&lt;=12)),$AJK$5:$AJK40),IF(AID40=4,SUMPRODUCT(--(($AIE$5:$AIE40=$AIE40)*($AID$5:$AID40&gt;=1)*($AID$5:$AID40&lt;=3)),$AJK$5:$AJK40),IF(AID40=7,SUMPRODUCT(--(($AIE$5:$AIE40=$AIE40)*($AID$5:$AID40&gt;=4)*($AID$5:$AID40&lt;=6)),$AJK$5:$AJK40),IF(AID40=10,SUMPRODUCT(--(($AIE$5:$AIE40=$AIE40)*($AID$5:$AID40&gt;=7)*($AID$5:$AID40&lt;=9)),$AJK$5:$AJK40),0)))))</f>
        <v/>
      </c>
      <c r="AJM40" s="12">
        <f>AJM39+AJK40-AJL40</f>
        <v/>
      </c>
      <c r="AJN40" s="12">
        <f>IF(ProviderDelay&gt;=1,AIU39*BlendedProvPayEss+AIV39*BlendedProvPayPrem+AIW39*BlendedProvPayElite+AIX39*BlendedProvPayEss+AIY39*BlendedProvPayPrem+AIZ39*BlendedProvPayElite,AIU40*BlendedProvPayEss+AIV40*BlendedProvPayPrem+AIW40*BlendedProvPayElite+AIX40*BlendedProvPayEss+AIY40*BlendedProvPayPrem+AIZ40*BlendedProvPayElite)</f>
        <v/>
      </c>
      <c r="AJO40" s="12">
        <f>AJG40*PaymentFee</f>
        <v/>
      </c>
      <c r="AJP40" s="12">
        <f>AJA40*OpsAI</f>
        <v/>
      </c>
      <c r="AJQ40" s="12">
        <f>MonthlyFixed</f>
        <v/>
      </c>
      <c r="AJR40" s="12">
        <f>AIK40*ReferralReward</f>
        <v/>
      </c>
      <c r="AJS40" s="12">
        <f>AII40</f>
        <v/>
      </c>
      <c r="AJT40" s="9">
        <f>AJJ40-AJN40-AJO40-AJP40-AJQ40-AJR40-AJS40</f>
        <v/>
      </c>
      <c r="AJU40" s="9">
        <f>AJU39+AJG40-(AJN40+AJO40+AJP40+AJQ40+AJR40+AJS40+AJL40)</f>
        <v/>
      </c>
      <c r="AJV40" s="12">
        <f>IF(AJA40&gt;0,AJB40/AJA40,0)</f>
        <v/>
      </c>
      <c r="AJW40" s="11">
        <f>IF(AJA39&gt;0,MAX(0,(AJA39+AIL40-AJA40)/AJA39),0)</f>
        <v/>
      </c>
      <c r="AJY40" s="12" t="n">
        <v>36</v>
      </c>
      <c r="AJZ40" s="12">
        <f>MOD(AJY40-1+LaunchMonth-1,12)+1</f>
        <v/>
      </c>
      <c r="AKA40" s="12">
        <f>INT((AJY40-1+LaunchMonth-1)/12)+1</f>
        <v/>
      </c>
      <c r="AKB40" s="12">
        <f>VLOOKUP(AJZ40,SeasonTable,2,FALSE)</f>
        <v/>
      </c>
      <c r="AKC40" s="12">
        <f>(1+InflationRate)^INT((AJY40-1)/12)</f>
        <v/>
      </c>
      <c r="AKD40" s="11">
        <f>MonthlyChurn*VLOOKUP(AJZ40,ChurnSeasonTable,4,FALSE)</f>
        <v/>
      </c>
      <c r="AKE40" s="12">
        <f>MIN(MAX(MktMin19plus,ALC39*MktPct19plus),MAX(0,ALQ39-CashBuffer))</f>
        <v/>
      </c>
      <c r="AKF40" s="12">
        <f>IF(AKE40&gt;0,MAX(1,ROUND(AKE40/'Sens - CAC &amp; Marketing'!$A$10*AKB40,0)),0)</f>
        <v/>
      </c>
      <c r="AKG40" s="12">
        <f>IF(AKF40&gt;0,ROUND(AKF40*ReferralMix/(1-ReferralMix),0),0)</f>
        <v/>
      </c>
      <c r="AKH40" s="12">
        <f>AKF40+AKG40</f>
        <v/>
      </c>
      <c r="AKI40" s="12">
        <f>ROUND(AKH40*(1-AnnualMix),0)</f>
        <v/>
      </c>
      <c r="AKJ40" s="12">
        <f>AKH40-AKI40</f>
        <v/>
      </c>
      <c r="AKK40" s="12">
        <f>ROUND(AKI40*EssentialMix,0)</f>
        <v/>
      </c>
      <c r="AKL40" s="12">
        <f>ROUND(AKI40*PremiumMix,0)</f>
        <v/>
      </c>
      <c r="AKM40" s="12">
        <f>AKI40-AKK40-AKL40</f>
        <v/>
      </c>
      <c r="AKN40" s="12">
        <f>ROUND(AKJ40*EssentialMix,0)</f>
        <v/>
      </c>
      <c r="AKO40" s="12">
        <f>ROUND(AKJ40*PremiumMix,0)</f>
        <v/>
      </c>
      <c r="AKP40" s="12">
        <f>AKJ40-AKN40-AKO40</f>
        <v/>
      </c>
      <c r="AKQ40" s="12">
        <f>AKK40+AKK39+AKK38+MAX(0,AKQ39-AKK39-AKK38)*(1-AKD40)</f>
        <v/>
      </c>
      <c r="AKR40" s="12">
        <f>AKL40+AKL39+AKL38+MAX(0,AKR39-AKL39-AKL38)*(1-AKD40)</f>
        <v/>
      </c>
      <c r="AKS40" s="12">
        <f>AKM40+AKM39+AKM38+MAX(0,AKS39-AKM39-AKM38)*(1-AKD40)</f>
        <v/>
      </c>
      <c r="AKT40" s="12">
        <f>AKT39+AKN40-AKN28*(AnnualChurn*VLOOKUP(AJZ40,ChurnSeasonTable,4,FALSE))*POWER(1-(AnnualChurn*VLOOKUP(AJZ40,ChurnSeasonTable,4,FALSE)),0)+AKN16*(AnnualChurn*VLOOKUP(AJZ40,ChurnSeasonTable,4,FALSE))*POWER(1-(AnnualChurn*VLOOKUP(AJZ40,ChurnSeasonTable,4,FALSE)),1)</f>
        <v/>
      </c>
      <c r="AKU40" s="12">
        <f>AKU39+AKO40-AKO28*(AnnualChurn*VLOOKUP(AJZ40,ChurnSeasonTable,4,FALSE))*POWER(1-(AnnualChurn*VLOOKUP(AJZ40,ChurnSeasonTable,4,FALSE)),0)+AKO16*(AnnualChurn*VLOOKUP(AJZ40,ChurnSeasonTable,4,FALSE))*POWER(1-(AnnualChurn*VLOOKUP(AJZ40,ChurnSeasonTable,4,FALSE)),1)</f>
        <v/>
      </c>
      <c r="AKV40" s="12">
        <f>AKV39+AKP40-AKP28*(AnnualChurn*VLOOKUP(AJZ40,ChurnSeasonTable,4,FALSE))*POWER(1-(AnnualChurn*VLOOKUP(AJZ40,ChurnSeasonTable,4,FALSE)),0)+AKP16*(AnnualChurn*VLOOKUP(AJZ40,ChurnSeasonTable,4,FALSE))*POWER(1-(AnnualChurn*VLOOKUP(AJZ40,ChurnSeasonTable,4,FALSE)),1)</f>
        <v/>
      </c>
      <c r="AKW40" s="12">
        <f>AKQ40+AKR40+AKS40+AKT40+AKU40+AKV40</f>
        <v/>
      </c>
      <c r="AKX40" s="9">
        <f>AKQ40*BlendedPriceEssMonthly*AKC40+AKR40*BlendedPricePremMonthly*AKC40+AKS40*BlendedPriceEliteMonthly*AKC40+AKT40*BlendedPriceEssAnnual*AKC40/12+AKU40*BlendedPricePremAnnual*AKC40/12+AKV40*BlendedPriceEliteAnnual*AKC40/12</f>
        <v/>
      </c>
      <c r="AKY40" s="9">
        <f>AKX40*12</f>
        <v/>
      </c>
      <c r="AKZ40" s="12">
        <f>AKQ40*BlendedPriceEssMonthly*AKC40+AKR40*BlendedPricePremMonthly*AKC40+AKS40*BlendedPriceEliteMonthly*AKC40</f>
        <v/>
      </c>
      <c r="ALA40" s="12">
        <f>AKN40*BlendedPriceEssAnnual*AKC40+AKO40*BlendedPricePremAnnual*AKC40+AKP40*BlendedPriceEliteAnnual*AKC40</f>
        <v/>
      </c>
      <c r="ALB40" s="12">
        <f>AKN28*POWER(1-(AnnualChurn*VLOOKUP(AJZ40,ChurnSeasonTable,4,FALSE)),1)*BlendedPriceEssAnnual*AKC40+AKN16*POWER(1-(AnnualChurn*VLOOKUP(AJZ40,ChurnSeasonTable,4,FALSE)),2)*BlendedPriceEssAnnual*AKC40+AKO28*POWER(1-(AnnualChurn*VLOOKUP(AJZ40,ChurnSeasonTable,4,FALSE)),1)*BlendedPricePremAnnual*AKC40+AKO16*POWER(1-(AnnualChurn*VLOOKUP(AJZ40,ChurnSeasonTable,4,FALSE)),2)*BlendedPricePremAnnual*AKC40+AKP28*POWER(1-(AnnualChurn*VLOOKUP(AJZ40,ChurnSeasonTable,4,FALSE)),1)*BlendedPriceEliteAnnual*AKC40+AKP16*POWER(1-(AnnualChurn*VLOOKUP(AJZ40,ChurnSeasonTable,4,FALSE)),2)*BlendedPriceEliteAnnual*AKC40</f>
        <v/>
      </c>
      <c r="ALC40" s="9">
        <f>AKZ40+ALA40+ALB40</f>
        <v/>
      </c>
      <c r="ALD40" s="12">
        <f>SUM(ALC29:ALC40)</f>
        <v/>
      </c>
      <c r="ALE40" s="12">
        <f>OR(ALE39,IF(VATAgentMode,SUM($ALC29:$ALC40)-SUM($ALJ29:$ALJ40)&gt;=VATThreshold,SUM($ALC29:$ALC40)&gt;=VATThreshold))</f>
        <v/>
      </c>
      <c r="ALF40" s="9">
        <f>IF(ALE40,IF(VATAgentMode,ALC40-((ALC40-ALJ40)-(ALC40-ALJ40)/(1+VATRate)),ALC40/(1+VATRate)),ALC40)</f>
        <v/>
      </c>
      <c r="ALG40" s="12">
        <f>ALC40-ALF40</f>
        <v/>
      </c>
      <c r="ALH40" s="12">
        <f>IF(ALE40=0,0,IF(AJZ40=1,SUMPRODUCT(--(($AKA$5:$AKA40=$AKA40-1)*($AJZ$5:$AJZ40&gt;=10)*($AJZ$5:$AJZ40&lt;=12)),$ALG$5:$ALG40),IF(AJZ40=4,SUMPRODUCT(--(($AKA$5:$AKA40=$AKA40)*($AJZ$5:$AJZ40&gt;=1)*($AJZ$5:$AJZ40&lt;=3)),$ALG$5:$ALG40),IF(AJZ40=7,SUMPRODUCT(--(($AKA$5:$AKA40=$AKA40)*($AJZ$5:$AJZ40&gt;=4)*($AJZ$5:$AJZ40&lt;=6)),$ALG$5:$ALG40),IF(AJZ40=10,SUMPRODUCT(--(($AKA$5:$AKA40=$AKA40)*($AJZ$5:$AJZ40&gt;=7)*($AJZ$5:$AJZ40&lt;=9)),$ALG$5:$ALG40),0)))))</f>
        <v/>
      </c>
      <c r="ALI40" s="12">
        <f>ALI39+ALG40-ALH40</f>
        <v/>
      </c>
      <c r="ALJ40" s="12">
        <f>IF(ProviderDelay&gt;=1,AKQ39*BlendedProvPayEss+AKR39*BlendedProvPayPrem+AKS39*BlendedProvPayElite+AKT39*BlendedProvPayEss+AKU39*BlendedProvPayPrem+AKV39*BlendedProvPayElite,AKQ40*BlendedProvPayEss+AKR40*BlendedProvPayPrem+AKS40*BlendedProvPayElite+AKT40*BlendedProvPayEss+AKU40*BlendedProvPayPrem+AKV40*BlendedProvPayElite)</f>
        <v/>
      </c>
      <c r="ALK40" s="12">
        <f>ALC40*PaymentFee</f>
        <v/>
      </c>
      <c r="ALL40" s="12">
        <f>AKW40*OpsAI</f>
        <v/>
      </c>
      <c r="ALM40" s="12">
        <f>MonthlyFixed</f>
        <v/>
      </c>
      <c r="ALN40" s="12">
        <f>AKG40*ReferralReward</f>
        <v/>
      </c>
      <c r="ALO40" s="12">
        <f>AKE40</f>
        <v/>
      </c>
      <c r="ALP40" s="9">
        <f>ALF40-ALJ40-ALK40-ALL40-ALM40-ALN40-ALO40</f>
        <v/>
      </c>
      <c r="ALQ40" s="9">
        <f>ALQ39+ALC40-(ALJ40+ALK40+ALL40+ALM40+ALN40+ALO40+ALH40)</f>
        <v/>
      </c>
      <c r="ALR40" s="12">
        <f>IF(AKW40&gt;0,AKX40/AKW40,0)</f>
        <v/>
      </c>
      <c r="ALS40" s="11">
        <f>IF(AKW39&gt;0,MAX(0,(AKW39+AKH40-AKW40)/AKW39),0)</f>
        <v/>
      </c>
      <c r="ALU40" s="12" t="n">
        <v>36</v>
      </c>
      <c r="ALV40" s="12">
        <f>MOD(ALU40-1+LaunchMonth-1,12)+1</f>
        <v/>
      </c>
      <c r="ALW40" s="12">
        <f>INT((ALU40-1+LaunchMonth-1)/12)+1</f>
        <v/>
      </c>
      <c r="ALX40" s="12">
        <f>VLOOKUP(ALV40,SeasonTable,2,FALSE)</f>
        <v/>
      </c>
      <c r="ALY40" s="12">
        <f>(1+InflationRate)^INT((ALU40-1)/12)</f>
        <v/>
      </c>
      <c r="ALZ40" s="11">
        <f>MonthlyChurn*VLOOKUP(ALV40,ChurnSeasonTable,4,FALSE)</f>
        <v/>
      </c>
      <c r="AMA40" s="12">
        <f>MIN(MAX(MktMin19plus,AMY39*MktPct19plus),MAX(0,ANM39-CashBuffer))</f>
        <v/>
      </c>
      <c r="AMB40" s="12">
        <f>IF(AMA40&gt;0,MAX(1,ROUND(AMA40/'Sens - CAC &amp; Marketing'!$A$11*ALX40,0)),0)</f>
        <v/>
      </c>
      <c r="AMC40" s="12">
        <f>IF(AMB40&gt;0,ROUND(AMB40*ReferralMix/(1-ReferralMix),0),0)</f>
        <v/>
      </c>
      <c r="AMD40" s="12">
        <f>AMB40+AMC40</f>
        <v/>
      </c>
      <c r="AME40" s="12">
        <f>ROUND(AMD40*(1-AnnualMix),0)</f>
        <v/>
      </c>
      <c r="AMF40" s="12">
        <f>AMD40-AME40</f>
        <v/>
      </c>
      <c r="AMG40" s="12">
        <f>ROUND(AME40*EssentialMix,0)</f>
        <v/>
      </c>
      <c r="AMH40" s="12">
        <f>ROUND(AME40*PremiumMix,0)</f>
        <v/>
      </c>
      <c r="AMI40" s="12">
        <f>AME40-AMG40-AMH40</f>
        <v/>
      </c>
      <c r="AMJ40" s="12">
        <f>ROUND(AMF40*EssentialMix,0)</f>
        <v/>
      </c>
      <c r="AMK40" s="12">
        <f>ROUND(AMF40*PremiumMix,0)</f>
        <v/>
      </c>
      <c r="AML40" s="12">
        <f>AMF40-AMJ40-AMK40</f>
        <v/>
      </c>
      <c r="AMM40" s="12">
        <f>AMG40+AMG39+AMG38+MAX(0,AMM39-AMG39-AMG38)*(1-ALZ40)</f>
        <v/>
      </c>
      <c r="AMN40" s="12">
        <f>AMH40+AMH39+AMH38+MAX(0,AMN39-AMH39-AMH38)*(1-ALZ40)</f>
        <v/>
      </c>
      <c r="AMO40" s="12">
        <f>AMI40+AMI39+AMI38+MAX(0,AMO39-AMI39-AMI38)*(1-ALZ40)</f>
        <v/>
      </c>
      <c r="AMP40" s="12">
        <f>AMP39+AMJ40-AMJ28*(AnnualChurn*VLOOKUP(ALV40,ChurnSeasonTable,4,FALSE))*POWER(1-(AnnualChurn*VLOOKUP(ALV40,ChurnSeasonTable,4,FALSE)),0)+AMJ16*(AnnualChurn*VLOOKUP(ALV40,ChurnSeasonTable,4,FALSE))*POWER(1-(AnnualChurn*VLOOKUP(ALV40,ChurnSeasonTable,4,FALSE)),1)</f>
        <v/>
      </c>
      <c r="AMQ40" s="12">
        <f>AMQ39+AMK40-AMK28*(AnnualChurn*VLOOKUP(ALV40,ChurnSeasonTable,4,FALSE))*POWER(1-(AnnualChurn*VLOOKUP(ALV40,ChurnSeasonTable,4,FALSE)),0)+AMK16*(AnnualChurn*VLOOKUP(ALV40,ChurnSeasonTable,4,FALSE))*POWER(1-(AnnualChurn*VLOOKUP(ALV40,ChurnSeasonTable,4,FALSE)),1)</f>
        <v/>
      </c>
      <c r="AMR40" s="12">
        <f>AMR39+AML40-AML28*(AnnualChurn*VLOOKUP(ALV40,ChurnSeasonTable,4,FALSE))*POWER(1-(AnnualChurn*VLOOKUP(ALV40,ChurnSeasonTable,4,FALSE)),0)+AML16*(AnnualChurn*VLOOKUP(ALV40,ChurnSeasonTable,4,FALSE))*POWER(1-(AnnualChurn*VLOOKUP(ALV40,ChurnSeasonTable,4,FALSE)),1)</f>
        <v/>
      </c>
      <c r="AMS40" s="12">
        <f>AMM40+AMN40+AMO40+AMP40+AMQ40+AMR40</f>
        <v/>
      </c>
      <c r="AMT40" s="9">
        <f>AMM40*BlendedPriceEssMonthly*ALY40+AMN40*BlendedPricePremMonthly*ALY40+AMO40*BlendedPriceEliteMonthly*ALY40+AMP40*BlendedPriceEssAnnual*ALY40/12+AMQ40*BlendedPricePremAnnual*ALY40/12+AMR40*BlendedPriceEliteAnnual*ALY40/12</f>
        <v/>
      </c>
      <c r="AMU40" s="9">
        <f>AMT40*12</f>
        <v/>
      </c>
      <c r="AMV40" s="12">
        <f>AMM40*BlendedPriceEssMonthly*ALY40+AMN40*BlendedPricePremMonthly*ALY40+AMO40*BlendedPriceEliteMonthly*ALY40</f>
        <v/>
      </c>
      <c r="AMW40" s="12">
        <f>AMJ40*BlendedPriceEssAnnual*ALY40+AMK40*BlendedPricePremAnnual*ALY40+AML40*BlendedPriceEliteAnnual*ALY40</f>
        <v/>
      </c>
      <c r="AMX40" s="12">
        <f>AMJ28*POWER(1-(AnnualChurn*VLOOKUP(ALV40,ChurnSeasonTable,4,FALSE)),1)*BlendedPriceEssAnnual*ALY40+AMJ16*POWER(1-(AnnualChurn*VLOOKUP(ALV40,ChurnSeasonTable,4,FALSE)),2)*BlendedPriceEssAnnual*ALY40+AMK28*POWER(1-(AnnualChurn*VLOOKUP(ALV40,ChurnSeasonTable,4,FALSE)),1)*BlendedPricePremAnnual*ALY40+AMK16*POWER(1-(AnnualChurn*VLOOKUP(ALV40,ChurnSeasonTable,4,FALSE)),2)*BlendedPricePremAnnual*ALY40+AML28*POWER(1-(AnnualChurn*VLOOKUP(ALV40,ChurnSeasonTable,4,FALSE)),1)*BlendedPriceEliteAnnual*ALY40+AML16*POWER(1-(AnnualChurn*VLOOKUP(ALV40,ChurnSeasonTable,4,FALSE)),2)*BlendedPriceEliteAnnual*ALY40</f>
        <v/>
      </c>
      <c r="AMY40" s="9">
        <f>AMV40+AMW40+AMX40</f>
        <v/>
      </c>
      <c r="AMZ40" s="12">
        <f>SUM(AMY29:AMY40)</f>
        <v/>
      </c>
      <c r="ANA40" s="12">
        <f>OR(ANA39,IF(VATAgentMode,SUM($AMY29:$AMY40)-SUM($ANF29:$ANF40)&gt;=VATThreshold,SUM($AMY29:$AMY40)&gt;=VATThreshold))</f>
        <v/>
      </c>
      <c r="ANB40" s="9">
        <f>IF(ANA40,IF(VATAgentMode,AMY40-((AMY40-ANF40)-(AMY40-ANF40)/(1+VATRate)),AMY40/(1+VATRate)),AMY40)</f>
        <v/>
      </c>
      <c r="ANC40" s="12">
        <f>AMY40-ANB40</f>
        <v/>
      </c>
      <c r="AND40" s="12">
        <f>IF(ANA40=0,0,IF(ALV40=1,SUMPRODUCT(--(($ALW$5:$ALW40=$ALW40-1)*($ALV$5:$ALV40&gt;=10)*($ALV$5:$ALV40&lt;=12)),$ANC$5:$ANC40),IF(ALV40=4,SUMPRODUCT(--(($ALW$5:$ALW40=$ALW40)*($ALV$5:$ALV40&gt;=1)*($ALV$5:$ALV40&lt;=3)),$ANC$5:$ANC40),IF(ALV40=7,SUMPRODUCT(--(($ALW$5:$ALW40=$ALW40)*($ALV$5:$ALV40&gt;=4)*($ALV$5:$ALV40&lt;=6)),$ANC$5:$ANC40),IF(ALV40=10,SUMPRODUCT(--(($ALW$5:$ALW40=$ALW40)*($ALV$5:$ALV40&gt;=7)*($ALV$5:$ALV40&lt;=9)),$ANC$5:$ANC40),0)))))</f>
        <v/>
      </c>
      <c r="ANE40" s="12">
        <f>ANE39+ANC40-AND40</f>
        <v/>
      </c>
      <c r="ANF40" s="12">
        <f>IF(ProviderDelay&gt;=1,AMM39*BlendedProvPayEss+AMN39*BlendedProvPayPrem+AMO39*BlendedProvPayElite+AMP39*BlendedProvPayEss+AMQ39*BlendedProvPayPrem+AMR39*BlendedProvPayElite,AMM40*BlendedProvPayEss+AMN40*BlendedProvPayPrem+AMO40*BlendedProvPayElite+AMP40*BlendedProvPayEss+AMQ40*BlendedProvPayPrem+AMR40*BlendedProvPayElite)</f>
        <v/>
      </c>
      <c r="ANG40" s="12">
        <f>AMY40*PaymentFee</f>
        <v/>
      </c>
      <c r="ANH40" s="12">
        <f>AMS40*OpsAI</f>
        <v/>
      </c>
      <c r="ANI40" s="12">
        <f>MonthlyFixed</f>
        <v/>
      </c>
      <c r="ANJ40" s="12">
        <f>AMC40*ReferralReward</f>
        <v/>
      </c>
      <c r="ANK40" s="12">
        <f>AMA40</f>
        <v/>
      </c>
      <c r="ANL40" s="9">
        <f>ANB40-ANF40-ANG40-ANH40-ANI40-ANJ40-ANK40</f>
        <v/>
      </c>
      <c r="ANM40" s="9">
        <f>ANM39+AMY40-(ANF40+ANG40+ANH40+ANI40+ANJ40+ANK40+AND40)</f>
        <v/>
      </c>
      <c r="ANN40" s="12">
        <f>IF(AMS40&gt;0,AMT40/AMS40,0)</f>
        <v/>
      </c>
      <c r="ANO40" s="11">
        <f>IF(AMS39&gt;0,MAX(0,(AMS39+AMD40-AMS40)/AMS39),0)</f>
        <v/>
      </c>
      <c r="ANQ40" s="12" t="n">
        <v>36</v>
      </c>
      <c r="ANR40" s="12">
        <f>MOD(ANQ40-1+LaunchMonth-1,12)+1</f>
        <v/>
      </c>
      <c r="ANS40" s="12">
        <f>INT((ANQ40-1+LaunchMonth-1)/12)+1</f>
        <v/>
      </c>
      <c r="ANT40" s="12">
        <f>VLOOKUP(ANR40,SeasonTable,2,FALSE)</f>
        <v/>
      </c>
      <c r="ANU40" s="12">
        <f>(1+InflationRate)^INT((ANQ40-1)/12)</f>
        <v/>
      </c>
      <c r="ANV40" s="11">
        <f>MonthlyChurn*VLOOKUP(ANR40,ChurnSeasonTable,4,FALSE)</f>
        <v/>
      </c>
      <c r="ANW40" s="12">
        <f>MIN(MAX(MktMin19plus,AOU39*MktPct19plus),MAX(0,API39-CashBuffer))</f>
        <v/>
      </c>
      <c r="ANX40" s="12">
        <f>IF(ANW40&gt;0,MAX(1,ROUND(ANW40/'Sens - CAC &amp; Marketing'!$A$12*ANT40,0)),0)</f>
        <v/>
      </c>
      <c r="ANY40" s="12">
        <f>IF(ANX40&gt;0,ROUND(ANX40*ReferralMix/(1-ReferralMix),0),0)</f>
        <v/>
      </c>
      <c r="ANZ40" s="12">
        <f>ANX40+ANY40</f>
        <v/>
      </c>
      <c r="AOA40" s="12">
        <f>ROUND(ANZ40*(1-AnnualMix),0)</f>
        <v/>
      </c>
      <c r="AOB40" s="12">
        <f>ANZ40-AOA40</f>
        <v/>
      </c>
      <c r="AOC40" s="12">
        <f>ROUND(AOA40*EssentialMix,0)</f>
        <v/>
      </c>
      <c r="AOD40" s="12">
        <f>ROUND(AOA40*PremiumMix,0)</f>
        <v/>
      </c>
      <c r="AOE40" s="12">
        <f>AOA40-AOC40-AOD40</f>
        <v/>
      </c>
      <c r="AOF40" s="12">
        <f>ROUND(AOB40*EssentialMix,0)</f>
        <v/>
      </c>
      <c r="AOG40" s="12">
        <f>ROUND(AOB40*PremiumMix,0)</f>
        <v/>
      </c>
      <c r="AOH40" s="12">
        <f>AOB40-AOF40-AOG40</f>
        <v/>
      </c>
      <c r="AOI40" s="12">
        <f>AOC40+AOC39+AOC38+MAX(0,AOI39-AOC39-AOC38)*(1-ANV40)</f>
        <v/>
      </c>
      <c r="AOJ40" s="12">
        <f>AOD40+AOD39+AOD38+MAX(0,AOJ39-AOD39-AOD38)*(1-ANV40)</f>
        <v/>
      </c>
      <c r="AOK40" s="12">
        <f>AOE40+AOE39+AOE38+MAX(0,AOK39-AOE39-AOE38)*(1-ANV40)</f>
        <v/>
      </c>
      <c r="AOL40" s="12">
        <f>AOL39+AOF40-AOF28*(AnnualChurn*VLOOKUP(ANR40,ChurnSeasonTable,4,FALSE))*POWER(1-(AnnualChurn*VLOOKUP(ANR40,ChurnSeasonTable,4,FALSE)),0)+AOF16*(AnnualChurn*VLOOKUP(ANR40,ChurnSeasonTable,4,FALSE))*POWER(1-(AnnualChurn*VLOOKUP(ANR40,ChurnSeasonTable,4,FALSE)),1)</f>
        <v/>
      </c>
      <c r="AOM40" s="12">
        <f>AOM39+AOG40-AOG28*(AnnualChurn*VLOOKUP(ANR40,ChurnSeasonTable,4,FALSE))*POWER(1-(AnnualChurn*VLOOKUP(ANR40,ChurnSeasonTable,4,FALSE)),0)+AOG16*(AnnualChurn*VLOOKUP(ANR40,ChurnSeasonTable,4,FALSE))*POWER(1-(AnnualChurn*VLOOKUP(ANR40,ChurnSeasonTable,4,FALSE)),1)</f>
        <v/>
      </c>
      <c r="AON40" s="12">
        <f>AON39+AOH40-AOH28*(AnnualChurn*VLOOKUP(ANR40,ChurnSeasonTable,4,FALSE))*POWER(1-(AnnualChurn*VLOOKUP(ANR40,ChurnSeasonTable,4,FALSE)),0)+AOH16*(AnnualChurn*VLOOKUP(ANR40,ChurnSeasonTable,4,FALSE))*POWER(1-(AnnualChurn*VLOOKUP(ANR40,ChurnSeasonTable,4,FALSE)),1)</f>
        <v/>
      </c>
      <c r="AOO40" s="12">
        <f>AOI40+AOJ40+AOK40+AOL40+AOM40+AON40</f>
        <v/>
      </c>
      <c r="AOP40" s="9">
        <f>AOI40*BlendedPriceEssMonthly*ANU40+AOJ40*BlendedPricePremMonthly*ANU40+AOK40*BlendedPriceEliteMonthly*ANU40+AOL40*BlendedPriceEssAnnual*ANU40/12+AOM40*BlendedPricePremAnnual*ANU40/12+AON40*BlendedPriceEliteAnnual*ANU40/12</f>
        <v/>
      </c>
      <c r="AOQ40" s="9">
        <f>AOP40*12</f>
        <v/>
      </c>
      <c r="AOR40" s="12">
        <f>AOI40*BlendedPriceEssMonthly*ANU40+AOJ40*BlendedPricePremMonthly*ANU40+AOK40*BlendedPriceEliteMonthly*ANU40</f>
        <v/>
      </c>
      <c r="AOS40" s="12">
        <f>AOF40*BlendedPriceEssAnnual*ANU40+AOG40*BlendedPricePremAnnual*ANU40+AOH40*BlendedPriceEliteAnnual*ANU40</f>
        <v/>
      </c>
      <c r="AOT40" s="12">
        <f>AOF28*POWER(1-(AnnualChurn*VLOOKUP(ANR40,ChurnSeasonTable,4,FALSE)),1)*BlendedPriceEssAnnual*ANU40+AOF16*POWER(1-(AnnualChurn*VLOOKUP(ANR40,ChurnSeasonTable,4,FALSE)),2)*BlendedPriceEssAnnual*ANU40+AOG28*POWER(1-(AnnualChurn*VLOOKUP(ANR40,ChurnSeasonTable,4,FALSE)),1)*BlendedPricePremAnnual*ANU40+AOG16*POWER(1-(AnnualChurn*VLOOKUP(ANR40,ChurnSeasonTable,4,FALSE)),2)*BlendedPricePremAnnual*ANU40+AOH28*POWER(1-(AnnualChurn*VLOOKUP(ANR40,ChurnSeasonTable,4,FALSE)),1)*BlendedPriceEliteAnnual*ANU40+AOH16*POWER(1-(AnnualChurn*VLOOKUP(ANR40,ChurnSeasonTable,4,FALSE)),2)*BlendedPriceEliteAnnual*ANU40</f>
        <v/>
      </c>
      <c r="AOU40" s="9">
        <f>AOR40+AOS40+AOT40</f>
        <v/>
      </c>
      <c r="AOV40" s="12">
        <f>SUM(AOU29:AOU40)</f>
        <v/>
      </c>
      <c r="AOW40" s="12">
        <f>OR(AOW39,IF(VATAgentMode,SUM($AOU29:$AOU40)-SUM($APB29:$APB40)&gt;=VATThreshold,SUM($AOU29:$AOU40)&gt;=VATThreshold))</f>
        <v/>
      </c>
      <c r="AOX40" s="9">
        <f>IF(AOW40,IF(VATAgentMode,AOU40-((AOU40-APB40)-(AOU40-APB40)/(1+VATRate)),AOU40/(1+VATRate)),AOU40)</f>
        <v/>
      </c>
      <c r="AOY40" s="12">
        <f>AOU40-AOX40</f>
        <v/>
      </c>
      <c r="AOZ40" s="12">
        <f>IF(AOW40=0,0,IF(ANR40=1,SUMPRODUCT(--(($ANS$5:$ANS40=$ANS40-1)*($ANR$5:$ANR40&gt;=10)*($ANR$5:$ANR40&lt;=12)),$AOY$5:$AOY40),IF(ANR40=4,SUMPRODUCT(--(($ANS$5:$ANS40=$ANS40)*($ANR$5:$ANR40&gt;=1)*($ANR$5:$ANR40&lt;=3)),$AOY$5:$AOY40),IF(ANR40=7,SUMPRODUCT(--(($ANS$5:$ANS40=$ANS40)*($ANR$5:$ANR40&gt;=4)*($ANR$5:$ANR40&lt;=6)),$AOY$5:$AOY40),IF(ANR40=10,SUMPRODUCT(--(($ANS$5:$ANS40=$ANS40)*($ANR$5:$ANR40&gt;=7)*($ANR$5:$ANR40&lt;=9)),$AOY$5:$AOY40),0)))))</f>
        <v/>
      </c>
      <c r="APA40" s="12">
        <f>APA39+AOY40-AOZ40</f>
        <v/>
      </c>
      <c r="APB40" s="12">
        <f>IF(ProviderDelay&gt;=1,AOI39*BlendedProvPayEss+AOJ39*BlendedProvPayPrem+AOK39*BlendedProvPayElite+AOL39*BlendedProvPayEss+AOM39*BlendedProvPayPrem+AON39*BlendedProvPayElite,AOI40*BlendedProvPayEss+AOJ40*BlendedProvPayPrem+AOK40*BlendedProvPayElite+AOL40*BlendedProvPayEss+AOM40*BlendedProvPayPrem+AON40*BlendedProvPayElite)</f>
        <v/>
      </c>
      <c r="APC40" s="12">
        <f>AOU40*PaymentFee</f>
        <v/>
      </c>
      <c r="APD40" s="12">
        <f>AOO40*OpsAI</f>
        <v/>
      </c>
      <c r="APE40" s="12">
        <f>MonthlyFixed</f>
        <v/>
      </c>
      <c r="APF40" s="12">
        <f>ANY40*ReferralReward</f>
        <v/>
      </c>
      <c r="APG40" s="12">
        <f>ANW40</f>
        <v/>
      </c>
      <c r="APH40" s="9">
        <f>AOX40-APB40-APC40-APD40-APE40-APF40-APG40</f>
        <v/>
      </c>
      <c r="API40" s="9">
        <f>API39+AOU40-(APB40+APC40+APD40+APE40+APF40+APG40+AOZ40)</f>
        <v/>
      </c>
      <c r="APJ40" s="12">
        <f>IF(AOO40&gt;0,AOP40/AOO40,0)</f>
        <v/>
      </c>
      <c r="APK40" s="11">
        <f>IF(AOO39&gt;0,MAX(0,(AOO39+ANZ40-AOO40)/AOO39),0)</f>
        <v/>
      </c>
      <c r="APM40" s="12" t="n">
        <v>36</v>
      </c>
      <c r="APN40" s="12">
        <f>MOD(APM40-1+LaunchMonth-1,12)+1</f>
        <v/>
      </c>
      <c r="APO40" s="12">
        <f>INT((APM40-1+LaunchMonth-1)/12)+1</f>
        <v/>
      </c>
      <c r="APP40" s="12">
        <f>VLOOKUP(APN40,SeasonTable,2,FALSE)</f>
        <v/>
      </c>
      <c r="APQ40" s="12">
        <f>(1+InflationRate)^INT((APM40-1)/12)</f>
        <v/>
      </c>
      <c r="APR40" s="11">
        <f>MonthlyChurn*VLOOKUP(APN40,ChurnSeasonTable,4,FALSE)</f>
        <v/>
      </c>
      <c r="APS40" s="12">
        <f>MIN(MAX(MktMin19plus,AQQ39*MktPct19plus),MAX(0,ARE39-CashBuffer))</f>
        <v/>
      </c>
      <c r="APT40" s="12">
        <f>IF(APS40&gt;0,MAX(1,ROUND(APS40/'Sens - CAC &amp; Marketing'!$A$13*APP40,0)),0)</f>
        <v/>
      </c>
      <c r="APU40" s="12">
        <f>IF(APT40&gt;0,ROUND(APT40*ReferralMix/(1-ReferralMix),0),0)</f>
        <v/>
      </c>
      <c r="APV40" s="12">
        <f>APT40+APU40</f>
        <v/>
      </c>
      <c r="APW40" s="12">
        <f>ROUND(APV40*(1-AnnualMix),0)</f>
        <v/>
      </c>
      <c r="APX40" s="12">
        <f>APV40-APW40</f>
        <v/>
      </c>
      <c r="APY40" s="12">
        <f>ROUND(APW40*EssentialMix,0)</f>
        <v/>
      </c>
      <c r="APZ40" s="12">
        <f>ROUND(APW40*PremiumMix,0)</f>
        <v/>
      </c>
      <c r="AQA40" s="12">
        <f>APW40-APY40-APZ40</f>
        <v/>
      </c>
      <c r="AQB40" s="12">
        <f>ROUND(APX40*EssentialMix,0)</f>
        <v/>
      </c>
      <c r="AQC40" s="12">
        <f>ROUND(APX40*PremiumMix,0)</f>
        <v/>
      </c>
      <c r="AQD40" s="12">
        <f>APX40-AQB40-AQC40</f>
        <v/>
      </c>
      <c r="AQE40" s="12">
        <f>APY40+APY39+APY38+MAX(0,AQE39-APY39-APY38)*(1-APR40)</f>
        <v/>
      </c>
      <c r="AQF40" s="12">
        <f>APZ40+APZ39+APZ38+MAX(0,AQF39-APZ39-APZ38)*(1-APR40)</f>
        <v/>
      </c>
      <c r="AQG40" s="12">
        <f>AQA40+AQA39+AQA38+MAX(0,AQG39-AQA39-AQA38)*(1-APR40)</f>
        <v/>
      </c>
      <c r="AQH40" s="12">
        <f>AQH39+AQB40-AQB28*(AnnualChurn*VLOOKUP(APN40,ChurnSeasonTable,4,FALSE))*POWER(1-(AnnualChurn*VLOOKUP(APN40,ChurnSeasonTable,4,FALSE)),0)+AQB16*(AnnualChurn*VLOOKUP(APN40,ChurnSeasonTable,4,FALSE))*POWER(1-(AnnualChurn*VLOOKUP(APN40,ChurnSeasonTable,4,FALSE)),1)</f>
        <v/>
      </c>
      <c r="AQI40" s="12">
        <f>AQI39+AQC40-AQC28*(AnnualChurn*VLOOKUP(APN40,ChurnSeasonTable,4,FALSE))*POWER(1-(AnnualChurn*VLOOKUP(APN40,ChurnSeasonTable,4,FALSE)),0)+AQC16*(AnnualChurn*VLOOKUP(APN40,ChurnSeasonTable,4,FALSE))*POWER(1-(AnnualChurn*VLOOKUP(APN40,ChurnSeasonTable,4,FALSE)),1)</f>
        <v/>
      </c>
      <c r="AQJ40" s="12">
        <f>AQJ39+AQD40-AQD28*(AnnualChurn*VLOOKUP(APN40,ChurnSeasonTable,4,FALSE))*POWER(1-(AnnualChurn*VLOOKUP(APN40,ChurnSeasonTable,4,FALSE)),0)+AQD16*(AnnualChurn*VLOOKUP(APN40,ChurnSeasonTable,4,FALSE))*POWER(1-(AnnualChurn*VLOOKUP(APN40,ChurnSeasonTable,4,FALSE)),1)</f>
        <v/>
      </c>
      <c r="AQK40" s="12">
        <f>AQE40+AQF40+AQG40+AQH40+AQI40+AQJ40</f>
        <v/>
      </c>
      <c r="AQL40" s="9">
        <f>AQE40*BlendedPriceEssMonthly*APQ40+AQF40*BlendedPricePremMonthly*APQ40+AQG40*BlendedPriceEliteMonthly*APQ40+AQH40*BlendedPriceEssAnnual*APQ40/12+AQI40*BlendedPricePremAnnual*APQ40/12+AQJ40*BlendedPriceEliteAnnual*APQ40/12</f>
        <v/>
      </c>
      <c r="AQM40" s="9">
        <f>AQL40*12</f>
        <v/>
      </c>
      <c r="AQN40" s="12">
        <f>AQE40*BlendedPriceEssMonthly*APQ40+AQF40*BlendedPricePremMonthly*APQ40+AQG40*BlendedPriceEliteMonthly*APQ40</f>
        <v/>
      </c>
      <c r="AQO40" s="12">
        <f>AQB40*BlendedPriceEssAnnual*APQ40+AQC40*BlendedPricePremAnnual*APQ40+AQD40*BlendedPriceEliteAnnual*APQ40</f>
        <v/>
      </c>
      <c r="AQP40" s="12">
        <f>AQB28*POWER(1-(AnnualChurn*VLOOKUP(APN40,ChurnSeasonTable,4,FALSE)),1)*BlendedPriceEssAnnual*APQ40+AQB16*POWER(1-(AnnualChurn*VLOOKUP(APN40,ChurnSeasonTable,4,FALSE)),2)*BlendedPriceEssAnnual*APQ40+AQC28*POWER(1-(AnnualChurn*VLOOKUP(APN40,ChurnSeasonTable,4,FALSE)),1)*BlendedPricePremAnnual*APQ40+AQC16*POWER(1-(AnnualChurn*VLOOKUP(APN40,ChurnSeasonTable,4,FALSE)),2)*BlendedPricePremAnnual*APQ40+AQD28*POWER(1-(AnnualChurn*VLOOKUP(APN40,ChurnSeasonTable,4,FALSE)),1)*BlendedPriceEliteAnnual*APQ40+AQD16*POWER(1-(AnnualChurn*VLOOKUP(APN40,ChurnSeasonTable,4,FALSE)),2)*BlendedPriceEliteAnnual*APQ40</f>
        <v/>
      </c>
      <c r="AQQ40" s="9">
        <f>AQN40+AQO40+AQP40</f>
        <v/>
      </c>
      <c r="AQR40" s="12">
        <f>SUM(AQQ29:AQQ40)</f>
        <v/>
      </c>
      <c r="AQS40" s="12">
        <f>OR(AQS39,IF(VATAgentMode,SUM($AQQ29:$AQQ40)-SUM($AQX29:$AQX40)&gt;=VATThreshold,SUM($AQQ29:$AQQ40)&gt;=VATThreshold))</f>
        <v/>
      </c>
      <c r="AQT40" s="9">
        <f>IF(AQS40,IF(VATAgentMode,AQQ40-((AQQ40-AQX40)-(AQQ40-AQX40)/(1+VATRate)),AQQ40/(1+VATRate)),AQQ40)</f>
        <v/>
      </c>
      <c r="AQU40" s="12">
        <f>AQQ40-AQT40</f>
        <v/>
      </c>
      <c r="AQV40" s="12">
        <f>IF(AQS40=0,0,IF(APN40=1,SUMPRODUCT(--(($APO$5:$APO40=$APO40-1)*($APN$5:$APN40&gt;=10)*($APN$5:$APN40&lt;=12)),$AQU$5:$AQU40),IF(APN40=4,SUMPRODUCT(--(($APO$5:$APO40=$APO40)*($APN$5:$APN40&gt;=1)*($APN$5:$APN40&lt;=3)),$AQU$5:$AQU40),IF(APN40=7,SUMPRODUCT(--(($APO$5:$APO40=$APO40)*($APN$5:$APN40&gt;=4)*($APN$5:$APN40&lt;=6)),$AQU$5:$AQU40),IF(APN40=10,SUMPRODUCT(--(($APO$5:$APO40=$APO40)*($APN$5:$APN40&gt;=7)*($APN$5:$APN40&lt;=9)),$AQU$5:$AQU40),0)))))</f>
        <v/>
      </c>
      <c r="AQW40" s="12">
        <f>AQW39+AQU40-AQV40</f>
        <v/>
      </c>
      <c r="AQX40" s="12">
        <f>IF(ProviderDelay&gt;=1,AQE39*BlendedProvPayEss+AQF39*BlendedProvPayPrem+AQG39*BlendedProvPayElite+AQH39*BlendedProvPayEss+AQI39*BlendedProvPayPrem+AQJ39*BlendedProvPayElite,AQE40*BlendedProvPayEss+AQF40*BlendedProvPayPrem+AQG40*BlendedProvPayElite+AQH40*BlendedProvPayEss+AQI40*BlendedProvPayPrem+AQJ40*BlendedProvPayElite)</f>
        <v/>
      </c>
      <c r="AQY40" s="12">
        <f>AQQ40*PaymentFee</f>
        <v/>
      </c>
      <c r="AQZ40" s="12">
        <f>AQK40*OpsAI</f>
        <v/>
      </c>
      <c r="ARA40" s="12">
        <f>MonthlyFixed</f>
        <v/>
      </c>
      <c r="ARB40" s="12">
        <f>APU40*ReferralReward</f>
        <v/>
      </c>
      <c r="ARC40" s="12">
        <f>APS40</f>
        <v/>
      </c>
      <c r="ARD40" s="9">
        <f>AQT40-AQX40-AQY40-AQZ40-ARA40-ARB40-ARC40</f>
        <v/>
      </c>
      <c r="ARE40" s="9">
        <f>ARE39+AQQ40-(AQX40+AQY40+AQZ40+ARA40+ARB40+ARC40+AQV40)</f>
        <v/>
      </c>
      <c r="ARF40" s="12">
        <f>IF(AQK40&gt;0,AQL40/AQK40,0)</f>
        <v/>
      </c>
      <c r="ARG40" s="11">
        <f>IF(AQK39&gt;0,MAX(0,(AQK39+APV40-AQK40)/AQK39),0)</f>
        <v/>
      </c>
      <c r="ARI40" s="12" t="n">
        <v>36</v>
      </c>
      <c r="ARJ40" s="12">
        <f>MOD(ARI40-1+LaunchMonth-1,12)+1</f>
        <v/>
      </c>
      <c r="ARK40" s="12">
        <f>INT((ARI40-1+LaunchMonth-1)/12)+1</f>
        <v/>
      </c>
      <c r="ARL40" s="12">
        <f>VLOOKUP(ARJ40,SeasonTable,2,FALSE)</f>
        <v/>
      </c>
      <c r="ARM40" s="12">
        <f>(1+InflationRate)^INT((ARI40-1)/12)</f>
        <v/>
      </c>
      <c r="ARN40" s="11">
        <f>MonthlyChurn*VLOOKUP(ARJ40,ChurnSeasonTable,4,FALSE)</f>
        <v/>
      </c>
      <c r="ARO40" s="12">
        <f>MIN(MAX(MktMin19plus,ASM39*MktPct19plus),MAX(0,ATA39-CashBuffer))</f>
        <v/>
      </c>
      <c r="ARP40" s="12">
        <f>IF(ARO40&gt;0,MAX(1,ROUND(ARO40/'Sens - CAC &amp; Marketing'!$A$14*ARL40,0)),0)</f>
        <v/>
      </c>
      <c r="ARQ40" s="12">
        <f>IF(ARP40&gt;0,ROUND(ARP40*ReferralMix/(1-ReferralMix),0),0)</f>
        <v/>
      </c>
      <c r="ARR40" s="12">
        <f>ARP40+ARQ40</f>
        <v/>
      </c>
      <c r="ARS40" s="12">
        <f>ROUND(ARR40*(1-AnnualMix),0)</f>
        <v/>
      </c>
      <c r="ART40" s="12">
        <f>ARR40-ARS40</f>
        <v/>
      </c>
      <c r="ARU40" s="12">
        <f>ROUND(ARS40*EssentialMix,0)</f>
        <v/>
      </c>
      <c r="ARV40" s="12">
        <f>ROUND(ARS40*PremiumMix,0)</f>
        <v/>
      </c>
      <c r="ARW40" s="12">
        <f>ARS40-ARU40-ARV40</f>
        <v/>
      </c>
      <c r="ARX40" s="12">
        <f>ROUND(ART40*EssentialMix,0)</f>
        <v/>
      </c>
      <c r="ARY40" s="12">
        <f>ROUND(ART40*PremiumMix,0)</f>
        <v/>
      </c>
      <c r="ARZ40" s="12">
        <f>ART40-ARX40-ARY40</f>
        <v/>
      </c>
      <c r="ASA40" s="12">
        <f>ARU40+ARU39+ARU38+MAX(0,ASA39-ARU39-ARU38)*(1-ARN40)</f>
        <v/>
      </c>
      <c r="ASB40" s="12">
        <f>ARV40+ARV39+ARV38+MAX(0,ASB39-ARV39-ARV38)*(1-ARN40)</f>
        <v/>
      </c>
      <c r="ASC40" s="12">
        <f>ARW40+ARW39+ARW38+MAX(0,ASC39-ARW39-ARW38)*(1-ARN40)</f>
        <v/>
      </c>
      <c r="ASD40" s="12">
        <f>ASD39+ARX40-ARX28*(AnnualChurn*VLOOKUP(ARJ40,ChurnSeasonTable,4,FALSE))*POWER(1-(AnnualChurn*VLOOKUP(ARJ40,ChurnSeasonTable,4,FALSE)),0)+ARX16*(AnnualChurn*VLOOKUP(ARJ40,ChurnSeasonTable,4,FALSE))*POWER(1-(AnnualChurn*VLOOKUP(ARJ40,ChurnSeasonTable,4,FALSE)),1)</f>
        <v/>
      </c>
      <c r="ASE40" s="12">
        <f>ASE39+ARY40-ARY28*(AnnualChurn*VLOOKUP(ARJ40,ChurnSeasonTable,4,FALSE))*POWER(1-(AnnualChurn*VLOOKUP(ARJ40,ChurnSeasonTable,4,FALSE)),0)+ARY16*(AnnualChurn*VLOOKUP(ARJ40,ChurnSeasonTable,4,FALSE))*POWER(1-(AnnualChurn*VLOOKUP(ARJ40,ChurnSeasonTable,4,FALSE)),1)</f>
        <v/>
      </c>
      <c r="ASF40" s="12">
        <f>ASF39+ARZ40-ARZ28*(AnnualChurn*VLOOKUP(ARJ40,ChurnSeasonTable,4,FALSE))*POWER(1-(AnnualChurn*VLOOKUP(ARJ40,ChurnSeasonTable,4,FALSE)),0)+ARZ16*(AnnualChurn*VLOOKUP(ARJ40,ChurnSeasonTable,4,FALSE))*POWER(1-(AnnualChurn*VLOOKUP(ARJ40,ChurnSeasonTable,4,FALSE)),1)</f>
        <v/>
      </c>
      <c r="ASG40" s="12">
        <f>ASA40+ASB40+ASC40+ASD40+ASE40+ASF40</f>
        <v/>
      </c>
      <c r="ASH40" s="9">
        <f>ASA40*BlendedPriceEssMonthly*ARM40+ASB40*BlendedPricePremMonthly*ARM40+ASC40*BlendedPriceEliteMonthly*ARM40+ASD40*BlendedPriceEssAnnual*ARM40/12+ASE40*BlendedPricePremAnnual*ARM40/12+ASF40*BlendedPriceEliteAnnual*ARM40/12</f>
        <v/>
      </c>
      <c r="ASI40" s="9">
        <f>ASH40*12</f>
        <v/>
      </c>
      <c r="ASJ40" s="12">
        <f>ASA40*BlendedPriceEssMonthly*ARM40+ASB40*BlendedPricePremMonthly*ARM40+ASC40*BlendedPriceEliteMonthly*ARM40</f>
        <v/>
      </c>
      <c r="ASK40" s="12">
        <f>ARX40*BlendedPriceEssAnnual*ARM40+ARY40*BlendedPricePremAnnual*ARM40+ARZ40*BlendedPriceEliteAnnual*ARM40</f>
        <v/>
      </c>
      <c r="ASL40" s="12">
        <f>ARX28*POWER(1-(AnnualChurn*VLOOKUP(ARJ40,ChurnSeasonTable,4,FALSE)),1)*BlendedPriceEssAnnual*ARM40+ARX16*POWER(1-(AnnualChurn*VLOOKUP(ARJ40,ChurnSeasonTable,4,FALSE)),2)*BlendedPriceEssAnnual*ARM40+ARY28*POWER(1-(AnnualChurn*VLOOKUP(ARJ40,ChurnSeasonTable,4,FALSE)),1)*BlendedPricePremAnnual*ARM40+ARY16*POWER(1-(AnnualChurn*VLOOKUP(ARJ40,ChurnSeasonTable,4,FALSE)),2)*BlendedPricePremAnnual*ARM40+ARZ28*POWER(1-(AnnualChurn*VLOOKUP(ARJ40,ChurnSeasonTable,4,FALSE)),1)*BlendedPriceEliteAnnual*ARM40+ARZ16*POWER(1-(AnnualChurn*VLOOKUP(ARJ40,ChurnSeasonTable,4,FALSE)),2)*BlendedPriceEliteAnnual*ARM40</f>
        <v/>
      </c>
      <c r="ASM40" s="9">
        <f>ASJ40+ASK40+ASL40</f>
        <v/>
      </c>
      <c r="ASN40" s="12">
        <f>SUM(ASM29:ASM40)</f>
        <v/>
      </c>
      <c r="ASO40" s="12">
        <f>OR(ASO39,IF(VATAgentMode,SUM($ASM29:$ASM40)-SUM($AST29:$AST40)&gt;=VATThreshold,SUM($ASM29:$ASM40)&gt;=VATThreshold))</f>
        <v/>
      </c>
      <c r="ASP40" s="9">
        <f>IF(ASO40,IF(VATAgentMode,ASM40-((ASM40-AST40)-(ASM40-AST40)/(1+VATRate)),ASM40/(1+VATRate)),ASM40)</f>
        <v/>
      </c>
      <c r="ASQ40" s="12">
        <f>ASM40-ASP40</f>
        <v/>
      </c>
      <c r="ASR40" s="12">
        <f>IF(ASO40=0,0,IF(ARJ40=1,SUMPRODUCT(--(($ARK$5:$ARK40=$ARK40-1)*($ARJ$5:$ARJ40&gt;=10)*($ARJ$5:$ARJ40&lt;=12)),$ASQ$5:$ASQ40),IF(ARJ40=4,SUMPRODUCT(--(($ARK$5:$ARK40=$ARK40)*($ARJ$5:$ARJ40&gt;=1)*($ARJ$5:$ARJ40&lt;=3)),$ASQ$5:$ASQ40),IF(ARJ40=7,SUMPRODUCT(--(($ARK$5:$ARK40=$ARK40)*($ARJ$5:$ARJ40&gt;=4)*($ARJ$5:$ARJ40&lt;=6)),$ASQ$5:$ASQ40),IF(ARJ40=10,SUMPRODUCT(--(($ARK$5:$ARK40=$ARK40)*($ARJ$5:$ARJ40&gt;=7)*($ARJ$5:$ARJ40&lt;=9)),$ASQ$5:$ASQ40),0)))))</f>
        <v/>
      </c>
      <c r="ASS40" s="12">
        <f>ASS39+ASQ40-ASR40</f>
        <v/>
      </c>
      <c r="AST40" s="12">
        <f>IF(ProviderDelay&gt;=1,ASA39*BlendedProvPayEss+ASB39*BlendedProvPayPrem+ASC39*BlendedProvPayElite+ASD39*BlendedProvPayEss+ASE39*BlendedProvPayPrem+ASF39*BlendedProvPayElite,ASA40*BlendedProvPayEss+ASB40*BlendedProvPayPrem+ASC40*BlendedProvPayElite+ASD40*BlendedProvPayEss+ASE40*BlendedProvPayPrem+ASF40*BlendedProvPayElite)</f>
        <v/>
      </c>
      <c r="ASU40" s="12">
        <f>ASM40*PaymentFee</f>
        <v/>
      </c>
      <c r="ASV40" s="12">
        <f>ASG40*OpsAI</f>
        <v/>
      </c>
      <c r="ASW40" s="12">
        <f>MonthlyFixed</f>
        <v/>
      </c>
      <c r="ASX40" s="12">
        <f>ARQ40*ReferralReward</f>
        <v/>
      </c>
      <c r="ASY40" s="12">
        <f>ARO40</f>
        <v/>
      </c>
      <c r="ASZ40" s="9">
        <f>ASP40-AST40-ASU40-ASV40-ASW40-ASX40-ASY40</f>
        <v/>
      </c>
      <c r="ATA40" s="9">
        <f>ATA39+ASM40-(AST40+ASU40+ASV40+ASW40+ASX40+ASY40+ASR40)</f>
        <v/>
      </c>
      <c r="ATB40" s="12">
        <f>IF(ASG40&gt;0,ASH40/ASG40,0)</f>
        <v/>
      </c>
      <c r="ATC40" s="11">
        <f>IF(ASG39&gt;0,MAX(0,(ASG39+ARR40-ASG40)/ASG39),0)</f>
        <v/>
      </c>
      <c r="ATE40" s="12" t="n">
        <v>36</v>
      </c>
      <c r="ATF40" s="12">
        <f>MOD(ATE40-1+LaunchMonth-1,12)+1</f>
        <v/>
      </c>
      <c r="ATG40" s="12">
        <f>INT((ATE40-1+LaunchMonth-1)/12)+1</f>
        <v/>
      </c>
      <c r="ATH40" s="12">
        <f>VLOOKUP(ATF40,SeasonTable,2,FALSE)</f>
        <v/>
      </c>
      <c r="ATI40" s="12">
        <f>(1+InflationRate)^INT((ATE40-1)/12)</f>
        <v/>
      </c>
      <c r="ATJ40" s="11">
        <f>MonthlyChurn*VLOOKUP(ATF40,ChurnSeasonTable,4,FALSE)</f>
        <v/>
      </c>
      <c r="ATK40" s="12">
        <f>MIN(MAX(MktMin19plus,AUI39*MktPct19plus),MAX(0,AUW39-CashBuffer))</f>
        <v/>
      </c>
      <c r="ATL40" s="12">
        <f>IF(ATK40&gt;0,MAX(1,ROUND(ATK40/'Sens - CAC &amp; Marketing'!$A$15*ATH40,0)),0)</f>
        <v/>
      </c>
      <c r="ATM40" s="12">
        <f>IF(ATL40&gt;0,ROUND(ATL40*ReferralMix/(1-ReferralMix),0),0)</f>
        <v/>
      </c>
      <c r="ATN40" s="12">
        <f>ATL40+ATM40</f>
        <v/>
      </c>
      <c r="ATO40" s="12">
        <f>ROUND(ATN40*(1-AnnualMix),0)</f>
        <v/>
      </c>
      <c r="ATP40" s="12">
        <f>ATN40-ATO40</f>
        <v/>
      </c>
      <c r="ATQ40" s="12">
        <f>ROUND(ATO40*EssentialMix,0)</f>
        <v/>
      </c>
      <c r="ATR40" s="12">
        <f>ROUND(ATO40*PremiumMix,0)</f>
        <v/>
      </c>
      <c r="ATS40" s="12">
        <f>ATO40-ATQ40-ATR40</f>
        <v/>
      </c>
      <c r="ATT40" s="12">
        <f>ROUND(ATP40*EssentialMix,0)</f>
        <v/>
      </c>
      <c r="ATU40" s="12">
        <f>ROUND(ATP40*PremiumMix,0)</f>
        <v/>
      </c>
      <c r="ATV40" s="12">
        <f>ATP40-ATT40-ATU40</f>
        <v/>
      </c>
      <c r="ATW40" s="12">
        <f>ATQ40+ATQ39+ATQ38+MAX(0,ATW39-ATQ39-ATQ38)*(1-ATJ40)</f>
        <v/>
      </c>
      <c r="ATX40" s="12">
        <f>ATR40+ATR39+ATR38+MAX(0,ATX39-ATR39-ATR38)*(1-ATJ40)</f>
        <v/>
      </c>
      <c r="ATY40" s="12">
        <f>ATS40+ATS39+ATS38+MAX(0,ATY39-ATS39-ATS38)*(1-ATJ40)</f>
        <v/>
      </c>
      <c r="ATZ40" s="12">
        <f>ATZ39+ATT40-ATT28*(AnnualChurn*VLOOKUP(ATF40,ChurnSeasonTable,4,FALSE))*POWER(1-(AnnualChurn*VLOOKUP(ATF40,ChurnSeasonTable,4,FALSE)),0)+ATT16*(AnnualChurn*VLOOKUP(ATF40,ChurnSeasonTable,4,FALSE))*POWER(1-(AnnualChurn*VLOOKUP(ATF40,ChurnSeasonTable,4,FALSE)),1)</f>
        <v/>
      </c>
      <c r="AUA40" s="12">
        <f>AUA39+ATU40-ATU28*(AnnualChurn*VLOOKUP(ATF40,ChurnSeasonTable,4,FALSE))*POWER(1-(AnnualChurn*VLOOKUP(ATF40,ChurnSeasonTable,4,FALSE)),0)+ATU16*(AnnualChurn*VLOOKUP(ATF40,ChurnSeasonTable,4,FALSE))*POWER(1-(AnnualChurn*VLOOKUP(ATF40,ChurnSeasonTable,4,FALSE)),1)</f>
        <v/>
      </c>
      <c r="AUB40" s="12">
        <f>AUB39+ATV40-ATV28*(AnnualChurn*VLOOKUP(ATF40,ChurnSeasonTable,4,FALSE))*POWER(1-(AnnualChurn*VLOOKUP(ATF40,ChurnSeasonTable,4,FALSE)),0)+ATV16*(AnnualChurn*VLOOKUP(ATF40,ChurnSeasonTable,4,FALSE))*POWER(1-(AnnualChurn*VLOOKUP(ATF40,ChurnSeasonTable,4,FALSE)),1)</f>
        <v/>
      </c>
      <c r="AUC40" s="12">
        <f>ATW40+ATX40+ATY40+ATZ40+AUA40+AUB40</f>
        <v/>
      </c>
      <c r="AUD40" s="9">
        <f>ATW40*BlendedPriceEssMonthly*ATI40+ATX40*BlendedPricePremMonthly*ATI40+ATY40*BlendedPriceEliteMonthly*ATI40+ATZ40*BlendedPriceEssAnnual*ATI40/12+AUA40*BlendedPricePremAnnual*ATI40/12+AUB40*BlendedPriceEliteAnnual*ATI40/12</f>
        <v/>
      </c>
      <c r="AUE40" s="9">
        <f>AUD40*12</f>
        <v/>
      </c>
      <c r="AUF40" s="12">
        <f>ATW40*BlendedPriceEssMonthly*ATI40+ATX40*BlendedPricePremMonthly*ATI40+ATY40*BlendedPriceEliteMonthly*ATI40</f>
        <v/>
      </c>
      <c r="AUG40" s="12">
        <f>ATT40*BlendedPriceEssAnnual*ATI40+ATU40*BlendedPricePremAnnual*ATI40+ATV40*BlendedPriceEliteAnnual*ATI40</f>
        <v/>
      </c>
      <c r="AUH40" s="12">
        <f>ATT28*POWER(1-(AnnualChurn*VLOOKUP(ATF40,ChurnSeasonTable,4,FALSE)),1)*BlendedPriceEssAnnual*ATI40+ATT16*POWER(1-(AnnualChurn*VLOOKUP(ATF40,ChurnSeasonTable,4,FALSE)),2)*BlendedPriceEssAnnual*ATI40+ATU28*POWER(1-(AnnualChurn*VLOOKUP(ATF40,ChurnSeasonTable,4,FALSE)),1)*BlendedPricePremAnnual*ATI40+ATU16*POWER(1-(AnnualChurn*VLOOKUP(ATF40,ChurnSeasonTable,4,FALSE)),2)*BlendedPricePremAnnual*ATI40+ATV28*POWER(1-(AnnualChurn*VLOOKUP(ATF40,ChurnSeasonTable,4,FALSE)),1)*BlendedPriceEliteAnnual*ATI40+ATV16*POWER(1-(AnnualChurn*VLOOKUP(ATF40,ChurnSeasonTable,4,FALSE)),2)*BlendedPriceEliteAnnual*ATI40</f>
        <v/>
      </c>
      <c r="AUI40" s="9">
        <f>AUF40+AUG40+AUH40</f>
        <v/>
      </c>
      <c r="AUJ40" s="12">
        <f>SUM(AUI29:AUI40)</f>
        <v/>
      </c>
      <c r="AUK40" s="12">
        <f>OR(AUK39,IF(VATAgentMode,SUM($AUI29:$AUI40)-SUM($AUP29:$AUP40)&gt;=VATThreshold,SUM($AUI29:$AUI40)&gt;=VATThreshold))</f>
        <v/>
      </c>
      <c r="AUL40" s="9">
        <f>IF(AUK40,IF(VATAgentMode,AUI40-((AUI40-AUP40)-(AUI40-AUP40)/(1+VATRate)),AUI40/(1+VATRate)),AUI40)</f>
        <v/>
      </c>
      <c r="AUM40" s="12">
        <f>AUI40-AUL40</f>
        <v/>
      </c>
      <c r="AUN40" s="12">
        <f>IF(AUK40=0,0,IF(ATF40=1,SUMPRODUCT(--(($ATG$5:$ATG40=$ATG40-1)*($ATF$5:$ATF40&gt;=10)*($ATF$5:$ATF40&lt;=12)),$AUM$5:$AUM40),IF(ATF40=4,SUMPRODUCT(--(($ATG$5:$ATG40=$ATG40)*($ATF$5:$ATF40&gt;=1)*($ATF$5:$ATF40&lt;=3)),$AUM$5:$AUM40),IF(ATF40=7,SUMPRODUCT(--(($ATG$5:$ATG40=$ATG40)*($ATF$5:$ATF40&gt;=4)*($ATF$5:$ATF40&lt;=6)),$AUM$5:$AUM40),IF(ATF40=10,SUMPRODUCT(--(($ATG$5:$ATG40=$ATG40)*($ATF$5:$ATF40&gt;=7)*($ATF$5:$ATF40&lt;=9)),$AUM$5:$AUM40),0)))))</f>
        <v/>
      </c>
      <c r="AUO40" s="12">
        <f>AUO39+AUM40-AUN40</f>
        <v/>
      </c>
      <c r="AUP40" s="12">
        <f>IF(ProviderDelay&gt;=1,ATW39*BlendedProvPayEss+ATX39*BlendedProvPayPrem+ATY39*BlendedProvPayElite+ATZ39*BlendedProvPayEss+AUA39*BlendedProvPayPrem+AUB39*BlendedProvPayElite,ATW40*BlendedProvPayEss+ATX40*BlendedProvPayPrem+ATY40*BlendedProvPayElite+ATZ40*BlendedProvPayEss+AUA40*BlendedProvPayPrem+AUB40*BlendedProvPayElite)</f>
        <v/>
      </c>
      <c r="AUQ40" s="12">
        <f>AUI40*PaymentFee</f>
        <v/>
      </c>
      <c r="AUR40" s="12">
        <f>AUC40*OpsAI</f>
        <v/>
      </c>
      <c r="AUS40" s="12">
        <f>MonthlyFixed</f>
        <v/>
      </c>
      <c r="AUT40" s="12">
        <f>ATM40*ReferralReward</f>
        <v/>
      </c>
      <c r="AUU40" s="12">
        <f>ATK40</f>
        <v/>
      </c>
      <c r="AUV40" s="9">
        <f>AUL40-AUP40-AUQ40-AUR40-AUS40-AUT40-AUU40</f>
        <v/>
      </c>
      <c r="AUW40" s="9">
        <f>AUW39+AUI40-(AUP40+AUQ40+AUR40+AUS40+AUT40+AUU40+AUN40)</f>
        <v/>
      </c>
      <c r="AUX40" s="12">
        <f>IF(AUC40&gt;0,AUD40/AUC40,0)</f>
        <v/>
      </c>
      <c r="AUY40" s="11">
        <f>IF(AUC39&gt;0,MAX(0,(AUC39+ATN40-AUC40)/AUC39),0)</f>
        <v/>
      </c>
      <c r="AVA40" s="12" t="n">
        <v>36</v>
      </c>
      <c r="AVB40" s="12">
        <f>MOD(AVA40-1+LaunchMonth-1,12)+1</f>
        <v/>
      </c>
      <c r="AVC40" s="12">
        <f>INT((AVA40-1+LaunchMonth-1)/12)+1</f>
        <v/>
      </c>
      <c r="AVD40" s="12">
        <f>VLOOKUP(AVB40,WinterPivotSeasonTable,5,FALSE)</f>
        <v/>
      </c>
      <c r="AVE40" s="12">
        <f>(1+InflationRate)^INT((AVA40-1)/12)</f>
        <v/>
      </c>
      <c r="AVF40" s="11">
        <f>MonthlyChurn*VLOOKUP(AVB40,WinterPivotChurnTable,6,FALSE)</f>
        <v/>
      </c>
      <c r="AVG40" s="12">
        <f>MIN(MAX(MktMin19plus,AWE39*MktPct19plus),MAX(0,AWS39-CashBuffer))</f>
        <v/>
      </c>
      <c r="AVH40" s="12">
        <f>IF(AVG40&gt;0,MAX(1,ROUND(AVG40/CAC*AVD40,0)),0)</f>
        <v/>
      </c>
      <c r="AVI40" s="12">
        <f>IF(AVH40&gt;0,ROUND(AVH40*ReferralMix/(1-ReferralMix),0),0)</f>
        <v/>
      </c>
      <c r="AVJ40" s="12">
        <f>AVH40+AVI40</f>
        <v/>
      </c>
      <c r="AVK40" s="12">
        <f>ROUND(AVJ40*(1-AnnualMix),0)</f>
        <v/>
      </c>
      <c r="AVL40" s="12">
        <f>AVJ40-AVK40</f>
        <v/>
      </c>
      <c r="AVM40" s="12">
        <f>ROUND(AVK40*'Sens - Winter Pivot'!$B$6,0)</f>
        <v/>
      </c>
      <c r="AVN40" s="12">
        <f>ROUND(AVK40*PremiumMix,0)</f>
        <v/>
      </c>
      <c r="AVO40" s="12">
        <f>AVK40-AVM40-AVN40</f>
        <v/>
      </c>
      <c r="AVP40" s="12">
        <f>ROUND(AVL40*'Sens - Winter Pivot'!$B$6,0)</f>
        <v/>
      </c>
      <c r="AVQ40" s="12">
        <f>ROUND(AVL40*PremiumMix,0)</f>
        <v/>
      </c>
      <c r="AVR40" s="12">
        <f>AVL40-AVP40-AVQ40</f>
        <v/>
      </c>
      <c r="AVS40" s="12">
        <f>AVM40+AVM39+AVM38+MAX(0,AVS39-AVM39-AVM38)*(1-AVF40)</f>
        <v/>
      </c>
      <c r="AVT40" s="12">
        <f>AVN40+AVN39+AVN38+MAX(0,AVT39-AVN39-AVN38)*(1-AVF40)</f>
        <v/>
      </c>
      <c r="AVU40" s="12">
        <f>AVO40+AVO39+AVO38+MAX(0,AVU39-AVO39-AVO38)*(1-AVF40)</f>
        <v/>
      </c>
      <c r="AVV40" s="12">
        <f>AVV39+AVP40-AVP28*(AnnualChurn*VLOOKUP(AVB40,ChurnSeasonTable,4,FALSE))*POWER(1-(AnnualChurn*VLOOKUP(AVB40,ChurnSeasonTable,4,FALSE)),0)+AVP16*(AnnualChurn*VLOOKUP(AVB40,ChurnSeasonTable,4,FALSE))*POWER(1-(AnnualChurn*VLOOKUP(AVB40,ChurnSeasonTable,4,FALSE)),1)</f>
        <v/>
      </c>
      <c r="AVW40" s="12">
        <f>AVW39+AVQ40-AVQ28*(AnnualChurn*VLOOKUP(AVB40,ChurnSeasonTable,4,FALSE))*POWER(1-(AnnualChurn*VLOOKUP(AVB40,ChurnSeasonTable,4,FALSE)),0)+AVQ16*(AnnualChurn*VLOOKUP(AVB40,ChurnSeasonTable,4,FALSE))*POWER(1-(AnnualChurn*VLOOKUP(AVB40,ChurnSeasonTable,4,FALSE)),1)</f>
        <v/>
      </c>
      <c r="AVX40" s="12">
        <f>AVX39+AVR40-AVR28*(AnnualChurn*VLOOKUP(AVB40,ChurnSeasonTable,4,FALSE))*POWER(1-(AnnualChurn*VLOOKUP(AVB40,ChurnSeasonTable,4,FALSE)),0)+AVR16*(AnnualChurn*VLOOKUP(AVB40,ChurnSeasonTable,4,FALSE))*POWER(1-(AnnualChurn*VLOOKUP(AVB40,ChurnSeasonTable,4,FALSE)),1)</f>
        <v/>
      </c>
      <c r="AVY40" s="12">
        <f>AVS40+AVT40+AVU40+AVV40+AVW40+AVX40</f>
        <v/>
      </c>
      <c r="AVZ40" s="9">
        <f>AVS40*BlendedPriceEssMonthly*AVE40+AVT40*(BlendedPricePremMonthly+'Sens - Winter Pivot'!$B$7)*AVE40+AVU40*BlendedPriceEliteMonthly*AVE40+AVV40*BlendedPriceEssAnnual*AVE40/12+AVW40*(BlendedPricePremAnnual+'Sens - Winter Pivot'!$B$7*12)*AVE40/12+AVX40*BlendedPriceEliteAnnual*AVE40/12</f>
        <v/>
      </c>
      <c r="AWA40" s="9">
        <f>AVZ40*12</f>
        <v/>
      </c>
      <c r="AWB40" s="12">
        <f>AVS40*BlendedPriceEssMonthly*AVE40+AVT40*(BlendedPricePremMonthly+'Sens - Winter Pivot'!$B$7)*AVE40+AVU40*BlendedPriceEliteMonthly*AVE40</f>
        <v/>
      </c>
      <c r="AWC40" s="12">
        <f>AVP40*BlendedPriceEssAnnual*AVE40+AVQ40*(BlendedPricePremAnnual+'Sens - Winter Pivot'!$B$7*12)*AVE40+AVR40*BlendedPriceEliteAnnual*AVE40</f>
        <v/>
      </c>
      <c r="AWD40" s="12">
        <f>AVP28*POWER(1-(AnnualChurn*VLOOKUP(AVB40,ChurnSeasonTable,4,FALSE)),1)*BlendedPriceEssAnnual*AVE40+AVP16*POWER(1-(AnnualChurn*VLOOKUP(AVB40,ChurnSeasonTable,4,FALSE)),2)*BlendedPriceEssAnnual*AVE40+AVQ28*POWER(1-(AnnualChurn*VLOOKUP(AVB40,ChurnSeasonTable,4,FALSE)),1)*BlendedPricePremAnnual*AVE40+AVQ16*POWER(1-(AnnualChurn*VLOOKUP(AVB40,ChurnSeasonTable,4,FALSE)),2)*BlendedPricePremAnnual*AVE40+AVR28*POWER(1-(AnnualChurn*VLOOKUP(AVB40,ChurnSeasonTable,4,FALSE)),1)*BlendedPriceEliteAnnual*AVE40+AVR16*POWER(1-(AnnualChurn*VLOOKUP(AVB40,ChurnSeasonTable,4,FALSE)),2)*BlendedPriceEliteAnnual*AVE40</f>
        <v/>
      </c>
      <c r="AWE40" s="9">
        <f>AWB40+AWC40+AWD40</f>
        <v/>
      </c>
      <c r="AWF40" s="12">
        <f>SUM(AWE29:AWE40)</f>
        <v/>
      </c>
      <c r="AWG40" s="12">
        <f>OR(AWG39,IF(VATAgentMode,SUM($AWE29:$AWE40)-SUM($AWL29:$AWL40)&gt;=VATThreshold,SUM($AWE29:$AWE40)&gt;=VATThreshold))</f>
        <v/>
      </c>
      <c r="AWH40" s="9">
        <f>IF(AWG40,IF(VATAgentMode,AWE40-((AWE40-AWL40)-(AWE40-AWL40)/(1+VATRate)),AWE40/(1+VATRate)),AWE40)</f>
        <v/>
      </c>
      <c r="AWI40" s="12">
        <f>AWE40-AWH40</f>
        <v/>
      </c>
      <c r="AWJ40" s="12">
        <f>IF(AWG40=0,0,IF(AVB40=1,SUMPRODUCT(--(($AVC$5:$AVC40=$AVC40-1)*($AVB$5:$AVB40&gt;=10)*($AVB$5:$AVB40&lt;=12)),$AWI$5:$AWI40),IF(AVB40=4,SUMPRODUCT(--(($AVC$5:$AVC40=$AVC40)*($AVB$5:$AVB40&gt;=1)*($AVB$5:$AVB40&lt;=3)),$AWI$5:$AWI40),IF(AVB40=7,SUMPRODUCT(--(($AVC$5:$AVC40=$AVC40)*($AVB$5:$AVB40&gt;=4)*($AVB$5:$AVB40&lt;=6)),$AWI$5:$AWI40),IF(AVB40=10,SUMPRODUCT(--(($AVC$5:$AVC40=$AVC40)*($AVB$5:$AVB40&gt;=7)*($AVB$5:$AVB40&lt;=9)),$AWI$5:$AWI40),0)))))</f>
        <v/>
      </c>
      <c r="AWK40" s="12">
        <f>AWK39+AWI40-AWJ40</f>
        <v/>
      </c>
      <c r="AWL40" s="12">
        <f>IF(ProviderDelay&gt;=1,AVS39*BlendedProvPayEss+AVT39*BlendedProvPayPrem+AVU39*BlendedProvPayElite+AVV39*BlendedProvPayEss+AVW39*BlendedProvPayPrem+AVX39*BlendedProvPayElite,AVS40*BlendedProvPayEss+AVT40*BlendedProvPayPrem+AVU40*BlendedProvPayElite+AVV40*BlendedProvPayEss+AVW40*BlendedProvPayPrem+AVX40*BlendedProvPayElite)</f>
        <v/>
      </c>
      <c r="AWM40" s="12">
        <f>AWE40*PaymentFee</f>
        <v/>
      </c>
      <c r="AWN40" s="12">
        <f>AVY40*OpsAI</f>
        <v/>
      </c>
      <c r="AWO40" s="12">
        <f>MonthlyFixed</f>
        <v/>
      </c>
      <c r="AWP40" s="12">
        <f>AVI40*ReferralReward</f>
        <v/>
      </c>
      <c r="AWQ40" s="12">
        <f>AVG40</f>
        <v/>
      </c>
      <c r="AWR40" s="9">
        <f>AWH40-AWL40-AWM40-AWN40-AWO40-AWP40-AWQ40</f>
        <v/>
      </c>
      <c r="AWS40" s="9">
        <f>AWS39+AWE40-(AWL40+AWM40+AWN40+AWO40+AWP40+AWQ40+AWJ40)</f>
        <v/>
      </c>
      <c r="AWT40" s="12">
        <f>IF(AVY40&gt;0,AVZ40/AVY40,0)</f>
        <v/>
      </c>
      <c r="AWU40" s="11">
        <f>IF(AVY39&gt;0,MAX(0,(AVY39+AVJ40-AVY40)/AVY39),0)</f>
        <v/>
      </c>
    </row>
    <row r="41">
      <c r="A41" s="12" t="n">
        <v>37</v>
      </c>
      <c r="B41" s="12">
        <f>MOD(A41-1+LaunchMonth-1,12)+1</f>
        <v/>
      </c>
      <c r="C41" s="12">
        <f>INT((A41-1+LaunchMonth-1)/12)+1</f>
        <v/>
      </c>
      <c r="D41" s="12">
        <f>VLOOKUP(B41,SeasonTable,2,FALSE)</f>
        <v/>
      </c>
      <c r="E41" s="12">
        <f>(1+InflationRate)^INT((A41-1)/12)</f>
        <v/>
      </c>
      <c r="F41" s="11">
        <f>'Sens - Scenarios'!$B$5*VLOOKUP(B41,ChurnSeasonTable,4,FALSE)</f>
        <v/>
      </c>
      <c r="G41" s="12">
        <f>MIN(MAX(MktMin19plus,AE40*MktPct19plus),MAX(0,AS40-CashBuffer))</f>
        <v/>
      </c>
      <c r="H41" s="12">
        <f>IF(G41&gt;0,MAX(1,ROUND(G41/'Sens - Scenarios'!$B$8*D41,0)),0)</f>
        <v/>
      </c>
      <c r="I41" s="12">
        <f>IF(H41&gt;0,ROUND(H41*ReferralMix/(1-ReferralMix),0),0)</f>
        <v/>
      </c>
      <c r="J41" s="12">
        <f>H41+I41</f>
        <v/>
      </c>
      <c r="K41" s="12">
        <f>ROUND(J41*(1-'Sens - Scenarios'!$B$7),0)</f>
        <v/>
      </c>
      <c r="L41" s="12">
        <f>J41-K41</f>
        <v/>
      </c>
      <c r="M41" s="12">
        <f>ROUND(K41*EssentialMix,0)</f>
        <v/>
      </c>
      <c r="N41" s="12">
        <f>ROUND(K41*PremiumMix,0)</f>
        <v/>
      </c>
      <c r="O41" s="12">
        <f>K41-M41-N41</f>
        <v/>
      </c>
      <c r="P41" s="12">
        <f>ROUND(L41*EssentialMix,0)</f>
        <v/>
      </c>
      <c r="Q41" s="12">
        <f>ROUND(L41*PremiumMix,0)</f>
        <v/>
      </c>
      <c r="R41" s="12">
        <f>L41-P41-Q41</f>
        <v/>
      </c>
      <c r="S41" s="12">
        <f>M41+M40+M39+MAX(0,S40-M40-M39)*(1-F41)</f>
        <v/>
      </c>
      <c r="T41" s="12">
        <f>N41+N40+N39+MAX(0,T40-N40-N39)*(1-F41)</f>
        <v/>
      </c>
      <c r="U41" s="12">
        <f>O41+O40+O39+MAX(0,U40-O40-O39)*(1-F41)</f>
        <v/>
      </c>
      <c r="V41" s="12">
        <f>V40+P41-P29*('Sens - Scenarios'!$B$6*VLOOKUP(B41,ChurnSeasonTable,4,FALSE))*POWER(1-('Sens - Scenarios'!$B$6*VLOOKUP(B41,ChurnSeasonTable,4,FALSE)),0)+P17*('Sens - Scenarios'!$B$6*VLOOKUP(B41,ChurnSeasonTable,4,FALSE))*POWER(1-('Sens - Scenarios'!$B$6*VLOOKUP(B41,ChurnSeasonTable,4,FALSE)),1)+P5*('Sens - Scenarios'!$B$6*VLOOKUP(B41,ChurnSeasonTable,4,FALSE))*POWER(1-('Sens - Scenarios'!$B$6*VLOOKUP(B41,ChurnSeasonTable,4,FALSE)),2)</f>
        <v/>
      </c>
      <c r="W41" s="12">
        <f>W40+Q41-Q29*('Sens - Scenarios'!$B$6*VLOOKUP(B41,ChurnSeasonTable,4,FALSE))*POWER(1-('Sens - Scenarios'!$B$6*VLOOKUP(B41,ChurnSeasonTable,4,FALSE)),0)+Q17*('Sens - Scenarios'!$B$6*VLOOKUP(B41,ChurnSeasonTable,4,FALSE))*POWER(1-('Sens - Scenarios'!$B$6*VLOOKUP(B41,ChurnSeasonTable,4,FALSE)),1)+Q5*('Sens - Scenarios'!$B$6*VLOOKUP(B41,ChurnSeasonTable,4,FALSE))*POWER(1-('Sens - Scenarios'!$B$6*VLOOKUP(B41,ChurnSeasonTable,4,FALSE)),2)</f>
        <v/>
      </c>
      <c r="X41" s="12">
        <f>X40+R41-R29*('Sens - Scenarios'!$B$6*VLOOKUP(B41,ChurnSeasonTable,4,FALSE))*POWER(1-('Sens - Scenarios'!$B$6*VLOOKUP(B41,ChurnSeasonTable,4,FALSE)),0)+R17*('Sens - Scenarios'!$B$6*VLOOKUP(B41,ChurnSeasonTable,4,FALSE))*POWER(1-('Sens - Scenarios'!$B$6*VLOOKUP(B41,ChurnSeasonTable,4,FALSE)),1)+R5*('Sens - Scenarios'!$B$6*VLOOKUP(B41,ChurnSeasonTable,4,FALSE))*POWER(1-('Sens - Scenarios'!$B$6*VLOOKUP(B41,ChurnSeasonTable,4,FALSE)),2)</f>
        <v/>
      </c>
      <c r="Y41" s="12">
        <f>S41+T41+U41+V41+W41+X41</f>
        <v/>
      </c>
      <c r="Z41" s="9">
        <f>S41*BlendedPriceEssMonthly*E41+T41*BlendedPricePremMonthly*E41+U41*BlendedPriceEliteMonthly*E41+V41*BlendedPriceEssAnnual*E41/12+W41*BlendedPricePremAnnual*E41/12+X41*BlendedPriceEliteAnnual*E41/12</f>
        <v/>
      </c>
      <c r="AA41" s="9">
        <f>Z41*12</f>
        <v/>
      </c>
      <c r="AB41" s="12">
        <f>S41*BlendedPriceEssMonthly*E41+T41*BlendedPricePremMonthly*E41+U41*BlendedPriceEliteMonthly*E41</f>
        <v/>
      </c>
      <c r="AC41" s="12">
        <f>P41*BlendedPriceEssAnnual*E41+Q41*BlendedPricePremAnnual*E41+R41*BlendedPriceEliteAnnual*E41</f>
        <v/>
      </c>
      <c r="AD41" s="12">
        <f>P29*POWER(1-('Sens - Scenarios'!$B$6*VLOOKUP(B41,ChurnSeasonTable,4,FALSE)),1)*BlendedPriceEssAnnual*E41+P17*POWER(1-('Sens - Scenarios'!$B$6*VLOOKUP(B41,ChurnSeasonTable,4,FALSE)),2)*BlendedPriceEssAnnual*E41+P5*POWER(1-('Sens - Scenarios'!$B$6*VLOOKUP(B41,ChurnSeasonTable,4,FALSE)),3)*BlendedPriceEssAnnual*E41+Q29*POWER(1-('Sens - Scenarios'!$B$6*VLOOKUP(B41,ChurnSeasonTable,4,FALSE)),1)*BlendedPricePremAnnual*E41+Q17*POWER(1-('Sens - Scenarios'!$B$6*VLOOKUP(B41,ChurnSeasonTable,4,FALSE)),2)*BlendedPricePremAnnual*E41+Q5*POWER(1-('Sens - Scenarios'!$B$6*VLOOKUP(B41,ChurnSeasonTable,4,FALSE)),3)*BlendedPricePremAnnual*E41+R29*POWER(1-('Sens - Scenarios'!$B$6*VLOOKUP(B41,ChurnSeasonTable,4,FALSE)),1)*BlendedPriceEliteAnnual*E41+R17*POWER(1-('Sens - Scenarios'!$B$6*VLOOKUP(B41,ChurnSeasonTable,4,FALSE)),2)*BlendedPriceEliteAnnual*E41+R5*POWER(1-('Sens - Scenarios'!$B$6*VLOOKUP(B41,ChurnSeasonTable,4,FALSE)),3)*BlendedPriceEliteAnnual*E41</f>
        <v/>
      </c>
      <c r="AE41" s="9">
        <f>AB41+AC41+AD41</f>
        <v/>
      </c>
      <c r="AF41" s="12">
        <f>SUM(AE30:AE41)</f>
        <v/>
      </c>
      <c r="AG41" s="12">
        <f>OR(AG40,IF(VATAgentMode,SUM($AE30:$AE41)-SUM($AL30:$AL41)&gt;=VATThreshold,SUM($AE30:$AE41)&gt;=VATThreshold))</f>
        <v/>
      </c>
      <c r="AH41" s="9">
        <f>IF(AG41,IF(VATAgentMode,AE41-((AE41-AL41)-(AE41-AL41)/(1+VATRate)),AE41/(1+VATRate)),AE41)</f>
        <v/>
      </c>
      <c r="AI41" s="12">
        <f>AE41-AH41</f>
        <v/>
      </c>
      <c r="AJ41" s="12">
        <f>IF(AG41=0,0,IF(B41=1,SUMPRODUCT(--(($C$5:$C41=$C41-1)*($B$5:$B41&gt;=10)*($B$5:$B41&lt;=12)),$AI$5:$AI41),IF(B41=4,SUMPRODUCT(--(($C$5:$C41=$C41)*($B$5:$B41&gt;=1)*($B$5:$B41&lt;=3)),$AI$5:$AI41),IF(B41=7,SUMPRODUCT(--(($C$5:$C41=$C41)*($B$5:$B41&gt;=4)*($B$5:$B41&lt;=6)),$AI$5:$AI41),IF(B41=10,SUMPRODUCT(--(($C$5:$C41=$C41)*($B$5:$B41&gt;=7)*($B$5:$B41&lt;=9)),$AI$5:$AI41),0)))))</f>
        <v/>
      </c>
      <c r="AK41" s="12">
        <f>AK40+AI41-AJ41</f>
        <v/>
      </c>
      <c r="AL41" s="12">
        <f>IF(ProviderDelay&gt;=1,S40*BlendedProvPayEss+T40*BlendedProvPayPrem+U40*BlendedProvPayElite+V40*BlendedProvPayEss+W40*BlendedProvPayPrem+X40*BlendedProvPayElite,S41*BlendedProvPayEss+T41*BlendedProvPayPrem+U41*BlendedProvPayElite+V41*BlendedProvPayEss+W41*BlendedProvPayPrem+X41*BlendedProvPayElite)</f>
        <v/>
      </c>
      <c r="AM41" s="12">
        <f>AE41*PaymentFee</f>
        <v/>
      </c>
      <c r="AN41" s="12">
        <f>Y41*OpsAI</f>
        <v/>
      </c>
      <c r="AO41" s="12">
        <f>MonthlyFixed</f>
        <v/>
      </c>
      <c r="AP41" s="12">
        <f>I41*ReferralReward</f>
        <v/>
      </c>
      <c r="AQ41" s="12">
        <f>G41</f>
        <v/>
      </c>
      <c r="AR41" s="9">
        <f>AH41-AL41-AM41-AN41-AO41-AP41-AQ41</f>
        <v/>
      </c>
      <c r="AS41" s="9">
        <f>AS40+AE41-(AL41+AM41+AN41+AO41+AP41+AQ41+AJ41)</f>
        <v/>
      </c>
      <c r="AT41" s="12">
        <f>IF(Y41&gt;0,Z41/Y41,0)</f>
        <v/>
      </c>
      <c r="AU41" s="11">
        <f>IF(Y40&gt;0,MAX(0,(Y40+J41-Y41)/Y40),0)</f>
        <v/>
      </c>
      <c r="AW41" s="12" t="n">
        <v>37</v>
      </c>
      <c r="AX41" s="12">
        <f>MOD(AW41-1+LaunchMonth-1,12)+1</f>
        <v/>
      </c>
      <c r="AY41" s="12">
        <f>INT((AW41-1+LaunchMonth-1)/12)+1</f>
        <v/>
      </c>
      <c r="AZ41" s="12">
        <f>VLOOKUP(AX41,SeasonTable,2,FALSE)</f>
        <v/>
      </c>
      <c r="BA41" s="12">
        <f>(1+InflationRate)^INT((AW41-1)/12)</f>
        <v/>
      </c>
      <c r="BB41" s="11">
        <f>MonthlyChurn*VLOOKUP(AX41,ChurnSeasonTable,4,FALSE)</f>
        <v/>
      </c>
      <c r="BC41" s="12">
        <f>MIN(MAX(MktMin19plus,CA40*MktPct19plus),MAX(0,CO40-CashBuffer))</f>
        <v/>
      </c>
      <c r="BD41" s="12">
        <f>IF(BC41&gt;0,MAX(1,ROUND(BC41/CAC*AZ41,0)),0)</f>
        <v/>
      </c>
      <c r="BE41" s="12">
        <f>IF(BD41&gt;0,ROUND(BD41*ReferralMix/(1-ReferralMix),0),0)</f>
        <v/>
      </c>
      <c r="BF41" s="12">
        <f>BD41+BE41</f>
        <v/>
      </c>
      <c r="BG41" s="12">
        <f>ROUND(BF41*(1-AnnualMix),0)</f>
        <v/>
      </c>
      <c r="BH41" s="12">
        <f>BF41-BG41</f>
        <v/>
      </c>
      <c r="BI41" s="12">
        <f>ROUND(BG41*EssentialMix,0)</f>
        <v/>
      </c>
      <c r="BJ41" s="12">
        <f>ROUND(BG41*PremiumMix,0)</f>
        <v/>
      </c>
      <c r="BK41" s="12">
        <f>BG41-BI41-BJ41</f>
        <v/>
      </c>
      <c r="BL41" s="12">
        <f>ROUND(BH41*EssentialMix,0)</f>
        <v/>
      </c>
      <c r="BM41" s="12">
        <f>ROUND(BH41*PremiumMix,0)</f>
        <v/>
      </c>
      <c r="BN41" s="12">
        <f>BH41-BL41-BM41</f>
        <v/>
      </c>
      <c r="BO41" s="12">
        <f>BI41+BI40+BI39+MAX(0,BO40-BI40-BI39)*(1-BB41)</f>
        <v/>
      </c>
      <c r="BP41" s="12">
        <f>BJ41+BJ40+BJ39+MAX(0,BP40-BJ40-BJ39)*(1-BB41)</f>
        <v/>
      </c>
      <c r="BQ41" s="12">
        <f>BK41+BK40+BK39+MAX(0,BQ40-BK40-BK39)*(1-BB41)</f>
        <v/>
      </c>
      <c r="BR41" s="12">
        <f>BR40+BL41-BL29*(AnnualChurn*VLOOKUP(AX41,ChurnSeasonTable,4,FALSE))*POWER(1-(AnnualChurn*VLOOKUP(AX41,ChurnSeasonTable,4,FALSE)),0)+BL17*(AnnualChurn*VLOOKUP(AX41,ChurnSeasonTable,4,FALSE))*POWER(1-(AnnualChurn*VLOOKUP(AX41,ChurnSeasonTable,4,FALSE)),1)+BL5*(AnnualChurn*VLOOKUP(AX41,ChurnSeasonTable,4,FALSE))*POWER(1-(AnnualChurn*VLOOKUP(AX41,ChurnSeasonTable,4,FALSE)),2)</f>
        <v/>
      </c>
      <c r="BS41" s="12">
        <f>BS40+BM41-BM29*(AnnualChurn*VLOOKUP(AX41,ChurnSeasonTable,4,FALSE))*POWER(1-(AnnualChurn*VLOOKUP(AX41,ChurnSeasonTable,4,FALSE)),0)+BM17*(AnnualChurn*VLOOKUP(AX41,ChurnSeasonTable,4,FALSE))*POWER(1-(AnnualChurn*VLOOKUP(AX41,ChurnSeasonTable,4,FALSE)),1)+BM5*(AnnualChurn*VLOOKUP(AX41,ChurnSeasonTable,4,FALSE))*POWER(1-(AnnualChurn*VLOOKUP(AX41,ChurnSeasonTable,4,FALSE)),2)</f>
        <v/>
      </c>
      <c r="BT41" s="12">
        <f>BT40+BN41-BN29*(AnnualChurn*VLOOKUP(AX41,ChurnSeasonTable,4,FALSE))*POWER(1-(AnnualChurn*VLOOKUP(AX41,ChurnSeasonTable,4,FALSE)),0)+BN17*(AnnualChurn*VLOOKUP(AX41,ChurnSeasonTable,4,FALSE))*POWER(1-(AnnualChurn*VLOOKUP(AX41,ChurnSeasonTable,4,FALSE)),1)+BN5*(AnnualChurn*VLOOKUP(AX41,ChurnSeasonTable,4,FALSE))*POWER(1-(AnnualChurn*VLOOKUP(AX41,ChurnSeasonTable,4,FALSE)),2)</f>
        <v/>
      </c>
      <c r="BU41" s="12">
        <f>BO41+BP41+BQ41+BR41+BS41+BT41</f>
        <v/>
      </c>
      <c r="BV41" s="9">
        <f>BO41*BlendedPriceEssMonthly*BA41+BP41*BlendedPricePremMonthly*BA41+BQ41*BlendedPriceEliteMonthly*BA41+BR41*BlendedPriceEssAnnual*BA41/12+BS41*BlendedPricePremAnnual*BA41/12+BT41*BlendedPriceEliteAnnual*BA41/12</f>
        <v/>
      </c>
      <c r="BW41" s="9">
        <f>BV41*12</f>
        <v/>
      </c>
      <c r="BX41" s="12">
        <f>BO41*BlendedPriceEssMonthly*BA41+BP41*BlendedPricePremMonthly*BA41+BQ41*BlendedPriceEliteMonthly*BA41</f>
        <v/>
      </c>
      <c r="BY41" s="12">
        <f>BL41*BlendedPriceEssAnnual*BA41+BM41*BlendedPricePremAnnual*BA41+BN41*BlendedPriceEliteAnnual*BA41</f>
        <v/>
      </c>
      <c r="BZ41" s="12">
        <f>BL29*POWER(1-(AnnualChurn*VLOOKUP(AX41,ChurnSeasonTable,4,FALSE)),1)*BlendedPriceEssAnnual*BA41+BL17*POWER(1-(AnnualChurn*VLOOKUP(AX41,ChurnSeasonTable,4,FALSE)),2)*BlendedPriceEssAnnual*BA41+BL5*POWER(1-(AnnualChurn*VLOOKUP(AX41,ChurnSeasonTable,4,FALSE)),3)*BlendedPriceEssAnnual*BA41+BM29*POWER(1-(AnnualChurn*VLOOKUP(AX41,ChurnSeasonTable,4,FALSE)),1)*BlendedPricePremAnnual*BA41+BM17*POWER(1-(AnnualChurn*VLOOKUP(AX41,ChurnSeasonTable,4,FALSE)),2)*BlendedPricePremAnnual*BA41+BM5*POWER(1-(AnnualChurn*VLOOKUP(AX41,ChurnSeasonTable,4,FALSE)),3)*BlendedPricePremAnnual*BA41+BN29*POWER(1-(AnnualChurn*VLOOKUP(AX41,ChurnSeasonTable,4,FALSE)),1)*BlendedPriceEliteAnnual*BA41+BN17*POWER(1-(AnnualChurn*VLOOKUP(AX41,ChurnSeasonTable,4,FALSE)),2)*BlendedPriceEliteAnnual*BA41+BN5*POWER(1-(AnnualChurn*VLOOKUP(AX41,ChurnSeasonTable,4,FALSE)),3)*BlendedPriceEliteAnnual*BA41</f>
        <v/>
      </c>
      <c r="CA41" s="9">
        <f>BX41+BY41+BZ41</f>
        <v/>
      </c>
      <c r="CB41" s="12">
        <f>SUM(CA30:CA41)</f>
        <v/>
      </c>
      <c r="CC41" s="12">
        <f>OR(CC40,IF(VATAgentMode,SUM($CA30:$CA41)-SUM($CH30:$CH41)&gt;=VATThreshold,SUM($CA30:$CA41)&gt;=VATThreshold))</f>
        <v/>
      </c>
      <c r="CD41" s="9">
        <f>IF(CC41,IF(VATAgentMode,CA41-((CA41-CH41)-(CA41-CH41)/(1+VATRate)),CA41/(1+VATRate)),CA41)</f>
        <v/>
      </c>
      <c r="CE41" s="12">
        <f>CA41-CD41</f>
        <v/>
      </c>
      <c r="CF41" s="12">
        <f>IF(CC41=0,0,IF(AX41=1,SUMPRODUCT(--(($AY$5:$AY41=$AY41-1)*($AX$5:$AX41&gt;=10)*($AX$5:$AX41&lt;=12)),$CE$5:$CE41),IF(AX41=4,SUMPRODUCT(--(($AY$5:$AY41=$AY41)*($AX$5:$AX41&gt;=1)*($AX$5:$AX41&lt;=3)),$CE$5:$CE41),IF(AX41=7,SUMPRODUCT(--(($AY$5:$AY41=$AY41)*($AX$5:$AX41&gt;=4)*($AX$5:$AX41&lt;=6)),$CE$5:$CE41),IF(AX41=10,SUMPRODUCT(--(($AY$5:$AY41=$AY41)*($AX$5:$AX41&gt;=7)*($AX$5:$AX41&lt;=9)),$CE$5:$CE41),0)))))</f>
        <v/>
      </c>
      <c r="CG41" s="12">
        <f>CG40+CE41-CF41</f>
        <v/>
      </c>
      <c r="CH41" s="12">
        <f>IF(ProviderDelay&gt;=1,BO40*BlendedProvPayEss+BP40*BlendedProvPayPrem+BQ40*BlendedProvPayElite+BR40*BlendedProvPayEss+BS40*BlendedProvPayPrem+BT40*BlendedProvPayElite,BO41*BlendedProvPayEss+BP41*BlendedProvPayPrem+BQ41*BlendedProvPayElite+BR41*BlendedProvPayEss+BS41*BlendedProvPayPrem+BT41*BlendedProvPayElite)</f>
        <v/>
      </c>
      <c r="CI41" s="12">
        <f>CA41*PaymentFee</f>
        <v/>
      </c>
      <c r="CJ41" s="12">
        <f>BU41*OpsAI</f>
        <v/>
      </c>
      <c r="CK41" s="12">
        <f>MonthlyFixed</f>
        <v/>
      </c>
      <c r="CL41" s="12">
        <f>BE41*ReferralReward</f>
        <v/>
      </c>
      <c r="CM41" s="12">
        <f>BC41</f>
        <v/>
      </c>
      <c r="CN41" s="9">
        <f>CD41-CH41-CI41-CJ41-CK41-CL41-CM41</f>
        <v/>
      </c>
      <c r="CO41" s="9">
        <f>CO40+CA41-(CH41+CI41+CJ41+CK41+CL41+CM41+CF41)</f>
        <v/>
      </c>
      <c r="CP41" s="12">
        <f>IF(BU41&gt;0,BV41/BU41,0)</f>
        <v/>
      </c>
      <c r="CQ41" s="11">
        <f>IF(BU40&gt;0,MAX(0,(BU40+BF41-BU41)/BU40),0)</f>
        <v/>
      </c>
      <c r="CS41" s="12" t="n">
        <v>37</v>
      </c>
      <c r="CT41" s="12">
        <f>MOD(CS41-1+LaunchMonth-1,12)+1</f>
        <v/>
      </c>
      <c r="CU41" s="12">
        <f>INT((CS41-1+LaunchMonth-1)/12)+1</f>
        <v/>
      </c>
      <c r="CV41" s="12">
        <f>VLOOKUP(CT41,SeasonTable,2,FALSE)</f>
        <v/>
      </c>
      <c r="CW41" s="12">
        <f>(1+InflationRate)^INT((CS41-1)/12)</f>
        <v/>
      </c>
      <c r="CX41" s="11">
        <f>'Sens - Scenarios'!$D$5*VLOOKUP(CT41,ChurnSeasonTable,4,FALSE)</f>
        <v/>
      </c>
      <c r="CY41" s="12">
        <f>MIN(MAX(MktMin19plus,DW40*MktPct19plus),MAX(0,EK40-CashBuffer))</f>
        <v/>
      </c>
      <c r="CZ41" s="12">
        <f>IF(CY41&gt;0,MAX(1,ROUND(CY41/'Sens - Scenarios'!$D$8*CV41,0)),0)</f>
        <v/>
      </c>
      <c r="DA41" s="12">
        <f>IF(CZ41&gt;0,ROUND(CZ41*ReferralMix/(1-ReferralMix),0),0)</f>
        <v/>
      </c>
      <c r="DB41" s="12">
        <f>CZ41+DA41</f>
        <v/>
      </c>
      <c r="DC41" s="12">
        <f>ROUND(DB41*(1-'Sens - Scenarios'!$D$7),0)</f>
        <v/>
      </c>
      <c r="DD41" s="12">
        <f>DB41-DC41</f>
        <v/>
      </c>
      <c r="DE41" s="12">
        <f>ROUND(DC41*EssentialMix,0)</f>
        <v/>
      </c>
      <c r="DF41" s="12">
        <f>ROUND(DC41*PremiumMix,0)</f>
        <v/>
      </c>
      <c r="DG41" s="12">
        <f>DC41-DE41-DF41</f>
        <v/>
      </c>
      <c r="DH41" s="12">
        <f>ROUND(DD41*EssentialMix,0)</f>
        <v/>
      </c>
      <c r="DI41" s="12">
        <f>ROUND(DD41*PremiumMix,0)</f>
        <v/>
      </c>
      <c r="DJ41" s="12">
        <f>DD41-DH41-DI41</f>
        <v/>
      </c>
      <c r="DK41" s="12">
        <f>DE41+DE40+DE39+MAX(0,DK40-DE40-DE39)*(1-CX41)</f>
        <v/>
      </c>
      <c r="DL41" s="12">
        <f>DF41+DF40+DF39+MAX(0,DL40-DF40-DF39)*(1-CX41)</f>
        <v/>
      </c>
      <c r="DM41" s="12">
        <f>DG41+DG40+DG39+MAX(0,DM40-DG40-DG39)*(1-CX41)</f>
        <v/>
      </c>
      <c r="DN41" s="12">
        <f>DN40+DH41-DH29*('Sens - Scenarios'!$D$6*VLOOKUP(CT41,ChurnSeasonTable,4,FALSE))*POWER(1-('Sens - Scenarios'!$D$6*VLOOKUP(CT41,ChurnSeasonTable,4,FALSE)),0)+DH17*('Sens - Scenarios'!$D$6*VLOOKUP(CT41,ChurnSeasonTable,4,FALSE))*POWER(1-('Sens - Scenarios'!$D$6*VLOOKUP(CT41,ChurnSeasonTable,4,FALSE)),1)+DH5*('Sens - Scenarios'!$D$6*VLOOKUP(CT41,ChurnSeasonTable,4,FALSE))*POWER(1-('Sens - Scenarios'!$D$6*VLOOKUP(CT41,ChurnSeasonTable,4,FALSE)),2)</f>
        <v/>
      </c>
      <c r="DO41" s="12">
        <f>DO40+DI41-DI29*('Sens - Scenarios'!$D$6*VLOOKUP(CT41,ChurnSeasonTable,4,FALSE))*POWER(1-('Sens - Scenarios'!$D$6*VLOOKUP(CT41,ChurnSeasonTable,4,FALSE)),0)+DI17*('Sens - Scenarios'!$D$6*VLOOKUP(CT41,ChurnSeasonTable,4,FALSE))*POWER(1-('Sens - Scenarios'!$D$6*VLOOKUP(CT41,ChurnSeasonTable,4,FALSE)),1)+DI5*('Sens - Scenarios'!$D$6*VLOOKUP(CT41,ChurnSeasonTable,4,FALSE))*POWER(1-('Sens - Scenarios'!$D$6*VLOOKUP(CT41,ChurnSeasonTable,4,FALSE)),2)</f>
        <v/>
      </c>
      <c r="DP41" s="12">
        <f>DP40+DJ41-DJ29*('Sens - Scenarios'!$D$6*VLOOKUP(CT41,ChurnSeasonTable,4,FALSE))*POWER(1-('Sens - Scenarios'!$D$6*VLOOKUP(CT41,ChurnSeasonTable,4,FALSE)),0)+DJ17*('Sens - Scenarios'!$D$6*VLOOKUP(CT41,ChurnSeasonTable,4,FALSE))*POWER(1-('Sens - Scenarios'!$D$6*VLOOKUP(CT41,ChurnSeasonTable,4,FALSE)),1)+DJ5*('Sens - Scenarios'!$D$6*VLOOKUP(CT41,ChurnSeasonTable,4,FALSE))*POWER(1-('Sens - Scenarios'!$D$6*VLOOKUP(CT41,ChurnSeasonTable,4,FALSE)),2)</f>
        <v/>
      </c>
      <c r="DQ41" s="12">
        <f>DK41+DL41+DM41+DN41+DO41+DP41</f>
        <v/>
      </c>
      <c r="DR41" s="9">
        <f>DK41*BlendedPriceEssMonthly*CW41+DL41*BlendedPricePremMonthly*CW41+DM41*BlendedPriceEliteMonthly*CW41+DN41*BlendedPriceEssAnnual*CW41/12+DO41*BlendedPricePremAnnual*CW41/12+DP41*BlendedPriceEliteAnnual*CW41/12</f>
        <v/>
      </c>
      <c r="DS41" s="9">
        <f>DR41*12</f>
        <v/>
      </c>
      <c r="DT41" s="12">
        <f>DK41*BlendedPriceEssMonthly*CW41+DL41*BlendedPricePremMonthly*CW41+DM41*BlendedPriceEliteMonthly*CW41</f>
        <v/>
      </c>
      <c r="DU41" s="12">
        <f>DH41*BlendedPriceEssAnnual*CW41+DI41*BlendedPricePremAnnual*CW41+DJ41*BlendedPriceEliteAnnual*CW41</f>
        <v/>
      </c>
      <c r="DV41" s="12">
        <f>DH29*POWER(1-('Sens - Scenarios'!$D$6*VLOOKUP(CT41,ChurnSeasonTable,4,FALSE)),1)*BlendedPriceEssAnnual*CW41+DH17*POWER(1-('Sens - Scenarios'!$D$6*VLOOKUP(CT41,ChurnSeasonTable,4,FALSE)),2)*BlendedPriceEssAnnual*CW41+DH5*POWER(1-('Sens - Scenarios'!$D$6*VLOOKUP(CT41,ChurnSeasonTable,4,FALSE)),3)*BlendedPriceEssAnnual*CW41+DI29*POWER(1-('Sens - Scenarios'!$D$6*VLOOKUP(CT41,ChurnSeasonTable,4,FALSE)),1)*BlendedPricePremAnnual*CW41+DI17*POWER(1-('Sens - Scenarios'!$D$6*VLOOKUP(CT41,ChurnSeasonTable,4,FALSE)),2)*BlendedPricePremAnnual*CW41+DI5*POWER(1-('Sens - Scenarios'!$D$6*VLOOKUP(CT41,ChurnSeasonTable,4,FALSE)),3)*BlendedPricePremAnnual*CW41+DJ29*POWER(1-('Sens - Scenarios'!$D$6*VLOOKUP(CT41,ChurnSeasonTable,4,FALSE)),1)*BlendedPriceEliteAnnual*CW41+DJ17*POWER(1-('Sens - Scenarios'!$D$6*VLOOKUP(CT41,ChurnSeasonTable,4,FALSE)),2)*BlendedPriceEliteAnnual*CW41+DJ5*POWER(1-('Sens - Scenarios'!$D$6*VLOOKUP(CT41,ChurnSeasonTable,4,FALSE)),3)*BlendedPriceEliteAnnual*CW41</f>
        <v/>
      </c>
      <c r="DW41" s="9">
        <f>DT41+DU41+DV41</f>
        <v/>
      </c>
      <c r="DX41" s="12">
        <f>SUM(DW30:DW41)</f>
        <v/>
      </c>
      <c r="DY41" s="12">
        <f>OR(DY40,IF(VATAgentMode,SUM($DW30:$DW41)-SUM($ED30:$ED41)&gt;=VATThreshold,SUM($DW30:$DW41)&gt;=VATThreshold))</f>
        <v/>
      </c>
      <c r="DZ41" s="9">
        <f>IF(DY41,IF(VATAgentMode,DW41-((DW41-ED41)-(DW41-ED41)/(1+VATRate)),DW41/(1+VATRate)),DW41)</f>
        <v/>
      </c>
      <c r="EA41" s="12">
        <f>DW41-DZ41</f>
        <v/>
      </c>
      <c r="EB41" s="12">
        <f>IF(DY41=0,0,IF(CT41=1,SUMPRODUCT(--(($CU$5:$CU41=$CU41-1)*($CT$5:$CT41&gt;=10)*($CT$5:$CT41&lt;=12)),$EA$5:$EA41),IF(CT41=4,SUMPRODUCT(--(($CU$5:$CU41=$CU41)*($CT$5:$CT41&gt;=1)*($CT$5:$CT41&lt;=3)),$EA$5:$EA41),IF(CT41=7,SUMPRODUCT(--(($CU$5:$CU41=$CU41)*($CT$5:$CT41&gt;=4)*($CT$5:$CT41&lt;=6)),$EA$5:$EA41),IF(CT41=10,SUMPRODUCT(--(($CU$5:$CU41=$CU41)*($CT$5:$CT41&gt;=7)*($CT$5:$CT41&lt;=9)),$EA$5:$EA41),0)))))</f>
        <v/>
      </c>
      <c r="EC41" s="12">
        <f>EC40+EA41-EB41</f>
        <v/>
      </c>
      <c r="ED41" s="12">
        <f>IF(ProviderDelay&gt;=1,DK40*BlendedProvPayEss+DL40*BlendedProvPayPrem+DM40*BlendedProvPayElite+DN40*BlendedProvPayEss+DO40*BlendedProvPayPrem+DP40*BlendedProvPayElite,DK41*BlendedProvPayEss+DL41*BlendedProvPayPrem+DM41*BlendedProvPayElite+DN41*BlendedProvPayEss+DO41*BlendedProvPayPrem+DP41*BlendedProvPayElite)</f>
        <v/>
      </c>
      <c r="EE41" s="12">
        <f>DW41*PaymentFee</f>
        <v/>
      </c>
      <c r="EF41" s="12">
        <f>DQ41*OpsAI</f>
        <v/>
      </c>
      <c r="EG41" s="12">
        <f>MonthlyFixed</f>
        <v/>
      </c>
      <c r="EH41" s="12">
        <f>DA41*ReferralReward</f>
        <v/>
      </c>
      <c r="EI41" s="12">
        <f>CY41</f>
        <v/>
      </c>
      <c r="EJ41" s="9">
        <f>DZ41-ED41-EE41-EF41-EG41-EH41-EI41</f>
        <v/>
      </c>
      <c r="EK41" s="9">
        <f>EK40+DW41-(ED41+EE41+EF41+EG41+EH41+EI41+EB41)</f>
        <v/>
      </c>
      <c r="EL41" s="12">
        <f>IF(DQ41&gt;0,DR41/DQ41,0)</f>
        <v/>
      </c>
      <c r="EM41" s="11">
        <f>IF(DQ40&gt;0,MAX(0,(DQ40+DB41-DQ41)/DQ40),0)</f>
        <v/>
      </c>
      <c r="EO41" s="12" t="n">
        <v>37</v>
      </c>
      <c r="EP41" s="12">
        <f>MOD(EO41-1+LaunchMonth-1,12)+1</f>
        <v/>
      </c>
      <c r="EQ41" s="12">
        <f>INT((EO41-1+LaunchMonth-1)/12)+1</f>
        <v/>
      </c>
      <c r="ER41" s="12">
        <f>VLOOKUP(EP41,SeasonTable,2,FALSE)</f>
        <v/>
      </c>
      <c r="ES41" s="12">
        <f>(1+InflationRate)^INT((EO41-1)/12)</f>
        <v/>
      </c>
      <c r="ET41" s="11">
        <f>'Sens - Churn'!$A$13*VLOOKUP(EP41,ChurnSeasonTable,4,FALSE)</f>
        <v/>
      </c>
      <c r="EU41" s="12">
        <f>MIN(MAX(MktMin19plus,FS40*MktPct19plus),MAX(0,GG40-CashBuffer))</f>
        <v/>
      </c>
      <c r="EV41" s="12">
        <f>IF(EU41&gt;0,MAX(1,ROUND(EU41/CAC*ER41,0)),0)</f>
        <v/>
      </c>
      <c r="EW41" s="12">
        <f>IF(EV41&gt;0,ROUND(EV41*ReferralMix/(1-ReferralMix),0),0)</f>
        <v/>
      </c>
      <c r="EX41" s="12">
        <f>EV41+EW41</f>
        <v/>
      </c>
      <c r="EY41" s="12">
        <f>ROUND(EX41*(1-AnnualMix),0)</f>
        <v/>
      </c>
      <c r="EZ41" s="12">
        <f>EX41-EY41</f>
        <v/>
      </c>
      <c r="FA41" s="12">
        <f>ROUND(EY41*EssentialMix,0)</f>
        <v/>
      </c>
      <c r="FB41" s="12">
        <f>ROUND(EY41*PremiumMix,0)</f>
        <v/>
      </c>
      <c r="FC41" s="12">
        <f>EY41-FA41-FB41</f>
        <v/>
      </c>
      <c r="FD41" s="12">
        <f>ROUND(EZ41*EssentialMix,0)</f>
        <v/>
      </c>
      <c r="FE41" s="12">
        <f>ROUND(EZ41*PremiumMix,0)</f>
        <v/>
      </c>
      <c r="FF41" s="12">
        <f>EZ41-FD41-FE41</f>
        <v/>
      </c>
      <c r="FG41" s="12">
        <f>FA41+FA40+FA39+MAX(0,FG40-FA40-FA39)*(1-ET41)</f>
        <v/>
      </c>
      <c r="FH41" s="12">
        <f>FB41+FB40+FB39+MAX(0,FH40-FB40-FB39)*(1-ET41)</f>
        <v/>
      </c>
      <c r="FI41" s="12">
        <f>FC41+FC40+FC39+MAX(0,FI40-FC40-FC39)*(1-ET41)</f>
        <v/>
      </c>
      <c r="FJ41" s="12">
        <f>FJ40+FD41-FD29*(AnnualChurn*VLOOKUP(EP41,ChurnSeasonTable,4,FALSE))*POWER(1-(AnnualChurn*VLOOKUP(EP41,ChurnSeasonTable,4,FALSE)),0)+FD17*(AnnualChurn*VLOOKUP(EP41,ChurnSeasonTable,4,FALSE))*POWER(1-(AnnualChurn*VLOOKUP(EP41,ChurnSeasonTable,4,FALSE)),1)+FD5*(AnnualChurn*VLOOKUP(EP41,ChurnSeasonTable,4,FALSE))*POWER(1-(AnnualChurn*VLOOKUP(EP41,ChurnSeasonTable,4,FALSE)),2)</f>
        <v/>
      </c>
      <c r="FK41" s="12">
        <f>FK40+FE41-FE29*(AnnualChurn*VLOOKUP(EP41,ChurnSeasonTable,4,FALSE))*POWER(1-(AnnualChurn*VLOOKUP(EP41,ChurnSeasonTable,4,FALSE)),0)+FE17*(AnnualChurn*VLOOKUP(EP41,ChurnSeasonTable,4,FALSE))*POWER(1-(AnnualChurn*VLOOKUP(EP41,ChurnSeasonTable,4,FALSE)),1)+FE5*(AnnualChurn*VLOOKUP(EP41,ChurnSeasonTable,4,FALSE))*POWER(1-(AnnualChurn*VLOOKUP(EP41,ChurnSeasonTable,4,FALSE)),2)</f>
        <v/>
      </c>
      <c r="FL41" s="12">
        <f>FL40+FF41-FF29*(AnnualChurn*VLOOKUP(EP41,ChurnSeasonTable,4,FALSE))*POWER(1-(AnnualChurn*VLOOKUP(EP41,ChurnSeasonTable,4,FALSE)),0)+FF17*(AnnualChurn*VLOOKUP(EP41,ChurnSeasonTable,4,FALSE))*POWER(1-(AnnualChurn*VLOOKUP(EP41,ChurnSeasonTable,4,FALSE)),1)+FF5*(AnnualChurn*VLOOKUP(EP41,ChurnSeasonTable,4,FALSE))*POWER(1-(AnnualChurn*VLOOKUP(EP41,ChurnSeasonTable,4,FALSE)),2)</f>
        <v/>
      </c>
      <c r="FM41" s="12">
        <f>FG41+FH41+FI41+FJ41+FK41+FL41</f>
        <v/>
      </c>
      <c r="FN41" s="9">
        <f>FG41*BlendedPriceEssMonthly*ES41+FH41*BlendedPricePremMonthly*ES41+FI41*BlendedPriceEliteMonthly*ES41+FJ41*BlendedPriceEssAnnual*ES41/12+FK41*BlendedPricePremAnnual*ES41/12+FL41*BlendedPriceEliteAnnual*ES41/12</f>
        <v/>
      </c>
      <c r="FO41" s="9">
        <f>FN41*12</f>
        <v/>
      </c>
      <c r="FP41" s="12">
        <f>FG41*BlendedPriceEssMonthly*ES41+FH41*BlendedPricePremMonthly*ES41+FI41*BlendedPriceEliteMonthly*ES41</f>
        <v/>
      </c>
      <c r="FQ41" s="12">
        <f>FD41*BlendedPriceEssAnnual*ES41+FE41*BlendedPricePremAnnual*ES41+FF41*BlendedPriceEliteAnnual*ES41</f>
        <v/>
      </c>
      <c r="FR41" s="12">
        <f>FD29*POWER(1-(AnnualChurn*VLOOKUP(EP41,ChurnSeasonTable,4,FALSE)),1)*BlendedPriceEssAnnual*ES41+FD17*POWER(1-(AnnualChurn*VLOOKUP(EP41,ChurnSeasonTable,4,FALSE)),2)*BlendedPriceEssAnnual*ES41+FD5*POWER(1-(AnnualChurn*VLOOKUP(EP41,ChurnSeasonTable,4,FALSE)),3)*BlendedPriceEssAnnual*ES41+FE29*POWER(1-(AnnualChurn*VLOOKUP(EP41,ChurnSeasonTable,4,FALSE)),1)*BlendedPricePremAnnual*ES41+FE17*POWER(1-(AnnualChurn*VLOOKUP(EP41,ChurnSeasonTable,4,FALSE)),2)*BlendedPricePremAnnual*ES41+FE5*POWER(1-(AnnualChurn*VLOOKUP(EP41,ChurnSeasonTable,4,FALSE)),3)*BlendedPricePremAnnual*ES41+FF29*POWER(1-(AnnualChurn*VLOOKUP(EP41,ChurnSeasonTable,4,FALSE)),1)*BlendedPriceEliteAnnual*ES41+FF17*POWER(1-(AnnualChurn*VLOOKUP(EP41,ChurnSeasonTable,4,FALSE)),2)*BlendedPriceEliteAnnual*ES41+FF5*POWER(1-(AnnualChurn*VLOOKUP(EP41,ChurnSeasonTable,4,FALSE)),3)*BlendedPriceEliteAnnual*ES41</f>
        <v/>
      </c>
      <c r="FS41" s="9">
        <f>FP41+FQ41+FR41</f>
        <v/>
      </c>
      <c r="FT41" s="12">
        <f>SUM(FS30:FS41)</f>
        <v/>
      </c>
      <c r="FU41" s="12">
        <f>OR(FU40,IF(VATAgentMode,SUM($FS30:$FS41)-SUM($FZ30:$FZ41)&gt;=VATThreshold,SUM($FS30:$FS41)&gt;=VATThreshold))</f>
        <v/>
      </c>
      <c r="FV41" s="9">
        <f>IF(FU41,IF(VATAgentMode,FS41-((FS41-FZ41)-(FS41-FZ41)/(1+VATRate)),FS41/(1+VATRate)),FS41)</f>
        <v/>
      </c>
      <c r="FW41" s="12">
        <f>FS41-FV41</f>
        <v/>
      </c>
      <c r="FX41" s="12">
        <f>IF(FU41=0,0,IF(EP41=1,SUMPRODUCT(--(($EQ$5:$EQ41=$EQ41-1)*($EP$5:$EP41&gt;=10)*($EP$5:$EP41&lt;=12)),$FW$5:$FW41),IF(EP41=4,SUMPRODUCT(--(($EQ$5:$EQ41=$EQ41)*($EP$5:$EP41&gt;=1)*($EP$5:$EP41&lt;=3)),$FW$5:$FW41),IF(EP41=7,SUMPRODUCT(--(($EQ$5:$EQ41=$EQ41)*($EP$5:$EP41&gt;=4)*($EP$5:$EP41&lt;=6)),$FW$5:$FW41),IF(EP41=10,SUMPRODUCT(--(($EQ$5:$EQ41=$EQ41)*($EP$5:$EP41&gt;=7)*($EP$5:$EP41&lt;=9)),$FW$5:$FW41),0)))))</f>
        <v/>
      </c>
      <c r="FY41" s="12">
        <f>FY40+FW41-FX41</f>
        <v/>
      </c>
      <c r="FZ41" s="12">
        <f>IF(ProviderDelay&gt;=1,FG40*BlendedProvPayEss+FH40*BlendedProvPayPrem+FI40*BlendedProvPayElite+FJ40*BlendedProvPayEss+FK40*BlendedProvPayPrem+FL40*BlendedProvPayElite,FG41*BlendedProvPayEss+FH41*BlendedProvPayPrem+FI41*BlendedProvPayElite+FJ41*BlendedProvPayEss+FK41*BlendedProvPayPrem+FL41*BlendedProvPayElite)</f>
        <v/>
      </c>
      <c r="GA41" s="12">
        <f>FS41*PaymentFee</f>
        <v/>
      </c>
      <c r="GB41" s="12">
        <f>FM41*OpsAI</f>
        <v/>
      </c>
      <c r="GC41" s="12">
        <f>MonthlyFixed</f>
        <v/>
      </c>
      <c r="GD41" s="12">
        <f>EW41*ReferralReward</f>
        <v/>
      </c>
      <c r="GE41" s="12">
        <f>EU41</f>
        <v/>
      </c>
      <c r="GF41" s="9">
        <f>FV41-FZ41-GA41-GB41-GC41-GD41-GE41</f>
        <v/>
      </c>
      <c r="GG41" s="9">
        <f>GG40+FS41-(FZ41+GA41+GB41+GC41+GD41+GE41+FX41)</f>
        <v/>
      </c>
      <c r="GH41" s="12">
        <f>IF(FM41&gt;0,FN41/FM41,0)</f>
        <v/>
      </c>
      <c r="GI41" s="11">
        <f>IF(FM40&gt;0,MAX(0,(FM40+EX41-FM41)/FM40),0)</f>
        <v/>
      </c>
      <c r="GK41" s="12" t="n">
        <v>37</v>
      </c>
      <c r="GL41" s="12">
        <f>MOD(GK41-1+LaunchMonth-1,12)+1</f>
        <v/>
      </c>
      <c r="GM41" s="12">
        <f>INT((GK41-1+LaunchMonth-1)/12)+1</f>
        <v/>
      </c>
      <c r="GN41" s="12">
        <f>VLOOKUP(GL41,SeasonTable,2,FALSE)</f>
        <v/>
      </c>
      <c r="GO41" s="12">
        <f>(1+InflationRate)^INT((GK41-1)/12)</f>
        <v/>
      </c>
      <c r="GP41" s="11">
        <f>'Sens - Churn'!$A$14*VLOOKUP(GL41,ChurnSeasonTable,4,FALSE)</f>
        <v/>
      </c>
      <c r="GQ41" s="12">
        <f>MIN(MAX(MktMin19plus,HO40*MktPct19plus),MAX(0,IC40-CashBuffer))</f>
        <v/>
      </c>
      <c r="GR41" s="12">
        <f>IF(GQ41&gt;0,MAX(1,ROUND(GQ41/CAC*GN41,0)),0)</f>
        <v/>
      </c>
      <c r="GS41" s="12">
        <f>IF(GR41&gt;0,ROUND(GR41*ReferralMix/(1-ReferralMix),0),0)</f>
        <v/>
      </c>
      <c r="GT41" s="12">
        <f>GR41+GS41</f>
        <v/>
      </c>
      <c r="GU41" s="12">
        <f>ROUND(GT41*(1-AnnualMix),0)</f>
        <v/>
      </c>
      <c r="GV41" s="12">
        <f>GT41-GU41</f>
        <v/>
      </c>
      <c r="GW41" s="12">
        <f>ROUND(GU41*EssentialMix,0)</f>
        <v/>
      </c>
      <c r="GX41" s="12">
        <f>ROUND(GU41*PremiumMix,0)</f>
        <v/>
      </c>
      <c r="GY41" s="12">
        <f>GU41-GW41-GX41</f>
        <v/>
      </c>
      <c r="GZ41" s="12">
        <f>ROUND(GV41*EssentialMix,0)</f>
        <v/>
      </c>
      <c r="HA41" s="12">
        <f>ROUND(GV41*PremiumMix,0)</f>
        <v/>
      </c>
      <c r="HB41" s="12">
        <f>GV41-GZ41-HA41</f>
        <v/>
      </c>
      <c r="HC41" s="12">
        <f>GW41+GW40+GW39+MAX(0,HC40-GW40-GW39)*(1-GP41)</f>
        <v/>
      </c>
      <c r="HD41" s="12">
        <f>GX41+GX40+GX39+MAX(0,HD40-GX40-GX39)*(1-GP41)</f>
        <v/>
      </c>
      <c r="HE41" s="12">
        <f>GY41+GY40+GY39+MAX(0,HE40-GY40-GY39)*(1-GP41)</f>
        <v/>
      </c>
      <c r="HF41" s="12">
        <f>HF40+GZ41-GZ29*(AnnualChurn*VLOOKUP(GL41,ChurnSeasonTable,4,FALSE))*POWER(1-(AnnualChurn*VLOOKUP(GL41,ChurnSeasonTable,4,FALSE)),0)+GZ17*(AnnualChurn*VLOOKUP(GL41,ChurnSeasonTable,4,FALSE))*POWER(1-(AnnualChurn*VLOOKUP(GL41,ChurnSeasonTable,4,FALSE)),1)+GZ5*(AnnualChurn*VLOOKUP(GL41,ChurnSeasonTable,4,FALSE))*POWER(1-(AnnualChurn*VLOOKUP(GL41,ChurnSeasonTable,4,FALSE)),2)</f>
        <v/>
      </c>
      <c r="HG41" s="12">
        <f>HG40+HA41-HA29*(AnnualChurn*VLOOKUP(GL41,ChurnSeasonTable,4,FALSE))*POWER(1-(AnnualChurn*VLOOKUP(GL41,ChurnSeasonTable,4,FALSE)),0)+HA17*(AnnualChurn*VLOOKUP(GL41,ChurnSeasonTable,4,FALSE))*POWER(1-(AnnualChurn*VLOOKUP(GL41,ChurnSeasonTable,4,FALSE)),1)+HA5*(AnnualChurn*VLOOKUP(GL41,ChurnSeasonTable,4,FALSE))*POWER(1-(AnnualChurn*VLOOKUP(GL41,ChurnSeasonTable,4,FALSE)),2)</f>
        <v/>
      </c>
      <c r="HH41" s="12">
        <f>HH40+HB41-HB29*(AnnualChurn*VLOOKUP(GL41,ChurnSeasonTable,4,FALSE))*POWER(1-(AnnualChurn*VLOOKUP(GL41,ChurnSeasonTable,4,FALSE)),0)+HB17*(AnnualChurn*VLOOKUP(GL41,ChurnSeasonTable,4,FALSE))*POWER(1-(AnnualChurn*VLOOKUP(GL41,ChurnSeasonTable,4,FALSE)),1)+HB5*(AnnualChurn*VLOOKUP(GL41,ChurnSeasonTable,4,FALSE))*POWER(1-(AnnualChurn*VLOOKUP(GL41,ChurnSeasonTable,4,FALSE)),2)</f>
        <v/>
      </c>
      <c r="HI41" s="12">
        <f>HC41+HD41+HE41+HF41+HG41+HH41</f>
        <v/>
      </c>
      <c r="HJ41" s="9">
        <f>HC41*BlendedPriceEssMonthly*GO41+HD41*BlendedPricePremMonthly*GO41+HE41*BlendedPriceEliteMonthly*GO41+HF41*BlendedPriceEssAnnual*GO41/12+HG41*BlendedPricePremAnnual*GO41/12+HH41*BlendedPriceEliteAnnual*GO41/12</f>
        <v/>
      </c>
      <c r="HK41" s="9">
        <f>HJ41*12</f>
        <v/>
      </c>
      <c r="HL41" s="12">
        <f>HC41*BlendedPriceEssMonthly*GO41+HD41*BlendedPricePremMonthly*GO41+HE41*BlendedPriceEliteMonthly*GO41</f>
        <v/>
      </c>
      <c r="HM41" s="12">
        <f>GZ41*BlendedPriceEssAnnual*GO41+HA41*BlendedPricePremAnnual*GO41+HB41*BlendedPriceEliteAnnual*GO41</f>
        <v/>
      </c>
      <c r="HN41" s="12">
        <f>GZ29*POWER(1-(AnnualChurn*VLOOKUP(GL41,ChurnSeasonTable,4,FALSE)),1)*BlendedPriceEssAnnual*GO41+GZ17*POWER(1-(AnnualChurn*VLOOKUP(GL41,ChurnSeasonTable,4,FALSE)),2)*BlendedPriceEssAnnual*GO41+GZ5*POWER(1-(AnnualChurn*VLOOKUP(GL41,ChurnSeasonTable,4,FALSE)),3)*BlendedPriceEssAnnual*GO41+HA29*POWER(1-(AnnualChurn*VLOOKUP(GL41,ChurnSeasonTable,4,FALSE)),1)*BlendedPricePremAnnual*GO41+HA17*POWER(1-(AnnualChurn*VLOOKUP(GL41,ChurnSeasonTable,4,FALSE)),2)*BlendedPricePremAnnual*GO41+HA5*POWER(1-(AnnualChurn*VLOOKUP(GL41,ChurnSeasonTable,4,FALSE)),3)*BlendedPricePremAnnual*GO41+HB29*POWER(1-(AnnualChurn*VLOOKUP(GL41,ChurnSeasonTable,4,FALSE)),1)*BlendedPriceEliteAnnual*GO41+HB17*POWER(1-(AnnualChurn*VLOOKUP(GL41,ChurnSeasonTable,4,FALSE)),2)*BlendedPriceEliteAnnual*GO41+HB5*POWER(1-(AnnualChurn*VLOOKUP(GL41,ChurnSeasonTable,4,FALSE)),3)*BlendedPriceEliteAnnual*GO41</f>
        <v/>
      </c>
      <c r="HO41" s="9">
        <f>HL41+HM41+HN41</f>
        <v/>
      </c>
      <c r="HP41" s="12">
        <f>SUM(HO30:HO41)</f>
        <v/>
      </c>
      <c r="HQ41" s="12">
        <f>OR(HQ40,IF(VATAgentMode,SUM($HO30:$HO41)-SUM($HV30:$HV41)&gt;=VATThreshold,SUM($HO30:$HO41)&gt;=VATThreshold))</f>
        <v/>
      </c>
      <c r="HR41" s="9">
        <f>IF(HQ41,IF(VATAgentMode,HO41-((HO41-HV41)-(HO41-HV41)/(1+VATRate)),HO41/(1+VATRate)),HO41)</f>
        <v/>
      </c>
      <c r="HS41" s="12">
        <f>HO41-HR41</f>
        <v/>
      </c>
      <c r="HT41" s="12">
        <f>IF(HQ41=0,0,IF(GL41=1,SUMPRODUCT(--(($GM$5:$GM41=$GM41-1)*($GL$5:$GL41&gt;=10)*($GL$5:$GL41&lt;=12)),$HS$5:$HS41),IF(GL41=4,SUMPRODUCT(--(($GM$5:$GM41=$GM41)*($GL$5:$GL41&gt;=1)*($GL$5:$GL41&lt;=3)),$HS$5:$HS41),IF(GL41=7,SUMPRODUCT(--(($GM$5:$GM41=$GM41)*($GL$5:$GL41&gt;=4)*($GL$5:$GL41&lt;=6)),$HS$5:$HS41),IF(GL41=10,SUMPRODUCT(--(($GM$5:$GM41=$GM41)*($GL$5:$GL41&gt;=7)*($GL$5:$GL41&lt;=9)),$HS$5:$HS41),0)))))</f>
        <v/>
      </c>
      <c r="HU41" s="12">
        <f>HU40+HS41-HT41</f>
        <v/>
      </c>
      <c r="HV41" s="12">
        <f>IF(ProviderDelay&gt;=1,HC40*BlendedProvPayEss+HD40*BlendedProvPayPrem+HE40*BlendedProvPayElite+HF40*BlendedProvPayEss+HG40*BlendedProvPayPrem+HH40*BlendedProvPayElite,HC41*BlendedProvPayEss+HD41*BlendedProvPayPrem+HE41*BlendedProvPayElite+HF41*BlendedProvPayEss+HG41*BlendedProvPayPrem+HH41*BlendedProvPayElite)</f>
        <v/>
      </c>
      <c r="HW41" s="12">
        <f>HO41*PaymentFee</f>
        <v/>
      </c>
      <c r="HX41" s="12">
        <f>HI41*OpsAI</f>
        <v/>
      </c>
      <c r="HY41" s="12">
        <f>MonthlyFixed</f>
        <v/>
      </c>
      <c r="HZ41" s="12">
        <f>GS41*ReferralReward</f>
        <v/>
      </c>
      <c r="IA41" s="12">
        <f>GQ41</f>
        <v/>
      </c>
      <c r="IB41" s="9">
        <f>HR41-HV41-HW41-HX41-HY41-HZ41-IA41</f>
        <v/>
      </c>
      <c r="IC41" s="9">
        <f>IC40+HO41-(HV41+HW41+HX41+HY41+HZ41+IA41+HT41)</f>
        <v/>
      </c>
      <c r="ID41" s="12">
        <f>IF(HI41&gt;0,HJ41/HI41,0)</f>
        <v/>
      </c>
      <c r="IE41" s="11">
        <f>IF(HI40&gt;0,MAX(0,(HI40+GT41-HI41)/HI40),0)</f>
        <v/>
      </c>
      <c r="IG41" s="12" t="n">
        <v>37</v>
      </c>
      <c r="IH41" s="12">
        <f>MOD(IG41-1+LaunchMonth-1,12)+1</f>
        <v/>
      </c>
      <c r="II41" s="12">
        <f>INT((IG41-1+LaunchMonth-1)/12)+1</f>
        <v/>
      </c>
      <c r="IJ41" s="12">
        <f>VLOOKUP(IH41,SeasonTable,2,FALSE)</f>
        <v/>
      </c>
      <c r="IK41" s="12">
        <f>(1+InflationRate)^INT((IG41-1)/12)</f>
        <v/>
      </c>
      <c r="IL41" s="11">
        <f>'Sens - Churn'!$A$15*VLOOKUP(IH41,ChurnSeasonTable,4,FALSE)</f>
        <v/>
      </c>
      <c r="IM41" s="12">
        <f>MIN(MAX(MktMin19plus,JK40*MktPct19plus),MAX(0,JY40-CashBuffer))</f>
        <v/>
      </c>
      <c r="IN41" s="12">
        <f>IF(IM41&gt;0,MAX(1,ROUND(IM41/CAC*IJ41,0)),0)</f>
        <v/>
      </c>
      <c r="IO41" s="12">
        <f>IF(IN41&gt;0,ROUND(IN41*ReferralMix/(1-ReferralMix),0),0)</f>
        <v/>
      </c>
      <c r="IP41" s="12">
        <f>IN41+IO41</f>
        <v/>
      </c>
      <c r="IQ41" s="12">
        <f>ROUND(IP41*(1-AnnualMix),0)</f>
        <v/>
      </c>
      <c r="IR41" s="12">
        <f>IP41-IQ41</f>
        <v/>
      </c>
      <c r="IS41" s="12">
        <f>ROUND(IQ41*EssentialMix,0)</f>
        <v/>
      </c>
      <c r="IT41" s="12">
        <f>ROUND(IQ41*PremiumMix,0)</f>
        <v/>
      </c>
      <c r="IU41" s="12">
        <f>IQ41-IS41-IT41</f>
        <v/>
      </c>
      <c r="IV41" s="12">
        <f>ROUND(IR41*EssentialMix,0)</f>
        <v/>
      </c>
      <c r="IW41" s="12">
        <f>ROUND(IR41*PremiumMix,0)</f>
        <v/>
      </c>
      <c r="IX41" s="12">
        <f>IR41-IV41-IW41</f>
        <v/>
      </c>
      <c r="IY41" s="12">
        <f>IS41+IS40+IS39+MAX(0,IY40-IS40-IS39)*(1-IL41)</f>
        <v/>
      </c>
      <c r="IZ41" s="12">
        <f>IT41+IT40+IT39+MAX(0,IZ40-IT40-IT39)*(1-IL41)</f>
        <v/>
      </c>
      <c r="JA41" s="12">
        <f>IU41+IU40+IU39+MAX(0,JA40-IU40-IU39)*(1-IL41)</f>
        <v/>
      </c>
      <c r="JB41" s="12">
        <f>JB40+IV41-IV29*(AnnualChurn*VLOOKUP(IH41,ChurnSeasonTable,4,FALSE))*POWER(1-(AnnualChurn*VLOOKUP(IH41,ChurnSeasonTable,4,FALSE)),0)+IV17*(AnnualChurn*VLOOKUP(IH41,ChurnSeasonTable,4,FALSE))*POWER(1-(AnnualChurn*VLOOKUP(IH41,ChurnSeasonTable,4,FALSE)),1)+IV5*(AnnualChurn*VLOOKUP(IH41,ChurnSeasonTable,4,FALSE))*POWER(1-(AnnualChurn*VLOOKUP(IH41,ChurnSeasonTable,4,FALSE)),2)</f>
        <v/>
      </c>
      <c r="JC41" s="12">
        <f>JC40+IW41-IW29*(AnnualChurn*VLOOKUP(IH41,ChurnSeasonTable,4,FALSE))*POWER(1-(AnnualChurn*VLOOKUP(IH41,ChurnSeasonTable,4,FALSE)),0)+IW17*(AnnualChurn*VLOOKUP(IH41,ChurnSeasonTable,4,FALSE))*POWER(1-(AnnualChurn*VLOOKUP(IH41,ChurnSeasonTable,4,FALSE)),1)+IW5*(AnnualChurn*VLOOKUP(IH41,ChurnSeasonTable,4,FALSE))*POWER(1-(AnnualChurn*VLOOKUP(IH41,ChurnSeasonTable,4,FALSE)),2)</f>
        <v/>
      </c>
      <c r="JD41" s="12">
        <f>JD40+IX41-IX29*(AnnualChurn*VLOOKUP(IH41,ChurnSeasonTable,4,FALSE))*POWER(1-(AnnualChurn*VLOOKUP(IH41,ChurnSeasonTable,4,FALSE)),0)+IX17*(AnnualChurn*VLOOKUP(IH41,ChurnSeasonTable,4,FALSE))*POWER(1-(AnnualChurn*VLOOKUP(IH41,ChurnSeasonTable,4,FALSE)),1)+IX5*(AnnualChurn*VLOOKUP(IH41,ChurnSeasonTable,4,FALSE))*POWER(1-(AnnualChurn*VLOOKUP(IH41,ChurnSeasonTable,4,FALSE)),2)</f>
        <v/>
      </c>
      <c r="JE41" s="12">
        <f>IY41+IZ41+JA41+JB41+JC41+JD41</f>
        <v/>
      </c>
      <c r="JF41" s="9">
        <f>IY41*BlendedPriceEssMonthly*IK41+IZ41*BlendedPricePremMonthly*IK41+JA41*BlendedPriceEliteMonthly*IK41+JB41*BlendedPriceEssAnnual*IK41/12+JC41*BlendedPricePremAnnual*IK41/12+JD41*BlendedPriceEliteAnnual*IK41/12</f>
        <v/>
      </c>
      <c r="JG41" s="9">
        <f>JF41*12</f>
        <v/>
      </c>
      <c r="JH41" s="12">
        <f>IY41*BlendedPriceEssMonthly*IK41+IZ41*BlendedPricePremMonthly*IK41+JA41*BlendedPriceEliteMonthly*IK41</f>
        <v/>
      </c>
      <c r="JI41" s="12">
        <f>IV41*BlendedPriceEssAnnual*IK41+IW41*BlendedPricePremAnnual*IK41+IX41*BlendedPriceEliteAnnual*IK41</f>
        <v/>
      </c>
      <c r="JJ41" s="12">
        <f>IV29*POWER(1-(AnnualChurn*VLOOKUP(IH41,ChurnSeasonTable,4,FALSE)),1)*BlendedPriceEssAnnual*IK41+IV17*POWER(1-(AnnualChurn*VLOOKUP(IH41,ChurnSeasonTable,4,FALSE)),2)*BlendedPriceEssAnnual*IK41+IV5*POWER(1-(AnnualChurn*VLOOKUP(IH41,ChurnSeasonTable,4,FALSE)),3)*BlendedPriceEssAnnual*IK41+IW29*POWER(1-(AnnualChurn*VLOOKUP(IH41,ChurnSeasonTable,4,FALSE)),1)*BlendedPricePremAnnual*IK41+IW17*POWER(1-(AnnualChurn*VLOOKUP(IH41,ChurnSeasonTable,4,FALSE)),2)*BlendedPricePremAnnual*IK41+IW5*POWER(1-(AnnualChurn*VLOOKUP(IH41,ChurnSeasonTable,4,FALSE)),3)*BlendedPricePremAnnual*IK41+IX29*POWER(1-(AnnualChurn*VLOOKUP(IH41,ChurnSeasonTable,4,FALSE)),1)*BlendedPriceEliteAnnual*IK41+IX17*POWER(1-(AnnualChurn*VLOOKUP(IH41,ChurnSeasonTable,4,FALSE)),2)*BlendedPriceEliteAnnual*IK41+IX5*POWER(1-(AnnualChurn*VLOOKUP(IH41,ChurnSeasonTable,4,FALSE)),3)*BlendedPriceEliteAnnual*IK41</f>
        <v/>
      </c>
      <c r="JK41" s="9">
        <f>JH41+JI41+JJ41</f>
        <v/>
      </c>
      <c r="JL41" s="12">
        <f>SUM(JK30:JK41)</f>
        <v/>
      </c>
      <c r="JM41" s="12">
        <f>OR(JM40,IF(VATAgentMode,SUM($JK30:$JK41)-SUM($JR30:$JR41)&gt;=VATThreshold,SUM($JK30:$JK41)&gt;=VATThreshold))</f>
        <v/>
      </c>
      <c r="JN41" s="9">
        <f>IF(JM41,IF(VATAgentMode,JK41-((JK41-JR41)-(JK41-JR41)/(1+VATRate)),JK41/(1+VATRate)),JK41)</f>
        <v/>
      </c>
      <c r="JO41" s="12">
        <f>JK41-JN41</f>
        <v/>
      </c>
      <c r="JP41" s="12">
        <f>IF(JM41=0,0,IF(IH41=1,SUMPRODUCT(--(($II$5:$II41=$II41-1)*($IH$5:$IH41&gt;=10)*($IH$5:$IH41&lt;=12)),$JO$5:$JO41),IF(IH41=4,SUMPRODUCT(--(($II$5:$II41=$II41)*($IH$5:$IH41&gt;=1)*($IH$5:$IH41&lt;=3)),$JO$5:$JO41),IF(IH41=7,SUMPRODUCT(--(($II$5:$II41=$II41)*($IH$5:$IH41&gt;=4)*($IH$5:$IH41&lt;=6)),$JO$5:$JO41),IF(IH41=10,SUMPRODUCT(--(($II$5:$II41=$II41)*($IH$5:$IH41&gt;=7)*($IH$5:$IH41&lt;=9)),$JO$5:$JO41),0)))))</f>
        <v/>
      </c>
      <c r="JQ41" s="12">
        <f>JQ40+JO41-JP41</f>
        <v/>
      </c>
      <c r="JR41" s="12">
        <f>IF(ProviderDelay&gt;=1,IY40*BlendedProvPayEss+IZ40*BlendedProvPayPrem+JA40*BlendedProvPayElite+JB40*BlendedProvPayEss+JC40*BlendedProvPayPrem+JD40*BlendedProvPayElite,IY41*BlendedProvPayEss+IZ41*BlendedProvPayPrem+JA41*BlendedProvPayElite+JB41*BlendedProvPayEss+JC41*BlendedProvPayPrem+JD41*BlendedProvPayElite)</f>
        <v/>
      </c>
      <c r="JS41" s="12">
        <f>JK41*PaymentFee</f>
        <v/>
      </c>
      <c r="JT41" s="12">
        <f>JE41*OpsAI</f>
        <v/>
      </c>
      <c r="JU41" s="12">
        <f>MonthlyFixed</f>
        <v/>
      </c>
      <c r="JV41" s="12">
        <f>IO41*ReferralReward</f>
        <v/>
      </c>
      <c r="JW41" s="12">
        <f>IM41</f>
        <v/>
      </c>
      <c r="JX41" s="9">
        <f>JN41-JR41-JS41-JT41-JU41-JV41-JW41</f>
        <v/>
      </c>
      <c r="JY41" s="9">
        <f>JY40+JK41-(JR41+JS41+JT41+JU41+JV41+JW41+JP41)</f>
        <v/>
      </c>
      <c r="JZ41" s="12">
        <f>IF(JE41&gt;0,JF41/JE41,0)</f>
        <v/>
      </c>
      <c r="KA41" s="11">
        <f>IF(JE40&gt;0,MAX(0,(JE40+IP41-JE41)/JE40),0)</f>
        <v/>
      </c>
      <c r="KC41" s="12" t="n">
        <v>37</v>
      </c>
      <c r="KD41" s="12">
        <f>MOD(KC41-1+LaunchMonth-1,12)+1</f>
        <v/>
      </c>
      <c r="KE41" s="12">
        <f>INT((KC41-1+LaunchMonth-1)/12)+1</f>
        <v/>
      </c>
      <c r="KF41" s="12">
        <f>VLOOKUP(KD41,SeasonTable,2,FALSE)</f>
        <v/>
      </c>
      <c r="KG41" s="12">
        <f>(1+InflationRate)^INT((KC41-1)/12)</f>
        <v/>
      </c>
      <c r="KH41" s="11">
        <f>'Sens - Churn'!$A$16*VLOOKUP(KD41,ChurnSeasonTable,4,FALSE)</f>
        <v/>
      </c>
      <c r="KI41" s="12">
        <f>MIN(MAX(MktMin19plus,LG40*MktPct19plus),MAX(0,LU40-CashBuffer))</f>
        <v/>
      </c>
      <c r="KJ41" s="12">
        <f>IF(KI41&gt;0,MAX(1,ROUND(KI41/CAC*KF41,0)),0)</f>
        <v/>
      </c>
      <c r="KK41" s="12">
        <f>IF(KJ41&gt;0,ROUND(KJ41*ReferralMix/(1-ReferralMix),0),0)</f>
        <v/>
      </c>
      <c r="KL41" s="12">
        <f>KJ41+KK41</f>
        <v/>
      </c>
      <c r="KM41" s="12">
        <f>ROUND(KL41*(1-AnnualMix),0)</f>
        <v/>
      </c>
      <c r="KN41" s="12">
        <f>KL41-KM41</f>
        <v/>
      </c>
      <c r="KO41" s="12">
        <f>ROUND(KM41*EssentialMix,0)</f>
        <v/>
      </c>
      <c r="KP41" s="12">
        <f>ROUND(KM41*PremiumMix,0)</f>
        <v/>
      </c>
      <c r="KQ41" s="12">
        <f>KM41-KO41-KP41</f>
        <v/>
      </c>
      <c r="KR41" s="12">
        <f>ROUND(KN41*EssentialMix,0)</f>
        <v/>
      </c>
      <c r="KS41" s="12">
        <f>ROUND(KN41*PremiumMix,0)</f>
        <v/>
      </c>
      <c r="KT41" s="12">
        <f>KN41-KR41-KS41</f>
        <v/>
      </c>
      <c r="KU41" s="12">
        <f>KO41+KO40+KO39+MAX(0,KU40-KO40-KO39)*(1-KH41)</f>
        <v/>
      </c>
      <c r="KV41" s="12">
        <f>KP41+KP40+KP39+MAX(0,KV40-KP40-KP39)*(1-KH41)</f>
        <v/>
      </c>
      <c r="KW41" s="12">
        <f>KQ41+KQ40+KQ39+MAX(0,KW40-KQ40-KQ39)*(1-KH41)</f>
        <v/>
      </c>
      <c r="KX41" s="12">
        <f>KX40+KR41-KR29*(AnnualChurn*VLOOKUP(KD41,ChurnSeasonTable,4,FALSE))*POWER(1-(AnnualChurn*VLOOKUP(KD41,ChurnSeasonTable,4,FALSE)),0)+KR17*(AnnualChurn*VLOOKUP(KD41,ChurnSeasonTable,4,FALSE))*POWER(1-(AnnualChurn*VLOOKUP(KD41,ChurnSeasonTable,4,FALSE)),1)+KR5*(AnnualChurn*VLOOKUP(KD41,ChurnSeasonTable,4,FALSE))*POWER(1-(AnnualChurn*VLOOKUP(KD41,ChurnSeasonTable,4,FALSE)),2)</f>
        <v/>
      </c>
      <c r="KY41" s="12">
        <f>KY40+KS41-KS29*(AnnualChurn*VLOOKUP(KD41,ChurnSeasonTable,4,FALSE))*POWER(1-(AnnualChurn*VLOOKUP(KD41,ChurnSeasonTable,4,FALSE)),0)+KS17*(AnnualChurn*VLOOKUP(KD41,ChurnSeasonTable,4,FALSE))*POWER(1-(AnnualChurn*VLOOKUP(KD41,ChurnSeasonTable,4,FALSE)),1)+KS5*(AnnualChurn*VLOOKUP(KD41,ChurnSeasonTable,4,FALSE))*POWER(1-(AnnualChurn*VLOOKUP(KD41,ChurnSeasonTable,4,FALSE)),2)</f>
        <v/>
      </c>
      <c r="KZ41" s="12">
        <f>KZ40+KT41-KT29*(AnnualChurn*VLOOKUP(KD41,ChurnSeasonTable,4,FALSE))*POWER(1-(AnnualChurn*VLOOKUP(KD41,ChurnSeasonTable,4,FALSE)),0)+KT17*(AnnualChurn*VLOOKUP(KD41,ChurnSeasonTable,4,FALSE))*POWER(1-(AnnualChurn*VLOOKUP(KD41,ChurnSeasonTable,4,FALSE)),1)+KT5*(AnnualChurn*VLOOKUP(KD41,ChurnSeasonTable,4,FALSE))*POWER(1-(AnnualChurn*VLOOKUP(KD41,ChurnSeasonTable,4,FALSE)),2)</f>
        <v/>
      </c>
      <c r="LA41" s="12">
        <f>KU41+KV41+KW41+KX41+KY41+KZ41</f>
        <v/>
      </c>
      <c r="LB41" s="9">
        <f>KU41*BlendedPriceEssMonthly*KG41+KV41*BlendedPricePremMonthly*KG41+KW41*BlendedPriceEliteMonthly*KG41+KX41*BlendedPriceEssAnnual*KG41/12+KY41*BlendedPricePremAnnual*KG41/12+KZ41*BlendedPriceEliteAnnual*KG41/12</f>
        <v/>
      </c>
      <c r="LC41" s="9">
        <f>LB41*12</f>
        <v/>
      </c>
      <c r="LD41" s="12">
        <f>KU41*BlendedPriceEssMonthly*KG41+KV41*BlendedPricePremMonthly*KG41+KW41*BlendedPriceEliteMonthly*KG41</f>
        <v/>
      </c>
      <c r="LE41" s="12">
        <f>KR41*BlendedPriceEssAnnual*KG41+KS41*BlendedPricePremAnnual*KG41+KT41*BlendedPriceEliteAnnual*KG41</f>
        <v/>
      </c>
      <c r="LF41" s="12">
        <f>KR29*POWER(1-(AnnualChurn*VLOOKUP(KD41,ChurnSeasonTable,4,FALSE)),1)*BlendedPriceEssAnnual*KG41+KR17*POWER(1-(AnnualChurn*VLOOKUP(KD41,ChurnSeasonTable,4,FALSE)),2)*BlendedPriceEssAnnual*KG41+KR5*POWER(1-(AnnualChurn*VLOOKUP(KD41,ChurnSeasonTable,4,FALSE)),3)*BlendedPriceEssAnnual*KG41+KS29*POWER(1-(AnnualChurn*VLOOKUP(KD41,ChurnSeasonTable,4,FALSE)),1)*BlendedPricePremAnnual*KG41+KS17*POWER(1-(AnnualChurn*VLOOKUP(KD41,ChurnSeasonTable,4,FALSE)),2)*BlendedPricePremAnnual*KG41+KS5*POWER(1-(AnnualChurn*VLOOKUP(KD41,ChurnSeasonTable,4,FALSE)),3)*BlendedPricePremAnnual*KG41+KT29*POWER(1-(AnnualChurn*VLOOKUP(KD41,ChurnSeasonTable,4,FALSE)),1)*BlendedPriceEliteAnnual*KG41+KT17*POWER(1-(AnnualChurn*VLOOKUP(KD41,ChurnSeasonTable,4,FALSE)),2)*BlendedPriceEliteAnnual*KG41+KT5*POWER(1-(AnnualChurn*VLOOKUP(KD41,ChurnSeasonTable,4,FALSE)),3)*BlendedPriceEliteAnnual*KG41</f>
        <v/>
      </c>
      <c r="LG41" s="9">
        <f>LD41+LE41+LF41</f>
        <v/>
      </c>
      <c r="LH41" s="12">
        <f>SUM(LG30:LG41)</f>
        <v/>
      </c>
      <c r="LI41" s="12">
        <f>OR(LI40,IF(VATAgentMode,SUM($LG30:$LG41)-SUM($LN30:$LN41)&gt;=VATThreshold,SUM($LG30:$LG41)&gt;=VATThreshold))</f>
        <v/>
      </c>
      <c r="LJ41" s="9">
        <f>IF(LI41,IF(VATAgentMode,LG41-((LG41-LN41)-(LG41-LN41)/(1+VATRate)),LG41/(1+VATRate)),LG41)</f>
        <v/>
      </c>
      <c r="LK41" s="12">
        <f>LG41-LJ41</f>
        <v/>
      </c>
      <c r="LL41" s="12">
        <f>IF(LI41=0,0,IF(KD41=1,SUMPRODUCT(--(($KE$5:$KE41=$KE41-1)*($KD$5:$KD41&gt;=10)*($KD$5:$KD41&lt;=12)),$LK$5:$LK41),IF(KD41=4,SUMPRODUCT(--(($KE$5:$KE41=$KE41)*($KD$5:$KD41&gt;=1)*($KD$5:$KD41&lt;=3)),$LK$5:$LK41),IF(KD41=7,SUMPRODUCT(--(($KE$5:$KE41=$KE41)*($KD$5:$KD41&gt;=4)*($KD$5:$KD41&lt;=6)),$LK$5:$LK41),IF(KD41=10,SUMPRODUCT(--(($KE$5:$KE41=$KE41)*($KD$5:$KD41&gt;=7)*($KD$5:$KD41&lt;=9)),$LK$5:$LK41),0)))))</f>
        <v/>
      </c>
      <c r="LM41" s="12">
        <f>LM40+LK41-LL41</f>
        <v/>
      </c>
      <c r="LN41" s="12">
        <f>IF(ProviderDelay&gt;=1,KU40*BlendedProvPayEss+KV40*BlendedProvPayPrem+KW40*BlendedProvPayElite+KX40*BlendedProvPayEss+KY40*BlendedProvPayPrem+KZ40*BlendedProvPayElite,KU41*BlendedProvPayEss+KV41*BlendedProvPayPrem+KW41*BlendedProvPayElite+KX41*BlendedProvPayEss+KY41*BlendedProvPayPrem+KZ41*BlendedProvPayElite)</f>
        <v/>
      </c>
      <c r="LO41" s="12">
        <f>LG41*PaymentFee</f>
        <v/>
      </c>
      <c r="LP41" s="12">
        <f>LA41*OpsAI</f>
        <v/>
      </c>
      <c r="LQ41" s="12">
        <f>MonthlyFixed</f>
        <v/>
      </c>
      <c r="LR41" s="12">
        <f>KK41*ReferralReward</f>
        <v/>
      </c>
      <c r="LS41" s="12">
        <f>KI41</f>
        <v/>
      </c>
      <c r="LT41" s="9">
        <f>LJ41-LN41-LO41-LP41-LQ41-LR41-LS41</f>
        <v/>
      </c>
      <c r="LU41" s="9">
        <f>LU40+LG41-(LN41+LO41+LP41+LQ41+LR41+LS41+LL41)</f>
        <v/>
      </c>
      <c r="LV41" s="12">
        <f>IF(LA41&gt;0,LB41/LA41,0)</f>
        <v/>
      </c>
      <c r="LW41" s="11">
        <f>IF(LA40&gt;0,MAX(0,(LA40+KL41-LA41)/LA40),0)</f>
        <v/>
      </c>
      <c r="LY41" s="12" t="n">
        <v>37</v>
      </c>
      <c r="LZ41" s="12">
        <f>MOD(LY41-1+LaunchMonth-1,12)+1</f>
        <v/>
      </c>
      <c r="MA41" s="12">
        <f>INT((LY41-1+LaunchMonth-1)/12)+1</f>
        <v/>
      </c>
      <c r="MB41" s="12">
        <f>VLOOKUP(LZ41,SeasonTable,2,FALSE)</f>
        <v/>
      </c>
      <c r="MC41" s="12">
        <f>(1+InflationRate)^INT((LY41-1)/12)</f>
        <v/>
      </c>
      <c r="MD41" s="11">
        <f>'Sens - Churn'!$A$17*VLOOKUP(LZ41,ChurnSeasonTable,4,FALSE)</f>
        <v/>
      </c>
      <c r="ME41" s="12">
        <f>MIN(MAX(MktMin19plus,NC40*MktPct19plus),MAX(0,NQ40-CashBuffer))</f>
        <v/>
      </c>
      <c r="MF41" s="12">
        <f>IF(ME41&gt;0,MAX(1,ROUND(ME41/CAC*MB41,0)),0)</f>
        <v/>
      </c>
      <c r="MG41" s="12">
        <f>IF(MF41&gt;0,ROUND(MF41*ReferralMix/(1-ReferralMix),0),0)</f>
        <v/>
      </c>
      <c r="MH41" s="12">
        <f>MF41+MG41</f>
        <v/>
      </c>
      <c r="MI41" s="12">
        <f>ROUND(MH41*(1-AnnualMix),0)</f>
        <v/>
      </c>
      <c r="MJ41" s="12">
        <f>MH41-MI41</f>
        <v/>
      </c>
      <c r="MK41" s="12">
        <f>ROUND(MI41*EssentialMix,0)</f>
        <v/>
      </c>
      <c r="ML41" s="12">
        <f>ROUND(MI41*PremiumMix,0)</f>
        <v/>
      </c>
      <c r="MM41" s="12">
        <f>MI41-MK41-ML41</f>
        <v/>
      </c>
      <c r="MN41" s="12">
        <f>ROUND(MJ41*EssentialMix,0)</f>
        <v/>
      </c>
      <c r="MO41" s="12">
        <f>ROUND(MJ41*PremiumMix,0)</f>
        <v/>
      </c>
      <c r="MP41" s="12">
        <f>MJ41-MN41-MO41</f>
        <v/>
      </c>
      <c r="MQ41" s="12">
        <f>MK41+MK40+MK39+MAX(0,MQ40-MK40-MK39)*(1-MD41)</f>
        <v/>
      </c>
      <c r="MR41" s="12">
        <f>ML41+ML40+ML39+MAX(0,MR40-ML40-ML39)*(1-MD41)</f>
        <v/>
      </c>
      <c r="MS41" s="12">
        <f>MM41+MM40+MM39+MAX(0,MS40-MM40-MM39)*(1-MD41)</f>
        <v/>
      </c>
      <c r="MT41" s="12">
        <f>MT40+MN41-MN29*(AnnualChurn*VLOOKUP(LZ41,ChurnSeasonTable,4,FALSE))*POWER(1-(AnnualChurn*VLOOKUP(LZ41,ChurnSeasonTable,4,FALSE)),0)+MN17*(AnnualChurn*VLOOKUP(LZ41,ChurnSeasonTable,4,FALSE))*POWER(1-(AnnualChurn*VLOOKUP(LZ41,ChurnSeasonTable,4,FALSE)),1)+MN5*(AnnualChurn*VLOOKUP(LZ41,ChurnSeasonTable,4,FALSE))*POWER(1-(AnnualChurn*VLOOKUP(LZ41,ChurnSeasonTable,4,FALSE)),2)</f>
        <v/>
      </c>
      <c r="MU41" s="12">
        <f>MU40+MO41-MO29*(AnnualChurn*VLOOKUP(LZ41,ChurnSeasonTable,4,FALSE))*POWER(1-(AnnualChurn*VLOOKUP(LZ41,ChurnSeasonTable,4,FALSE)),0)+MO17*(AnnualChurn*VLOOKUP(LZ41,ChurnSeasonTable,4,FALSE))*POWER(1-(AnnualChurn*VLOOKUP(LZ41,ChurnSeasonTable,4,FALSE)),1)+MO5*(AnnualChurn*VLOOKUP(LZ41,ChurnSeasonTable,4,FALSE))*POWER(1-(AnnualChurn*VLOOKUP(LZ41,ChurnSeasonTable,4,FALSE)),2)</f>
        <v/>
      </c>
      <c r="MV41" s="12">
        <f>MV40+MP41-MP29*(AnnualChurn*VLOOKUP(LZ41,ChurnSeasonTable,4,FALSE))*POWER(1-(AnnualChurn*VLOOKUP(LZ41,ChurnSeasonTable,4,FALSE)),0)+MP17*(AnnualChurn*VLOOKUP(LZ41,ChurnSeasonTable,4,FALSE))*POWER(1-(AnnualChurn*VLOOKUP(LZ41,ChurnSeasonTable,4,FALSE)),1)+MP5*(AnnualChurn*VLOOKUP(LZ41,ChurnSeasonTable,4,FALSE))*POWER(1-(AnnualChurn*VLOOKUP(LZ41,ChurnSeasonTable,4,FALSE)),2)</f>
        <v/>
      </c>
      <c r="MW41" s="12">
        <f>MQ41+MR41+MS41+MT41+MU41+MV41</f>
        <v/>
      </c>
      <c r="MX41" s="9">
        <f>MQ41*BlendedPriceEssMonthly*MC41+MR41*BlendedPricePremMonthly*MC41+MS41*BlendedPriceEliteMonthly*MC41+MT41*BlendedPriceEssAnnual*MC41/12+MU41*BlendedPricePremAnnual*MC41/12+MV41*BlendedPriceEliteAnnual*MC41/12</f>
        <v/>
      </c>
      <c r="MY41" s="9">
        <f>MX41*12</f>
        <v/>
      </c>
      <c r="MZ41" s="12">
        <f>MQ41*BlendedPriceEssMonthly*MC41+MR41*BlendedPricePremMonthly*MC41+MS41*BlendedPriceEliteMonthly*MC41</f>
        <v/>
      </c>
      <c r="NA41" s="12">
        <f>MN41*BlendedPriceEssAnnual*MC41+MO41*BlendedPricePremAnnual*MC41+MP41*BlendedPriceEliteAnnual*MC41</f>
        <v/>
      </c>
      <c r="NB41" s="12">
        <f>MN29*POWER(1-(AnnualChurn*VLOOKUP(LZ41,ChurnSeasonTable,4,FALSE)),1)*BlendedPriceEssAnnual*MC41+MN17*POWER(1-(AnnualChurn*VLOOKUP(LZ41,ChurnSeasonTable,4,FALSE)),2)*BlendedPriceEssAnnual*MC41+MN5*POWER(1-(AnnualChurn*VLOOKUP(LZ41,ChurnSeasonTable,4,FALSE)),3)*BlendedPriceEssAnnual*MC41+MO29*POWER(1-(AnnualChurn*VLOOKUP(LZ41,ChurnSeasonTable,4,FALSE)),1)*BlendedPricePremAnnual*MC41+MO17*POWER(1-(AnnualChurn*VLOOKUP(LZ41,ChurnSeasonTable,4,FALSE)),2)*BlendedPricePremAnnual*MC41+MO5*POWER(1-(AnnualChurn*VLOOKUP(LZ41,ChurnSeasonTable,4,FALSE)),3)*BlendedPricePremAnnual*MC41+MP29*POWER(1-(AnnualChurn*VLOOKUP(LZ41,ChurnSeasonTable,4,FALSE)),1)*BlendedPriceEliteAnnual*MC41+MP17*POWER(1-(AnnualChurn*VLOOKUP(LZ41,ChurnSeasonTable,4,FALSE)),2)*BlendedPriceEliteAnnual*MC41+MP5*POWER(1-(AnnualChurn*VLOOKUP(LZ41,ChurnSeasonTable,4,FALSE)),3)*BlendedPriceEliteAnnual*MC41</f>
        <v/>
      </c>
      <c r="NC41" s="9">
        <f>MZ41+NA41+NB41</f>
        <v/>
      </c>
      <c r="ND41" s="12">
        <f>SUM(NC30:NC41)</f>
        <v/>
      </c>
      <c r="NE41" s="12">
        <f>OR(NE40,IF(VATAgentMode,SUM($NC30:$NC41)-SUM($NJ30:$NJ41)&gt;=VATThreshold,SUM($NC30:$NC41)&gt;=VATThreshold))</f>
        <v/>
      </c>
      <c r="NF41" s="9">
        <f>IF(NE41,IF(VATAgentMode,NC41-((NC41-NJ41)-(NC41-NJ41)/(1+VATRate)),NC41/(1+VATRate)),NC41)</f>
        <v/>
      </c>
      <c r="NG41" s="12">
        <f>NC41-NF41</f>
        <v/>
      </c>
      <c r="NH41" s="12">
        <f>IF(NE41=0,0,IF(LZ41=1,SUMPRODUCT(--(($MA$5:$MA41=$MA41-1)*($LZ$5:$LZ41&gt;=10)*($LZ$5:$LZ41&lt;=12)),$NG$5:$NG41),IF(LZ41=4,SUMPRODUCT(--(($MA$5:$MA41=$MA41)*($LZ$5:$LZ41&gt;=1)*($LZ$5:$LZ41&lt;=3)),$NG$5:$NG41),IF(LZ41=7,SUMPRODUCT(--(($MA$5:$MA41=$MA41)*($LZ$5:$LZ41&gt;=4)*($LZ$5:$LZ41&lt;=6)),$NG$5:$NG41),IF(LZ41=10,SUMPRODUCT(--(($MA$5:$MA41=$MA41)*($LZ$5:$LZ41&gt;=7)*($LZ$5:$LZ41&lt;=9)),$NG$5:$NG41),0)))))</f>
        <v/>
      </c>
      <c r="NI41" s="12">
        <f>NI40+NG41-NH41</f>
        <v/>
      </c>
      <c r="NJ41" s="12">
        <f>IF(ProviderDelay&gt;=1,MQ40*BlendedProvPayEss+MR40*BlendedProvPayPrem+MS40*BlendedProvPayElite+MT40*BlendedProvPayEss+MU40*BlendedProvPayPrem+MV40*BlendedProvPayElite,MQ41*BlendedProvPayEss+MR41*BlendedProvPayPrem+MS41*BlendedProvPayElite+MT41*BlendedProvPayEss+MU41*BlendedProvPayPrem+MV41*BlendedProvPayElite)</f>
        <v/>
      </c>
      <c r="NK41" s="12">
        <f>NC41*PaymentFee</f>
        <v/>
      </c>
      <c r="NL41" s="12">
        <f>MW41*OpsAI</f>
        <v/>
      </c>
      <c r="NM41" s="12">
        <f>MonthlyFixed</f>
        <v/>
      </c>
      <c r="NN41" s="12">
        <f>MG41*ReferralReward</f>
        <v/>
      </c>
      <c r="NO41" s="12">
        <f>ME41</f>
        <v/>
      </c>
      <c r="NP41" s="9">
        <f>NF41-NJ41-NK41-NL41-NM41-NN41-NO41</f>
        <v/>
      </c>
      <c r="NQ41" s="9">
        <f>NQ40+NC41-(NJ41+NK41+NL41+NM41+NN41+NO41+NH41)</f>
        <v/>
      </c>
      <c r="NR41" s="12">
        <f>IF(MW41&gt;0,MX41/MW41,0)</f>
        <v/>
      </c>
      <c r="NS41" s="11">
        <f>IF(MW40&gt;0,MAX(0,(MW40+MH41-MW41)/MW40),0)</f>
        <v/>
      </c>
      <c r="NU41" s="12" t="n">
        <v>37</v>
      </c>
      <c r="NV41" s="12">
        <f>MOD(NU41-1+LaunchMonth-1,12)+1</f>
        <v/>
      </c>
      <c r="NW41" s="12">
        <f>INT((NU41-1+LaunchMonth-1)/12)+1</f>
        <v/>
      </c>
      <c r="NX41" s="12">
        <f>VLOOKUP(NV41,SeasonTable,2,FALSE)</f>
        <v/>
      </c>
      <c r="NY41" s="12">
        <f>(1+InflationRate)^INT((NU41-1)/12)</f>
        <v/>
      </c>
      <c r="NZ41" s="11">
        <f>'Sens - Churn'!$A$18*VLOOKUP(NV41,ChurnSeasonTable,4,FALSE)</f>
        <v/>
      </c>
      <c r="OA41" s="12">
        <f>MIN(MAX(MktMin19plus,OY40*MktPct19plus),MAX(0,PM40-CashBuffer))</f>
        <v/>
      </c>
      <c r="OB41" s="12">
        <f>IF(OA41&gt;0,MAX(1,ROUND(OA41/CAC*NX41,0)),0)</f>
        <v/>
      </c>
      <c r="OC41" s="12">
        <f>IF(OB41&gt;0,ROUND(OB41*ReferralMix/(1-ReferralMix),0),0)</f>
        <v/>
      </c>
      <c r="OD41" s="12">
        <f>OB41+OC41</f>
        <v/>
      </c>
      <c r="OE41" s="12">
        <f>ROUND(OD41*(1-AnnualMix),0)</f>
        <v/>
      </c>
      <c r="OF41" s="12">
        <f>OD41-OE41</f>
        <v/>
      </c>
      <c r="OG41" s="12">
        <f>ROUND(OE41*EssentialMix,0)</f>
        <v/>
      </c>
      <c r="OH41" s="12">
        <f>ROUND(OE41*PremiumMix,0)</f>
        <v/>
      </c>
      <c r="OI41" s="12">
        <f>OE41-OG41-OH41</f>
        <v/>
      </c>
      <c r="OJ41" s="12">
        <f>ROUND(OF41*EssentialMix,0)</f>
        <v/>
      </c>
      <c r="OK41" s="12">
        <f>ROUND(OF41*PremiumMix,0)</f>
        <v/>
      </c>
      <c r="OL41" s="12">
        <f>OF41-OJ41-OK41</f>
        <v/>
      </c>
      <c r="OM41" s="12">
        <f>OG41+OG40+OG39+MAX(0,OM40-OG40-OG39)*(1-NZ41)</f>
        <v/>
      </c>
      <c r="ON41" s="12">
        <f>OH41+OH40+OH39+MAX(0,ON40-OH40-OH39)*(1-NZ41)</f>
        <v/>
      </c>
      <c r="OO41" s="12">
        <f>OI41+OI40+OI39+MAX(0,OO40-OI40-OI39)*(1-NZ41)</f>
        <v/>
      </c>
      <c r="OP41" s="12">
        <f>OP40+OJ41-OJ29*(AnnualChurn*VLOOKUP(NV41,ChurnSeasonTable,4,FALSE))*POWER(1-(AnnualChurn*VLOOKUP(NV41,ChurnSeasonTable,4,FALSE)),0)+OJ17*(AnnualChurn*VLOOKUP(NV41,ChurnSeasonTable,4,FALSE))*POWER(1-(AnnualChurn*VLOOKUP(NV41,ChurnSeasonTable,4,FALSE)),1)+OJ5*(AnnualChurn*VLOOKUP(NV41,ChurnSeasonTable,4,FALSE))*POWER(1-(AnnualChurn*VLOOKUP(NV41,ChurnSeasonTable,4,FALSE)),2)</f>
        <v/>
      </c>
      <c r="OQ41" s="12">
        <f>OQ40+OK41-OK29*(AnnualChurn*VLOOKUP(NV41,ChurnSeasonTable,4,FALSE))*POWER(1-(AnnualChurn*VLOOKUP(NV41,ChurnSeasonTable,4,FALSE)),0)+OK17*(AnnualChurn*VLOOKUP(NV41,ChurnSeasonTable,4,FALSE))*POWER(1-(AnnualChurn*VLOOKUP(NV41,ChurnSeasonTable,4,FALSE)),1)+OK5*(AnnualChurn*VLOOKUP(NV41,ChurnSeasonTable,4,FALSE))*POWER(1-(AnnualChurn*VLOOKUP(NV41,ChurnSeasonTable,4,FALSE)),2)</f>
        <v/>
      </c>
      <c r="OR41" s="12">
        <f>OR40+OL41-OL29*(AnnualChurn*VLOOKUP(NV41,ChurnSeasonTable,4,FALSE))*POWER(1-(AnnualChurn*VLOOKUP(NV41,ChurnSeasonTable,4,FALSE)),0)+OL17*(AnnualChurn*VLOOKUP(NV41,ChurnSeasonTable,4,FALSE))*POWER(1-(AnnualChurn*VLOOKUP(NV41,ChurnSeasonTable,4,FALSE)),1)+OL5*(AnnualChurn*VLOOKUP(NV41,ChurnSeasonTable,4,FALSE))*POWER(1-(AnnualChurn*VLOOKUP(NV41,ChurnSeasonTable,4,FALSE)),2)</f>
        <v/>
      </c>
      <c r="OS41" s="12">
        <f>OM41+ON41+OO41+OP41+OQ41+OR41</f>
        <v/>
      </c>
      <c r="OT41" s="9">
        <f>OM41*BlendedPriceEssMonthly*NY41+ON41*BlendedPricePremMonthly*NY41+OO41*BlendedPriceEliteMonthly*NY41+OP41*BlendedPriceEssAnnual*NY41/12+OQ41*BlendedPricePremAnnual*NY41/12+OR41*BlendedPriceEliteAnnual*NY41/12</f>
        <v/>
      </c>
      <c r="OU41" s="9">
        <f>OT41*12</f>
        <v/>
      </c>
      <c r="OV41" s="12">
        <f>OM41*BlendedPriceEssMonthly*NY41+ON41*BlendedPricePremMonthly*NY41+OO41*BlendedPriceEliteMonthly*NY41</f>
        <v/>
      </c>
      <c r="OW41" s="12">
        <f>OJ41*BlendedPriceEssAnnual*NY41+OK41*BlendedPricePremAnnual*NY41+OL41*BlendedPriceEliteAnnual*NY41</f>
        <v/>
      </c>
      <c r="OX41" s="12">
        <f>OJ29*POWER(1-(AnnualChurn*VLOOKUP(NV41,ChurnSeasonTable,4,FALSE)),1)*BlendedPriceEssAnnual*NY41+OJ17*POWER(1-(AnnualChurn*VLOOKUP(NV41,ChurnSeasonTable,4,FALSE)),2)*BlendedPriceEssAnnual*NY41+OJ5*POWER(1-(AnnualChurn*VLOOKUP(NV41,ChurnSeasonTable,4,FALSE)),3)*BlendedPriceEssAnnual*NY41+OK29*POWER(1-(AnnualChurn*VLOOKUP(NV41,ChurnSeasonTable,4,FALSE)),1)*BlendedPricePremAnnual*NY41+OK17*POWER(1-(AnnualChurn*VLOOKUP(NV41,ChurnSeasonTable,4,FALSE)),2)*BlendedPricePremAnnual*NY41+OK5*POWER(1-(AnnualChurn*VLOOKUP(NV41,ChurnSeasonTable,4,FALSE)),3)*BlendedPricePremAnnual*NY41+OL29*POWER(1-(AnnualChurn*VLOOKUP(NV41,ChurnSeasonTable,4,FALSE)),1)*BlendedPriceEliteAnnual*NY41+OL17*POWER(1-(AnnualChurn*VLOOKUP(NV41,ChurnSeasonTable,4,FALSE)),2)*BlendedPriceEliteAnnual*NY41+OL5*POWER(1-(AnnualChurn*VLOOKUP(NV41,ChurnSeasonTable,4,FALSE)),3)*BlendedPriceEliteAnnual*NY41</f>
        <v/>
      </c>
      <c r="OY41" s="9">
        <f>OV41+OW41+OX41</f>
        <v/>
      </c>
      <c r="OZ41" s="12">
        <f>SUM(OY30:OY41)</f>
        <v/>
      </c>
      <c r="PA41" s="12">
        <f>OR(PA40,IF(VATAgentMode,SUM($OY30:$OY41)-SUM($PF30:$PF41)&gt;=VATThreshold,SUM($OY30:$OY41)&gt;=VATThreshold))</f>
        <v/>
      </c>
      <c r="PB41" s="9">
        <f>IF(PA41,IF(VATAgentMode,OY41-((OY41-PF41)-(OY41-PF41)/(1+VATRate)),OY41/(1+VATRate)),OY41)</f>
        <v/>
      </c>
      <c r="PC41" s="12">
        <f>OY41-PB41</f>
        <v/>
      </c>
      <c r="PD41" s="12">
        <f>IF(PA41=0,0,IF(NV41=1,SUMPRODUCT(--(($NW$5:$NW41=$NW41-1)*($NV$5:$NV41&gt;=10)*($NV$5:$NV41&lt;=12)),$PC$5:$PC41),IF(NV41=4,SUMPRODUCT(--(($NW$5:$NW41=$NW41)*($NV$5:$NV41&gt;=1)*($NV$5:$NV41&lt;=3)),$PC$5:$PC41),IF(NV41=7,SUMPRODUCT(--(($NW$5:$NW41=$NW41)*($NV$5:$NV41&gt;=4)*($NV$5:$NV41&lt;=6)),$PC$5:$PC41),IF(NV41=10,SUMPRODUCT(--(($NW$5:$NW41=$NW41)*($NV$5:$NV41&gt;=7)*($NV$5:$NV41&lt;=9)),$PC$5:$PC41),0)))))</f>
        <v/>
      </c>
      <c r="PE41" s="12">
        <f>PE40+PC41-PD41</f>
        <v/>
      </c>
      <c r="PF41" s="12">
        <f>IF(ProviderDelay&gt;=1,OM40*BlendedProvPayEss+ON40*BlendedProvPayPrem+OO40*BlendedProvPayElite+OP40*BlendedProvPayEss+OQ40*BlendedProvPayPrem+OR40*BlendedProvPayElite,OM41*BlendedProvPayEss+ON41*BlendedProvPayPrem+OO41*BlendedProvPayElite+OP41*BlendedProvPayEss+OQ41*BlendedProvPayPrem+OR41*BlendedProvPayElite)</f>
        <v/>
      </c>
      <c r="PG41" s="12">
        <f>OY41*PaymentFee</f>
        <v/>
      </c>
      <c r="PH41" s="12">
        <f>OS41*OpsAI</f>
        <v/>
      </c>
      <c r="PI41" s="12">
        <f>MonthlyFixed</f>
        <v/>
      </c>
      <c r="PJ41" s="12">
        <f>OC41*ReferralReward</f>
        <v/>
      </c>
      <c r="PK41" s="12">
        <f>OA41</f>
        <v/>
      </c>
      <c r="PL41" s="9">
        <f>PB41-PF41-PG41-PH41-PI41-PJ41-PK41</f>
        <v/>
      </c>
      <c r="PM41" s="9">
        <f>PM40+OY41-(PF41+PG41+PH41+PI41+PJ41+PK41+PD41)</f>
        <v/>
      </c>
      <c r="PN41" s="12">
        <f>IF(OS41&gt;0,OT41/OS41,0)</f>
        <v/>
      </c>
      <c r="PO41" s="11">
        <f>IF(OS40&gt;0,MAX(0,(OS40+OD41-OS41)/OS40),0)</f>
        <v/>
      </c>
      <c r="PQ41" s="12" t="n">
        <v>37</v>
      </c>
      <c r="PR41" s="12">
        <f>MOD(PQ41-1+LaunchMonth-1,12)+1</f>
        <v/>
      </c>
      <c r="PS41" s="12">
        <f>INT((PQ41-1+LaunchMonth-1)/12)+1</f>
        <v/>
      </c>
      <c r="PT41" s="12">
        <f>VLOOKUP(PR41,SeasonTable,2,FALSE)</f>
        <v/>
      </c>
      <c r="PU41" s="12">
        <f>(1+InflationRate)^INT((PQ41-1)/12)</f>
        <v/>
      </c>
      <c r="PV41" s="11">
        <f>'Sens - Churn'!$A$19*VLOOKUP(PR41,ChurnSeasonTable,4,FALSE)</f>
        <v/>
      </c>
      <c r="PW41" s="12">
        <f>MIN(MAX(MktMin19plus,QU40*MktPct19plus),MAX(0,RI40-CashBuffer))</f>
        <v/>
      </c>
      <c r="PX41" s="12">
        <f>IF(PW41&gt;0,MAX(1,ROUND(PW41/CAC*PT41,0)),0)</f>
        <v/>
      </c>
      <c r="PY41" s="12">
        <f>IF(PX41&gt;0,ROUND(PX41*ReferralMix/(1-ReferralMix),0),0)</f>
        <v/>
      </c>
      <c r="PZ41" s="12">
        <f>PX41+PY41</f>
        <v/>
      </c>
      <c r="QA41" s="12">
        <f>ROUND(PZ41*(1-AnnualMix),0)</f>
        <v/>
      </c>
      <c r="QB41" s="12">
        <f>PZ41-QA41</f>
        <v/>
      </c>
      <c r="QC41" s="12">
        <f>ROUND(QA41*EssentialMix,0)</f>
        <v/>
      </c>
      <c r="QD41" s="12">
        <f>ROUND(QA41*PremiumMix,0)</f>
        <v/>
      </c>
      <c r="QE41" s="12">
        <f>QA41-QC41-QD41</f>
        <v/>
      </c>
      <c r="QF41" s="12">
        <f>ROUND(QB41*EssentialMix,0)</f>
        <v/>
      </c>
      <c r="QG41" s="12">
        <f>ROUND(QB41*PremiumMix,0)</f>
        <v/>
      </c>
      <c r="QH41" s="12">
        <f>QB41-QF41-QG41</f>
        <v/>
      </c>
      <c r="QI41" s="12">
        <f>QC41+QC40+QC39+MAX(0,QI40-QC40-QC39)*(1-PV41)</f>
        <v/>
      </c>
      <c r="QJ41" s="12">
        <f>QD41+QD40+QD39+MAX(0,QJ40-QD40-QD39)*(1-PV41)</f>
        <v/>
      </c>
      <c r="QK41" s="12">
        <f>QE41+QE40+QE39+MAX(0,QK40-QE40-QE39)*(1-PV41)</f>
        <v/>
      </c>
      <c r="QL41" s="12">
        <f>QL40+QF41-QF29*(AnnualChurn*VLOOKUP(PR41,ChurnSeasonTable,4,FALSE))*POWER(1-(AnnualChurn*VLOOKUP(PR41,ChurnSeasonTable,4,FALSE)),0)+QF17*(AnnualChurn*VLOOKUP(PR41,ChurnSeasonTable,4,FALSE))*POWER(1-(AnnualChurn*VLOOKUP(PR41,ChurnSeasonTable,4,FALSE)),1)+QF5*(AnnualChurn*VLOOKUP(PR41,ChurnSeasonTable,4,FALSE))*POWER(1-(AnnualChurn*VLOOKUP(PR41,ChurnSeasonTable,4,FALSE)),2)</f>
        <v/>
      </c>
      <c r="QM41" s="12">
        <f>QM40+QG41-QG29*(AnnualChurn*VLOOKUP(PR41,ChurnSeasonTable,4,FALSE))*POWER(1-(AnnualChurn*VLOOKUP(PR41,ChurnSeasonTable,4,FALSE)),0)+QG17*(AnnualChurn*VLOOKUP(PR41,ChurnSeasonTable,4,FALSE))*POWER(1-(AnnualChurn*VLOOKUP(PR41,ChurnSeasonTable,4,FALSE)),1)+QG5*(AnnualChurn*VLOOKUP(PR41,ChurnSeasonTable,4,FALSE))*POWER(1-(AnnualChurn*VLOOKUP(PR41,ChurnSeasonTable,4,FALSE)),2)</f>
        <v/>
      </c>
      <c r="QN41" s="12">
        <f>QN40+QH41-QH29*(AnnualChurn*VLOOKUP(PR41,ChurnSeasonTable,4,FALSE))*POWER(1-(AnnualChurn*VLOOKUP(PR41,ChurnSeasonTable,4,FALSE)),0)+QH17*(AnnualChurn*VLOOKUP(PR41,ChurnSeasonTable,4,FALSE))*POWER(1-(AnnualChurn*VLOOKUP(PR41,ChurnSeasonTable,4,FALSE)),1)+QH5*(AnnualChurn*VLOOKUP(PR41,ChurnSeasonTable,4,FALSE))*POWER(1-(AnnualChurn*VLOOKUP(PR41,ChurnSeasonTable,4,FALSE)),2)</f>
        <v/>
      </c>
      <c r="QO41" s="12">
        <f>QI41+QJ41+QK41+QL41+QM41+QN41</f>
        <v/>
      </c>
      <c r="QP41" s="9">
        <f>QI41*BlendedPriceEssMonthly*PU41+QJ41*BlendedPricePremMonthly*PU41+QK41*BlendedPriceEliteMonthly*PU41+QL41*BlendedPriceEssAnnual*PU41/12+QM41*BlendedPricePremAnnual*PU41/12+QN41*BlendedPriceEliteAnnual*PU41/12</f>
        <v/>
      </c>
      <c r="QQ41" s="9">
        <f>QP41*12</f>
        <v/>
      </c>
      <c r="QR41" s="12">
        <f>QI41*BlendedPriceEssMonthly*PU41+QJ41*BlendedPricePremMonthly*PU41+QK41*BlendedPriceEliteMonthly*PU41</f>
        <v/>
      </c>
      <c r="QS41" s="12">
        <f>QF41*BlendedPriceEssAnnual*PU41+QG41*BlendedPricePremAnnual*PU41+QH41*BlendedPriceEliteAnnual*PU41</f>
        <v/>
      </c>
      <c r="QT41" s="12">
        <f>QF29*POWER(1-(AnnualChurn*VLOOKUP(PR41,ChurnSeasonTable,4,FALSE)),1)*BlendedPriceEssAnnual*PU41+QF17*POWER(1-(AnnualChurn*VLOOKUP(PR41,ChurnSeasonTable,4,FALSE)),2)*BlendedPriceEssAnnual*PU41+QF5*POWER(1-(AnnualChurn*VLOOKUP(PR41,ChurnSeasonTable,4,FALSE)),3)*BlendedPriceEssAnnual*PU41+QG29*POWER(1-(AnnualChurn*VLOOKUP(PR41,ChurnSeasonTable,4,FALSE)),1)*BlendedPricePremAnnual*PU41+QG17*POWER(1-(AnnualChurn*VLOOKUP(PR41,ChurnSeasonTable,4,FALSE)),2)*BlendedPricePremAnnual*PU41+QG5*POWER(1-(AnnualChurn*VLOOKUP(PR41,ChurnSeasonTable,4,FALSE)),3)*BlendedPricePremAnnual*PU41+QH29*POWER(1-(AnnualChurn*VLOOKUP(PR41,ChurnSeasonTable,4,FALSE)),1)*BlendedPriceEliteAnnual*PU41+QH17*POWER(1-(AnnualChurn*VLOOKUP(PR41,ChurnSeasonTable,4,FALSE)),2)*BlendedPriceEliteAnnual*PU41+QH5*POWER(1-(AnnualChurn*VLOOKUP(PR41,ChurnSeasonTable,4,FALSE)),3)*BlendedPriceEliteAnnual*PU41</f>
        <v/>
      </c>
      <c r="QU41" s="9">
        <f>QR41+QS41+QT41</f>
        <v/>
      </c>
      <c r="QV41" s="12">
        <f>SUM(QU30:QU41)</f>
        <v/>
      </c>
      <c r="QW41" s="12">
        <f>OR(QW40,IF(VATAgentMode,SUM($QU30:$QU41)-SUM($RB30:$RB41)&gt;=VATThreshold,SUM($QU30:$QU41)&gt;=VATThreshold))</f>
        <v/>
      </c>
      <c r="QX41" s="9">
        <f>IF(QW41,IF(VATAgentMode,QU41-((QU41-RB41)-(QU41-RB41)/(1+VATRate)),QU41/(1+VATRate)),QU41)</f>
        <v/>
      </c>
      <c r="QY41" s="12">
        <f>QU41-QX41</f>
        <v/>
      </c>
      <c r="QZ41" s="12">
        <f>IF(QW41=0,0,IF(PR41=1,SUMPRODUCT(--(($PS$5:$PS41=$PS41-1)*($PR$5:$PR41&gt;=10)*($PR$5:$PR41&lt;=12)),$QY$5:$QY41),IF(PR41=4,SUMPRODUCT(--(($PS$5:$PS41=$PS41)*($PR$5:$PR41&gt;=1)*($PR$5:$PR41&lt;=3)),$QY$5:$QY41),IF(PR41=7,SUMPRODUCT(--(($PS$5:$PS41=$PS41)*($PR$5:$PR41&gt;=4)*($PR$5:$PR41&lt;=6)),$QY$5:$QY41),IF(PR41=10,SUMPRODUCT(--(($PS$5:$PS41=$PS41)*($PR$5:$PR41&gt;=7)*($PR$5:$PR41&lt;=9)),$QY$5:$QY41),0)))))</f>
        <v/>
      </c>
      <c r="RA41" s="12">
        <f>RA40+QY41-QZ41</f>
        <v/>
      </c>
      <c r="RB41" s="12">
        <f>IF(ProviderDelay&gt;=1,QI40*BlendedProvPayEss+QJ40*BlendedProvPayPrem+QK40*BlendedProvPayElite+QL40*BlendedProvPayEss+QM40*BlendedProvPayPrem+QN40*BlendedProvPayElite,QI41*BlendedProvPayEss+QJ41*BlendedProvPayPrem+QK41*BlendedProvPayElite+QL41*BlendedProvPayEss+QM41*BlendedProvPayPrem+QN41*BlendedProvPayElite)</f>
        <v/>
      </c>
      <c r="RC41" s="12">
        <f>QU41*PaymentFee</f>
        <v/>
      </c>
      <c r="RD41" s="12">
        <f>QO41*OpsAI</f>
        <v/>
      </c>
      <c r="RE41" s="12">
        <f>MonthlyFixed</f>
        <v/>
      </c>
      <c r="RF41" s="12">
        <f>PY41*ReferralReward</f>
        <v/>
      </c>
      <c r="RG41" s="12">
        <f>PW41</f>
        <v/>
      </c>
      <c r="RH41" s="9">
        <f>QX41-RB41-RC41-RD41-RE41-RF41-RG41</f>
        <v/>
      </c>
      <c r="RI41" s="9">
        <f>RI40+QU41-(RB41+RC41+RD41+RE41+RF41+RG41+QZ41)</f>
        <v/>
      </c>
      <c r="RJ41" s="12">
        <f>IF(QO41&gt;0,QP41/QO41,0)</f>
        <v/>
      </c>
      <c r="RK41" s="11">
        <f>IF(QO40&gt;0,MAX(0,(QO40+PZ41-QO41)/QO40),0)</f>
        <v/>
      </c>
      <c r="RM41" s="12" t="n">
        <v>37</v>
      </c>
      <c r="RN41" s="12">
        <f>MOD(RM41-1+LaunchMonth-1,12)+1</f>
        <v/>
      </c>
      <c r="RO41" s="12">
        <f>INT((RM41-1+LaunchMonth-1)/12)+1</f>
        <v/>
      </c>
      <c r="RP41" s="12">
        <f>VLOOKUP(RN41,SeasonTable,2,FALSE)</f>
        <v/>
      </c>
      <c r="RQ41" s="12">
        <f>(1+InflationRate)^INT((RM41-1)/12)</f>
        <v/>
      </c>
      <c r="RR41" s="11">
        <f>'Sens - Churn'!$A$20*VLOOKUP(RN41,ChurnSeasonTable,4,FALSE)</f>
        <v/>
      </c>
      <c r="RS41" s="12">
        <f>MIN(MAX(MktMin19plus,SQ40*MktPct19plus),MAX(0,TE40-CashBuffer))</f>
        <v/>
      </c>
      <c r="RT41" s="12">
        <f>IF(RS41&gt;0,MAX(1,ROUND(RS41/CAC*RP41,0)),0)</f>
        <v/>
      </c>
      <c r="RU41" s="12">
        <f>IF(RT41&gt;0,ROUND(RT41*ReferralMix/(1-ReferralMix),0),0)</f>
        <v/>
      </c>
      <c r="RV41" s="12">
        <f>RT41+RU41</f>
        <v/>
      </c>
      <c r="RW41" s="12">
        <f>ROUND(RV41*(1-AnnualMix),0)</f>
        <v/>
      </c>
      <c r="RX41" s="12">
        <f>RV41-RW41</f>
        <v/>
      </c>
      <c r="RY41" s="12">
        <f>ROUND(RW41*EssentialMix,0)</f>
        <v/>
      </c>
      <c r="RZ41" s="12">
        <f>ROUND(RW41*PremiumMix,0)</f>
        <v/>
      </c>
      <c r="SA41" s="12">
        <f>RW41-RY41-RZ41</f>
        <v/>
      </c>
      <c r="SB41" s="12">
        <f>ROUND(RX41*EssentialMix,0)</f>
        <v/>
      </c>
      <c r="SC41" s="12">
        <f>ROUND(RX41*PremiumMix,0)</f>
        <v/>
      </c>
      <c r="SD41" s="12">
        <f>RX41-SB41-SC41</f>
        <v/>
      </c>
      <c r="SE41" s="12">
        <f>RY41+RY40+RY39+MAX(0,SE40-RY40-RY39)*(1-RR41)</f>
        <v/>
      </c>
      <c r="SF41" s="12">
        <f>RZ41+RZ40+RZ39+MAX(0,SF40-RZ40-RZ39)*(1-RR41)</f>
        <v/>
      </c>
      <c r="SG41" s="12">
        <f>SA41+SA40+SA39+MAX(0,SG40-SA40-SA39)*(1-RR41)</f>
        <v/>
      </c>
      <c r="SH41" s="12">
        <f>SH40+SB41-SB29*(AnnualChurn*VLOOKUP(RN41,ChurnSeasonTable,4,FALSE))*POWER(1-(AnnualChurn*VLOOKUP(RN41,ChurnSeasonTable,4,FALSE)),0)+SB17*(AnnualChurn*VLOOKUP(RN41,ChurnSeasonTable,4,FALSE))*POWER(1-(AnnualChurn*VLOOKUP(RN41,ChurnSeasonTable,4,FALSE)),1)+SB5*(AnnualChurn*VLOOKUP(RN41,ChurnSeasonTable,4,FALSE))*POWER(1-(AnnualChurn*VLOOKUP(RN41,ChurnSeasonTable,4,FALSE)),2)</f>
        <v/>
      </c>
      <c r="SI41" s="12">
        <f>SI40+SC41-SC29*(AnnualChurn*VLOOKUP(RN41,ChurnSeasonTable,4,FALSE))*POWER(1-(AnnualChurn*VLOOKUP(RN41,ChurnSeasonTable,4,FALSE)),0)+SC17*(AnnualChurn*VLOOKUP(RN41,ChurnSeasonTable,4,FALSE))*POWER(1-(AnnualChurn*VLOOKUP(RN41,ChurnSeasonTable,4,FALSE)),1)+SC5*(AnnualChurn*VLOOKUP(RN41,ChurnSeasonTable,4,FALSE))*POWER(1-(AnnualChurn*VLOOKUP(RN41,ChurnSeasonTable,4,FALSE)),2)</f>
        <v/>
      </c>
      <c r="SJ41" s="12">
        <f>SJ40+SD41-SD29*(AnnualChurn*VLOOKUP(RN41,ChurnSeasonTable,4,FALSE))*POWER(1-(AnnualChurn*VLOOKUP(RN41,ChurnSeasonTable,4,FALSE)),0)+SD17*(AnnualChurn*VLOOKUP(RN41,ChurnSeasonTable,4,FALSE))*POWER(1-(AnnualChurn*VLOOKUP(RN41,ChurnSeasonTable,4,FALSE)),1)+SD5*(AnnualChurn*VLOOKUP(RN41,ChurnSeasonTable,4,FALSE))*POWER(1-(AnnualChurn*VLOOKUP(RN41,ChurnSeasonTable,4,FALSE)),2)</f>
        <v/>
      </c>
      <c r="SK41" s="12">
        <f>SE41+SF41+SG41+SH41+SI41+SJ41</f>
        <v/>
      </c>
      <c r="SL41" s="9">
        <f>SE41*BlendedPriceEssMonthly*RQ41+SF41*BlendedPricePremMonthly*RQ41+SG41*BlendedPriceEliteMonthly*RQ41+SH41*BlendedPriceEssAnnual*RQ41/12+SI41*BlendedPricePremAnnual*RQ41/12+SJ41*BlendedPriceEliteAnnual*RQ41/12</f>
        <v/>
      </c>
      <c r="SM41" s="9">
        <f>SL41*12</f>
        <v/>
      </c>
      <c r="SN41" s="12">
        <f>SE41*BlendedPriceEssMonthly*RQ41+SF41*BlendedPricePremMonthly*RQ41+SG41*BlendedPriceEliteMonthly*RQ41</f>
        <v/>
      </c>
      <c r="SO41" s="12">
        <f>SB41*BlendedPriceEssAnnual*RQ41+SC41*BlendedPricePremAnnual*RQ41+SD41*BlendedPriceEliteAnnual*RQ41</f>
        <v/>
      </c>
      <c r="SP41" s="12">
        <f>SB29*POWER(1-(AnnualChurn*VLOOKUP(RN41,ChurnSeasonTable,4,FALSE)),1)*BlendedPriceEssAnnual*RQ41+SB17*POWER(1-(AnnualChurn*VLOOKUP(RN41,ChurnSeasonTable,4,FALSE)),2)*BlendedPriceEssAnnual*RQ41+SB5*POWER(1-(AnnualChurn*VLOOKUP(RN41,ChurnSeasonTable,4,FALSE)),3)*BlendedPriceEssAnnual*RQ41+SC29*POWER(1-(AnnualChurn*VLOOKUP(RN41,ChurnSeasonTable,4,FALSE)),1)*BlendedPricePremAnnual*RQ41+SC17*POWER(1-(AnnualChurn*VLOOKUP(RN41,ChurnSeasonTable,4,FALSE)),2)*BlendedPricePremAnnual*RQ41+SC5*POWER(1-(AnnualChurn*VLOOKUP(RN41,ChurnSeasonTable,4,FALSE)),3)*BlendedPricePremAnnual*RQ41+SD29*POWER(1-(AnnualChurn*VLOOKUP(RN41,ChurnSeasonTable,4,FALSE)),1)*BlendedPriceEliteAnnual*RQ41+SD17*POWER(1-(AnnualChurn*VLOOKUP(RN41,ChurnSeasonTable,4,FALSE)),2)*BlendedPriceEliteAnnual*RQ41+SD5*POWER(1-(AnnualChurn*VLOOKUP(RN41,ChurnSeasonTable,4,FALSE)),3)*BlendedPriceEliteAnnual*RQ41</f>
        <v/>
      </c>
      <c r="SQ41" s="9">
        <f>SN41+SO41+SP41</f>
        <v/>
      </c>
      <c r="SR41" s="12">
        <f>SUM(SQ30:SQ41)</f>
        <v/>
      </c>
      <c r="SS41" s="12">
        <f>OR(SS40,IF(VATAgentMode,SUM($SQ30:$SQ41)-SUM($SX30:$SX41)&gt;=VATThreshold,SUM($SQ30:$SQ41)&gt;=VATThreshold))</f>
        <v/>
      </c>
      <c r="ST41" s="9">
        <f>IF(SS41,IF(VATAgentMode,SQ41-((SQ41-SX41)-(SQ41-SX41)/(1+VATRate)),SQ41/(1+VATRate)),SQ41)</f>
        <v/>
      </c>
      <c r="SU41" s="12">
        <f>SQ41-ST41</f>
        <v/>
      </c>
      <c r="SV41" s="12">
        <f>IF(SS41=0,0,IF(RN41=1,SUMPRODUCT(--(($RO$5:$RO41=$RO41-1)*($RN$5:$RN41&gt;=10)*($RN$5:$RN41&lt;=12)),$SU$5:$SU41),IF(RN41=4,SUMPRODUCT(--(($RO$5:$RO41=$RO41)*($RN$5:$RN41&gt;=1)*($RN$5:$RN41&lt;=3)),$SU$5:$SU41),IF(RN41=7,SUMPRODUCT(--(($RO$5:$RO41=$RO41)*($RN$5:$RN41&gt;=4)*($RN$5:$RN41&lt;=6)),$SU$5:$SU41),IF(RN41=10,SUMPRODUCT(--(($RO$5:$RO41=$RO41)*($RN$5:$RN41&gt;=7)*($RN$5:$RN41&lt;=9)),$SU$5:$SU41),0)))))</f>
        <v/>
      </c>
      <c r="SW41" s="12">
        <f>SW40+SU41-SV41</f>
        <v/>
      </c>
      <c r="SX41" s="12">
        <f>IF(ProviderDelay&gt;=1,SE40*BlendedProvPayEss+SF40*BlendedProvPayPrem+SG40*BlendedProvPayElite+SH40*BlendedProvPayEss+SI40*BlendedProvPayPrem+SJ40*BlendedProvPayElite,SE41*BlendedProvPayEss+SF41*BlendedProvPayPrem+SG41*BlendedProvPayElite+SH41*BlendedProvPayEss+SI41*BlendedProvPayPrem+SJ41*BlendedProvPayElite)</f>
        <v/>
      </c>
      <c r="SY41" s="12">
        <f>SQ41*PaymentFee</f>
        <v/>
      </c>
      <c r="SZ41" s="12">
        <f>SK41*OpsAI</f>
        <v/>
      </c>
      <c r="TA41" s="12">
        <f>MonthlyFixed</f>
        <v/>
      </c>
      <c r="TB41" s="12">
        <f>RU41*ReferralReward</f>
        <v/>
      </c>
      <c r="TC41" s="12">
        <f>RS41</f>
        <v/>
      </c>
      <c r="TD41" s="9">
        <f>ST41-SX41-SY41-SZ41-TA41-TB41-TC41</f>
        <v/>
      </c>
      <c r="TE41" s="9">
        <f>TE40+SQ41-(SX41+SY41+SZ41+TA41+TB41+TC41+SV41)</f>
        <v/>
      </c>
      <c r="TF41" s="12">
        <f>IF(SK41&gt;0,SL41/SK41,0)</f>
        <v/>
      </c>
      <c r="TG41" s="11">
        <f>IF(SK40&gt;0,MAX(0,(SK40+RV41-SK41)/SK40),0)</f>
        <v/>
      </c>
      <c r="TI41" s="12" t="n">
        <v>37</v>
      </c>
      <c r="TJ41" s="12">
        <f>MOD(TI41-1+LaunchMonth-1,12)+1</f>
        <v/>
      </c>
      <c r="TK41" s="12">
        <f>INT((TI41-1+LaunchMonth-1)/12)+1</f>
        <v/>
      </c>
      <c r="TL41" s="12">
        <f>VLOOKUP(TJ41,SeasonTable,2,FALSE)</f>
        <v/>
      </c>
      <c r="TM41" s="12">
        <f>(1+InflationRate)^INT((TI41-1)/12)</f>
        <v/>
      </c>
      <c r="TN41" s="11">
        <f>'Sens - Churn'!$A$21*VLOOKUP(TJ41,ChurnSeasonTable,4,FALSE)</f>
        <v/>
      </c>
      <c r="TO41" s="12">
        <f>MIN(MAX(MktMin19plus,UM40*MktPct19plus),MAX(0,VA40-CashBuffer))</f>
        <v/>
      </c>
      <c r="TP41" s="12">
        <f>IF(TO41&gt;0,MAX(1,ROUND(TO41/CAC*TL41,0)),0)</f>
        <v/>
      </c>
      <c r="TQ41" s="12">
        <f>IF(TP41&gt;0,ROUND(TP41*ReferralMix/(1-ReferralMix),0),0)</f>
        <v/>
      </c>
      <c r="TR41" s="12">
        <f>TP41+TQ41</f>
        <v/>
      </c>
      <c r="TS41" s="12">
        <f>ROUND(TR41*(1-AnnualMix),0)</f>
        <v/>
      </c>
      <c r="TT41" s="12">
        <f>TR41-TS41</f>
        <v/>
      </c>
      <c r="TU41" s="12">
        <f>ROUND(TS41*EssentialMix,0)</f>
        <v/>
      </c>
      <c r="TV41" s="12">
        <f>ROUND(TS41*PremiumMix,0)</f>
        <v/>
      </c>
      <c r="TW41" s="12">
        <f>TS41-TU41-TV41</f>
        <v/>
      </c>
      <c r="TX41" s="12">
        <f>ROUND(TT41*EssentialMix,0)</f>
        <v/>
      </c>
      <c r="TY41" s="12">
        <f>ROUND(TT41*PremiumMix,0)</f>
        <v/>
      </c>
      <c r="TZ41" s="12">
        <f>TT41-TX41-TY41</f>
        <v/>
      </c>
      <c r="UA41" s="12">
        <f>TU41+TU40+TU39+MAX(0,UA40-TU40-TU39)*(1-TN41)</f>
        <v/>
      </c>
      <c r="UB41" s="12">
        <f>TV41+TV40+TV39+MAX(0,UB40-TV40-TV39)*(1-TN41)</f>
        <v/>
      </c>
      <c r="UC41" s="12">
        <f>TW41+TW40+TW39+MAX(0,UC40-TW40-TW39)*(1-TN41)</f>
        <v/>
      </c>
      <c r="UD41" s="12">
        <f>UD40+TX41-TX29*(AnnualChurn*VLOOKUP(TJ41,ChurnSeasonTable,4,FALSE))*POWER(1-(AnnualChurn*VLOOKUP(TJ41,ChurnSeasonTable,4,FALSE)),0)+TX17*(AnnualChurn*VLOOKUP(TJ41,ChurnSeasonTable,4,FALSE))*POWER(1-(AnnualChurn*VLOOKUP(TJ41,ChurnSeasonTable,4,FALSE)),1)+TX5*(AnnualChurn*VLOOKUP(TJ41,ChurnSeasonTable,4,FALSE))*POWER(1-(AnnualChurn*VLOOKUP(TJ41,ChurnSeasonTable,4,FALSE)),2)</f>
        <v/>
      </c>
      <c r="UE41" s="12">
        <f>UE40+TY41-TY29*(AnnualChurn*VLOOKUP(TJ41,ChurnSeasonTable,4,FALSE))*POWER(1-(AnnualChurn*VLOOKUP(TJ41,ChurnSeasonTable,4,FALSE)),0)+TY17*(AnnualChurn*VLOOKUP(TJ41,ChurnSeasonTable,4,FALSE))*POWER(1-(AnnualChurn*VLOOKUP(TJ41,ChurnSeasonTable,4,FALSE)),1)+TY5*(AnnualChurn*VLOOKUP(TJ41,ChurnSeasonTable,4,FALSE))*POWER(1-(AnnualChurn*VLOOKUP(TJ41,ChurnSeasonTable,4,FALSE)),2)</f>
        <v/>
      </c>
      <c r="UF41" s="12">
        <f>UF40+TZ41-TZ29*(AnnualChurn*VLOOKUP(TJ41,ChurnSeasonTable,4,FALSE))*POWER(1-(AnnualChurn*VLOOKUP(TJ41,ChurnSeasonTable,4,FALSE)),0)+TZ17*(AnnualChurn*VLOOKUP(TJ41,ChurnSeasonTable,4,FALSE))*POWER(1-(AnnualChurn*VLOOKUP(TJ41,ChurnSeasonTable,4,FALSE)),1)+TZ5*(AnnualChurn*VLOOKUP(TJ41,ChurnSeasonTable,4,FALSE))*POWER(1-(AnnualChurn*VLOOKUP(TJ41,ChurnSeasonTable,4,FALSE)),2)</f>
        <v/>
      </c>
      <c r="UG41" s="12">
        <f>UA41+UB41+UC41+UD41+UE41+UF41</f>
        <v/>
      </c>
      <c r="UH41" s="9">
        <f>UA41*BlendedPriceEssMonthly*TM41+UB41*BlendedPricePremMonthly*TM41+UC41*BlendedPriceEliteMonthly*TM41+UD41*BlendedPriceEssAnnual*TM41/12+UE41*BlendedPricePremAnnual*TM41/12+UF41*BlendedPriceEliteAnnual*TM41/12</f>
        <v/>
      </c>
      <c r="UI41" s="9">
        <f>UH41*12</f>
        <v/>
      </c>
      <c r="UJ41" s="12">
        <f>UA41*BlendedPriceEssMonthly*TM41+UB41*BlendedPricePremMonthly*TM41+UC41*BlendedPriceEliteMonthly*TM41</f>
        <v/>
      </c>
      <c r="UK41" s="12">
        <f>TX41*BlendedPriceEssAnnual*TM41+TY41*BlendedPricePremAnnual*TM41+TZ41*BlendedPriceEliteAnnual*TM41</f>
        <v/>
      </c>
      <c r="UL41" s="12">
        <f>TX29*POWER(1-(AnnualChurn*VLOOKUP(TJ41,ChurnSeasonTable,4,FALSE)),1)*BlendedPriceEssAnnual*TM41+TX17*POWER(1-(AnnualChurn*VLOOKUP(TJ41,ChurnSeasonTable,4,FALSE)),2)*BlendedPriceEssAnnual*TM41+TX5*POWER(1-(AnnualChurn*VLOOKUP(TJ41,ChurnSeasonTable,4,FALSE)),3)*BlendedPriceEssAnnual*TM41+TY29*POWER(1-(AnnualChurn*VLOOKUP(TJ41,ChurnSeasonTable,4,FALSE)),1)*BlendedPricePremAnnual*TM41+TY17*POWER(1-(AnnualChurn*VLOOKUP(TJ41,ChurnSeasonTable,4,FALSE)),2)*BlendedPricePremAnnual*TM41+TY5*POWER(1-(AnnualChurn*VLOOKUP(TJ41,ChurnSeasonTable,4,FALSE)),3)*BlendedPricePremAnnual*TM41+TZ29*POWER(1-(AnnualChurn*VLOOKUP(TJ41,ChurnSeasonTable,4,FALSE)),1)*BlendedPriceEliteAnnual*TM41+TZ17*POWER(1-(AnnualChurn*VLOOKUP(TJ41,ChurnSeasonTable,4,FALSE)),2)*BlendedPriceEliteAnnual*TM41+TZ5*POWER(1-(AnnualChurn*VLOOKUP(TJ41,ChurnSeasonTable,4,FALSE)),3)*BlendedPriceEliteAnnual*TM41</f>
        <v/>
      </c>
      <c r="UM41" s="9">
        <f>UJ41+UK41+UL41</f>
        <v/>
      </c>
      <c r="UN41" s="12">
        <f>SUM(UM30:UM41)</f>
        <v/>
      </c>
      <c r="UO41" s="12">
        <f>OR(UO40,IF(VATAgentMode,SUM($UM30:$UM41)-SUM($UT30:$UT41)&gt;=VATThreshold,SUM($UM30:$UM41)&gt;=VATThreshold))</f>
        <v/>
      </c>
      <c r="UP41" s="9">
        <f>IF(UO41,IF(VATAgentMode,UM41-((UM41-UT41)-(UM41-UT41)/(1+VATRate)),UM41/(1+VATRate)),UM41)</f>
        <v/>
      </c>
      <c r="UQ41" s="12">
        <f>UM41-UP41</f>
        <v/>
      </c>
      <c r="UR41" s="12">
        <f>IF(UO41=0,0,IF(TJ41=1,SUMPRODUCT(--(($TK$5:$TK41=$TK41-1)*($TJ$5:$TJ41&gt;=10)*($TJ$5:$TJ41&lt;=12)),$UQ$5:$UQ41),IF(TJ41=4,SUMPRODUCT(--(($TK$5:$TK41=$TK41)*($TJ$5:$TJ41&gt;=1)*($TJ$5:$TJ41&lt;=3)),$UQ$5:$UQ41),IF(TJ41=7,SUMPRODUCT(--(($TK$5:$TK41=$TK41)*($TJ$5:$TJ41&gt;=4)*($TJ$5:$TJ41&lt;=6)),$UQ$5:$UQ41),IF(TJ41=10,SUMPRODUCT(--(($TK$5:$TK41=$TK41)*($TJ$5:$TJ41&gt;=7)*($TJ$5:$TJ41&lt;=9)),$UQ$5:$UQ41),0)))))</f>
        <v/>
      </c>
      <c r="US41" s="12">
        <f>US40+UQ41-UR41</f>
        <v/>
      </c>
      <c r="UT41" s="12">
        <f>IF(ProviderDelay&gt;=1,UA40*BlendedProvPayEss+UB40*BlendedProvPayPrem+UC40*BlendedProvPayElite+UD40*BlendedProvPayEss+UE40*BlendedProvPayPrem+UF40*BlendedProvPayElite,UA41*BlendedProvPayEss+UB41*BlendedProvPayPrem+UC41*BlendedProvPayElite+UD41*BlendedProvPayEss+UE41*BlendedProvPayPrem+UF41*BlendedProvPayElite)</f>
        <v/>
      </c>
      <c r="UU41" s="12">
        <f>UM41*PaymentFee</f>
        <v/>
      </c>
      <c r="UV41" s="12">
        <f>UG41*OpsAI</f>
        <v/>
      </c>
      <c r="UW41" s="12">
        <f>MonthlyFixed</f>
        <v/>
      </c>
      <c r="UX41" s="12">
        <f>TQ41*ReferralReward</f>
        <v/>
      </c>
      <c r="UY41" s="12">
        <f>TO41</f>
        <v/>
      </c>
      <c r="UZ41" s="9">
        <f>UP41-UT41-UU41-UV41-UW41-UX41-UY41</f>
        <v/>
      </c>
      <c r="VA41" s="9">
        <f>VA40+UM41-(UT41+UU41+UV41+UW41+UX41+UY41+UR41)</f>
        <v/>
      </c>
      <c r="VB41" s="12">
        <f>IF(UG41&gt;0,UH41/UG41,0)</f>
        <v/>
      </c>
      <c r="VC41" s="11">
        <f>IF(UG40&gt;0,MAX(0,(UG40+TR41-UG41)/UG40),0)</f>
        <v/>
      </c>
      <c r="VE41" s="12" t="n">
        <v>37</v>
      </c>
      <c r="VF41" s="12">
        <f>MOD(VE41-1+LaunchMonth-1,12)+1</f>
        <v/>
      </c>
      <c r="VG41" s="12">
        <f>INT((VE41-1+LaunchMonth-1)/12)+1</f>
        <v/>
      </c>
      <c r="VH41" s="12">
        <f>VLOOKUP(VF41,SeasonTable,2,FALSE)</f>
        <v/>
      </c>
      <c r="VI41" s="12">
        <f>(1+InflationRate)^INT((VE41-1)/12)</f>
        <v/>
      </c>
      <c r="VJ41" s="11">
        <f>MonthlyChurn*VLOOKUP(VF41,ChurnSeasonTable,4,FALSE)</f>
        <v/>
      </c>
      <c r="VK41" s="12">
        <f>MIN(MAX(MktMin19plus,WI40*MktPct19plus),MAX(0,WW40-CashBuffer))</f>
        <v/>
      </c>
      <c r="VL41" s="12">
        <f>IF(VK41&gt;0,MAX(1,ROUND(VK41/CAC*VH41,0)),0)</f>
        <v/>
      </c>
      <c r="VM41" s="12">
        <f>IF(VL41&gt;0,ROUND(VL41*ReferralMix/(1-ReferralMix),0),0)</f>
        <v/>
      </c>
      <c r="VN41" s="12">
        <f>VL41+VM41</f>
        <v/>
      </c>
      <c r="VO41" s="12">
        <f>ROUND(VN41*(1-'Sens - Annual Mix'!$A$9),0)</f>
        <v/>
      </c>
      <c r="VP41" s="12">
        <f>VN41-VO41</f>
        <v/>
      </c>
      <c r="VQ41" s="12">
        <f>ROUND(VO41*EssentialMix,0)</f>
        <v/>
      </c>
      <c r="VR41" s="12">
        <f>ROUND(VO41*PremiumMix,0)</f>
        <v/>
      </c>
      <c r="VS41" s="12">
        <f>VO41-VQ41-VR41</f>
        <v/>
      </c>
      <c r="VT41" s="12">
        <f>ROUND(VP41*EssentialMix,0)</f>
        <v/>
      </c>
      <c r="VU41" s="12">
        <f>ROUND(VP41*PremiumMix,0)</f>
        <v/>
      </c>
      <c r="VV41" s="12">
        <f>VP41-VT41-VU41</f>
        <v/>
      </c>
      <c r="VW41" s="12">
        <f>VQ41+VQ40+VQ39+MAX(0,VW40-VQ40-VQ39)*(1-VJ41)</f>
        <v/>
      </c>
      <c r="VX41" s="12">
        <f>VR41+VR40+VR39+MAX(0,VX40-VR40-VR39)*(1-VJ41)</f>
        <v/>
      </c>
      <c r="VY41" s="12">
        <f>VS41+VS40+VS39+MAX(0,VY40-VS40-VS39)*(1-VJ41)</f>
        <v/>
      </c>
      <c r="VZ41" s="12">
        <f>VZ40+VT41-VT29*(AnnualChurn*VLOOKUP(VF41,ChurnSeasonTable,4,FALSE))*POWER(1-(AnnualChurn*VLOOKUP(VF41,ChurnSeasonTable,4,FALSE)),0)+VT17*(AnnualChurn*VLOOKUP(VF41,ChurnSeasonTable,4,FALSE))*POWER(1-(AnnualChurn*VLOOKUP(VF41,ChurnSeasonTable,4,FALSE)),1)+VT5*(AnnualChurn*VLOOKUP(VF41,ChurnSeasonTable,4,FALSE))*POWER(1-(AnnualChurn*VLOOKUP(VF41,ChurnSeasonTable,4,FALSE)),2)</f>
        <v/>
      </c>
      <c r="WA41" s="12">
        <f>WA40+VU41-VU29*(AnnualChurn*VLOOKUP(VF41,ChurnSeasonTable,4,FALSE))*POWER(1-(AnnualChurn*VLOOKUP(VF41,ChurnSeasonTable,4,FALSE)),0)+VU17*(AnnualChurn*VLOOKUP(VF41,ChurnSeasonTable,4,FALSE))*POWER(1-(AnnualChurn*VLOOKUP(VF41,ChurnSeasonTable,4,FALSE)),1)+VU5*(AnnualChurn*VLOOKUP(VF41,ChurnSeasonTable,4,FALSE))*POWER(1-(AnnualChurn*VLOOKUP(VF41,ChurnSeasonTable,4,FALSE)),2)</f>
        <v/>
      </c>
      <c r="WB41" s="12">
        <f>WB40+VV41-VV29*(AnnualChurn*VLOOKUP(VF41,ChurnSeasonTable,4,FALSE))*POWER(1-(AnnualChurn*VLOOKUP(VF41,ChurnSeasonTable,4,FALSE)),0)+VV17*(AnnualChurn*VLOOKUP(VF41,ChurnSeasonTable,4,FALSE))*POWER(1-(AnnualChurn*VLOOKUP(VF41,ChurnSeasonTable,4,FALSE)),1)+VV5*(AnnualChurn*VLOOKUP(VF41,ChurnSeasonTable,4,FALSE))*POWER(1-(AnnualChurn*VLOOKUP(VF41,ChurnSeasonTable,4,FALSE)),2)</f>
        <v/>
      </c>
      <c r="WC41" s="12">
        <f>VW41+VX41+VY41+VZ41+WA41+WB41</f>
        <v/>
      </c>
      <c r="WD41" s="9">
        <f>VW41*BlendedPriceEssMonthly*VI41+VX41*BlendedPricePremMonthly*VI41+VY41*BlendedPriceEliteMonthly*VI41+VZ41*BlendedPriceEssAnnual*VI41/12+WA41*BlendedPricePremAnnual*VI41/12+WB41*BlendedPriceEliteAnnual*VI41/12</f>
        <v/>
      </c>
      <c r="WE41" s="9">
        <f>WD41*12</f>
        <v/>
      </c>
      <c r="WF41" s="12">
        <f>VW41*BlendedPriceEssMonthly*VI41+VX41*BlendedPricePremMonthly*VI41+VY41*BlendedPriceEliteMonthly*VI41</f>
        <v/>
      </c>
      <c r="WG41" s="12">
        <f>VT41*BlendedPriceEssAnnual*VI41+VU41*BlendedPricePremAnnual*VI41+VV41*BlendedPriceEliteAnnual*VI41</f>
        <v/>
      </c>
      <c r="WH41" s="12">
        <f>VT29*POWER(1-(AnnualChurn*VLOOKUP(VF41,ChurnSeasonTable,4,FALSE)),1)*BlendedPriceEssAnnual*VI41+VT17*POWER(1-(AnnualChurn*VLOOKUP(VF41,ChurnSeasonTable,4,FALSE)),2)*BlendedPriceEssAnnual*VI41+VT5*POWER(1-(AnnualChurn*VLOOKUP(VF41,ChurnSeasonTable,4,FALSE)),3)*BlendedPriceEssAnnual*VI41+VU29*POWER(1-(AnnualChurn*VLOOKUP(VF41,ChurnSeasonTable,4,FALSE)),1)*BlendedPricePremAnnual*VI41+VU17*POWER(1-(AnnualChurn*VLOOKUP(VF41,ChurnSeasonTable,4,FALSE)),2)*BlendedPricePremAnnual*VI41+VU5*POWER(1-(AnnualChurn*VLOOKUP(VF41,ChurnSeasonTable,4,FALSE)),3)*BlendedPricePremAnnual*VI41+VV29*POWER(1-(AnnualChurn*VLOOKUP(VF41,ChurnSeasonTable,4,FALSE)),1)*BlendedPriceEliteAnnual*VI41+VV17*POWER(1-(AnnualChurn*VLOOKUP(VF41,ChurnSeasonTable,4,FALSE)),2)*BlendedPriceEliteAnnual*VI41+VV5*POWER(1-(AnnualChurn*VLOOKUP(VF41,ChurnSeasonTable,4,FALSE)),3)*BlendedPriceEliteAnnual*VI41</f>
        <v/>
      </c>
      <c r="WI41" s="9">
        <f>WF41+WG41+WH41</f>
        <v/>
      </c>
      <c r="WJ41" s="12">
        <f>SUM(WI30:WI41)</f>
        <v/>
      </c>
      <c r="WK41" s="12">
        <f>OR(WK40,IF(VATAgentMode,SUM($WI30:$WI41)-SUM($WP30:$WP41)&gt;=VATThreshold,SUM($WI30:$WI41)&gt;=VATThreshold))</f>
        <v/>
      </c>
      <c r="WL41" s="9">
        <f>IF(WK41,IF(VATAgentMode,WI41-((WI41-WP41)-(WI41-WP41)/(1+VATRate)),WI41/(1+VATRate)),WI41)</f>
        <v/>
      </c>
      <c r="WM41" s="12">
        <f>WI41-WL41</f>
        <v/>
      </c>
      <c r="WN41" s="12">
        <f>IF(WK41=0,0,IF(VF41=1,SUMPRODUCT(--(($VG$5:$VG41=$VG41-1)*($VF$5:$VF41&gt;=10)*($VF$5:$VF41&lt;=12)),$WM$5:$WM41),IF(VF41=4,SUMPRODUCT(--(($VG$5:$VG41=$VG41)*($VF$5:$VF41&gt;=1)*($VF$5:$VF41&lt;=3)),$WM$5:$WM41),IF(VF41=7,SUMPRODUCT(--(($VG$5:$VG41=$VG41)*($VF$5:$VF41&gt;=4)*($VF$5:$VF41&lt;=6)),$WM$5:$WM41),IF(VF41=10,SUMPRODUCT(--(($VG$5:$VG41=$VG41)*($VF$5:$VF41&gt;=7)*($VF$5:$VF41&lt;=9)),$WM$5:$WM41),0)))))</f>
        <v/>
      </c>
      <c r="WO41" s="12">
        <f>WO40+WM41-WN41</f>
        <v/>
      </c>
      <c r="WP41" s="12">
        <f>IF(ProviderDelay&gt;=1,VW40*BlendedProvPayEss+VX40*BlendedProvPayPrem+VY40*BlendedProvPayElite+VZ40*BlendedProvPayEss+WA40*BlendedProvPayPrem+WB40*BlendedProvPayElite,VW41*BlendedProvPayEss+VX41*BlendedProvPayPrem+VY41*BlendedProvPayElite+VZ41*BlendedProvPayEss+WA41*BlendedProvPayPrem+WB41*BlendedProvPayElite)</f>
        <v/>
      </c>
      <c r="WQ41" s="12">
        <f>WI41*PaymentFee</f>
        <v/>
      </c>
      <c r="WR41" s="12">
        <f>WC41*OpsAI</f>
        <v/>
      </c>
      <c r="WS41" s="12">
        <f>MonthlyFixed</f>
        <v/>
      </c>
      <c r="WT41" s="12">
        <f>VM41*ReferralReward</f>
        <v/>
      </c>
      <c r="WU41" s="12">
        <f>VK41</f>
        <v/>
      </c>
      <c r="WV41" s="9">
        <f>WL41-WP41-WQ41-WR41-WS41-WT41-WU41</f>
        <v/>
      </c>
      <c r="WW41" s="9">
        <f>WW40+WI41-(WP41+WQ41+WR41+WS41+WT41+WU41+WN41)</f>
        <v/>
      </c>
      <c r="WX41" s="12">
        <f>IF(WC41&gt;0,WD41/WC41,0)</f>
        <v/>
      </c>
      <c r="WY41" s="11">
        <f>IF(WC40&gt;0,MAX(0,(WC40+VN41-WC41)/WC40),0)</f>
        <v/>
      </c>
      <c r="XA41" s="12" t="n">
        <v>37</v>
      </c>
      <c r="XB41" s="12">
        <f>MOD(XA41-1+LaunchMonth-1,12)+1</f>
        <v/>
      </c>
      <c r="XC41" s="12">
        <f>INT((XA41-1+LaunchMonth-1)/12)+1</f>
        <v/>
      </c>
      <c r="XD41" s="12">
        <f>VLOOKUP(XB41,SeasonTable,2,FALSE)</f>
        <v/>
      </c>
      <c r="XE41" s="12">
        <f>(1+InflationRate)^INT((XA41-1)/12)</f>
        <v/>
      </c>
      <c r="XF41" s="11">
        <f>MonthlyChurn*VLOOKUP(XB41,ChurnSeasonTable,4,FALSE)</f>
        <v/>
      </c>
      <c r="XG41" s="12">
        <f>MIN(MAX(MktMin19plus,YE40*MktPct19plus),MAX(0,YS40-CashBuffer))</f>
        <v/>
      </c>
      <c r="XH41" s="12">
        <f>IF(XG41&gt;0,MAX(1,ROUND(XG41/CAC*XD41,0)),0)</f>
        <v/>
      </c>
      <c r="XI41" s="12">
        <f>IF(XH41&gt;0,ROUND(XH41*ReferralMix/(1-ReferralMix),0),0)</f>
        <v/>
      </c>
      <c r="XJ41" s="12">
        <f>XH41+XI41</f>
        <v/>
      </c>
      <c r="XK41" s="12">
        <f>ROUND(XJ41*(1-'Sens - Annual Mix'!$A$10),0)</f>
        <v/>
      </c>
      <c r="XL41" s="12">
        <f>XJ41-XK41</f>
        <v/>
      </c>
      <c r="XM41" s="12">
        <f>ROUND(XK41*EssentialMix,0)</f>
        <v/>
      </c>
      <c r="XN41" s="12">
        <f>ROUND(XK41*PremiumMix,0)</f>
        <v/>
      </c>
      <c r="XO41" s="12">
        <f>XK41-XM41-XN41</f>
        <v/>
      </c>
      <c r="XP41" s="12">
        <f>ROUND(XL41*EssentialMix,0)</f>
        <v/>
      </c>
      <c r="XQ41" s="12">
        <f>ROUND(XL41*PremiumMix,0)</f>
        <v/>
      </c>
      <c r="XR41" s="12">
        <f>XL41-XP41-XQ41</f>
        <v/>
      </c>
      <c r="XS41" s="12">
        <f>XM41+XM40+XM39+MAX(0,XS40-XM40-XM39)*(1-XF41)</f>
        <v/>
      </c>
      <c r="XT41" s="12">
        <f>XN41+XN40+XN39+MAX(0,XT40-XN40-XN39)*(1-XF41)</f>
        <v/>
      </c>
      <c r="XU41" s="12">
        <f>XO41+XO40+XO39+MAX(0,XU40-XO40-XO39)*(1-XF41)</f>
        <v/>
      </c>
      <c r="XV41" s="12">
        <f>XV40+XP41-XP29*(AnnualChurn*VLOOKUP(XB41,ChurnSeasonTable,4,FALSE))*POWER(1-(AnnualChurn*VLOOKUP(XB41,ChurnSeasonTable,4,FALSE)),0)+XP17*(AnnualChurn*VLOOKUP(XB41,ChurnSeasonTable,4,FALSE))*POWER(1-(AnnualChurn*VLOOKUP(XB41,ChurnSeasonTable,4,FALSE)),1)+XP5*(AnnualChurn*VLOOKUP(XB41,ChurnSeasonTable,4,FALSE))*POWER(1-(AnnualChurn*VLOOKUP(XB41,ChurnSeasonTable,4,FALSE)),2)</f>
        <v/>
      </c>
      <c r="XW41" s="12">
        <f>XW40+XQ41-XQ29*(AnnualChurn*VLOOKUP(XB41,ChurnSeasonTable,4,FALSE))*POWER(1-(AnnualChurn*VLOOKUP(XB41,ChurnSeasonTable,4,FALSE)),0)+XQ17*(AnnualChurn*VLOOKUP(XB41,ChurnSeasonTable,4,FALSE))*POWER(1-(AnnualChurn*VLOOKUP(XB41,ChurnSeasonTable,4,FALSE)),1)+XQ5*(AnnualChurn*VLOOKUP(XB41,ChurnSeasonTable,4,FALSE))*POWER(1-(AnnualChurn*VLOOKUP(XB41,ChurnSeasonTable,4,FALSE)),2)</f>
        <v/>
      </c>
      <c r="XX41" s="12">
        <f>XX40+XR41-XR29*(AnnualChurn*VLOOKUP(XB41,ChurnSeasonTable,4,FALSE))*POWER(1-(AnnualChurn*VLOOKUP(XB41,ChurnSeasonTable,4,FALSE)),0)+XR17*(AnnualChurn*VLOOKUP(XB41,ChurnSeasonTable,4,FALSE))*POWER(1-(AnnualChurn*VLOOKUP(XB41,ChurnSeasonTable,4,FALSE)),1)+XR5*(AnnualChurn*VLOOKUP(XB41,ChurnSeasonTable,4,FALSE))*POWER(1-(AnnualChurn*VLOOKUP(XB41,ChurnSeasonTable,4,FALSE)),2)</f>
        <v/>
      </c>
      <c r="XY41" s="12">
        <f>XS41+XT41+XU41+XV41+XW41+XX41</f>
        <v/>
      </c>
      <c r="XZ41" s="9">
        <f>XS41*BlendedPriceEssMonthly*XE41+XT41*BlendedPricePremMonthly*XE41+XU41*BlendedPriceEliteMonthly*XE41+XV41*BlendedPriceEssAnnual*XE41/12+XW41*BlendedPricePremAnnual*XE41/12+XX41*BlendedPriceEliteAnnual*XE41/12</f>
        <v/>
      </c>
      <c r="YA41" s="9">
        <f>XZ41*12</f>
        <v/>
      </c>
      <c r="YB41" s="12">
        <f>XS41*BlendedPriceEssMonthly*XE41+XT41*BlendedPricePremMonthly*XE41+XU41*BlendedPriceEliteMonthly*XE41</f>
        <v/>
      </c>
      <c r="YC41" s="12">
        <f>XP41*BlendedPriceEssAnnual*XE41+XQ41*BlendedPricePremAnnual*XE41+XR41*BlendedPriceEliteAnnual*XE41</f>
        <v/>
      </c>
      <c r="YD41" s="12">
        <f>XP29*POWER(1-(AnnualChurn*VLOOKUP(XB41,ChurnSeasonTable,4,FALSE)),1)*BlendedPriceEssAnnual*XE41+XP17*POWER(1-(AnnualChurn*VLOOKUP(XB41,ChurnSeasonTable,4,FALSE)),2)*BlendedPriceEssAnnual*XE41+XP5*POWER(1-(AnnualChurn*VLOOKUP(XB41,ChurnSeasonTable,4,FALSE)),3)*BlendedPriceEssAnnual*XE41+XQ29*POWER(1-(AnnualChurn*VLOOKUP(XB41,ChurnSeasonTable,4,FALSE)),1)*BlendedPricePremAnnual*XE41+XQ17*POWER(1-(AnnualChurn*VLOOKUP(XB41,ChurnSeasonTable,4,FALSE)),2)*BlendedPricePremAnnual*XE41+XQ5*POWER(1-(AnnualChurn*VLOOKUP(XB41,ChurnSeasonTable,4,FALSE)),3)*BlendedPricePremAnnual*XE41+XR29*POWER(1-(AnnualChurn*VLOOKUP(XB41,ChurnSeasonTable,4,FALSE)),1)*BlendedPriceEliteAnnual*XE41+XR17*POWER(1-(AnnualChurn*VLOOKUP(XB41,ChurnSeasonTable,4,FALSE)),2)*BlendedPriceEliteAnnual*XE41+XR5*POWER(1-(AnnualChurn*VLOOKUP(XB41,ChurnSeasonTable,4,FALSE)),3)*BlendedPriceEliteAnnual*XE41</f>
        <v/>
      </c>
      <c r="YE41" s="9">
        <f>YB41+YC41+YD41</f>
        <v/>
      </c>
      <c r="YF41" s="12">
        <f>SUM(YE30:YE41)</f>
        <v/>
      </c>
      <c r="YG41" s="12">
        <f>OR(YG40,IF(VATAgentMode,SUM($YE30:$YE41)-SUM($YL30:$YL41)&gt;=VATThreshold,SUM($YE30:$YE41)&gt;=VATThreshold))</f>
        <v/>
      </c>
      <c r="YH41" s="9">
        <f>IF(YG41,IF(VATAgentMode,YE41-((YE41-YL41)-(YE41-YL41)/(1+VATRate)),YE41/(1+VATRate)),YE41)</f>
        <v/>
      </c>
      <c r="YI41" s="12">
        <f>YE41-YH41</f>
        <v/>
      </c>
      <c r="YJ41" s="12">
        <f>IF(YG41=0,0,IF(XB41=1,SUMPRODUCT(--(($XC$5:$XC41=$XC41-1)*($XB$5:$XB41&gt;=10)*($XB$5:$XB41&lt;=12)),$YI$5:$YI41),IF(XB41=4,SUMPRODUCT(--(($XC$5:$XC41=$XC41)*($XB$5:$XB41&gt;=1)*($XB$5:$XB41&lt;=3)),$YI$5:$YI41),IF(XB41=7,SUMPRODUCT(--(($XC$5:$XC41=$XC41)*($XB$5:$XB41&gt;=4)*($XB$5:$XB41&lt;=6)),$YI$5:$YI41),IF(XB41=10,SUMPRODUCT(--(($XC$5:$XC41=$XC41)*($XB$5:$XB41&gt;=7)*($XB$5:$XB41&lt;=9)),$YI$5:$YI41),0)))))</f>
        <v/>
      </c>
      <c r="YK41" s="12">
        <f>YK40+YI41-YJ41</f>
        <v/>
      </c>
      <c r="YL41" s="12">
        <f>IF(ProviderDelay&gt;=1,XS40*BlendedProvPayEss+XT40*BlendedProvPayPrem+XU40*BlendedProvPayElite+XV40*BlendedProvPayEss+XW40*BlendedProvPayPrem+XX40*BlendedProvPayElite,XS41*BlendedProvPayEss+XT41*BlendedProvPayPrem+XU41*BlendedProvPayElite+XV41*BlendedProvPayEss+XW41*BlendedProvPayPrem+XX41*BlendedProvPayElite)</f>
        <v/>
      </c>
      <c r="YM41" s="12">
        <f>YE41*PaymentFee</f>
        <v/>
      </c>
      <c r="YN41" s="12">
        <f>XY41*OpsAI</f>
        <v/>
      </c>
      <c r="YO41" s="12">
        <f>MonthlyFixed</f>
        <v/>
      </c>
      <c r="YP41" s="12">
        <f>XI41*ReferralReward</f>
        <v/>
      </c>
      <c r="YQ41" s="12">
        <f>XG41</f>
        <v/>
      </c>
      <c r="YR41" s="9">
        <f>YH41-YL41-YM41-YN41-YO41-YP41-YQ41</f>
        <v/>
      </c>
      <c r="YS41" s="9">
        <f>YS40+YE41-(YL41+YM41+YN41+YO41+YP41+YQ41+YJ41)</f>
        <v/>
      </c>
      <c r="YT41" s="12">
        <f>IF(XY41&gt;0,XZ41/XY41,0)</f>
        <v/>
      </c>
      <c r="YU41" s="11">
        <f>IF(XY40&gt;0,MAX(0,(XY40+XJ41-XY41)/XY40),0)</f>
        <v/>
      </c>
      <c r="YW41" s="12" t="n">
        <v>37</v>
      </c>
      <c r="YX41" s="12">
        <f>MOD(YW41-1+LaunchMonth-1,12)+1</f>
        <v/>
      </c>
      <c r="YY41" s="12">
        <f>INT((YW41-1+LaunchMonth-1)/12)+1</f>
        <v/>
      </c>
      <c r="YZ41" s="12">
        <f>VLOOKUP(YX41,SeasonTable,2,FALSE)</f>
        <v/>
      </c>
      <c r="ZA41" s="12">
        <f>(1+InflationRate)^INT((YW41-1)/12)</f>
        <v/>
      </c>
      <c r="ZB41" s="11">
        <f>MonthlyChurn*VLOOKUP(YX41,ChurnSeasonTable,4,FALSE)</f>
        <v/>
      </c>
      <c r="ZC41" s="12">
        <f>MIN(MAX(MktMin19plus,AAA40*MktPct19plus),MAX(0,AAO40-CashBuffer))</f>
        <v/>
      </c>
      <c r="ZD41" s="12">
        <f>IF(ZC41&gt;0,MAX(1,ROUND(ZC41/CAC*YZ41,0)),0)</f>
        <v/>
      </c>
      <c r="ZE41" s="12">
        <f>IF(ZD41&gt;0,ROUND(ZD41*ReferralMix/(1-ReferralMix),0),0)</f>
        <v/>
      </c>
      <c r="ZF41" s="12">
        <f>ZD41+ZE41</f>
        <v/>
      </c>
      <c r="ZG41" s="12">
        <f>ROUND(ZF41*(1-'Sens - Annual Mix'!$A$11),0)</f>
        <v/>
      </c>
      <c r="ZH41" s="12">
        <f>ZF41-ZG41</f>
        <v/>
      </c>
      <c r="ZI41" s="12">
        <f>ROUND(ZG41*EssentialMix,0)</f>
        <v/>
      </c>
      <c r="ZJ41" s="12">
        <f>ROUND(ZG41*PremiumMix,0)</f>
        <v/>
      </c>
      <c r="ZK41" s="12">
        <f>ZG41-ZI41-ZJ41</f>
        <v/>
      </c>
      <c r="ZL41" s="12">
        <f>ROUND(ZH41*EssentialMix,0)</f>
        <v/>
      </c>
      <c r="ZM41" s="12">
        <f>ROUND(ZH41*PremiumMix,0)</f>
        <v/>
      </c>
      <c r="ZN41" s="12">
        <f>ZH41-ZL41-ZM41</f>
        <v/>
      </c>
      <c r="ZO41" s="12">
        <f>ZI41+ZI40+ZI39+MAX(0,ZO40-ZI40-ZI39)*(1-ZB41)</f>
        <v/>
      </c>
      <c r="ZP41" s="12">
        <f>ZJ41+ZJ40+ZJ39+MAX(0,ZP40-ZJ40-ZJ39)*(1-ZB41)</f>
        <v/>
      </c>
      <c r="ZQ41" s="12">
        <f>ZK41+ZK40+ZK39+MAX(0,ZQ40-ZK40-ZK39)*(1-ZB41)</f>
        <v/>
      </c>
      <c r="ZR41" s="12">
        <f>ZR40+ZL41-ZL29*(AnnualChurn*VLOOKUP(YX41,ChurnSeasonTable,4,FALSE))*POWER(1-(AnnualChurn*VLOOKUP(YX41,ChurnSeasonTable,4,FALSE)),0)+ZL17*(AnnualChurn*VLOOKUP(YX41,ChurnSeasonTable,4,FALSE))*POWER(1-(AnnualChurn*VLOOKUP(YX41,ChurnSeasonTable,4,FALSE)),1)+ZL5*(AnnualChurn*VLOOKUP(YX41,ChurnSeasonTable,4,FALSE))*POWER(1-(AnnualChurn*VLOOKUP(YX41,ChurnSeasonTable,4,FALSE)),2)</f>
        <v/>
      </c>
      <c r="ZS41" s="12">
        <f>ZS40+ZM41-ZM29*(AnnualChurn*VLOOKUP(YX41,ChurnSeasonTable,4,FALSE))*POWER(1-(AnnualChurn*VLOOKUP(YX41,ChurnSeasonTable,4,FALSE)),0)+ZM17*(AnnualChurn*VLOOKUP(YX41,ChurnSeasonTable,4,FALSE))*POWER(1-(AnnualChurn*VLOOKUP(YX41,ChurnSeasonTable,4,FALSE)),1)+ZM5*(AnnualChurn*VLOOKUP(YX41,ChurnSeasonTable,4,FALSE))*POWER(1-(AnnualChurn*VLOOKUP(YX41,ChurnSeasonTable,4,FALSE)),2)</f>
        <v/>
      </c>
      <c r="ZT41" s="12">
        <f>ZT40+ZN41-ZN29*(AnnualChurn*VLOOKUP(YX41,ChurnSeasonTable,4,FALSE))*POWER(1-(AnnualChurn*VLOOKUP(YX41,ChurnSeasonTable,4,FALSE)),0)+ZN17*(AnnualChurn*VLOOKUP(YX41,ChurnSeasonTable,4,FALSE))*POWER(1-(AnnualChurn*VLOOKUP(YX41,ChurnSeasonTable,4,FALSE)),1)+ZN5*(AnnualChurn*VLOOKUP(YX41,ChurnSeasonTable,4,FALSE))*POWER(1-(AnnualChurn*VLOOKUP(YX41,ChurnSeasonTable,4,FALSE)),2)</f>
        <v/>
      </c>
      <c r="ZU41" s="12">
        <f>ZO41+ZP41+ZQ41+ZR41+ZS41+ZT41</f>
        <v/>
      </c>
      <c r="ZV41" s="9">
        <f>ZO41*BlendedPriceEssMonthly*ZA41+ZP41*BlendedPricePremMonthly*ZA41+ZQ41*BlendedPriceEliteMonthly*ZA41+ZR41*BlendedPriceEssAnnual*ZA41/12+ZS41*BlendedPricePremAnnual*ZA41/12+ZT41*BlendedPriceEliteAnnual*ZA41/12</f>
        <v/>
      </c>
      <c r="ZW41" s="9">
        <f>ZV41*12</f>
        <v/>
      </c>
      <c r="ZX41" s="12">
        <f>ZO41*BlendedPriceEssMonthly*ZA41+ZP41*BlendedPricePremMonthly*ZA41+ZQ41*BlendedPriceEliteMonthly*ZA41</f>
        <v/>
      </c>
      <c r="ZY41" s="12">
        <f>ZL41*BlendedPriceEssAnnual*ZA41+ZM41*BlendedPricePremAnnual*ZA41+ZN41*BlendedPriceEliteAnnual*ZA41</f>
        <v/>
      </c>
      <c r="ZZ41" s="12">
        <f>ZL29*POWER(1-(AnnualChurn*VLOOKUP(YX41,ChurnSeasonTable,4,FALSE)),1)*BlendedPriceEssAnnual*ZA41+ZL17*POWER(1-(AnnualChurn*VLOOKUP(YX41,ChurnSeasonTable,4,FALSE)),2)*BlendedPriceEssAnnual*ZA41+ZL5*POWER(1-(AnnualChurn*VLOOKUP(YX41,ChurnSeasonTable,4,FALSE)),3)*BlendedPriceEssAnnual*ZA41+ZM29*POWER(1-(AnnualChurn*VLOOKUP(YX41,ChurnSeasonTable,4,FALSE)),1)*BlendedPricePremAnnual*ZA41+ZM17*POWER(1-(AnnualChurn*VLOOKUP(YX41,ChurnSeasonTable,4,FALSE)),2)*BlendedPricePremAnnual*ZA41+ZM5*POWER(1-(AnnualChurn*VLOOKUP(YX41,ChurnSeasonTable,4,FALSE)),3)*BlendedPricePremAnnual*ZA41+ZN29*POWER(1-(AnnualChurn*VLOOKUP(YX41,ChurnSeasonTable,4,FALSE)),1)*BlendedPriceEliteAnnual*ZA41+ZN17*POWER(1-(AnnualChurn*VLOOKUP(YX41,ChurnSeasonTable,4,FALSE)),2)*BlendedPriceEliteAnnual*ZA41+ZN5*POWER(1-(AnnualChurn*VLOOKUP(YX41,ChurnSeasonTable,4,FALSE)),3)*BlendedPriceEliteAnnual*ZA41</f>
        <v/>
      </c>
      <c r="AAA41" s="9">
        <f>ZX41+ZY41+ZZ41</f>
        <v/>
      </c>
      <c r="AAB41" s="12">
        <f>SUM(AAA30:AAA41)</f>
        <v/>
      </c>
      <c r="AAC41" s="12">
        <f>OR(AAC40,IF(VATAgentMode,SUM($AAA30:$AAA41)-SUM($AAH30:$AAH41)&gt;=VATThreshold,SUM($AAA30:$AAA41)&gt;=VATThreshold))</f>
        <v/>
      </c>
      <c r="AAD41" s="9">
        <f>IF(AAC41,IF(VATAgentMode,AAA41-((AAA41-AAH41)-(AAA41-AAH41)/(1+VATRate)),AAA41/(1+VATRate)),AAA41)</f>
        <v/>
      </c>
      <c r="AAE41" s="12">
        <f>AAA41-AAD41</f>
        <v/>
      </c>
      <c r="AAF41" s="12">
        <f>IF(AAC41=0,0,IF(YX41=1,SUMPRODUCT(--(($YY$5:$YY41=$YY41-1)*($YX$5:$YX41&gt;=10)*($YX$5:$YX41&lt;=12)),$AAE$5:$AAE41),IF(YX41=4,SUMPRODUCT(--(($YY$5:$YY41=$YY41)*($YX$5:$YX41&gt;=1)*($YX$5:$YX41&lt;=3)),$AAE$5:$AAE41),IF(YX41=7,SUMPRODUCT(--(($YY$5:$YY41=$YY41)*($YX$5:$YX41&gt;=4)*($YX$5:$YX41&lt;=6)),$AAE$5:$AAE41),IF(YX41=10,SUMPRODUCT(--(($YY$5:$YY41=$YY41)*($YX$5:$YX41&gt;=7)*($YX$5:$YX41&lt;=9)),$AAE$5:$AAE41),0)))))</f>
        <v/>
      </c>
      <c r="AAG41" s="12">
        <f>AAG40+AAE41-AAF41</f>
        <v/>
      </c>
      <c r="AAH41" s="12">
        <f>IF(ProviderDelay&gt;=1,ZO40*BlendedProvPayEss+ZP40*BlendedProvPayPrem+ZQ40*BlendedProvPayElite+ZR40*BlendedProvPayEss+ZS40*BlendedProvPayPrem+ZT40*BlendedProvPayElite,ZO41*BlendedProvPayEss+ZP41*BlendedProvPayPrem+ZQ41*BlendedProvPayElite+ZR41*BlendedProvPayEss+ZS41*BlendedProvPayPrem+ZT41*BlendedProvPayElite)</f>
        <v/>
      </c>
      <c r="AAI41" s="12">
        <f>AAA41*PaymentFee</f>
        <v/>
      </c>
      <c r="AAJ41" s="12">
        <f>ZU41*OpsAI</f>
        <v/>
      </c>
      <c r="AAK41" s="12">
        <f>MonthlyFixed</f>
        <v/>
      </c>
      <c r="AAL41" s="12">
        <f>ZE41*ReferralReward</f>
        <v/>
      </c>
      <c r="AAM41" s="12">
        <f>ZC41</f>
        <v/>
      </c>
      <c r="AAN41" s="9">
        <f>AAD41-AAH41-AAI41-AAJ41-AAK41-AAL41-AAM41</f>
        <v/>
      </c>
      <c r="AAO41" s="9">
        <f>AAO40+AAA41-(AAH41+AAI41+AAJ41+AAK41+AAL41+AAM41+AAF41)</f>
        <v/>
      </c>
      <c r="AAP41" s="12">
        <f>IF(ZU41&gt;0,ZV41/ZU41,0)</f>
        <v/>
      </c>
      <c r="AAQ41" s="11">
        <f>IF(ZU40&gt;0,MAX(0,(ZU40+ZF41-ZU41)/ZU40),0)</f>
        <v/>
      </c>
      <c r="AAS41" s="12" t="n">
        <v>37</v>
      </c>
      <c r="AAT41" s="12">
        <f>MOD(AAS41-1+LaunchMonth-1,12)+1</f>
        <v/>
      </c>
      <c r="AAU41" s="12">
        <f>INT((AAS41-1+LaunchMonth-1)/12)+1</f>
        <v/>
      </c>
      <c r="AAV41" s="12">
        <f>VLOOKUP(AAT41,SeasonTable,2,FALSE)</f>
        <v/>
      </c>
      <c r="AAW41" s="12">
        <f>(1+InflationRate)^INT((AAS41-1)/12)</f>
        <v/>
      </c>
      <c r="AAX41" s="11">
        <f>MonthlyChurn*VLOOKUP(AAT41,ChurnSeasonTable,4,FALSE)</f>
        <v/>
      </c>
      <c r="AAY41" s="12">
        <f>MIN(MAX(MktMin19plus,ABW40*MktPct19plus),MAX(0,ACK40-CashBuffer))</f>
        <v/>
      </c>
      <c r="AAZ41" s="12">
        <f>IF(AAY41&gt;0,MAX(1,ROUND(AAY41/CAC*AAV41,0)),0)</f>
        <v/>
      </c>
      <c r="ABA41" s="12">
        <f>IF(AAZ41&gt;0,ROUND(AAZ41*ReferralMix/(1-ReferralMix),0),0)</f>
        <v/>
      </c>
      <c r="ABB41" s="12">
        <f>AAZ41+ABA41</f>
        <v/>
      </c>
      <c r="ABC41" s="12">
        <f>ROUND(ABB41*(1-'Sens - Annual Mix'!$A$12),0)</f>
        <v/>
      </c>
      <c r="ABD41" s="12">
        <f>ABB41-ABC41</f>
        <v/>
      </c>
      <c r="ABE41" s="12">
        <f>ROUND(ABC41*EssentialMix,0)</f>
        <v/>
      </c>
      <c r="ABF41" s="12">
        <f>ROUND(ABC41*PremiumMix,0)</f>
        <v/>
      </c>
      <c r="ABG41" s="12">
        <f>ABC41-ABE41-ABF41</f>
        <v/>
      </c>
      <c r="ABH41" s="12">
        <f>ROUND(ABD41*EssentialMix,0)</f>
        <v/>
      </c>
      <c r="ABI41" s="12">
        <f>ROUND(ABD41*PremiumMix,0)</f>
        <v/>
      </c>
      <c r="ABJ41" s="12">
        <f>ABD41-ABH41-ABI41</f>
        <v/>
      </c>
      <c r="ABK41" s="12">
        <f>ABE41+ABE40+ABE39+MAX(0,ABK40-ABE40-ABE39)*(1-AAX41)</f>
        <v/>
      </c>
      <c r="ABL41" s="12">
        <f>ABF41+ABF40+ABF39+MAX(0,ABL40-ABF40-ABF39)*(1-AAX41)</f>
        <v/>
      </c>
      <c r="ABM41" s="12">
        <f>ABG41+ABG40+ABG39+MAX(0,ABM40-ABG40-ABG39)*(1-AAX41)</f>
        <v/>
      </c>
      <c r="ABN41" s="12">
        <f>ABN40+ABH41-ABH29*(AnnualChurn*VLOOKUP(AAT41,ChurnSeasonTable,4,FALSE))*POWER(1-(AnnualChurn*VLOOKUP(AAT41,ChurnSeasonTable,4,FALSE)),0)+ABH17*(AnnualChurn*VLOOKUP(AAT41,ChurnSeasonTable,4,FALSE))*POWER(1-(AnnualChurn*VLOOKUP(AAT41,ChurnSeasonTable,4,FALSE)),1)+ABH5*(AnnualChurn*VLOOKUP(AAT41,ChurnSeasonTable,4,FALSE))*POWER(1-(AnnualChurn*VLOOKUP(AAT41,ChurnSeasonTable,4,FALSE)),2)</f>
        <v/>
      </c>
      <c r="ABO41" s="12">
        <f>ABO40+ABI41-ABI29*(AnnualChurn*VLOOKUP(AAT41,ChurnSeasonTable,4,FALSE))*POWER(1-(AnnualChurn*VLOOKUP(AAT41,ChurnSeasonTable,4,FALSE)),0)+ABI17*(AnnualChurn*VLOOKUP(AAT41,ChurnSeasonTable,4,FALSE))*POWER(1-(AnnualChurn*VLOOKUP(AAT41,ChurnSeasonTable,4,FALSE)),1)+ABI5*(AnnualChurn*VLOOKUP(AAT41,ChurnSeasonTable,4,FALSE))*POWER(1-(AnnualChurn*VLOOKUP(AAT41,ChurnSeasonTable,4,FALSE)),2)</f>
        <v/>
      </c>
      <c r="ABP41" s="12">
        <f>ABP40+ABJ41-ABJ29*(AnnualChurn*VLOOKUP(AAT41,ChurnSeasonTable,4,FALSE))*POWER(1-(AnnualChurn*VLOOKUP(AAT41,ChurnSeasonTable,4,FALSE)),0)+ABJ17*(AnnualChurn*VLOOKUP(AAT41,ChurnSeasonTable,4,FALSE))*POWER(1-(AnnualChurn*VLOOKUP(AAT41,ChurnSeasonTable,4,FALSE)),1)+ABJ5*(AnnualChurn*VLOOKUP(AAT41,ChurnSeasonTable,4,FALSE))*POWER(1-(AnnualChurn*VLOOKUP(AAT41,ChurnSeasonTable,4,FALSE)),2)</f>
        <v/>
      </c>
      <c r="ABQ41" s="12">
        <f>ABK41+ABL41+ABM41+ABN41+ABO41+ABP41</f>
        <v/>
      </c>
      <c r="ABR41" s="9">
        <f>ABK41*BlendedPriceEssMonthly*AAW41+ABL41*BlendedPricePremMonthly*AAW41+ABM41*BlendedPriceEliteMonthly*AAW41+ABN41*BlendedPriceEssAnnual*AAW41/12+ABO41*BlendedPricePremAnnual*AAW41/12+ABP41*BlendedPriceEliteAnnual*AAW41/12</f>
        <v/>
      </c>
      <c r="ABS41" s="9">
        <f>ABR41*12</f>
        <v/>
      </c>
      <c r="ABT41" s="12">
        <f>ABK41*BlendedPriceEssMonthly*AAW41+ABL41*BlendedPricePremMonthly*AAW41+ABM41*BlendedPriceEliteMonthly*AAW41</f>
        <v/>
      </c>
      <c r="ABU41" s="12">
        <f>ABH41*BlendedPriceEssAnnual*AAW41+ABI41*BlendedPricePremAnnual*AAW41+ABJ41*BlendedPriceEliteAnnual*AAW41</f>
        <v/>
      </c>
      <c r="ABV41" s="12">
        <f>ABH29*POWER(1-(AnnualChurn*VLOOKUP(AAT41,ChurnSeasonTable,4,FALSE)),1)*BlendedPriceEssAnnual*AAW41+ABH17*POWER(1-(AnnualChurn*VLOOKUP(AAT41,ChurnSeasonTable,4,FALSE)),2)*BlendedPriceEssAnnual*AAW41+ABH5*POWER(1-(AnnualChurn*VLOOKUP(AAT41,ChurnSeasonTable,4,FALSE)),3)*BlendedPriceEssAnnual*AAW41+ABI29*POWER(1-(AnnualChurn*VLOOKUP(AAT41,ChurnSeasonTable,4,FALSE)),1)*BlendedPricePremAnnual*AAW41+ABI17*POWER(1-(AnnualChurn*VLOOKUP(AAT41,ChurnSeasonTable,4,FALSE)),2)*BlendedPricePremAnnual*AAW41+ABI5*POWER(1-(AnnualChurn*VLOOKUP(AAT41,ChurnSeasonTable,4,FALSE)),3)*BlendedPricePremAnnual*AAW41+ABJ29*POWER(1-(AnnualChurn*VLOOKUP(AAT41,ChurnSeasonTable,4,FALSE)),1)*BlendedPriceEliteAnnual*AAW41+ABJ17*POWER(1-(AnnualChurn*VLOOKUP(AAT41,ChurnSeasonTable,4,FALSE)),2)*BlendedPriceEliteAnnual*AAW41+ABJ5*POWER(1-(AnnualChurn*VLOOKUP(AAT41,ChurnSeasonTable,4,FALSE)),3)*BlendedPriceEliteAnnual*AAW41</f>
        <v/>
      </c>
      <c r="ABW41" s="9">
        <f>ABT41+ABU41+ABV41</f>
        <v/>
      </c>
      <c r="ABX41" s="12">
        <f>SUM(ABW30:ABW41)</f>
        <v/>
      </c>
      <c r="ABY41" s="12">
        <f>OR(ABY40,IF(VATAgentMode,SUM($ABW30:$ABW41)-SUM($ACD30:$ACD41)&gt;=VATThreshold,SUM($ABW30:$ABW41)&gt;=VATThreshold))</f>
        <v/>
      </c>
      <c r="ABZ41" s="9">
        <f>IF(ABY41,IF(VATAgentMode,ABW41-((ABW41-ACD41)-(ABW41-ACD41)/(1+VATRate)),ABW41/(1+VATRate)),ABW41)</f>
        <v/>
      </c>
      <c r="ACA41" s="12">
        <f>ABW41-ABZ41</f>
        <v/>
      </c>
      <c r="ACB41" s="12">
        <f>IF(ABY41=0,0,IF(AAT41=1,SUMPRODUCT(--(($AAU$5:$AAU41=$AAU41-1)*($AAT$5:$AAT41&gt;=10)*($AAT$5:$AAT41&lt;=12)),$ACA$5:$ACA41),IF(AAT41=4,SUMPRODUCT(--(($AAU$5:$AAU41=$AAU41)*($AAT$5:$AAT41&gt;=1)*($AAT$5:$AAT41&lt;=3)),$ACA$5:$ACA41),IF(AAT41=7,SUMPRODUCT(--(($AAU$5:$AAU41=$AAU41)*($AAT$5:$AAT41&gt;=4)*($AAT$5:$AAT41&lt;=6)),$ACA$5:$ACA41),IF(AAT41=10,SUMPRODUCT(--(($AAU$5:$AAU41=$AAU41)*($AAT$5:$AAT41&gt;=7)*($AAT$5:$AAT41&lt;=9)),$ACA$5:$ACA41),0)))))</f>
        <v/>
      </c>
      <c r="ACC41" s="12">
        <f>ACC40+ACA41-ACB41</f>
        <v/>
      </c>
      <c r="ACD41" s="12">
        <f>IF(ProviderDelay&gt;=1,ABK40*BlendedProvPayEss+ABL40*BlendedProvPayPrem+ABM40*BlendedProvPayElite+ABN40*BlendedProvPayEss+ABO40*BlendedProvPayPrem+ABP40*BlendedProvPayElite,ABK41*BlendedProvPayEss+ABL41*BlendedProvPayPrem+ABM41*BlendedProvPayElite+ABN41*BlendedProvPayEss+ABO41*BlendedProvPayPrem+ABP41*BlendedProvPayElite)</f>
        <v/>
      </c>
      <c r="ACE41" s="12">
        <f>ABW41*PaymentFee</f>
        <v/>
      </c>
      <c r="ACF41" s="12">
        <f>ABQ41*OpsAI</f>
        <v/>
      </c>
      <c r="ACG41" s="12">
        <f>MonthlyFixed</f>
        <v/>
      </c>
      <c r="ACH41" s="12">
        <f>ABA41*ReferralReward</f>
        <v/>
      </c>
      <c r="ACI41" s="12">
        <f>AAY41</f>
        <v/>
      </c>
      <c r="ACJ41" s="9">
        <f>ABZ41-ACD41-ACE41-ACF41-ACG41-ACH41-ACI41</f>
        <v/>
      </c>
      <c r="ACK41" s="9">
        <f>ACK40+ABW41-(ACD41+ACE41+ACF41+ACG41+ACH41+ACI41+ACB41)</f>
        <v/>
      </c>
      <c r="ACL41" s="12">
        <f>IF(ABQ41&gt;0,ABR41/ABQ41,0)</f>
        <v/>
      </c>
      <c r="ACM41" s="11">
        <f>IF(ABQ40&gt;0,MAX(0,(ABQ40+ABB41-ABQ41)/ABQ40),0)</f>
        <v/>
      </c>
      <c r="ACO41" s="12" t="n">
        <v>37</v>
      </c>
      <c r="ACP41" s="12">
        <f>MOD(ACO41-1+LaunchMonth-1,12)+1</f>
        <v/>
      </c>
      <c r="ACQ41" s="12">
        <f>INT((ACO41-1+LaunchMonth-1)/12)+1</f>
        <v/>
      </c>
      <c r="ACR41" s="12">
        <f>VLOOKUP(ACP41,SeasonTable,2,FALSE)</f>
        <v/>
      </c>
      <c r="ACS41" s="12">
        <f>(1+InflationRate)^INT((ACO41-1)/12)</f>
        <v/>
      </c>
      <c r="ACT41" s="11">
        <f>MonthlyChurn*VLOOKUP(ACP41,ChurnSeasonTable,4,FALSE)</f>
        <v/>
      </c>
      <c r="ACU41" s="12">
        <f>MIN(MAX(MktMin19plus,ADS40*MktPct19plus),MAX(0,AEG40-CashBuffer))</f>
        <v/>
      </c>
      <c r="ACV41" s="12">
        <f>IF(ACU41&gt;0,MAX(1,ROUND(ACU41/CAC*ACR41,0)),0)</f>
        <v/>
      </c>
      <c r="ACW41" s="12">
        <f>IF(ACV41&gt;0,ROUND(ACV41*ReferralMix/(1-ReferralMix),0),0)</f>
        <v/>
      </c>
      <c r="ACX41" s="12">
        <f>ACV41+ACW41</f>
        <v/>
      </c>
      <c r="ACY41" s="12">
        <f>ROUND(ACX41*(1-'Sens - Annual Mix'!$A$13),0)</f>
        <v/>
      </c>
      <c r="ACZ41" s="12">
        <f>ACX41-ACY41</f>
        <v/>
      </c>
      <c r="ADA41" s="12">
        <f>ROUND(ACY41*EssentialMix,0)</f>
        <v/>
      </c>
      <c r="ADB41" s="12">
        <f>ROUND(ACY41*PremiumMix,0)</f>
        <v/>
      </c>
      <c r="ADC41" s="12">
        <f>ACY41-ADA41-ADB41</f>
        <v/>
      </c>
      <c r="ADD41" s="12">
        <f>ROUND(ACZ41*EssentialMix,0)</f>
        <v/>
      </c>
      <c r="ADE41" s="12">
        <f>ROUND(ACZ41*PremiumMix,0)</f>
        <v/>
      </c>
      <c r="ADF41" s="12">
        <f>ACZ41-ADD41-ADE41</f>
        <v/>
      </c>
      <c r="ADG41" s="12">
        <f>ADA41+ADA40+ADA39+MAX(0,ADG40-ADA40-ADA39)*(1-ACT41)</f>
        <v/>
      </c>
      <c r="ADH41" s="12">
        <f>ADB41+ADB40+ADB39+MAX(0,ADH40-ADB40-ADB39)*(1-ACT41)</f>
        <v/>
      </c>
      <c r="ADI41" s="12">
        <f>ADC41+ADC40+ADC39+MAX(0,ADI40-ADC40-ADC39)*(1-ACT41)</f>
        <v/>
      </c>
      <c r="ADJ41" s="12">
        <f>ADJ40+ADD41-ADD29*(AnnualChurn*VLOOKUP(ACP41,ChurnSeasonTable,4,FALSE))*POWER(1-(AnnualChurn*VLOOKUP(ACP41,ChurnSeasonTable,4,FALSE)),0)+ADD17*(AnnualChurn*VLOOKUP(ACP41,ChurnSeasonTable,4,FALSE))*POWER(1-(AnnualChurn*VLOOKUP(ACP41,ChurnSeasonTable,4,FALSE)),1)+ADD5*(AnnualChurn*VLOOKUP(ACP41,ChurnSeasonTable,4,FALSE))*POWER(1-(AnnualChurn*VLOOKUP(ACP41,ChurnSeasonTable,4,FALSE)),2)</f>
        <v/>
      </c>
      <c r="ADK41" s="12">
        <f>ADK40+ADE41-ADE29*(AnnualChurn*VLOOKUP(ACP41,ChurnSeasonTable,4,FALSE))*POWER(1-(AnnualChurn*VLOOKUP(ACP41,ChurnSeasonTable,4,FALSE)),0)+ADE17*(AnnualChurn*VLOOKUP(ACP41,ChurnSeasonTable,4,FALSE))*POWER(1-(AnnualChurn*VLOOKUP(ACP41,ChurnSeasonTable,4,FALSE)),1)+ADE5*(AnnualChurn*VLOOKUP(ACP41,ChurnSeasonTable,4,FALSE))*POWER(1-(AnnualChurn*VLOOKUP(ACP41,ChurnSeasonTable,4,FALSE)),2)</f>
        <v/>
      </c>
      <c r="ADL41" s="12">
        <f>ADL40+ADF41-ADF29*(AnnualChurn*VLOOKUP(ACP41,ChurnSeasonTable,4,FALSE))*POWER(1-(AnnualChurn*VLOOKUP(ACP41,ChurnSeasonTable,4,FALSE)),0)+ADF17*(AnnualChurn*VLOOKUP(ACP41,ChurnSeasonTable,4,FALSE))*POWER(1-(AnnualChurn*VLOOKUP(ACP41,ChurnSeasonTable,4,FALSE)),1)+ADF5*(AnnualChurn*VLOOKUP(ACP41,ChurnSeasonTable,4,FALSE))*POWER(1-(AnnualChurn*VLOOKUP(ACP41,ChurnSeasonTable,4,FALSE)),2)</f>
        <v/>
      </c>
      <c r="ADM41" s="12">
        <f>ADG41+ADH41+ADI41+ADJ41+ADK41+ADL41</f>
        <v/>
      </c>
      <c r="ADN41" s="9">
        <f>ADG41*BlendedPriceEssMonthly*ACS41+ADH41*BlendedPricePremMonthly*ACS41+ADI41*BlendedPriceEliteMonthly*ACS41+ADJ41*BlendedPriceEssAnnual*ACS41/12+ADK41*BlendedPricePremAnnual*ACS41/12+ADL41*BlendedPriceEliteAnnual*ACS41/12</f>
        <v/>
      </c>
      <c r="ADO41" s="9">
        <f>ADN41*12</f>
        <v/>
      </c>
      <c r="ADP41" s="12">
        <f>ADG41*BlendedPriceEssMonthly*ACS41+ADH41*BlendedPricePremMonthly*ACS41+ADI41*BlendedPriceEliteMonthly*ACS41</f>
        <v/>
      </c>
      <c r="ADQ41" s="12">
        <f>ADD41*BlendedPriceEssAnnual*ACS41+ADE41*BlendedPricePremAnnual*ACS41+ADF41*BlendedPriceEliteAnnual*ACS41</f>
        <v/>
      </c>
      <c r="ADR41" s="12">
        <f>ADD29*POWER(1-(AnnualChurn*VLOOKUP(ACP41,ChurnSeasonTable,4,FALSE)),1)*BlendedPriceEssAnnual*ACS41+ADD17*POWER(1-(AnnualChurn*VLOOKUP(ACP41,ChurnSeasonTable,4,FALSE)),2)*BlendedPriceEssAnnual*ACS41+ADD5*POWER(1-(AnnualChurn*VLOOKUP(ACP41,ChurnSeasonTable,4,FALSE)),3)*BlendedPriceEssAnnual*ACS41+ADE29*POWER(1-(AnnualChurn*VLOOKUP(ACP41,ChurnSeasonTable,4,FALSE)),1)*BlendedPricePremAnnual*ACS41+ADE17*POWER(1-(AnnualChurn*VLOOKUP(ACP41,ChurnSeasonTable,4,FALSE)),2)*BlendedPricePremAnnual*ACS41+ADE5*POWER(1-(AnnualChurn*VLOOKUP(ACP41,ChurnSeasonTable,4,FALSE)),3)*BlendedPricePremAnnual*ACS41+ADF29*POWER(1-(AnnualChurn*VLOOKUP(ACP41,ChurnSeasonTable,4,FALSE)),1)*BlendedPriceEliteAnnual*ACS41+ADF17*POWER(1-(AnnualChurn*VLOOKUP(ACP41,ChurnSeasonTable,4,FALSE)),2)*BlendedPriceEliteAnnual*ACS41+ADF5*POWER(1-(AnnualChurn*VLOOKUP(ACP41,ChurnSeasonTable,4,FALSE)),3)*BlendedPriceEliteAnnual*ACS41</f>
        <v/>
      </c>
      <c r="ADS41" s="9">
        <f>ADP41+ADQ41+ADR41</f>
        <v/>
      </c>
      <c r="ADT41" s="12">
        <f>SUM(ADS30:ADS41)</f>
        <v/>
      </c>
      <c r="ADU41" s="12">
        <f>OR(ADU40,IF(VATAgentMode,SUM($ADS30:$ADS41)-SUM($ADZ30:$ADZ41)&gt;=VATThreshold,SUM($ADS30:$ADS41)&gt;=VATThreshold))</f>
        <v/>
      </c>
      <c r="ADV41" s="9">
        <f>IF(ADU41,IF(VATAgentMode,ADS41-((ADS41-ADZ41)-(ADS41-ADZ41)/(1+VATRate)),ADS41/(1+VATRate)),ADS41)</f>
        <v/>
      </c>
      <c r="ADW41" s="12">
        <f>ADS41-ADV41</f>
        <v/>
      </c>
      <c r="ADX41" s="12">
        <f>IF(ADU41=0,0,IF(ACP41=1,SUMPRODUCT(--(($ACQ$5:$ACQ41=$ACQ41-1)*($ACP$5:$ACP41&gt;=10)*($ACP$5:$ACP41&lt;=12)),$ADW$5:$ADW41),IF(ACP41=4,SUMPRODUCT(--(($ACQ$5:$ACQ41=$ACQ41)*($ACP$5:$ACP41&gt;=1)*($ACP$5:$ACP41&lt;=3)),$ADW$5:$ADW41),IF(ACP41=7,SUMPRODUCT(--(($ACQ$5:$ACQ41=$ACQ41)*($ACP$5:$ACP41&gt;=4)*($ACP$5:$ACP41&lt;=6)),$ADW$5:$ADW41),IF(ACP41=10,SUMPRODUCT(--(($ACQ$5:$ACQ41=$ACQ41)*($ACP$5:$ACP41&gt;=7)*($ACP$5:$ACP41&lt;=9)),$ADW$5:$ADW41),0)))))</f>
        <v/>
      </c>
      <c r="ADY41" s="12">
        <f>ADY40+ADW41-ADX41</f>
        <v/>
      </c>
      <c r="ADZ41" s="12">
        <f>IF(ProviderDelay&gt;=1,ADG40*BlendedProvPayEss+ADH40*BlendedProvPayPrem+ADI40*BlendedProvPayElite+ADJ40*BlendedProvPayEss+ADK40*BlendedProvPayPrem+ADL40*BlendedProvPayElite,ADG41*BlendedProvPayEss+ADH41*BlendedProvPayPrem+ADI41*BlendedProvPayElite+ADJ41*BlendedProvPayEss+ADK41*BlendedProvPayPrem+ADL41*BlendedProvPayElite)</f>
        <v/>
      </c>
      <c r="AEA41" s="12">
        <f>ADS41*PaymentFee</f>
        <v/>
      </c>
      <c r="AEB41" s="12">
        <f>ADM41*OpsAI</f>
        <v/>
      </c>
      <c r="AEC41" s="12">
        <f>MonthlyFixed</f>
        <v/>
      </c>
      <c r="AED41" s="12">
        <f>ACW41*ReferralReward</f>
        <v/>
      </c>
      <c r="AEE41" s="12">
        <f>ACU41</f>
        <v/>
      </c>
      <c r="AEF41" s="9">
        <f>ADV41-ADZ41-AEA41-AEB41-AEC41-AED41-AEE41</f>
        <v/>
      </c>
      <c r="AEG41" s="9">
        <f>AEG40+ADS41-(ADZ41+AEA41+AEB41+AEC41+AED41+AEE41+ADX41)</f>
        <v/>
      </c>
      <c r="AEH41" s="12">
        <f>IF(ADM41&gt;0,ADN41/ADM41,0)</f>
        <v/>
      </c>
      <c r="AEI41" s="11">
        <f>IF(ADM40&gt;0,MAX(0,(ADM40+ACX41-ADM41)/ADM40),0)</f>
        <v/>
      </c>
      <c r="AEK41" s="12" t="n">
        <v>37</v>
      </c>
      <c r="AEL41" s="12">
        <f>MOD(AEK41-1+LaunchMonth-1,12)+1</f>
        <v/>
      </c>
      <c r="AEM41" s="12">
        <f>INT((AEK41-1+LaunchMonth-1)/12)+1</f>
        <v/>
      </c>
      <c r="AEN41" s="12">
        <f>VLOOKUP(AEL41,SeasonTable,2,FALSE)</f>
        <v/>
      </c>
      <c r="AEO41" s="12">
        <f>(1+InflationRate)^INT((AEK41-1)/12)</f>
        <v/>
      </c>
      <c r="AEP41" s="11">
        <f>MonthlyChurn*VLOOKUP(AEL41,ChurnSeasonTable,4,FALSE)</f>
        <v/>
      </c>
      <c r="AEQ41" s="12">
        <f>MIN(MAX(MktMin19plus,AFO40*MktPct19plus),MAX(0,AGC40-CashBuffer))</f>
        <v/>
      </c>
      <c r="AER41" s="12">
        <f>IF(AEQ41&gt;0,MAX(1,ROUND(AEQ41/CAC*AEN41,0)),0)</f>
        <v/>
      </c>
      <c r="AES41" s="12">
        <f>IF(AER41&gt;0,ROUND(AER41*ReferralMix/(1-ReferralMix),0),0)</f>
        <v/>
      </c>
      <c r="AET41" s="12">
        <f>AER41+AES41</f>
        <v/>
      </c>
      <c r="AEU41" s="12">
        <f>ROUND(AET41*(1-'Sens - Annual Mix'!$A$14),0)</f>
        <v/>
      </c>
      <c r="AEV41" s="12">
        <f>AET41-AEU41</f>
        <v/>
      </c>
      <c r="AEW41" s="12">
        <f>ROUND(AEU41*EssentialMix,0)</f>
        <v/>
      </c>
      <c r="AEX41" s="12">
        <f>ROUND(AEU41*PremiumMix,0)</f>
        <v/>
      </c>
      <c r="AEY41" s="12">
        <f>AEU41-AEW41-AEX41</f>
        <v/>
      </c>
      <c r="AEZ41" s="12">
        <f>ROUND(AEV41*EssentialMix,0)</f>
        <v/>
      </c>
      <c r="AFA41" s="12">
        <f>ROUND(AEV41*PremiumMix,0)</f>
        <v/>
      </c>
      <c r="AFB41" s="12">
        <f>AEV41-AEZ41-AFA41</f>
        <v/>
      </c>
      <c r="AFC41" s="12">
        <f>AEW41+AEW40+AEW39+MAX(0,AFC40-AEW40-AEW39)*(1-AEP41)</f>
        <v/>
      </c>
      <c r="AFD41" s="12">
        <f>AEX41+AEX40+AEX39+MAX(0,AFD40-AEX40-AEX39)*(1-AEP41)</f>
        <v/>
      </c>
      <c r="AFE41" s="12">
        <f>AEY41+AEY40+AEY39+MAX(0,AFE40-AEY40-AEY39)*(1-AEP41)</f>
        <v/>
      </c>
      <c r="AFF41" s="12">
        <f>AFF40+AEZ41-AEZ29*(AnnualChurn*VLOOKUP(AEL41,ChurnSeasonTable,4,FALSE))*POWER(1-(AnnualChurn*VLOOKUP(AEL41,ChurnSeasonTable,4,FALSE)),0)+AEZ17*(AnnualChurn*VLOOKUP(AEL41,ChurnSeasonTable,4,FALSE))*POWER(1-(AnnualChurn*VLOOKUP(AEL41,ChurnSeasonTable,4,FALSE)),1)+AEZ5*(AnnualChurn*VLOOKUP(AEL41,ChurnSeasonTable,4,FALSE))*POWER(1-(AnnualChurn*VLOOKUP(AEL41,ChurnSeasonTable,4,FALSE)),2)</f>
        <v/>
      </c>
      <c r="AFG41" s="12">
        <f>AFG40+AFA41-AFA29*(AnnualChurn*VLOOKUP(AEL41,ChurnSeasonTable,4,FALSE))*POWER(1-(AnnualChurn*VLOOKUP(AEL41,ChurnSeasonTable,4,FALSE)),0)+AFA17*(AnnualChurn*VLOOKUP(AEL41,ChurnSeasonTable,4,FALSE))*POWER(1-(AnnualChurn*VLOOKUP(AEL41,ChurnSeasonTable,4,FALSE)),1)+AFA5*(AnnualChurn*VLOOKUP(AEL41,ChurnSeasonTable,4,FALSE))*POWER(1-(AnnualChurn*VLOOKUP(AEL41,ChurnSeasonTable,4,FALSE)),2)</f>
        <v/>
      </c>
      <c r="AFH41" s="12">
        <f>AFH40+AFB41-AFB29*(AnnualChurn*VLOOKUP(AEL41,ChurnSeasonTable,4,FALSE))*POWER(1-(AnnualChurn*VLOOKUP(AEL41,ChurnSeasonTable,4,FALSE)),0)+AFB17*(AnnualChurn*VLOOKUP(AEL41,ChurnSeasonTable,4,FALSE))*POWER(1-(AnnualChurn*VLOOKUP(AEL41,ChurnSeasonTable,4,FALSE)),1)+AFB5*(AnnualChurn*VLOOKUP(AEL41,ChurnSeasonTable,4,FALSE))*POWER(1-(AnnualChurn*VLOOKUP(AEL41,ChurnSeasonTable,4,FALSE)),2)</f>
        <v/>
      </c>
      <c r="AFI41" s="12">
        <f>AFC41+AFD41+AFE41+AFF41+AFG41+AFH41</f>
        <v/>
      </c>
      <c r="AFJ41" s="9">
        <f>AFC41*BlendedPriceEssMonthly*AEO41+AFD41*BlendedPricePremMonthly*AEO41+AFE41*BlendedPriceEliteMonthly*AEO41+AFF41*BlendedPriceEssAnnual*AEO41/12+AFG41*BlendedPricePremAnnual*AEO41/12+AFH41*BlendedPriceEliteAnnual*AEO41/12</f>
        <v/>
      </c>
      <c r="AFK41" s="9">
        <f>AFJ41*12</f>
        <v/>
      </c>
      <c r="AFL41" s="12">
        <f>AFC41*BlendedPriceEssMonthly*AEO41+AFD41*BlendedPricePremMonthly*AEO41+AFE41*BlendedPriceEliteMonthly*AEO41</f>
        <v/>
      </c>
      <c r="AFM41" s="12">
        <f>AEZ41*BlendedPriceEssAnnual*AEO41+AFA41*BlendedPricePremAnnual*AEO41+AFB41*BlendedPriceEliteAnnual*AEO41</f>
        <v/>
      </c>
      <c r="AFN41" s="12">
        <f>AEZ29*POWER(1-(AnnualChurn*VLOOKUP(AEL41,ChurnSeasonTable,4,FALSE)),1)*BlendedPriceEssAnnual*AEO41+AEZ17*POWER(1-(AnnualChurn*VLOOKUP(AEL41,ChurnSeasonTable,4,FALSE)),2)*BlendedPriceEssAnnual*AEO41+AEZ5*POWER(1-(AnnualChurn*VLOOKUP(AEL41,ChurnSeasonTable,4,FALSE)),3)*BlendedPriceEssAnnual*AEO41+AFA29*POWER(1-(AnnualChurn*VLOOKUP(AEL41,ChurnSeasonTable,4,FALSE)),1)*BlendedPricePremAnnual*AEO41+AFA17*POWER(1-(AnnualChurn*VLOOKUP(AEL41,ChurnSeasonTable,4,FALSE)),2)*BlendedPricePremAnnual*AEO41+AFA5*POWER(1-(AnnualChurn*VLOOKUP(AEL41,ChurnSeasonTable,4,FALSE)),3)*BlendedPricePremAnnual*AEO41+AFB29*POWER(1-(AnnualChurn*VLOOKUP(AEL41,ChurnSeasonTable,4,FALSE)),1)*BlendedPriceEliteAnnual*AEO41+AFB17*POWER(1-(AnnualChurn*VLOOKUP(AEL41,ChurnSeasonTable,4,FALSE)),2)*BlendedPriceEliteAnnual*AEO41+AFB5*POWER(1-(AnnualChurn*VLOOKUP(AEL41,ChurnSeasonTable,4,FALSE)),3)*BlendedPriceEliteAnnual*AEO41</f>
        <v/>
      </c>
      <c r="AFO41" s="9">
        <f>AFL41+AFM41+AFN41</f>
        <v/>
      </c>
      <c r="AFP41" s="12">
        <f>SUM(AFO30:AFO41)</f>
        <v/>
      </c>
      <c r="AFQ41" s="12">
        <f>OR(AFQ40,IF(VATAgentMode,SUM($AFO30:$AFO41)-SUM($AFV30:$AFV41)&gt;=VATThreshold,SUM($AFO30:$AFO41)&gt;=VATThreshold))</f>
        <v/>
      </c>
      <c r="AFR41" s="9">
        <f>IF(AFQ41,IF(VATAgentMode,AFO41-((AFO41-AFV41)-(AFO41-AFV41)/(1+VATRate)),AFO41/(1+VATRate)),AFO41)</f>
        <v/>
      </c>
      <c r="AFS41" s="12">
        <f>AFO41-AFR41</f>
        <v/>
      </c>
      <c r="AFT41" s="12">
        <f>IF(AFQ41=0,0,IF(AEL41=1,SUMPRODUCT(--(($AEM$5:$AEM41=$AEM41-1)*($AEL$5:$AEL41&gt;=10)*($AEL$5:$AEL41&lt;=12)),$AFS$5:$AFS41),IF(AEL41=4,SUMPRODUCT(--(($AEM$5:$AEM41=$AEM41)*($AEL$5:$AEL41&gt;=1)*($AEL$5:$AEL41&lt;=3)),$AFS$5:$AFS41),IF(AEL41=7,SUMPRODUCT(--(($AEM$5:$AEM41=$AEM41)*($AEL$5:$AEL41&gt;=4)*($AEL$5:$AEL41&lt;=6)),$AFS$5:$AFS41),IF(AEL41=10,SUMPRODUCT(--(($AEM$5:$AEM41=$AEM41)*($AEL$5:$AEL41&gt;=7)*($AEL$5:$AEL41&lt;=9)),$AFS$5:$AFS41),0)))))</f>
        <v/>
      </c>
      <c r="AFU41" s="12">
        <f>AFU40+AFS41-AFT41</f>
        <v/>
      </c>
      <c r="AFV41" s="12">
        <f>IF(ProviderDelay&gt;=1,AFC40*BlendedProvPayEss+AFD40*BlendedProvPayPrem+AFE40*BlendedProvPayElite+AFF40*BlendedProvPayEss+AFG40*BlendedProvPayPrem+AFH40*BlendedProvPayElite,AFC41*BlendedProvPayEss+AFD41*BlendedProvPayPrem+AFE41*BlendedProvPayElite+AFF41*BlendedProvPayEss+AFG41*BlendedProvPayPrem+AFH41*BlendedProvPayElite)</f>
        <v/>
      </c>
      <c r="AFW41" s="12">
        <f>AFO41*PaymentFee</f>
        <v/>
      </c>
      <c r="AFX41" s="12">
        <f>AFI41*OpsAI</f>
        <v/>
      </c>
      <c r="AFY41" s="12">
        <f>MonthlyFixed</f>
        <v/>
      </c>
      <c r="AFZ41" s="12">
        <f>AES41*ReferralReward</f>
        <v/>
      </c>
      <c r="AGA41" s="12">
        <f>AEQ41</f>
        <v/>
      </c>
      <c r="AGB41" s="9">
        <f>AFR41-AFV41-AFW41-AFX41-AFY41-AFZ41-AGA41</f>
        <v/>
      </c>
      <c r="AGC41" s="9">
        <f>AGC40+AFO41-(AFV41+AFW41+AFX41+AFY41+AFZ41+AGA41+AFT41)</f>
        <v/>
      </c>
      <c r="AGD41" s="12">
        <f>IF(AFI41&gt;0,AFJ41/AFI41,0)</f>
        <v/>
      </c>
      <c r="AGE41" s="11">
        <f>IF(AFI40&gt;0,MAX(0,(AFI40+AET41-AFI41)/AFI40),0)</f>
        <v/>
      </c>
      <c r="AGG41" s="12" t="n">
        <v>37</v>
      </c>
      <c r="AGH41" s="12">
        <f>MOD(AGG41-1+LaunchMonth-1,12)+1</f>
        <v/>
      </c>
      <c r="AGI41" s="12">
        <f>INT((AGG41-1+LaunchMonth-1)/12)+1</f>
        <v/>
      </c>
      <c r="AGJ41" s="12">
        <f>VLOOKUP(AGH41,SeasonTable,2,FALSE)</f>
        <v/>
      </c>
      <c r="AGK41" s="12">
        <f>(1+InflationRate)^INT((AGG41-1)/12)</f>
        <v/>
      </c>
      <c r="AGL41" s="11">
        <f>MonthlyChurn*VLOOKUP(AGH41,ChurnSeasonTable,4,FALSE)</f>
        <v/>
      </c>
      <c r="AGM41" s="12">
        <f>MIN(MAX(MktMin19plus,AHK40*MktPct19plus),MAX(0,AHY40-CashBuffer))</f>
        <v/>
      </c>
      <c r="AGN41" s="12">
        <f>IF(AGM41&gt;0,MAX(1,ROUND(AGM41/CAC*AGJ41,0)),0)</f>
        <v/>
      </c>
      <c r="AGO41" s="12">
        <f>IF(AGN41&gt;0,ROUND(AGN41*ReferralMix/(1-ReferralMix),0),0)</f>
        <v/>
      </c>
      <c r="AGP41" s="12">
        <f>AGN41+AGO41</f>
        <v/>
      </c>
      <c r="AGQ41" s="12">
        <f>ROUND(AGP41*(1-'Sens - Annual Mix'!$A$15),0)</f>
        <v/>
      </c>
      <c r="AGR41" s="12">
        <f>AGP41-AGQ41</f>
        <v/>
      </c>
      <c r="AGS41" s="12">
        <f>ROUND(AGQ41*EssentialMix,0)</f>
        <v/>
      </c>
      <c r="AGT41" s="12">
        <f>ROUND(AGQ41*PremiumMix,0)</f>
        <v/>
      </c>
      <c r="AGU41" s="12">
        <f>AGQ41-AGS41-AGT41</f>
        <v/>
      </c>
      <c r="AGV41" s="12">
        <f>ROUND(AGR41*EssentialMix,0)</f>
        <v/>
      </c>
      <c r="AGW41" s="12">
        <f>ROUND(AGR41*PremiumMix,0)</f>
        <v/>
      </c>
      <c r="AGX41" s="12">
        <f>AGR41-AGV41-AGW41</f>
        <v/>
      </c>
      <c r="AGY41" s="12">
        <f>AGS41+AGS40+AGS39+MAX(0,AGY40-AGS40-AGS39)*(1-AGL41)</f>
        <v/>
      </c>
      <c r="AGZ41" s="12">
        <f>AGT41+AGT40+AGT39+MAX(0,AGZ40-AGT40-AGT39)*(1-AGL41)</f>
        <v/>
      </c>
      <c r="AHA41" s="12">
        <f>AGU41+AGU40+AGU39+MAX(0,AHA40-AGU40-AGU39)*(1-AGL41)</f>
        <v/>
      </c>
      <c r="AHB41" s="12">
        <f>AHB40+AGV41-AGV29*(AnnualChurn*VLOOKUP(AGH41,ChurnSeasonTable,4,FALSE))*POWER(1-(AnnualChurn*VLOOKUP(AGH41,ChurnSeasonTable,4,FALSE)),0)+AGV17*(AnnualChurn*VLOOKUP(AGH41,ChurnSeasonTable,4,FALSE))*POWER(1-(AnnualChurn*VLOOKUP(AGH41,ChurnSeasonTable,4,FALSE)),1)+AGV5*(AnnualChurn*VLOOKUP(AGH41,ChurnSeasonTable,4,FALSE))*POWER(1-(AnnualChurn*VLOOKUP(AGH41,ChurnSeasonTable,4,FALSE)),2)</f>
        <v/>
      </c>
      <c r="AHC41" s="12">
        <f>AHC40+AGW41-AGW29*(AnnualChurn*VLOOKUP(AGH41,ChurnSeasonTable,4,FALSE))*POWER(1-(AnnualChurn*VLOOKUP(AGH41,ChurnSeasonTable,4,FALSE)),0)+AGW17*(AnnualChurn*VLOOKUP(AGH41,ChurnSeasonTable,4,FALSE))*POWER(1-(AnnualChurn*VLOOKUP(AGH41,ChurnSeasonTable,4,FALSE)),1)+AGW5*(AnnualChurn*VLOOKUP(AGH41,ChurnSeasonTable,4,FALSE))*POWER(1-(AnnualChurn*VLOOKUP(AGH41,ChurnSeasonTable,4,FALSE)),2)</f>
        <v/>
      </c>
      <c r="AHD41" s="12">
        <f>AHD40+AGX41-AGX29*(AnnualChurn*VLOOKUP(AGH41,ChurnSeasonTable,4,FALSE))*POWER(1-(AnnualChurn*VLOOKUP(AGH41,ChurnSeasonTable,4,FALSE)),0)+AGX17*(AnnualChurn*VLOOKUP(AGH41,ChurnSeasonTable,4,FALSE))*POWER(1-(AnnualChurn*VLOOKUP(AGH41,ChurnSeasonTable,4,FALSE)),1)+AGX5*(AnnualChurn*VLOOKUP(AGH41,ChurnSeasonTable,4,FALSE))*POWER(1-(AnnualChurn*VLOOKUP(AGH41,ChurnSeasonTable,4,FALSE)),2)</f>
        <v/>
      </c>
      <c r="AHE41" s="12">
        <f>AGY41+AGZ41+AHA41+AHB41+AHC41+AHD41</f>
        <v/>
      </c>
      <c r="AHF41" s="9">
        <f>AGY41*BlendedPriceEssMonthly*AGK41+AGZ41*BlendedPricePremMonthly*AGK41+AHA41*BlendedPriceEliteMonthly*AGK41+AHB41*BlendedPriceEssAnnual*AGK41/12+AHC41*BlendedPricePremAnnual*AGK41/12+AHD41*BlendedPriceEliteAnnual*AGK41/12</f>
        <v/>
      </c>
      <c r="AHG41" s="9">
        <f>AHF41*12</f>
        <v/>
      </c>
      <c r="AHH41" s="12">
        <f>AGY41*BlendedPriceEssMonthly*AGK41+AGZ41*BlendedPricePremMonthly*AGK41+AHA41*BlendedPriceEliteMonthly*AGK41</f>
        <v/>
      </c>
      <c r="AHI41" s="12">
        <f>AGV41*BlendedPriceEssAnnual*AGK41+AGW41*BlendedPricePremAnnual*AGK41+AGX41*BlendedPriceEliteAnnual*AGK41</f>
        <v/>
      </c>
      <c r="AHJ41" s="12">
        <f>AGV29*POWER(1-(AnnualChurn*VLOOKUP(AGH41,ChurnSeasonTable,4,FALSE)),1)*BlendedPriceEssAnnual*AGK41+AGV17*POWER(1-(AnnualChurn*VLOOKUP(AGH41,ChurnSeasonTable,4,FALSE)),2)*BlendedPriceEssAnnual*AGK41+AGV5*POWER(1-(AnnualChurn*VLOOKUP(AGH41,ChurnSeasonTable,4,FALSE)),3)*BlendedPriceEssAnnual*AGK41+AGW29*POWER(1-(AnnualChurn*VLOOKUP(AGH41,ChurnSeasonTable,4,FALSE)),1)*BlendedPricePremAnnual*AGK41+AGW17*POWER(1-(AnnualChurn*VLOOKUP(AGH41,ChurnSeasonTable,4,FALSE)),2)*BlendedPricePremAnnual*AGK41+AGW5*POWER(1-(AnnualChurn*VLOOKUP(AGH41,ChurnSeasonTable,4,FALSE)),3)*BlendedPricePremAnnual*AGK41+AGX29*POWER(1-(AnnualChurn*VLOOKUP(AGH41,ChurnSeasonTable,4,FALSE)),1)*BlendedPriceEliteAnnual*AGK41+AGX17*POWER(1-(AnnualChurn*VLOOKUP(AGH41,ChurnSeasonTable,4,FALSE)),2)*BlendedPriceEliteAnnual*AGK41+AGX5*POWER(1-(AnnualChurn*VLOOKUP(AGH41,ChurnSeasonTable,4,FALSE)),3)*BlendedPriceEliteAnnual*AGK41</f>
        <v/>
      </c>
      <c r="AHK41" s="9">
        <f>AHH41+AHI41+AHJ41</f>
        <v/>
      </c>
      <c r="AHL41" s="12">
        <f>SUM(AHK30:AHK41)</f>
        <v/>
      </c>
      <c r="AHM41" s="12">
        <f>OR(AHM40,IF(VATAgentMode,SUM($AHK30:$AHK41)-SUM($AHR30:$AHR41)&gt;=VATThreshold,SUM($AHK30:$AHK41)&gt;=VATThreshold))</f>
        <v/>
      </c>
      <c r="AHN41" s="9">
        <f>IF(AHM41,IF(VATAgentMode,AHK41-((AHK41-AHR41)-(AHK41-AHR41)/(1+VATRate)),AHK41/(1+VATRate)),AHK41)</f>
        <v/>
      </c>
      <c r="AHO41" s="12">
        <f>AHK41-AHN41</f>
        <v/>
      </c>
      <c r="AHP41" s="12">
        <f>IF(AHM41=0,0,IF(AGH41=1,SUMPRODUCT(--(($AGI$5:$AGI41=$AGI41-1)*($AGH$5:$AGH41&gt;=10)*($AGH$5:$AGH41&lt;=12)),$AHO$5:$AHO41),IF(AGH41=4,SUMPRODUCT(--(($AGI$5:$AGI41=$AGI41)*($AGH$5:$AGH41&gt;=1)*($AGH$5:$AGH41&lt;=3)),$AHO$5:$AHO41),IF(AGH41=7,SUMPRODUCT(--(($AGI$5:$AGI41=$AGI41)*($AGH$5:$AGH41&gt;=4)*($AGH$5:$AGH41&lt;=6)),$AHO$5:$AHO41),IF(AGH41=10,SUMPRODUCT(--(($AGI$5:$AGI41=$AGI41)*($AGH$5:$AGH41&gt;=7)*($AGH$5:$AGH41&lt;=9)),$AHO$5:$AHO41),0)))))</f>
        <v/>
      </c>
      <c r="AHQ41" s="12">
        <f>AHQ40+AHO41-AHP41</f>
        <v/>
      </c>
      <c r="AHR41" s="12">
        <f>IF(ProviderDelay&gt;=1,AGY40*BlendedProvPayEss+AGZ40*BlendedProvPayPrem+AHA40*BlendedProvPayElite+AHB40*BlendedProvPayEss+AHC40*BlendedProvPayPrem+AHD40*BlendedProvPayElite,AGY41*BlendedProvPayEss+AGZ41*BlendedProvPayPrem+AHA41*BlendedProvPayElite+AHB41*BlendedProvPayEss+AHC41*BlendedProvPayPrem+AHD41*BlendedProvPayElite)</f>
        <v/>
      </c>
      <c r="AHS41" s="12">
        <f>AHK41*PaymentFee</f>
        <v/>
      </c>
      <c r="AHT41" s="12">
        <f>AHE41*OpsAI</f>
        <v/>
      </c>
      <c r="AHU41" s="12">
        <f>MonthlyFixed</f>
        <v/>
      </c>
      <c r="AHV41" s="12">
        <f>AGO41*ReferralReward</f>
        <v/>
      </c>
      <c r="AHW41" s="12">
        <f>AGM41</f>
        <v/>
      </c>
      <c r="AHX41" s="9">
        <f>AHN41-AHR41-AHS41-AHT41-AHU41-AHV41-AHW41</f>
        <v/>
      </c>
      <c r="AHY41" s="9">
        <f>AHY40+AHK41-(AHR41+AHS41+AHT41+AHU41+AHV41+AHW41+AHP41)</f>
        <v/>
      </c>
      <c r="AHZ41" s="12">
        <f>IF(AHE41&gt;0,AHF41/AHE41,0)</f>
        <v/>
      </c>
      <c r="AIA41" s="11">
        <f>IF(AHE40&gt;0,MAX(0,(AHE40+AGP41-AHE41)/AHE40),0)</f>
        <v/>
      </c>
      <c r="AIC41" s="12" t="n">
        <v>37</v>
      </c>
      <c r="AID41" s="12">
        <f>MOD(AIC41-1+LaunchMonth-1,12)+1</f>
        <v/>
      </c>
      <c r="AIE41" s="12">
        <f>INT((AIC41-1+LaunchMonth-1)/12)+1</f>
        <v/>
      </c>
      <c r="AIF41" s="12">
        <f>VLOOKUP(AID41,SeasonTable,2,FALSE)</f>
        <v/>
      </c>
      <c r="AIG41" s="12">
        <f>(1+InflationRate)^INT((AIC41-1)/12)</f>
        <v/>
      </c>
      <c r="AIH41" s="11">
        <f>MonthlyChurn*VLOOKUP(AID41,ChurnSeasonTable,4,FALSE)</f>
        <v/>
      </c>
      <c r="AII41" s="12">
        <f>MIN(MAX(MktMin19plus,AJG40*MktPct19plus),MAX(0,AJU40-CashBuffer))</f>
        <v/>
      </c>
      <c r="AIJ41" s="12">
        <f>IF(AII41&gt;0,MAX(1,ROUND(AII41/'Sens - CAC &amp; Marketing'!$A$9*AIF41,0)),0)</f>
        <v/>
      </c>
      <c r="AIK41" s="12">
        <f>IF(AIJ41&gt;0,ROUND(AIJ41*ReferralMix/(1-ReferralMix),0),0)</f>
        <v/>
      </c>
      <c r="AIL41" s="12">
        <f>AIJ41+AIK41</f>
        <v/>
      </c>
      <c r="AIM41" s="12">
        <f>ROUND(AIL41*(1-AnnualMix),0)</f>
        <v/>
      </c>
      <c r="AIN41" s="12">
        <f>AIL41-AIM41</f>
        <v/>
      </c>
      <c r="AIO41" s="12">
        <f>ROUND(AIM41*EssentialMix,0)</f>
        <v/>
      </c>
      <c r="AIP41" s="12">
        <f>ROUND(AIM41*PremiumMix,0)</f>
        <v/>
      </c>
      <c r="AIQ41" s="12">
        <f>AIM41-AIO41-AIP41</f>
        <v/>
      </c>
      <c r="AIR41" s="12">
        <f>ROUND(AIN41*EssentialMix,0)</f>
        <v/>
      </c>
      <c r="AIS41" s="12">
        <f>ROUND(AIN41*PremiumMix,0)</f>
        <v/>
      </c>
      <c r="AIT41" s="12">
        <f>AIN41-AIR41-AIS41</f>
        <v/>
      </c>
      <c r="AIU41" s="12">
        <f>AIO41+AIO40+AIO39+MAX(0,AIU40-AIO40-AIO39)*(1-AIH41)</f>
        <v/>
      </c>
      <c r="AIV41" s="12">
        <f>AIP41+AIP40+AIP39+MAX(0,AIV40-AIP40-AIP39)*(1-AIH41)</f>
        <v/>
      </c>
      <c r="AIW41" s="12">
        <f>AIQ41+AIQ40+AIQ39+MAX(0,AIW40-AIQ40-AIQ39)*(1-AIH41)</f>
        <v/>
      </c>
      <c r="AIX41" s="12">
        <f>AIX40+AIR41-AIR29*(AnnualChurn*VLOOKUP(AID41,ChurnSeasonTable,4,FALSE))*POWER(1-(AnnualChurn*VLOOKUP(AID41,ChurnSeasonTable,4,FALSE)),0)+AIR17*(AnnualChurn*VLOOKUP(AID41,ChurnSeasonTable,4,FALSE))*POWER(1-(AnnualChurn*VLOOKUP(AID41,ChurnSeasonTable,4,FALSE)),1)+AIR5*(AnnualChurn*VLOOKUP(AID41,ChurnSeasonTable,4,FALSE))*POWER(1-(AnnualChurn*VLOOKUP(AID41,ChurnSeasonTable,4,FALSE)),2)</f>
        <v/>
      </c>
      <c r="AIY41" s="12">
        <f>AIY40+AIS41-AIS29*(AnnualChurn*VLOOKUP(AID41,ChurnSeasonTable,4,FALSE))*POWER(1-(AnnualChurn*VLOOKUP(AID41,ChurnSeasonTable,4,FALSE)),0)+AIS17*(AnnualChurn*VLOOKUP(AID41,ChurnSeasonTable,4,FALSE))*POWER(1-(AnnualChurn*VLOOKUP(AID41,ChurnSeasonTable,4,FALSE)),1)+AIS5*(AnnualChurn*VLOOKUP(AID41,ChurnSeasonTable,4,FALSE))*POWER(1-(AnnualChurn*VLOOKUP(AID41,ChurnSeasonTable,4,FALSE)),2)</f>
        <v/>
      </c>
      <c r="AIZ41" s="12">
        <f>AIZ40+AIT41-AIT29*(AnnualChurn*VLOOKUP(AID41,ChurnSeasonTable,4,FALSE))*POWER(1-(AnnualChurn*VLOOKUP(AID41,ChurnSeasonTable,4,FALSE)),0)+AIT17*(AnnualChurn*VLOOKUP(AID41,ChurnSeasonTable,4,FALSE))*POWER(1-(AnnualChurn*VLOOKUP(AID41,ChurnSeasonTable,4,FALSE)),1)+AIT5*(AnnualChurn*VLOOKUP(AID41,ChurnSeasonTable,4,FALSE))*POWER(1-(AnnualChurn*VLOOKUP(AID41,ChurnSeasonTable,4,FALSE)),2)</f>
        <v/>
      </c>
      <c r="AJA41" s="12">
        <f>AIU41+AIV41+AIW41+AIX41+AIY41+AIZ41</f>
        <v/>
      </c>
      <c r="AJB41" s="9">
        <f>AIU41*BlendedPriceEssMonthly*AIG41+AIV41*BlendedPricePremMonthly*AIG41+AIW41*BlendedPriceEliteMonthly*AIG41+AIX41*BlendedPriceEssAnnual*AIG41/12+AIY41*BlendedPricePremAnnual*AIG41/12+AIZ41*BlendedPriceEliteAnnual*AIG41/12</f>
        <v/>
      </c>
      <c r="AJC41" s="9">
        <f>AJB41*12</f>
        <v/>
      </c>
      <c r="AJD41" s="12">
        <f>AIU41*BlendedPriceEssMonthly*AIG41+AIV41*BlendedPricePremMonthly*AIG41+AIW41*BlendedPriceEliteMonthly*AIG41</f>
        <v/>
      </c>
      <c r="AJE41" s="12">
        <f>AIR41*BlendedPriceEssAnnual*AIG41+AIS41*BlendedPricePremAnnual*AIG41+AIT41*BlendedPriceEliteAnnual*AIG41</f>
        <v/>
      </c>
      <c r="AJF41" s="12">
        <f>AIR29*POWER(1-(AnnualChurn*VLOOKUP(AID41,ChurnSeasonTable,4,FALSE)),1)*BlendedPriceEssAnnual*AIG41+AIR17*POWER(1-(AnnualChurn*VLOOKUP(AID41,ChurnSeasonTable,4,FALSE)),2)*BlendedPriceEssAnnual*AIG41+AIR5*POWER(1-(AnnualChurn*VLOOKUP(AID41,ChurnSeasonTable,4,FALSE)),3)*BlendedPriceEssAnnual*AIG41+AIS29*POWER(1-(AnnualChurn*VLOOKUP(AID41,ChurnSeasonTable,4,FALSE)),1)*BlendedPricePremAnnual*AIG41+AIS17*POWER(1-(AnnualChurn*VLOOKUP(AID41,ChurnSeasonTable,4,FALSE)),2)*BlendedPricePremAnnual*AIG41+AIS5*POWER(1-(AnnualChurn*VLOOKUP(AID41,ChurnSeasonTable,4,FALSE)),3)*BlendedPricePremAnnual*AIG41+AIT29*POWER(1-(AnnualChurn*VLOOKUP(AID41,ChurnSeasonTable,4,FALSE)),1)*BlendedPriceEliteAnnual*AIG41+AIT17*POWER(1-(AnnualChurn*VLOOKUP(AID41,ChurnSeasonTable,4,FALSE)),2)*BlendedPriceEliteAnnual*AIG41+AIT5*POWER(1-(AnnualChurn*VLOOKUP(AID41,ChurnSeasonTable,4,FALSE)),3)*BlendedPriceEliteAnnual*AIG41</f>
        <v/>
      </c>
      <c r="AJG41" s="9">
        <f>AJD41+AJE41+AJF41</f>
        <v/>
      </c>
      <c r="AJH41" s="12">
        <f>SUM(AJG30:AJG41)</f>
        <v/>
      </c>
      <c r="AJI41" s="12">
        <f>OR(AJI40,IF(VATAgentMode,SUM($AJG30:$AJG41)-SUM($AJN30:$AJN41)&gt;=VATThreshold,SUM($AJG30:$AJG41)&gt;=VATThreshold))</f>
        <v/>
      </c>
      <c r="AJJ41" s="9">
        <f>IF(AJI41,IF(VATAgentMode,AJG41-((AJG41-AJN41)-(AJG41-AJN41)/(1+VATRate)),AJG41/(1+VATRate)),AJG41)</f>
        <v/>
      </c>
      <c r="AJK41" s="12">
        <f>AJG41-AJJ41</f>
        <v/>
      </c>
      <c r="AJL41" s="12">
        <f>IF(AJI41=0,0,IF(AID41=1,SUMPRODUCT(--(($AIE$5:$AIE41=$AIE41-1)*($AID$5:$AID41&gt;=10)*($AID$5:$AID41&lt;=12)),$AJK$5:$AJK41),IF(AID41=4,SUMPRODUCT(--(($AIE$5:$AIE41=$AIE41)*($AID$5:$AID41&gt;=1)*($AID$5:$AID41&lt;=3)),$AJK$5:$AJK41),IF(AID41=7,SUMPRODUCT(--(($AIE$5:$AIE41=$AIE41)*($AID$5:$AID41&gt;=4)*($AID$5:$AID41&lt;=6)),$AJK$5:$AJK41),IF(AID41=10,SUMPRODUCT(--(($AIE$5:$AIE41=$AIE41)*($AID$5:$AID41&gt;=7)*($AID$5:$AID41&lt;=9)),$AJK$5:$AJK41),0)))))</f>
        <v/>
      </c>
      <c r="AJM41" s="12">
        <f>AJM40+AJK41-AJL41</f>
        <v/>
      </c>
      <c r="AJN41" s="12">
        <f>IF(ProviderDelay&gt;=1,AIU40*BlendedProvPayEss+AIV40*BlendedProvPayPrem+AIW40*BlendedProvPayElite+AIX40*BlendedProvPayEss+AIY40*BlendedProvPayPrem+AIZ40*BlendedProvPayElite,AIU41*BlendedProvPayEss+AIV41*BlendedProvPayPrem+AIW41*BlendedProvPayElite+AIX41*BlendedProvPayEss+AIY41*BlendedProvPayPrem+AIZ41*BlendedProvPayElite)</f>
        <v/>
      </c>
      <c r="AJO41" s="12">
        <f>AJG41*PaymentFee</f>
        <v/>
      </c>
      <c r="AJP41" s="12">
        <f>AJA41*OpsAI</f>
        <v/>
      </c>
      <c r="AJQ41" s="12">
        <f>MonthlyFixed</f>
        <v/>
      </c>
      <c r="AJR41" s="12">
        <f>AIK41*ReferralReward</f>
        <v/>
      </c>
      <c r="AJS41" s="12">
        <f>AII41</f>
        <v/>
      </c>
      <c r="AJT41" s="9">
        <f>AJJ41-AJN41-AJO41-AJP41-AJQ41-AJR41-AJS41</f>
        <v/>
      </c>
      <c r="AJU41" s="9">
        <f>AJU40+AJG41-(AJN41+AJO41+AJP41+AJQ41+AJR41+AJS41+AJL41)</f>
        <v/>
      </c>
      <c r="AJV41" s="12">
        <f>IF(AJA41&gt;0,AJB41/AJA41,0)</f>
        <v/>
      </c>
      <c r="AJW41" s="11">
        <f>IF(AJA40&gt;0,MAX(0,(AJA40+AIL41-AJA41)/AJA40),0)</f>
        <v/>
      </c>
      <c r="AJY41" s="12" t="n">
        <v>37</v>
      </c>
      <c r="AJZ41" s="12">
        <f>MOD(AJY41-1+LaunchMonth-1,12)+1</f>
        <v/>
      </c>
      <c r="AKA41" s="12">
        <f>INT((AJY41-1+LaunchMonth-1)/12)+1</f>
        <v/>
      </c>
      <c r="AKB41" s="12">
        <f>VLOOKUP(AJZ41,SeasonTable,2,FALSE)</f>
        <v/>
      </c>
      <c r="AKC41" s="12">
        <f>(1+InflationRate)^INT((AJY41-1)/12)</f>
        <v/>
      </c>
      <c r="AKD41" s="11">
        <f>MonthlyChurn*VLOOKUP(AJZ41,ChurnSeasonTable,4,FALSE)</f>
        <v/>
      </c>
      <c r="AKE41" s="12">
        <f>MIN(MAX(MktMin19plus,ALC40*MktPct19plus),MAX(0,ALQ40-CashBuffer))</f>
        <v/>
      </c>
      <c r="AKF41" s="12">
        <f>IF(AKE41&gt;0,MAX(1,ROUND(AKE41/'Sens - CAC &amp; Marketing'!$A$10*AKB41,0)),0)</f>
        <v/>
      </c>
      <c r="AKG41" s="12">
        <f>IF(AKF41&gt;0,ROUND(AKF41*ReferralMix/(1-ReferralMix),0),0)</f>
        <v/>
      </c>
      <c r="AKH41" s="12">
        <f>AKF41+AKG41</f>
        <v/>
      </c>
      <c r="AKI41" s="12">
        <f>ROUND(AKH41*(1-AnnualMix),0)</f>
        <v/>
      </c>
      <c r="AKJ41" s="12">
        <f>AKH41-AKI41</f>
        <v/>
      </c>
      <c r="AKK41" s="12">
        <f>ROUND(AKI41*EssentialMix,0)</f>
        <v/>
      </c>
      <c r="AKL41" s="12">
        <f>ROUND(AKI41*PremiumMix,0)</f>
        <v/>
      </c>
      <c r="AKM41" s="12">
        <f>AKI41-AKK41-AKL41</f>
        <v/>
      </c>
      <c r="AKN41" s="12">
        <f>ROUND(AKJ41*EssentialMix,0)</f>
        <v/>
      </c>
      <c r="AKO41" s="12">
        <f>ROUND(AKJ41*PremiumMix,0)</f>
        <v/>
      </c>
      <c r="AKP41" s="12">
        <f>AKJ41-AKN41-AKO41</f>
        <v/>
      </c>
      <c r="AKQ41" s="12">
        <f>AKK41+AKK40+AKK39+MAX(0,AKQ40-AKK40-AKK39)*(1-AKD41)</f>
        <v/>
      </c>
      <c r="AKR41" s="12">
        <f>AKL41+AKL40+AKL39+MAX(0,AKR40-AKL40-AKL39)*(1-AKD41)</f>
        <v/>
      </c>
      <c r="AKS41" s="12">
        <f>AKM41+AKM40+AKM39+MAX(0,AKS40-AKM40-AKM39)*(1-AKD41)</f>
        <v/>
      </c>
      <c r="AKT41" s="12">
        <f>AKT40+AKN41-AKN29*(AnnualChurn*VLOOKUP(AJZ41,ChurnSeasonTable,4,FALSE))*POWER(1-(AnnualChurn*VLOOKUP(AJZ41,ChurnSeasonTable,4,FALSE)),0)+AKN17*(AnnualChurn*VLOOKUP(AJZ41,ChurnSeasonTable,4,FALSE))*POWER(1-(AnnualChurn*VLOOKUP(AJZ41,ChurnSeasonTable,4,FALSE)),1)+AKN5*(AnnualChurn*VLOOKUP(AJZ41,ChurnSeasonTable,4,FALSE))*POWER(1-(AnnualChurn*VLOOKUP(AJZ41,ChurnSeasonTable,4,FALSE)),2)</f>
        <v/>
      </c>
      <c r="AKU41" s="12">
        <f>AKU40+AKO41-AKO29*(AnnualChurn*VLOOKUP(AJZ41,ChurnSeasonTable,4,FALSE))*POWER(1-(AnnualChurn*VLOOKUP(AJZ41,ChurnSeasonTable,4,FALSE)),0)+AKO17*(AnnualChurn*VLOOKUP(AJZ41,ChurnSeasonTable,4,FALSE))*POWER(1-(AnnualChurn*VLOOKUP(AJZ41,ChurnSeasonTable,4,FALSE)),1)+AKO5*(AnnualChurn*VLOOKUP(AJZ41,ChurnSeasonTable,4,FALSE))*POWER(1-(AnnualChurn*VLOOKUP(AJZ41,ChurnSeasonTable,4,FALSE)),2)</f>
        <v/>
      </c>
      <c r="AKV41" s="12">
        <f>AKV40+AKP41-AKP29*(AnnualChurn*VLOOKUP(AJZ41,ChurnSeasonTable,4,FALSE))*POWER(1-(AnnualChurn*VLOOKUP(AJZ41,ChurnSeasonTable,4,FALSE)),0)+AKP17*(AnnualChurn*VLOOKUP(AJZ41,ChurnSeasonTable,4,FALSE))*POWER(1-(AnnualChurn*VLOOKUP(AJZ41,ChurnSeasonTable,4,FALSE)),1)+AKP5*(AnnualChurn*VLOOKUP(AJZ41,ChurnSeasonTable,4,FALSE))*POWER(1-(AnnualChurn*VLOOKUP(AJZ41,ChurnSeasonTable,4,FALSE)),2)</f>
        <v/>
      </c>
      <c r="AKW41" s="12">
        <f>AKQ41+AKR41+AKS41+AKT41+AKU41+AKV41</f>
        <v/>
      </c>
      <c r="AKX41" s="9">
        <f>AKQ41*BlendedPriceEssMonthly*AKC41+AKR41*BlendedPricePremMonthly*AKC41+AKS41*BlendedPriceEliteMonthly*AKC41+AKT41*BlendedPriceEssAnnual*AKC41/12+AKU41*BlendedPricePremAnnual*AKC41/12+AKV41*BlendedPriceEliteAnnual*AKC41/12</f>
        <v/>
      </c>
      <c r="AKY41" s="9">
        <f>AKX41*12</f>
        <v/>
      </c>
      <c r="AKZ41" s="12">
        <f>AKQ41*BlendedPriceEssMonthly*AKC41+AKR41*BlendedPricePremMonthly*AKC41+AKS41*BlendedPriceEliteMonthly*AKC41</f>
        <v/>
      </c>
      <c r="ALA41" s="12">
        <f>AKN41*BlendedPriceEssAnnual*AKC41+AKO41*BlendedPricePremAnnual*AKC41+AKP41*BlendedPriceEliteAnnual*AKC41</f>
        <v/>
      </c>
      <c r="ALB41" s="12">
        <f>AKN29*POWER(1-(AnnualChurn*VLOOKUP(AJZ41,ChurnSeasonTable,4,FALSE)),1)*BlendedPriceEssAnnual*AKC41+AKN17*POWER(1-(AnnualChurn*VLOOKUP(AJZ41,ChurnSeasonTable,4,FALSE)),2)*BlendedPriceEssAnnual*AKC41+AKN5*POWER(1-(AnnualChurn*VLOOKUP(AJZ41,ChurnSeasonTable,4,FALSE)),3)*BlendedPriceEssAnnual*AKC41+AKO29*POWER(1-(AnnualChurn*VLOOKUP(AJZ41,ChurnSeasonTable,4,FALSE)),1)*BlendedPricePremAnnual*AKC41+AKO17*POWER(1-(AnnualChurn*VLOOKUP(AJZ41,ChurnSeasonTable,4,FALSE)),2)*BlendedPricePremAnnual*AKC41+AKO5*POWER(1-(AnnualChurn*VLOOKUP(AJZ41,ChurnSeasonTable,4,FALSE)),3)*BlendedPricePremAnnual*AKC41+AKP29*POWER(1-(AnnualChurn*VLOOKUP(AJZ41,ChurnSeasonTable,4,FALSE)),1)*BlendedPriceEliteAnnual*AKC41+AKP17*POWER(1-(AnnualChurn*VLOOKUP(AJZ41,ChurnSeasonTable,4,FALSE)),2)*BlendedPriceEliteAnnual*AKC41+AKP5*POWER(1-(AnnualChurn*VLOOKUP(AJZ41,ChurnSeasonTable,4,FALSE)),3)*BlendedPriceEliteAnnual*AKC41</f>
        <v/>
      </c>
      <c r="ALC41" s="9">
        <f>AKZ41+ALA41+ALB41</f>
        <v/>
      </c>
      <c r="ALD41" s="12">
        <f>SUM(ALC30:ALC41)</f>
        <v/>
      </c>
      <c r="ALE41" s="12">
        <f>OR(ALE40,IF(VATAgentMode,SUM($ALC30:$ALC41)-SUM($ALJ30:$ALJ41)&gt;=VATThreshold,SUM($ALC30:$ALC41)&gt;=VATThreshold))</f>
        <v/>
      </c>
      <c r="ALF41" s="9">
        <f>IF(ALE41,IF(VATAgentMode,ALC41-((ALC41-ALJ41)-(ALC41-ALJ41)/(1+VATRate)),ALC41/(1+VATRate)),ALC41)</f>
        <v/>
      </c>
      <c r="ALG41" s="12">
        <f>ALC41-ALF41</f>
        <v/>
      </c>
      <c r="ALH41" s="12">
        <f>IF(ALE41=0,0,IF(AJZ41=1,SUMPRODUCT(--(($AKA$5:$AKA41=$AKA41-1)*($AJZ$5:$AJZ41&gt;=10)*($AJZ$5:$AJZ41&lt;=12)),$ALG$5:$ALG41),IF(AJZ41=4,SUMPRODUCT(--(($AKA$5:$AKA41=$AKA41)*($AJZ$5:$AJZ41&gt;=1)*($AJZ$5:$AJZ41&lt;=3)),$ALG$5:$ALG41),IF(AJZ41=7,SUMPRODUCT(--(($AKA$5:$AKA41=$AKA41)*($AJZ$5:$AJZ41&gt;=4)*($AJZ$5:$AJZ41&lt;=6)),$ALG$5:$ALG41),IF(AJZ41=10,SUMPRODUCT(--(($AKA$5:$AKA41=$AKA41)*($AJZ$5:$AJZ41&gt;=7)*($AJZ$5:$AJZ41&lt;=9)),$ALG$5:$ALG41),0)))))</f>
        <v/>
      </c>
      <c r="ALI41" s="12">
        <f>ALI40+ALG41-ALH41</f>
        <v/>
      </c>
      <c r="ALJ41" s="12">
        <f>IF(ProviderDelay&gt;=1,AKQ40*BlendedProvPayEss+AKR40*BlendedProvPayPrem+AKS40*BlendedProvPayElite+AKT40*BlendedProvPayEss+AKU40*BlendedProvPayPrem+AKV40*BlendedProvPayElite,AKQ41*BlendedProvPayEss+AKR41*BlendedProvPayPrem+AKS41*BlendedProvPayElite+AKT41*BlendedProvPayEss+AKU41*BlendedProvPayPrem+AKV41*BlendedProvPayElite)</f>
        <v/>
      </c>
      <c r="ALK41" s="12">
        <f>ALC41*PaymentFee</f>
        <v/>
      </c>
      <c r="ALL41" s="12">
        <f>AKW41*OpsAI</f>
        <v/>
      </c>
      <c r="ALM41" s="12">
        <f>MonthlyFixed</f>
        <v/>
      </c>
      <c r="ALN41" s="12">
        <f>AKG41*ReferralReward</f>
        <v/>
      </c>
      <c r="ALO41" s="12">
        <f>AKE41</f>
        <v/>
      </c>
      <c r="ALP41" s="9">
        <f>ALF41-ALJ41-ALK41-ALL41-ALM41-ALN41-ALO41</f>
        <v/>
      </c>
      <c r="ALQ41" s="9">
        <f>ALQ40+ALC41-(ALJ41+ALK41+ALL41+ALM41+ALN41+ALO41+ALH41)</f>
        <v/>
      </c>
      <c r="ALR41" s="12">
        <f>IF(AKW41&gt;0,AKX41/AKW41,0)</f>
        <v/>
      </c>
      <c r="ALS41" s="11">
        <f>IF(AKW40&gt;0,MAX(0,(AKW40+AKH41-AKW41)/AKW40),0)</f>
        <v/>
      </c>
      <c r="ALU41" s="12" t="n">
        <v>37</v>
      </c>
      <c r="ALV41" s="12">
        <f>MOD(ALU41-1+LaunchMonth-1,12)+1</f>
        <v/>
      </c>
      <c r="ALW41" s="12">
        <f>INT((ALU41-1+LaunchMonth-1)/12)+1</f>
        <v/>
      </c>
      <c r="ALX41" s="12">
        <f>VLOOKUP(ALV41,SeasonTable,2,FALSE)</f>
        <v/>
      </c>
      <c r="ALY41" s="12">
        <f>(1+InflationRate)^INT((ALU41-1)/12)</f>
        <v/>
      </c>
      <c r="ALZ41" s="11">
        <f>MonthlyChurn*VLOOKUP(ALV41,ChurnSeasonTable,4,FALSE)</f>
        <v/>
      </c>
      <c r="AMA41" s="12">
        <f>MIN(MAX(MktMin19plus,AMY40*MktPct19plus),MAX(0,ANM40-CashBuffer))</f>
        <v/>
      </c>
      <c r="AMB41" s="12">
        <f>IF(AMA41&gt;0,MAX(1,ROUND(AMA41/'Sens - CAC &amp; Marketing'!$A$11*ALX41,0)),0)</f>
        <v/>
      </c>
      <c r="AMC41" s="12">
        <f>IF(AMB41&gt;0,ROUND(AMB41*ReferralMix/(1-ReferralMix),0),0)</f>
        <v/>
      </c>
      <c r="AMD41" s="12">
        <f>AMB41+AMC41</f>
        <v/>
      </c>
      <c r="AME41" s="12">
        <f>ROUND(AMD41*(1-AnnualMix),0)</f>
        <v/>
      </c>
      <c r="AMF41" s="12">
        <f>AMD41-AME41</f>
        <v/>
      </c>
      <c r="AMG41" s="12">
        <f>ROUND(AME41*EssentialMix,0)</f>
        <v/>
      </c>
      <c r="AMH41" s="12">
        <f>ROUND(AME41*PremiumMix,0)</f>
        <v/>
      </c>
      <c r="AMI41" s="12">
        <f>AME41-AMG41-AMH41</f>
        <v/>
      </c>
      <c r="AMJ41" s="12">
        <f>ROUND(AMF41*EssentialMix,0)</f>
        <v/>
      </c>
      <c r="AMK41" s="12">
        <f>ROUND(AMF41*PremiumMix,0)</f>
        <v/>
      </c>
      <c r="AML41" s="12">
        <f>AMF41-AMJ41-AMK41</f>
        <v/>
      </c>
      <c r="AMM41" s="12">
        <f>AMG41+AMG40+AMG39+MAX(0,AMM40-AMG40-AMG39)*(1-ALZ41)</f>
        <v/>
      </c>
      <c r="AMN41" s="12">
        <f>AMH41+AMH40+AMH39+MAX(0,AMN40-AMH40-AMH39)*(1-ALZ41)</f>
        <v/>
      </c>
      <c r="AMO41" s="12">
        <f>AMI41+AMI40+AMI39+MAX(0,AMO40-AMI40-AMI39)*(1-ALZ41)</f>
        <v/>
      </c>
      <c r="AMP41" s="12">
        <f>AMP40+AMJ41-AMJ29*(AnnualChurn*VLOOKUP(ALV41,ChurnSeasonTable,4,FALSE))*POWER(1-(AnnualChurn*VLOOKUP(ALV41,ChurnSeasonTable,4,FALSE)),0)+AMJ17*(AnnualChurn*VLOOKUP(ALV41,ChurnSeasonTable,4,FALSE))*POWER(1-(AnnualChurn*VLOOKUP(ALV41,ChurnSeasonTable,4,FALSE)),1)+AMJ5*(AnnualChurn*VLOOKUP(ALV41,ChurnSeasonTable,4,FALSE))*POWER(1-(AnnualChurn*VLOOKUP(ALV41,ChurnSeasonTable,4,FALSE)),2)</f>
        <v/>
      </c>
      <c r="AMQ41" s="12">
        <f>AMQ40+AMK41-AMK29*(AnnualChurn*VLOOKUP(ALV41,ChurnSeasonTable,4,FALSE))*POWER(1-(AnnualChurn*VLOOKUP(ALV41,ChurnSeasonTable,4,FALSE)),0)+AMK17*(AnnualChurn*VLOOKUP(ALV41,ChurnSeasonTable,4,FALSE))*POWER(1-(AnnualChurn*VLOOKUP(ALV41,ChurnSeasonTable,4,FALSE)),1)+AMK5*(AnnualChurn*VLOOKUP(ALV41,ChurnSeasonTable,4,FALSE))*POWER(1-(AnnualChurn*VLOOKUP(ALV41,ChurnSeasonTable,4,FALSE)),2)</f>
        <v/>
      </c>
      <c r="AMR41" s="12">
        <f>AMR40+AML41-AML29*(AnnualChurn*VLOOKUP(ALV41,ChurnSeasonTable,4,FALSE))*POWER(1-(AnnualChurn*VLOOKUP(ALV41,ChurnSeasonTable,4,FALSE)),0)+AML17*(AnnualChurn*VLOOKUP(ALV41,ChurnSeasonTable,4,FALSE))*POWER(1-(AnnualChurn*VLOOKUP(ALV41,ChurnSeasonTable,4,FALSE)),1)+AML5*(AnnualChurn*VLOOKUP(ALV41,ChurnSeasonTable,4,FALSE))*POWER(1-(AnnualChurn*VLOOKUP(ALV41,ChurnSeasonTable,4,FALSE)),2)</f>
        <v/>
      </c>
      <c r="AMS41" s="12">
        <f>AMM41+AMN41+AMO41+AMP41+AMQ41+AMR41</f>
        <v/>
      </c>
      <c r="AMT41" s="9">
        <f>AMM41*BlendedPriceEssMonthly*ALY41+AMN41*BlendedPricePremMonthly*ALY41+AMO41*BlendedPriceEliteMonthly*ALY41+AMP41*BlendedPriceEssAnnual*ALY41/12+AMQ41*BlendedPricePremAnnual*ALY41/12+AMR41*BlendedPriceEliteAnnual*ALY41/12</f>
        <v/>
      </c>
      <c r="AMU41" s="9">
        <f>AMT41*12</f>
        <v/>
      </c>
      <c r="AMV41" s="12">
        <f>AMM41*BlendedPriceEssMonthly*ALY41+AMN41*BlendedPricePremMonthly*ALY41+AMO41*BlendedPriceEliteMonthly*ALY41</f>
        <v/>
      </c>
      <c r="AMW41" s="12">
        <f>AMJ41*BlendedPriceEssAnnual*ALY41+AMK41*BlendedPricePremAnnual*ALY41+AML41*BlendedPriceEliteAnnual*ALY41</f>
        <v/>
      </c>
      <c r="AMX41" s="12">
        <f>AMJ29*POWER(1-(AnnualChurn*VLOOKUP(ALV41,ChurnSeasonTable,4,FALSE)),1)*BlendedPriceEssAnnual*ALY41+AMJ17*POWER(1-(AnnualChurn*VLOOKUP(ALV41,ChurnSeasonTable,4,FALSE)),2)*BlendedPriceEssAnnual*ALY41+AMJ5*POWER(1-(AnnualChurn*VLOOKUP(ALV41,ChurnSeasonTable,4,FALSE)),3)*BlendedPriceEssAnnual*ALY41+AMK29*POWER(1-(AnnualChurn*VLOOKUP(ALV41,ChurnSeasonTable,4,FALSE)),1)*BlendedPricePremAnnual*ALY41+AMK17*POWER(1-(AnnualChurn*VLOOKUP(ALV41,ChurnSeasonTable,4,FALSE)),2)*BlendedPricePremAnnual*ALY41+AMK5*POWER(1-(AnnualChurn*VLOOKUP(ALV41,ChurnSeasonTable,4,FALSE)),3)*BlendedPricePremAnnual*ALY41+AML29*POWER(1-(AnnualChurn*VLOOKUP(ALV41,ChurnSeasonTable,4,FALSE)),1)*BlendedPriceEliteAnnual*ALY41+AML17*POWER(1-(AnnualChurn*VLOOKUP(ALV41,ChurnSeasonTable,4,FALSE)),2)*BlendedPriceEliteAnnual*ALY41+AML5*POWER(1-(AnnualChurn*VLOOKUP(ALV41,ChurnSeasonTable,4,FALSE)),3)*BlendedPriceEliteAnnual*ALY41</f>
        <v/>
      </c>
      <c r="AMY41" s="9">
        <f>AMV41+AMW41+AMX41</f>
        <v/>
      </c>
      <c r="AMZ41" s="12">
        <f>SUM(AMY30:AMY41)</f>
        <v/>
      </c>
      <c r="ANA41" s="12">
        <f>OR(ANA40,IF(VATAgentMode,SUM($AMY30:$AMY41)-SUM($ANF30:$ANF41)&gt;=VATThreshold,SUM($AMY30:$AMY41)&gt;=VATThreshold))</f>
        <v/>
      </c>
      <c r="ANB41" s="9">
        <f>IF(ANA41,IF(VATAgentMode,AMY41-((AMY41-ANF41)-(AMY41-ANF41)/(1+VATRate)),AMY41/(1+VATRate)),AMY41)</f>
        <v/>
      </c>
      <c r="ANC41" s="12">
        <f>AMY41-ANB41</f>
        <v/>
      </c>
      <c r="AND41" s="12">
        <f>IF(ANA41=0,0,IF(ALV41=1,SUMPRODUCT(--(($ALW$5:$ALW41=$ALW41-1)*($ALV$5:$ALV41&gt;=10)*($ALV$5:$ALV41&lt;=12)),$ANC$5:$ANC41),IF(ALV41=4,SUMPRODUCT(--(($ALW$5:$ALW41=$ALW41)*($ALV$5:$ALV41&gt;=1)*($ALV$5:$ALV41&lt;=3)),$ANC$5:$ANC41),IF(ALV41=7,SUMPRODUCT(--(($ALW$5:$ALW41=$ALW41)*($ALV$5:$ALV41&gt;=4)*($ALV$5:$ALV41&lt;=6)),$ANC$5:$ANC41),IF(ALV41=10,SUMPRODUCT(--(($ALW$5:$ALW41=$ALW41)*($ALV$5:$ALV41&gt;=7)*($ALV$5:$ALV41&lt;=9)),$ANC$5:$ANC41),0)))))</f>
        <v/>
      </c>
      <c r="ANE41" s="12">
        <f>ANE40+ANC41-AND41</f>
        <v/>
      </c>
      <c r="ANF41" s="12">
        <f>IF(ProviderDelay&gt;=1,AMM40*BlendedProvPayEss+AMN40*BlendedProvPayPrem+AMO40*BlendedProvPayElite+AMP40*BlendedProvPayEss+AMQ40*BlendedProvPayPrem+AMR40*BlendedProvPayElite,AMM41*BlendedProvPayEss+AMN41*BlendedProvPayPrem+AMO41*BlendedProvPayElite+AMP41*BlendedProvPayEss+AMQ41*BlendedProvPayPrem+AMR41*BlendedProvPayElite)</f>
        <v/>
      </c>
      <c r="ANG41" s="12">
        <f>AMY41*PaymentFee</f>
        <v/>
      </c>
      <c r="ANH41" s="12">
        <f>AMS41*OpsAI</f>
        <v/>
      </c>
      <c r="ANI41" s="12">
        <f>MonthlyFixed</f>
        <v/>
      </c>
      <c r="ANJ41" s="12">
        <f>AMC41*ReferralReward</f>
        <v/>
      </c>
      <c r="ANK41" s="12">
        <f>AMA41</f>
        <v/>
      </c>
      <c r="ANL41" s="9">
        <f>ANB41-ANF41-ANG41-ANH41-ANI41-ANJ41-ANK41</f>
        <v/>
      </c>
      <c r="ANM41" s="9">
        <f>ANM40+AMY41-(ANF41+ANG41+ANH41+ANI41+ANJ41+ANK41+AND41)</f>
        <v/>
      </c>
      <c r="ANN41" s="12">
        <f>IF(AMS41&gt;0,AMT41/AMS41,0)</f>
        <v/>
      </c>
      <c r="ANO41" s="11">
        <f>IF(AMS40&gt;0,MAX(0,(AMS40+AMD41-AMS41)/AMS40),0)</f>
        <v/>
      </c>
      <c r="ANQ41" s="12" t="n">
        <v>37</v>
      </c>
      <c r="ANR41" s="12">
        <f>MOD(ANQ41-1+LaunchMonth-1,12)+1</f>
        <v/>
      </c>
      <c r="ANS41" s="12">
        <f>INT((ANQ41-1+LaunchMonth-1)/12)+1</f>
        <v/>
      </c>
      <c r="ANT41" s="12">
        <f>VLOOKUP(ANR41,SeasonTable,2,FALSE)</f>
        <v/>
      </c>
      <c r="ANU41" s="12">
        <f>(1+InflationRate)^INT((ANQ41-1)/12)</f>
        <v/>
      </c>
      <c r="ANV41" s="11">
        <f>MonthlyChurn*VLOOKUP(ANR41,ChurnSeasonTable,4,FALSE)</f>
        <v/>
      </c>
      <c r="ANW41" s="12">
        <f>MIN(MAX(MktMin19plus,AOU40*MktPct19plus),MAX(0,API40-CashBuffer))</f>
        <v/>
      </c>
      <c r="ANX41" s="12">
        <f>IF(ANW41&gt;0,MAX(1,ROUND(ANW41/'Sens - CAC &amp; Marketing'!$A$12*ANT41,0)),0)</f>
        <v/>
      </c>
      <c r="ANY41" s="12">
        <f>IF(ANX41&gt;0,ROUND(ANX41*ReferralMix/(1-ReferralMix),0),0)</f>
        <v/>
      </c>
      <c r="ANZ41" s="12">
        <f>ANX41+ANY41</f>
        <v/>
      </c>
      <c r="AOA41" s="12">
        <f>ROUND(ANZ41*(1-AnnualMix),0)</f>
        <v/>
      </c>
      <c r="AOB41" s="12">
        <f>ANZ41-AOA41</f>
        <v/>
      </c>
      <c r="AOC41" s="12">
        <f>ROUND(AOA41*EssentialMix,0)</f>
        <v/>
      </c>
      <c r="AOD41" s="12">
        <f>ROUND(AOA41*PremiumMix,0)</f>
        <v/>
      </c>
      <c r="AOE41" s="12">
        <f>AOA41-AOC41-AOD41</f>
        <v/>
      </c>
      <c r="AOF41" s="12">
        <f>ROUND(AOB41*EssentialMix,0)</f>
        <v/>
      </c>
      <c r="AOG41" s="12">
        <f>ROUND(AOB41*PremiumMix,0)</f>
        <v/>
      </c>
      <c r="AOH41" s="12">
        <f>AOB41-AOF41-AOG41</f>
        <v/>
      </c>
      <c r="AOI41" s="12">
        <f>AOC41+AOC40+AOC39+MAX(0,AOI40-AOC40-AOC39)*(1-ANV41)</f>
        <v/>
      </c>
      <c r="AOJ41" s="12">
        <f>AOD41+AOD40+AOD39+MAX(0,AOJ40-AOD40-AOD39)*(1-ANV41)</f>
        <v/>
      </c>
      <c r="AOK41" s="12">
        <f>AOE41+AOE40+AOE39+MAX(0,AOK40-AOE40-AOE39)*(1-ANV41)</f>
        <v/>
      </c>
      <c r="AOL41" s="12">
        <f>AOL40+AOF41-AOF29*(AnnualChurn*VLOOKUP(ANR41,ChurnSeasonTable,4,FALSE))*POWER(1-(AnnualChurn*VLOOKUP(ANR41,ChurnSeasonTable,4,FALSE)),0)+AOF17*(AnnualChurn*VLOOKUP(ANR41,ChurnSeasonTable,4,FALSE))*POWER(1-(AnnualChurn*VLOOKUP(ANR41,ChurnSeasonTable,4,FALSE)),1)+AOF5*(AnnualChurn*VLOOKUP(ANR41,ChurnSeasonTable,4,FALSE))*POWER(1-(AnnualChurn*VLOOKUP(ANR41,ChurnSeasonTable,4,FALSE)),2)</f>
        <v/>
      </c>
      <c r="AOM41" s="12">
        <f>AOM40+AOG41-AOG29*(AnnualChurn*VLOOKUP(ANR41,ChurnSeasonTable,4,FALSE))*POWER(1-(AnnualChurn*VLOOKUP(ANR41,ChurnSeasonTable,4,FALSE)),0)+AOG17*(AnnualChurn*VLOOKUP(ANR41,ChurnSeasonTable,4,FALSE))*POWER(1-(AnnualChurn*VLOOKUP(ANR41,ChurnSeasonTable,4,FALSE)),1)+AOG5*(AnnualChurn*VLOOKUP(ANR41,ChurnSeasonTable,4,FALSE))*POWER(1-(AnnualChurn*VLOOKUP(ANR41,ChurnSeasonTable,4,FALSE)),2)</f>
        <v/>
      </c>
      <c r="AON41" s="12">
        <f>AON40+AOH41-AOH29*(AnnualChurn*VLOOKUP(ANR41,ChurnSeasonTable,4,FALSE))*POWER(1-(AnnualChurn*VLOOKUP(ANR41,ChurnSeasonTable,4,FALSE)),0)+AOH17*(AnnualChurn*VLOOKUP(ANR41,ChurnSeasonTable,4,FALSE))*POWER(1-(AnnualChurn*VLOOKUP(ANR41,ChurnSeasonTable,4,FALSE)),1)+AOH5*(AnnualChurn*VLOOKUP(ANR41,ChurnSeasonTable,4,FALSE))*POWER(1-(AnnualChurn*VLOOKUP(ANR41,ChurnSeasonTable,4,FALSE)),2)</f>
        <v/>
      </c>
      <c r="AOO41" s="12">
        <f>AOI41+AOJ41+AOK41+AOL41+AOM41+AON41</f>
        <v/>
      </c>
      <c r="AOP41" s="9">
        <f>AOI41*BlendedPriceEssMonthly*ANU41+AOJ41*BlendedPricePremMonthly*ANU41+AOK41*BlendedPriceEliteMonthly*ANU41+AOL41*BlendedPriceEssAnnual*ANU41/12+AOM41*BlendedPricePremAnnual*ANU41/12+AON41*BlendedPriceEliteAnnual*ANU41/12</f>
        <v/>
      </c>
      <c r="AOQ41" s="9">
        <f>AOP41*12</f>
        <v/>
      </c>
      <c r="AOR41" s="12">
        <f>AOI41*BlendedPriceEssMonthly*ANU41+AOJ41*BlendedPricePremMonthly*ANU41+AOK41*BlendedPriceEliteMonthly*ANU41</f>
        <v/>
      </c>
      <c r="AOS41" s="12">
        <f>AOF41*BlendedPriceEssAnnual*ANU41+AOG41*BlendedPricePremAnnual*ANU41+AOH41*BlendedPriceEliteAnnual*ANU41</f>
        <v/>
      </c>
      <c r="AOT41" s="12">
        <f>AOF29*POWER(1-(AnnualChurn*VLOOKUP(ANR41,ChurnSeasonTable,4,FALSE)),1)*BlendedPriceEssAnnual*ANU41+AOF17*POWER(1-(AnnualChurn*VLOOKUP(ANR41,ChurnSeasonTable,4,FALSE)),2)*BlendedPriceEssAnnual*ANU41+AOF5*POWER(1-(AnnualChurn*VLOOKUP(ANR41,ChurnSeasonTable,4,FALSE)),3)*BlendedPriceEssAnnual*ANU41+AOG29*POWER(1-(AnnualChurn*VLOOKUP(ANR41,ChurnSeasonTable,4,FALSE)),1)*BlendedPricePremAnnual*ANU41+AOG17*POWER(1-(AnnualChurn*VLOOKUP(ANR41,ChurnSeasonTable,4,FALSE)),2)*BlendedPricePremAnnual*ANU41+AOG5*POWER(1-(AnnualChurn*VLOOKUP(ANR41,ChurnSeasonTable,4,FALSE)),3)*BlendedPricePremAnnual*ANU41+AOH29*POWER(1-(AnnualChurn*VLOOKUP(ANR41,ChurnSeasonTable,4,FALSE)),1)*BlendedPriceEliteAnnual*ANU41+AOH17*POWER(1-(AnnualChurn*VLOOKUP(ANR41,ChurnSeasonTable,4,FALSE)),2)*BlendedPriceEliteAnnual*ANU41+AOH5*POWER(1-(AnnualChurn*VLOOKUP(ANR41,ChurnSeasonTable,4,FALSE)),3)*BlendedPriceEliteAnnual*ANU41</f>
        <v/>
      </c>
      <c r="AOU41" s="9">
        <f>AOR41+AOS41+AOT41</f>
        <v/>
      </c>
      <c r="AOV41" s="12">
        <f>SUM(AOU30:AOU41)</f>
        <v/>
      </c>
      <c r="AOW41" s="12">
        <f>OR(AOW40,IF(VATAgentMode,SUM($AOU30:$AOU41)-SUM($APB30:$APB41)&gt;=VATThreshold,SUM($AOU30:$AOU41)&gt;=VATThreshold))</f>
        <v/>
      </c>
      <c r="AOX41" s="9">
        <f>IF(AOW41,IF(VATAgentMode,AOU41-((AOU41-APB41)-(AOU41-APB41)/(1+VATRate)),AOU41/(1+VATRate)),AOU41)</f>
        <v/>
      </c>
      <c r="AOY41" s="12">
        <f>AOU41-AOX41</f>
        <v/>
      </c>
      <c r="AOZ41" s="12">
        <f>IF(AOW41=0,0,IF(ANR41=1,SUMPRODUCT(--(($ANS$5:$ANS41=$ANS41-1)*($ANR$5:$ANR41&gt;=10)*($ANR$5:$ANR41&lt;=12)),$AOY$5:$AOY41),IF(ANR41=4,SUMPRODUCT(--(($ANS$5:$ANS41=$ANS41)*($ANR$5:$ANR41&gt;=1)*($ANR$5:$ANR41&lt;=3)),$AOY$5:$AOY41),IF(ANR41=7,SUMPRODUCT(--(($ANS$5:$ANS41=$ANS41)*($ANR$5:$ANR41&gt;=4)*($ANR$5:$ANR41&lt;=6)),$AOY$5:$AOY41),IF(ANR41=10,SUMPRODUCT(--(($ANS$5:$ANS41=$ANS41)*($ANR$5:$ANR41&gt;=7)*($ANR$5:$ANR41&lt;=9)),$AOY$5:$AOY41),0)))))</f>
        <v/>
      </c>
      <c r="APA41" s="12">
        <f>APA40+AOY41-AOZ41</f>
        <v/>
      </c>
      <c r="APB41" s="12">
        <f>IF(ProviderDelay&gt;=1,AOI40*BlendedProvPayEss+AOJ40*BlendedProvPayPrem+AOK40*BlendedProvPayElite+AOL40*BlendedProvPayEss+AOM40*BlendedProvPayPrem+AON40*BlendedProvPayElite,AOI41*BlendedProvPayEss+AOJ41*BlendedProvPayPrem+AOK41*BlendedProvPayElite+AOL41*BlendedProvPayEss+AOM41*BlendedProvPayPrem+AON41*BlendedProvPayElite)</f>
        <v/>
      </c>
      <c r="APC41" s="12">
        <f>AOU41*PaymentFee</f>
        <v/>
      </c>
      <c r="APD41" s="12">
        <f>AOO41*OpsAI</f>
        <v/>
      </c>
      <c r="APE41" s="12">
        <f>MonthlyFixed</f>
        <v/>
      </c>
      <c r="APF41" s="12">
        <f>ANY41*ReferralReward</f>
        <v/>
      </c>
      <c r="APG41" s="12">
        <f>ANW41</f>
        <v/>
      </c>
      <c r="APH41" s="9">
        <f>AOX41-APB41-APC41-APD41-APE41-APF41-APG41</f>
        <v/>
      </c>
      <c r="API41" s="9">
        <f>API40+AOU41-(APB41+APC41+APD41+APE41+APF41+APG41+AOZ41)</f>
        <v/>
      </c>
      <c r="APJ41" s="12">
        <f>IF(AOO41&gt;0,AOP41/AOO41,0)</f>
        <v/>
      </c>
      <c r="APK41" s="11">
        <f>IF(AOO40&gt;0,MAX(0,(AOO40+ANZ41-AOO41)/AOO40),0)</f>
        <v/>
      </c>
      <c r="APM41" s="12" t="n">
        <v>37</v>
      </c>
      <c r="APN41" s="12">
        <f>MOD(APM41-1+LaunchMonth-1,12)+1</f>
        <v/>
      </c>
      <c r="APO41" s="12">
        <f>INT((APM41-1+LaunchMonth-1)/12)+1</f>
        <v/>
      </c>
      <c r="APP41" s="12">
        <f>VLOOKUP(APN41,SeasonTable,2,FALSE)</f>
        <v/>
      </c>
      <c r="APQ41" s="12">
        <f>(1+InflationRate)^INT((APM41-1)/12)</f>
        <v/>
      </c>
      <c r="APR41" s="11">
        <f>MonthlyChurn*VLOOKUP(APN41,ChurnSeasonTable,4,FALSE)</f>
        <v/>
      </c>
      <c r="APS41" s="12">
        <f>MIN(MAX(MktMin19plus,AQQ40*MktPct19plus),MAX(0,ARE40-CashBuffer))</f>
        <v/>
      </c>
      <c r="APT41" s="12">
        <f>IF(APS41&gt;0,MAX(1,ROUND(APS41/'Sens - CAC &amp; Marketing'!$A$13*APP41,0)),0)</f>
        <v/>
      </c>
      <c r="APU41" s="12">
        <f>IF(APT41&gt;0,ROUND(APT41*ReferralMix/(1-ReferralMix),0),0)</f>
        <v/>
      </c>
      <c r="APV41" s="12">
        <f>APT41+APU41</f>
        <v/>
      </c>
      <c r="APW41" s="12">
        <f>ROUND(APV41*(1-AnnualMix),0)</f>
        <v/>
      </c>
      <c r="APX41" s="12">
        <f>APV41-APW41</f>
        <v/>
      </c>
      <c r="APY41" s="12">
        <f>ROUND(APW41*EssentialMix,0)</f>
        <v/>
      </c>
      <c r="APZ41" s="12">
        <f>ROUND(APW41*PremiumMix,0)</f>
        <v/>
      </c>
      <c r="AQA41" s="12">
        <f>APW41-APY41-APZ41</f>
        <v/>
      </c>
      <c r="AQB41" s="12">
        <f>ROUND(APX41*EssentialMix,0)</f>
        <v/>
      </c>
      <c r="AQC41" s="12">
        <f>ROUND(APX41*PremiumMix,0)</f>
        <v/>
      </c>
      <c r="AQD41" s="12">
        <f>APX41-AQB41-AQC41</f>
        <v/>
      </c>
      <c r="AQE41" s="12">
        <f>APY41+APY40+APY39+MAX(0,AQE40-APY40-APY39)*(1-APR41)</f>
        <v/>
      </c>
      <c r="AQF41" s="12">
        <f>APZ41+APZ40+APZ39+MAX(0,AQF40-APZ40-APZ39)*(1-APR41)</f>
        <v/>
      </c>
      <c r="AQG41" s="12">
        <f>AQA41+AQA40+AQA39+MAX(0,AQG40-AQA40-AQA39)*(1-APR41)</f>
        <v/>
      </c>
      <c r="AQH41" s="12">
        <f>AQH40+AQB41-AQB29*(AnnualChurn*VLOOKUP(APN41,ChurnSeasonTable,4,FALSE))*POWER(1-(AnnualChurn*VLOOKUP(APN41,ChurnSeasonTable,4,FALSE)),0)+AQB17*(AnnualChurn*VLOOKUP(APN41,ChurnSeasonTable,4,FALSE))*POWER(1-(AnnualChurn*VLOOKUP(APN41,ChurnSeasonTable,4,FALSE)),1)+AQB5*(AnnualChurn*VLOOKUP(APN41,ChurnSeasonTable,4,FALSE))*POWER(1-(AnnualChurn*VLOOKUP(APN41,ChurnSeasonTable,4,FALSE)),2)</f>
        <v/>
      </c>
      <c r="AQI41" s="12">
        <f>AQI40+AQC41-AQC29*(AnnualChurn*VLOOKUP(APN41,ChurnSeasonTable,4,FALSE))*POWER(1-(AnnualChurn*VLOOKUP(APN41,ChurnSeasonTable,4,FALSE)),0)+AQC17*(AnnualChurn*VLOOKUP(APN41,ChurnSeasonTable,4,FALSE))*POWER(1-(AnnualChurn*VLOOKUP(APN41,ChurnSeasonTable,4,FALSE)),1)+AQC5*(AnnualChurn*VLOOKUP(APN41,ChurnSeasonTable,4,FALSE))*POWER(1-(AnnualChurn*VLOOKUP(APN41,ChurnSeasonTable,4,FALSE)),2)</f>
        <v/>
      </c>
      <c r="AQJ41" s="12">
        <f>AQJ40+AQD41-AQD29*(AnnualChurn*VLOOKUP(APN41,ChurnSeasonTable,4,FALSE))*POWER(1-(AnnualChurn*VLOOKUP(APN41,ChurnSeasonTable,4,FALSE)),0)+AQD17*(AnnualChurn*VLOOKUP(APN41,ChurnSeasonTable,4,FALSE))*POWER(1-(AnnualChurn*VLOOKUP(APN41,ChurnSeasonTable,4,FALSE)),1)+AQD5*(AnnualChurn*VLOOKUP(APN41,ChurnSeasonTable,4,FALSE))*POWER(1-(AnnualChurn*VLOOKUP(APN41,ChurnSeasonTable,4,FALSE)),2)</f>
        <v/>
      </c>
      <c r="AQK41" s="12">
        <f>AQE41+AQF41+AQG41+AQH41+AQI41+AQJ41</f>
        <v/>
      </c>
      <c r="AQL41" s="9">
        <f>AQE41*BlendedPriceEssMonthly*APQ41+AQF41*BlendedPricePremMonthly*APQ41+AQG41*BlendedPriceEliteMonthly*APQ41+AQH41*BlendedPriceEssAnnual*APQ41/12+AQI41*BlendedPricePremAnnual*APQ41/12+AQJ41*BlendedPriceEliteAnnual*APQ41/12</f>
        <v/>
      </c>
      <c r="AQM41" s="9">
        <f>AQL41*12</f>
        <v/>
      </c>
      <c r="AQN41" s="12">
        <f>AQE41*BlendedPriceEssMonthly*APQ41+AQF41*BlendedPricePremMonthly*APQ41+AQG41*BlendedPriceEliteMonthly*APQ41</f>
        <v/>
      </c>
      <c r="AQO41" s="12">
        <f>AQB41*BlendedPriceEssAnnual*APQ41+AQC41*BlendedPricePremAnnual*APQ41+AQD41*BlendedPriceEliteAnnual*APQ41</f>
        <v/>
      </c>
      <c r="AQP41" s="12">
        <f>AQB29*POWER(1-(AnnualChurn*VLOOKUP(APN41,ChurnSeasonTable,4,FALSE)),1)*BlendedPriceEssAnnual*APQ41+AQB17*POWER(1-(AnnualChurn*VLOOKUP(APN41,ChurnSeasonTable,4,FALSE)),2)*BlendedPriceEssAnnual*APQ41+AQB5*POWER(1-(AnnualChurn*VLOOKUP(APN41,ChurnSeasonTable,4,FALSE)),3)*BlendedPriceEssAnnual*APQ41+AQC29*POWER(1-(AnnualChurn*VLOOKUP(APN41,ChurnSeasonTable,4,FALSE)),1)*BlendedPricePremAnnual*APQ41+AQC17*POWER(1-(AnnualChurn*VLOOKUP(APN41,ChurnSeasonTable,4,FALSE)),2)*BlendedPricePremAnnual*APQ41+AQC5*POWER(1-(AnnualChurn*VLOOKUP(APN41,ChurnSeasonTable,4,FALSE)),3)*BlendedPricePremAnnual*APQ41+AQD29*POWER(1-(AnnualChurn*VLOOKUP(APN41,ChurnSeasonTable,4,FALSE)),1)*BlendedPriceEliteAnnual*APQ41+AQD17*POWER(1-(AnnualChurn*VLOOKUP(APN41,ChurnSeasonTable,4,FALSE)),2)*BlendedPriceEliteAnnual*APQ41+AQD5*POWER(1-(AnnualChurn*VLOOKUP(APN41,ChurnSeasonTable,4,FALSE)),3)*BlendedPriceEliteAnnual*APQ41</f>
        <v/>
      </c>
      <c r="AQQ41" s="9">
        <f>AQN41+AQO41+AQP41</f>
        <v/>
      </c>
      <c r="AQR41" s="12">
        <f>SUM(AQQ30:AQQ41)</f>
        <v/>
      </c>
      <c r="AQS41" s="12">
        <f>OR(AQS40,IF(VATAgentMode,SUM($AQQ30:$AQQ41)-SUM($AQX30:$AQX41)&gt;=VATThreshold,SUM($AQQ30:$AQQ41)&gt;=VATThreshold))</f>
        <v/>
      </c>
      <c r="AQT41" s="9">
        <f>IF(AQS41,IF(VATAgentMode,AQQ41-((AQQ41-AQX41)-(AQQ41-AQX41)/(1+VATRate)),AQQ41/(1+VATRate)),AQQ41)</f>
        <v/>
      </c>
      <c r="AQU41" s="12">
        <f>AQQ41-AQT41</f>
        <v/>
      </c>
      <c r="AQV41" s="12">
        <f>IF(AQS41=0,0,IF(APN41=1,SUMPRODUCT(--(($APO$5:$APO41=$APO41-1)*($APN$5:$APN41&gt;=10)*($APN$5:$APN41&lt;=12)),$AQU$5:$AQU41),IF(APN41=4,SUMPRODUCT(--(($APO$5:$APO41=$APO41)*($APN$5:$APN41&gt;=1)*($APN$5:$APN41&lt;=3)),$AQU$5:$AQU41),IF(APN41=7,SUMPRODUCT(--(($APO$5:$APO41=$APO41)*($APN$5:$APN41&gt;=4)*($APN$5:$APN41&lt;=6)),$AQU$5:$AQU41),IF(APN41=10,SUMPRODUCT(--(($APO$5:$APO41=$APO41)*($APN$5:$APN41&gt;=7)*($APN$5:$APN41&lt;=9)),$AQU$5:$AQU41),0)))))</f>
        <v/>
      </c>
      <c r="AQW41" s="12">
        <f>AQW40+AQU41-AQV41</f>
        <v/>
      </c>
      <c r="AQX41" s="12">
        <f>IF(ProviderDelay&gt;=1,AQE40*BlendedProvPayEss+AQF40*BlendedProvPayPrem+AQG40*BlendedProvPayElite+AQH40*BlendedProvPayEss+AQI40*BlendedProvPayPrem+AQJ40*BlendedProvPayElite,AQE41*BlendedProvPayEss+AQF41*BlendedProvPayPrem+AQG41*BlendedProvPayElite+AQH41*BlendedProvPayEss+AQI41*BlendedProvPayPrem+AQJ41*BlendedProvPayElite)</f>
        <v/>
      </c>
      <c r="AQY41" s="12">
        <f>AQQ41*PaymentFee</f>
        <v/>
      </c>
      <c r="AQZ41" s="12">
        <f>AQK41*OpsAI</f>
        <v/>
      </c>
      <c r="ARA41" s="12">
        <f>MonthlyFixed</f>
        <v/>
      </c>
      <c r="ARB41" s="12">
        <f>APU41*ReferralReward</f>
        <v/>
      </c>
      <c r="ARC41" s="12">
        <f>APS41</f>
        <v/>
      </c>
      <c r="ARD41" s="9">
        <f>AQT41-AQX41-AQY41-AQZ41-ARA41-ARB41-ARC41</f>
        <v/>
      </c>
      <c r="ARE41" s="9">
        <f>ARE40+AQQ41-(AQX41+AQY41+AQZ41+ARA41+ARB41+ARC41+AQV41)</f>
        <v/>
      </c>
      <c r="ARF41" s="12">
        <f>IF(AQK41&gt;0,AQL41/AQK41,0)</f>
        <v/>
      </c>
      <c r="ARG41" s="11">
        <f>IF(AQK40&gt;0,MAX(0,(AQK40+APV41-AQK41)/AQK40),0)</f>
        <v/>
      </c>
      <c r="ARI41" s="12" t="n">
        <v>37</v>
      </c>
      <c r="ARJ41" s="12">
        <f>MOD(ARI41-1+LaunchMonth-1,12)+1</f>
        <v/>
      </c>
      <c r="ARK41" s="12">
        <f>INT((ARI41-1+LaunchMonth-1)/12)+1</f>
        <v/>
      </c>
      <c r="ARL41" s="12">
        <f>VLOOKUP(ARJ41,SeasonTable,2,FALSE)</f>
        <v/>
      </c>
      <c r="ARM41" s="12">
        <f>(1+InflationRate)^INT((ARI41-1)/12)</f>
        <v/>
      </c>
      <c r="ARN41" s="11">
        <f>MonthlyChurn*VLOOKUP(ARJ41,ChurnSeasonTable,4,FALSE)</f>
        <v/>
      </c>
      <c r="ARO41" s="12">
        <f>MIN(MAX(MktMin19plus,ASM40*MktPct19plus),MAX(0,ATA40-CashBuffer))</f>
        <v/>
      </c>
      <c r="ARP41" s="12">
        <f>IF(ARO41&gt;0,MAX(1,ROUND(ARO41/'Sens - CAC &amp; Marketing'!$A$14*ARL41,0)),0)</f>
        <v/>
      </c>
      <c r="ARQ41" s="12">
        <f>IF(ARP41&gt;0,ROUND(ARP41*ReferralMix/(1-ReferralMix),0),0)</f>
        <v/>
      </c>
      <c r="ARR41" s="12">
        <f>ARP41+ARQ41</f>
        <v/>
      </c>
      <c r="ARS41" s="12">
        <f>ROUND(ARR41*(1-AnnualMix),0)</f>
        <v/>
      </c>
      <c r="ART41" s="12">
        <f>ARR41-ARS41</f>
        <v/>
      </c>
      <c r="ARU41" s="12">
        <f>ROUND(ARS41*EssentialMix,0)</f>
        <v/>
      </c>
      <c r="ARV41" s="12">
        <f>ROUND(ARS41*PremiumMix,0)</f>
        <v/>
      </c>
      <c r="ARW41" s="12">
        <f>ARS41-ARU41-ARV41</f>
        <v/>
      </c>
      <c r="ARX41" s="12">
        <f>ROUND(ART41*EssentialMix,0)</f>
        <v/>
      </c>
      <c r="ARY41" s="12">
        <f>ROUND(ART41*PremiumMix,0)</f>
        <v/>
      </c>
      <c r="ARZ41" s="12">
        <f>ART41-ARX41-ARY41</f>
        <v/>
      </c>
      <c r="ASA41" s="12">
        <f>ARU41+ARU40+ARU39+MAX(0,ASA40-ARU40-ARU39)*(1-ARN41)</f>
        <v/>
      </c>
      <c r="ASB41" s="12">
        <f>ARV41+ARV40+ARV39+MAX(0,ASB40-ARV40-ARV39)*(1-ARN41)</f>
        <v/>
      </c>
      <c r="ASC41" s="12">
        <f>ARW41+ARW40+ARW39+MAX(0,ASC40-ARW40-ARW39)*(1-ARN41)</f>
        <v/>
      </c>
      <c r="ASD41" s="12">
        <f>ASD40+ARX41-ARX29*(AnnualChurn*VLOOKUP(ARJ41,ChurnSeasonTable,4,FALSE))*POWER(1-(AnnualChurn*VLOOKUP(ARJ41,ChurnSeasonTable,4,FALSE)),0)+ARX17*(AnnualChurn*VLOOKUP(ARJ41,ChurnSeasonTable,4,FALSE))*POWER(1-(AnnualChurn*VLOOKUP(ARJ41,ChurnSeasonTable,4,FALSE)),1)+ARX5*(AnnualChurn*VLOOKUP(ARJ41,ChurnSeasonTable,4,FALSE))*POWER(1-(AnnualChurn*VLOOKUP(ARJ41,ChurnSeasonTable,4,FALSE)),2)</f>
        <v/>
      </c>
      <c r="ASE41" s="12">
        <f>ASE40+ARY41-ARY29*(AnnualChurn*VLOOKUP(ARJ41,ChurnSeasonTable,4,FALSE))*POWER(1-(AnnualChurn*VLOOKUP(ARJ41,ChurnSeasonTable,4,FALSE)),0)+ARY17*(AnnualChurn*VLOOKUP(ARJ41,ChurnSeasonTable,4,FALSE))*POWER(1-(AnnualChurn*VLOOKUP(ARJ41,ChurnSeasonTable,4,FALSE)),1)+ARY5*(AnnualChurn*VLOOKUP(ARJ41,ChurnSeasonTable,4,FALSE))*POWER(1-(AnnualChurn*VLOOKUP(ARJ41,ChurnSeasonTable,4,FALSE)),2)</f>
        <v/>
      </c>
      <c r="ASF41" s="12">
        <f>ASF40+ARZ41-ARZ29*(AnnualChurn*VLOOKUP(ARJ41,ChurnSeasonTable,4,FALSE))*POWER(1-(AnnualChurn*VLOOKUP(ARJ41,ChurnSeasonTable,4,FALSE)),0)+ARZ17*(AnnualChurn*VLOOKUP(ARJ41,ChurnSeasonTable,4,FALSE))*POWER(1-(AnnualChurn*VLOOKUP(ARJ41,ChurnSeasonTable,4,FALSE)),1)+ARZ5*(AnnualChurn*VLOOKUP(ARJ41,ChurnSeasonTable,4,FALSE))*POWER(1-(AnnualChurn*VLOOKUP(ARJ41,ChurnSeasonTable,4,FALSE)),2)</f>
        <v/>
      </c>
      <c r="ASG41" s="12">
        <f>ASA41+ASB41+ASC41+ASD41+ASE41+ASF41</f>
        <v/>
      </c>
      <c r="ASH41" s="9">
        <f>ASA41*BlendedPriceEssMonthly*ARM41+ASB41*BlendedPricePremMonthly*ARM41+ASC41*BlendedPriceEliteMonthly*ARM41+ASD41*BlendedPriceEssAnnual*ARM41/12+ASE41*BlendedPricePremAnnual*ARM41/12+ASF41*BlendedPriceEliteAnnual*ARM41/12</f>
        <v/>
      </c>
      <c r="ASI41" s="9">
        <f>ASH41*12</f>
        <v/>
      </c>
      <c r="ASJ41" s="12">
        <f>ASA41*BlendedPriceEssMonthly*ARM41+ASB41*BlendedPricePremMonthly*ARM41+ASC41*BlendedPriceEliteMonthly*ARM41</f>
        <v/>
      </c>
      <c r="ASK41" s="12">
        <f>ARX41*BlendedPriceEssAnnual*ARM41+ARY41*BlendedPricePremAnnual*ARM41+ARZ41*BlendedPriceEliteAnnual*ARM41</f>
        <v/>
      </c>
      <c r="ASL41" s="12">
        <f>ARX29*POWER(1-(AnnualChurn*VLOOKUP(ARJ41,ChurnSeasonTable,4,FALSE)),1)*BlendedPriceEssAnnual*ARM41+ARX17*POWER(1-(AnnualChurn*VLOOKUP(ARJ41,ChurnSeasonTable,4,FALSE)),2)*BlendedPriceEssAnnual*ARM41+ARX5*POWER(1-(AnnualChurn*VLOOKUP(ARJ41,ChurnSeasonTable,4,FALSE)),3)*BlendedPriceEssAnnual*ARM41+ARY29*POWER(1-(AnnualChurn*VLOOKUP(ARJ41,ChurnSeasonTable,4,FALSE)),1)*BlendedPricePremAnnual*ARM41+ARY17*POWER(1-(AnnualChurn*VLOOKUP(ARJ41,ChurnSeasonTable,4,FALSE)),2)*BlendedPricePremAnnual*ARM41+ARY5*POWER(1-(AnnualChurn*VLOOKUP(ARJ41,ChurnSeasonTable,4,FALSE)),3)*BlendedPricePremAnnual*ARM41+ARZ29*POWER(1-(AnnualChurn*VLOOKUP(ARJ41,ChurnSeasonTable,4,FALSE)),1)*BlendedPriceEliteAnnual*ARM41+ARZ17*POWER(1-(AnnualChurn*VLOOKUP(ARJ41,ChurnSeasonTable,4,FALSE)),2)*BlendedPriceEliteAnnual*ARM41+ARZ5*POWER(1-(AnnualChurn*VLOOKUP(ARJ41,ChurnSeasonTable,4,FALSE)),3)*BlendedPriceEliteAnnual*ARM41</f>
        <v/>
      </c>
      <c r="ASM41" s="9">
        <f>ASJ41+ASK41+ASL41</f>
        <v/>
      </c>
      <c r="ASN41" s="12">
        <f>SUM(ASM30:ASM41)</f>
        <v/>
      </c>
      <c r="ASO41" s="12">
        <f>OR(ASO40,IF(VATAgentMode,SUM($ASM30:$ASM41)-SUM($AST30:$AST41)&gt;=VATThreshold,SUM($ASM30:$ASM41)&gt;=VATThreshold))</f>
        <v/>
      </c>
      <c r="ASP41" s="9">
        <f>IF(ASO41,IF(VATAgentMode,ASM41-((ASM41-AST41)-(ASM41-AST41)/(1+VATRate)),ASM41/(1+VATRate)),ASM41)</f>
        <v/>
      </c>
      <c r="ASQ41" s="12">
        <f>ASM41-ASP41</f>
        <v/>
      </c>
      <c r="ASR41" s="12">
        <f>IF(ASO41=0,0,IF(ARJ41=1,SUMPRODUCT(--(($ARK$5:$ARK41=$ARK41-1)*($ARJ$5:$ARJ41&gt;=10)*($ARJ$5:$ARJ41&lt;=12)),$ASQ$5:$ASQ41),IF(ARJ41=4,SUMPRODUCT(--(($ARK$5:$ARK41=$ARK41)*($ARJ$5:$ARJ41&gt;=1)*($ARJ$5:$ARJ41&lt;=3)),$ASQ$5:$ASQ41),IF(ARJ41=7,SUMPRODUCT(--(($ARK$5:$ARK41=$ARK41)*($ARJ$5:$ARJ41&gt;=4)*($ARJ$5:$ARJ41&lt;=6)),$ASQ$5:$ASQ41),IF(ARJ41=10,SUMPRODUCT(--(($ARK$5:$ARK41=$ARK41)*($ARJ$5:$ARJ41&gt;=7)*($ARJ$5:$ARJ41&lt;=9)),$ASQ$5:$ASQ41),0)))))</f>
        <v/>
      </c>
      <c r="ASS41" s="12">
        <f>ASS40+ASQ41-ASR41</f>
        <v/>
      </c>
      <c r="AST41" s="12">
        <f>IF(ProviderDelay&gt;=1,ASA40*BlendedProvPayEss+ASB40*BlendedProvPayPrem+ASC40*BlendedProvPayElite+ASD40*BlendedProvPayEss+ASE40*BlendedProvPayPrem+ASF40*BlendedProvPayElite,ASA41*BlendedProvPayEss+ASB41*BlendedProvPayPrem+ASC41*BlendedProvPayElite+ASD41*BlendedProvPayEss+ASE41*BlendedProvPayPrem+ASF41*BlendedProvPayElite)</f>
        <v/>
      </c>
      <c r="ASU41" s="12">
        <f>ASM41*PaymentFee</f>
        <v/>
      </c>
      <c r="ASV41" s="12">
        <f>ASG41*OpsAI</f>
        <v/>
      </c>
      <c r="ASW41" s="12">
        <f>MonthlyFixed</f>
        <v/>
      </c>
      <c r="ASX41" s="12">
        <f>ARQ41*ReferralReward</f>
        <v/>
      </c>
      <c r="ASY41" s="12">
        <f>ARO41</f>
        <v/>
      </c>
      <c r="ASZ41" s="9">
        <f>ASP41-AST41-ASU41-ASV41-ASW41-ASX41-ASY41</f>
        <v/>
      </c>
      <c r="ATA41" s="9">
        <f>ATA40+ASM41-(AST41+ASU41+ASV41+ASW41+ASX41+ASY41+ASR41)</f>
        <v/>
      </c>
      <c r="ATB41" s="12">
        <f>IF(ASG41&gt;0,ASH41/ASG41,0)</f>
        <v/>
      </c>
      <c r="ATC41" s="11">
        <f>IF(ASG40&gt;0,MAX(0,(ASG40+ARR41-ASG41)/ASG40),0)</f>
        <v/>
      </c>
      <c r="ATE41" s="12" t="n">
        <v>37</v>
      </c>
      <c r="ATF41" s="12">
        <f>MOD(ATE41-1+LaunchMonth-1,12)+1</f>
        <v/>
      </c>
      <c r="ATG41" s="12">
        <f>INT((ATE41-1+LaunchMonth-1)/12)+1</f>
        <v/>
      </c>
      <c r="ATH41" s="12">
        <f>VLOOKUP(ATF41,SeasonTable,2,FALSE)</f>
        <v/>
      </c>
      <c r="ATI41" s="12">
        <f>(1+InflationRate)^INT((ATE41-1)/12)</f>
        <v/>
      </c>
      <c r="ATJ41" s="11">
        <f>MonthlyChurn*VLOOKUP(ATF41,ChurnSeasonTable,4,FALSE)</f>
        <v/>
      </c>
      <c r="ATK41" s="12">
        <f>MIN(MAX(MktMin19plus,AUI40*MktPct19plus),MAX(0,AUW40-CashBuffer))</f>
        <v/>
      </c>
      <c r="ATL41" s="12">
        <f>IF(ATK41&gt;0,MAX(1,ROUND(ATK41/'Sens - CAC &amp; Marketing'!$A$15*ATH41,0)),0)</f>
        <v/>
      </c>
      <c r="ATM41" s="12">
        <f>IF(ATL41&gt;0,ROUND(ATL41*ReferralMix/(1-ReferralMix),0),0)</f>
        <v/>
      </c>
      <c r="ATN41" s="12">
        <f>ATL41+ATM41</f>
        <v/>
      </c>
      <c r="ATO41" s="12">
        <f>ROUND(ATN41*(1-AnnualMix),0)</f>
        <v/>
      </c>
      <c r="ATP41" s="12">
        <f>ATN41-ATO41</f>
        <v/>
      </c>
      <c r="ATQ41" s="12">
        <f>ROUND(ATO41*EssentialMix,0)</f>
        <v/>
      </c>
      <c r="ATR41" s="12">
        <f>ROUND(ATO41*PremiumMix,0)</f>
        <v/>
      </c>
      <c r="ATS41" s="12">
        <f>ATO41-ATQ41-ATR41</f>
        <v/>
      </c>
      <c r="ATT41" s="12">
        <f>ROUND(ATP41*EssentialMix,0)</f>
        <v/>
      </c>
      <c r="ATU41" s="12">
        <f>ROUND(ATP41*PremiumMix,0)</f>
        <v/>
      </c>
      <c r="ATV41" s="12">
        <f>ATP41-ATT41-ATU41</f>
        <v/>
      </c>
      <c r="ATW41" s="12">
        <f>ATQ41+ATQ40+ATQ39+MAX(0,ATW40-ATQ40-ATQ39)*(1-ATJ41)</f>
        <v/>
      </c>
      <c r="ATX41" s="12">
        <f>ATR41+ATR40+ATR39+MAX(0,ATX40-ATR40-ATR39)*(1-ATJ41)</f>
        <v/>
      </c>
      <c r="ATY41" s="12">
        <f>ATS41+ATS40+ATS39+MAX(0,ATY40-ATS40-ATS39)*(1-ATJ41)</f>
        <v/>
      </c>
      <c r="ATZ41" s="12">
        <f>ATZ40+ATT41-ATT29*(AnnualChurn*VLOOKUP(ATF41,ChurnSeasonTable,4,FALSE))*POWER(1-(AnnualChurn*VLOOKUP(ATF41,ChurnSeasonTable,4,FALSE)),0)+ATT17*(AnnualChurn*VLOOKUP(ATF41,ChurnSeasonTable,4,FALSE))*POWER(1-(AnnualChurn*VLOOKUP(ATF41,ChurnSeasonTable,4,FALSE)),1)+ATT5*(AnnualChurn*VLOOKUP(ATF41,ChurnSeasonTable,4,FALSE))*POWER(1-(AnnualChurn*VLOOKUP(ATF41,ChurnSeasonTable,4,FALSE)),2)</f>
        <v/>
      </c>
      <c r="AUA41" s="12">
        <f>AUA40+ATU41-ATU29*(AnnualChurn*VLOOKUP(ATF41,ChurnSeasonTable,4,FALSE))*POWER(1-(AnnualChurn*VLOOKUP(ATF41,ChurnSeasonTable,4,FALSE)),0)+ATU17*(AnnualChurn*VLOOKUP(ATF41,ChurnSeasonTable,4,FALSE))*POWER(1-(AnnualChurn*VLOOKUP(ATF41,ChurnSeasonTable,4,FALSE)),1)+ATU5*(AnnualChurn*VLOOKUP(ATF41,ChurnSeasonTable,4,FALSE))*POWER(1-(AnnualChurn*VLOOKUP(ATF41,ChurnSeasonTable,4,FALSE)),2)</f>
        <v/>
      </c>
      <c r="AUB41" s="12">
        <f>AUB40+ATV41-ATV29*(AnnualChurn*VLOOKUP(ATF41,ChurnSeasonTable,4,FALSE))*POWER(1-(AnnualChurn*VLOOKUP(ATF41,ChurnSeasonTable,4,FALSE)),0)+ATV17*(AnnualChurn*VLOOKUP(ATF41,ChurnSeasonTable,4,FALSE))*POWER(1-(AnnualChurn*VLOOKUP(ATF41,ChurnSeasonTable,4,FALSE)),1)+ATV5*(AnnualChurn*VLOOKUP(ATF41,ChurnSeasonTable,4,FALSE))*POWER(1-(AnnualChurn*VLOOKUP(ATF41,ChurnSeasonTable,4,FALSE)),2)</f>
        <v/>
      </c>
      <c r="AUC41" s="12">
        <f>ATW41+ATX41+ATY41+ATZ41+AUA41+AUB41</f>
        <v/>
      </c>
      <c r="AUD41" s="9">
        <f>ATW41*BlendedPriceEssMonthly*ATI41+ATX41*BlendedPricePremMonthly*ATI41+ATY41*BlendedPriceEliteMonthly*ATI41+ATZ41*BlendedPriceEssAnnual*ATI41/12+AUA41*BlendedPricePremAnnual*ATI41/12+AUB41*BlendedPriceEliteAnnual*ATI41/12</f>
        <v/>
      </c>
      <c r="AUE41" s="9">
        <f>AUD41*12</f>
        <v/>
      </c>
      <c r="AUF41" s="12">
        <f>ATW41*BlendedPriceEssMonthly*ATI41+ATX41*BlendedPricePremMonthly*ATI41+ATY41*BlendedPriceEliteMonthly*ATI41</f>
        <v/>
      </c>
      <c r="AUG41" s="12">
        <f>ATT41*BlendedPriceEssAnnual*ATI41+ATU41*BlendedPricePremAnnual*ATI41+ATV41*BlendedPriceEliteAnnual*ATI41</f>
        <v/>
      </c>
      <c r="AUH41" s="12">
        <f>ATT29*POWER(1-(AnnualChurn*VLOOKUP(ATF41,ChurnSeasonTable,4,FALSE)),1)*BlendedPriceEssAnnual*ATI41+ATT17*POWER(1-(AnnualChurn*VLOOKUP(ATF41,ChurnSeasonTable,4,FALSE)),2)*BlendedPriceEssAnnual*ATI41+ATT5*POWER(1-(AnnualChurn*VLOOKUP(ATF41,ChurnSeasonTable,4,FALSE)),3)*BlendedPriceEssAnnual*ATI41+ATU29*POWER(1-(AnnualChurn*VLOOKUP(ATF41,ChurnSeasonTable,4,FALSE)),1)*BlendedPricePremAnnual*ATI41+ATU17*POWER(1-(AnnualChurn*VLOOKUP(ATF41,ChurnSeasonTable,4,FALSE)),2)*BlendedPricePremAnnual*ATI41+ATU5*POWER(1-(AnnualChurn*VLOOKUP(ATF41,ChurnSeasonTable,4,FALSE)),3)*BlendedPricePremAnnual*ATI41+ATV29*POWER(1-(AnnualChurn*VLOOKUP(ATF41,ChurnSeasonTable,4,FALSE)),1)*BlendedPriceEliteAnnual*ATI41+ATV17*POWER(1-(AnnualChurn*VLOOKUP(ATF41,ChurnSeasonTable,4,FALSE)),2)*BlendedPriceEliteAnnual*ATI41+ATV5*POWER(1-(AnnualChurn*VLOOKUP(ATF41,ChurnSeasonTable,4,FALSE)),3)*BlendedPriceEliteAnnual*ATI41</f>
        <v/>
      </c>
      <c r="AUI41" s="9">
        <f>AUF41+AUG41+AUH41</f>
        <v/>
      </c>
      <c r="AUJ41" s="12">
        <f>SUM(AUI30:AUI41)</f>
        <v/>
      </c>
      <c r="AUK41" s="12">
        <f>OR(AUK40,IF(VATAgentMode,SUM($AUI30:$AUI41)-SUM($AUP30:$AUP41)&gt;=VATThreshold,SUM($AUI30:$AUI41)&gt;=VATThreshold))</f>
        <v/>
      </c>
      <c r="AUL41" s="9">
        <f>IF(AUK41,IF(VATAgentMode,AUI41-((AUI41-AUP41)-(AUI41-AUP41)/(1+VATRate)),AUI41/(1+VATRate)),AUI41)</f>
        <v/>
      </c>
      <c r="AUM41" s="12">
        <f>AUI41-AUL41</f>
        <v/>
      </c>
      <c r="AUN41" s="12">
        <f>IF(AUK41=0,0,IF(ATF41=1,SUMPRODUCT(--(($ATG$5:$ATG41=$ATG41-1)*($ATF$5:$ATF41&gt;=10)*($ATF$5:$ATF41&lt;=12)),$AUM$5:$AUM41),IF(ATF41=4,SUMPRODUCT(--(($ATG$5:$ATG41=$ATG41)*($ATF$5:$ATF41&gt;=1)*($ATF$5:$ATF41&lt;=3)),$AUM$5:$AUM41),IF(ATF41=7,SUMPRODUCT(--(($ATG$5:$ATG41=$ATG41)*($ATF$5:$ATF41&gt;=4)*($ATF$5:$ATF41&lt;=6)),$AUM$5:$AUM41),IF(ATF41=10,SUMPRODUCT(--(($ATG$5:$ATG41=$ATG41)*($ATF$5:$ATF41&gt;=7)*($ATF$5:$ATF41&lt;=9)),$AUM$5:$AUM41),0)))))</f>
        <v/>
      </c>
      <c r="AUO41" s="12">
        <f>AUO40+AUM41-AUN41</f>
        <v/>
      </c>
      <c r="AUP41" s="12">
        <f>IF(ProviderDelay&gt;=1,ATW40*BlendedProvPayEss+ATX40*BlendedProvPayPrem+ATY40*BlendedProvPayElite+ATZ40*BlendedProvPayEss+AUA40*BlendedProvPayPrem+AUB40*BlendedProvPayElite,ATW41*BlendedProvPayEss+ATX41*BlendedProvPayPrem+ATY41*BlendedProvPayElite+ATZ41*BlendedProvPayEss+AUA41*BlendedProvPayPrem+AUB41*BlendedProvPayElite)</f>
        <v/>
      </c>
      <c r="AUQ41" s="12">
        <f>AUI41*PaymentFee</f>
        <v/>
      </c>
      <c r="AUR41" s="12">
        <f>AUC41*OpsAI</f>
        <v/>
      </c>
      <c r="AUS41" s="12">
        <f>MonthlyFixed</f>
        <v/>
      </c>
      <c r="AUT41" s="12">
        <f>ATM41*ReferralReward</f>
        <v/>
      </c>
      <c r="AUU41" s="12">
        <f>ATK41</f>
        <v/>
      </c>
      <c r="AUV41" s="9">
        <f>AUL41-AUP41-AUQ41-AUR41-AUS41-AUT41-AUU41</f>
        <v/>
      </c>
      <c r="AUW41" s="9">
        <f>AUW40+AUI41-(AUP41+AUQ41+AUR41+AUS41+AUT41+AUU41+AUN41)</f>
        <v/>
      </c>
      <c r="AUX41" s="12">
        <f>IF(AUC41&gt;0,AUD41/AUC41,0)</f>
        <v/>
      </c>
      <c r="AUY41" s="11">
        <f>IF(AUC40&gt;0,MAX(0,(AUC40+ATN41-AUC41)/AUC40),0)</f>
        <v/>
      </c>
      <c r="AVA41" s="12" t="n">
        <v>37</v>
      </c>
      <c r="AVB41" s="12">
        <f>MOD(AVA41-1+LaunchMonth-1,12)+1</f>
        <v/>
      </c>
      <c r="AVC41" s="12">
        <f>INT((AVA41-1+LaunchMonth-1)/12)+1</f>
        <v/>
      </c>
      <c r="AVD41" s="12">
        <f>VLOOKUP(AVB41,WinterPivotSeasonTable,5,FALSE)</f>
        <v/>
      </c>
      <c r="AVE41" s="12">
        <f>(1+InflationRate)^INT((AVA41-1)/12)</f>
        <v/>
      </c>
      <c r="AVF41" s="11">
        <f>MonthlyChurn*VLOOKUP(AVB41,WinterPivotChurnTable,6,FALSE)</f>
        <v/>
      </c>
      <c r="AVG41" s="12">
        <f>MIN(MAX(MktMin19plus,AWE40*MktPct19plus),MAX(0,AWS40-CashBuffer))</f>
        <v/>
      </c>
      <c r="AVH41" s="12">
        <f>IF(AVG41&gt;0,MAX(1,ROUND(AVG41/CAC*AVD41,0)),0)</f>
        <v/>
      </c>
      <c r="AVI41" s="12">
        <f>IF(AVH41&gt;0,ROUND(AVH41*ReferralMix/(1-ReferralMix),0),0)</f>
        <v/>
      </c>
      <c r="AVJ41" s="12">
        <f>AVH41+AVI41</f>
        <v/>
      </c>
      <c r="AVK41" s="12">
        <f>ROUND(AVJ41*(1-AnnualMix),0)</f>
        <v/>
      </c>
      <c r="AVL41" s="12">
        <f>AVJ41-AVK41</f>
        <v/>
      </c>
      <c r="AVM41" s="12">
        <f>ROUND(AVK41*'Sens - Winter Pivot'!$B$6,0)</f>
        <v/>
      </c>
      <c r="AVN41" s="12">
        <f>ROUND(AVK41*PremiumMix,0)</f>
        <v/>
      </c>
      <c r="AVO41" s="12">
        <f>AVK41-AVM41-AVN41</f>
        <v/>
      </c>
      <c r="AVP41" s="12">
        <f>ROUND(AVL41*'Sens - Winter Pivot'!$B$6,0)</f>
        <v/>
      </c>
      <c r="AVQ41" s="12">
        <f>ROUND(AVL41*PremiumMix,0)</f>
        <v/>
      </c>
      <c r="AVR41" s="12">
        <f>AVL41-AVP41-AVQ41</f>
        <v/>
      </c>
      <c r="AVS41" s="12">
        <f>AVM41+AVM40+AVM39+MAX(0,AVS40-AVM40-AVM39)*(1-AVF41)</f>
        <v/>
      </c>
      <c r="AVT41" s="12">
        <f>AVN41+AVN40+AVN39+MAX(0,AVT40-AVN40-AVN39)*(1-AVF41)</f>
        <v/>
      </c>
      <c r="AVU41" s="12">
        <f>AVO41+AVO40+AVO39+MAX(0,AVU40-AVO40-AVO39)*(1-AVF41)</f>
        <v/>
      </c>
      <c r="AVV41" s="12">
        <f>AVV40+AVP41-AVP29*(AnnualChurn*VLOOKUP(AVB41,ChurnSeasonTable,4,FALSE))*POWER(1-(AnnualChurn*VLOOKUP(AVB41,ChurnSeasonTable,4,FALSE)),0)+AVP17*(AnnualChurn*VLOOKUP(AVB41,ChurnSeasonTable,4,FALSE))*POWER(1-(AnnualChurn*VLOOKUP(AVB41,ChurnSeasonTable,4,FALSE)),1)+AVP5*(AnnualChurn*VLOOKUP(AVB41,ChurnSeasonTable,4,FALSE))*POWER(1-(AnnualChurn*VLOOKUP(AVB41,ChurnSeasonTable,4,FALSE)),2)</f>
        <v/>
      </c>
      <c r="AVW41" s="12">
        <f>AVW40+AVQ41-AVQ29*(AnnualChurn*VLOOKUP(AVB41,ChurnSeasonTable,4,FALSE))*POWER(1-(AnnualChurn*VLOOKUP(AVB41,ChurnSeasonTable,4,FALSE)),0)+AVQ17*(AnnualChurn*VLOOKUP(AVB41,ChurnSeasonTable,4,FALSE))*POWER(1-(AnnualChurn*VLOOKUP(AVB41,ChurnSeasonTable,4,FALSE)),1)+AVQ5*(AnnualChurn*VLOOKUP(AVB41,ChurnSeasonTable,4,FALSE))*POWER(1-(AnnualChurn*VLOOKUP(AVB41,ChurnSeasonTable,4,FALSE)),2)</f>
        <v/>
      </c>
      <c r="AVX41" s="12">
        <f>AVX40+AVR41-AVR29*(AnnualChurn*VLOOKUP(AVB41,ChurnSeasonTable,4,FALSE))*POWER(1-(AnnualChurn*VLOOKUP(AVB41,ChurnSeasonTable,4,FALSE)),0)+AVR17*(AnnualChurn*VLOOKUP(AVB41,ChurnSeasonTable,4,FALSE))*POWER(1-(AnnualChurn*VLOOKUP(AVB41,ChurnSeasonTable,4,FALSE)),1)+AVR5*(AnnualChurn*VLOOKUP(AVB41,ChurnSeasonTable,4,FALSE))*POWER(1-(AnnualChurn*VLOOKUP(AVB41,ChurnSeasonTable,4,FALSE)),2)</f>
        <v/>
      </c>
      <c r="AVY41" s="12">
        <f>AVS41+AVT41+AVU41+AVV41+AVW41+AVX41</f>
        <v/>
      </c>
      <c r="AVZ41" s="9">
        <f>AVS41*BlendedPriceEssMonthly*AVE41+AVT41*(BlendedPricePremMonthly+'Sens - Winter Pivot'!$B$7)*AVE41+AVU41*BlendedPriceEliteMonthly*AVE41+AVV41*BlendedPriceEssAnnual*AVE41/12+AVW41*(BlendedPricePremAnnual+'Sens - Winter Pivot'!$B$7*12)*AVE41/12+AVX41*BlendedPriceEliteAnnual*AVE41/12</f>
        <v/>
      </c>
      <c r="AWA41" s="9">
        <f>AVZ41*12</f>
        <v/>
      </c>
      <c r="AWB41" s="12">
        <f>AVS41*BlendedPriceEssMonthly*AVE41+AVT41*(BlendedPricePremMonthly+'Sens - Winter Pivot'!$B$7)*AVE41+AVU41*BlendedPriceEliteMonthly*AVE41</f>
        <v/>
      </c>
      <c r="AWC41" s="12">
        <f>AVP41*BlendedPriceEssAnnual*AVE41+AVQ41*(BlendedPricePremAnnual+'Sens - Winter Pivot'!$B$7*12)*AVE41+AVR41*BlendedPriceEliteAnnual*AVE41</f>
        <v/>
      </c>
      <c r="AWD41" s="12">
        <f>AVP29*POWER(1-(AnnualChurn*VLOOKUP(AVB41,ChurnSeasonTable,4,FALSE)),1)*BlendedPriceEssAnnual*AVE41+AVP17*POWER(1-(AnnualChurn*VLOOKUP(AVB41,ChurnSeasonTable,4,FALSE)),2)*BlendedPriceEssAnnual*AVE41+AVP5*POWER(1-(AnnualChurn*VLOOKUP(AVB41,ChurnSeasonTable,4,FALSE)),3)*BlendedPriceEssAnnual*AVE41+AVQ29*POWER(1-(AnnualChurn*VLOOKUP(AVB41,ChurnSeasonTable,4,FALSE)),1)*BlendedPricePremAnnual*AVE41+AVQ17*POWER(1-(AnnualChurn*VLOOKUP(AVB41,ChurnSeasonTable,4,FALSE)),2)*BlendedPricePremAnnual*AVE41+AVQ5*POWER(1-(AnnualChurn*VLOOKUP(AVB41,ChurnSeasonTable,4,FALSE)),3)*BlendedPricePremAnnual*AVE41+AVR29*POWER(1-(AnnualChurn*VLOOKUP(AVB41,ChurnSeasonTable,4,FALSE)),1)*BlendedPriceEliteAnnual*AVE41+AVR17*POWER(1-(AnnualChurn*VLOOKUP(AVB41,ChurnSeasonTable,4,FALSE)),2)*BlendedPriceEliteAnnual*AVE41+AVR5*POWER(1-(AnnualChurn*VLOOKUP(AVB41,ChurnSeasonTable,4,FALSE)),3)*BlendedPriceEliteAnnual*AVE41</f>
        <v/>
      </c>
      <c r="AWE41" s="9">
        <f>AWB41+AWC41+AWD41</f>
        <v/>
      </c>
      <c r="AWF41" s="12">
        <f>SUM(AWE30:AWE41)</f>
        <v/>
      </c>
      <c r="AWG41" s="12">
        <f>OR(AWG40,IF(VATAgentMode,SUM($AWE30:$AWE41)-SUM($AWL30:$AWL41)&gt;=VATThreshold,SUM($AWE30:$AWE41)&gt;=VATThreshold))</f>
        <v/>
      </c>
      <c r="AWH41" s="9">
        <f>IF(AWG41,IF(VATAgentMode,AWE41-((AWE41-AWL41)-(AWE41-AWL41)/(1+VATRate)),AWE41/(1+VATRate)),AWE41)</f>
        <v/>
      </c>
      <c r="AWI41" s="12">
        <f>AWE41-AWH41</f>
        <v/>
      </c>
      <c r="AWJ41" s="12">
        <f>IF(AWG41=0,0,IF(AVB41=1,SUMPRODUCT(--(($AVC$5:$AVC41=$AVC41-1)*($AVB$5:$AVB41&gt;=10)*($AVB$5:$AVB41&lt;=12)),$AWI$5:$AWI41),IF(AVB41=4,SUMPRODUCT(--(($AVC$5:$AVC41=$AVC41)*($AVB$5:$AVB41&gt;=1)*($AVB$5:$AVB41&lt;=3)),$AWI$5:$AWI41),IF(AVB41=7,SUMPRODUCT(--(($AVC$5:$AVC41=$AVC41)*($AVB$5:$AVB41&gt;=4)*($AVB$5:$AVB41&lt;=6)),$AWI$5:$AWI41),IF(AVB41=10,SUMPRODUCT(--(($AVC$5:$AVC41=$AVC41)*($AVB$5:$AVB41&gt;=7)*($AVB$5:$AVB41&lt;=9)),$AWI$5:$AWI41),0)))))</f>
        <v/>
      </c>
      <c r="AWK41" s="12">
        <f>AWK40+AWI41-AWJ41</f>
        <v/>
      </c>
      <c r="AWL41" s="12">
        <f>IF(ProviderDelay&gt;=1,AVS40*BlendedProvPayEss+AVT40*BlendedProvPayPrem+AVU40*BlendedProvPayElite+AVV40*BlendedProvPayEss+AVW40*BlendedProvPayPrem+AVX40*BlendedProvPayElite,AVS41*BlendedProvPayEss+AVT41*BlendedProvPayPrem+AVU41*BlendedProvPayElite+AVV41*BlendedProvPayEss+AVW41*BlendedProvPayPrem+AVX41*BlendedProvPayElite)</f>
        <v/>
      </c>
      <c r="AWM41" s="12">
        <f>AWE41*PaymentFee</f>
        <v/>
      </c>
      <c r="AWN41" s="12">
        <f>AVY41*OpsAI</f>
        <v/>
      </c>
      <c r="AWO41" s="12">
        <f>MonthlyFixed</f>
        <v/>
      </c>
      <c r="AWP41" s="12">
        <f>AVI41*ReferralReward</f>
        <v/>
      </c>
      <c r="AWQ41" s="12">
        <f>AVG41</f>
        <v/>
      </c>
      <c r="AWR41" s="9">
        <f>AWH41-AWL41-AWM41-AWN41-AWO41-AWP41-AWQ41</f>
        <v/>
      </c>
      <c r="AWS41" s="9">
        <f>AWS40+AWE41-(AWL41+AWM41+AWN41+AWO41+AWP41+AWQ41+AWJ41)</f>
        <v/>
      </c>
      <c r="AWT41" s="12">
        <f>IF(AVY41&gt;0,AVZ41/AVY41,0)</f>
        <v/>
      </c>
      <c r="AWU41" s="11">
        <f>IF(AVY40&gt;0,MAX(0,(AVY40+AVJ41-AVY41)/AVY40),0)</f>
        <v/>
      </c>
    </row>
    <row r="42">
      <c r="A42" s="12" t="n">
        <v>38</v>
      </c>
      <c r="B42" s="12">
        <f>MOD(A42-1+LaunchMonth-1,12)+1</f>
        <v/>
      </c>
      <c r="C42" s="12">
        <f>INT((A42-1+LaunchMonth-1)/12)+1</f>
        <v/>
      </c>
      <c r="D42" s="12">
        <f>VLOOKUP(B42,SeasonTable,2,FALSE)</f>
        <v/>
      </c>
      <c r="E42" s="12">
        <f>(1+InflationRate)^INT((A42-1)/12)</f>
        <v/>
      </c>
      <c r="F42" s="11">
        <f>'Sens - Scenarios'!$B$5*VLOOKUP(B42,ChurnSeasonTable,4,FALSE)</f>
        <v/>
      </c>
      <c r="G42" s="12">
        <f>MIN(MAX(MktMin19plus,AE41*MktPct19plus),MAX(0,AS41-CashBuffer))</f>
        <v/>
      </c>
      <c r="H42" s="12">
        <f>IF(G42&gt;0,MAX(1,ROUND(G42/'Sens - Scenarios'!$B$8*D42,0)),0)</f>
        <v/>
      </c>
      <c r="I42" s="12">
        <f>IF(H42&gt;0,ROUND(H42*ReferralMix/(1-ReferralMix),0),0)</f>
        <v/>
      </c>
      <c r="J42" s="12">
        <f>H42+I42</f>
        <v/>
      </c>
      <c r="K42" s="12">
        <f>ROUND(J42*(1-'Sens - Scenarios'!$B$7),0)</f>
        <v/>
      </c>
      <c r="L42" s="12">
        <f>J42-K42</f>
        <v/>
      </c>
      <c r="M42" s="12">
        <f>ROUND(K42*EssentialMix,0)</f>
        <v/>
      </c>
      <c r="N42" s="12">
        <f>ROUND(K42*PremiumMix,0)</f>
        <v/>
      </c>
      <c r="O42" s="12">
        <f>K42-M42-N42</f>
        <v/>
      </c>
      <c r="P42" s="12">
        <f>ROUND(L42*EssentialMix,0)</f>
        <v/>
      </c>
      <c r="Q42" s="12">
        <f>ROUND(L42*PremiumMix,0)</f>
        <v/>
      </c>
      <c r="R42" s="12">
        <f>L42-P42-Q42</f>
        <v/>
      </c>
      <c r="S42" s="12">
        <f>M42+M41+M40+MAX(0,S41-M41-M40)*(1-F42)</f>
        <v/>
      </c>
      <c r="T42" s="12">
        <f>N42+N41+N40+MAX(0,T41-N41-N40)*(1-F42)</f>
        <v/>
      </c>
      <c r="U42" s="12">
        <f>O42+O41+O40+MAX(0,U41-O41-O40)*(1-F42)</f>
        <v/>
      </c>
      <c r="V42" s="12">
        <f>V41+P42-P30*('Sens - Scenarios'!$B$6*VLOOKUP(B42,ChurnSeasonTable,4,FALSE))*POWER(1-('Sens - Scenarios'!$B$6*VLOOKUP(B42,ChurnSeasonTable,4,FALSE)),0)+P18*('Sens - Scenarios'!$B$6*VLOOKUP(B42,ChurnSeasonTable,4,FALSE))*POWER(1-('Sens - Scenarios'!$B$6*VLOOKUP(B42,ChurnSeasonTable,4,FALSE)),1)+P6*('Sens - Scenarios'!$B$6*VLOOKUP(B42,ChurnSeasonTable,4,FALSE))*POWER(1-('Sens - Scenarios'!$B$6*VLOOKUP(B42,ChurnSeasonTable,4,FALSE)),2)</f>
        <v/>
      </c>
      <c r="W42" s="12">
        <f>W41+Q42-Q30*('Sens - Scenarios'!$B$6*VLOOKUP(B42,ChurnSeasonTable,4,FALSE))*POWER(1-('Sens - Scenarios'!$B$6*VLOOKUP(B42,ChurnSeasonTable,4,FALSE)),0)+Q18*('Sens - Scenarios'!$B$6*VLOOKUP(B42,ChurnSeasonTable,4,FALSE))*POWER(1-('Sens - Scenarios'!$B$6*VLOOKUP(B42,ChurnSeasonTable,4,FALSE)),1)+Q6*('Sens - Scenarios'!$B$6*VLOOKUP(B42,ChurnSeasonTable,4,FALSE))*POWER(1-('Sens - Scenarios'!$B$6*VLOOKUP(B42,ChurnSeasonTable,4,FALSE)),2)</f>
        <v/>
      </c>
      <c r="X42" s="12">
        <f>X41+R42-R30*('Sens - Scenarios'!$B$6*VLOOKUP(B42,ChurnSeasonTable,4,FALSE))*POWER(1-('Sens - Scenarios'!$B$6*VLOOKUP(B42,ChurnSeasonTable,4,FALSE)),0)+R18*('Sens - Scenarios'!$B$6*VLOOKUP(B42,ChurnSeasonTable,4,FALSE))*POWER(1-('Sens - Scenarios'!$B$6*VLOOKUP(B42,ChurnSeasonTable,4,FALSE)),1)+R6*('Sens - Scenarios'!$B$6*VLOOKUP(B42,ChurnSeasonTable,4,FALSE))*POWER(1-('Sens - Scenarios'!$B$6*VLOOKUP(B42,ChurnSeasonTable,4,FALSE)),2)</f>
        <v/>
      </c>
      <c r="Y42" s="12">
        <f>S42+T42+U42+V42+W42+X42</f>
        <v/>
      </c>
      <c r="Z42" s="9">
        <f>S42*BlendedPriceEssMonthly*E42+T42*BlendedPricePremMonthly*E42+U42*BlendedPriceEliteMonthly*E42+V42*BlendedPriceEssAnnual*E42/12+W42*BlendedPricePremAnnual*E42/12+X42*BlendedPriceEliteAnnual*E42/12</f>
        <v/>
      </c>
      <c r="AA42" s="9">
        <f>Z42*12</f>
        <v/>
      </c>
      <c r="AB42" s="12">
        <f>S42*BlendedPriceEssMonthly*E42+T42*BlendedPricePremMonthly*E42+U42*BlendedPriceEliteMonthly*E42</f>
        <v/>
      </c>
      <c r="AC42" s="12">
        <f>P42*BlendedPriceEssAnnual*E42+Q42*BlendedPricePremAnnual*E42+R42*BlendedPriceEliteAnnual*E42</f>
        <v/>
      </c>
      <c r="AD42" s="12">
        <f>P30*POWER(1-('Sens - Scenarios'!$B$6*VLOOKUP(B42,ChurnSeasonTable,4,FALSE)),1)*BlendedPriceEssAnnual*E42+P18*POWER(1-('Sens - Scenarios'!$B$6*VLOOKUP(B42,ChurnSeasonTable,4,FALSE)),2)*BlendedPriceEssAnnual*E42+P6*POWER(1-('Sens - Scenarios'!$B$6*VLOOKUP(B42,ChurnSeasonTable,4,FALSE)),3)*BlendedPriceEssAnnual*E42+Q30*POWER(1-('Sens - Scenarios'!$B$6*VLOOKUP(B42,ChurnSeasonTable,4,FALSE)),1)*BlendedPricePremAnnual*E42+Q18*POWER(1-('Sens - Scenarios'!$B$6*VLOOKUP(B42,ChurnSeasonTable,4,FALSE)),2)*BlendedPricePremAnnual*E42+Q6*POWER(1-('Sens - Scenarios'!$B$6*VLOOKUP(B42,ChurnSeasonTable,4,FALSE)),3)*BlendedPricePremAnnual*E42+R30*POWER(1-('Sens - Scenarios'!$B$6*VLOOKUP(B42,ChurnSeasonTable,4,FALSE)),1)*BlendedPriceEliteAnnual*E42+R18*POWER(1-('Sens - Scenarios'!$B$6*VLOOKUP(B42,ChurnSeasonTable,4,FALSE)),2)*BlendedPriceEliteAnnual*E42+R6*POWER(1-('Sens - Scenarios'!$B$6*VLOOKUP(B42,ChurnSeasonTable,4,FALSE)),3)*BlendedPriceEliteAnnual*E42</f>
        <v/>
      </c>
      <c r="AE42" s="9">
        <f>AB42+AC42+AD42</f>
        <v/>
      </c>
      <c r="AF42" s="12">
        <f>SUM(AE31:AE42)</f>
        <v/>
      </c>
      <c r="AG42" s="12">
        <f>OR(AG41,IF(VATAgentMode,SUM($AE31:$AE42)-SUM($AL31:$AL42)&gt;=VATThreshold,SUM($AE31:$AE42)&gt;=VATThreshold))</f>
        <v/>
      </c>
      <c r="AH42" s="9">
        <f>IF(AG42,IF(VATAgentMode,AE42-((AE42-AL42)-(AE42-AL42)/(1+VATRate)),AE42/(1+VATRate)),AE42)</f>
        <v/>
      </c>
      <c r="AI42" s="12">
        <f>AE42-AH42</f>
        <v/>
      </c>
      <c r="AJ42" s="12">
        <f>IF(AG42=0,0,IF(B42=1,SUMPRODUCT(--(($C$5:$C42=$C42-1)*($B$5:$B42&gt;=10)*($B$5:$B42&lt;=12)),$AI$5:$AI42),IF(B42=4,SUMPRODUCT(--(($C$5:$C42=$C42)*($B$5:$B42&gt;=1)*($B$5:$B42&lt;=3)),$AI$5:$AI42),IF(B42=7,SUMPRODUCT(--(($C$5:$C42=$C42)*($B$5:$B42&gt;=4)*($B$5:$B42&lt;=6)),$AI$5:$AI42),IF(B42=10,SUMPRODUCT(--(($C$5:$C42=$C42)*($B$5:$B42&gt;=7)*($B$5:$B42&lt;=9)),$AI$5:$AI42),0)))))</f>
        <v/>
      </c>
      <c r="AK42" s="12">
        <f>AK41+AI42-AJ42</f>
        <v/>
      </c>
      <c r="AL42" s="12">
        <f>IF(ProviderDelay&gt;=1,S41*BlendedProvPayEss+T41*BlendedProvPayPrem+U41*BlendedProvPayElite+V41*BlendedProvPayEss+W41*BlendedProvPayPrem+X41*BlendedProvPayElite,S42*BlendedProvPayEss+T42*BlendedProvPayPrem+U42*BlendedProvPayElite+V42*BlendedProvPayEss+W42*BlendedProvPayPrem+X42*BlendedProvPayElite)</f>
        <v/>
      </c>
      <c r="AM42" s="12">
        <f>AE42*PaymentFee</f>
        <v/>
      </c>
      <c r="AN42" s="12">
        <f>Y42*OpsAI</f>
        <v/>
      </c>
      <c r="AO42" s="12">
        <f>MonthlyFixed</f>
        <v/>
      </c>
      <c r="AP42" s="12">
        <f>I42*ReferralReward</f>
        <v/>
      </c>
      <c r="AQ42" s="12">
        <f>G42</f>
        <v/>
      </c>
      <c r="AR42" s="9">
        <f>AH42-AL42-AM42-AN42-AO42-AP42-AQ42</f>
        <v/>
      </c>
      <c r="AS42" s="9">
        <f>AS41+AE42-(AL42+AM42+AN42+AO42+AP42+AQ42+AJ42)</f>
        <v/>
      </c>
      <c r="AT42" s="12">
        <f>IF(Y42&gt;0,Z42/Y42,0)</f>
        <v/>
      </c>
      <c r="AU42" s="11">
        <f>IF(Y41&gt;0,MAX(0,(Y41+J42-Y42)/Y41),0)</f>
        <v/>
      </c>
      <c r="AW42" s="12" t="n">
        <v>38</v>
      </c>
      <c r="AX42" s="12">
        <f>MOD(AW42-1+LaunchMonth-1,12)+1</f>
        <v/>
      </c>
      <c r="AY42" s="12">
        <f>INT((AW42-1+LaunchMonth-1)/12)+1</f>
        <v/>
      </c>
      <c r="AZ42" s="12">
        <f>VLOOKUP(AX42,SeasonTable,2,FALSE)</f>
        <v/>
      </c>
      <c r="BA42" s="12">
        <f>(1+InflationRate)^INT((AW42-1)/12)</f>
        <v/>
      </c>
      <c r="BB42" s="11">
        <f>MonthlyChurn*VLOOKUP(AX42,ChurnSeasonTable,4,FALSE)</f>
        <v/>
      </c>
      <c r="BC42" s="12">
        <f>MIN(MAX(MktMin19plus,CA41*MktPct19plus),MAX(0,CO41-CashBuffer))</f>
        <v/>
      </c>
      <c r="BD42" s="12">
        <f>IF(BC42&gt;0,MAX(1,ROUND(BC42/CAC*AZ42,0)),0)</f>
        <v/>
      </c>
      <c r="BE42" s="12">
        <f>IF(BD42&gt;0,ROUND(BD42*ReferralMix/(1-ReferralMix),0),0)</f>
        <v/>
      </c>
      <c r="BF42" s="12">
        <f>BD42+BE42</f>
        <v/>
      </c>
      <c r="BG42" s="12">
        <f>ROUND(BF42*(1-AnnualMix),0)</f>
        <v/>
      </c>
      <c r="BH42" s="12">
        <f>BF42-BG42</f>
        <v/>
      </c>
      <c r="BI42" s="12">
        <f>ROUND(BG42*EssentialMix,0)</f>
        <v/>
      </c>
      <c r="BJ42" s="12">
        <f>ROUND(BG42*PremiumMix,0)</f>
        <v/>
      </c>
      <c r="BK42" s="12">
        <f>BG42-BI42-BJ42</f>
        <v/>
      </c>
      <c r="BL42" s="12">
        <f>ROUND(BH42*EssentialMix,0)</f>
        <v/>
      </c>
      <c r="BM42" s="12">
        <f>ROUND(BH42*PremiumMix,0)</f>
        <v/>
      </c>
      <c r="BN42" s="12">
        <f>BH42-BL42-BM42</f>
        <v/>
      </c>
      <c r="BO42" s="12">
        <f>BI42+BI41+BI40+MAX(0,BO41-BI41-BI40)*(1-BB42)</f>
        <v/>
      </c>
      <c r="BP42" s="12">
        <f>BJ42+BJ41+BJ40+MAX(0,BP41-BJ41-BJ40)*(1-BB42)</f>
        <v/>
      </c>
      <c r="BQ42" s="12">
        <f>BK42+BK41+BK40+MAX(0,BQ41-BK41-BK40)*(1-BB42)</f>
        <v/>
      </c>
      <c r="BR42" s="12">
        <f>BR41+BL42-BL30*(AnnualChurn*VLOOKUP(AX42,ChurnSeasonTable,4,FALSE))*POWER(1-(AnnualChurn*VLOOKUP(AX42,ChurnSeasonTable,4,FALSE)),0)+BL18*(AnnualChurn*VLOOKUP(AX42,ChurnSeasonTable,4,FALSE))*POWER(1-(AnnualChurn*VLOOKUP(AX42,ChurnSeasonTable,4,FALSE)),1)+BL6*(AnnualChurn*VLOOKUP(AX42,ChurnSeasonTable,4,FALSE))*POWER(1-(AnnualChurn*VLOOKUP(AX42,ChurnSeasonTable,4,FALSE)),2)</f>
        <v/>
      </c>
      <c r="BS42" s="12">
        <f>BS41+BM42-BM30*(AnnualChurn*VLOOKUP(AX42,ChurnSeasonTable,4,FALSE))*POWER(1-(AnnualChurn*VLOOKUP(AX42,ChurnSeasonTable,4,FALSE)),0)+BM18*(AnnualChurn*VLOOKUP(AX42,ChurnSeasonTable,4,FALSE))*POWER(1-(AnnualChurn*VLOOKUP(AX42,ChurnSeasonTable,4,FALSE)),1)+BM6*(AnnualChurn*VLOOKUP(AX42,ChurnSeasonTable,4,FALSE))*POWER(1-(AnnualChurn*VLOOKUP(AX42,ChurnSeasonTable,4,FALSE)),2)</f>
        <v/>
      </c>
      <c r="BT42" s="12">
        <f>BT41+BN42-BN30*(AnnualChurn*VLOOKUP(AX42,ChurnSeasonTable,4,FALSE))*POWER(1-(AnnualChurn*VLOOKUP(AX42,ChurnSeasonTable,4,FALSE)),0)+BN18*(AnnualChurn*VLOOKUP(AX42,ChurnSeasonTable,4,FALSE))*POWER(1-(AnnualChurn*VLOOKUP(AX42,ChurnSeasonTable,4,FALSE)),1)+BN6*(AnnualChurn*VLOOKUP(AX42,ChurnSeasonTable,4,FALSE))*POWER(1-(AnnualChurn*VLOOKUP(AX42,ChurnSeasonTable,4,FALSE)),2)</f>
        <v/>
      </c>
      <c r="BU42" s="12">
        <f>BO42+BP42+BQ42+BR42+BS42+BT42</f>
        <v/>
      </c>
      <c r="BV42" s="9">
        <f>BO42*BlendedPriceEssMonthly*BA42+BP42*BlendedPricePremMonthly*BA42+BQ42*BlendedPriceEliteMonthly*BA42+BR42*BlendedPriceEssAnnual*BA42/12+BS42*BlendedPricePremAnnual*BA42/12+BT42*BlendedPriceEliteAnnual*BA42/12</f>
        <v/>
      </c>
      <c r="BW42" s="9">
        <f>BV42*12</f>
        <v/>
      </c>
      <c r="BX42" s="12">
        <f>BO42*BlendedPriceEssMonthly*BA42+BP42*BlendedPricePremMonthly*BA42+BQ42*BlendedPriceEliteMonthly*BA42</f>
        <v/>
      </c>
      <c r="BY42" s="12">
        <f>BL42*BlendedPriceEssAnnual*BA42+BM42*BlendedPricePremAnnual*BA42+BN42*BlendedPriceEliteAnnual*BA42</f>
        <v/>
      </c>
      <c r="BZ42" s="12">
        <f>BL30*POWER(1-(AnnualChurn*VLOOKUP(AX42,ChurnSeasonTable,4,FALSE)),1)*BlendedPriceEssAnnual*BA42+BL18*POWER(1-(AnnualChurn*VLOOKUP(AX42,ChurnSeasonTable,4,FALSE)),2)*BlendedPriceEssAnnual*BA42+BL6*POWER(1-(AnnualChurn*VLOOKUP(AX42,ChurnSeasonTable,4,FALSE)),3)*BlendedPriceEssAnnual*BA42+BM30*POWER(1-(AnnualChurn*VLOOKUP(AX42,ChurnSeasonTable,4,FALSE)),1)*BlendedPricePremAnnual*BA42+BM18*POWER(1-(AnnualChurn*VLOOKUP(AX42,ChurnSeasonTable,4,FALSE)),2)*BlendedPricePremAnnual*BA42+BM6*POWER(1-(AnnualChurn*VLOOKUP(AX42,ChurnSeasonTable,4,FALSE)),3)*BlendedPricePremAnnual*BA42+BN30*POWER(1-(AnnualChurn*VLOOKUP(AX42,ChurnSeasonTable,4,FALSE)),1)*BlendedPriceEliteAnnual*BA42+BN18*POWER(1-(AnnualChurn*VLOOKUP(AX42,ChurnSeasonTable,4,FALSE)),2)*BlendedPriceEliteAnnual*BA42+BN6*POWER(1-(AnnualChurn*VLOOKUP(AX42,ChurnSeasonTable,4,FALSE)),3)*BlendedPriceEliteAnnual*BA42</f>
        <v/>
      </c>
      <c r="CA42" s="9">
        <f>BX42+BY42+BZ42</f>
        <v/>
      </c>
      <c r="CB42" s="12">
        <f>SUM(CA31:CA42)</f>
        <v/>
      </c>
      <c r="CC42" s="12">
        <f>OR(CC41,IF(VATAgentMode,SUM($CA31:$CA42)-SUM($CH31:$CH42)&gt;=VATThreshold,SUM($CA31:$CA42)&gt;=VATThreshold))</f>
        <v/>
      </c>
      <c r="CD42" s="9">
        <f>IF(CC42,IF(VATAgentMode,CA42-((CA42-CH42)-(CA42-CH42)/(1+VATRate)),CA42/(1+VATRate)),CA42)</f>
        <v/>
      </c>
      <c r="CE42" s="12">
        <f>CA42-CD42</f>
        <v/>
      </c>
      <c r="CF42" s="12">
        <f>IF(CC42=0,0,IF(AX42=1,SUMPRODUCT(--(($AY$5:$AY42=$AY42-1)*($AX$5:$AX42&gt;=10)*($AX$5:$AX42&lt;=12)),$CE$5:$CE42),IF(AX42=4,SUMPRODUCT(--(($AY$5:$AY42=$AY42)*($AX$5:$AX42&gt;=1)*($AX$5:$AX42&lt;=3)),$CE$5:$CE42),IF(AX42=7,SUMPRODUCT(--(($AY$5:$AY42=$AY42)*($AX$5:$AX42&gt;=4)*($AX$5:$AX42&lt;=6)),$CE$5:$CE42),IF(AX42=10,SUMPRODUCT(--(($AY$5:$AY42=$AY42)*($AX$5:$AX42&gt;=7)*($AX$5:$AX42&lt;=9)),$CE$5:$CE42),0)))))</f>
        <v/>
      </c>
      <c r="CG42" s="12">
        <f>CG41+CE42-CF42</f>
        <v/>
      </c>
      <c r="CH42" s="12">
        <f>IF(ProviderDelay&gt;=1,BO41*BlendedProvPayEss+BP41*BlendedProvPayPrem+BQ41*BlendedProvPayElite+BR41*BlendedProvPayEss+BS41*BlendedProvPayPrem+BT41*BlendedProvPayElite,BO42*BlendedProvPayEss+BP42*BlendedProvPayPrem+BQ42*BlendedProvPayElite+BR42*BlendedProvPayEss+BS42*BlendedProvPayPrem+BT42*BlendedProvPayElite)</f>
        <v/>
      </c>
      <c r="CI42" s="12">
        <f>CA42*PaymentFee</f>
        <v/>
      </c>
      <c r="CJ42" s="12">
        <f>BU42*OpsAI</f>
        <v/>
      </c>
      <c r="CK42" s="12">
        <f>MonthlyFixed</f>
        <v/>
      </c>
      <c r="CL42" s="12">
        <f>BE42*ReferralReward</f>
        <v/>
      </c>
      <c r="CM42" s="12">
        <f>BC42</f>
        <v/>
      </c>
      <c r="CN42" s="9">
        <f>CD42-CH42-CI42-CJ42-CK42-CL42-CM42</f>
        <v/>
      </c>
      <c r="CO42" s="9">
        <f>CO41+CA42-(CH42+CI42+CJ42+CK42+CL42+CM42+CF42)</f>
        <v/>
      </c>
      <c r="CP42" s="12">
        <f>IF(BU42&gt;0,BV42/BU42,0)</f>
        <v/>
      </c>
      <c r="CQ42" s="11">
        <f>IF(BU41&gt;0,MAX(0,(BU41+BF42-BU42)/BU41),0)</f>
        <v/>
      </c>
      <c r="CS42" s="12" t="n">
        <v>38</v>
      </c>
      <c r="CT42" s="12">
        <f>MOD(CS42-1+LaunchMonth-1,12)+1</f>
        <v/>
      </c>
      <c r="CU42" s="12">
        <f>INT((CS42-1+LaunchMonth-1)/12)+1</f>
        <v/>
      </c>
      <c r="CV42" s="12">
        <f>VLOOKUP(CT42,SeasonTable,2,FALSE)</f>
        <v/>
      </c>
      <c r="CW42" s="12">
        <f>(1+InflationRate)^INT((CS42-1)/12)</f>
        <v/>
      </c>
      <c r="CX42" s="11">
        <f>'Sens - Scenarios'!$D$5*VLOOKUP(CT42,ChurnSeasonTable,4,FALSE)</f>
        <v/>
      </c>
      <c r="CY42" s="12">
        <f>MIN(MAX(MktMin19plus,DW41*MktPct19plus),MAX(0,EK41-CashBuffer))</f>
        <v/>
      </c>
      <c r="CZ42" s="12">
        <f>IF(CY42&gt;0,MAX(1,ROUND(CY42/'Sens - Scenarios'!$D$8*CV42,0)),0)</f>
        <v/>
      </c>
      <c r="DA42" s="12">
        <f>IF(CZ42&gt;0,ROUND(CZ42*ReferralMix/(1-ReferralMix),0),0)</f>
        <v/>
      </c>
      <c r="DB42" s="12">
        <f>CZ42+DA42</f>
        <v/>
      </c>
      <c r="DC42" s="12">
        <f>ROUND(DB42*(1-'Sens - Scenarios'!$D$7),0)</f>
        <v/>
      </c>
      <c r="DD42" s="12">
        <f>DB42-DC42</f>
        <v/>
      </c>
      <c r="DE42" s="12">
        <f>ROUND(DC42*EssentialMix,0)</f>
        <v/>
      </c>
      <c r="DF42" s="12">
        <f>ROUND(DC42*PremiumMix,0)</f>
        <v/>
      </c>
      <c r="DG42" s="12">
        <f>DC42-DE42-DF42</f>
        <v/>
      </c>
      <c r="DH42" s="12">
        <f>ROUND(DD42*EssentialMix,0)</f>
        <v/>
      </c>
      <c r="DI42" s="12">
        <f>ROUND(DD42*PremiumMix,0)</f>
        <v/>
      </c>
      <c r="DJ42" s="12">
        <f>DD42-DH42-DI42</f>
        <v/>
      </c>
      <c r="DK42" s="12">
        <f>DE42+DE41+DE40+MAX(0,DK41-DE41-DE40)*(1-CX42)</f>
        <v/>
      </c>
      <c r="DL42" s="12">
        <f>DF42+DF41+DF40+MAX(0,DL41-DF41-DF40)*(1-CX42)</f>
        <v/>
      </c>
      <c r="DM42" s="12">
        <f>DG42+DG41+DG40+MAX(0,DM41-DG41-DG40)*(1-CX42)</f>
        <v/>
      </c>
      <c r="DN42" s="12">
        <f>DN41+DH42-DH30*('Sens - Scenarios'!$D$6*VLOOKUP(CT42,ChurnSeasonTable,4,FALSE))*POWER(1-('Sens - Scenarios'!$D$6*VLOOKUP(CT42,ChurnSeasonTable,4,FALSE)),0)+DH18*('Sens - Scenarios'!$D$6*VLOOKUP(CT42,ChurnSeasonTable,4,FALSE))*POWER(1-('Sens - Scenarios'!$D$6*VLOOKUP(CT42,ChurnSeasonTable,4,FALSE)),1)+DH6*('Sens - Scenarios'!$D$6*VLOOKUP(CT42,ChurnSeasonTable,4,FALSE))*POWER(1-('Sens - Scenarios'!$D$6*VLOOKUP(CT42,ChurnSeasonTable,4,FALSE)),2)</f>
        <v/>
      </c>
      <c r="DO42" s="12">
        <f>DO41+DI42-DI30*('Sens - Scenarios'!$D$6*VLOOKUP(CT42,ChurnSeasonTable,4,FALSE))*POWER(1-('Sens - Scenarios'!$D$6*VLOOKUP(CT42,ChurnSeasonTable,4,FALSE)),0)+DI18*('Sens - Scenarios'!$D$6*VLOOKUP(CT42,ChurnSeasonTable,4,FALSE))*POWER(1-('Sens - Scenarios'!$D$6*VLOOKUP(CT42,ChurnSeasonTable,4,FALSE)),1)+DI6*('Sens - Scenarios'!$D$6*VLOOKUP(CT42,ChurnSeasonTable,4,FALSE))*POWER(1-('Sens - Scenarios'!$D$6*VLOOKUP(CT42,ChurnSeasonTable,4,FALSE)),2)</f>
        <v/>
      </c>
      <c r="DP42" s="12">
        <f>DP41+DJ42-DJ30*('Sens - Scenarios'!$D$6*VLOOKUP(CT42,ChurnSeasonTable,4,FALSE))*POWER(1-('Sens - Scenarios'!$D$6*VLOOKUP(CT42,ChurnSeasonTable,4,FALSE)),0)+DJ18*('Sens - Scenarios'!$D$6*VLOOKUP(CT42,ChurnSeasonTable,4,FALSE))*POWER(1-('Sens - Scenarios'!$D$6*VLOOKUP(CT42,ChurnSeasonTable,4,FALSE)),1)+DJ6*('Sens - Scenarios'!$D$6*VLOOKUP(CT42,ChurnSeasonTable,4,FALSE))*POWER(1-('Sens - Scenarios'!$D$6*VLOOKUP(CT42,ChurnSeasonTable,4,FALSE)),2)</f>
        <v/>
      </c>
      <c r="DQ42" s="12">
        <f>DK42+DL42+DM42+DN42+DO42+DP42</f>
        <v/>
      </c>
      <c r="DR42" s="9">
        <f>DK42*BlendedPriceEssMonthly*CW42+DL42*BlendedPricePremMonthly*CW42+DM42*BlendedPriceEliteMonthly*CW42+DN42*BlendedPriceEssAnnual*CW42/12+DO42*BlendedPricePremAnnual*CW42/12+DP42*BlendedPriceEliteAnnual*CW42/12</f>
        <v/>
      </c>
      <c r="DS42" s="9">
        <f>DR42*12</f>
        <v/>
      </c>
      <c r="DT42" s="12">
        <f>DK42*BlendedPriceEssMonthly*CW42+DL42*BlendedPricePremMonthly*CW42+DM42*BlendedPriceEliteMonthly*CW42</f>
        <v/>
      </c>
      <c r="DU42" s="12">
        <f>DH42*BlendedPriceEssAnnual*CW42+DI42*BlendedPricePremAnnual*CW42+DJ42*BlendedPriceEliteAnnual*CW42</f>
        <v/>
      </c>
      <c r="DV42" s="12">
        <f>DH30*POWER(1-('Sens - Scenarios'!$D$6*VLOOKUP(CT42,ChurnSeasonTable,4,FALSE)),1)*BlendedPriceEssAnnual*CW42+DH18*POWER(1-('Sens - Scenarios'!$D$6*VLOOKUP(CT42,ChurnSeasonTable,4,FALSE)),2)*BlendedPriceEssAnnual*CW42+DH6*POWER(1-('Sens - Scenarios'!$D$6*VLOOKUP(CT42,ChurnSeasonTable,4,FALSE)),3)*BlendedPriceEssAnnual*CW42+DI30*POWER(1-('Sens - Scenarios'!$D$6*VLOOKUP(CT42,ChurnSeasonTable,4,FALSE)),1)*BlendedPricePremAnnual*CW42+DI18*POWER(1-('Sens - Scenarios'!$D$6*VLOOKUP(CT42,ChurnSeasonTable,4,FALSE)),2)*BlendedPricePremAnnual*CW42+DI6*POWER(1-('Sens - Scenarios'!$D$6*VLOOKUP(CT42,ChurnSeasonTable,4,FALSE)),3)*BlendedPricePremAnnual*CW42+DJ30*POWER(1-('Sens - Scenarios'!$D$6*VLOOKUP(CT42,ChurnSeasonTable,4,FALSE)),1)*BlendedPriceEliteAnnual*CW42+DJ18*POWER(1-('Sens - Scenarios'!$D$6*VLOOKUP(CT42,ChurnSeasonTable,4,FALSE)),2)*BlendedPriceEliteAnnual*CW42+DJ6*POWER(1-('Sens - Scenarios'!$D$6*VLOOKUP(CT42,ChurnSeasonTable,4,FALSE)),3)*BlendedPriceEliteAnnual*CW42</f>
        <v/>
      </c>
      <c r="DW42" s="9">
        <f>DT42+DU42+DV42</f>
        <v/>
      </c>
      <c r="DX42" s="12">
        <f>SUM(DW31:DW42)</f>
        <v/>
      </c>
      <c r="DY42" s="12">
        <f>OR(DY41,IF(VATAgentMode,SUM($DW31:$DW42)-SUM($ED31:$ED42)&gt;=VATThreshold,SUM($DW31:$DW42)&gt;=VATThreshold))</f>
        <v/>
      </c>
      <c r="DZ42" s="9">
        <f>IF(DY42,IF(VATAgentMode,DW42-((DW42-ED42)-(DW42-ED42)/(1+VATRate)),DW42/(1+VATRate)),DW42)</f>
        <v/>
      </c>
      <c r="EA42" s="12">
        <f>DW42-DZ42</f>
        <v/>
      </c>
      <c r="EB42" s="12">
        <f>IF(DY42=0,0,IF(CT42=1,SUMPRODUCT(--(($CU$5:$CU42=$CU42-1)*($CT$5:$CT42&gt;=10)*($CT$5:$CT42&lt;=12)),$EA$5:$EA42),IF(CT42=4,SUMPRODUCT(--(($CU$5:$CU42=$CU42)*($CT$5:$CT42&gt;=1)*($CT$5:$CT42&lt;=3)),$EA$5:$EA42),IF(CT42=7,SUMPRODUCT(--(($CU$5:$CU42=$CU42)*($CT$5:$CT42&gt;=4)*($CT$5:$CT42&lt;=6)),$EA$5:$EA42),IF(CT42=10,SUMPRODUCT(--(($CU$5:$CU42=$CU42)*($CT$5:$CT42&gt;=7)*($CT$5:$CT42&lt;=9)),$EA$5:$EA42),0)))))</f>
        <v/>
      </c>
      <c r="EC42" s="12">
        <f>EC41+EA42-EB42</f>
        <v/>
      </c>
      <c r="ED42" s="12">
        <f>IF(ProviderDelay&gt;=1,DK41*BlendedProvPayEss+DL41*BlendedProvPayPrem+DM41*BlendedProvPayElite+DN41*BlendedProvPayEss+DO41*BlendedProvPayPrem+DP41*BlendedProvPayElite,DK42*BlendedProvPayEss+DL42*BlendedProvPayPrem+DM42*BlendedProvPayElite+DN42*BlendedProvPayEss+DO42*BlendedProvPayPrem+DP42*BlendedProvPayElite)</f>
        <v/>
      </c>
      <c r="EE42" s="12">
        <f>DW42*PaymentFee</f>
        <v/>
      </c>
      <c r="EF42" s="12">
        <f>DQ42*OpsAI</f>
        <v/>
      </c>
      <c r="EG42" s="12">
        <f>MonthlyFixed</f>
        <v/>
      </c>
      <c r="EH42" s="12">
        <f>DA42*ReferralReward</f>
        <v/>
      </c>
      <c r="EI42" s="12">
        <f>CY42</f>
        <v/>
      </c>
      <c r="EJ42" s="9">
        <f>DZ42-ED42-EE42-EF42-EG42-EH42-EI42</f>
        <v/>
      </c>
      <c r="EK42" s="9">
        <f>EK41+DW42-(ED42+EE42+EF42+EG42+EH42+EI42+EB42)</f>
        <v/>
      </c>
      <c r="EL42" s="12">
        <f>IF(DQ42&gt;0,DR42/DQ42,0)</f>
        <v/>
      </c>
      <c r="EM42" s="11">
        <f>IF(DQ41&gt;0,MAX(0,(DQ41+DB42-DQ42)/DQ41),0)</f>
        <v/>
      </c>
      <c r="EO42" s="12" t="n">
        <v>38</v>
      </c>
      <c r="EP42" s="12">
        <f>MOD(EO42-1+LaunchMonth-1,12)+1</f>
        <v/>
      </c>
      <c r="EQ42" s="12">
        <f>INT((EO42-1+LaunchMonth-1)/12)+1</f>
        <v/>
      </c>
      <c r="ER42" s="12">
        <f>VLOOKUP(EP42,SeasonTable,2,FALSE)</f>
        <v/>
      </c>
      <c r="ES42" s="12">
        <f>(1+InflationRate)^INT((EO42-1)/12)</f>
        <v/>
      </c>
      <c r="ET42" s="11">
        <f>'Sens - Churn'!$A$13*VLOOKUP(EP42,ChurnSeasonTable,4,FALSE)</f>
        <v/>
      </c>
      <c r="EU42" s="12">
        <f>MIN(MAX(MktMin19plus,FS41*MktPct19plus),MAX(0,GG41-CashBuffer))</f>
        <v/>
      </c>
      <c r="EV42" s="12">
        <f>IF(EU42&gt;0,MAX(1,ROUND(EU42/CAC*ER42,0)),0)</f>
        <v/>
      </c>
      <c r="EW42" s="12">
        <f>IF(EV42&gt;0,ROUND(EV42*ReferralMix/(1-ReferralMix),0),0)</f>
        <v/>
      </c>
      <c r="EX42" s="12">
        <f>EV42+EW42</f>
        <v/>
      </c>
      <c r="EY42" s="12">
        <f>ROUND(EX42*(1-AnnualMix),0)</f>
        <v/>
      </c>
      <c r="EZ42" s="12">
        <f>EX42-EY42</f>
        <v/>
      </c>
      <c r="FA42" s="12">
        <f>ROUND(EY42*EssentialMix,0)</f>
        <v/>
      </c>
      <c r="FB42" s="12">
        <f>ROUND(EY42*PremiumMix,0)</f>
        <v/>
      </c>
      <c r="FC42" s="12">
        <f>EY42-FA42-FB42</f>
        <v/>
      </c>
      <c r="FD42" s="12">
        <f>ROUND(EZ42*EssentialMix,0)</f>
        <v/>
      </c>
      <c r="FE42" s="12">
        <f>ROUND(EZ42*PremiumMix,0)</f>
        <v/>
      </c>
      <c r="FF42" s="12">
        <f>EZ42-FD42-FE42</f>
        <v/>
      </c>
      <c r="FG42" s="12">
        <f>FA42+FA41+FA40+MAX(0,FG41-FA41-FA40)*(1-ET42)</f>
        <v/>
      </c>
      <c r="FH42" s="12">
        <f>FB42+FB41+FB40+MAX(0,FH41-FB41-FB40)*(1-ET42)</f>
        <v/>
      </c>
      <c r="FI42" s="12">
        <f>FC42+FC41+FC40+MAX(0,FI41-FC41-FC40)*(1-ET42)</f>
        <v/>
      </c>
      <c r="FJ42" s="12">
        <f>FJ41+FD42-FD30*(AnnualChurn*VLOOKUP(EP42,ChurnSeasonTable,4,FALSE))*POWER(1-(AnnualChurn*VLOOKUP(EP42,ChurnSeasonTable,4,FALSE)),0)+FD18*(AnnualChurn*VLOOKUP(EP42,ChurnSeasonTable,4,FALSE))*POWER(1-(AnnualChurn*VLOOKUP(EP42,ChurnSeasonTable,4,FALSE)),1)+FD6*(AnnualChurn*VLOOKUP(EP42,ChurnSeasonTable,4,FALSE))*POWER(1-(AnnualChurn*VLOOKUP(EP42,ChurnSeasonTable,4,FALSE)),2)</f>
        <v/>
      </c>
      <c r="FK42" s="12">
        <f>FK41+FE42-FE30*(AnnualChurn*VLOOKUP(EP42,ChurnSeasonTable,4,FALSE))*POWER(1-(AnnualChurn*VLOOKUP(EP42,ChurnSeasonTable,4,FALSE)),0)+FE18*(AnnualChurn*VLOOKUP(EP42,ChurnSeasonTable,4,FALSE))*POWER(1-(AnnualChurn*VLOOKUP(EP42,ChurnSeasonTable,4,FALSE)),1)+FE6*(AnnualChurn*VLOOKUP(EP42,ChurnSeasonTable,4,FALSE))*POWER(1-(AnnualChurn*VLOOKUP(EP42,ChurnSeasonTable,4,FALSE)),2)</f>
        <v/>
      </c>
      <c r="FL42" s="12">
        <f>FL41+FF42-FF30*(AnnualChurn*VLOOKUP(EP42,ChurnSeasonTable,4,FALSE))*POWER(1-(AnnualChurn*VLOOKUP(EP42,ChurnSeasonTable,4,FALSE)),0)+FF18*(AnnualChurn*VLOOKUP(EP42,ChurnSeasonTable,4,FALSE))*POWER(1-(AnnualChurn*VLOOKUP(EP42,ChurnSeasonTable,4,FALSE)),1)+FF6*(AnnualChurn*VLOOKUP(EP42,ChurnSeasonTable,4,FALSE))*POWER(1-(AnnualChurn*VLOOKUP(EP42,ChurnSeasonTable,4,FALSE)),2)</f>
        <v/>
      </c>
      <c r="FM42" s="12">
        <f>FG42+FH42+FI42+FJ42+FK42+FL42</f>
        <v/>
      </c>
      <c r="FN42" s="9">
        <f>FG42*BlendedPriceEssMonthly*ES42+FH42*BlendedPricePremMonthly*ES42+FI42*BlendedPriceEliteMonthly*ES42+FJ42*BlendedPriceEssAnnual*ES42/12+FK42*BlendedPricePremAnnual*ES42/12+FL42*BlendedPriceEliteAnnual*ES42/12</f>
        <v/>
      </c>
      <c r="FO42" s="9">
        <f>FN42*12</f>
        <v/>
      </c>
      <c r="FP42" s="12">
        <f>FG42*BlendedPriceEssMonthly*ES42+FH42*BlendedPricePremMonthly*ES42+FI42*BlendedPriceEliteMonthly*ES42</f>
        <v/>
      </c>
      <c r="FQ42" s="12">
        <f>FD42*BlendedPriceEssAnnual*ES42+FE42*BlendedPricePremAnnual*ES42+FF42*BlendedPriceEliteAnnual*ES42</f>
        <v/>
      </c>
      <c r="FR42" s="12">
        <f>FD30*POWER(1-(AnnualChurn*VLOOKUP(EP42,ChurnSeasonTable,4,FALSE)),1)*BlendedPriceEssAnnual*ES42+FD18*POWER(1-(AnnualChurn*VLOOKUP(EP42,ChurnSeasonTable,4,FALSE)),2)*BlendedPriceEssAnnual*ES42+FD6*POWER(1-(AnnualChurn*VLOOKUP(EP42,ChurnSeasonTable,4,FALSE)),3)*BlendedPriceEssAnnual*ES42+FE30*POWER(1-(AnnualChurn*VLOOKUP(EP42,ChurnSeasonTable,4,FALSE)),1)*BlendedPricePremAnnual*ES42+FE18*POWER(1-(AnnualChurn*VLOOKUP(EP42,ChurnSeasonTable,4,FALSE)),2)*BlendedPricePremAnnual*ES42+FE6*POWER(1-(AnnualChurn*VLOOKUP(EP42,ChurnSeasonTable,4,FALSE)),3)*BlendedPricePremAnnual*ES42+FF30*POWER(1-(AnnualChurn*VLOOKUP(EP42,ChurnSeasonTable,4,FALSE)),1)*BlendedPriceEliteAnnual*ES42+FF18*POWER(1-(AnnualChurn*VLOOKUP(EP42,ChurnSeasonTable,4,FALSE)),2)*BlendedPriceEliteAnnual*ES42+FF6*POWER(1-(AnnualChurn*VLOOKUP(EP42,ChurnSeasonTable,4,FALSE)),3)*BlendedPriceEliteAnnual*ES42</f>
        <v/>
      </c>
      <c r="FS42" s="9">
        <f>FP42+FQ42+FR42</f>
        <v/>
      </c>
      <c r="FT42" s="12">
        <f>SUM(FS31:FS42)</f>
        <v/>
      </c>
      <c r="FU42" s="12">
        <f>OR(FU41,IF(VATAgentMode,SUM($FS31:$FS42)-SUM($FZ31:$FZ42)&gt;=VATThreshold,SUM($FS31:$FS42)&gt;=VATThreshold))</f>
        <v/>
      </c>
      <c r="FV42" s="9">
        <f>IF(FU42,IF(VATAgentMode,FS42-((FS42-FZ42)-(FS42-FZ42)/(1+VATRate)),FS42/(1+VATRate)),FS42)</f>
        <v/>
      </c>
      <c r="FW42" s="12">
        <f>FS42-FV42</f>
        <v/>
      </c>
      <c r="FX42" s="12">
        <f>IF(FU42=0,0,IF(EP42=1,SUMPRODUCT(--(($EQ$5:$EQ42=$EQ42-1)*($EP$5:$EP42&gt;=10)*($EP$5:$EP42&lt;=12)),$FW$5:$FW42),IF(EP42=4,SUMPRODUCT(--(($EQ$5:$EQ42=$EQ42)*($EP$5:$EP42&gt;=1)*($EP$5:$EP42&lt;=3)),$FW$5:$FW42),IF(EP42=7,SUMPRODUCT(--(($EQ$5:$EQ42=$EQ42)*($EP$5:$EP42&gt;=4)*($EP$5:$EP42&lt;=6)),$FW$5:$FW42),IF(EP42=10,SUMPRODUCT(--(($EQ$5:$EQ42=$EQ42)*($EP$5:$EP42&gt;=7)*($EP$5:$EP42&lt;=9)),$FW$5:$FW42),0)))))</f>
        <v/>
      </c>
      <c r="FY42" s="12">
        <f>FY41+FW42-FX42</f>
        <v/>
      </c>
      <c r="FZ42" s="12">
        <f>IF(ProviderDelay&gt;=1,FG41*BlendedProvPayEss+FH41*BlendedProvPayPrem+FI41*BlendedProvPayElite+FJ41*BlendedProvPayEss+FK41*BlendedProvPayPrem+FL41*BlendedProvPayElite,FG42*BlendedProvPayEss+FH42*BlendedProvPayPrem+FI42*BlendedProvPayElite+FJ42*BlendedProvPayEss+FK42*BlendedProvPayPrem+FL42*BlendedProvPayElite)</f>
        <v/>
      </c>
      <c r="GA42" s="12">
        <f>FS42*PaymentFee</f>
        <v/>
      </c>
      <c r="GB42" s="12">
        <f>FM42*OpsAI</f>
        <v/>
      </c>
      <c r="GC42" s="12">
        <f>MonthlyFixed</f>
        <v/>
      </c>
      <c r="GD42" s="12">
        <f>EW42*ReferralReward</f>
        <v/>
      </c>
      <c r="GE42" s="12">
        <f>EU42</f>
        <v/>
      </c>
      <c r="GF42" s="9">
        <f>FV42-FZ42-GA42-GB42-GC42-GD42-GE42</f>
        <v/>
      </c>
      <c r="GG42" s="9">
        <f>GG41+FS42-(FZ42+GA42+GB42+GC42+GD42+GE42+FX42)</f>
        <v/>
      </c>
      <c r="GH42" s="12">
        <f>IF(FM42&gt;0,FN42/FM42,0)</f>
        <v/>
      </c>
      <c r="GI42" s="11">
        <f>IF(FM41&gt;0,MAX(0,(FM41+EX42-FM42)/FM41),0)</f>
        <v/>
      </c>
      <c r="GK42" s="12" t="n">
        <v>38</v>
      </c>
      <c r="GL42" s="12">
        <f>MOD(GK42-1+LaunchMonth-1,12)+1</f>
        <v/>
      </c>
      <c r="GM42" s="12">
        <f>INT((GK42-1+LaunchMonth-1)/12)+1</f>
        <v/>
      </c>
      <c r="GN42" s="12">
        <f>VLOOKUP(GL42,SeasonTable,2,FALSE)</f>
        <v/>
      </c>
      <c r="GO42" s="12">
        <f>(1+InflationRate)^INT((GK42-1)/12)</f>
        <v/>
      </c>
      <c r="GP42" s="11">
        <f>'Sens - Churn'!$A$14*VLOOKUP(GL42,ChurnSeasonTable,4,FALSE)</f>
        <v/>
      </c>
      <c r="GQ42" s="12">
        <f>MIN(MAX(MktMin19plus,HO41*MktPct19plus),MAX(0,IC41-CashBuffer))</f>
        <v/>
      </c>
      <c r="GR42" s="12">
        <f>IF(GQ42&gt;0,MAX(1,ROUND(GQ42/CAC*GN42,0)),0)</f>
        <v/>
      </c>
      <c r="GS42" s="12">
        <f>IF(GR42&gt;0,ROUND(GR42*ReferralMix/(1-ReferralMix),0),0)</f>
        <v/>
      </c>
      <c r="GT42" s="12">
        <f>GR42+GS42</f>
        <v/>
      </c>
      <c r="GU42" s="12">
        <f>ROUND(GT42*(1-AnnualMix),0)</f>
        <v/>
      </c>
      <c r="GV42" s="12">
        <f>GT42-GU42</f>
        <v/>
      </c>
      <c r="GW42" s="12">
        <f>ROUND(GU42*EssentialMix,0)</f>
        <v/>
      </c>
      <c r="GX42" s="12">
        <f>ROUND(GU42*PremiumMix,0)</f>
        <v/>
      </c>
      <c r="GY42" s="12">
        <f>GU42-GW42-GX42</f>
        <v/>
      </c>
      <c r="GZ42" s="12">
        <f>ROUND(GV42*EssentialMix,0)</f>
        <v/>
      </c>
      <c r="HA42" s="12">
        <f>ROUND(GV42*PremiumMix,0)</f>
        <v/>
      </c>
      <c r="HB42" s="12">
        <f>GV42-GZ42-HA42</f>
        <v/>
      </c>
      <c r="HC42" s="12">
        <f>GW42+GW41+GW40+MAX(0,HC41-GW41-GW40)*(1-GP42)</f>
        <v/>
      </c>
      <c r="HD42" s="12">
        <f>GX42+GX41+GX40+MAX(0,HD41-GX41-GX40)*(1-GP42)</f>
        <v/>
      </c>
      <c r="HE42" s="12">
        <f>GY42+GY41+GY40+MAX(0,HE41-GY41-GY40)*(1-GP42)</f>
        <v/>
      </c>
      <c r="HF42" s="12">
        <f>HF41+GZ42-GZ30*(AnnualChurn*VLOOKUP(GL42,ChurnSeasonTable,4,FALSE))*POWER(1-(AnnualChurn*VLOOKUP(GL42,ChurnSeasonTable,4,FALSE)),0)+GZ18*(AnnualChurn*VLOOKUP(GL42,ChurnSeasonTable,4,FALSE))*POWER(1-(AnnualChurn*VLOOKUP(GL42,ChurnSeasonTable,4,FALSE)),1)+GZ6*(AnnualChurn*VLOOKUP(GL42,ChurnSeasonTable,4,FALSE))*POWER(1-(AnnualChurn*VLOOKUP(GL42,ChurnSeasonTable,4,FALSE)),2)</f>
        <v/>
      </c>
      <c r="HG42" s="12">
        <f>HG41+HA42-HA30*(AnnualChurn*VLOOKUP(GL42,ChurnSeasonTable,4,FALSE))*POWER(1-(AnnualChurn*VLOOKUP(GL42,ChurnSeasonTable,4,FALSE)),0)+HA18*(AnnualChurn*VLOOKUP(GL42,ChurnSeasonTable,4,FALSE))*POWER(1-(AnnualChurn*VLOOKUP(GL42,ChurnSeasonTable,4,FALSE)),1)+HA6*(AnnualChurn*VLOOKUP(GL42,ChurnSeasonTable,4,FALSE))*POWER(1-(AnnualChurn*VLOOKUP(GL42,ChurnSeasonTable,4,FALSE)),2)</f>
        <v/>
      </c>
      <c r="HH42" s="12">
        <f>HH41+HB42-HB30*(AnnualChurn*VLOOKUP(GL42,ChurnSeasonTable,4,FALSE))*POWER(1-(AnnualChurn*VLOOKUP(GL42,ChurnSeasonTable,4,FALSE)),0)+HB18*(AnnualChurn*VLOOKUP(GL42,ChurnSeasonTable,4,FALSE))*POWER(1-(AnnualChurn*VLOOKUP(GL42,ChurnSeasonTable,4,FALSE)),1)+HB6*(AnnualChurn*VLOOKUP(GL42,ChurnSeasonTable,4,FALSE))*POWER(1-(AnnualChurn*VLOOKUP(GL42,ChurnSeasonTable,4,FALSE)),2)</f>
        <v/>
      </c>
      <c r="HI42" s="12">
        <f>HC42+HD42+HE42+HF42+HG42+HH42</f>
        <v/>
      </c>
      <c r="HJ42" s="9">
        <f>HC42*BlendedPriceEssMonthly*GO42+HD42*BlendedPricePremMonthly*GO42+HE42*BlendedPriceEliteMonthly*GO42+HF42*BlendedPriceEssAnnual*GO42/12+HG42*BlendedPricePremAnnual*GO42/12+HH42*BlendedPriceEliteAnnual*GO42/12</f>
        <v/>
      </c>
      <c r="HK42" s="9">
        <f>HJ42*12</f>
        <v/>
      </c>
      <c r="HL42" s="12">
        <f>HC42*BlendedPriceEssMonthly*GO42+HD42*BlendedPricePremMonthly*GO42+HE42*BlendedPriceEliteMonthly*GO42</f>
        <v/>
      </c>
      <c r="HM42" s="12">
        <f>GZ42*BlendedPriceEssAnnual*GO42+HA42*BlendedPricePremAnnual*GO42+HB42*BlendedPriceEliteAnnual*GO42</f>
        <v/>
      </c>
      <c r="HN42" s="12">
        <f>GZ30*POWER(1-(AnnualChurn*VLOOKUP(GL42,ChurnSeasonTable,4,FALSE)),1)*BlendedPriceEssAnnual*GO42+GZ18*POWER(1-(AnnualChurn*VLOOKUP(GL42,ChurnSeasonTable,4,FALSE)),2)*BlendedPriceEssAnnual*GO42+GZ6*POWER(1-(AnnualChurn*VLOOKUP(GL42,ChurnSeasonTable,4,FALSE)),3)*BlendedPriceEssAnnual*GO42+HA30*POWER(1-(AnnualChurn*VLOOKUP(GL42,ChurnSeasonTable,4,FALSE)),1)*BlendedPricePremAnnual*GO42+HA18*POWER(1-(AnnualChurn*VLOOKUP(GL42,ChurnSeasonTable,4,FALSE)),2)*BlendedPricePremAnnual*GO42+HA6*POWER(1-(AnnualChurn*VLOOKUP(GL42,ChurnSeasonTable,4,FALSE)),3)*BlendedPricePremAnnual*GO42+HB30*POWER(1-(AnnualChurn*VLOOKUP(GL42,ChurnSeasonTable,4,FALSE)),1)*BlendedPriceEliteAnnual*GO42+HB18*POWER(1-(AnnualChurn*VLOOKUP(GL42,ChurnSeasonTable,4,FALSE)),2)*BlendedPriceEliteAnnual*GO42+HB6*POWER(1-(AnnualChurn*VLOOKUP(GL42,ChurnSeasonTable,4,FALSE)),3)*BlendedPriceEliteAnnual*GO42</f>
        <v/>
      </c>
      <c r="HO42" s="9">
        <f>HL42+HM42+HN42</f>
        <v/>
      </c>
      <c r="HP42" s="12">
        <f>SUM(HO31:HO42)</f>
        <v/>
      </c>
      <c r="HQ42" s="12">
        <f>OR(HQ41,IF(VATAgentMode,SUM($HO31:$HO42)-SUM($HV31:$HV42)&gt;=VATThreshold,SUM($HO31:$HO42)&gt;=VATThreshold))</f>
        <v/>
      </c>
      <c r="HR42" s="9">
        <f>IF(HQ42,IF(VATAgentMode,HO42-((HO42-HV42)-(HO42-HV42)/(1+VATRate)),HO42/(1+VATRate)),HO42)</f>
        <v/>
      </c>
      <c r="HS42" s="12">
        <f>HO42-HR42</f>
        <v/>
      </c>
      <c r="HT42" s="12">
        <f>IF(HQ42=0,0,IF(GL42=1,SUMPRODUCT(--(($GM$5:$GM42=$GM42-1)*($GL$5:$GL42&gt;=10)*($GL$5:$GL42&lt;=12)),$HS$5:$HS42),IF(GL42=4,SUMPRODUCT(--(($GM$5:$GM42=$GM42)*($GL$5:$GL42&gt;=1)*($GL$5:$GL42&lt;=3)),$HS$5:$HS42),IF(GL42=7,SUMPRODUCT(--(($GM$5:$GM42=$GM42)*($GL$5:$GL42&gt;=4)*($GL$5:$GL42&lt;=6)),$HS$5:$HS42),IF(GL42=10,SUMPRODUCT(--(($GM$5:$GM42=$GM42)*($GL$5:$GL42&gt;=7)*($GL$5:$GL42&lt;=9)),$HS$5:$HS42),0)))))</f>
        <v/>
      </c>
      <c r="HU42" s="12">
        <f>HU41+HS42-HT42</f>
        <v/>
      </c>
      <c r="HV42" s="12">
        <f>IF(ProviderDelay&gt;=1,HC41*BlendedProvPayEss+HD41*BlendedProvPayPrem+HE41*BlendedProvPayElite+HF41*BlendedProvPayEss+HG41*BlendedProvPayPrem+HH41*BlendedProvPayElite,HC42*BlendedProvPayEss+HD42*BlendedProvPayPrem+HE42*BlendedProvPayElite+HF42*BlendedProvPayEss+HG42*BlendedProvPayPrem+HH42*BlendedProvPayElite)</f>
        <v/>
      </c>
      <c r="HW42" s="12">
        <f>HO42*PaymentFee</f>
        <v/>
      </c>
      <c r="HX42" s="12">
        <f>HI42*OpsAI</f>
        <v/>
      </c>
      <c r="HY42" s="12">
        <f>MonthlyFixed</f>
        <v/>
      </c>
      <c r="HZ42" s="12">
        <f>GS42*ReferralReward</f>
        <v/>
      </c>
      <c r="IA42" s="12">
        <f>GQ42</f>
        <v/>
      </c>
      <c r="IB42" s="9">
        <f>HR42-HV42-HW42-HX42-HY42-HZ42-IA42</f>
        <v/>
      </c>
      <c r="IC42" s="9">
        <f>IC41+HO42-(HV42+HW42+HX42+HY42+HZ42+IA42+HT42)</f>
        <v/>
      </c>
      <c r="ID42" s="12">
        <f>IF(HI42&gt;0,HJ42/HI42,0)</f>
        <v/>
      </c>
      <c r="IE42" s="11">
        <f>IF(HI41&gt;0,MAX(0,(HI41+GT42-HI42)/HI41),0)</f>
        <v/>
      </c>
      <c r="IG42" s="12" t="n">
        <v>38</v>
      </c>
      <c r="IH42" s="12">
        <f>MOD(IG42-1+LaunchMonth-1,12)+1</f>
        <v/>
      </c>
      <c r="II42" s="12">
        <f>INT((IG42-1+LaunchMonth-1)/12)+1</f>
        <v/>
      </c>
      <c r="IJ42" s="12">
        <f>VLOOKUP(IH42,SeasonTable,2,FALSE)</f>
        <v/>
      </c>
      <c r="IK42" s="12">
        <f>(1+InflationRate)^INT((IG42-1)/12)</f>
        <v/>
      </c>
      <c r="IL42" s="11">
        <f>'Sens - Churn'!$A$15*VLOOKUP(IH42,ChurnSeasonTable,4,FALSE)</f>
        <v/>
      </c>
      <c r="IM42" s="12">
        <f>MIN(MAX(MktMin19plus,JK41*MktPct19plus),MAX(0,JY41-CashBuffer))</f>
        <v/>
      </c>
      <c r="IN42" s="12">
        <f>IF(IM42&gt;0,MAX(1,ROUND(IM42/CAC*IJ42,0)),0)</f>
        <v/>
      </c>
      <c r="IO42" s="12">
        <f>IF(IN42&gt;0,ROUND(IN42*ReferralMix/(1-ReferralMix),0),0)</f>
        <v/>
      </c>
      <c r="IP42" s="12">
        <f>IN42+IO42</f>
        <v/>
      </c>
      <c r="IQ42" s="12">
        <f>ROUND(IP42*(1-AnnualMix),0)</f>
        <v/>
      </c>
      <c r="IR42" s="12">
        <f>IP42-IQ42</f>
        <v/>
      </c>
      <c r="IS42" s="12">
        <f>ROUND(IQ42*EssentialMix,0)</f>
        <v/>
      </c>
      <c r="IT42" s="12">
        <f>ROUND(IQ42*PremiumMix,0)</f>
        <v/>
      </c>
      <c r="IU42" s="12">
        <f>IQ42-IS42-IT42</f>
        <v/>
      </c>
      <c r="IV42" s="12">
        <f>ROUND(IR42*EssentialMix,0)</f>
        <v/>
      </c>
      <c r="IW42" s="12">
        <f>ROUND(IR42*PremiumMix,0)</f>
        <v/>
      </c>
      <c r="IX42" s="12">
        <f>IR42-IV42-IW42</f>
        <v/>
      </c>
      <c r="IY42" s="12">
        <f>IS42+IS41+IS40+MAX(0,IY41-IS41-IS40)*(1-IL42)</f>
        <v/>
      </c>
      <c r="IZ42" s="12">
        <f>IT42+IT41+IT40+MAX(0,IZ41-IT41-IT40)*(1-IL42)</f>
        <v/>
      </c>
      <c r="JA42" s="12">
        <f>IU42+IU41+IU40+MAX(0,JA41-IU41-IU40)*(1-IL42)</f>
        <v/>
      </c>
      <c r="JB42" s="12">
        <f>JB41+IV42-IV30*(AnnualChurn*VLOOKUP(IH42,ChurnSeasonTable,4,FALSE))*POWER(1-(AnnualChurn*VLOOKUP(IH42,ChurnSeasonTable,4,FALSE)),0)+IV18*(AnnualChurn*VLOOKUP(IH42,ChurnSeasonTable,4,FALSE))*POWER(1-(AnnualChurn*VLOOKUP(IH42,ChurnSeasonTable,4,FALSE)),1)+IV6*(AnnualChurn*VLOOKUP(IH42,ChurnSeasonTable,4,FALSE))*POWER(1-(AnnualChurn*VLOOKUP(IH42,ChurnSeasonTable,4,FALSE)),2)</f>
        <v/>
      </c>
      <c r="JC42" s="12">
        <f>JC41+IW42-IW30*(AnnualChurn*VLOOKUP(IH42,ChurnSeasonTable,4,FALSE))*POWER(1-(AnnualChurn*VLOOKUP(IH42,ChurnSeasonTable,4,FALSE)),0)+IW18*(AnnualChurn*VLOOKUP(IH42,ChurnSeasonTable,4,FALSE))*POWER(1-(AnnualChurn*VLOOKUP(IH42,ChurnSeasonTable,4,FALSE)),1)+IW6*(AnnualChurn*VLOOKUP(IH42,ChurnSeasonTable,4,FALSE))*POWER(1-(AnnualChurn*VLOOKUP(IH42,ChurnSeasonTable,4,FALSE)),2)</f>
        <v/>
      </c>
      <c r="JD42" s="12">
        <f>JD41+IX42-IX30*(AnnualChurn*VLOOKUP(IH42,ChurnSeasonTable,4,FALSE))*POWER(1-(AnnualChurn*VLOOKUP(IH42,ChurnSeasonTable,4,FALSE)),0)+IX18*(AnnualChurn*VLOOKUP(IH42,ChurnSeasonTable,4,FALSE))*POWER(1-(AnnualChurn*VLOOKUP(IH42,ChurnSeasonTable,4,FALSE)),1)+IX6*(AnnualChurn*VLOOKUP(IH42,ChurnSeasonTable,4,FALSE))*POWER(1-(AnnualChurn*VLOOKUP(IH42,ChurnSeasonTable,4,FALSE)),2)</f>
        <v/>
      </c>
      <c r="JE42" s="12">
        <f>IY42+IZ42+JA42+JB42+JC42+JD42</f>
        <v/>
      </c>
      <c r="JF42" s="9">
        <f>IY42*BlendedPriceEssMonthly*IK42+IZ42*BlendedPricePremMonthly*IK42+JA42*BlendedPriceEliteMonthly*IK42+JB42*BlendedPriceEssAnnual*IK42/12+JC42*BlendedPricePremAnnual*IK42/12+JD42*BlendedPriceEliteAnnual*IK42/12</f>
        <v/>
      </c>
      <c r="JG42" s="9">
        <f>JF42*12</f>
        <v/>
      </c>
      <c r="JH42" s="12">
        <f>IY42*BlendedPriceEssMonthly*IK42+IZ42*BlendedPricePremMonthly*IK42+JA42*BlendedPriceEliteMonthly*IK42</f>
        <v/>
      </c>
      <c r="JI42" s="12">
        <f>IV42*BlendedPriceEssAnnual*IK42+IW42*BlendedPricePremAnnual*IK42+IX42*BlendedPriceEliteAnnual*IK42</f>
        <v/>
      </c>
      <c r="JJ42" s="12">
        <f>IV30*POWER(1-(AnnualChurn*VLOOKUP(IH42,ChurnSeasonTable,4,FALSE)),1)*BlendedPriceEssAnnual*IK42+IV18*POWER(1-(AnnualChurn*VLOOKUP(IH42,ChurnSeasonTable,4,FALSE)),2)*BlendedPriceEssAnnual*IK42+IV6*POWER(1-(AnnualChurn*VLOOKUP(IH42,ChurnSeasonTable,4,FALSE)),3)*BlendedPriceEssAnnual*IK42+IW30*POWER(1-(AnnualChurn*VLOOKUP(IH42,ChurnSeasonTable,4,FALSE)),1)*BlendedPricePremAnnual*IK42+IW18*POWER(1-(AnnualChurn*VLOOKUP(IH42,ChurnSeasonTable,4,FALSE)),2)*BlendedPricePremAnnual*IK42+IW6*POWER(1-(AnnualChurn*VLOOKUP(IH42,ChurnSeasonTable,4,FALSE)),3)*BlendedPricePremAnnual*IK42+IX30*POWER(1-(AnnualChurn*VLOOKUP(IH42,ChurnSeasonTable,4,FALSE)),1)*BlendedPriceEliteAnnual*IK42+IX18*POWER(1-(AnnualChurn*VLOOKUP(IH42,ChurnSeasonTable,4,FALSE)),2)*BlendedPriceEliteAnnual*IK42+IX6*POWER(1-(AnnualChurn*VLOOKUP(IH42,ChurnSeasonTable,4,FALSE)),3)*BlendedPriceEliteAnnual*IK42</f>
        <v/>
      </c>
      <c r="JK42" s="9">
        <f>JH42+JI42+JJ42</f>
        <v/>
      </c>
      <c r="JL42" s="12">
        <f>SUM(JK31:JK42)</f>
        <v/>
      </c>
      <c r="JM42" s="12">
        <f>OR(JM41,IF(VATAgentMode,SUM($JK31:$JK42)-SUM($JR31:$JR42)&gt;=VATThreshold,SUM($JK31:$JK42)&gt;=VATThreshold))</f>
        <v/>
      </c>
      <c r="JN42" s="9">
        <f>IF(JM42,IF(VATAgentMode,JK42-((JK42-JR42)-(JK42-JR42)/(1+VATRate)),JK42/(1+VATRate)),JK42)</f>
        <v/>
      </c>
      <c r="JO42" s="12">
        <f>JK42-JN42</f>
        <v/>
      </c>
      <c r="JP42" s="12">
        <f>IF(JM42=0,0,IF(IH42=1,SUMPRODUCT(--(($II$5:$II42=$II42-1)*($IH$5:$IH42&gt;=10)*($IH$5:$IH42&lt;=12)),$JO$5:$JO42),IF(IH42=4,SUMPRODUCT(--(($II$5:$II42=$II42)*($IH$5:$IH42&gt;=1)*($IH$5:$IH42&lt;=3)),$JO$5:$JO42),IF(IH42=7,SUMPRODUCT(--(($II$5:$II42=$II42)*($IH$5:$IH42&gt;=4)*($IH$5:$IH42&lt;=6)),$JO$5:$JO42),IF(IH42=10,SUMPRODUCT(--(($II$5:$II42=$II42)*($IH$5:$IH42&gt;=7)*($IH$5:$IH42&lt;=9)),$JO$5:$JO42),0)))))</f>
        <v/>
      </c>
      <c r="JQ42" s="12">
        <f>JQ41+JO42-JP42</f>
        <v/>
      </c>
      <c r="JR42" s="12">
        <f>IF(ProviderDelay&gt;=1,IY41*BlendedProvPayEss+IZ41*BlendedProvPayPrem+JA41*BlendedProvPayElite+JB41*BlendedProvPayEss+JC41*BlendedProvPayPrem+JD41*BlendedProvPayElite,IY42*BlendedProvPayEss+IZ42*BlendedProvPayPrem+JA42*BlendedProvPayElite+JB42*BlendedProvPayEss+JC42*BlendedProvPayPrem+JD42*BlendedProvPayElite)</f>
        <v/>
      </c>
      <c r="JS42" s="12">
        <f>JK42*PaymentFee</f>
        <v/>
      </c>
      <c r="JT42" s="12">
        <f>JE42*OpsAI</f>
        <v/>
      </c>
      <c r="JU42" s="12">
        <f>MonthlyFixed</f>
        <v/>
      </c>
      <c r="JV42" s="12">
        <f>IO42*ReferralReward</f>
        <v/>
      </c>
      <c r="JW42" s="12">
        <f>IM42</f>
        <v/>
      </c>
      <c r="JX42" s="9">
        <f>JN42-JR42-JS42-JT42-JU42-JV42-JW42</f>
        <v/>
      </c>
      <c r="JY42" s="9">
        <f>JY41+JK42-(JR42+JS42+JT42+JU42+JV42+JW42+JP42)</f>
        <v/>
      </c>
      <c r="JZ42" s="12">
        <f>IF(JE42&gt;0,JF42/JE42,0)</f>
        <v/>
      </c>
      <c r="KA42" s="11">
        <f>IF(JE41&gt;0,MAX(0,(JE41+IP42-JE42)/JE41),0)</f>
        <v/>
      </c>
      <c r="KC42" s="12" t="n">
        <v>38</v>
      </c>
      <c r="KD42" s="12">
        <f>MOD(KC42-1+LaunchMonth-1,12)+1</f>
        <v/>
      </c>
      <c r="KE42" s="12">
        <f>INT((KC42-1+LaunchMonth-1)/12)+1</f>
        <v/>
      </c>
      <c r="KF42" s="12">
        <f>VLOOKUP(KD42,SeasonTable,2,FALSE)</f>
        <v/>
      </c>
      <c r="KG42" s="12">
        <f>(1+InflationRate)^INT((KC42-1)/12)</f>
        <v/>
      </c>
      <c r="KH42" s="11">
        <f>'Sens - Churn'!$A$16*VLOOKUP(KD42,ChurnSeasonTable,4,FALSE)</f>
        <v/>
      </c>
      <c r="KI42" s="12">
        <f>MIN(MAX(MktMin19plus,LG41*MktPct19plus),MAX(0,LU41-CashBuffer))</f>
        <v/>
      </c>
      <c r="KJ42" s="12">
        <f>IF(KI42&gt;0,MAX(1,ROUND(KI42/CAC*KF42,0)),0)</f>
        <v/>
      </c>
      <c r="KK42" s="12">
        <f>IF(KJ42&gt;0,ROUND(KJ42*ReferralMix/(1-ReferralMix),0),0)</f>
        <v/>
      </c>
      <c r="KL42" s="12">
        <f>KJ42+KK42</f>
        <v/>
      </c>
      <c r="KM42" s="12">
        <f>ROUND(KL42*(1-AnnualMix),0)</f>
        <v/>
      </c>
      <c r="KN42" s="12">
        <f>KL42-KM42</f>
        <v/>
      </c>
      <c r="KO42" s="12">
        <f>ROUND(KM42*EssentialMix,0)</f>
        <v/>
      </c>
      <c r="KP42" s="12">
        <f>ROUND(KM42*PremiumMix,0)</f>
        <v/>
      </c>
      <c r="KQ42" s="12">
        <f>KM42-KO42-KP42</f>
        <v/>
      </c>
      <c r="KR42" s="12">
        <f>ROUND(KN42*EssentialMix,0)</f>
        <v/>
      </c>
      <c r="KS42" s="12">
        <f>ROUND(KN42*PremiumMix,0)</f>
        <v/>
      </c>
      <c r="KT42" s="12">
        <f>KN42-KR42-KS42</f>
        <v/>
      </c>
      <c r="KU42" s="12">
        <f>KO42+KO41+KO40+MAX(0,KU41-KO41-KO40)*(1-KH42)</f>
        <v/>
      </c>
      <c r="KV42" s="12">
        <f>KP42+KP41+KP40+MAX(0,KV41-KP41-KP40)*(1-KH42)</f>
        <v/>
      </c>
      <c r="KW42" s="12">
        <f>KQ42+KQ41+KQ40+MAX(0,KW41-KQ41-KQ40)*(1-KH42)</f>
        <v/>
      </c>
      <c r="KX42" s="12">
        <f>KX41+KR42-KR30*(AnnualChurn*VLOOKUP(KD42,ChurnSeasonTable,4,FALSE))*POWER(1-(AnnualChurn*VLOOKUP(KD42,ChurnSeasonTable,4,FALSE)),0)+KR18*(AnnualChurn*VLOOKUP(KD42,ChurnSeasonTable,4,FALSE))*POWER(1-(AnnualChurn*VLOOKUP(KD42,ChurnSeasonTable,4,FALSE)),1)+KR6*(AnnualChurn*VLOOKUP(KD42,ChurnSeasonTable,4,FALSE))*POWER(1-(AnnualChurn*VLOOKUP(KD42,ChurnSeasonTable,4,FALSE)),2)</f>
        <v/>
      </c>
      <c r="KY42" s="12">
        <f>KY41+KS42-KS30*(AnnualChurn*VLOOKUP(KD42,ChurnSeasonTable,4,FALSE))*POWER(1-(AnnualChurn*VLOOKUP(KD42,ChurnSeasonTable,4,FALSE)),0)+KS18*(AnnualChurn*VLOOKUP(KD42,ChurnSeasonTable,4,FALSE))*POWER(1-(AnnualChurn*VLOOKUP(KD42,ChurnSeasonTable,4,FALSE)),1)+KS6*(AnnualChurn*VLOOKUP(KD42,ChurnSeasonTable,4,FALSE))*POWER(1-(AnnualChurn*VLOOKUP(KD42,ChurnSeasonTable,4,FALSE)),2)</f>
        <v/>
      </c>
      <c r="KZ42" s="12">
        <f>KZ41+KT42-KT30*(AnnualChurn*VLOOKUP(KD42,ChurnSeasonTable,4,FALSE))*POWER(1-(AnnualChurn*VLOOKUP(KD42,ChurnSeasonTable,4,FALSE)),0)+KT18*(AnnualChurn*VLOOKUP(KD42,ChurnSeasonTable,4,FALSE))*POWER(1-(AnnualChurn*VLOOKUP(KD42,ChurnSeasonTable,4,FALSE)),1)+KT6*(AnnualChurn*VLOOKUP(KD42,ChurnSeasonTable,4,FALSE))*POWER(1-(AnnualChurn*VLOOKUP(KD42,ChurnSeasonTable,4,FALSE)),2)</f>
        <v/>
      </c>
      <c r="LA42" s="12">
        <f>KU42+KV42+KW42+KX42+KY42+KZ42</f>
        <v/>
      </c>
      <c r="LB42" s="9">
        <f>KU42*BlendedPriceEssMonthly*KG42+KV42*BlendedPricePremMonthly*KG42+KW42*BlendedPriceEliteMonthly*KG42+KX42*BlendedPriceEssAnnual*KG42/12+KY42*BlendedPricePremAnnual*KG42/12+KZ42*BlendedPriceEliteAnnual*KG42/12</f>
        <v/>
      </c>
      <c r="LC42" s="9">
        <f>LB42*12</f>
        <v/>
      </c>
      <c r="LD42" s="12">
        <f>KU42*BlendedPriceEssMonthly*KG42+KV42*BlendedPricePremMonthly*KG42+KW42*BlendedPriceEliteMonthly*KG42</f>
        <v/>
      </c>
      <c r="LE42" s="12">
        <f>KR42*BlendedPriceEssAnnual*KG42+KS42*BlendedPricePremAnnual*KG42+KT42*BlendedPriceEliteAnnual*KG42</f>
        <v/>
      </c>
      <c r="LF42" s="12">
        <f>KR30*POWER(1-(AnnualChurn*VLOOKUP(KD42,ChurnSeasonTable,4,FALSE)),1)*BlendedPriceEssAnnual*KG42+KR18*POWER(1-(AnnualChurn*VLOOKUP(KD42,ChurnSeasonTable,4,FALSE)),2)*BlendedPriceEssAnnual*KG42+KR6*POWER(1-(AnnualChurn*VLOOKUP(KD42,ChurnSeasonTable,4,FALSE)),3)*BlendedPriceEssAnnual*KG42+KS30*POWER(1-(AnnualChurn*VLOOKUP(KD42,ChurnSeasonTable,4,FALSE)),1)*BlendedPricePremAnnual*KG42+KS18*POWER(1-(AnnualChurn*VLOOKUP(KD42,ChurnSeasonTable,4,FALSE)),2)*BlendedPricePremAnnual*KG42+KS6*POWER(1-(AnnualChurn*VLOOKUP(KD42,ChurnSeasonTable,4,FALSE)),3)*BlendedPricePremAnnual*KG42+KT30*POWER(1-(AnnualChurn*VLOOKUP(KD42,ChurnSeasonTable,4,FALSE)),1)*BlendedPriceEliteAnnual*KG42+KT18*POWER(1-(AnnualChurn*VLOOKUP(KD42,ChurnSeasonTable,4,FALSE)),2)*BlendedPriceEliteAnnual*KG42+KT6*POWER(1-(AnnualChurn*VLOOKUP(KD42,ChurnSeasonTable,4,FALSE)),3)*BlendedPriceEliteAnnual*KG42</f>
        <v/>
      </c>
      <c r="LG42" s="9">
        <f>LD42+LE42+LF42</f>
        <v/>
      </c>
      <c r="LH42" s="12">
        <f>SUM(LG31:LG42)</f>
        <v/>
      </c>
      <c r="LI42" s="12">
        <f>OR(LI41,IF(VATAgentMode,SUM($LG31:$LG42)-SUM($LN31:$LN42)&gt;=VATThreshold,SUM($LG31:$LG42)&gt;=VATThreshold))</f>
        <v/>
      </c>
      <c r="LJ42" s="9">
        <f>IF(LI42,IF(VATAgentMode,LG42-((LG42-LN42)-(LG42-LN42)/(1+VATRate)),LG42/(1+VATRate)),LG42)</f>
        <v/>
      </c>
      <c r="LK42" s="12">
        <f>LG42-LJ42</f>
        <v/>
      </c>
      <c r="LL42" s="12">
        <f>IF(LI42=0,0,IF(KD42=1,SUMPRODUCT(--(($KE$5:$KE42=$KE42-1)*($KD$5:$KD42&gt;=10)*($KD$5:$KD42&lt;=12)),$LK$5:$LK42),IF(KD42=4,SUMPRODUCT(--(($KE$5:$KE42=$KE42)*($KD$5:$KD42&gt;=1)*($KD$5:$KD42&lt;=3)),$LK$5:$LK42),IF(KD42=7,SUMPRODUCT(--(($KE$5:$KE42=$KE42)*($KD$5:$KD42&gt;=4)*($KD$5:$KD42&lt;=6)),$LK$5:$LK42),IF(KD42=10,SUMPRODUCT(--(($KE$5:$KE42=$KE42)*($KD$5:$KD42&gt;=7)*($KD$5:$KD42&lt;=9)),$LK$5:$LK42),0)))))</f>
        <v/>
      </c>
      <c r="LM42" s="12">
        <f>LM41+LK42-LL42</f>
        <v/>
      </c>
      <c r="LN42" s="12">
        <f>IF(ProviderDelay&gt;=1,KU41*BlendedProvPayEss+KV41*BlendedProvPayPrem+KW41*BlendedProvPayElite+KX41*BlendedProvPayEss+KY41*BlendedProvPayPrem+KZ41*BlendedProvPayElite,KU42*BlendedProvPayEss+KV42*BlendedProvPayPrem+KW42*BlendedProvPayElite+KX42*BlendedProvPayEss+KY42*BlendedProvPayPrem+KZ42*BlendedProvPayElite)</f>
        <v/>
      </c>
      <c r="LO42" s="12">
        <f>LG42*PaymentFee</f>
        <v/>
      </c>
      <c r="LP42" s="12">
        <f>LA42*OpsAI</f>
        <v/>
      </c>
      <c r="LQ42" s="12">
        <f>MonthlyFixed</f>
        <v/>
      </c>
      <c r="LR42" s="12">
        <f>KK42*ReferralReward</f>
        <v/>
      </c>
      <c r="LS42" s="12">
        <f>KI42</f>
        <v/>
      </c>
      <c r="LT42" s="9">
        <f>LJ42-LN42-LO42-LP42-LQ42-LR42-LS42</f>
        <v/>
      </c>
      <c r="LU42" s="9">
        <f>LU41+LG42-(LN42+LO42+LP42+LQ42+LR42+LS42+LL42)</f>
        <v/>
      </c>
      <c r="LV42" s="12">
        <f>IF(LA42&gt;0,LB42/LA42,0)</f>
        <v/>
      </c>
      <c r="LW42" s="11">
        <f>IF(LA41&gt;0,MAX(0,(LA41+KL42-LA42)/LA41),0)</f>
        <v/>
      </c>
      <c r="LY42" s="12" t="n">
        <v>38</v>
      </c>
      <c r="LZ42" s="12">
        <f>MOD(LY42-1+LaunchMonth-1,12)+1</f>
        <v/>
      </c>
      <c r="MA42" s="12">
        <f>INT((LY42-1+LaunchMonth-1)/12)+1</f>
        <v/>
      </c>
      <c r="MB42" s="12">
        <f>VLOOKUP(LZ42,SeasonTable,2,FALSE)</f>
        <v/>
      </c>
      <c r="MC42" s="12">
        <f>(1+InflationRate)^INT((LY42-1)/12)</f>
        <v/>
      </c>
      <c r="MD42" s="11">
        <f>'Sens - Churn'!$A$17*VLOOKUP(LZ42,ChurnSeasonTable,4,FALSE)</f>
        <v/>
      </c>
      <c r="ME42" s="12">
        <f>MIN(MAX(MktMin19plus,NC41*MktPct19plus),MAX(0,NQ41-CashBuffer))</f>
        <v/>
      </c>
      <c r="MF42" s="12">
        <f>IF(ME42&gt;0,MAX(1,ROUND(ME42/CAC*MB42,0)),0)</f>
        <v/>
      </c>
      <c r="MG42" s="12">
        <f>IF(MF42&gt;0,ROUND(MF42*ReferralMix/(1-ReferralMix),0),0)</f>
        <v/>
      </c>
      <c r="MH42" s="12">
        <f>MF42+MG42</f>
        <v/>
      </c>
      <c r="MI42" s="12">
        <f>ROUND(MH42*(1-AnnualMix),0)</f>
        <v/>
      </c>
      <c r="MJ42" s="12">
        <f>MH42-MI42</f>
        <v/>
      </c>
      <c r="MK42" s="12">
        <f>ROUND(MI42*EssentialMix,0)</f>
        <v/>
      </c>
      <c r="ML42" s="12">
        <f>ROUND(MI42*PremiumMix,0)</f>
        <v/>
      </c>
      <c r="MM42" s="12">
        <f>MI42-MK42-ML42</f>
        <v/>
      </c>
      <c r="MN42" s="12">
        <f>ROUND(MJ42*EssentialMix,0)</f>
        <v/>
      </c>
      <c r="MO42" s="12">
        <f>ROUND(MJ42*PremiumMix,0)</f>
        <v/>
      </c>
      <c r="MP42" s="12">
        <f>MJ42-MN42-MO42</f>
        <v/>
      </c>
      <c r="MQ42" s="12">
        <f>MK42+MK41+MK40+MAX(0,MQ41-MK41-MK40)*(1-MD42)</f>
        <v/>
      </c>
      <c r="MR42" s="12">
        <f>ML42+ML41+ML40+MAX(0,MR41-ML41-ML40)*(1-MD42)</f>
        <v/>
      </c>
      <c r="MS42" s="12">
        <f>MM42+MM41+MM40+MAX(0,MS41-MM41-MM40)*(1-MD42)</f>
        <v/>
      </c>
      <c r="MT42" s="12">
        <f>MT41+MN42-MN30*(AnnualChurn*VLOOKUP(LZ42,ChurnSeasonTable,4,FALSE))*POWER(1-(AnnualChurn*VLOOKUP(LZ42,ChurnSeasonTable,4,FALSE)),0)+MN18*(AnnualChurn*VLOOKUP(LZ42,ChurnSeasonTable,4,FALSE))*POWER(1-(AnnualChurn*VLOOKUP(LZ42,ChurnSeasonTable,4,FALSE)),1)+MN6*(AnnualChurn*VLOOKUP(LZ42,ChurnSeasonTable,4,FALSE))*POWER(1-(AnnualChurn*VLOOKUP(LZ42,ChurnSeasonTable,4,FALSE)),2)</f>
        <v/>
      </c>
      <c r="MU42" s="12">
        <f>MU41+MO42-MO30*(AnnualChurn*VLOOKUP(LZ42,ChurnSeasonTable,4,FALSE))*POWER(1-(AnnualChurn*VLOOKUP(LZ42,ChurnSeasonTable,4,FALSE)),0)+MO18*(AnnualChurn*VLOOKUP(LZ42,ChurnSeasonTable,4,FALSE))*POWER(1-(AnnualChurn*VLOOKUP(LZ42,ChurnSeasonTable,4,FALSE)),1)+MO6*(AnnualChurn*VLOOKUP(LZ42,ChurnSeasonTable,4,FALSE))*POWER(1-(AnnualChurn*VLOOKUP(LZ42,ChurnSeasonTable,4,FALSE)),2)</f>
        <v/>
      </c>
      <c r="MV42" s="12">
        <f>MV41+MP42-MP30*(AnnualChurn*VLOOKUP(LZ42,ChurnSeasonTable,4,FALSE))*POWER(1-(AnnualChurn*VLOOKUP(LZ42,ChurnSeasonTable,4,FALSE)),0)+MP18*(AnnualChurn*VLOOKUP(LZ42,ChurnSeasonTable,4,FALSE))*POWER(1-(AnnualChurn*VLOOKUP(LZ42,ChurnSeasonTable,4,FALSE)),1)+MP6*(AnnualChurn*VLOOKUP(LZ42,ChurnSeasonTable,4,FALSE))*POWER(1-(AnnualChurn*VLOOKUP(LZ42,ChurnSeasonTable,4,FALSE)),2)</f>
        <v/>
      </c>
      <c r="MW42" s="12">
        <f>MQ42+MR42+MS42+MT42+MU42+MV42</f>
        <v/>
      </c>
      <c r="MX42" s="9">
        <f>MQ42*BlendedPriceEssMonthly*MC42+MR42*BlendedPricePremMonthly*MC42+MS42*BlendedPriceEliteMonthly*MC42+MT42*BlendedPriceEssAnnual*MC42/12+MU42*BlendedPricePremAnnual*MC42/12+MV42*BlendedPriceEliteAnnual*MC42/12</f>
        <v/>
      </c>
      <c r="MY42" s="9">
        <f>MX42*12</f>
        <v/>
      </c>
      <c r="MZ42" s="12">
        <f>MQ42*BlendedPriceEssMonthly*MC42+MR42*BlendedPricePremMonthly*MC42+MS42*BlendedPriceEliteMonthly*MC42</f>
        <v/>
      </c>
      <c r="NA42" s="12">
        <f>MN42*BlendedPriceEssAnnual*MC42+MO42*BlendedPricePremAnnual*MC42+MP42*BlendedPriceEliteAnnual*MC42</f>
        <v/>
      </c>
      <c r="NB42" s="12">
        <f>MN30*POWER(1-(AnnualChurn*VLOOKUP(LZ42,ChurnSeasonTable,4,FALSE)),1)*BlendedPriceEssAnnual*MC42+MN18*POWER(1-(AnnualChurn*VLOOKUP(LZ42,ChurnSeasonTable,4,FALSE)),2)*BlendedPriceEssAnnual*MC42+MN6*POWER(1-(AnnualChurn*VLOOKUP(LZ42,ChurnSeasonTable,4,FALSE)),3)*BlendedPriceEssAnnual*MC42+MO30*POWER(1-(AnnualChurn*VLOOKUP(LZ42,ChurnSeasonTable,4,FALSE)),1)*BlendedPricePremAnnual*MC42+MO18*POWER(1-(AnnualChurn*VLOOKUP(LZ42,ChurnSeasonTable,4,FALSE)),2)*BlendedPricePremAnnual*MC42+MO6*POWER(1-(AnnualChurn*VLOOKUP(LZ42,ChurnSeasonTable,4,FALSE)),3)*BlendedPricePremAnnual*MC42+MP30*POWER(1-(AnnualChurn*VLOOKUP(LZ42,ChurnSeasonTable,4,FALSE)),1)*BlendedPriceEliteAnnual*MC42+MP18*POWER(1-(AnnualChurn*VLOOKUP(LZ42,ChurnSeasonTable,4,FALSE)),2)*BlendedPriceEliteAnnual*MC42+MP6*POWER(1-(AnnualChurn*VLOOKUP(LZ42,ChurnSeasonTable,4,FALSE)),3)*BlendedPriceEliteAnnual*MC42</f>
        <v/>
      </c>
      <c r="NC42" s="9">
        <f>MZ42+NA42+NB42</f>
        <v/>
      </c>
      <c r="ND42" s="12">
        <f>SUM(NC31:NC42)</f>
        <v/>
      </c>
      <c r="NE42" s="12">
        <f>OR(NE41,IF(VATAgentMode,SUM($NC31:$NC42)-SUM($NJ31:$NJ42)&gt;=VATThreshold,SUM($NC31:$NC42)&gt;=VATThreshold))</f>
        <v/>
      </c>
      <c r="NF42" s="9">
        <f>IF(NE42,IF(VATAgentMode,NC42-((NC42-NJ42)-(NC42-NJ42)/(1+VATRate)),NC42/(1+VATRate)),NC42)</f>
        <v/>
      </c>
      <c r="NG42" s="12">
        <f>NC42-NF42</f>
        <v/>
      </c>
      <c r="NH42" s="12">
        <f>IF(NE42=0,0,IF(LZ42=1,SUMPRODUCT(--(($MA$5:$MA42=$MA42-1)*($LZ$5:$LZ42&gt;=10)*($LZ$5:$LZ42&lt;=12)),$NG$5:$NG42),IF(LZ42=4,SUMPRODUCT(--(($MA$5:$MA42=$MA42)*($LZ$5:$LZ42&gt;=1)*($LZ$5:$LZ42&lt;=3)),$NG$5:$NG42),IF(LZ42=7,SUMPRODUCT(--(($MA$5:$MA42=$MA42)*($LZ$5:$LZ42&gt;=4)*($LZ$5:$LZ42&lt;=6)),$NG$5:$NG42),IF(LZ42=10,SUMPRODUCT(--(($MA$5:$MA42=$MA42)*($LZ$5:$LZ42&gt;=7)*($LZ$5:$LZ42&lt;=9)),$NG$5:$NG42),0)))))</f>
        <v/>
      </c>
      <c r="NI42" s="12">
        <f>NI41+NG42-NH42</f>
        <v/>
      </c>
      <c r="NJ42" s="12">
        <f>IF(ProviderDelay&gt;=1,MQ41*BlendedProvPayEss+MR41*BlendedProvPayPrem+MS41*BlendedProvPayElite+MT41*BlendedProvPayEss+MU41*BlendedProvPayPrem+MV41*BlendedProvPayElite,MQ42*BlendedProvPayEss+MR42*BlendedProvPayPrem+MS42*BlendedProvPayElite+MT42*BlendedProvPayEss+MU42*BlendedProvPayPrem+MV42*BlendedProvPayElite)</f>
        <v/>
      </c>
      <c r="NK42" s="12">
        <f>NC42*PaymentFee</f>
        <v/>
      </c>
      <c r="NL42" s="12">
        <f>MW42*OpsAI</f>
        <v/>
      </c>
      <c r="NM42" s="12">
        <f>MonthlyFixed</f>
        <v/>
      </c>
      <c r="NN42" s="12">
        <f>MG42*ReferralReward</f>
        <v/>
      </c>
      <c r="NO42" s="12">
        <f>ME42</f>
        <v/>
      </c>
      <c r="NP42" s="9">
        <f>NF42-NJ42-NK42-NL42-NM42-NN42-NO42</f>
        <v/>
      </c>
      <c r="NQ42" s="9">
        <f>NQ41+NC42-(NJ42+NK42+NL42+NM42+NN42+NO42+NH42)</f>
        <v/>
      </c>
      <c r="NR42" s="12">
        <f>IF(MW42&gt;0,MX42/MW42,0)</f>
        <v/>
      </c>
      <c r="NS42" s="11">
        <f>IF(MW41&gt;0,MAX(0,(MW41+MH42-MW42)/MW41),0)</f>
        <v/>
      </c>
      <c r="NU42" s="12" t="n">
        <v>38</v>
      </c>
      <c r="NV42" s="12">
        <f>MOD(NU42-1+LaunchMonth-1,12)+1</f>
        <v/>
      </c>
      <c r="NW42" s="12">
        <f>INT((NU42-1+LaunchMonth-1)/12)+1</f>
        <v/>
      </c>
      <c r="NX42" s="12">
        <f>VLOOKUP(NV42,SeasonTable,2,FALSE)</f>
        <v/>
      </c>
      <c r="NY42" s="12">
        <f>(1+InflationRate)^INT((NU42-1)/12)</f>
        <v/>
      </c>
      <c r="NZ42" s="11">
        <f>'Sens - Churn'!$A$18*VLOOKUP(NV42,ChurnSeasonTable,4,FALSE)</f>
        <v/>
      </c>
      <c r="OA42" s="12">
        <f>MIN(MAX(MktMin19plus,OY41*MktPct19plus),MAX(0,PM41-CashBuffer))</f>
        <v/>
      </c>
      <c r="OB42" s="12">
        <f>IF(OA42&gt;0,MAX(1,ROUND(OA42/CAC*NX42,0)),0)</f>
        <v/>
      </c>
      <c r="OC42" s="12">
        <f>IF(OB42&gt;0,ROUND(OB42*ReferralMix/(1-ReferralMix),0),0)</f>
        <v/>
      </c>
      <c r="OD42" s="12">
        <f>OB42+OC42</f>
        <v/>
      </c>
      <c r="OE42" s="12">
        <f>ROUND(OD42*(1-AnnualMix),0)</f>
        <v/>
      </c>
      <c r="OF42" s="12">
        <f>OD42-OE42</f>
        <v/>
      </c>
      <c r="OG42" s="12">
        <f>ROUND(OE42*EssentialMix,0)</f>
        <v/>
      </c>
      <c r="OH42" s="12">
        <f>ROUND(OE42*PremiumMix,0)</f>
        <v/>
      </c>
      <c r="OI42" s="12">
        <f>OE42-OG42-OH42</f>
        <v/>
      </c>
      <c r="OJ42" s="12">
        <f>ROUND(OF42*EssentialMix,0)</f>
        <v/>
      </c>
      <c r="OK42" s="12">
        <f>ROUND(OF42*PremiumMix,0)</f>
        <v/>
      </c>
      <c r="OL42" s="12">
        <f>OF42-OJ42-OK42</f>
        <v/>
      </c>
      <c r="OM42" s="12">
        <f>OG42+OG41+OG40+MAX(0,OM41-OG41-OG40)*(1-NZ42)</f>
        <v/>
      </c>
      <c r="ON42" s="12">
        <f>OH42+OH41+OH40+MAX(0,ON41-OH41-OH40)*(1-NZ42)</f>
        <v/>
      </c>
      <c r="OO42" s="12">
        <f>OI42+OI41+OI40+MAX(0,OO41-OI41-OI40)*(1-NZ42)</f>
        <v/>
      </c>
      <c r="OP42" s="12">
        <f>OP41+OJ42-OJ30*(AnnualChurn*VLOOKUP(NV42,ChurnSeasonTable,4,FALSE))*POWER(1-(AnnualChurn*VLOOKUP(NV42,ChurnSeasonTable,4,FALSE)),0)+OJ18*(AnnualChurn*VLOOKUP(NV42,ChurnSeasonTable,4,FALSE))*POWER(1-(AnnualChurn*VLOOKUP(NV42,ChurnSeasonTable,4,FALSE)),1)+OJ6*(AnnualChurn*VLOOKUP(NV42,ChurnSeasonTable,4,FALSE))*POWER(1-(AnnualChurn*VLOOKUP(NV42,ChurnSeasonTable,4,FALSE)),2)</f>
        <v/>
      </c>
      <c r="OQ42" s="12">
        <f>OQ41+OK42-OK30*(AnnualChurn*VLOOKUP(NV42,ChurnSeasonTable,4,FALSE))*POWER(1-(AnnualChurn*VLOOKUP(NV42,ChurnSeasonTable,4,FALSE)),0)+OK18*(AnnualChurn*VLOOKUP(NV42,ChurnSeasonTable,4,FALSE))*POWER(1-(AnnualChurn*VLOOKUP(NV42,ChurnSeasonTable,4,FALSE)),1)+OK6*(AnnualChurn*VLOOKUP(NV42,ChurnSeasonTable,4,FALSE))*POWER(1-(AnnualChurn*VLOOKUP(NV42,ChurnSeasonTable,4,FALSE)),2)</f>
        <v/>
      </c>
      <c r="OR42" s="12">
        <f>OR41+OL42-OL30*(AnnualChurn*VLOOKUP(NV42,ChurnSeasonTable,4,FALSE))*POWER(1-(AnnualChurn*VLOOKUP(NV42,ChurnSeasonTable,4,FALSE)),0)+OL18*(AnnualChurn*VLOOKUP(NV42,ChurnSeasonTable,4,FALSE))*POWER(1-(AnnualChurn*VLOOKUP(NV42,ChurnSeasonTable,4,FALSE)),1)+OL6*(AnnualChurn*VLOOKUP(NV42,ChurnSeasonTable,4,FALSE))*POWER(1-(AnnualChurn*VLOOKUP(NV42,ChurnSeasonTable,4,FALSE)),2)</f>
        <v/>
      </c>
      <c r="OS42" s="12">
        <f>OM42+ON42+OO42+OP42+OQ42+OR42</f>
        <v/>
      </c>
      <c r="OT42" s="9">
        <f>OM42*BlendedPriceEssMonthly*NY42+ON42*BlendedPricePremMonthly*NY42+OO42*BlendedPriceEliteMonthly*NY42+OP42*BlendedPriceEssAnnual*NY42/12+OQ42*BlendedPricePremAnnual*NY42/12+OR42*BlendedPriceEliteAnnual*NY42/12</f>
        <v/>
      </c>
      <c r="OU42" s="9">
        <f>OT42*12</f>
        <v/>
      </c>
      <c r="OV42" s="12">
        <f>OM42*BlendedPriceEssMonthly*NY42+ON42*BlendedPricePremMonthly*NY42+OO42*BlendedPriceEliteMonthly*NY42</f>
        <v/>
      </c>
      <c r="OW42" s="12">
        <f>OJ42*BlendedPriceEssAnnual*NY42+OK42*BlendedPricePremAnnual*NY42+OL42*BlendedPriceEliteAnnual*NY42</f>
        <v/>
      </c>
      <c r="OX42" s="12">
        <f>OJ30*POWER(1-(AnnualChurn*VLOOKUP(NV42,ChurnSeasonTable,4,FALSE)),1)*BlendedPriceEssAnnual*NY42+OJ18*POWER(1-(AnnualChurn*VLOOKUP(NV42,ChurnSeasonTable,4,FALSE)),2)*BlendedPriceEssAnnual*NY42+OJ6*POWER(1-(AnnualChurn*VLOOKUP(NV42,ChurnSeasonTable,4,FALSE)),3)*BlendedPriceEssAnnual*NY42+OK30*POWER(1-(AnnualChurn*VLOOKUP(NV42,ChurnSeasonTable,4,FALSE)),1)*BlendedPricePremAnnual*NY42+OK18*POWER(1-(AnnualChurn*VLOOKUP(NV42,ChurnSeasonTable,4,FALSE)),2)*BlendedPricePremAnnual*NY42+OK6*POWER(1-(AnnualChurn*VLOOKUP(NV42,ChurnSeasonTable,4,FALSE)),3)*BlendedPricePremAnnual*NY42+OL30*POWER(1-(AnnualChurn*VLOOKUP(NV42,ChurnSeasonTable,4,FALSE)),1)*BlendedPriceEliteAnnual*NY42+OL18*POWER(1-(AnnualChurn*VLOOKUP(NV42,ChurnSeasonTable,4,FALSE)),2)*BlendedPriceEliteAnnual*NY42+OL6*POWER(1-(AnnualChurn*VLOOKUP(NV42,ChurnSeasonTable,4,FALSE)),3)*BlendedPriceEliteAnnual*NY42</f>
        <v/>
      </c>
      <c r="OY42" s="9">
        <f>OV42+OW42+OX42</f>
        <v/>
      </c>
      <c r="OZ42" s="12">
        <f>SUM(OY31:OY42)</f>
        <v/>
      </c>
      <c r="PA42" s="12">
        <f>OR(PA41,IF(VATAgentMode,SUM($OY31:$OY42)-SUM($PF31:$PF42)&gt;=VATThreshold,SUM($OY31:$OY42)&gt;=VATThreshold))</f>
        <v/>
      </c>
      <c r="PB42" s="9">
        <f>IF(PA42,IF(VATAgentMode,OY42-((OY42-PF42)-(OY42-PF42)/(1+VATRate)),OY42/(1+VATRate)),OY42)</f>
        <v/>
      </c>
      <c r="PC42" s="12">
        <f>OY42-PB42</f>
        <v/>
      </c>
      <c r="PD42" s="12">
        <f>IF(PA42=0,0,IF(NV42=1,SUMPRODUCT(--(($NW$5:$NW42=$NW42-1)*($NV$5:$NV42&gt;=10)*($NV$5:$NV42&lt;=12)),$PC$5:$PC42),IF(NV42=4,SUMPRODUCT(--(($NW$5:$NW42=$NW42)*($NV$5:$NV42&gt;=1)*($NV$5:$NV42&lt;=3)),$PC$5:$PC42),IF(NV42=7,SUMPRODUCT(--(($NW$5:$NW42=$NW42)*($NV$5:$NV42&gt;=4)*($NV$5:$NV42&lt;=6)),$PC$5:$PC42),IF(NV42=10,SUMPRODUCT(--(($NW$5:$NW42=$NW42)*($NV$5:$NV42&gt;=7)*($NV$5:$NV42&lt;=9)),$PC$5:$PC42),0)))))</f>
        <v/>
      </c>
      <c r="PE42" s="12">
        <f>PE41+PC42-PD42</f>
        <v/>
      </c>
      <c r="PF42" s="12">
        <f>IF(ProviderDelay&gt;=1,OM41*BlendedProvPayEss+ON41*BlendedProvPayPrem+OO41*BlendedProvPayElite+OP41*BlendedProvPayEss+OQ41*BlendedProvPayPrem+OR41*BlendedProvPayElite,OM42*BlendedProvPayEss+ON42*BlendedProvPayPrem+OO42*BlendedProvPayElite+OP42*BlendedProvPayEss+OQ42*BlendedProvPayPrem+OR42*BlendedProvPayElite)</f>
        <v/>
      </c>
      <c r="PG42" s="12">
        <f>OY42*PaymentFee</f>
        <v/>
      </c>
      <c r="PH42" s="12">
        <f>OS42*OpsAI</f>
        <v/>
      </c>
      <c r="PI42" s="12">
        <f>MonthlyFixed</f>
        <v/>
      </c>
      <c r="PJ42" s="12">
        <f>OC42*ReferralReward</f>
        <v/>
      </c>
      <c r="PK42" s="12">
        <f>OA42</f>
        <v/>
      </c>
      <c r="PL42" s="9">
        <f>PB42-PF42-PG42-PH42-PI42-PJ42-PK42</f>
        <v/>
      </c>
      <c r="PM42" s="9">
        <f>PM41+OY42-(PF42+PG42+PH42+PI42+PJ42+PK42+PD42)</f>
        <v/>
      </c>
      <c r="PN42" s="12">
        <f>IF(OS42&gt;0,OT42/OS42,0)</f>
        <v/>
      </c>
      <c r="PO42" s="11">
        <f>IF(OS41&gt;0,MAX(0,(OS41+OD42-OS42)/OS41),0)</f>
        <v/>
      </c>
      <c r="PQ42" s="12" t="n">
        <v>38</v>
      </c>
      <c r="PR42" s="12">
        <f>MOD(PQ42-1+LaunchMonth-1,12)+1</f>
        <v/>
      </c>
      <c r="PS42" s="12">
        <f>INT((PQ42-1+LaunchMonth-1)/12)+1</f>
        <v/>
      </c>
      <c r="PT42" s="12">
        <f>VLOOKUP(PR42,SeasonTable,2,FALSE)</f>
        <v/>
      </c>
      <c r="PU42" s="12">
        <f>(1+InflationRate)^INT((PQ42-1)/12)</f>
        <v/>
      </c>
      <c r="PV42" s="11">
        <f>'Sens - Churn'!$A$19*VLOOKUP(PR42,ChurnSeasonTable,4,FALSE)</f>
        <v/>
      </c>
      <c r="PW42" s="12">
        <f>MIN(MAX(MktMin19plus,QU41*MktPct19plus),MAX(0,RI41-CashBuffer))</f>
        <v/>
      </c>
      <c r="PX42" s="12">
        <f>IF(PW42&gt;0,MAX(1,ROUND(PW42/CAC*PT42,0)),0)</f>
        <v/>
      </c>
      <c r="PY42" s="12">
        <f>IF(PX42&gt;0,ROUND(PX42*ReferralMix/(1-ReferralMix),0),0)</f>
        <v/>
      </c>
      <c r="PZ42" s="12">
        <f>PX42+PY42</f>
        <v/>
      </c>
      <c r="QA42" s="12">
        <f>ROUND(PZ42*(1-AnnualMix),0)</f>
        <v/>
      </c>
      <c r="QB42" s="12">
        <f>PZ42-QA42</f>
        <v/>
      </c>
      <c r="QC42" s="12">
        <f>ROUND(QA42*EssentialMix,0)</f>
        <v/>
      </c>
      <c r="QD42" s="12">
        <f>ROUND(QA42*PremiumMix,0)</f>
        <v/>
      </c>
      <c r="QE42" s="12">
        <f>QA42-QC42-QD42</f>
        <v/>
      </c>
      <c r="QF42" s="12">
        <f>ROUND(QB42*EssentialMix,0)</f>
        <v/>
      </c>
      <c r="QG42" s="12">
        <f>ROUND(QB42*PremiumMix,0)</f>
        <v/>
      </c>
      <c r="QH42" s="12">
        <f>QB42-QF42-QG42</f>
        <v/>
      </c>
      <c r="QI42" s="12">
        <f>QC42+QC41+QC40+MAX(0,QI41-QC41-QC40)*(1-PV42)</f>
        <v/>
      </c>
      <c r="QJ42" s="12">
        <f>QD42+QD41+QD40+MAX(0,QJ41-QD41-QD40)*(1-PV42)</f>
        <v/>
      </c>
      <c r="QK42" s="12">
        <f>QE42+QE41+QE40+MAX(0,QK41-QE41-QE40)*(1-PV42)</f>
        <v/>
      </c>
      <c r="QL42" s="12">
        <f>QL41+QF42-QF30*(AnnualChurn*VLOOKUP(PR42,ChurnSeasonTable,4,FALSE))*POWER(1-(AnnualChurn*VLOOKUP(PR42,ChurnSeasonTable,4,FALSE)),0)+QF18*(AnnualChurn*VLOOKUP(PR42,ChurnSeasonTable,4,FALSE))*POWER(1-(AnnualChurn*VLOOKUP(PR42,ChurnSeasonTable,4,FALSE)),1)+QF6*(AnnualChurn*VLOOKUP(PR42,ChurnSeasonTable,4,FALSE))*POWER(1-(AnnualChurn*VLOOKUP(PR42,ChurnSeasonTable,4,FALSE)),2)</f>
        <v/>
      </c>
      <c r="QM42" s="12">
        <f>QM41+QG42-QG30*(AnnualChurn*VLOOKUP(PR42,ChurnSeasonTable,4,FALSE))*POWER(1-(AnnualChurn*VLOOKUP(PR42,ChurnSeasonTable,4,FALSE)),0)+QG18*(AnnualChurn*VLOOKUP(PR42,ChurnSeasonTable,4,FALSE))*POWER(1-(AnnualChurn*VLOOKUP(PR42,ChurnSeasonTable,4,FALSE)),1)+QG6*(AnnualChurn*VLOOKUP(PR42,ChurnSeasonTable,4,FALSE))*POWER(1-(AnnualChurn*VLOOKUP(PR42,ChurnSeasonTable,4,FALSE)),2)</f>
        <v/>
      </c>
      <c r="QN42" s="12">
        <f>QN41+QH42-QH30*(AnnualChurn*VLOOKUP(PR42,ChurnSeasonTable,4,FALSE))*POWER(1-(AnnualChurn*VLOOKUP(PR42,ChurnSeasonTable,4,FALSE)),0)+QH18*(AnnualChurn*VLOOKUP(PR42,ChurnSeasonTable,4,FALSE))*POWER(1-(AnnualChurn*VLOOKUP(PR42,ChurnSeasonTable,4,FALSE)),1)+QH6*(AnnualChurn*VLOOKUP(PR42,ChurnSeasonTable,4,FALSE))*POWER(1-(AnnualChurn*VLOOKUP(PR42,ChurnSeasonTable,4,FALSE)),2)</f>
        <v/>
      </c>
      <c r="QO42" s="12">
        <f>QI42+QJ42+QK42+QL42+QM42+QN42</f>
        <v/>
      </c>
      <c r="QP42" s="9">
        <f>QI42*BlendedPriceEssMonthly*PU42+QJ42*BlendedPricePremMonthly*PU42+QK42*BlendedPriceEliteMonthly*PU42+QL42*BlendedPriceEssAnnual*PU42/12+QM42*BlendedPricePremAnnual*PU42/12+QN42*BlendedPriceEliteAnnual*PU42/12</f>
        <v/>
      </c>
      <c r="QQ42" s="9">
        <f>QP42*12</f>
        <v/>
      </c>
      <c r="QR42" s="12">
        <f>QI42*BlendedPriceEssMonthly*PU42+QJ42*BlendedPricePremMonthly*PU42+QK42*BlendedPriceEliteMonthly*PU42</f>
        <v/>
      </c>
      <c r="QS42" s="12">
        <f>QF42*BlendedPriceEssAnnual*PU42+QG42*BlendedPricePremAnnual*PU42+QH42*BlendedPriceEliteAnnual*PU42</f>
        <v/>
      </c>
      <c r="QT42" s="12">
        <f>QF30*POWER(1-(AnnualChurn*VLOOKUP(PR42,ChurnSeasonTable,4,FALSE)),1)*BlendedPriceEssAnnual*PU42+QF18*POWER(1-(AnnualChurn*VLOOKUP(PR42,ChurnSeasonTable,4,FALSE)),2)*BlendedPriceEssAnnual*PU42+QF6*POWER(1-(AnnualChurn*VLOOKUP(PR42,ChurnSeasonTable,4,FALSE)),3)*BlendedPriceEssAnnual*PU42+QG30*POWER(1-(AnnualChurn*VLOOKUP(PR42,ChurnSeasonTable,4,FALSE)),1)*BlendedPricePremAnnual*PU42+QG18*POWER(1-(AnnualChurn*VLOOKUP(PR42,ChurnSeasonTable,4,FALSE)),2)*BlendedPricePremAnnual*PU42+QG6*POWER(1-(AnnualChurn*VLOOKUP(PR42,ChurnSeasonTable,4,FALSE)),3)*BlendedPricePremAnnual*PU42+QH30*POWER(1-(AnnualChurn*VLOOKUP(PR42,ChurnSeasonTable,4,FALSE)),1)*BlendedPriceEliteAnnual*PU42+QH18*POWER(1-(AnnualChurn*VLOOKUP(PR42,ChurnSeasonTable,4,FALSE)),2)*BlendedPriceEliteAnnual*PU42+QH6*POWER(1-(AnnualChurn*VLOOKUP(PR42,ChurnSeasonTable,4,FALSE)),3)*BlendedPriceEliteAnnual*PU42</f>
        <v/>
      </c>
      <c r="QU42" s="9">
        <f>QR42+QS42+QT42</f>
        <v/>
      </c>
      <c r="QV42" s="12">
        <f>SUM(QU31:QU42)</f>
        <v/>
      </c>
      <c r="QW42" s="12">
        <f>OR(QW41,IF(VATAgentMode,SUM($QU31:$QU42)-SUM($RB31:$RB42)&gt;=VATThreshold,SUM($QU31:$QU42)&gt;=VATThreshold))</f>
        <v/>
      </c>
      <c r="QX42" s="9">
        <f>IF(QW42,IF(VATAgentMode,QU42-((QU42-RB42)-(QU42-RB42)/(1+VATRate)),QU42/(1+VATRate)),QU42)</f>
        <v/>
      </c>
      <c r="QY42" s="12">
        <f>QU42-QX42</f>
        <v/>
      </c>
      <c r="QZ42" s="12">
        <f>IF(QW42=0,0,IF(PR42=1,SUMPRODUCT(--(($PS$5:$PS42=$PS42-1)*($PR$5:$PR42&gt;=10)*($PR$5:$PR42&lt;=12)),$QY$5:$QY42),IF(PR42=4,SUMPRODUCT(--(($PS$5:$PS42=$PS42)*($PR$5:$PR42&gt;=1)*($PR$5:$PR42&lt;=3)),$QY$5:$QY42),IF(PR42=7,SUMPRODUCT(--(($PS$5:$PS42=$PS42)*($PR$5:$PR42&gt;=4)*($PR$5:$PR42&lt;=6)),$QY$5:$QY42),IF(PR42=10,SUMPRODUCT(--(($PS$5:$PS42=$PS42)*($PR$5:$PR42&gt;=7)*($PR$5:$PR42&lt;=9)),$QY$5:$QY42),0)))))</f>
        <v/>
      </c>
      <c r="RA42" s="12">
        <f>RA41+QY42-QZ42</f>
        <v/>
      </c>
      <c r="RB42" s="12">
        <f>IF(ProviderDelay&gt;=1,QI41*BlendedProvPayEss+QJ41*BlendedProvPayPrem+QK41*BlendedProvPayElite+QL41*BlendedProvPayEss+QM41*BlendedProvPayPrem+QN41*BlendedProvPayElite,QI42*BlendedProvPayEss+QJ42*BlendedProvPayPrem+QK42*BlendedProvPayElite+QL42*BlendedProvPayEss+QM42*BlendedProvPayPrem+QN42*BlendedProvPayElite)</f>
        <v/>
      </c>
      <c r="RC42" s="12">
        <f>QU42*PaymentFee</f>
        <v/>
      </c>
      <c r="RD42" s="12">
        <f>QO42*OpsAI</f>
        <v/>
      </c>
      <c r="RE42" s="12">
        <f>MonthlyFixed</f>
        <v/>
      </c>
      <c r="RF42" s="12">
        <f>PY42*ReferralReward</f>
        <v/>
      </c>
      <c r="RG42" s="12">
        <f>PW42</f>
        <v/>
      </c>
      <c r="RH42" s="9">
        <f>QX42-RB42-RC42-RD42-RE42-RF42-RG42</f>
        <v/>
      </c>
      <c r="RI42" s="9">
        <f>RI41+QU42-(RB42+RC42+RD42+RE42+RF42+RG42+QZ42)</f>
        <v/>
      </c>
      <c r="RJ42" s="12">
        <f>IF(QO42&gt;0,QP42/QO42,0)</f>
        <v/>
      </c>
      <c r="RK42" s="11">
        <f>IF(QO41&gt;0,MAX(0,(QO41+PZ42-QO42)/QO41),0)</f>
        <v/>
      </c>
      <c r="RM42" s="12" t="n">
        <v>38</v>
      </c>
      <c r="RN42" s="12">
        <f>MOD(RM42-1+LaunchMonth-1,12)+1</f>
        <v/>
      </c>
      <c r="RO42" s="12">
        <f>INT((RM42-1+LaunchMonth-1)/12)+1</f>
        <v/>
      </c>
      <c r="RP42" s="12">
        <f>VLOOKUP(RN42,SeasonTable,2,FALSE)</f>
        <v/>
      </c>
      <c r="RQ42" s="12">
        <f>(1+InflationRate)^INT((RM42-1)/12)</f>
        <v/>
      </c>
      <c r="RR42" s="11">
        <f>'Sens - Churn'!$A$20*VLOOKUP(RN42,ChurnSeasonTable,4,FALSE)</f>
        <v/>
      </c>
      <c r="RS42" s="12">
        <f>MIN(MAX(MktMin19plus,SQ41*MktPct19plus),MAX(0,TE41-CashBuffer))</f>
        <v/>
      </c>
      <c r="RT42" s="12">
        <f>IF(RS42&gt;0,MAX(1,ROUND(RS42/CAC*RP42,0)),0)</f>
        <v/>
      </c>
      <c r="RU42" s="12">
        <f>IF(RT42&gt;0,ROUND(RT42*ReferralMix/(1-ReferralMix),0),0)</f>
        <v/>
      </c>
      <c r="RV42" s="12">
        <f>RT42+RU42</f>
        <v/>
      </c>
      <c r="RW42" s="12">
        <f>ROUND(RV42*(1-AnnualMix),0)</f>
        <v/>
      </c>
      <c r="RX42" s="12">
        <f>RV42-RW42</f>
        <v/>
      </c>
      <c r="RY42" s="12">
        <f>ROUND(RW42*EssentialMix,0)</f>
        <v/>
      </c>
      <c r="RZ42" s="12">
        <f>ROUND(RW42*PremiumMix,0)</f>
        <v/>
      </c>
      <c r="SA42" s="12">
        <f>RW42-RY42-RZ42</f>
        <v/>
      </c>
      <c r="SB42" s="12">
        <f>ROUND(RX42*EssentialMix,0)</f>
        <v/>
      </c>
      <c r="SC42" s="12">
        <f>ROUND(RX42*PremiumMix,0)</f>
        <v/>
      </c>
      <c r="SD42" s="12">
        <f>RX42-SB42-SC42</f>
        <v/>
      </c>
      <c r="SE42" s="12">
        <f>RY42+RY41+RY40+MAX(0,SE41-RY41-RY40)*(1-RR42)</f>
        <v/>
      </c>
      <c r="SF42" s="12">
        <f>RZ42+RZ41+RZ40+MAX(0,SF41-RZ41-RZ40)*(1-RR42)</f>
        <v/>
      </c>
      <c r="SG42" s="12">
        <f>SA42+SA41+SA40+MAX(0,SG41-SA41-SA40)*(1-RR42)</f>
        <v/>
      </c>
      <c r="SH42" s="12">
        <f>SH41+SB42-SB30*(AnnualChurn*VLOOKUP(RN42,ChurnSeasonTable,4,FALSE))*POWER(1-(AnnualChurn*VLOOKUP(RN42,ChurnSeasonTable,4,FALSE)),0)+SB18*(AnnualChurn*VLOOKUP(RN42,ChurnSeasonTable,4,FALSE))*POWER(1-(AnnualChurn*VLOOKUP(RN42,ChurnSeasonTable,4,FALSE)),1)+SB6*(AnnualChurn*VLOOKUP(RN42,ChurnSeasonTable,4,FALSE))*POWER(1-(AnnualChurn*VLOOKUP(RN42,ChurnSeasonTable,4,FALSE)),2)</f>
        <v/>
      </c>
      <c r="SI42" s="12">
        <f>SI41+SC42-SC30*(AnnualChurn*VLOOKUP(RN42,ChurnSeasonTable,4,FALSE))*POWER(1-(AnnualChurn*VLOOKUP(RN42,ChurnSeasonTable,4,FALSE)),0)+SC18*(AnnualChurn*VLOOKUP(RN42,ChurnSeasonTable,4,FALSE))*POWER(1-(AnnualChurn*VLOOKUP(RN42,ChurnSeasonTable,4,FALSE)),1)+SC6*(AnnualChurn*VLOOKUP(RN42,ChurnSeasonTable,4,FALSE))*POWER(1-(AnnualChurn*VLOOKUP(RN42,ChurnSeasonTable,4,FALSE)),2)</f>
        <v/>
      </c>
      <c r="SJ42" s="12">
        <f>SJ41+SD42-SD30*(AnnualChurn*VLOOKUP(RN42,ChurnSeasonTable,4,FALSE))*POWER(1-(AnnualChurn*VLOOKUP(RN42,ChurnSeasonTable,4,FALSE)),0)+SD18*(AnnualChurn*VLOOKUP(RN42,ChurnSeasonTable,4,FALSE))*POWER(1-(AnnualChurn*VLOOKUP(RN42,ChurnSeasonTable,4,FALSE)),1)+SD6*(AnnualChurn*VLOOKUP(RN42,ChurnSeasonTable,4,FALSE))*POWER(1-(AnnualChurn*VLOOKUP(RN42,ChurnSeasonTable,4,FALSE)),2)</f>
        <v/>
      </c>
      <c r="SK42" s="12">
        <f>SE42+SF42+SG42+SH42+SI42+SJ42</f>
        <v/>
      </c>
      <c r="SL42" s="9">
        <f>SE42*BlendedPriceEssMonthly*RQ42+SF42*BlendedPricePremMonthly*RQ42+SG42*BlendedPriceEliteMonthly*RQ42+SH42*BlendedPriceEssAnnual*RQ42/12+SI42*BlendedPricePremAnnual*RQ42/12+SJ42*BlendedPriceEliteAnnual*RQ42/12</f>
        <v/>
      </c>
      <c r="SM42" s="9">
        <f>SL42*12</f>
        <v/>
      </c>
      <c r="SN42" s="12">
        <f>SE42*BlendedPriceEssMonthly*RQ42+SF42*BlendedPricePremMonthly*RQ42+SG42*BlendedPriceEliteMonthly*RQ42</f>
        <v/>
      </c>
      <c r="SO42" s="12">
        <f>SB42*BlendedPriceEssAnnual*RQ42+SC42*BlendedPricePremAnnual*RQ42+SD42*BlendedPriceEliteAnnual*RQ42</f>
        <v/>
      </c>
      <c r="SP42" s="12">
        <f>SB30*POWER(1-(AnnualChurn*VLOOKUP(RN42,ChurnSeasonTable,4,FALSE)),1)*BlendedPriceEssAnnual*RQ42+SB18*POWER(1-(AnnualChurn*VLOOKUP(RN42,ChurnSeasonTable,4,FALSE)),2)*BlendedPriceEssAnnual*RQ42+SB6*POWER(1-(AnnualChurn*VLOOKUP(RN42,ChurnSeasonTable,4,FALSE)),3)*BlendedPriceEssAnnual*RQ42+SC30*POWER(1-(AnnualChurn*VLOOKUP(RN42,ChurnSeasonTable,4,FALSE)),1)*BlendedPricePremAnnual*RQ42+SC18*POWER(1-(AnnualChurn*VLOOKUP(RN42,ChurnSeasonTable,4,FALSE)),2)*BlendedPricePremAnnual*RQ42+SC6*POWER(1-(AnnualChurn*VLOOKUP(RN42,ChurnSeasonTable,4,FALSE)),3)*BlendedPricePremAnnual*RQ42+SD30*POWER(1-(AnnualChurn*VLOOKUP(RN42,ChurnSeasonTable,4,FALSE)),1)*BlendedPriceEliteAnnual*RQ42+SD18*POWER(1-(AnnualChurn*VLOOKUP(RN42,ChurnSeasonTable,4,FALSE)),2)*BlendedPriceEliteAnnual*RQ42+SD6*POWER(1-(AnnualChurn*VLOOKUP(RN42,ChurnSeasonTable,4,FALSE)),3)*BlendedPriceEliteAnnual*RQ42</f>
        <v/>
      </c>
      <c r="SQ42" s="9">
        <f>SN42+SO42+SP42</f>
        <v/>
      </c>
      <c r="SR42" s="12">
        <f>SUM(SQ31:SQ42)</f>
        <v/>
      </c>
      <c r="SS42" s="12">
        <f>OR(SS41,IF(VATAgentMode,SUM($SQ31:$SQ42)-SUM($SX31:$SX42)&gt;=VATThreshold,SUM($SQ31:$SQ42)&gt;=VATThreshold))</f>
        <v/>
      </c>
      <c r="ST42" s="9">
        <f>IF(SS42,IF(VATAgentMode,SQ42-((SQ42-SX42)-(SQ42-SX42)/(1+VATRate)),SQ42/(1+VATRate)),SQ42)</f>
        <v/>
      </c>
      <c r="SU42" s="12">
        <f>SQ42-ST42</f>
        <v/>
      </c>
      <c r="SV42" s="12">
        <f>IF(SS42=0,0,IF(RN42=1,SUMPRODUCT(--(($RO$5:$RO42=$RO42-1)*($RN$5:$RN42&gt;=10)*($RN$5:$RN42&lt;=12)),$SU$5:$SU42),IF(RN42=4,SUMPRODUCT(--(($RO$5:$RO42=$RO42)*($RN$5:$RN42&gt;=1)*($RN$5:$RN42&lt;=3)),$SU$5:$SU42),IF(RN42=7,SUMPRODUCT(--(($RO$5:$RO42=$RO42)*($RN$5:$RN42&gt;=4)*($RN$5:$RN42&lt;=6)),$SU$5:$SU42),IF(RN42=10,SUMPRODUCT(--(($RO$5:$RO42=$RO42)*($RN$5:$RN42&gt;=7)*($RN$5:$RN42&lt;=9)),$SU$5:$SU42),0)))))</f>
        <v/>
      </c>
      <c r="SW42" s="12">
        <f>SW41+SU42-SV42</f>
        <v/>
      </c>
      <c r="SX42" s="12">
        <f>IF(ProviderDelay&gt;=1,SE41*BlendedProvPayEss+SF41*BlendedProvPayPrem+SG41*BlendedProvPayElite+SH41*BlendedProvPayEss+SI41*BlendedProvPayPrem+SJ41*BlendedProvPayElite,SE42*BlendedProvPayEss+SF42*BlendedProvPayPrem+SG42*BlendedProvPayElite+SH42*BlendedProvPayEss+SI42*BlendedProvPayPrem+SJ42*BlendedProvPayElite)</f>
        <v/>
      </c>
      <c r="SY42" s="12">
        <f>SQ42*PaymentFee</f>
        <v/>
      </c>
      <c r="SZ42" s="12">
        <f>SK42*OpsAI</f>
        <v/>
      </c>
      <c r="TA42" s="12">
        <f>MonthlyFixed</f>
        <v/>
      </c>
      <c r="TB42" s="12">
        <f>RU42*ReferralReward</f>
        <v/>
      </c>
      <c r="TC42" s="12">
        <f>RS42</f>
        <v/>
      </c>
      <c r="TD42" s="9">
        <f>ST42-SX42-SY42-SZ42-TA42-TB42-TC42</f>
        <v/>
      </c>
      <c r="TE42" s="9">
        <f>TE41+SQ42-(SX42+SY42+SZ42+TA42+TB42+TC42+SV42)</f>
        <v/>
      </c>
      <c r="TF42" s="12">
        <f>IF(SK42&gt;0,SL42/SK42,0)</f>
        <v/>
      </c>
      <c r="TG42" s="11">
        <f>IF(SK41&gt;0,MAX(0,(SK41+RV42-SK42)/SK41),0)</f>
        <v/>
      </c>
      <c r="TI42" s="12" t="n">
        <v>38</v>
      </c>
      <c r="TJ42" s="12">
        <f>MOD(TI42-1+LaunchMonth-1,12)+1</f>
        <v/>
      </c>
      <c r="TK42" s="12">
        <f>INT((TI42-1+LaunchMonth-1)/12)+1</f>
        <v/>
      </c>
      <c r="TL42" s="12">
        <f>VLOOKUP(TJ42,SeasonTable,2,FALSE)</f>
        <v/>
      </c>
      <c r="TM42" s="12">
        <f>(1+InflationRate)^INT((TI42-1)/12)</f>
        <v/>
      </c>
      <c r="TN42" s="11">
        <f>'Sens - Churn'!$A$21*VLOOKUP(TJ42,ChurnSeasonTable,4,FALSE)</f>
        <v/>
      </c>
      <c r="TO42" s="12">
        <f>MIN(MAX(MktMin19plus,UM41*MktPct19plus),MAX(0,VA41-CashBuffer))</f>
        <v/>
      </c>
      <c r="TP42" s="12">
        <f>IF(TO42&gt;0,MAX(1,ROUND(TO42/CAC*TL42,0)),0)</f>
        <v/>
      </c>
      <c r="TQ42" s="12">
        <f>IF(TP42&gt;0,ROUND(TP42*ReferralMix/(1-ReferralMix),0),0)</f>
        <v/>
      </c>
      <c r="TR42" s="12">
        <f>TP42+TQ42</f>
        <v/>
      </c>
      <c r="TS42" s="12">
        <f>ROUND(TR42*(1-AnnualMix),0)</f>
        <v/>
      </c>
      <c r="TT42" s="12">
        <f>TR42-TS42</f>
        <v/>
      </c>
      <c r="TU42" s="12">
        <f>ROUND(TS42*EssentialMix,0)</f>
        <v/>
      </c>
      <c r="TV42" s="12">
        <f>ROUND(TS42*PremiumMix,0)</f>
        <v/>
      </c>
      <c r="TW42" s="12">
        <f>TS42-TU42-TV42</f>
        <v/>
      </c>
      <c r="TX42" s="12">
        <f>ROUND(TT42*EssentialMix,0)</f>
        <v/>
      </c>
      <c r="TY42" s="12">
        <f>ROUND(TT42*PremiumMix,0)</f>
        <v/>
      </c>
      <c r="TZ42" s="12">
        <f>TT42-TX42-TY42</f>
        <v/>
      </c>
      <c r="UA42" s="12">
        <f>TU42+TU41+TU40+MAX(0,UA41-TU41-TU40)*(1-TN42)</f>
        <v/>
      </c>
      <c r="UB42" s="12">
        <f>TV42+TV41+TV40+MAX(0,UB41-TV41-TV40)*(1-TN42)</f>
        <v/>
      </c>
      <c r="UC42" s="12">
        <f>TW42+TW41+TW40+MAX(0,UC41-TW41-TW40)*(1-TN42)</f>
        <v/>
      </c>
      <c r="UD42" s="12">
        <f>UD41+TX42-TX30*(AnnualChurn*VLOOKUP(TJ42,ChurnSeasonTable,4,FALSE))*POWER(1-(AnnualChurn*VLOOKUP(TJ42,ChurnSeasonTable,4,FALSE)),0)+TX18*(AnnualChurn*VLOOKUP(TJ42,ChurnSeasonTable,4,FALSE))*POWER(1-(AnnualChurn*VLOOKUP(TJ42,ChurnSeasonTable,4,FALSE)),1)+TX6*(AnnualChurn*VLOOKUP(TJ42,ChurnSeasonTable,4,FALSE))*POWER(1-(AnnualChurn*VLOOKUP(TJ42,ChurnSeasonTable,4,FALSE)),2)</f>
        <v/>
      </c>
      <c r="UE42" s="12">
        <f>UE41+TY42-TY30*(AnnualChurn*VLOOKUP(TJ42,ChurnSeasonTable,4,FALSE))*POWER(1-(AnnualChurn*VLOOKUP(TJ42,ChurnSeasonTable,4,FALSE)),0)+TY18*(AnnualChurn*VLOOKUP(TJ42,ChurnSeasonTable,4,FALSE))*POWER(1-(AnnualChurn*VLOOKUP(TJ42,ChurnSeasonTable,4,FALSE)),1)+TY6*(AnnualChurn*VLOOKUP(TJ42,ChurnSeasonTable,4,FALSE))*POWER(1-(AnnualChurn*VLOOKUP(TJ42,ChurnSeasonTable,4,FALSE)),2)</f>
        <v/>
      </c>
      <c r="UF42" s="12">
        <f>UF41+TZ42-TZ30*(AnnualChurn*VLOOKUP(TJ42,ChurnSeasonTable,4,FALSE))*POWER(1-(AnnualChurn*VLOOKUP(TJ42,ChurnSeasonTable,4,FALSE)),0)+TZ18*(AnnualChurn*VLOOKUP(TJ42,ChurnSeasonTable,4,FALSE))*POWER(1-(AnnualChurn*VLOOKUP(TJ42,ChurnSeasonTable,4,FALSE)),1)+TZ6*(AnnualChurn*VLOOKUP(TJ42,ChurnSeasonTable,4,FALSE))*POWER(1-(AnnualChurn*VLOOKUP(TJ42,ChurnSeasonTable,4,FALSE)),2)</f>
        <v/>
      </c>
      <c r="UG42" s="12">
        <f>UA42+UB42+UC42+UD42+UE42+UF42</f>
        <v/>
      </c>
      <c r="UH42" s="9">
        <f>UA42*BlendedPriceEssMonthly*TM42+UB42*BlendedPricePremMonthly*TM42+UC42*BlendedPriceEliteMonthly*TM42+UD42*BlendedPriceEssAnnual*TM42/12+UE42*BlendedPricePremAnnual*TM42/12+UF42*BlendedPriceEliteAnnual*TM42/12</f>
        <v/>
      </c>
      <c r="UI42" s="9">
        <f>UH42*12</f>
        <v/>
      </c>
      <c r="UJ42" s="12">
        <f>UA42*BlendedPriceEssMonthly*TM42+UB42*BlendedPricePremMonthly*TM42+UC42*BlendedPriceEliteMonthly*TM42</f>
        <v/>
      </c>
      <c r="UK42" s="12">
        <f>TX42*BlendedPriceEssAnnual*TM42+TY42*BlendedPricePremAnnual*TM42+TZ42*BlendedPriceEliteAnnual*TM42</f>
        <v/>
      </c>
      <c r="UL42" s="12">
        <f>TX30*POWER(1-(AnnualChurn*VLOOKUP(TJ42,ChurnSeasonTable,4,FALSE)),1)*BlendedPriceEssAnnual*TM42+TX18*POWER(1-(AnnualChurn*VLOOKUP(TJ42,ChurnSeasonTable,4,FALSE)),2)*BlendedPriceEssAnnual*TM42+TX6*POWER(1-(AnnualChurn*VLOOKUP(TJ42,ChurnSeasonTable,4,FALSE)),3)*BlendedPriceEssAnnual*TM42+TY30*POWER(1-(AnnualChurn*VLOOKUP(TJ42,ChurnSeasonTable,4,FALSE)),1)*BlendedPricePremAnnual*TM42+TY18*POWER(1-(AnnualChurn*VLOOKUP(TJ42,ChurnSeasonTable,4,FALSE)),2)*BlendedPricePremAnnual*TM42+TY6*POWER(1-(AnnualChurn*VLOOKUP(TJ42,ChurnSeasonTable,4,FALSE)),3)*BlendedPricePremAnnual*TM42+TZ30*POWER(1-(AnnualChurn*VLOOKUP(TJ42,ChurnSeasonTable,4,FALSE)),1)*BlendedPriceEliteAnnual*TM42+TZ18*POWER(1-(AnnualChurn*VLOOKUP(TJ42,ChurnSeasonTable,4,FALSE)),2)*BlendedPriceEliteAnnual*TM42+TZ6*POWER(1-(AnnualChurn*VLOOKUP(TJ42,ChurnSeasonTable,4,FALSE)),3)*BlendedPriceEliteAnnual*TM42</f>
        <v/>
      </c>
      <c r="UM42" s="9">
        <f>UJ42+UK42+UL42</f>
        <v/>
      </c>
      <c r="UN42" s="12">
        <f>SUM(UM31:UM42)</f>
        <v/>
      </c>
      <c r="UO42" s="12">
        <f>OR(UO41,IF(VATAgentMode,SUM($UM31:$UM42)-SUM($UT31:$UT42)&gt;=VATThreshold,SUM($UM31:$UM42)&gt;=VATThreshold))</f>
        <v/>
      </c>
      <c r="UP42" s="9">
        <f>IF(UO42,IF(VATAgentMode,UM42-((UM42-UT42)-(UM42-UT42)/(1+VATRate)),UM42/(1+VATRate)),UM42)</f>
        <v/>
      </c>
      <c r="UQ42" s="12">
        <f>UM42-UP42</f>
        <v/>
      </c>
      <c r="UR42" s="12">
        <f>IF(UO42=0,0,IF(TJ42=1,SUMPRODUCT(--(($TK$5:$TK42=$TK42-1)*($TJ$5:$TJ42&gt;=10)*($TJ$5:$TJ42&lt;=12)),$UQ$5:$UQ42),IF(TJ42=4,SUMPRODUCT(--(($TK$5:$TK42=$TK42)*($TJ$5:$TJ42&gt;=1)*($TJ$5:$TJ42&lt;=3)),$UQ$5:$UQ42),IF(TJ42=7,SUMPRODUCT(--(($TK$5:$TK42=$TK42)*($TJ$5:$TJ42&gt;=4)*($TJ$5:$TJ42&lt;=6)),$UQ$5:$UQ42),IF(TJ42=10,SUMPRODUCT(--(($TK$5:$TK42=$TK42)*($TJ$5:$TJ42&gt;=7)*($TJ$5:$TJ42&lt;=9)),$UQ$5:$UQ42),0)))))</f>
        <v/>
      </c>
      <c r="US42" s="12">
        <f>US41+UQ42-UR42</f>
        <v/>
      </c>
      <c r="UT42" s="12">
        <f>IF(ProviderDelay&gt;=1,UA41*BlendedProvPayEss+UB41*BlendedProvPayPrem+UC41*BlendedProvPayElite+UD41*BlendedProvPayEss+UE41*BlendedProvPayPrem+UF41*BlendedProvPayElite,UA42*BlendedProvPayEss+UB42*BlendedProvPayPrem+UC42*BlendedProvPayElite+UD42*BlendedProvPayEss+UE42*BlendedProvPayPrem+UF42*BlendedProvPayElite)</f>
        <v/>
      </c>
      <c r="UU42" s="12">
        <f>UM42*PaymentFee</f>
        <v/>
      </c>
      <c r="UV42" s="12">
        <f>UG42*OpsAI</f>
        <v/>
      </c>
      <c r="UW42" s="12">
        <f>MonthlyFixed</f>
        <v/>
      </c>
      <c r="UX42" s="12">
        <f>TQ42*ReferralReward</f>
        <v/>
      </c>
      <c r="UY42" s="12">
        <f>TO42</f>
        <v/>
      </c>
      <c r="UZ42" s="9">
        <f>UP42-UT42-UU42-UV42-UW42-UX42-UY42</f>
        <v/>
      </c>
      <c r="VA42" s="9">
        <f>VA41+UM42-(UT42+UU42+UV42+UW42+UX42+UY42+UR42)</f>
        <v/>
      </c>
      <c r="VB42" s="12">
        <f>IF(UG42&gt;0,UH42/UG42,0)</f>
        <v/>
      </c>
      <c r="VC42" s="11">
        <f>IF(UG41&gt;0,MAX(0,(UG41+TR42-UG42)/UG41),0)</f>
        <v/>
      </c>
      <c r="VE42" s="12" t="n">
        <v>38</v>
      </c>
      <c r="VF42" s="12">
        <f>MOD(VE42-1+LaunchMonth-1,12)+1</f>
        <v/>
      </c>
      <c r="VG42" s="12">
        <f>INT((VE42-1+LaunchMonth-1)/12)+1</f>
        <v/>
      </c>
      <c r="VH42" s="12">
        <f>VLOOKUP(VF42,SeasonTable,2,FALSE)</f>
        <v/>
      </c>
      <c r="VI42" s="12">
        <f>(1+InflationRate)^INT((VE42-1)/12)</f>
        <v/>
      </c>
      <c r="VJ42" s="11">
        <f>MonthlyChurn*VLOOKUP(VF42,ChurnSeasonTable,4,FALSE)</f>
        <v/>
      </c>
      <c r="VK42" s="12">
        <f>MIN(MAX(MktMin19plus,WI41*MktPct19plus),MAX(0,WW41-CashBuffer))</f>
        <v/>
      </c>
      <c r="VL42" s="12">
        <f>IF(VK42&gt;0,MAX(1,ROUND(VK42/CAC*VH42,0)),0)</f>
        <v/>
      </c>
      <c r="VM42" s="12">
        <f>IF(VL42&gt;0,ROUND(VL42*ReferralMix/(1-ReferralMix),0),0)</f>
        <v/>
      </c>
      <c r="VN42" s="12">
        <f>VL42+VM42</f>
        <v/>
      </c>
      <c r="VO42" s="12">
        <f>ROUND(VN42*(1-'Sens - Annual Mix'!$A$9),0)</f>
        <v/>
      </c>
      <c r="VP42" s="12">
        <f>VN42-VO42</f>
        <v/>
      </c>
      <c r="VQ42" s="12">
        <f>ROUND(VO42*EssentialMix,0)</f>
        <v/>
      </c>
      <c r="VR42" s="12">
        <f>ROUND(VO42*PremiumMix,0)</f>
        <v/>
      </c>
      <c r="VS42" s="12">
        <f>VO42-VQ42-VR42</f>
        <v/>
      </c>
      <c r="VT42" s="12">
        <f>ROUND(VP42*EssentialMix,0)</f>
        <v/>
      </c>
      <c r="VU42" s="12">
        <f>ROUND(VP42*PremiumMix,0)</f>
        <v/>
      </c>
      <c r="VV42" s="12">
        <f>VP42-VT42-VU42</f>
        <v/>
      </c>
      <c r="VW42" s="12">
        <f>VQ42+VQ41+VQ40+MAX(0,VW41-VQ41-VQ40)*(1-VJ42)</f>
        <v/>
      </c>
      <c r="VX42" s="12">
        <f>VR42+VR41+VR40+MAX(0,VX41-VR41-VR40)*(1-VJ42)</f>
        <v/>
      </c>
      <c r="VY42" s="12">
        <f>VS42+VS41+VS40+MAX(0,VY41-VS41-VS40)*(1-VJ42)</f>
        <v/>
      </c>
      <c r="VZ42" s="12">
        <f>VZ41+VT42-VT30*(AnnualChurn*VLOOKUP(VF42,ChurnSeasonTable,4,FALSE))*POWER(1-(AnnualChurn*VLOOKUP(VF42,ChurnSeasonTable,4,FALSE)),0)+VT18*(AnnualChurn*VLOOKUP(VF42,ChurnSeasonTable,4,FALSE))*POWER(1-(AnnualChurn*VLOOKUP(VF42,ChurnSeasonTable,4,FALSE)),1)+VT6*(AnnualChurn*VLOOKUP(VF42,ChurnSeasonTable,4,FALSE))*POWER(1-(AnnualChurn*VLOOKUP(VF42,ChurnSeasonTable,4,FALSE)),2)</f>
        <v/>
      </c>
      <c r="WA42" s="12">
        <f>WA41+VU42-VU30*(AnnualChurn*VLOOKUP(VF42,ChurnSeasonTable,4,FALSE))*POWER(1-(AnnualChurn*VLOOKUP(VF42,ChurnSeasonTable,4,FALSE)),0)+VU18*(AnnualChurn*VLOOKUP(VF42,ChurnSeasonTable,4,FALSE))*POWER(1-(AnnualChurn*VLOOKUP(VF42,ChurnSeasonTable,4,FALSE)),1)+VU6*(AnnualChurn*VLOOKUP(VF42,ChurnSeasonTable,4,FALSE))*POWER(1-(AnnualChurn*VLOOKUP(VF42,ChurnSeasonTable,4,FALSE)),2)</f>
        <v/>
      </c>
      <c r="WB42" s="12">
        <f>WB41+VV42-VV30*(AnnualChurn*VLOOKUP(VF42,ChurnSeasonTable,4,FALSE))*POWER(1-(AnnualChurn*VLOOKUP(VF42,ChurnSeasonTable,4,FALSE)),0)+VV18*(AnnualChurn*VLOOKUP(VF42,ChurnSeasonTable,4,FALSE))*POWER(1-(AnnualChurn*VLOOKUP(VF42,ChurnSeasonTable,4,FALSE)),1)+VV6*(AnnualChurn*VLOOKUP(VF42,ChurnSeasonTable,4,FALSE))*POWER(1-(AnnualChurn*VLOOKUP(VF42,ChurnSeasonTable,4,FALSE)),2)</f>
        <v/>
      </c>
      <c r="WC42" s="12">
        <f>VW42+VX42+VY42+VZ42+WA42+WB42</f>
        <v/>
      </c>
      <c r="WD42" s="9">
        <f>VW42*BlendedPriceEssMonthly*VI42+VX42*BlendedPricePremMonthly*VI42+VY42*BlendedPriceEliteMonthly*VI42+VZ42*BlendedPriceEssAnnual*VI42/12+WA42*BlendedPricePremAnnual*VI42/12+WB42*BlendedPriceEliteAnnual*VI42/12</f>
        <v/>
      </c>
      <c r="WE42" s="9">
        <f>WD42*12</f>
        <v/>
      </c>
      <c r="WF42" s="12">
        <f>VW42*BlendedPriceEssMonthly*VI42+VX42*BlendedPricePremMonthly*VI42+VY42*BlendedPriceEliteMonthly*VI42</f>
        <v/>
      </c>
      <c r="WG42" s="12">
        <f>VT42*BlendedPriceEssAnnual*VI42+VU42*BlendedPricePremAnnual*VI42+VV42*BlendedPriceEliteAnnual*VI42</f>
        <v/>
      </c>
      <c r="WH42" s="12">
        <f>VT30*POWER(1-(AnnualChurn*VLOOKUP(VF42,ChurnSeasonTable,4,FALSE)),1)*BlendedPriceEssAnnual*VI42+VT18*POWER(1-(AnnualChurn*VLOOKUP(VF42,ChurnSeasonTable,4,FALSE)),2)*BlendedPriceEssAnnual*VI42+VT6*POWER(1-(AnnualChurn*VLOOKUP(VF42,ChurnSeasonTable,4,FALSE)),3)*BlendedPriceEssAnnual*VI42+VU30*POWER(1-(AnnualChurn*VLOOKUP(VF42,ChurnSeasonTable,4,FALSE)),1)*BlendedPricePremAnnual*VI42+VU18*POWER(1-(AnnualChurn*VLOOKUP(VF42,ChurnSeasonTable,4,FALSE)),2)*BlendedPricePremAnnual*VI42+VU6*POWER(1-(AnnualChurn*VLOOKUP(VF42,ChurnSeasonTable,4,FALSE)),3)*BlendedPricePremAnnual*VI42+VV30*POWER(1-(AnnualChurn*VLOOKUP(VF42,ChurnSeasonTable,4,FALSE)),1)*BlendedPriceEliteAnnual*VI42+VV18*POWER(1-(AnnualChurn*VLOOKUP(VF42,ChurnSeasonTable,4,FALSE)),2)*BlendedPriceEliteAnnual*VI42+VV6*POWER(1-(AnnualChurn*VLOOKUP(VF42,ChurnSeasonTable,4,FALSE)),3)*BlendedPriceEliteAnnual*VI42</f>
        <v/>
      </c>
      <c r="WI42" s="9">
        <f>WF42+WG42+WH42</f>
        <v/>
      </c>
      <c r="WJ42" s="12">
        <f>SUM(WI31:WI42)</f>
        <v/>
      </c>
      <c r="WK42" s="12">
        <f>OR(WK41,IF(VATAgentMode,SUM($WI31:$WI42)-SUM($WP31:$WP42)&gt;=VATThreshold,SUM($WI31:$WI42)&gt;=VATThreshold))</f>
        <v/>
      </c>
      <c r="WL42" s="9">
        <f>IF(WK42,IF(VATAgentMode,WI42-((WI42-WP42)-(WI42-WP42)/(1+VATRate)),WI42/(1+VATRate)),WI42)</f>
        <v/>
      </c>
      <c r="WM42" s="12">
        <f>WI42-WL42</f>
        <v/>
      </c>
      <c r="WN42" s="12">
        <f>IF(WK42=0,0,IF(VF42=1,SUMPRODUCT(--(($VG$5:$VG42=$VG42-1)*($VF$5:$VF42&gt;=10)*($VF$5:$VF42&lt;=12)),$WM$5:$WM42),IF(VF42=4,SUMPRODUCT(--(($VG$5:$VG42=$VG42)*($VF$5:$VF42&gt;=1)*($VF$5:$VF42&lt;=3)),$WM$5:$WM42),IF(VF42=7,SUMPRODUCT(--(($VG$5:$VG42=$VG42)*($VF$5:$VF42&gt;=4)*($VF$5:$VF42&lt;=6)),$WM$5:$WM42),IF(VF42=10,SUMPRODUCT(--(($VG$5:$VG42=$VG42)*($VF$5:$VF42&gt;=7)*($VF$5:$VF42&lt;=9)),$WM$5:$WM42),0)))))</f>
        <v/>
      </c>
      <c r="WO42" s="12">
        <f>WO41+WM42-WN42</f>
        <v/>
      </c>
      <c r="WP42" s="12">
        <f>IF(ProviderDelay&gt;=1,VW41*BlendedProvPayEss+VX41*BlendedProvPayPrem+VY41*BlendedProvPayElite+VZ41*BlendedProvPayEss+WA41*BlendedProvPayPrem+WB41*BlendedProvPayElite,VW42*BlendedProvPayEss+VX42*BlendedProvPayPrem+VY42*BlendedProvPayElite+VZ42*BlendedProvPayEss+WA42*BlendedProvPayPrem+WB42*BlendedProvPayElite)</f>
        <v/>
      </c>
      <c r="WQ42" s="12">
        <f>WI42*PaymentFee</f>
        <v/>
      </c>
      <c r="WR42" s="12">
        <f>WC42*OpsAI</f>
        <v/>
      </c>
      <c r="WS42" s="12">
        <f>MonthlyFixed</f>
        <v/>
      </c>
      <c r="WT42" s="12">
        <f>VM42*ReferralReward</f>
        <v/>
      </c>
      <c r="WU42" s="12">
        <f>VK42</f>
        <v/>
      </c>
      <c r="WV42" s="9">
        <f>WL42-WP42-WQ42-WR42-WS42-WT42-WU42</f>
        <v/>
      </c>
      <c r="WW42" s="9">
        <f>WW41+WI42-(WP42+WQ42+WR42+WS42+WT42+WU42+WN42)</f>
        <v/>
      </c>
      <c r="WX42" s="12">
        <f>IF(WC42&gt;0,WD42/WC42,0)</f>
        <v/>
      </c>
      <c r="WY42" s="11">
        <f>IF(WC41&gt;0,MAX(0,(WC41+VN42-WC42)/WC41),0)</f>
        <v/>
      </c>
      <c r="XA42" s="12" t="n">
        <v>38</v>
      </c>
      <c r="XB42" s="12">
        <f>MOD(XA42-1+LaunchMonth-1,12)+1</f>
        <v/>
      </c>
      <c r="XC42" s="12">
        <f>INT((XA42-1+LaunchMonth-1)/12)+1</f>
        <v/>
      </c>
      <c r="XD42" s="12">
        <f>VLOOKUP(XB42,SeasonTable,2,FALSE)</f>
        <v/>
      </c>
      <c r="XE42" s="12">
        <f>(1+InflationRate)^INT((XA42-1)/12)</f>
        <v/>
      </c>
      <c r="XF42" s="11">
        <f>MonthlyChurn*VLOOKUP(XB42,ChurnSeasonTable,4,FALSE)</f>
        <v/>
      </c>
      <c r="XG42" s="12">
        <f>MIN(MAX(MktMin19plus,YE41*MktPct19plus),MAX(0,YS41-CashBuffer))</f>
        <v/>
      </c>
      <c r="XH42" s="12">
        <f>IF(XG42&gt;0,MAX(1,ROUND(XG42/CAC*XD42,0)),0)</f>
        <v/>
      </c>
      <c r="XI42" s="12">
        <f>IF(XH42&gt;0,ROUND(XH42*ReferralMix/(1-ReferralMix),0),0)</f>
        <v/>
      </c>
      <c r="XJ42" s="12">
        <f>XH42+XI42</f>
        <v/>
      </c>
      <c r="XK42" s="12">
        <f>ROUND(XJ42*(1-'Sens - Annual Mix'!$A$10),0)</f>
        <v/>
      </c>
      <c r="XL42" s="12">
        <f>XJ42-XK42</f>
        <v/>
      </c>
      <c r="XM42" s="12">
        <f>ROUND(XK42*EssentialMix,0)</f>
        <v/>
      </c>
      <c r="XN42" s="12">
        <f>ROUND(XK42*PremiumMix,0)</f>
        <v/>
      </c>
      <c r="XO42" s="12">
        <f>XK42-XM42-XN42</f>
        <v/>
      </c>
      <c r="XP42" s="12">
        <f>ROUND(XL42*EssentialMix,0)</f>
        <v/>
      </c>
      <c r="XQ42" s="12">
        <f>ROUND(XL42*PremiumMix,0)</f>
        <v/>
      </c>
      <c r="XR42" s="12">
        <f>XL42-XP42-XQ42</f>
        <v/>
      </c>
      <c r="XS42" s="12">
        <f>XM42+XM41+XM40+MAX(0,XS41-XM41-XM40)*(1-XF42)</f>
        <v/>
      </c>
      <c r="XT42" s="12">
        <f>XN42+XN41+XN40+MAX(0,XT41-XN41-XN40)*(1-XF42)</f>
        <v/>
      </c>
      <c r="XU42" s="12">
        <f>XO42+XO41+XO40+MAX(0,XU41-XO41-XO40)*(1-XF42)</f>
        <v/>
      </c>
      <c r="XV42" s="12">
        <f>XV41+XP42-XP30*(AnnualChurn*VLOOKUP(XB42,ChurnSeasonTable,4,FALSE))*POWER(1-(AnnualChurn*VLOOKUP(XB42,ChurnSeasonTable,4,FALSE)),0)+XP18*(AnnualChurn*VLOOKUP(XB42,ChurnSeasonTable,4,FALSE))*POWER(1-(AnnualChurn*VLOOKUP(XB42,ChurnSeasonTable,4,FALSE)),1)+XP6*(AnnualChurn*VLOOKUP(XB42,ChurnSeasonTable,4,FALSE))*POWER(1-(AnnualChurn*VLOOKUP(XB42,ChurnSeasonTable,4,FALSE)),2)</f>
        <v/>
      </c>
      <c r="XW42" s="12">
        <f>XW41+XQ42-XQ30*(AnnualChurn*VLOOKUP(XB42,ChurnSeasonTable,4,FALSE))*POWER(1-(AnnualChurn*VLOOKUP(XB42,ChurnSeasonTable,4,FALSE)),0)+XQ18*(AnnualChurn*VLOOKUP(XB42,ChurnSeasonTable,4,FALSE))*POWER(1-(AnnualChurn*VLOOKUP(XB42,ChurnSeasonTable,4,FALSE)),1)+XQ6*(AnnualChurn*VLOOKUP(XB42,ChurnSeasonTable,4,FALSE))*POWER(1-(AnnualChurn*VLOOKUP(XB42,ChurnSeasonTable,4,FALSE)),2)</f>
        <v/>
      </c>
      <c r="XX42" s="12">
        <f>XX41+XR42-XR30*(AnnualChurn*VLOOKUP(XB42,ChurnSeasonTable,4,FALSE))*POWER(1-(AnnualChurn*VLOOKUP(XB42,ChurnSeasonTable,4,FALSE)),0)+XR18*(AnnualChurn*VLOOKUP(XB42,ChurnSeasonTable,4,FALSE))*POWER(1-(AnnualChurn*VLOOKUP(XB42,ChurnSeasonTable,4,FALSE)),1)+XR6*(AnnualChurn*VLOOKUP(XB42,ChurnSeasonTable,4,FALSE))*POWER(1-(AnnualChurn*VLOOKUP(XB42,ChurnSeasonTable,4,FALSE)),2)</f>
        <v/>
      </c>
      <c r="XY42" s="12">
        <f>XS42+XT42+XU42+XV42+XW42+XX42</f>
        <v/>
      </c>
      <c r="XZ42" s="9">
        <f>XS42*BlendedPriceEssMonthly*XE42+XT42*BlendedPricePremMonthly*XE42+XU42*BlendedPriceEliteMonthly*XE42+XV42*BlendedPriceEssAnnual*XE42/12+XW42*BlendedPricePremAnnual*XE42/12+XX42*BlendedPriceEliteAnnual*XE42/12</f>
        <v/>
      </c>
      <c r="YA42" s="9">
        <f>XZ42*12</f>
        <v/>
      </c>
      <c r="YB42" s="12">
        <f>XS42*BlendedPriceEssMonthly*XE42+XT42*BlendedPricePremMonthly*XE42+XU42*BlendedPriceEliteMonthly*XE42</f>
        <v/>
      </c>
      <c r="YC42" s="12">
        <f>XP42*BlendedPriceEssAnnual*XE42+XQ42*BlendedPricePremAnnual*XE42+XR42*BlendedPriceEliteAnnual*XE42</f>
        <v/>
      </c>
      <c r="YD42" s="12">
        <f>XP30*POWER(1-(AnnualChurn*VLOOKUP(XB42,ChurnSeasonTable,4,FALSE)),1)*BlendedPriceEssAnnual*XE42+XP18*POWER(1-(AnnualChurn*VLOOKUP(XB42,ChurnSeasonTable,4,FALSE)),2)*BlendedPriceEssAnnual*XE42+XP6*POWER(1-(AnnualChurn*VLOOKUP(XB42,ChurnSeasonTable,4,FALSE)),3)*BlendedPriceEssAnnual*XE42+XQ30*POWER(1-(AnnualChurn*VLOOKUP(XB42,ChurnSeasonTable,4,FALSE)),1)*BlendedPricePremAnnual*XE42+XQ18*POWER(1-(AnnualChurn*VLOOKUP(XB42,ChurnSeasonTable,4,FALSE)),2)*BlendedPricePremAnnual*XE42+XQ6*POWER(1-(AnnualChurn*VLOOKUP(XB42,ChurnSeasonTable,4,FALSE)),3)*BlendedPricePremAnnual*XE42+XR30*POWER(1-(AnnualChurn*VLOOKUP(XB42,ChurnSeasonTable,4,FALSE)),1)*BlendedPriceEliteAnnual*XE42+XR18*POWER(1-(AnnualChurn*VLOOKUP(XB42,ChurnSeasonTable,4,FALSE)),2)*BlendedPriceEliteAnnual*XE42+XR6*POWER(1-(AnnualChurn*VLOOKUP(XB42,ChurnSeasonTable,4,FALSE)),3)*BlendedPriceEliteAnnual*XE42</f>
        <v/>
      </c>
      <c r="YE42" s="9">
        <f>YB42+YC42+YD42</f>
        <v/>
      </c>
      <c r="YF42" s="12">
        <f>SUM(YE31:YE42)</f>
        <v/>
      </c>
      <c r="YG42" s="12">
        <f>OR(YG41,IF(VATAgentMode,SUM($YE31:$YE42)-SUM($YL31:$YL42)&gt;=VATThreshold,SUM($YE31:$YE42)&gt;=VATThreshold))</f>
        <v/>
      </c>
      <c r="YH42" s="9">
        <f>IF(YG42,IF(VATAgentMode,YE42-((YE42-YL42)-(YE42-YL42)/(1+VATRate)),YE42/(1+VATRate)),YE42)</f>
        <v/>
      </c>
      <c r="YI42" s="12">
        <f>YE42-YH42</f>
        <v/>
      </c>
      <c r="YJ42" s="12">
        <f>IF(YG42=0,0,IF(XB42=1,SUMPRODUCT(--(($XC$5:$XC42=$XC42-1)*($XB$5:$XB42&gt;=10)*($XB$5:$XB42&lt;=12)),$YI$5:$YI42),IF(XB42=4,SUMPRODUCT(--(($XC$5:$XC42=$XC42)*($XB$5:$XB42&gt;=1)*($XB$5:$XB42&lt;=3)),$YI$5:$YI42),IF(XB42=7,SUMPRODUCT(--(($XC$5:$XC42=$XC42)*($XB$5:$XB42&gt;=4)*($XB$5:$XB42&lt;=6)),$YI$5:$YI42),IF(XB42=10,SUMPRODUCT(--(($XC$5:$XC42=$XC42)*($XB$5:$XB42&gt;=7)*($XB$5:$XB42&lt;=9)),$YI$5:$YI42),0)))))</f>
        <v/>
      </c>
      <c r="YK42" s="12">
        <f>YK41+YI42-YJ42</f>
        <v/>
      </c>
      <c r="YL42" s="12">
        <f>IF(ProviderDelay&gt;=1,XS41*BlendedProvPayEss+XT41*BlendedProvPayPrem+XU41*BlendedProvPayElite+XV41*BlendedProvPayEss+XW41*BlendedProvPayPrem+XX41*BlendedProvPayElite,XS42*BlendedProvPayEss+XT42*BlendedProvPayPrem+XU42*BlendedProvPayElite+XV42*BlendedProvPayEss+XW42*BlendedProvPayPrem+XX42*BlendedProvPayElite)</f>
        <v/>
      </c>
      <c r="YM42" s="12">
        <f>YE42*PaymentFee</f>
        <v/>
      </c>
      <c r="YN42" s="12">
        <f>XY42*OpsAI</f>
        <v/>
      </c>
      <c r="YO42" s="12">
        <f>MonthlyFixed</f>
        <v/>
      </c>
      <c r="YP42" s="12">
        <f>XI42*ReferralReward</f>
        <v/>
      </c>
      <c r="YQ42" s="12">
        <f>XG42</f>
        <v/>
      </c>
      <c r="YR42" s="9">
        <f>YH42-YL42-YM42-YN42-YO42-YP42-YQ42</f>
        <v/>
      </c>
      <c r="YS42" s="9">
        <f>YS41+YE42-(YL42+YM42+YN42+YO42+YP42+YQ42+YJ42)</f>
        <v/>
      </c>
      <c r="YT42" s="12">
        <f>IF(XY42&gt;0,XZ42/XY42,0)</f>
        <v/>
      </c>
      <c r="YU42" s="11">
        <f>IF(XY41&gt;0,MAX(0,(XY41+XJ42-XY42)/XY41),0)</f>
        <v/>
      </c>
      <c r="YW42" s="12" t="n">
        <v>38</v>
      </c>
      <c r="YX42" s="12">
        <f>MOD(YW42-1+LaunchMonth-1,12)+1</f>
        <v/>
      </c>
      <c r="YY42" s="12">
        <f>INT((YW42-1+LaunchMonth-1)/12)+1</f>
        <v/>
      </c>
      <c r="YZ42" s="12">
        <f>VLOOKUP(YX42,SeasonTable,2,FALSE)</f>
        <v/>
      </c>
      <c r="ZA42" s="12">
        <f>(1+InflationRate)^INT((YW42-1)/12)</f>
        <v/>
      </c>
      <c r="ZB42" s="11">
        <f>MonthlyChurn*VLOOKUP(YX42,ChurnSeasonTable,4,FALSE)</f>
        <v/>
      </c>
      <c r="ZC42" s="12">
        <f>MIN(MAX(MktMin19plus,AAA41*MktPct19plus),MAX(0,AAO41-CashBuffer))</f>
        <v/>
      </c>
      <c r="ZD42" s="12">
        <f>IF(ZC42&gt;0,MAX(1,ROUND(ZC42/CAC*YZ42,0)),0)</f>
        <v/>
      </c>
      <c r="ZE42" s="12">
        <f>IF(ZD42&gt;0,ROUND(ZD42*ReferralMix/(1-ReferralMix),0),0)</f>
        <v/>
      </c>
      <c r="ZF42" s="12">
        <f>ZD42+ZE42</f>
        <v/>
      </c>
      <c r="ZG42" s="12">
        <f>ROUND(ZF42*(1-'Sens - Annual Mix'!$A$11),0)</f>
        <v/>
      </c>
      <c r="ZH42" s="12">
        <f>ZF42-ZG42</f>
        <v/>
      </c>
      <c r="ZI42" s="12">
        <f>ROUND(ZG42*EssentialMix,0)</f>
        <v/>
      </c>
      <c r="ZJ42" s="12">
        <f>ROUND(ZG42*PremiumMix,0)</f>
        <v/>
      </c>
      <c r="ZK42" s="12">
        <f>ZG42-ZI42-ZJ42</f>
        <v/>
      </c>
      <c r="ZL42" s="12">
        <f>ROUND(ZH42*EssentialMix,0)</f>
        <v/>
      </c>
      <c r="ZM42" s="12">
        <f>ROUND(ZH42*PremiumMix,0)</f>
        <v/>
      </c>
      <c r="ZN42" s="12">
        <f>ZH42-ZL42-ZM42</f>
        <v/>
      </c>
      <c r="ZO42" s="12">
        <f>ZI42+ZI41+ZI40+MAX(0,ZO41-ZI41-ZI40)*(1-ZB42)</f>
        <v/>
      </c>
      <c r="ZP42" s="12">
        <f>ZJ42+ZJ41+ZJ40+MAX(0,ZP41-ZJ41-ZJ40)*(1-ZB42)</f>
        <v/>
      </c>
      <c r="ZQ42" s="12">
        <f>ZK42+ZK41+ZK40+MAX(0,ZQ41-ZK41-ZK40)*(1-ZB42)</f>
        <v/>
      </c>
      <c r="ZR42" s="12">
        <f>ZR41+ZL42-ZL30*(AnnualChurn*VLOOKUP(YX42,ChurnSeasonTable,4,FALSE))*POWER(1-(AnnualChurn*VLOOKUP(YX42,ChurnSeasonTable,4,FALSE)),0)+ZL18*(AnnualChurn*VLOOKUP(YX42,ChurnSeasonTable,4,FALSE))*POWER(1-(AnnualChurn*VLOOKUP(YX42,ChurnSeasonTable,4,FALSE)),1)+ZL6*(AnnualChurn*VLOOKUP(YX42,ChurnSeasonTable,4,FALSE))*POWER(1-(AnnualChurn*VLOOKUP(YX42,ChurnSeasonTable,4,FALSE)),2)</f>
        <v/>
      </c>
      <c r="ZS42" s="12">
        <f>ZS41+ZM42-ZM30*(AnnualChurn*VLOOKUP(YX42,ChurnSeasonTable,4,FALSE))*POWER(1-(AnnualChurn*VLOOKUP(YX42,ChurnSeasonTable,4,FALSE)),0)+ZM18*(AnnualChurn*VLOOKUP(YX42,ChurnSeasonTable,4,FALSE))*POWER(1-(AnnualChurn*VLOOKUP(YX42,ChurnSeasonTable,4,FALSE)),1)+ZM6*(AnnualChurn*VLOOKUP(YX42,ChurnSeasonTable,4,FALSE))*POWER(1-(AnnualChurn*VLOOKUP(YX42,ChurnSeasonTable,4,FALSE)),2)</f>
        <v/>
      </c>
      <c r="ZT42" s="12">
        <f>ZT41+ZN42-ZN30*(AnnualChurn*VLOOKUP(YX42,ChurnSeasonTable,4,FALSE))*POWER(1-(AnnualChurn*VLOOKUP(YX42,ChurnSeasonTable,4,FALSE)),0)+ZN18*(AnnualChurn*VLOOKUP(YX42,ChurnSeasonTable,4,FALSE))*POWER(1-(AnnualChurn*VLOOKUP(YX42,ChurnSeasonTable,4,FALSE)),1)+ZN6*(AnnualChurn*VLOOKUP(YX42,ChurnSeasonTable,4,FALSE))*POWER(1-(AnnualChurn*VLOOKUP(YX42,ChurnSeasonTable,4,FALSE)),2)</f>
        <v/>
      </c>
      <c r="ZU42" s="12">
        <f>ZO42+ZP42+ZQ42+ZR42+ZS42+ZT42</f>
        <v/>
      </c>
      <c r="ZV42" s="9">
        <f>ZO42*BlendedPriceEssMonthly*ZA42+ZP42*BlendedPricePremMonthly*ZA42+ZQ42*BlendedPriceEliteMonthly*ZA42+ZR42*BlendedPriceEssAnnual*ZA42/12+ZS42*BlendedPricePremAnnual*ZA42/12+ZT42*BlendedPriceEliteAnnual*ZA42/12</f>
        <v/>
      </c>
      <c r="ZW42" s="9">
        <f>ZV42*12</f>
        <v/>
      </c>
      <c r="ZX42" s="12">
        <f>ZO42*BlendedPriceEssMonthly*ZA42+ZP42*BlendedPricePremMonthly*ZA42+ZQ42*BlendedPriceEliteMonthly*ZA42</f>
        <v/>
      </c>
      <c r="ZY42" s="12">
        <f>ZL42*BlendedPriceEssAnnual*ZA42+ZM42*BlendedPricePremAnnual*ZA42+ZN42*BlendedPriceEliteAnnual*ZA42</f>
        <v/>
      </c>
      <c r="ZZ42" s="12">
        <f>ZL30*POWER(1-(AnnualChurn*VLOOKUP(YX42,ChurnSeasonTable,4,FALSE)),1)*BlendedPriceEssAnnual*ZA42+ZL18*POWER(1-(AnnualChurn*VLOOKUP(YX42,ChurnSeasonTable,4,FALSE)),2)*BlendedPriceEssAnnual*ZA42+ZL6*POWER(1-(AnnualChurn*VLOOKUP(YX42,ChurnSeasonTable,4,FALSE)),3)*BlendedPriceEssAnnual*ZA42+ZM30*POWER(1-(AnnualChurn*VLOOKUP(YX42,ChurnSeasonTable,4,FALSE)),1)*BlendedPricePremAnnual*ZA42+ZM18*POWER(1-(AnnualChurn*VLOOKUP(YX42,ChurnSeasonTable,4,FALSE)),2)*BlendedPricePremAnnual*ZA42+ZM6*POWER(1-(AnnualChurn*VLOOKUP(YX42,ChurnSeasonTable,4,FALSE)),3)*BlendedPricePremAnnual*ZA42+ZN30*POWER(1-(AnnualChurn*VLOOKUP(YX42,ChurnSeasonTable,4,FALSE)),1)*BlendedPriceEliteAnnual*ZA42+ZN18*POWER(1-(AnnualChurn*VLOOKUP(YX42,ChurnSeasonTable,4,FALSE)),2)*BlendedPriceEliteAnnual*ZA42+ZN6*POWER(1-(AnnualChurn*VLOOKUP(YX42,ChurnSeasonTable,4,FALSE)),3)*BlendedPriceEliteAnnual*ZA42</f>
        <v/>
      </c>
      <c r="AAA42" s="9">
        <f>ZX42+ZY42+ZZ42</f>
        <v/>
      </c>
      <c r="AAB42" s="12">
        <f>SUM(AAA31:AAA42)</f>
        <v/>
      </c>
      <c r="AAC42" s="12">
        <f>OR(AAC41,IF(VATAgentMode,SUM($AAA31:$AAA42)-SUM($AAH31:$AAH42)&gt;=VATThreshold,SUM($AAA31:$AAA42)&gt;=VATThreshold))</f>
        <v/>
      </c>
      <c r="AAD42" s="9">
        <f>IF(AAC42,IF(VATAgentMode,AAA42-((AAA42-AAH42)-(AAA42-AAH42)/(1+VATRate)),AAA42/(1+VATRate)),AAA42)</f>
        <v/>
      </c>
      <c r="AAE42" s="12">
        <f>AAA42-AAD42</f>
        <v/>
      </c>
      <c r="AAF42" s="12">
        <f>IF(AAC42=0,0,IF(YX42=1,SUMPRODUCT(--(($YY$5:$YY42=$YY42-1)*($YX$5:$YX42&gt;=10)*($YX$5:$YX42&lt;=12)),$AAE$5:$AAE42),IF(YX42=4,SUMPRODUCT(--(($YY$5:$YY42=$YY42)*($YX$5:$YX42&gt;=1)*($YX$5:$YX42&lt;=3)),$AAE$5:$AAE42),IF(YX42=7,SUMPRODUCT(--(($YY$5:$YY42=$YY42)*($YX$5:$YX42&gt;=4)*($YX$5:$YX42&lt;=6)),$AAE$5:$AAE42),IF(YX42=10,SUMPRODUCT(--(($YY$5:$YY42=$YY42)*($YX$5:$YX42&gt;=7)*($YX$5:$YX42&lt;=9)),$AAE$5:$AAE42),0)))))</f>
        <v/>
      </c>
      <c r="AAG42" s="12">
        <f>AAG41+AAE42-AAF42</f>
        <v/>
      </c>
      <c r="AAH42" s="12">
        <f>IF(ProviderDelay&gt;=1,ZO41*BlendedProvPayEss+ZP41*BlendedProvPayPrem+ZQ41*BlendedProvPayElite+ZR41*BlendedProvPayEss+ZS41*BlendedProvPayPrem+ZT41*BlendedProvPayElite,ZO42*BlendedProvPayEss+ZP42*BlendedProvPayPrem+ZQ42*BlendedProvPayElite+ZR42*BlendedProvPayEss+ZS42*BlendedProvPayPrem+ZT42*BlendedProvPayElite)</f>
        <v/>
      </c>
      <c r="AAI42" s="12">
        <f>AAA42*PaymentFee</f>
        <v/>
      </c>
      <c r="AAJ42" s="12">
        <f>ZU42*OpsAI</f>
        <v/>
      </c>
      <c r="AAK42" s="12">
        <f>MonthlyFixed</f>
        <v/>
      </c>
      <c r="AAL42" s="12">
        <f>ZE42*ReferralReward</f>
        <v/>
      </c>
      <c r="AAM42" s="12">
        <f>ZC42</f>
        <v/>
      </c>
      <c r="AAN42" s="9">
        <f>AAD42-AAH42-AAI42-AAJ42-AAK42-AAL42-AAM42</f>
        <v/>
      </c>
      <c r="AAO42" s="9">
        <f>AAO41+AAA42-(AAH42+AAI42+AAJ42+AAK42+AAL42+AAM42+AAF42)</f>
        <v/>
      </c>
      <c r="AAP42" s="12">
        <f>IF(ZU42&gt;0,ZV42/ZU42,0)</f>
        <v/>
      </c>
      <c r="AAQ42" s="11">
        <f>IF(ZU41&gt;0,MAX(0,(ZU41+ZF42-ZU42)/ZU41),0)</f>
        <v/>
      </c>
      <c r="AAS42" s="12" t="n">
        <v>38</v>
      </c>
      <c r="AAT42" s="12">
        <f>MOD(AAS42-1+LaunchMonth-1,12)+1</f>
        <v/>
      </c>
      <c r="AAU42" s="12">
        <f>INT((AAS42-1+LaunchMonth-1)/12)+1</f>
        <v/>
      </c>
      <c r="AAV42" s="12">
        <f>VLOOKUP(AAT42,SeasonTable,2,FALSE)</f>
        <v/>
      </c>
      <c r="AAW42" s="12">
        <f>(1+InflationRate)^INT((AAS42-1)/12)</f>
        <v/>
      </c>
      <c r="AAX42" s="11">
        <f>MonthlyChurn*VLOOKUP(AAT42,ChurnSeasonTable,4,FALSE)</f>
        <v/>
      </c>
      <c r="AAY42" s="12">
        <f>MIN(MAX(MktMin19plus,ABW41*MktPct19plus),MAX(0,ACK41-CashBuffer))</f>
        <v/>
      </c>
      <c r="AAZ42" s="12">
        <f>IF(AAY42&gt;0,MAX(1,ROUND(AAY42/CAC*AAV42,0)),0)</f>
        <v/>
      </c>
      <c r="ABA42" s="12">
        <f>IF(AAZ42&gt;0,ROUND(AAZ42*ReferralMix/(1-ReferralMix),0),0)</f>
        <v/>
      </c>
      <c r="ABB42" s="12">
        <f>AAZ42+ABA42</f>
        <v/>
      </c>
      <c r="ABC42" s="12">
        <f>ROUND(ABB42*(1-'Sens - Annual Mix'!$A$12),0)</f>
        <v/>
      </c>
      <c r="ABD42" s="12">
        <f>ABB42-ABC42</f>
        <v/>
      </c>
      <c r="ABE42" s="12">
        <f>ROUND(ABC42*EssentialMix,0)</f>
        <v/>
      </c>
      <c r="ABF42" s="12">
        <f>ROUND(ABC42*PremiumMix,0)</f>
        <v/>
      </c>
      <c r="ABG42" s="12">
        <f>ABC42-ABE42-ABF42</f>
        <v/>
      </c>
      <c r="ABH42" s="12">
        <f>ROUND(ABD42*EssentialMix,0)</f>
        <v/>
      </c>
      <c r="ABI42" s="12">
        <f>ROUND(ABD42*PremiumMix,0)</f>
        <v/>
      </c>
      <c r="ABJ42" s="12">
        <f>ABD42-ABH42-ABI42</f>
        <v/>
      </c>
      <c r="ABK42" s="12">
        <f>ABE42+ABE41+ABE40+MAX(0,ABK41-ABE41-ABE40)*(1-AAX42)</f>
        <v/>
      </c>
      <c r="ABL42" s="12">
        <f>ABF42+ABF41+ABF40+MAX(0,ABL41-ABF41-ABF40)*(1-AAX42)</f>
        <v/>
      </c>
      <c r="ABM42" s="12">
        <f>ABG42+ABG41+ABG40+MAX(0,ABM41-ABG41-ABG40)*(1-AAX42)</f>
        <v/>
      </c>
      <c r="ABN42" s="12">
        <f>ABN41+ABH42-ABH30*(AnnualChurn*VLOOKUP(AAT42,ChurnSeasonTable,4,FALSE))*POWER(1-(AnnualChurn*VLOOKUP(AAT42,ChurnSeasonTable,4,FALSE)),0)+ABH18*(AnnualChurn*VLOOKUP(AAT42,ChurnSeasonTable,4,FALSE))*POWER(1-(AnnualChurn*VLOOKUP(AAT42,ChurnSeasonTable,4,FALSE)),1)+ABH6*(AnnualChurn*VLOOKUP(AAT42,ChurnSeasonTable,4,FALSE))*POWER(1-(AnnualChurn*VLOOKUP(AAT42,ChurnSeasonTable,4,FALSE)),2)</f>
        <v/>
      </c>
      <c r="ABO42" s="12">
        <f>ABO41+ABI42-ABI30*(AnnualChurn*VLOOKUP(AAT42,ChurnSeasonTable,4,FALSE))*POWER(1-(AnnualChurn*VLOOKUP(AAT42,ChurnSeasonTable,4,FALSE)),0)+ABI18*(AnnualChurn*VLOOKUP(AAT42,ChurnSeasonTable,4,FALSE))*POWER(1-(AnnualChurn*VLOOKUP(AAT42,ChurnSeasonTable,4,FALSE)),1)+ABI6*(AnnualChurn*VLOOKUP(AAT42,ChurnSeasonTable,4,FALSE))*POWER(1-(AnnualChurn*VLOOKUP(AAT42,ChurnSeasonTable,4,FALSE)),2)</f>
        <v/>
      </c>
      <c r="ABP42" s="12">
        <f>ABP41+ABJ42-ABJ30*(AnnualChurn*VLOOKUP(AAT42,ChurnSeasonTable,4,FALSE))*POWER(1-(AnnualChurn*VLOOKUP(AAT42,ChurnSeasonTable,4,FALSE)),0)+ABJ18*(AnnualChurn*VLOOKUP(AAT42,ChurnSeasonTable,4,FALSE))*POWER(1-(AnnualChurn*VLOOKUP(AAT42,ChurnSeasonTable,4,FALSE)),1)+ABJ6*(AnnualChurn*VLOOKUP(AAT42,ChurnSeasonTable,4,FALSE))*POWER(1-(AnnualChurn*VLOOKUP(AAT42,ChurnSeasonTable,4,FALSE)),2)</f>
        <v/>
      </c>
      <c r="ABQ42" s="12">
        <f>ABK42+ABL42+ABM42+ABN42+ABO42+ABP42</f>
        <v/>
      </c>
      <c r="ABR42" s="9">
        <f>ABK42*BlendedPriceEssMonthly*AAW42+ABL42*BlendedPricePremMonthly*AAW42+ABM42*BlendedPriceEliteMonthly*AAW42+ABN42*BlendedPriceEssAnnual*AAW42/12+ABO42*BlendedPricePremAnnual*AAW42/12+ABP42*BlendedPriceEliteAnnual*AAW42/12</f>
        <v/>
      </c>
      <c r="ABS42" s="9">
        <f>ABR42*12</f>
        <v/>
      </c>
      <c r="ABT42" s="12">
        <f>ABK42*BlendedPriceEssMonthly*AAW42+ABL42*BlendedPricePremMonthly*AAW42+ABM42*BlendedPriceEliteMonthly*AAW42</f>
        <v/>
      </c>
      <c r="ABU42" s="12">
        <f>ABH42*BlendedPriceEssAnnual*AAW42+ABI42*BlendedPricePremAnnual*AAW42+ABJ42*BlendedPriceEliteAnnual*AAW42</f>
        <v/>
      </c>
      <c r="ABV42" s="12">
        <f>ABH30*POWER(1-(AnnualChurn*VLOOKUP(AAT42,ChurnSeasonTable,4,FALSE)),1)*BlendedPriceEssAnnual*AAW42+ABH18*POWER(1-(AnnualChurn*VLOOKUP(AAT42,ChurnSeasonTable,4,FALSE)),2)*BlendedPriceEssAnnual*AAW42+ABH6*POWER(1-(AnnualChurn*VLOOKUP(AAT42,ChurnSeasonTable,4,FALSE)),3)*BlendedPriceEssAnnual*AAW42+ABI30*POWER(1-(AnnualChurn*VLOOKUP(AAT42,ChurnSeasonTable,4,FALSE)),1)*BlendedPricePremAnnual*AAW42+ABI18*POWER(1-(AnnualChurn*VLOOKUP(AAT42,ChurnSeasonTable,4,FALSE)),2)*BlendedPricePremAnnual*AAW42+ABI6*POWER(1-(AnnualChurn*VLOOKUP(AAT42,ChurnSeasonTable,4,FALSE)),3)*BlendedPricePremAnnual*AAW42+ABJ30*POWER(1-(AnnualChurn*VLOOKUP(AAT42,ChurnSeasonTable,4,FALSE)),1)*BlendedPriceEliteAnnual*AAW42+ABJ18*POWER(1-(AnnualChurn*VLOOKUP(AAT42,ChurnSeasonTable,4,FALSE)),2)*BlendedPriceEliteAnnual*AAW42+ABJ6*POWER(1-(AnnualChurn*VLOOKUP(AAT42,ChurnSeasonTable,4,FALSE)),3)*BlendedPriceEliteAnnual*AAW42</f>
        <v/>
      </c>
      <c r="ABW42" s="9">
        <f>ABT42+ABU42+ABV42</f>
        <v/>
      </c>
      <c r="ABX42" s="12">
        <f>SUM(ABW31:ABW42)</f>
        <v/>
      </c>
      <c r="ABY42" s="12">
        <f>OR(ABY41,IF(VATAgentMode,SUM($ABW31:$ABW42)-SUM($ACD31:$ACD42)&gt;=VATThreshold,SUM($ABW31:$ABW42)&gt;=VATThreshold))</f>
        <v/>
      </c>
      <c r="ABZ42" s="9">
        <f>IF(ABY42,IF(VATAgentMode,ABW42-((ABW42-ACD42)-(ABW42-ACD42)/(1+VATRate)),ABW42/(1+VATRate)),ABW42)</f>
        <v/>
      </c>
      <c r="ACA42" s="12">
        <f>ABW42-ABZ42</f>
        <v/>
      </c>
      <c r="ACB42" s="12">
        <f>IF(ABY42=0,0,IF(AAT42=1,SUMPRODUCT(--(($AAU$5:$AAU42=$AAU42-1)*($AAT$5:$AAT42&gt;=10)*($AAT$5:$AAT42&lt;=12)),$ACA$5:$ACA42),IF(AAT42=4,SUMPRODUCT(--(($AAU$5:$AAU42=$AAU42)*($AAT$5:$AAT42&gt;=1)*($AAT$5:$AAT42&lt;=3)),$ACA$5:$ACA42),IF(AAT42=7,SUMPRODUCT(--(($AAU$5:$AAU42=$AAU42)*($AAT$5:$AAT42&gt;=4)*($AAT$5:$AAT42&lt;=6)),$ACA$5:$ACA42),IF(AAT42=10,SUMPRODUCT(--(($AAU$5:$AAU42=$AAU42)*($AAT$5:$AAT42&gt;=7)*($AAT$5:$AAT42&lt;=9)),$ACA$5:$ACA42),0)))))</f>
        <v/>
      </c>
      <c r="ACC42" s="12">
        <f>ACC41+ACA42-ACB42</f>
        <v/>
      </c>
      <c r="ACD42" s="12">
        <f>IF(ProviderDelay&gt;=1,ABK41*BlendedProvPayEss+ABL41*BlendedProvPayPrem+ABM41*BlendedProvPayElite+ABN41*BlendedProvPayEss+ABO41*BlendedProvPayPrem+ABP41*BlendedProvPayElite,ABK42*BlendedProvPayEss+ABL42*BlendedProvPayPrem+ABM42*BlendedProvPayElite+ABN42*BlendedProvPayEss+ABO42*BlendedProvPayPrem+ABP42*BlendedProvPayElite)</f>
        <v/>
      </c>
      <c r="ACE42" s="12">
        <f>ABW42*PaymentFee</f>
        <v/>
      </c>
      <c r="ACF42" s="12">
        <f>ABQ42*OpsAI</f>
        <v/>
      </c>
      <c r="ACG42" s="12">
        <f>MonthlyFixed</f>
        <v/>
      </c>
      <c r="ACH42" s="12">
        <f>ABA42*ReferralReward</f>
        <v/>
      </c>
      <c r="ACI42" s="12">
        <f>AAY42</f>
        <v/>
      </c>
      <c r="ACJ42" s="9">
        <f>ABZ42-ACD42-ACE42-ACF42-ACG42-ACH42-ACI42</f>
        <v/>
      </c>
      <c r="ACK42" s="9">
        <f>ACK41+ABW42-(ACD42+ACE42+ACF42+ACG42+ACH42+ACI42+ACB42)</f>
        <v/>
      </c>
      <c r="ACL42" s="12">
        <f>IF(ABQ42&gt;0,ABR42/ABQ42,0)</f>
        <v/>
      </c>
      <c r="ACM42" s="11">
        <f>IF(ABQ41&gt;0,MAX(0,(ABQ41+ABB42-ABQ42)/ABQ41),0)</f>
        <v/>
      </c>
      <c r="ACO42" s="12" t="n">
        <v>38</v>
      </c>
      <c r="ACP42" s="12">
        <f>MOD(ACO42-1+LaunchMonth-1,12)+1</f>
        <v/>
      </c>
      <c r="ACQ42" s="12">
        <f>INT((ACO42-1+LaunchMonth-1)/12)+1</f>
        <v/>
      </c>
      <c r="ACR42" s="12">
        <f>VLOOKUP(ACP42,SeasonTable,2,FALSE)</f>
        <v/>
      </c>
      <c r="ACS42" s="12">
        <f>(1+InflationRate)^INT((ACO42-1)/12)</f>
        <v/>
      </c>
      <c r="ACT42" s="11">
        <f>MonthlyChurn*VLOOKUP(ACP42,ChurnSeasonTable,4,FALSE)</f>
        <v/>
      </c>
      <c r="ACU42" s="12">
        <f>MIN(MAX(MktMin19plus,ADS41*MktPct19plus),MAX(0,AEG41-CashBuffer))</f>
        <v/>
      </c>
      <c r="ACV42" s="12">
        <f>IF(ACU42&gt;0,MAX(1,ROUND(ACU42/CAC*ACR42,0)),0)</f>
        <v/>
      </c>
      <c r="ACW42" s="12">
        <f>IF(ACV42&gt;0,ROUND(ACV42*ReferralMix/(1-ReferralMix),0),0)</f>
        <v/>
      </c>
      <c r="ACX42" s="12">
        <f>ACV42+ACW42</f>
        <v/>
      </c>
      <c r="ACY42" s="12">
        <f>ROUND(ACX42*(1-'Sens - Annual Mix'!$A$13),0)</f>
        <v/>
      </c>
      <c r="ACZ42" s="12">
        <f>ACX42-ACY42</f>
        <v/>
      </c>
      <c r="ADA42" s="12">
        <f>ROUND(ACY42*EssentialMix,0)</f>
        <v/>
      </c>
      <c r="ADB42" s="12">
        <f>ROUND(ACY42*PremiumMix,0)</f>
        <v/>
      </c>
      <c r="ADC42" s="12">
        <f>ACY42-ADA42-ADB42</f>
        <v/>
      </c>
      <c r="ADD42" s="12">
        <f>ROUND(ACZ42*EssentialMix,0)</f>
        <v/>
      </c>
      <c r="ADE42" s="12">
        <f>ROUND(ACZ42*PremiumMix,0)</f>
        <v/>
      </c>
      <c r="ADF42" s="12">
        <f>ACZ42-ADD42-ADE42</f>
        <v/>
      </c>
      <c r="ADG42" s="12">
        <f>ADA42+ADA41+ADA40+MAX(0,ADG41-ADA41-ADA40)*(1-ACT42)</f>
        <v/>
      </c>
      <c r="ADH42" s="12">
        <f>ADB42+ADB41+ADB40+MAX(0,ADH41-ADB41-ADB40)*(1-ACT42)</f>
        <v/>
      </c>
      <c r="ADI42" s="12">
        <f>ADC42+ADC41+ADC40+MAX(0,ADI41-ADC41-ADC40)*(1-ACT42)</f>
        <v/>
      </c>
      <c r="ADJ42" s="12">
        <f>ADJ41+ADD42-ADD30*(AnnualChurn*VLOOKUP(ACP42,ChurnSeasonTable,4,FALSE))*POWER(1-(AnnualChurn*VLOOKUP(ACP42,ChurnSeasonTable,4,FALSE)),0)+ADD18*(AnnualChurn*VLOOKUP(ACP42,ChurnSeasonTable,4,FALSE))*POWER(1-(AnnualChurn*VLOOKUP(ACP42,ChurnSeasonTable,4,FALSE)),1)+ADD6*(AnnualChurn*VLOOKUP(ACP42,ChurnSeasonTable,4,FALSE))*POWER(1-(AnnualChurn*VLOOKUP(ACP42,ChurnSeasonTable,4,FALSE)),2)</f>
        <v/>
      </c>
      <c r="ADK42" s="12">
        <f>ADK41+ADE42-ADE30*(AnnualChurn*VLOOKUP(ACP42,ChurnSeasonTable,4,FALSE))*POWER(1-(AnnualChurn*VLOOKUP(ACP42,ChurnSeasonTable,4,FALSE)),0)+ADE18*(AnnualChurn*VLOOKUP(ACP42,ChurnSeasonTable,4,FALSE))*POWER(1-(AnnualChurn*VLOOKUP(ACP42,ChurnSeasonTable,4,FALSE)),1)+ADE6*(AnnualChurn*VLOOKUP(ACP42,ChurnSeasonTable,4,FALSE))*POWER(1-(AnnualChurn*VLOOKUP(ACP42,ChurnSeasonTable,4,FALSE)),2)</f>
        <v/>
      </c>
      <c r="ADL42" s="12">
        <f>ADL41+ADF42-ADF30*(AnnualChurn*VLOOKUP(ACP42,ChurnSeasonTable,4,FALSE))*POWER(1-(AnnualChurn*VLOOKUP(ACP42,ChurnSeasonTable,4,FALSE)),0)+ADF18*(AnnualChurn*VLOOKUP(ACP42,ChurnSeasonTable,4,FALSE))*POWER(1-(AnnualChurn*VLOOKUP(ACP42,ChurnSeasonTable,4,FALSE)),1)+ADF6*(AnnualChurn*VLOOKUP(ACP42,ChurnSeasonTable,4,FALSE))*POWER(1-(AnnualChurn*VLOOKUP(ACP42,ChurnSeasonTable,4,FALSE)),2)</f>
        <v/>
      </c>
      <c r="ADM42" s="12">
        <f>ADG42+ADH42+ADI42+ADJ42+ADK42+ADL42</f>
        <v/>
      </c>
      <c r="ADN42" s="9">
        <f>ADG42*BlendedPriceEssMonthly*ACS42+ADH42*BlendedPricePremMonthly*ACS42+ADI42*BlendedPriceEliteMonthly*ACS42+ADJ42*BlendedPriceEssAnnual*ACS42/12+ADK42*BlendedPricePremAnnual*ACS42/12+ADL42*BlendedPriceEliteAnnual*ACS42/12</f>
        <v/>
      </c>
      <c r="ADO42" s="9">
        <f>ADN42*12</f>
        <v/>
      </c>
      <c r="ADP42" s="12">
        <f>ADG42*BlendedPriceEssMonthly*ACS42+ADH42*BlendedPricePremMonthly*ACS42+ADI42*BlendedPriceEliteMonthly*ACS42</f>
        <v/>
      </c>
      <c r="ADQ42" s="12">
        <f>ADD42*BlendedPriceEssAnnual*ACS42+ADE42*BlendedPricePremAnnual*ACS42+ADF42*BlendedPriceEliteAnnual*ACS42</f>
        <v/>
      </c>
      <c r="ADR42" s="12">
        <f>ADD30*POWER(1-(AnnualChurn*VLOOKUP(ACP42,ChurnSeasonTable,4,FALSE)),1)*BlendedPriceEssAnnual*ACS42+ADD18*POWER(1-(AnnualChurn*VLOOKUP(ACP42,ChurnSeasonTable,4,FALSE)),2)*BlendedPriceEssAnnual*ACS42+ADD6*POWER(1-(AnnualChurn*VLOOKUP(ACP42,ChurnSeasonTable,4,FALSE)),3)*BlendedPriceEssAnnual*ACS42+ADE30*POWER(1-(AnnualChurn*VLOOKUP(ACP42,ChurnSeasonTable,4,FALSE)),1)*BlendedPricePremAnnual*ACS42+ADE18*POWER(1-(AnnualChurn*VLOOKUP(ACP42,ChurnSeasonTable,4,FALSE)),2)*BlendedPricePremAnnual*ACS42+ADE6*POWER(1-(AnnualChurn*VLOOKUP(ACP42,ChurnSeasonTable,4,FALSE)),3)*BlendedPricePremAnnual*ACS42+ADF30*POWER(1-(AnnualChurn*VLOOKUP(ACP42,ChurnSeasonTable,4,FALSE)),1)*BlendedPriceEliteAnnual*ACS42+ADF18*POWER(1-(AnnualChurn*VLOOKUP(ACP42,ChurnSeasonTable,4,FALSE)),2)*BlendedPriceEliteAnnual*ACS42+ADF6*POWER(1-(AnnualChurn*VLOOKUP(ACP42,ChurnSeasonTable,4,FALSE)),3)*BlendedPriceEliteAnnual*ACS42</f>
        <v/>
      </c>
      <c r="ADS42" s="9">
        <f>ADP42+ADQ42+ADR42</f>
        <v/>
      </c>
      <c r="ADT42" s="12">
        <f>SUM(ADS31:ADS42)</f>
        <v/>
      </c>
      <c r="ADU42" s="12">
        <f>OR(ADU41,IF(VATAgentMode,SUM($ADS31:$ADS42)-SUM($ADZ31:$ADZ42)&gt;=VATThreshold,SUM($ADS31:$ADS42)&gt;=VATThreshold))</f>
        <v/>
      </c>
      <c r="ADV42" s="9">
        <f>IF(ADU42,IF(VATAgentMode,ADS42-((ADS42-ADZ42)-(ADS42-ADZ42)/(1+VATRate)),ADS42/(1+VATRate)),ADS42)</f>
        <v/>
      </c>
      <c r="ADW42" s="12">
        <f>ADS42-ADV42</f>
        <v/>
      </c>
      <c r="ADX42" s="12">
        <f>IF(ADU42=0,0,IF(ACP42=1,SUMPRODUCT(--(($ACQ$5:$ACQ42=$ACQ42-1)*($ACP$5:$ACP42&gt;=10)*($ACP$5:$ACP42&lt;=12)),$ADW$5:$ADW42),IF(ACP42=4,SUMPRODUCT(--(($ACQ$5:$ACQ42=$ACQ42)*($ACP$5:$ACP42&gt;=1)*($ACP$5:$ACP42&lt;=3)),$ADW$5:$ADW42),IF(ACP42=7,SUMPRODUCT(--(($ACQ$5:$ACQ42=$ACQ42)*($ACP$5:$ACP42&gt;=4)*($ACP$5:$ACP42&lt;=6)),$ADW$5:$ADW42),IF(ACP42=10,SUMPRODUCT(--(($ACQ$5:$ACQ42=$ACQ42)*($ACP$5:$ACP42&gt;=7)*($ACP$5:$ACP42&lt;=9)),$ADW$5:$ADW42),0)))))</f>
        <v/>
      </c>
      <c r="ADY42" s="12">
        <f>ADY41+ADW42-ADX42</f>
        <v/>
      </c>
      <c r="ADZ42" s="12">
        <f>IF(ProviderDelay&gt;=1,ADG41*BlendedProvPayEss+ADH41*BlendedProvPayPrem+ADI41*BlendedProvPayElite+ADJ41*BlendedProvPayEss+ADK41*BlendedProvPayPrem+ADL41*BlendedProvPayElite,ADG42*BlendedProvPayEss+ADH42*BlendedProvPayPrem+ADI42*BlendedProvPayElite+ADJ42*BlendedProvPayEss+ADK42*BlendedProvPayPrem+ADL42*BlendedProvPayElite)</f>
        <v/>
      </c>
      <c r="AEA42" s="12">
        <f>ADS42*PaymentFee</f>
        <v/>
      </c>
      <c r="AEB42" s="12">
        <f>ADM42*OpsAI</f>
        <v/>
      </c>
      <c r="AEC42" s="12">
        <f>MonthlyFixed</f>
        <v/>
      </c>
      <c r="AED42" s="12">
        <f>ACW42*ReferralReward</f>
        <v/>
      </c>
      <c r="AEE42" s="12">
        <f>ACU42</f>
        <v/>
      </c>
      <c r="AEF42" s="9">
        <f>ADV42-ADZ42-AEA42-AEB42-AEC42-AED42-AEE42</f>
        <v/>
      </c>
      <c r="AEG42" s="9">
        <f>AEG41+ADS42-(ADZ42+AEA42+AEB42+AEC42+AED42+AEE42+ADX42)</f>
        <v/>
      </c>
      <c r="AEH42" s="12">
        <f>IF(ADM42&gt;0,ADN42/ADM42,0)</f>
        <v/>
      </c>
      <c r="AEI42" s="11">
        <f>IF(ADM41&gt;0,MAX(0,(ADM41+ACX42-ADM42)/ADM41),0)</f>
        <v/>
      </c>
      <c r="AEK42" s="12" t="n">
        <v>38</v>
      </c>
      <c r="AEL42" s="12">
        <f>MOD(AEK42-1+LaunchMonth-1,12)+1</f>
        <v/>
      </c>
      <c r="AEM42" s="12">
        <f>INT((AEK42-1+LaunchMonth-1)/12)+1</f>
        <v/>
      </c>
      <c r="AEN42" s="12">
        <f>VLOOKUP(AEL42,SeasonTable,2,FALSE)</f>
        <v/>
      </c>
      <c r="AEO42" s="12">
        <f>(1+InflationRate)^INT((AEK42-1)/12)</f>
        <v/>
      </c>
      <c r="AEP42" s="11">
        <f>MonthlyChurn*VLOOKUP(AEL42,ChurnSeasonTable,4,FALSE)</f>
        <v/>
      </c>
      <c r="AEQ42" s="12">
        <f>MIN(MAX(MktMin19plus,AFO41*MktPct19plus),MAX(0,AGC41-CashBuffer))</f>
        <v/>
      </c>
      <c r="AER42" s="12">
        <f>IF(AEQ42&gt;0,MAX(1,ROUND(AEQ42/CAC*AEN42,0)),0)</f>
        <v/>
      </c>
      <c r="AES42" s="12">
        <f>IF(AER42&gt;0,ROUND(AER42*ReferralMix/(1-ReferralMix),0),0)</f>
        <v/>
      </c>
      <c r="AET42" s="12">
        <f>AER42+AES42</f>
        <v/>
      </c>
      <c r="AEU42" s="12">
        <f>ROUND(AET42*(1-'Sens - Annual Mix'!$A$14),0)</f>
        <v/>
      </c>
      <c r="AEV42" s="12">
        <f>AET42-AEU42</f>
        <v/>
      </c>
      <c r="AEW42" s="12">
        <f>ROUND(AEU42*EssentialMix,0)</f>
        <v/>
      </c>
      <c r="AEX42" s="12">
        <f>ROUND(AEU42*PremiumMix,0)</f>
        <v/>
      </c>
      <c r="AEY42" s="12">
        <f>AEU42-AEW42-AEX42</f>
        <v/>
      </c>
      <c r="AEZ42" s="12">
        <f>ROUND(AEV42*EssentialMix,0)</f>
        <v/>
      </c>
      <c r="AFA42" s="12">
        <f>ROUND(AEV42*PremiumMix,0)</f>
        <v/>
      </c>
      <c r="AFB42" s="12">
        <f>AEV42-AEZ42-AFA42</f>
        <v/>
      </c>
      <c r="AFC42" s="12">
        <f>AEW42+AEW41+AEW40+MAX(0,AFC41-AEW41-AEW40)*(1-AEP42)</f>
        <v/>
      </c>
      <c r="AFD42" s="12">
        <f>AEX42+AEX41+AEX40+MAX(0,AFD41-AEX41-AEX40)*(1-AEP42)</f>
        <v/>
      </c>
      <c r="AFE42" s="12">
        <f>AEY42+AEY41+AEY40+MAX(0,AFE41-AEY41-AEY40)*(1-AEP42)</f>
        <v/>
      </c>
      <c r="AFF42" s="12">
        <f>AFF41+AEZ42-AEZ30*(AnnualChurn*VLOOKUP(AEL42,ChurnSeasonTable,4,FALSE))*POWER(1-(AnnualChurn*VLOOKUP(AEL42,ChurnSeasonTable,4,FALSE)),0)+AEZ18*(AnnualChurn*VLOOKUP(AEL42,ChurnSeasonTable,4,FALSE))*POWER(1-(AnnualChurn*VLOOKUP(AEL42,ChurnSeasonTable,4,FALSE)),1)+AEZ6*(AnnualChurn*VLOOKUP(AEL42,ChurnSeasonTable,4,FALSE))*POWER(1-(AnnualChurn*VLOOKUP(AEL42,ChurnSeasonTable,4,FALSE)),2)</f>
        <v/>
      </c>
      <c r="AFG42" s="12">
        <f>AFG41+AFA42-AFA30*(AnnualChurn*VLOOKUP(AEL42,ChurnSeasonTable,4,FALSE))*POWER(1-(AnnualChurn*VLOOKUP(AEL42,ChurnSeasonTable,4,FALSE)),0)+AFA18*(AnnualChurn*VLOOKUP(AEL42,ChurnSeasonTable,4,FALSE))*POWER(1-(AnnualChurn*VLOOKUP(AEL42,ChurnSeasonTable,4,FALSE)),1)+AFA6*(AnnualChurn*VLOOKUP(AEL42,ChurnSeasonTable,4,FALSE))*POWER(1-(AnnualChurn*VLOOKUP(AEL42,ChurnSeasonTable,4,FALSE)),2)</f>
        <v/>
      </c>
      <c r="AFH42" s="12">
        <f>AFH41+AFB42-AFB30*(AnnualChurn*VLOOKUP(AEL42,ChurnSeasonTable,4,FALSE))*POWER(1-(AnnualChurn*VLOOKUP(AEL42,ChurnSeasonTable,4,FALSE)),0)+AFB18*(AnnualChurn*VLOOKUP(AEL42,ChurnSeasonTable,4,FALSE))*POWER(1-(AnnualChurn*VLOOKUP(AEL42,ChurnSeasonTable,4,FALSE)),1)+AFB6*(AnnualChurn*VLOOKUP(AEL42,ChurnSeasonTable,4,FALSE))*POWER(1-(AnnualChurn*VLOOKUP(AEL42,ChurnSeasonTable,4,FALSE)),2)</f>
        <v/>
      </c>
      <c r="AFI42" s="12">
        <f>AFC42+AFD42+AFE42+AFF42+AFG42+AFH42</f>
        <v/>
      </c>
      <c r="AFJ42" s="9">
        <f>AFC42*BlendedPriceEssMonthly*AEO42+AFD42*BlendedPricePremMonthly*AEO42+AFE42*BlendedPriceEliteMonthly*AEO42+AFF42*BlendedPriceEssAnnual*AEO42/12+AFG42*BlendedPricePremAnnual*AEO42/12+AFH42*BlendedPriceEliteAnnual*AEO42/12</f>
        <v/>
      </c>
      <c r="AFK42" s="9">
        <f>AFJ42*12</f>
        <v/>
      </c>
      <c r="AFL42" s="12">
        <f>AFC42*BlendedPriceEssMonthly*AEO42+AFD42*BlendedPricePremMonthly*AEO42+AFE42*BlendedPriceEliteMonthly*AEO42</f>
        <v/>
      </c>
      <c r="AFM42" s="12">
        <f>AEZ42*BlendedPriceEssAnnual*AEO42+AFA42*BlendedPricePremAnnual*AEO42+AFB42*BlendedPriceEliteAnnual*AEO42</f>
        <v/>
      </c>
      <c r="AFN42" s="12">
        <f>AEZ30*POWER(1-(AnnualChurn*VLOOKUP(AEL42,ChurnSeasonTable,4,FALSE)),1)*BlendedPriceEssAnnual*AEO42+AEZ18*POWER(1-(AnnualChurn*VLOOKUP(AEL42,ChurnSeasonTable,4,FALSE)),2)*BlendedPriceEssAnnual*AEO42+AEZ6*POWER(1-(AnnualChurn*VLOOKUP(AEL42,ChurnSeasonTable,4,FALSE)),3)*BlendedPriceEssAnnual*AEO42+AFA30*POWER(1-(AnnualChurn*VLOOKUP(AEL42,ChurnSeasonTable,4,FALSE)),1)*BlendedPricePremAnnual*AEO42+AFA18*POWER(1-(AnnualChurn*VLOOKUP(AEL42,ChurnSeasonTable,4,FALSE)),2)*BlendedPricePremAnnual*AEO42+AFA6*POWER(1-(AnnualChurn*VLOOKUP(AEL42,ChurnSeasonTable,4,FALSE)),3)*BlendedPricePremAnnual*AEO42+AFB30*POWER(1-(AnnualChurn*VLOOKUP(AEL42,ChurnSeasonTable,4,FALSE)),1)*BlendedPriceEliteAnnual*AEO42+AFB18*POWER(1-(AnnualChurn*VLOOKUP(AEL42,ChurnSeasonTable,4,FALSE)),2)*BlendedPriceEliteAnnual*AEO42+AFB6*POWER(1-(AnnualChurn*VLOOKUP(AEL42,ChurnSeasonTable,4,FALSE)),3)*BlendedPriceEliteAnnual*AEO42</f>
        <v/>
      </c>
      <c r="AFO42" s="9">
        <f>AFL42+AFM42+AFN42</f>
        <v/>
      </c>
      <c r="AFP42" s="12">
        <f>SUM(AFO31:AFO42)</f>
        <v/>
      </c>
      <c r="AFQ42" s="12">
        <f>OR(AFQ41,IF(VATAgentMode,SUM($AFO31:$AFO42)-SUM($AFV31:$AFV42)&gt;=VATThreshold,SUM($AFO31:$AFO42)&gt;=VATThreshold))</f>
        <v/>
      </c>
      <c r="AFR42" s="9">
        <f>IF(AFQ42,IF(VATAgentMode,AFO42-((AFO42-AFV42)-(AFO42-AFV42)/(1+VATRate)),AFO42/(1+VATRate)),AFO42)</f>
        <v/>
      </c>
      <c r="AFS42" s="12">
        <f>AFO42-AFR42</f>
        <v/>
      </c>
      <c r="AFT42" s="12">
        <f>IF(AFQ42=0,0,IF(AEL42=1,SUMPRODUCT(--(($AEM$5:$AEM42=$AEM42-1)*($AEL$5:$AEL42&gt;=10)*($AEL$5:$AEL42&lt;=12)),$AFS$5:$AFS42),IF(AEL42=4,SUMPRODUCT(--(($AEM$5:$AEM42=$AEM42)*($AEL$5:$AEL42&gt;=1)*($AEL$5:$AEL42&lt;=3)),$AFS$5:$AFS42),IF(AEL42=7,SUMPRODUCT(--(($AEM$5:$AEM42=$AEM42)*($AEL$5:$AEL42&gt;=4)*($AEL$5:$AEL42&lt;=6)),$AFS$5:$AFS42),IF(AEL42=10,SUMPRODUCT(--(($AEM$5:$AEM42=$AEM42)*($AEL$5:$AEL42&gt;=7)*($AEL$5:$AEL42&lt;=9)),$AFS$5:$AFS42),0)))))</f>
        <v/>
      </c>
      <c r="AFU42" s="12">
        <f>AFU41+AFS42-AFT42</f>
        <v/>
      </c>
      <c r="AFV42" s="12">
        <f>IF(ProviderDelay&gt;=1,AFC41*BlendedProvPayEss+AFD41*BlendedProvPayPrem+AFE41*BlendedProvPayElite+AFF41*BlendedProvPayEss+AFG41*BlendedProvPayPrem+AFH41*BlendedProvPayElite,AFC42*BlendedProvPayEss+AFD42*BlendedProvPayPrem+AFE42*BlendedProvPayElite+AFF42*BlendedProvPayEss+AFG42*BlendedProvPayPrem+AFH42*BlendedProvPayElite)</f>
        <v/>
      </c>
      <c r="AFW42" s="12">
        <f>AFO42*PaymentFee</f>
        <v/>
      </c>
      <c r="AFX42" s="12">
        <f>AFI42*OpsAI</f>
        <v/>
      </c>
      <c r="AFY42" s="12">
        <f>MonthlyFixed</f>
        <v/>
      </c>
      <c r="AFZ42" s="12">
        <f>AES42*ReferralReward</f>
        <v/>
      </c>
      <c r="AGA42" s="12">
        <f>AEQ42</f>
        <v/>
      </c>
      <c r="AGB42" s="9">
        <f>AFR42-AFV42-AFW42-AFX42-AFY42-AFZ42-AGA42</f>
        <v/>
      </c>
      <c r="AGC42" s="9">
        <f>AGC41+AFO42-(AFV42+AFW42+AFX42+AFY42+AFZ42+AGA42+AFT42)</f>
        <v/>
      </c>
      <c r="AGD42" s="12">
        <f>IF(AFI42&gt;0,AFJ42/AFI42,0)</f>
        <v/>
      </c>
      <c r="AGE42" s="11">
        <f>IF(AFI41&gt;0,MAX(0,(AFI41+AET42-AFI42)/AFI41),0)</f>
        <v/>
      </c>
      <c r="AGG42" s="12" t="n">
        <v>38</v>
      </c>
      <c r="AGH42" s="12">
        <f>MOD(AGG42-1+LaunchMonth-1,12)+1</f>
        <v/>
      </c>
      <c r="AGI42" s="12">
        <f>INT((AGG42-1+LaunchMonth-1)/12)+1</f>
        <v/>
      </c>
      <c r="AGJ42" s="12">
        <f>VLOOKUP(AGH42,SeasonTable,2,FALSE)</f>
        <v/>
      </c>
      <c r="AGK42" s="12">
        <f>(1+InflationRate)^INT((AGG42-1)/12)</f>
        <v/>
      </c>
      <c r="AGL42" s="11">
        <f>MonthlyChurn*VLOOKUP(AGH42,ChurnSeasonTable,4,FALSE)</f>
        <v/>
      </c>
      <c r="AGM42" s="12">
        <f>MIN(MAX(MktMin19plus,AHK41*MktPct19plus),MAX(0,AHY41-CashBuffer))</f>
        <v/>
      </c>
      <c r="AGN42" s="12">
        <f>IF(AGM42&gt;0,MAX(1,ROUND(AGM42/CAC*AGJ42,0)),0)</f>
        <v/>
      </c>
      <c r="AGO42" s="12">
        <f>IF(AGN42&gt;0,ROUND(AGN42*ReferralMix/(1-ReferralMix),0),0)</f>
        <v/>
      </c>
      <c r="AGP42" s="12">
        <f>AGN42+AGO42</f>
        <v/>
      </c>
      <c r="AGQ42" s="12">
        <f>ROUND(AGP42*(1-'Sens - Annual Mix'!$A$15),0)</f>
        <v/>
      </c>
      <c r="AGR42" s="12">
        <f>AGP42-AGQ42</f>
        <v/>
      </c>
      <c r="AGS42" s="12">
        <f>ROUND(AGQ42*EssentialMix,0)</f>
        <v/>
      </c>
      <c r="AGT42" s="12">
        <f>ROUND(AGQ42*PremiumMix,0)</f>
        <v/>
      </c>
      <c r="AGU42" s="12">
        <f>AGQ42-AGS42-AGT42</f>
        <v/>
      </c>
      <c r="AGV42" s="12">
        <f>ROUND(AGR42*EssentialMix,0)</f>
        <v/>
      </c>
      <c r="AGW42" s="12">
        <f>ROUND(AGR42*PremiumMix,0)</f>
        <v/>
      </c>
      <c r="AGX42" s="12">
        <f>AGR42-AGV42-AGW42</f>
        <v/>
      </c>
      <c r="AGY42" s="12">
        <f>AGS42+AGS41+AGS40+MAX(0,AGY41-AGS41-AGS40)*(1-AGL42)</f>
        <v/>
      </c>
      <c r="AGZ42" s="12">
        <f>AGT42+AGT41+AGT40+MAX(0,AGZ41-AGT41-AGT40)*(1-AGL42)</f>
        <v/>
      </c>
      <c r="AHA42" s="12">
        <f>AGU42+AGU41+AGU40+MAX(0,AHA41-AGU41-AGU40)*(1-AGL42)</f>
        <v/>
      </c>
      <c r="AHB42" s="12">
        <f>AHB41+AGV42-AGV30*(AnnualChurn*VLOOKUP(AGH42,ChurnSeasonTable,4,FALSE))*POWER(1-(AnnualChurn*VLOOKUP(AGH42,ChurnSeasonTable,4,FALSE)),0)+AGV18*(AnnualChurn*VLOOKUP(AGH42,ChurnSeasonTable,4,FALSE))*POWER(1-(AnnualChurn*VLOOKUP(AGH42,ChurnSeasonTable,4,FALSE)),1)+AGV6*(AnnualChurn*VLOOKUP(AGH42,ChurnSeasonTable,4,FALSE))*POWER(1-(AnnualChurn*VLOOKUP(AGH42,ChurnSeasonTable,4,FALSE)),2)</f>
        <v/>
      </c>
      <c r="AHC42" s="12">
        <f>AHC41+AGW42-AGW30*(AnnualChurn*VLOOKUP(AGH42,ChurnSeasonTable,4,FALSE))*POWER(1-(AnnualChurn*VLOOKUP(AGH42,ChurnSeasonTable,4,FALSE)),0)+AGW18*(AnnualChurn*VLOOKUP(AGH42,ChurnSeasonTable,4,FALSE))*POWER(1-(AnnualChurn*VLOOKUP(AGH42,ChurnSeasonTable,4,FALSE)),1)+AGW6*(AnnualChurn*VLOOKUP(AGH42,ChurnSeasonTable,4,FALSE))*POWER(1-(AnnualChurn*VLOOKUP(AGH42,ChurnSeasonTable,4,FALSE)),2)</f>
        <v/>
      </c>
      <c r="AHD42" s="12">
        <f>AHD41+AGX42-AGX30*(AnnualChurn*VLOOKUP(AGH42,ChurnSeasonTable,4,FALSE))*POWER(1-(AnnualChurn*VLOOKUP(AGH42,ChurnSeasonTable,4,FALSE)),0)+AGX18*(AnnualChurn*VLOOKUP(AGH42,ChurnSeasonTable,4,FALSE))*POWER(1-(AnnualChurn*VLOOKUP(AGH42,ChurnSeasonTable,4,FALSE)),1)+AGX6*(AnnualChurn*VLOOKUP(AGH42,ChurnSeasonTable,4,FALSE))*POWER(1-(AnnualChurn*VLOOKUP(AGH42,ChurnSeasonTable,4,FALSE)),2)</f>
        <v/>
      </c>
      <c r="AHE42" s="12">
        <f>AGY42+AGZ42+AHA42+AHB42+AHC42+AHD42</f>
        <v/>
      </c>
      <c r="AHF42" s="9">
        <f>AGY42*BlendedPriceEssMonthly*AGK42+AGZ42*BlendedPricePremMonthly*AGK42+AHA42*BlendedPriceEliteMonthly*AGK42+AHB42*BlendedPriceEssAnnual*AGK42/12+AHC42*BlendedPricePremAnnual*AGK42/12+AHD42*BlendedPriceEliteAnnual*AGK42/12</f>
        <v/>
      </c>
      <c r="AHG42" s="9">
        <f>AHF42*12</f>
        <v/>
      </c>
      <c r="AHH42" s="12">
        <f>AGY42*BlendedPriceEssMonthly*AGK42+AGZ42*BlendedPricePremMonthly*AGK42+AHA42*BlendedPriceEliteMonthly*AGK42</f>
        <v/>
      </c>
      <c r="AHI42" s="12">
        <f>AGV42*BlendedPriceEssAnnual*AGK42+AGW42*BlendedPricePremAnnual*AGK42+AGX42*BlendedPriceEliteAnnual*AGK42</f>
        <v/>
      </c>
      <c r="AHJ42" s="12">
        <f>AGV30*POWER(1-(AnnualChurn*VLOOKUP(AGH42,ChurnSeasonTable,4,FALSE)),1)*BlendedPriceEssAnnual*AGK42+AGV18*POWER(1-(AnnualChurn*VLOOKUP(AGH42,ChurnSeasonTable,4,FALSE)),2)*BlendedPriceEssAnnual*AGK42+AGV6*POWER(1-(AnnualChurn*VLOOKUP(AGH42,ChurnSeasonTable,4,FALSE)),3)*BlendedPriceEssAnnual*AGK42+AGW30*POWER(1-(AnnualChurn*VLOOKUP(AGH42,ChurnSeasonTable,4,FALSE)),1)*BlendedPricePremAnnual*AGK42+AGW18*POWER(1-(AnnualChurn*VLOOKUP(AGH42,ChurnSeasonTable,4,FALSE)),2)*BlendedPricePremAnnual*AGK42+AGW6*POWER(1-(AnnualChurn*VLOOKUP(AGH42,ChurnSeasonTable,4,FALSE)),3)*BlendedPricePremAnnual*AGK42+AGX30*POWER(1-(AnnualChurn*VLOOKUP(AGH42,ChurnSeasonTable,4,FALSE)),1)*BlendedPriceEliteAnnual*AGK42+AGX18*POWER(1-(AnnualChurn*VLOOKUP(AGH42,ChurnSeasonTable,4,FALSE)),2)*BlendedPriceEliteAnnual*AGK42+AGX6*POWER(1-(AnnualChurn*VLOOKUP(AGH42,ChurnSeasonTable,4,FALSE)),3)*BlendedPriceEliteAnnual*AGK42</f>
        <v/>
      </c>
      <c r="AHK42" s="9">
        <f>AHH42+AHI42+AHJ42</f>
        <v/>
      </c>
      <c r="AHL42" s="12">
        <f>SUM(AHK31:AHK42)</f>
        <v/>
      </c>
      <c r="AHM42" s="12">
        <f>OR(AHM41,IF(VATAgentMode,SUM($AHK31:$AHK42)-SUM($AHR31:$AHR42)&gt;=VATThreshold,SUM($AHK31:$AHK42)&gt;=VATThreshold))</f>
        <v/>
      </c>
      <c r="AHN42" s="9">
        <f>IF(AHM42,IF(VATAgentMode,AHK42-((AHK42-AHR42)-(AHK42-AHR42)/(1+VATRate)),AHK42/(1+VATRate)),AHK42)</f>
        <v/>
      </c>
      <c r="AHO42" s="12">
        <f>AHK42-AHN42</f>
        <v/>
      </c>
      <c r="AHP42" s="12">
        <f>IF(AHM42=0,0,IF(AGH42=1,SUMPRODUCT(--(($AGI$5:$AGI42=$AGI42-1)*($AGH$5:$AGH42&gt;=10)*($AGH$5:$AGH42&lt;=12)),$AHO$5:$AHO42),IF(AGH42=4,SUMPRODUCT(--(($AGI$5:$AGI42=$AGI42)*($AGH$5:$AGH42&gt;=1)*($AGH$5:$AGH42&lt;=3)),$AHO$5:$AHO42),IF(AGH42=7,SUMPRODUCT(--(($AGI$5:$AGI42=$AGI42)*($AGH$5:$AGH42&gt;=4)*($AGH$5:$AGH42&lt;=6)),$AHO$5:$AHO42),IF(AGH42=10,SUMPRODUCT(--(($AGI$5:$AGI42=$AGI42)*($AGH$5:$AGH42&gt;=7)*($AGH$5:$AGH42&lt;=9)),$AHO$5:$AHO42),0)))))</f>
        <v/>
      </c>
      <c r="AHQ42" s="12">
        <f>AHQ41+AHO42-AHP42</f>
        <v/>
      </c>
      <c r="AHR42" s="12">
        <f>IF(ProviderDelay&gt;=1,AGY41*BlendedProvPayEss+AGZ41*BlendedProvPayPrem+AHA41*BlendedProvPayElite+AHB41*BlendedProvPayEss+AHC41*BlendedProvPayPrem+AHD41*BlendedProvPayElite,AGY42*BlendedProvPayEss+AGZ42*BlendedProvPayPrem+AHA42*BlendedProvPayElite+AHB42*BlendedProvPayEss+AHC42*BlendedProvPayPrem+AHD42*BlendedProvPayElite)</f>
        <v/>
      </c>
      <c r="AHS42" s="12">
        <f>AHK42*PaymentFee</f>
        <v/>
      </c>
      <c r="AHT42" s="12">
        <f>AHE42*OpsAI</f>
        <v/>
      </c>
      <c r="AHU42" s="12">
        <f>MonthlyFixed</f>
        <v/>
      </c>
      <c r="AHV42" s="12">
        <f>AGO42*ReferralReward</f>
        <v/>
      </c>
      <c r="AHW42" s="12">
        <f>AGM42</f>
        <v/>
      </c>
      <c r="AHX42" s="9">
        <f>AHN42-AHR42-AHS42-AHT42-AHU42-AHV42-AHW42</f>
        <v/>
      </c>
      <c r="AHY42" s="9">
        <f>AHY41+AHK42-(AHR42+AHS42+AHT42+AHU42+AHV42+AHW42+AHP42)</f>
        <v/>
      </c>
      <c r="AHZ42" s="12">
        <f>IF(AHE42&gt;0,AHF42/AHE42,0)</f>
        <v/>
      </c>
      <c r="AIA42" s="11">
        <f>IF(AHE41&gt;0,MAX(0,(AHE41+AGP42-AHE42)/AHE41),0)</f>
        <v/>
      </c>
      <c r="AIC42" s="12" t="n">
        <v>38</v>
      </c>
      <c r="AID42" s="12">
        <f>MOD(AIC42-1+LaunchMonth-1,12)+1</f>
        <v/>
      </c>
      <c r="AIE42" s="12">
        <f>INT((AIC42-1+LaunchMonth-1)/12)+1</f>
        <v/>
      </c>
      <c r="AIF42" s="12">
        <f>VLOOKUP(AID42,SeasonTable,2,FALSE)</f>
        <v/>
      </c>
      <c r="AIG42" s="12">
        <f>(1+InflationRate)^INT((AIC42-1)/12)</f>
        <v/>
      </c>
      <c r="AIH42" s="11">
        <f>MonthlyChurn*VLOOKUP(AID42,ChurnSeasonTable,4,FALSE)</f>
        <v/>
      </c>
      <c r="AII42" s="12">
        <f>MIN(MAX(MktMin19plus,AJG41*MktPct19plus),MAX(0,AJU41-CashBuffer))</f>
        <v/>
      </c>
      <c r="AIJ42" s="12">
        <f>IF(AII42&gt;0,MAX(1,ROUND(AII42/'Sens - CAC &amp; Marketing'!$A$9*AIF42,0)),0)</f>
        <v/>
      </c>
      <c r="AIK42" s="12">
        <f>IF(AIJ42&gt;0,ROUND(AIJ42*ReferralMix/(1-ReferralMix),0),0)</f>
        <v/>
      </c>
      <c r="AIL42" s="12">
        <f>AIJ42+AIK42</f>
        <v/>
      </c>
      <c r="AIM42" s="12">
        <f>ROUND(AIL42*(1-AnnualMix),0)</f>
        <v/>
      </c>
      <c r="AIN42" s="12">
        <f>AIL42-AIM42</f>
        <v/>
      </c>
      <c r="AIO42" s="12">
        <f>ROUND(AIM42*EssentialMix,0)</f>
        <v/>
      </c>
      <c r="AIP42" s="12">
        <f>ROUND(AIM42*PremiumMix,0)</f>
        <v/>
      </c>
      <c r="AIQ42" s="12">
        <f>AIM42-AIO42-AIP42</f>
        <v/>
      </c>
      <c r="AIR42" s="12">
        <f>ROUND(AIN42*EssentialMix,0)</f>
        <v/>
      </c>
      <c r="AIS42" s="12">
        <f>ROUND(AIN42*PremiumMix,0)</f>
        <v/>
      </c>
      <c r="AIT42" s="12">
        <f>AIN42-AIR42-AIS42</f>
        <v/>
      </c>
      <c r="AIU42" s="12">
        <f>AIO42+AIO41+AIO40+MAX(0,AIU41-AIO41-AIO40)*(1-AIH42)</f>
        <v/>
      </c>
      <c r="AIV42" s="12">
        <f>AIP42+AIP41+AIP40+MAX(0,AIV41-AIP41-AIP40)*(1-AIH42)</f>
        <v/>
      </c>
      <c r="AIW42" s="12">
        <f>AIQ42+AIQ41+AIQ40+MAX(0,AIW41-AIQ41-AIQ40)*(1-AIH42)</f>
        <v/>
      </c>
      <c r="AIX42" s="12">
        <f>AIX41+AIR42-AIR30*(AnnualChurn*VLOOKUP(AID42,ChurnSeasonTable,4,FALSE))*POWER(1-(AnnualChurn*VLOOKUP(AID42,ChurnSeasonTable,4,FALSE)),0)+AIR18*(AnnualChurn*VLOOKUP(AID42,ChurnSeasonTable,4,FALSE))*POWER(1-(AnnualChurn*VLOOKUP(AID42,ChurnSeasonTable,4,FALSE)),1)+AIR6*(AnnualChurn*VLOOKUP(AID42,ChurnSeasonTable,4,FALSE))*POWER(1-(AnnualChurn*VLOOKUP(AID42,ChurnSeasonTable,4,FALSE)),2)</f>
        <v/>
      </c>
      <c r="AIY42" s="12">
        <f>AIY41+AIS42-AIS30*(AnnualChurn*VLOOKUP(AID42,ChurnSeasonTable,4,FALSE))*POWER(1-(AnnualChurn*VLOOKUP(AID42,ChurnSeasonTable,4,FALSE)),0)+AIS18*(AnnualChurn*VLOOKUP(AID42,ChurnSeasonTable,4,FALSE))*POWER(1-(AnnualChurn*VLOOKUP(AID42,ChurnSeasonTable,4,FALSE)),1)+AIS6*(AnnualChurn*VLOOKUP(AID42,ChurnSeasonTable,4,FALSE))*POWER(1-(AnnualChurn*VLOOKUP(AID42,ChurnSeasonTable,4,FALSE)),2)</f>
        <v/>
      </c>
      <c r="AIZ42" s="12">
        <f>AIZ41+AIT42-AIT30*(AnnualChurn*VLOOKUP(AID42,ChurnSeasonTable,4,FALSE))*POWER(1-(AnnualChurn*VLOOKUP(AID42,ChurnSeasonTable,4,FALSE)),0)+AIT18*(AnnualChurn*VLOOKUP(AID42,ChurnSeasonTable,4,FALSE))*POWER(1-(AnnualChurn*VLOOKUP(AID42,ChurnSeasonTable,4,FALSE)),1)+AIT6*(AnnualChurn*VLOOKUP(AID42,ChurnSeasonTable,4,FALSE))*POWER(1-(AnnualChurn*VLOOKUP(AID42,ChurnSeasonTable,4,FALSE)),2)</f>
        <v/>
      </c>
      <c r="AJA42" s="12">
        <f>AIU42+AIV42+AIW42+AIX42+AIY42+AIZ42</f>
        <v/>
      </c>
      <c r="AJB42" s="9">
        <f>AIU42*BlendedPriceEssMonthly*AIG42+AIV42*BlendedPricePremMonthly*AIG42+AIW42*BlendedPriceEliteMonthly*AIG42+AIX42*BlendedPriceEssAnnual*AIG42/12+AIY42*BlendedPricePremAnnual*AIG42/12+AIZ42*BlendedPriceEliteAnnual*AIG42/12</f>
        <v/>
      </c>
      <c r="AJC42" s="9">
        <f>AJB42*12</f>
        <v/>
      </c>
      <c r="AJD42" s="12">
        <f>AIU42*BlendedPriceEssMonthly*AIG42+AIV42*BlendedPricePremMonthly*AIG42+AIW42*BlendedPriceEliteMonthly*AIG42</f>
        <v/>
      </c>
      <c r="AJE42" s="12">
        <f>AIR42*BlendedPriceEssAnnual*AIG42+AIS42*BlendedPricePremAnnual*AIG42+AIT42*BlendedPriceEliteAnnual*AIG42</f>
        <v/>
      </c>
      <c r="AJF42" s="12">
        <f>AIR30*POWER(1-(AnnualChurn*VLOOKUP(AID42,ChurnSeasonTable,4,FALSE)),1)*BlendedPriceEssAnnual*AIG42+AIR18*POWER(1-(AnnualChurn*VLOOKUP(AID42,ChurnSeasonTable,4,FALSE)),2)*BlendedPriceEssAnnual*AIG42+AIR6*POWER(1-(AnnualChurn*VLOOKUP(AID42,ChurnSeasonTable,4,FALSE)),3)*BlendedPriceEssAnnual*AIG42+AIS30*POWER(1-(AnnualChurn*VLOOKUP(AID42,ChurnSeasonTable,4,FALSE)),1)*BlendedPricePremAnnual*AIG42+AIS18*POWER(1-(AnnualChurn*VLOOKUP(AID42,ChurnSeasonTable,4,FALSE)),2)*BlendedPricePremAnnual*AIG42+AIS6*POWER(1-(AnnualChurn*VLOOKUP(AID42,ChurnSeasonTable,4,FALSE)),3)*BlendedPricePremAnnual*AIG42+AIT30*POWER(1-(AnnualChurn*VLOOKUP(AID42,ChurnSeasonTable,4,FALSE)),1)*BlendedPriceEliteAnnual*AIG42+AIT18*POWER(1-(AnnualChurn*VLOOKUP(AID42,ChurnSeasonTable,4,FALSE)),2)*BlendedPriceEliteAnnual*AIG42+AIT6*POWER(1-(AnnualChurn*VLOOKUP(AID42,ChurnSeasonTable,4,FALSE)),3)*BlendedPriceEliteAnnual*AIG42</f>
        <v/>
      </c>
      <c r="AJG42" s="9">
        <f>AJD42+AJE42+AJF42</f>
        <v/>
      </c>
      <c r="AJH42" s="12">
        <f>SUM(AJG31:AJG42)</f>
        <v/>
      </c>
      <c r="AJI42" s="12">
        <f>OR(AJI41,IF(VATAgentMode,SUM($AJG31:$AJG42)-SUM($AJN31:$AJN42)&gt;=VATThreshold,SUM($AJG31:$AJG42)&gt;=VATThreshold))</f>
        <v/>
      </c>
      <c r="AJJ42" s="9">
        <f>IF(AJI42,IF(VATAgentMode,AJG42-((AJG42-AJN42)-(AJG42-AJN42)/(1+VATRate)),AJG42/(1+VATRate)),AJG42)</f>
        <v/>
      </c>
      <c r="AJK42" s="12">
        <f>AJG42-AJJ42</f>
        <v/>
      </c>
      <c r="AJL42" s="12">
        <f>IF(AJI42=0,0,IF(AID42=1,SUMPRODUCT(--(($AIE$5:$AIE42=$AIE42-1)*($AID$5:$AID42&gt;=10)*($AID$5:$AID42&lt;=12)),$AJK$5:$AJK42),IF(AID42=4,SUMPRODUCT(--(($AIE$5:$AIE42=$AIE42)*($AID$5:$AID42&gt;=1)*($AID$5:$AID42&lt;=3)),$AJK$5:$AJK42),IF(AID42=7,SUMPRODUCT(--(($AIE$5:$AIE42=$AIE42)*($AID$5:$AID42&gt;=4)*($AID$5:$AID42&lt;=6)),$AJK$5:$AJK42),IF(AID42=10,SUMPRODUCT(--(($AIE$5:$AIE42=$AIE42)*($AID$5:$AID42&gt;=7)*($AID$5:$AID42&lt;=9)),$AJK$5:$AJK42),0)))))</f>
        <v/>
      </c>
      <c r="AJM42" s="12">
        <f>AJM41+AJK42-AJL42</f>
        <v/>
      </c>
      <c r="AJN42" s="12">
        <f>IF(ProviderDelay&gt;=1,AIU41*BlendedProvPayEss+AIV41*BlendedProvPayPrem+AIW41*BlendedProvPayElite+AIX41*BlendedProvPayEss+AIY41*BlendedProvPayPrem+AIZ41*BlendedProvPayElite,AIU42*BlendedProvPayEss+AIV42*BlendedProvPayPrem+AIW42*BlendedProvPayElite+AIX42*BlendedProvPayEss+AIY42*BlendedProvPayPrem+AIZ42*BlendedProvPayElite)</f>
        <v/>
      </c>
      <c r="AJO42" s="12">
        <f>AJG42*PaymentFee</f>
        <v/>
      </c>
      <c r="AJP42" s="12">
        <f>AJA42*OpsAI</f>
        <v/>
      </c>
      <c r="AJQ42" s="12">
        <f>MonthlyFixed</f>
        <v/>
      </c>
      <c r="AJR42" s="12">
        <f>AIK42*ReferralReward</f>
        <v/>
      </c>
      <c r="AJS42" s="12">
        <f>AII42</f>
        <v/>
      </c>
      <c r="AJT42" s="9">
        <f>AJJ42-AJN42-AJO42-AJP42-AJQ42-AJR42-AJS42</f>
        <v/>
      </c>
      <c r="AJU42" s="9">
        <f>AJU41+AJG42-(AJN42+AJO42+AJP42+AJQ42+AJR42+AJS42+AJL42)</f>
        <v/>
      </c>
      <c r="AJV42" s="12">
        <f>IF(AJA42&gt;0,AJB42/AJA42,0)</f>
        <v/>
      </c>
      <c r="AJW42" s="11">
        <f>IF(AJA41&gt;0,MAX(0,(AJA41+AIL42-AJA42)/AJA41),0)</f>
        <v/>
      </c>
      <c r="AJY42" s="12" t="n">
        <v>38</v>
      </c>
      <c r="AJZ42" s="12">
        <f>MOD(AJY42-1+LaunchMonth-1,12)+1</f>
        <v/>
      </c>
      <c r="AKA42" s="12">
        <f>INT((AJY42-1+LaunchMonth-1)/12)+1</f>
        <v/>
      </c>
      <c r="AKB42" s="12">
        <f>VLOOKUP(AJZ42,SeasonTable,2,FALSE)</f>
        <v/>
      </c>
      <c r="AKC42" s="12">
        <f>(1+InflationRate)^INT((AJY42-1)/12)</f>
        <v/>
      </c>
      <c r="AKD42" s="11">
        <f>MonthlyChurn*VLOOKUP(AJZ42,ChurnSeasonTable,4,FALSE)</f>
        <v/>
      </c>
      <c r="AKE42" s="12">
        <f>MIN(MAX(MktMin19plus,ALC41*MktPct19plus),MAX(0,ALQ41-CashBuffer))</f>
        <v/>
      </c>
      <c r="AKF42" s="12">
        <f>IF(AKE42&gt;0,MAX(1,ROUND(AKE42/'Sens - CAC &amp; Marketing'!$A$10*AKB42,0)),0)</f>
        <v/>
      </c>
      <c r="AKG42" s="12">
        <f>IF(AKF42&gt;0,ROUND(AKF42*ReferralMix/(1-ReferralMix),0),0)</f>
        <v/>
      </c>
      <c r="AKH42" s="12">
        <f>AKF42+AKG42</f>
        <v/>
      </c>
      <c r="AKI42" s="12">
        <f>ROUND(AKH42*(1-AnnualMix),0)</f>
        <v/>
      </c>
      <c r="AKJ42" s="12">
        <f>AKH42-AKI42</f>
        <v/>
      </c>
      <c r="AKK42" s="12">
        <f>ROUND(AKI42*EssentialMix,0)</f>
        <v/>
      </c>
      <c r="AKL42" s="12">
        <f>ROUND(AKI42*PremiumMix,0)</f>
        <v/>
      </c>
      <c r="AKM42" s="12">
        <f>AKI42-AKK42-AKL42</f>
        <v/>
      </c>
      <c r="AKN42" s="12">
        <f>ROUND(AKJ42*EssentialMix,0)</f>
        <v/>
      </c>
      <c r="AKO42" s="12">
        <f>ROUND(AKJ42*PremiumMix,0)</f>
        <v/>
      </c>
      <c r="AKP42" s="12">
        <f>AKJ42-AKN42-AKO42</f>
        <v/>
      </c>
      <c r="AKQ42" s="12">
        <f>AKK42+AKK41+AKK40+MAX(0,AKQ41-AKK41-AKK40)*(1-AKD42)</f>
        <v/>
      </c>
      <c r="AKR42" s="12">
        <f>AKL42+AKL41+AKL40+MAX(0,AKR41-AKL41-AKL40)*(1-AKD42)</f>
        <v/>
      </c>
      <c r="AKS42" s="12">
        <f>AKM42+AKM41+AKM40+MAX(0,AKS41-AKM41-AKM40)*(1-AKD42)</f>
        <v/>
      </c>
      <c r="AKT42" s="12">
        <f>AKT41+AKN42-AKN30*(AnnualChurn*VLOOKUP(AJZ42,ChurnSeasonTable,4,FALSE))*POWER(1-(AnnualChurn*VLOOKUP(AJZ42,ChurnSeasonTable,4,FALSE)),0)+AKN18*(AnnualChurn*VLOOKUP(AJZ42,ChurnSeasonTable,4,FALSE))*POWER(1-(AnnualChurn*VLOOKUP(AJZ42,ChurnSeasonTable,4,FALSE)),1)+AKN6*(AnnualChurn*VLOOKUP(AJZ42,ChurnSeasonTable,4,FALSE))*POWER(1-(AnnualChurn*VLOOKUP(AJZ42,ChurnSeasonTable,4,FALSE)),2)</f>
        <v/>
      </c>
      <c r="AKU42" s="12">
        <f>AKU41+AKO42-AKO30*(AnnualChurn*VLOOKUP(AJZ42,ChurnSeasonTable,4,FALSE))*POWER(1-(AnnualChurn*VLOOKUP(AJZ42,ChurnSeasonTable,4,FALSE)),0)+AKO18*(AnnualChurn*VLOOKUP(AJZ42,ChurnSeasonTable,4,FALSE))*POWER(1-(AnnualChurn*VLOOKUP(AJZ42,ChurnSeasonTable,4,FALSE)),1)+AKO6*(AnnualChurn*VLOOKUP(AJZ42,ChurnSeasonTable,4,FALSE))*POWER(1-(AnnualChurn*VLOOKUP(AJZ42,ChurnSeasonTable,4,FALSE)),2)</f>
        <v/>
      </c>
      <c r="AKV42" s="12">
        <f>AKV41+AKP42-AKP30*(AnnualChurn*VLOOKUP(AJZ42,ChurnSeasonTable,4,FALSE))*POWER(1-(AnnualChurn*VLOOKUP(AJZ42,ChurnSeasonTable,4,FALSE)),0)+AKP18*(AnnualChurn*VLOOKUP(AJZ42,ChurnSeasonTable,4,FALSE))*POWER(1-(AnnualChurn*VLOOKUP(AJZ42,ChurnSeasonTable,4,FALSE)),1)+AKP6*(AnnualChurn*VLOOKUP(AJZ42,ChurnSeasonTable,4,FALSE))*POWER(1-(AnnualChurn*VLOOKUP(AJZ42,ChurnSeasonTable,4,FALSE)),2)</f>
        <v/>
      </c>
      <c r="AKW42" s="12">
        <f>AKQ42+AKR42+AKS42+AKT42+AKU42+AKV42</f>
        <v/>
      </c>
      <c r="AKX42" s="9">
        <f>AKQ42*BlendedPriceEssMonthly*AKC42+AKR42*BlendedPricePremMonthly*AKC42+AKS42*BlendedPriceEliteMonthly*AKC42+AKT42*BlendedPriceEssAnnual*AKC42/12+AKU42*BlendedPricePremAnnual*AKC42/12+AKV42*BlendedPriceEliteAnnual*AKC42/12</f>
        <v/>
      </c>
      <c r="AKY42" s="9">
        <f>AKX42*12</f>
        <v/>
      </c>
      <c r="AKZ42" s="12">
        <f>AKQ42*BlendedPriceEssMonthly*AKC42+AKR42*BlendedPricePremMonthly*AKC42+AKS42*BlendedPriceEliteMonthly*AKC42</f>
        <v/>
      </c>
      <c r="ALA42" s="12">
        <f>AKN42*BlendedPriceEssAnnual*AKC42+AKO42*BlendedPricePremAnnual*AKC42+AKP42*BlendedPriceEliteAnnual*AKC42</f>
        <v/>
      </c>
      <c r="ALB42" s="12">
        <f>AKN30*POWER(1-(AnnualChurn*VLOOKUP(AJZ42,ChurnSeasonTable,4,FALSE)),1)*BlendedPriceEssAnnual*AKC42+AKN18*POWER(1-(AnnualChurn*VLOOKUP(AJZ42,ChurnSeasonTable,4,FALSE)),2)*BlendedPriceEssAnnual*AKC42+AKN6*POWER(1-(AnnualChurn*VLOOKUP(AJZ42,ChurnSeasonTable,4,FALSE)),3)*BlendedPriceEssAnnual*AKC42+AKO30*POWER(1-(AnnualChurn*VLOOKUP(AJZ42,ChurnSeasonTable,4,FALSE)),1)*BlendedPricePremAnnual*AKC42+AKO18*POWER(1-(AnnualChurn*VLOOKUP(AJZ42,ChurnSeasonTable,4,FALSE)),2)*BlendedPricePremAnnual*AKC42+AKO6*POWER(1-(AnnualChurn*VLOOKUP(AJZ42,ChurnSeasonTable,4,FALSE)),3)*BlendedPricePremAnnual*AKC42+AKP30*POWER(1-(AnnualChurn*VLOOKUP(AJZ42,ChurnSeasonTable,4,FALSE)),1)*BlendedPriceEliteAnnual*AKC42+AKP18*POWER(1-(AnnualChurn*VLOOKUP(AJZ42,ChurnSeasonTable,4,FALSE)),2)*BlendedPriceEliteAnnual*AKC42+AKP6*POWER(1-(AnnualChurn*VLOOKUP(AJZ42,ChurnSeasonTable,4,FALSE)),3)*BlendedPriceEliteAnnual*AKC42</f>
        <v/>
      </c>
      <c r="ALC42" s="9">
        <f>AKZ42+ALA42+ALB42</f>
        <v/>
      </c>
      <c r="ALD42" s="12">
        <f>SUM(ALC31:ALC42)</f>
        <v/>
      </c>
      <c r="ALE42" s="12">
        <f>OR(ALE41,IF(VATAgentMode,SUM($ALC31:$ALC42)-SUM($ALJ31:$ALJ42)&gt;=VATThreshold,SUM($ALC31:$ALC42)&gt;=VATThreshold))</f>
        <v/>
      </c>
      <c r="ALF42" s="9">
        <f>IF(ALE42,IF(VATAgentMode,ALC42-((ALC42-ALJ42)-(ALC42-ALJ42)/(1+VATRate)),ALC42/(1+VATRate)),ALC42)</f>
        <v/>
      </c>
      <c r="ALG42" s="12">
        <f>ALC42-ALF42</f>
        <v/>
      </c>
      <c r="ALH42" s="12">
        <f>IF(ALE42=0,0,IF(AJZ42=1,SUMPRODUCT(--(($AKA$5:$AKA42=$AKA42-1)*($AJZ$5:$AJZ42&gt;=10)*($AJZ$5:$AJZ42&lt;=12)),$ALG$5:$ALG42),IF(AJZ42=4,SUMPRODUCT(--(($AKA$5:$AKA42=$AKA42)*($AJZ$5:$AJZ42&gt;=1)*($AJZ$5:$AJZ42&lt;=3)),$ALG$5:$ALG42),IF(AJZ42=7,SUMPRODUCT(--(($AKA$5:$AKA42=$AKA42)*($AJZ$5:$AJZ42&gt;=4)*($AJZ$5:$AJZ42&lt;=6)),$ALG$5:$ALG42),IF(AJZ42=10,SUMPRODUCT(--(($AKA$5:$AKA42=$AKA42)*($AJZ$5:$AJZ42&gt;=7)*($AJZ$5:$AJZ42&lt;=9)),$ALG$5:$ALG42),0)))))</f>
        <v/>
      </c>
      <c r="ALI42" s="12">
        <f>ALI41+ALG42-ALH42</f>
        <v/>
      </c>
      <c r="ALJ42" s="12">
        <f>IF(ProviderDelay&gt;=1,AKQ41*BlendedProvPayEss+AKR41*BlendedProvPayPrem+AKS41*BlendedProvPayElite+AKT41*BlendedProvPayEss+AKU41*BlendedProvPayPrem+AKV41*BlendedProvPayElite,AKQ42*BlendedProvPayEss+AKR42*BlendedProvPayPrem+AKS42*BlendedProvPayElite+AKT42*BlendedProvPayEss+AKU42*BlendedProvPayPrem+AKV42*BlendedProvPayElite)</f>
        <v/>
      </c>
      <c r="ALK42" s="12">
        <f>ALC42*PaymentFee</f>
        <v/>
      </c>
      <c r="ALL42" s="12">
        <f>AKW42*OpsAI</f>
        <v/>
      </c>
      <c r="ALM42" s="12">
        <f>MonthlyFixed</f>
        <v/>
      </c>
      <c r="ALN42" s="12">
        <f>AKG42*ReferralReward</f>
        <v/>
      </c>
      <c r="ALO42" s="12">
        <f>AKE42</f>
        <v/>
      </c>
      <c r="ALP42" s="9">
        <f>ALF42-ALJ42-ALK42-ALL42-ALM42-ALN42-ALO42</f>
        <v/>
      </c>
      <c r="ALQ42" s="9">
        <f>ALQ41+ALC42-(ALJ42+ALK42+ALL42+ALM42+ALN42+ALO42+ALH42)</f>
        <v/>
      </c>
      <c r="ALR42" s="12">
        <f>IF(AKW42&gt;0,AKX42/AKW42,0)</f>
        <v/>
      </c>
      <c r="ALS42" s="11">
        <f>IF(AKW41&gt;0,MAX(0,(AKW41+AKH42-AKW42)/AKW41),0)</f>
        <v/>
      </c>
      <c r="ALU42" s="12" t="n">
        <v>38</v>
      </c>
      <c r="ALV42" s="12">
        <f>MOD(ALU42-1+LaunchMonth-1,12)+1</f>
        <v/>
      </c>
      <c r="ALW42" s="12">
        <f>INT((ALU42-1+LaunchMonth-1)/12)+1</f>
        <v/>
      </c>
      <c r="ALX42" s="12">
        <f>VLOOKUP(ALV42,SeasonTable,2,FALSE)</f>
        <v/>
      </c>
      <c r="ALY42" s="12">
        <f>(1+InflationRate)^INT((ALU42-1)/12)</f>
        <v/>
      </c>
      <c r="ALZ42" s="11">
        <f>MonthlyChurn*VLOOKUP(ALV42,ChurnSeasonTable,4,FALSE)</f>
        <v/>
      </c>
      <c r="AMA42" s="12">
        <f>MIN(MAX(MktMin19plus,AMY41*MktPct19plus),MAX(0,ANM41-CashBuffer))</f>
        <v/>
      </c>
      <c r="AMB42" s="12">
        <f>IF(AMA42&gt;0,MAX(1,ROUND(AMA42/'Sens - CAC &amp; Marketing'!$A$11*ALX42,0)),0)</f>
        <v/>
      </c>
      <c r="AMC42" s="12">
        <f>IF(AMB42&gt;0,ROUND(AMB42*ReferralMix/(1-ReferralMix),0),0)</f>
        <v/>
      </c>
      <c r="AMD42" s="12">
        <f>AMB42+AMC42</f>
        <v/>
      </c>
      <c r="AME42" s="12">
        <f>ROUND(AMD42*(1-AnnualMix),0)</f>
        <v/>
      </c>
      <c r="AMF42" s="12">
        <f>AMD42-AME42</f>
        <v/>
      </c>
      <c r="AMG42" s="12">
        <f>ROUND(AME42*EssentialMix,0)</f>
        <v/>
      </c>
      <c r="AMH42" s="12">
        <f>ROUND(AME42*PremiumMix,0)</f>
        <v/>
      </c>
      <c r="AMI42" s="12">
        <f>AME42-AMG42-AMH42</f>
        <v/>
      </c>
      <c r="AMJ42" s="12">
        <f>ROUND(AMF42*EssentialMix,0)</f>
        <v/>
      </c>
      <c r="AMK42" s="12">
        <f>ROUND(AMF42*PremiumMix,0)</f>
        <v/>
      </c>
      <c r="AML42" s="12">
        <f>AMF42-AMJ42-AMK42</f>
        <v/>
      </c>
      <c r="AMM42" s="12">
        <f>AMG42+AMG41+AMG40+MAX(0,AMM41-AMG41-AMG40)*(1-ALZ42)</f>
        <v/>
      </c>
      <c r="AMN42" s="12">
        <f>AMH42+AMH41+AMH40+MAX(0,AMN41-AMH41-AMH40)*(1-ALZ42)</f>
        <v/>
      </c>
      <c r="AMO42" s="12">
        <f>AMI42+AMI41+AMI40+MAX(0,AMO41-AMI41-AMI40)*(1-ALZ42)</f>
        <v/>
      </c>
      <c r="AMP42" s="12">
        <f>AMP41+AMJ42-AMJ30*(AnnualChurn*VLOOKUP(ALV42,ChurnSeasonTable,4,FALSE))*POWER(1-(AnnualChurn*VLOOKUP(ALV42,ChurnSeasonTable,4,FALSE)),0)+AMJ18*(AnnualChurn*VLOOKUP(ALV42,ChurnSeasonTable,4,FALSE))*POWER(1-(AnnualChurn*VLOOKUP(ALV42,ChurnSeasonTable,4,FALSE)),1)+AMJ6*(AnnualChurn*VLOOKUP(ALV42,ChurnSeasonTable,4,FALSE))*POWER(1-(AnnualChurn*VLOOKUP(ALV42,ChurnSeasonTable,4,FALSE)),2)</f>
        <v/>
      </c>
      <c r="AMQ42" s="12">
        <f>AMQ41+AMK42-AMK30*(AnnualChurn*VLOOKUP(ALV42,ChurnSeasonTable,4,FALSE))*POWER(1-(AnnualChurn*VLOOKUP(ALV42,ChurnSeasonTable,4,FALSE)),0)+AMK18*(AnnualChurn*VLOOKUP(ALV42,ChurnSeasonTable,4,FALSE))*POWER(1-(AnnualChurn*VLOOKUP(ALV42,ChurnSeasonTable,4,FALSE)),1)+AMK6*(AnnualChurn*VLOOKUP(ALV42,ChurnSeasonTable,4,FALSE))*POWER(1-(AnnualChurn*VLOOKUP(ALV42,ChurnSeasonTable,4,FALSE)),2)</f>
        <v/>
      </c>
      <c r="AMR42" s="12">
        <f>AMR41+AML42-AML30*(AnnualChurn*VLOOKUP(ALV42,ChurnSeasonTable,4,FALSE))*POWER(1-(AnnualChurn*VLOOKUP(ALV42,ChurnSeasonTable,4,FALSE)),0)+AML18*(AnnualChurn*VLOOKUP(ALV42,ChurnSeasonTable,4,FALSE))*POWER(1-(AnnualChurn*VLOOKUP(ALV42,ChurnSeasonTable,4,FALSE)),1)+AML6*(AnnualChurn*VLOOKUP(ALV42,ChurnSeasonTable,4,FALSE))*POWER(1-(AnnualChurn*VLOOKUP(ALV42,ChurnSeasonTable,4,FALSE)),2)</f>
        <v/>
      </c>
      <c r="AMS42" s="12">
        <f>AMM42+AMN42+AMO42+AMP42+AMQ42+AMR42</f>
        <v/>
      </c>
      <c r="AMT42" s="9">
        <f>AMM42*BlendedPriceEssMonthly*ALY42+AMN42*BlendedPricePremMonthly*ALY42+AMO42*BlendedPriceEliteMonthly*ALY42+AMP42*BlendedPriceEssAnnual*ALY42/12+AMQ42*BlendedPricePremAnnual*ALY42/12+AMR42*BlendedPriceEliteAnnual*ALY42/12</f>
        <v/>
      </c>
      <c r="AMU42" s="9">
        <f>AMT42*12</f>
        <v/>
      </c>
      <c r="AMV42" s="12">
        <f>AMM42*BlendedPriceEssMonthly*ALY42+AMN42*BlendedPricePremMonthly*ALY42+AMO42*BlendedPriceEliteMonthly*ALY42</f>
        <v/>
      </c>
      <c r="AMW42" s="12">
        <f>AMJ42*BlendedPriceEssAnnual*ALY42+AMK42*BlendedPricePremAnnual*ALY42+AML42*BlendedPriceEliteAnnual*ALY42</f>
        <v/>
      </c>
      <c r="AMX42" s="12">
        <f>AMJ30*POWER(1-(AnnualChurn*VLOOKUP(ALV42,ChurnSeasonTable,4,FALSE)),1)*BlendedPriceEssAnnual*ALY42+AMJ18*POWER(1-(AnnualChurn*VLOOKUP(ALV42,ChurnSeasonTable,4,FALSE)),2)*BlendedPriceEssAnnual*ALY42+AMJ6*POWER(1-(AnnualChurn*VLOOKUP(ALV42,ChurnSeasonTable,4,FALSE)),3)*BlendedPriceEssAnnual*ALY42+AMK30*POWER(1-(AnnualChurn*VLOOKUP(ALV42,ChurnSeasonTable,4,FALSE)),1)*BlendedPricePremAnnual*ALY42+AMK18*POWER(1-(AnnualChurn*VLOOKUP(ALV42,ChurnSeasonTable,4,FALSE)),2)*BlendedPricePremAnnual*ALY42+AMK6*POWER(1-(AnnualChurn*VLOOKUP(ALV42,ChurnSeasonTable,4,FALSE)),3)*BlendedPricePremAnnual*ALY42+AML30*POWER(1-(AnnualChurn*VLOOKUP(ALV42,ChurnSeasonTable,4,FALSE)),1)*BlendedPriceEliteAnnual*ALY42+AML18*POWER(1-(AnnualChurn*VLOOKUP(ALV42,ChurnSeasonTable,4,FALSE)),2)*BlendedPriceEliteAnnual*ALY42+AML6*POWER(1-(AnnualChurn*VLOOKUP(ALV42,ChurnSeasonTable,4,FALSE)),3)*BlendedPriceEliteAnnual*ALY42</f>
        <v/>
      </c>
      <c r="AMY42" s="9">
        <f>AMV42+AMW42+AMX42</f>
        <v/>
      </c>
      <c r="AMZ42" s="12">
        <f>SUM(AMY31:AMY42)</f>
        <v/>
      </c>
      <c r="ANA42" s="12">
        <f>OR(ANA41,IF(VATAgentMode,SUM($AMY31:$AMY42)-SUM($ANF31:$ANF42)&gt;=VATThreshold,SUM($AMY31:$AMY42)&gt;=VATThreshold))</f>
        <v/>
      </c>
      <c r="ANB42" s="9">
        <f>IF(ANA42,IF(VATAgentMode,AMY42-((AMY42-ANF42)-(AMY42-ANF42)/(1+VATRate)),AMY42/(1+VATRate)),AMY42)</f>
        <v/>
      </c>
      <c r="ANC42" s="12">
        <f>AMY42-ANB42</f>
        <v/>
      </c>
      <c r="AND42" s="12">
        <f>IF(ANA42=0,0,IF(ALV42=1,SUMPRODUCT(--(($ALW$5:$ALW42=$ALW42-1)*($ALV$5:$ALV42&gt;=10)*($ALV$5:$ALV42&lt;=12)),$ANC$5:$ANC42),IF(ALV42=4,SUMPRODUCT(--(($ALW$5:$ALW42=$ALW42)*($ALV$5:$ALV42&gt;=1)*($ALV$5:$ALV42&lt;=3)),$ANC$5:$ANC42),IF(ALV42=7,SUMPRODUCT(--(($ALW$5:$ALW42=$ALW42)*($ALV$5:$ALV42&gt;=4)*($ALV$5:$ALV42&lt;=6)),$ANC$5:$ANC42),IF(ALV42=10,SUMPRODUCT(--(($ALW$5:$ALW42=$ALW42)*($ALV$5:$ALV42&gt;=7)*($ALV$5:$ALV42&lt;=9)),$ANC$5:$ANC42),0)))))</f>
        <v/>
      </c>
      <c r="ANE42" s="12">
        <f>ANE41+ANC42-AND42</f>
        <v/>
      </c>
      <c r="ANF42" s="12">
        <f>IF(ProviderDelay&gt;=1,AMM41*BlendedProvPayEss+AMN41*BlendedProvPayPrem+AMO41*BlendedProvPayElite+AMP41*BlendedProvPayEss+AMQ41*BlendedProvPayPrem+AMR41*BlendedProvPayElite,AMM42*BlendedProvPayEss+AMN42*BlendedProvPayPrem+AMO42*BlendedProvPayElite+AMP42*BlendedProvPayEss+AMQ42*BlendedProvPayPrem+AMR42*BlendedProvPayElite)</f>
        <v/>
      </c>
      <c r="ANG42" s="12">
        <f>AMY42*PaymentFee</f>
        <v/>
      </c>
      <c r="ANH42" s="12">
        <f>AMS42*OpsAI</f>
        <v/>
      </c>
      <c r="ANI42" s="12">
        <f>MonthlyFixed</f>
        <v/>
      </c>
      <c r="ANJ42" s="12">
        <f>AMC42*ReferralReward</f>
        <v/>
      </c>
      <c r="ANK42" s="12">
        <f>AMA42</f>
        <v/>
      </c>
      <c r="ANL42" s="9">
        <f>ANB42-ANF42-ANG42-ANH42-ANI42-ANJ42-ANK42</f>
        <v/>
      </c>
      <c r="ANM42" s="9">
        <f>ANM41+AMY42-(ANF42+ANG42+ANH42+ANI42+ANJ42+ANK42+AND42)</f>
        <v/>
      </c>
      <c r="ANN42" s="12">
        <f>IF(AMS42&gt;0,AMT42/AMS42,0)</f>
        <v/>
      </c>
      <c r="ANO42" s="11">
        <f>IF(AMS41&gt;0,MAX(0,(AMS41+AMD42-AMS42)/AMS41),0)</f>
        <v/>
      </c>
      <c r="ANQ42" s="12" t="n">
        <v>38</v>
      </c>
      <c r="ANR42" s="12">
        <f>MOD(ANQ42-1+LaunchMonth-1,12)+1</f>
        <v/>
      </c>
      <c r="ANS42" s="12">
        <f>INT((ANQ42-1+LaunchMonth-1)/12)+1</f>
        <v/>
      </c>
      <c r="ANT42" s="12">
        <f>VLOOKUP(ANR42,SeasonTable,2,FALSE)</f>
        <v/>
      </c>
      <c r="ANU42" s="12">
        <f>(1+InflationRate)^INT((ANQ42-1)/12)</f>
        <v/>
      </c>
      <c r="ANV42" s="11">
        <f>MonthlyChurn*VLOOKUP(ANR42,ChurnSeasonTable,4,FALSE)</f>
        <v/>
      </c>
      <c r="ANW42" s="12">
        <f>MIN(MAX(MktMin19plus,AOU41*MktPct19plus),MAX(0,API41-CashBuffer))</f>
        <v/>
      </c>
      <c r="ANX42" s="12">
        <f>IF(ANW42&gt;0,MAX(1,ROUND(ANW42/'Sens - CAC &amp; Marketing'!$A$12*ANT42,0)),0)</f>
        <v/>
      </c>
      <c r="ANY42" s="12">
        <f>IF(ANX42&gt;0,ROUND(ANX42*ReferralMix/(1-ReferralMix),0),0)</f>
        <v/>
      </c>
      <c r="ANZ42" s="12">
        <f>ANX42+ANY42</f>
        <v/>
      </c>
      <c r="AOA42" s="12">
        <f>ROUND(ANZ42*(1-AnnualMix),0)</f>
        <v/>
      </c>
      <c r="AOB42" s="12">
        <f>ANZ42-AOA42</f>
        <v/>
      </c>
      <c r="AOC42" s="12">
        <f>ROUND(AOA42*EssentialMix,0)</f>
        <v/>
      </c>
      <c r="AOD42" s="12">
        <f>ROUND(AOA42*PremiumMix,0)</f>
        <v/>
      </c>
      <c r="AOE42" s="12">
        <f>AOA42-AOC42-AOD42</f>
        <v/>
      </c>
      <c r="AOF42" s="12">
        <f>ROUND(AOB42*EssentialMix,0)</f>
        <v/>
      </c>
      <c r="AOG42" s="12">
        <f>ROUND(AOB42*PremiumMix,0)</f>
        <v/>
      </c>
      <c r="AOH42" s="12">
        <f>AOB42-AOF42-AOG42</f>
        <v/>
      </c>
      <c r="AOI42" s="12">
        <f>AOC42+AOC41+AOC40+MAX(0,AOI41-AOC41-AOC40)*(1-ANV42)</f>
        <v/>
      </c>
      <c r="AOJ42" s="12">
        <f>AOD42+AOD41+AOD40+MAX(0,AOJ41-AOD41-AOD40)*(1-ANV42)</f>
        <v/>
      </c>
      <c r="AOK42" s="12">
        <f>AOE42+AOE41+AOE40+MAX(0,AOK41-AOE41-AOE40)*(1-ANV42)</f>
        <v/>
      </c>
      <c r="AOL42" s="12">
        <f>AOL41+AOF42-AOF30*(AnnualChurn*VLOOKUP(ANR42,ChurnSeasonTable,4,FALSE))*POWER(1-(AnnualChurn*VLOOKUP(ANR42,ChurnSeasonTable,4,FALSE)),0)+AOF18*(AnnualChurn*VLOOKUP(ANR42,ChurnSeasonTable,4,FALSE))*POWER(1-(AnnualChurn*VLOOKUP(ANR42,ChurnSeasonTable,4,FALSE)),1)+AOF6*(AnnualChurn*VLOOKUP(ANR42,ChurnSeasonTable,4,FALSE))*POWER(1-(AnnualChurn*VLOOKUP(ANR42,ChurnSeasonTable,4,FALSE)),2)</f>
        <v/>
      </c>
      <c r="AOM42" s="12">
        <f>AOM41+AOG42-AOG30*(AnnualChurn*VLOOKUP(ANR42,ChurnSeasonTable,4,FALSE))*POWER(1-(AnnualChurn*VLOOKUP(ANR42,ChurnSeasonTable,4,FALSE)),0)+AOG18*(AnnualChurn*VLOOKUP(ANR42,ChurnSeasonTable,4,FALSE))*POWER(1-(AnnualChurn*VLOOKUP(ANR42,ChurnSeasonTable,4,FALSE)),1)+AOG6*(AnnualChurn*VLOOKUP(ANR42,ChurnSeasonTable,4,FALSE))*POWER(1-(AnnualChurn*VLOOKUP(ANR42,ChurnSeasonTable,4,FALSE)),2)</f>
        <v/>
      </c>
      <c r="AON42" s="12">
        <f>AON41+AOH42-AOH30*(AnnualChurn*VLOOKUP(ANR42,ChurnSeasonTable,4,FALSE))*POWER(1-(AnnualChurn*VLOOKUP(ANR42,ChurnSeasonTable,4,FALSE)),0)+AOH18*(AnnualChurn*VLOOKUP(ANR42,ChurnSeasonTable,4,FALSE))*POWER(1-(AnnualChurn*VLOOKUP(ANR42,ChurnSeasonTable,4,FALSE)),1)+AOH6*(AnnualChurn*VLOOKUP(ANR42,ChurnSeasonTable,4,FALSE))*POWER(1-(AnnualChurn*VLOOKUP(ANR42,ChurnSeasonTable,4,FALSE)),2)</f>
        <v/>
      </c>
      <c r="AOO42" s="12">
        <f>AOI42+AOJ42+AOK42+AOL42+AOM42+AON42</f>
        <v/>
      </c>
      <c r="AOP42" s="9">
        <f>AOI42*BlendedPriceEssMonthly*ANU42+AOJ42*BlendedPricePremMonthly*ANU42+AOK42*BlendedPriceEliteMonthly*ANU42+AOL42*BlendedPriceEssAnnual*ANU42/12+AOM42*BlendedPricePremAnnual*ANU42/12+AON42*BlendedPriceEliteAnnual*ANU42/12</f>
        <v/>
      </c>
      <c r="AOQ42" s="9">
        <f>AOP42*12</f>
        <v/>
      </c>
      <c r="AOR42" s="12">
        <f>AOI42*BlendedPriceEssMonthly*ANU42+AOJ42*BlendedPricePremMonthly*ANU42+AOK42*BlendedPriceEliteMonthly*ANU42</f>
        <v/>
      </c>
      <c r="AOS42" s="12">
        <f>AOF42*BlendedPriceEssAnnual*ANU42+AOG42*BlendedPricePremAnnual*ANU42+AOH42*BlendedPriceEliteAnnual*ANU42</f>
        <v/>
      </c>
      <c r="AOT42" s="12">
        <f>AOF30*POWER(1-(AnnualChurn*VLOOKUP(ANR42,ChurnSeasonTable,4,FALSE)),1)*BlendedPriceEssAnnual*ANU42+AOF18*POWER(1-(AnnualChurn*VLOOKUP(ANR42,ChurnSeasonTable,4,FALSE)),2)*BlendedPriceEssAnnual*ANU42+AOF6*POWER(1-(AnnualChurn*VLOOKUP(ANR42,ChurnSeasonTable,4,FALSE)),3)*BlendedPriceEssAnnual*ANU42+AOG30*POWER(1-(AnnualChurn*VLOOKUP(ANR42,ChurnSeasonTable,4,FALSE)),1)*BlendedPricePremAnnual*ANU42+AOG18*POWER(1-(AnnualChurn*VLOOKUP(ANR42,ChurnSeasonTable,4,FALSE)),2)*BlendedPricePremAnnual*ANU42+AOG6*POWER(1-(AnnualChurn*VLOOKUP(ANR42,ChurnSeasonTable,4,FALSE)),3)*BlendedPricePremAnnual*ANU42+AOH30*POWER(1-(AnnualChurn*VLOOKUP(ANR42,ChurnSeasonTable,4,FALSE)),1)*BlendedPriceEliteAnnual*ANU42+AOH18*POWER(1-(AnnualChurn*VLOOKUP(ANR42,ChurnSeasonTable,4,FALSE)),2)*BlendedPriceEliteAnnual*ANU42+AOH6*POWER(1-(AnnualChurn*VLOOKUP(ANR42,ChurnSeasonTable,4,FALSE)),3)*BlendedPriceEliteAnnual*ANU42</f>
        <v/>
      </c>
      <c r="AOU42" s="9">
        <f>AOR42+AOS42+AOT42</f>
        <v/>
      </c>
      <c r="AOV42" s="12">
        <f>SUM(AOU31:AOU42)</f>
        <v/>
      </c>
      <c r="AOW42" s="12">
        <f>OR(AOW41,IF(VATAgentMode,SUM($AOU31:$AOU42)-SUM($APB31:$APB42)&gt;=VATThreshold,SUM($AOU31:$AOU42)&gt;=VATThreshold))</f>
        <v/>
      </c>
      <c r="AOX42" s="9">
        <f>IF(AOW42,IF(VATAgentMode,AOU42-((AOU42-APB42)-(AOU42-APB42)/(1+VATRate)),AOU42/(1+VATRate)),AOU42)</f>
        <v/>
      </c>
      <c r="AOY42" s="12">
        <f>AOU42-AOX42</f>
        <v/>
      </c>
      <c r="AOZ42" s="12">
        <f>IF(AOW42=0,0,IF(ANR42=1,SUMPRODUCT(--(($ANS$5:$ANS42=$ANS42-1)*($ANR$5:$ANR42&gt;=10)*($ANR$5:$ANR42&lt;=12)),$AOY$5:$AOY42),IF(ANR42=4,SUMPRODUCT(--(($ANS$5:$ANS42=$ANS42)*($ANR$5:$ANR42&gt;=1)*($ANR$5:$ANR42&lt;=3)),$AOY$5:$AOY42),IF(ANR42=7,SUMPRODUCT(--(($ANS$5:$ANS42=$ANS42)*($ANR$5:$ANR42&gt;=4)*($ANR$5:$ANR42&lt;=6)),$AOY$5:$AOY42),IF(ANR42=10,SUMPRODUCT(--(($ANS$5:$ANS42=$ANS42)*($ANR$5:$ANR42&gt;=7)*($ANR$5:$ANR42&lt;=9)),$AOY$5:$AOY42),0)))))</f>
        <v/>
      </c>
      <c r="APA42" s="12">
        <f>APA41+AOY42-AOZ42</f>
        <v/>
      </c>
      <c r="APB42" s="12">
        <f>IF(ProviderDelay&gt;=1,AOI41*BlendedProvPayEss+AOJ41*BlendedProvPayPrem+AOK41*BlendedProvPayElite+AOL41*BlendedProvPayEss+AOM41*BlendedProvPayPrem+AON41*BlendedProvPayElite,AOI42*BlendedProvPayEss+AOJ42*BlendedProvPayPrem+AOK42*BlendedProvPayElite+AOL42*BlendedProvPayEss+AOM42*BlendedProvPayPrem+AON42*BlendedProvPayElite)</f>
        <v/>
      </c>
      <c r="APC42" s="12">
        <f>AOU42*PaymentFee</f>
        <v/>
      </c>
      <c r="APD42" s="12">
        <f>AOO42*OpsAI</f>
        <v/>
      </c>
      <c r="APE42" s="12">
        <f>MonthlyFixed</f>
        <v/>
      </c>
      <c r="APF42" s="12">
        <f>ANY42*ReferralReward</f>
        <v/>
      </c>
      <c r="APG42" s="12">
        <f>ANW42</f>
        <v/>
      </c>
      <c r="APH42" s="9">
        <f>AOX42-APB42-APC42-APD42-APE42-APF42-APG42</f>
        <v/>
      </c>
      <c r="API42" s="9">
        <f>API41+AOU42-(APB42+APC42+APD42+APE42+APF42+APG42+AOZ42)</f>
        <v/>
      </c>
      <c r="APJ42" s="12">
        <f>IF(AOO42&gt;0,AOP42/AOO42,0)</f>
        <v/>
      </c>
      <c r="APK42" s="11">
        <f>IF(AOO41&gt;0,MAX(0,(AOO41+ANZ42-AOO42)/AOO41),0)</f>
        <v/>
      </c>
      <c r="APM42" s="12" t="n">
        <v>38</v>
      </c>
      <c r="APN42" s="12">
        <f>MOD(APM42-1+LaunchMonth-1,12)+1</f>
        <v/>
      </c>
      <c r="APO42" s="12">
        <f>INT((APM42-1+LaunchMonth-1)/12)+1</f>
        <v/>
      </c>
      <c r="APP42" s="12">
        <f>VLOOKUP(APN42,SeasonTable,2,FALSE)</f>
        <v/>
      </c>
      <c r="APQ42" s="12">
        <f>(1+InflationRate)^INT((APM42-1)/12)</f>
        <v/>
      </c>
      <c r="APR42" s="11">
        <f>MonthlyChurn*VLOOKUP(APN42,ChurnSeasonTable,4,FALSE)</f>
        <v/>
      </c>
      <c r="APS42" s="12">
        <f>MIN(MAX(MktMin19plus,AQQ41*MktPct19plus),MAX(0,ARE41-CashBuffer))</f>
        <v/>
      </c>
      <c r="APT42" s="12">
        <f>IF(APS42&gt;0,MAX(1,ROUND(APS42/'Sens - CAC &amp; Marketing'!$A$13*APP42,0)),0)</f>
        <v/>
      </c>
      <c r="APU42" s="12">
        <f>IF(APT42&gt;0,ROUND(APT42*ReferralMix/(1-ReferralMix),0),0)</f>
        <v/>
      </c>
      <c r="APV42" s="12">
        <f>APT42+APU42</f>
        <v/>
      </c>
      <c r="APW42" s="12">
        <f>ROUND(APV42*(1-AnnualMix),0)</f>
        <v/>
      </c>
      <c r="APX42" s="12">
        <f>APV42-APW42</f>
        <v/>
      </c>
      <c r="APY42" s="12">
        <f>ROUND(APW42*EssentialMix,0)</f>
        <v/>
      </c>
      <c r="APZ42" s="12">
        <f>ROUND(APW42*PremiumMix,0)</f>
        <v/>
      </c>
      <c r="AQA42" s="12">
        <f>APW42-APY42-APZ42</f>
        <v/>
      </c>
      <c r="AQB42" s="12">
        <f>ROUND(APX42*EssentialMix,0)</f>
        <v/>
      </c>
      <c r="AQC42" s="12">
        <f>ROUND(APX42*PremiumMix,0)</f>
        <v/>
      </c>
      <c r="AQD42" s="12">
        <f>APX42-AQB42-AQC42</f>
        <v/>
      </c>
      <c r="AQE42" s="12">
        <f>APY42+APY41+APY40+MAX(0,AQE41-APY41-APY40)*(1-APR42)</f>
        <v/>
      </c>
      <c r="AQF42" s="12">
        <f>APZ42+APZ41+APZ40+MAX(0,AQF41-APZ41-APZ40)*(1-APR42)</f>
        <v/>
      </c>
      <c r="AQG42" s="12">
        <f>AQA42+AQA41+AQA40+MAX(0,AQG41-AQA41-AQA40)*(1-APR42)</f>
        <v/>
      </c>
      <c r="AQH42" s="12">
        <f>AQH41+AQB42-AQB30*(AnnualChurn*VLOOKUP(APN42,ChurnSeasonTable,4,FALSE))*POWER(1-(AnnualChurn*VLOOKUP(APN42,ChurnSeasonTable,4,FALSE)),0)+AQB18*(AnnualChurn*VLOOKUP(APN42,ChurnSeasonTable,4,FALSE))*POWER(1-(AnnualChurn*VLOOKUP(APN42,ChurnSeasonTable,4,FALSE)),1)+AQB6*(AnnualChurn*VLOOKUP(APN42,ChurnSeasonTable,4,FALSE))*POWER(1-(AnnualChurn*VLOOKUP(APN42,ChurnSeasonTable,4,FALSE)),2)</f>
        <v/>
      </c>
      <c r="AQI42" s="12">
        <f>AQI41+AQC42-AQC30*(AnnualChurn*VLOOKUP(APN42,ChurnSeasonTable,4,FALSE))*POWER(1-(AnnualChurn*VLOOKUP(APN42,ChurnSeasonTable,4,FALSE)),0)+AQC18*(AnnualChurn*VLOOKUP(APN42,ChurnSeasonTable,4,FALSE))*POWER(1-(AnnualChurn*VLOOKUP(APN42,ChurnSeasonTable,4,FALSE)),1)+AQC6*(AnnualChurn*VLOOKUP(APN42,ChurnSeasonTable,4,FALSE))*POWER(1-(AnnualChurn*VLOOKUP(APN42,ChurnSeasonTable,4,FALSE)),2)</f>
        <v/>
      </c>
      <c r="AQJ42" s="12">
        <f>AQJ41+AQD42-AQD30*(AnnualChurn*VLOOKUP(APN42,ChurnSeasonTable,4,FALSE))*POWER(1-(AnnualChurn*VLOOKUP(APN42,ChurnSeasonTable,4,FALSE)),0)+AQD18*(AnnualChurn*VLOOKUP(APN42,ChurnSeasonTable,4,FALSE))*POWER(1-(AnnualChurn*VLOOKUP(APN42,ChurnSeasonTable,4,FALSE)),1)+AQD6*(AnnualChurn*VLOOKUP(APN42,ChurnSeasonTable,4,FALSE))*POWER(1-(AnnualChurn*VLOOKUP(APN42,ChurnSeasonTable,4,FALSE)),2)</f>
        <v/>
      </c>
      <c r="AQK42" s="12">
        <f>AQE42+AQF42+AQG42+AQH42+AQI42+AQJ42</f>
        <v/>
      </c>
      <c r="AQL42" s="9">
        <f>AQE42*BlendedPriceEssMonthly*APQ42+AQF42*BlendedPricePremMonthly*APQ42+AQG42*BlendedPriceEliteMonthly*APQ42+AQH42*BlendedPriceEssAnnual*APQ42/12+AQI42*BlendedPricePremAnnual*APQ42/12+AQJ42*BlendedPriceEliteAnnual*APQ42/12</f>
        <v/>
      </c>
      <c r="AQM42" s="9">
        <f>AQL42*12</f>
        <v/>
      </c>
      <c r="AQN42" s="12">
        <f>AQE42*BlendedPriceEssMonthly*APQ42+AQF42*BlendedPricePremMonthly*APQ42+AQG42*BlendedPriceEliteMonthly*APQ42</f>
        <v/>
      </c>
      <c r="AQO42" s="12">
        <f>AQB42*BlendedPriceEssAnnual*APQ42+AQC42*BlendedPricePremAnnual*APQ42+AQD42*BlendedPriceEliteAnnual*APQ42</f>
        <v/>
      </c>
      <c r="AQP42" s="12">
        <f>AQB30*POWER(1-(AnnualChurn*VLOOKUP(APN42,ChurnSeasonTable,4,FALSE)),1)*BlendedPriceEssAnnual*APQ42+AQB18*POWER(1-(AnnualChurn*VLOOKUP(APN42,ChurnSeasonTable,4,FALSE)),2)*BlendedPriceEssAnnual*APQ42+AQB6*POWER(1-(AnnualChurn*VLOOKUP(APN42,ChurnSeasonTable,4,FALSE)),3)*BlendedPriceEssAnnual*APQ42+AQC30*POWER(1-(AnnualChurn*VLOOKUP(APN42,ChurnSeasonTable,4,FALSE)),1)*BlendedPricePremAnnual*APQ42+AQC18*POWER(1-(AnnualChurn*VLOOKUP(APN42,ChurnSeasonTable,4,FALSE)),2)*BlendedPricePremAnnual*APQ42+AQC6*POWER(1-(AnnualChurn*VLOOKUP(APN42,ChurnSeasonTable,4,FALSE)),3)*BlendedPricePremAnnual*APQ42+AQD30*POWER(1-(AnnualChurn*VLOOKUP(APN42,ChurnSeasonTable,4,FALSE)),1)*BlendedPriceEliteAnnual*APQ42+AQD18*POWER(1-(AnnualChurn*VLOOKUP(APN42,ChurnSeasonTable,4,FALSE)),2)*BlendedPriceEliteAnnual*APQ42+AQD6*POWER(1-(AnnualChurn*VLOOKUP(APN42,ChurnSeasonTable,4,FALSE)),3)*BlendedPriceEliteAnnual*APQ42</f>
        <v/>
      </c>
      <c r="AQQ42" s="9">
        <f>AQN42+AQO42+AQP42</f>
        <v/>
      </c>
      <c r="AQR42" s="12">
        <f>SUM(AQQ31:AQQ42)</f>
        <v/>
      </c>
      <c r="AQS42" s="12">
        <f>OR(AQS41,IF(VATAgentMode,SUM($AQQ31:$AQQ42)-SUM($AQX31:$AQX42)&gt;=VATThreshold,SUM($AQQ31:$AQQ42)&gt;=VATThreshold))</f>
        <v/>
      </c>
      <c r="AQT42" s="9">
        <f>IF(AQS42,IF(VATAgentMode,AQQ42-((AQQ42-AQX42)-(AQQ42-AQX42)/(1+VATRate)),AQQ42/(1+VATRate)),AQQ42)</f>
        <v/>
      </c>
      <c r="AQU42" s="12">
        <f>AQQ42-AQT42</f>
        <v/>
      </c>
      <c r="AQV42" s="12">
        <f>IF(AQS42=0,0,IF(APN42=1,SUMPRODUCT(--(($APO$5:$APO42=$APO42-1)*($APN$5:$APN42&gt;=10)*($APN$5:$APN42&lt;=12)),$AQU$5:$AQU42),IF(APN42=4,SUMPRODUCT(--(($APO$5:$APO42=$APO42)*($APN$5:$APN42&gt;=1)*($APN$5:$APN42&lt;=3)),$AQU$5:$AQU42),IF(APN42=7,SUMPRODUCT(--(($APO$5:$APO42=$APO42)*($APN$5:$APN42&gt;=4)*($APN$5:$APN42&lt;=6)),$AQU$5:$AQU42),IF(APN42=10,SUMPRODUCT(--(($APO$5:$APO42=$APO42)*($APN$5:$APN42&gt;=7)*($APN$5:$APN42&lt;=9)),$AQU$5:$AQU42),0)))))</f>
        <v/>
      </c>
      <c r="AQW42" s="12">
        <f>AQW41+AQU42-AQV42</f>
        <v/>
      </c>
      <c r="AQX42" s="12">
        <f>IF(ProviderDelay&gt;=1,AQE41*BlendedProvPayEss+AQF41*BlendedProvPayPrem+AQG41*BlendedProvPayElite+AQH41*BlendedProvPayEss+AQI41*BlendedProvPayPrem+AQJ41*BlendedProvPayElite,AQE42*BlendedProvPayEss+AQF42*BlendedProvPayPrem+AQG42*BlendedProvPayElite+AQH42*BlendedProvPayEss+AQI42*BlendedProvPayPrem+AQJ42*BlendedProvPayElite)</f>
        <v/>
      </c>
      <c r="AQY42" s="12">
        <f>AQQ42*PaymentFee</f>
        <v/>
      </c>
      <c r="AQZ42" s="12">
        <f>AQK42*OpsAI</f>
        <v/>
      </c>
      <c r="ARA42" s="12">
        <f>MonthlyFixed</f>
        <v/>
      </c>
      <c r="ARB42" s="12">
        <f>APU42*ReferralReward</f>
        <v/>
      </c>
      <c r="ARC42" s="12">
        <f>APS42</f>
        <v/>
      </c>
      <c r="ARD42" s="9">
        <f>AQT42-AQX42-AQY42-AQZ42-ARA42-ARB42-ARC42</f>
        <v/>
      </c>
      <c r="ARE42" s="9">
        <f>ARE41+AQQ42-(AQX42+AQY42+AQZ42+ARA42+ARB42+ARC42+AQV42)</f>
        <v/>
      </c>
      <c r="ARF42" s="12">
        <f>IF(AQK42&gt;0,AQL42/AQK42,0)</f>
        <v/>
      </c>
      <c r="ARG42" s="11">
        <f>IF(AQK41&gt;0,MAX(0,(AQK41+APV42-AQK42)/AQK41),0)</f>
        <v/>
      </c>
      <c r="ARI42" s="12" t="n">
        <v>38</v>
      </c>
      <c r="ARJ42" s="12">
        <f>MOD(ARI42-1+LaunchMonth-1,12)+1</f>
        <v/>
      </c>
      <c r="ARK42" s="12">
        <f>INT((ARI42-1+LaunchMonth-1)/12)+1</f>
        <v/>
      </c>
      <c r="ARL42" s="12">
        <f>VLOOKUP(ARJ42,SeasonTable,2,FALSE)</f>
        <v/>
      </c>
      <c r="ARM42" s="12">
        <f>(1+InflationRate)^INT((ARI42-1)/12)</f>
        <v/>
      </c>
      <c r="ARN42" s="11">
        <f>MonthlyChurn*VLOOKUP(ARJ42,ChurnSeasonTable,4,FALSE)</f>
        <v/>
      </c>
      <c r="ARO42" s="12">
        <f>MIN(MAX(MktMin19plus,ASM41*MktPct19plus),MAX(0,ATA41-CashBuffer))</f>
        <v/>
      </c>
      <c r="ARP42" s="12">
        <f>IF(ARO42&gt;0,MAX(1,ROUND(ARO42/'Sens - CAC &amp; Marketing'!$A$14*ARL42,0)),0)</f>
        <v/>
      </c>
      <c r="ARQ42" s="12">
        <f>IF(ARP42&gt;0,ROUND(ARP42*ReferralMix/(1-ReferralMix),0),0)</f>
        <v/>
      </c>
      <c r="ARR42" s="12">
        <f>ARP42+ARQ42</f>
        <v/>
      </c>
      <c r="ARS42" s="12">
        <f>ROUND(ARR42*(1-AnnualMix),0)</f>
        <v/>
      </c>
      <c r="ART42" s="12">
        <f>ARR42-ARS42</f>
        <v/>
      </c>
      <c r="ARU42" s="12">
        <f>ROUND(ARS42*EssentialMix,0)</f>
        <v/>
      </c>
      <c r="ARV42" s="12">
        <f>ROUND(ARS42*PremiumMix,0)</f>
        <v/>
      </c>
      <c r="ARW42" s="12">
        <f>ARS42-ARU42-ARV42</f>
        <v/>
      </c>
      <c r="ARX42" s="12">
        <f>ROUND(ART42*EssentialMix,0)</f>
        <v/>
      </c>
      <c r="ARY42" s="12">
        <f>ROUND(ART42*PremiumMix,0)</f>
        <v/>
      </c>
      <c r="ARZ42" s="12">
        <f>ART42-ARX42-ARY42</f>
        <v/>
      </c>
      <c r="ASA42" s="12">
        <f>ARU42+ARU41+ARU40+MAX(0,ASA41-ARU41-ARU40)*(1-ARN42)</f>
        <v/>
      </c>
      <c r="ASB42" s="12">
        <f>ARV42+ARV41+ARV40+MAX(0,ASB41-ARV41-ARV40)*(1-ARN42)</f>
        <v/>
      </c>
      <c r="ASC42" s="12">
        <f>ARW42+ARW41+ARW40+MAX(0,ASC41-ARW41-ARW40)*(1-ARN42)</f>
        <v/>
      </c>
      <c r="ASD42" s="12">
        <f>ASD41+ARX42-ARX30*(AnnualChurn*VLOOKUP(ARJ42,ChurnSeasonTable,4,FALSE))*POWER(1-(AnnualChurn*VLOOKUP(ARJ42,ChurnSeasonTable,4,FALSE)),0)+ARX18*(AnnualChurn*VLOOKUP(ARJ42,ChurnSeasonTable,4,FALSE))*POWER(1-(AnnualChurn*VLOOKUP(ARJ42,ChurnSeasonTable,4,FALSE)),1)+ARX6*(AnnualChurn*VLOOKUP(ARJ42,ChurnSeasonTable,4,FALSE))*POWER(1-(AnnualChurn*VLOOKUP(ARJ42,ChurnSeasonTable,4,FALSE)),2)</f>
        <v/>
      </c>
      <c r="ASE42" s="12">
        <f>ASE41+ARY42-ARY30*(AnnualChurn*VLOOKUP(ARJ42,ChurnSeasonTable,4,FALSE))*POWER(1-(AnnualChurn*VLOOKUP(ARJ42,ChurnSeasonTable,4,FALSE)),0)+ARY18*(AnnualChurn*VLOOKUP(ARJ42,ChurnSeasonTable,4,FALSE))*POWER(1-(AnnualChurn*VLOOKUP(ARJ42,ChurnSeasonTable,4,FALSE)),1)+ARY6*(AnnualChurn*VLOOKUP(ARJ42,ChurnSeasonTable,4,FALSE))*POWER(1-(AnnualChurn*VLOOKUP(ARJ42,ChurnSeasonTable,4,FALSE)),2)</f>
        <v/>
      </c>
      <c r="ASF42" s="12">
        <f>ASF41+ARZ42-ARZ30*(AnnualChurn*VLOOKUP(ARJ42,ChurnSeasonTable,4,FALSE))*POWER(1-(AnnualChurn*VLOOKUP(ARJ42,ChurnSeasonTable,4,FALSE)),0)+ARZ18*(AnnualChurn*VLOOKUP(ARJ42,ChurnSeasonTable,4,FALSE))*POWER(1-(AnnualChurn*VLOOKUP(ARJ42,ChurnSeasonTable,4,FALSE)),1)+ARZ6*(AnnualChurn*VLOOKUP(ARJ42,ChurnSeasonTable,4,FALSE))*POWER(1-(AnnualChurn*VLOOKUP(ARJ42,ChurnSeasonTable,4,FALSE)),2)</f>
        <v/>
      </c>
      <c r="ASG42" s="12">
        <f>ASA42+ASB42+ASC42+ASD42+ASE42+ASF42</f>
        <v/>
      </c>
      <c r="ASH42" s="9">
        <f>ASA42*BlendedPriceEssMonthly*ARM42+ASB42*BlendedPricePremMonthly*ARM42+ASC42*BlendedPriceEliteMonthly*ARM42+ASD42*BlendedPriceEssAnnual*ARM42/12+ASE42*BlendedPricePremAnnual*ARM42/12+ASF42*BlendedPriceEliteAnnual*ARM42/12</f>
        <v/>
      </c>
      <c r="ASI42" s="9">
        <f>ASH42*12</f>
        <v/>
      </c>
      <c r="ASJ42" s="12">
        <f>ASA42*BlendedPriceEssMonthly*ARM42+ASB42*BlendedPricePremMonthly*ARM42+ASC42*BlendedPriceEliteMonthly*ARM42</f>
        <v/>
      </c>
      <c r="ASK42" s="12">
        <f>ARX42*BlendedPriceEssAnnual*ARM42+ARY42*BlendedPricePremAnnual*ARM42+ARZ42*BlendedPriceEliteAnnual*ARM42</f>
        <v/>
      </c>
      <c r="ASL42" s="12">
        <f>ARX30*POWER(1-(AnnualChurn*VLOOKUP(ARJ42,ChurnSeasonTable,4,FALSE)),1)*BlendedPriceEssAnnual*ARM42+ARX18*POWER(1-(AnnualChurn*VLOOKUP(ARJ42,ChurnSeasonTable,4,FALSE)),2)*BlendedPriceEssAnnual*ARM42+ARX6*POWER(1-(AnnualChurn*VLOOKUP(ARJ42,ChurnSeasonTable,4,FALSE)),3)*BlendedPriceEssAnnual*ARM42+ARY30*POWER(1-(AnnualChurn*VLOOKUP(ARJ42,ChurnSeasonTable,4,FALSE)),1)*BlendedPricePremAnnual*ARM42+ARY18*POWER(1-(AnnualChurn*VLOOKUP(ARJ42,ChurnSeasonTable,4,FALSE)),2)*BlendedPricePremAnnual*ARM42+ARY6*POWER(1-(AnnualChurn*VLOOKUP(ARJ42,ChurnSeasonTable,4,FALSE)),3)*BlendedPricePremAnnual*ARM42+ARZ30*POWER(1-(AnnualChurn*VLOOKUP(ARJ42,ChurnSeasonTable,4,FALSE)),1)*BlendedPriceEliteAnnual*ARM42+ARZ18*POWER(1-(AnnualChurn*VLOOKUP(ARJ42,ChurnSeasonTable,4,FALSE)),2)*BlendedPriceEliteAnnual*ARM42+ARZ6*POWER(1-(AnnualChurn*VLOOKUP(ARJ42,ChurnSeasonTable,4,FALSE)),3)*BlendedPriceEliteAnnual*ARM42</f>
        <v/>
      </c>
      <c r="ASM42" s="9">
        <f>ASJ42+ASK42+ASL42</f>
        <v/>
      </c>
      <c r="ASN42" s="12">
        <f>SUM(ASM31:ASM42)</f>
        <v/>
      </c>
      <c r="ASO42" s="12">
        <f>OR(ASO41,IF(VATAgentMode,SUM($ASM31:$ASM42)-SUM($AST31:$AST42)&gt;=VATThreshold,SUM($ASM31:$ASM42)&gt;=VATThreshold))</f>
        <v/>
      </c>
      <c r="ASP42" s="9">
        <f>IF(ASO42,IF(VATAgentMode,ASM42-((ASM42-AST42)-(ASM42-AST42)/(1+VATRate)),ASM42/(1+VATRate)),ASM42)</f>
        <v/>
      </c>
      <c r="ASQ42" s="12">
        <f>ASM42-ASP42</f>
        <v/>
      </c>
      <c r="ASR42" s="12">
        <f>IF(ASO42=0,0,IF(ARJ42=1,SUMPRODUCT(--(($ARK$5:$ARK42=$ARK42-1)*($ARJ$5:$ARJ42&gt;=10)*($ARJ$5:$ARJ42&lt;=12)),$ASQ$5:$ASQ42),IF(ARJ42=4,SUMPRODUCT(--(($ARK$5:$ARK42=$ARK42)*($ARJ$5:$ARJ42&gt;=1)*($ARJ$5:$ARJ42&lt;=3)),$ASQ$5:$ASQ42),IF(ARJ42=7,SUMPRODUCT(--(($ARK$5:$ARK42=$ARK42)*($ARJ$5:$ARJ42&gt;=4)*($ARJ$5:$ARJ42&lt;=6)),$ASQ$5:$ASQ42),IF(ARJ42=10,SUMPRODUCT(--(($ARK$5:$ARK42=$ARK42)*($ARJ$5:$ARJ42&gt;=7)*($ARJ$5:$ARJ42&lt;=9)),$ASQ$5:$ASQ42),0)))))</f>
        <v/>
      </c>
      <c r="ASS42" s="12">
        <f>ASS41+ASQ42-ASR42</f>
        <v/>
      </c>
      <c r="AST42" s="12">
        <f>IF(ProviderDelay&gt;=1,ASA41*BlendedProvPayEss+ASB41*BlendedProvPayPrem+ASC41*BlendedProvPayElite+ASD41*BlendedProvPayEss+ASE41*BlendedProvPayPrem+ASF41*BlendedProvPayElite,ASA42*BlendedProvPayEss+ASB42*BlendedProvPayPrem+ASC42*BlendedProvPayElite+ASD42*BlendedProvPayEss+ASE42*BlendedProvPayPrem+ASF42*BlendedProvPayElite)</f>
        <v/>
      </c>
      <c r="ASU42" s="12">
        <f>ASM42*PaymentFee</f>
        <v/>
      </c>
      <c r="ASV42" s="12">
        <f>ASG42*OpsAI</f>
        <v/>
      </c>
      <c r="ASW42" s="12">
        <f>MonthlyFixed</f>
        <v/>
      </c>
      <c r="ASX42" s="12">
        <f>ARQ42*ReferralReward</f>
        <v/>
      </c>
      <c r="ASY42" s="12">
        <f>ARO42</f>
        <v/>
      </c>
      <c r="ASZ42" s="9">
        <f>ASP42-AST42-ASU42-ASV42-ASW42-ASX42-ASY42</f>
        <v/>
      </c>
      <c r="ATA42" s="9">
        <f>ATA41+ASM42-(AST42+ASU42+ASV42+ASW42+ASX42+ASY42+ASR42)</f>
        <v/>
      </c>
      <c r="ATB42" s="12">
        <f>IF(ASG42&gt;0,ASH42/ASG42,0)</f>
        <v/>
      </c>
      <c r="ATC42" s="11">
        <f>IF(ASG41&gt;0,MAX(0,(ASG41+ARR42-ASG42)/ASG41),0)</f>
        <v/>
      </c>
      <c r="ATE42" s="12" t="n">
        <v>38</v>
      </c>
      <c r="ATF42" s="12">
        <f>MOD(ATE42-1+LaunchMonth-1,12)+1</f>
        <v/>
      </c>
      <c r="ATG42" s="12">
        <f>INT((ATE42-1+LaunchMonth-1)/12)+1</f>
        <v/>
      </c>
      <c r="ATH42" s="12">
        <f>VLOOKUP(ATF42,SeasonTable,2,FALSE)</f>
        <v/>
      </c>
      <c r="ATI42" s="12">
        <f>(1+InflationRate)^INT((ATE42-1)/12)</f>
        <v/>
      </c>
      <c r="ATJ42" s="11">
        <f>MonthlyChurn*VLOOKUP(ATF42,ChurnSeasonTable,4,FALSE)</f>
        <v/>
      </c>
      <c r="ATK42" s="12">
        <f>MIN(MAX(MktMin19plus,AUI41*MktPct19plus),MAX(0,AUW41-CashBuffer))</f>
        <v/>
      </c>
      <c r="ATL42" s="12">
        <f>IF(ATK42&gt;0,MAX(1,ROUND(ATK42/'Sens - CAC &amp; Marketing'!$A$15*ATH42,0)),0)</f>
        <v/>
      </c>
      <c r="ATM42" s="12">
        <f>IF(ATL42&gt;0,ROUND(ATL42*ReferralMix/(1-ReferralMix),0),0)</f>
        <v/>
      </c>
      <c r="ATN42" s="12">
        <f>ATL42+ATM42</f>
        <v/>
      </c>
      <c r="ATO42" s="12">
        <f>ROUND(ATN42*(1-AnnualMix),0)</f>
        <v/>
      </c>
      <c r="ATP42" s="12">
        <f>ATN42-ATO42</f>
        <v/>
      </c>
      <c r="ATQ42" s="12">
        <f>ROUND(ATO42*EssentialMix,0)</f>
        <v/>
      </c>
      <c r="ATR42" s="12">
        <f>ROUND(ATO42*PremiumMix,0)</f>
        <v/>
      </c>
      <c r="ATS42" s="12">
        <f>ATO42-ATQ42-ATR42</f>
        <v/>
      </c>
      <c r="ATT42" s="12">
        <f>ROUND(ATP42*EssentialMix,0)</f>
        <v/>
      </c>
      <c r="ATU42" s="12">
        <f>ROUND(ATP42*PremiumMix,0)</f>
        <v/>
      </c>
      <c r="ATV42" s="12">
        <f>ATP42-ATT42-ATU42</f>
        <v/>
      </c>
      <c r="ATW42" s="12">
        <f>ATQ42+ATQ41+ATQ40+MAX(0,ATW41-ATQ41-ATQ40)*(1-ATJ42)</f>
        <v/>
      </c>
      <c r="ATX42" s="12">
        <f>ATR42+ATR41+ATR40+MAX(0,ATX41-ATR41-ATR40)*(1-ATJ42)</f>
        <v/>
      </c>
      <c r="ATY42" s="12">
        <f>ATS42+ATS41+ATS40+MAX(0,ATY41-ATS41-ATS40)*(1-ATJ42)</f>
        <v/>
      </c>
      <c r="ATZ42" s="12">
        <f>ATZ41+ATT42-ATT30*(AnnualChurn*VLOOKUP(ATF42,ChurnSeasonTable,4,FALSE))*POWER(1-(AnnualChurn*VLOOKUP(ATF42,ChurnSeasonTable,4,FALSE)),0)+ATT18*(AnnualChurn*VLOOKUP(ATF42,ChurnSeasonTable,4,FALSE))*POWER(1-(AnnualChurn*VLOOKUP(ATF42,ChurnSeasonTable,4,FALSE)),1)+ATT6*(AnnualChurn*VLOOKUP(ATF42,ChurnSeasonTable,4,FALSE))*POWER(1-(AnnualChurn*VLOOKUP(ATF42,ChurnSeasonTable,4,FALSE)),2)</f>
        <v/>
      </c>
      <c r="AUA42" s="12">
        <f>AUA41+ATU42-ATU30*(AnnualChurn*VLOOKUP(ATF42,ChurnSeasonTable,4,FALSE))*POWER(1-(AnnualChurn*VLOOKUP(ATF42,ChurnSeasonTable,4,FALSE)),0)+ATU18*(AnnualChurn*VLOOKUP(ATF42,ChurnSeasonTable,4,FALSE))*POWER(1-(AnnualChurn*VLOOKUP(ATF42,ChurnSeasonTable,4,FALSE)),1)+ATU6*(AnnualChurn*VLOOKUP(ATF42,ChurnSeasonTable,4,FALSE))*POWER(1-(AnnualChurn*VLOOKUP(ATF42,ChurnSeasonTable,4,FALSE)),2)</f>
        <v/>
      </c>
      <c r="AUB42" s="12">
        <f>AUB41+ATV42-ATV30*(AnnualChurn*VLOOKUP(ATF42,ChurnSeasonTable,4,FALSE))*POWER(1-(AnnualChurn*VLOOKUP(ATF42,ChurnSeasonTable,4,FALSE)),0)+ATV18*(AnnualChurn*VLOOKUP(ATF42,ChurnSeasonTable,4,FALSE))*POWER(1-(AnnualChurn*VLOOKUP(ATF42,ChurnSeasonTable,4,FALSE)),1)+ATV6*(AnnualChurn*VLOOKUP(ATF42,ChurnSeasonTable,4,FALSE))*POWER(1-(AnnualChurn*VLOOKUP(ATF42,ChurnSeasonTable,4,FALSE)),2)</f>
        <v/>
      </c>
      <c r="AUC42" s="12">
        <f>ATW42+ATX42+ATY42+ATZ42+AUA42+AUB42</f>
        <v/>
      </c>
      <c r="AUD42" s="9">
        <f>ATW42*BlendedPriceEssMonthly*ATI42+ATX42*BlendedPricePremMonthly*ATI42+ATY42*BlendedPriceEliteMonthly*ATI42+ATZ42*BlendedPriceEssAnnual*ATI42/12+AUA42*BlendedPricePremAnnual*ATI42/12+AUB42*BlendedPriceEliteAnnual*ATI42/12</f>
        <v/>
      </c>
      <c r="AUE42" s="9">
        <f>AUD42*12</f>
        <v/>
      </c>
      <c r="AUF42" s="12">
        <f>ATW42*BlendedPriceEssMonthly*ATI42+ATX42*BlendedPricePremMonthly*ATI42+ATY42*BlendedPriceEliteMonthly*ATI42</f>
        <v/>
      </c>
      <c r="AUG42" s="12">
        <f>ATT42*BlendedPriceEssAnnual*ATI42+ATU42*BlendedPricePremAnnual*ATI42+ATV42*BlendedPriceEliteAnnual*ATI42</f>
        <v/>
      </c>
      <c r="AUH42" s="12">
        <f>ATT30*POWER(1-(AnnualChurn*VLOOKUP(ATF42,ChurnSeasonTable,4,FALSE)),1)*BlendedPriceEssAnnual*ATI42+ATT18*POWER(1-(AnnualChurn*VLOOKUP(ATF42,ChurnSeasonTable,4,FALSE)),2)*BlendedPriceEssAnnual*ATI42+ATT6*POWER(1-(AnnualChurn*VLOOKUP(ATF42,ChurnSeasonTable,4,FALSE)),3)*BlendedPriceEssAnnual*ATI42+ATU30*POWER(1-(AnnualChurn*VLOOKUP(ATF42,ChurnSeasonTable,4,FALSE)),1)*BlendedPricePremAnnual*ATI42+ATU18*POWER(1-(AnnualChurn*VLOOKUP(ATF42,ChurnSeasonTable,4,FALSE)),2)*BlendedPricePremAnnual*ATI42+ATU6*POWER(1-(AnnualChurn*VLOOKUP(ATF42,ChurnSeasonTable,4,FALSE)),3)*BlendedPricePremAnnual*ATI42+ATV30*POWER(1-(AnnualChurn*VLOOKUP(ATF42,ChurnSeasonTable,4,FALSE)),1)*BlendedPriceEliteAnnual*ATI42+ATV18*POWER(1-(AnnualChurn*VLOOKUP(ATF42,ChurnSeasonTable,4,FALSE)),2)*BlendedPriceEliteAnnual*ATI42+ATV6*POWER(1-(AnnualChurn*VLOOKUP(ATF42,ChurnSeasonTable,4,FALSE)),3)*BlendedPriceEliteAnnual*ATI42</f>
        <v/>
      </c>
      <c r="AUI42" s="9">
        <f>AUF42+AUG42+AUH42</f>
        <v/>
      </c>
      <c r="AUJ42" s="12">
        <f>SUM(AUI31:AUI42)</f>
        <v/>
      </c>
      <c r="AUK42" s="12">
        <f>OR(AUK41,IF(VATAgentMode,SUM($AUI31:$AUI42)-SUM($AUP31:$AUP42)&gt;=VATThreshold,SUM($AUI31:$AUI42)&gt;=VATThreshold))</f>
        <v/>
      </c>
      <c r="AUL42" s="9">
        <f>IF(AUK42,IF(VATAgentMode,AUI42-((AUI42-AUP42)-(AUI42-AUP42)/(1+VATRate)),AUI42/(1+VATRate)),AUI42)</f>
        <v/>
      </c>
      <c r="AUM42" s="12">
        <f>AUI42-AUL42</f>
        <v/>
      </c>
      <c r="AUN42" s="12">
        <f>IF(AUK42=0,0,IF(ATF42=1,SUMPRODUCT(--(($ATG$5:$ATG42=$ATG42-1)*($ATF$5:$ATF42&gt;=10)*($ATF$5:$ATF42&lt;=12)),$AUM$5:$AUM42),IF(ATF42=4,SUMPRODUCT(--(($ATG$5:$ATG42=$ATG42)*($ATF$5:$ATF42&gt;=1)*($ATF$5:$ATF42&lt;=3)),$AUM$5:$AUM42),IF(ATF42=7,SUMPRODUCT(--(($ATG$5:$ATG42=$ATG42)*($ATF$5:$ATF42&gt;=4)*($ATF$5:$ATF42&lt;=6)),$AUM$5:$AUM42),IF(ATF42=10,SUMPRODUCT(--(($ATG$5:$ATG42=$ATG42)*($ATF$5:$ATF42&gt;=7)*($ATF$5:$ATF42&lt;=9)),$AUM$5:$AUM42),0)))))</f>
        <v/>
      </c>
      <c r="AUO42" s="12">
        <f>AUO41+AUM42-AUN42</f>
        <v/>
      </c>
      <c r="AUP42" s="12">
        <f>IF(ProviderDelay&gt;=1,ATW41*BlendedProvPayEss+ATX41*BlendedProvPayPrem+ATY41*BlendedProvPayElite+ATZ41*BlendedProvPayEss+AUA41*BlendedProvPayPrem+AUB41*BlendedProvPayElite,ATW42*BlendedProvPayEss+ATX42*BlendedProvPayPrem+ATY42*BlendedProvPayElite+ATZ42*BlendedProvPayEss+AUA42*BlendedProvPayPrem+AUB42*BlendedProvPayElite)</f>
        <v/>
      </c>
      <c r="AUQ42" s="12">
        <f>AUI42*PaymentFee</f>
        <v/>
      </c>
      <c r="AUR42" s="12">
        <f>AUC42*OpsAI</f>
        <v/>
      </c>
      <c r="AUS42" s="12">
        <f>MonthlyFixed</f>
        <v/>
      </c>
      <c r="AUT42" s="12">
        <f>ATM42*ReferralReward</f>
        <v/>
      </c>
      <c r="AUU42" s="12">
        <f>ATK42</f>
        <v/>
      </c>
      <c r="AUV42" s="9">
        <f>AUL42-AUP42-AUQ42-AUR42-AUS42-AUT42-AUU42</f>
        <v/>
      </c>
      <c r="AUW42" s="9">
        <f>AUW41+AUI42-(AUP42+AUQ42+AUR42+AUS42+AUT42+AUU42+AUN42)</f>
        <v/>
      </c>
      <c r="AUX42" s="12">
        <f>IF(AUC42&gt;0,AUD42/AUC42,0)</f>
        <v/>
      </c>
      <c r="AUY42" s="11">
        <f>IF(AUC41&gt;0,MAX(0,(AUC41+ATN42-AUC42)/AUC41),0)</f>
        <v/>
      </c>
      <c r="AVA42" s="12" t="n">
        <v>38</v>
      </c>
      <c r="AVB42" s="12">
        <f>MOD(AVA42-1+LaunchMonth-1,12)+1</f>
        <v/>
      </c>
      <c r="AVC42" s="12">
        <f>INT((AVA42-1+LaunchMonth-1)/12)+1</f>
        <v/>
      </c>
      <c r="AVD42" s="12">
        <f>VLOOKUP(AVB42,WinterPivotSeasonTable,5,FALSE)</f>
        <v/>
      </c>
      <c r="AVE42" s="12">
        <f>(1+InflationRate)^INT((AVA42-1)/12)</f>
        <v/>
      </c>
      <c r="AVF42" s="11">
        <f>MonthlyChurn*VLOOKUP(AVB42,WinterPivotChurnTable,6,FALSE)</f>
        <v/>
      </c>
      <c r="AVG42" s="12">
        <f>MIN(MAX(MktMin19plus,AWE41*MktPct19plus),MAX(0,AWS41-CashBuffer))</f>
        <v/>
      </c>
      <c r="AVH42" s="12">
        <f>IF(AVG42&gt;0,MAX(1,ROUND(AVG42/CAC*AVD42,0)),0)</f>
        <v/>
      </c>
      <c r="AVI42" s="12">
        <f>IF(AVH42&gt;0,ROUND(AVH42*ReferralMix/(1-ReferralMix),0),0)</f>
        <v/>
      </c>
      <c r="AVJ42" s="12">
        <f>AVH42+AVI42</f>
        <v/>
      </c>
      <c r="AVK42" s="12">
        <f>ROUND(AVJ42*(1-AnnualMix),0)</f>
        <v/>
      </c>
      <c r="AVL42" s="12">
        <f>AVJ42-AVK42</f>
        <v/>
      </c>
      <c r="AVM42" s="12">
        <f>ROUND(AVK42*'Sens - Winter Pivot'!$B$6,0)</f>
        <v/>
      </c>
      <c r="AVN42" s="12">
        <f>ROUND(AVK42*PremiumMix,0)</f>
        <v/>
      </c>
      <c r="AVO42" s="12">
        <f>AVK42-AVM42-AVN42</f>
        <v/>
      </c>
      <c r="AVP42" s="12">
        <f>ROUND(AVL42*'Sens - Winter Pivot'!$B$6,0)</f>
        <v/>
      </c>
      <c r="AVQ42" s="12">
        <f>ROUND(AVL42*PremiumMix,0)</f>
        <v/>
      </c>
      <c r="AVR42" s="12">
        <f>AVL42-AVP42-AVQ42</f>
        <v/>
      </c>
      <c r="AVS42" s="12">
        <f>AVM42+AVM41+AVM40+MAX(0,AVS41-AVM41-AVM40)*(1-AVF42)</f>
        <v/>
      </c>
      <c r="AVT42" s="12">
        <f>AVN42+AVN41+AVN40+MAX(0,AVT41-AVN41-AVN40)*(1-AVF42)</f>
        <v/>
      </c>
      <c r="AVU42" s="12">
        <f>AVO42+AVO41+AVO40+MAX(0,AVU41-AVO41-AVO40)*(1-AVF42)</f>
        <v/>
      </c>
      <c r="AVV42" s="12">
        <f>AVV41+AVP42-AVP30*(AnnualChurn*VLOOKUP(AVB42,ChurnSeasonTable,4,FALSE))*POWER(1-(AnnualChurn*VLOOKUP(AVB42,ChurnSeasonTable,4,FALSE)),0)+AVP18*(AnnualChurn*VLOOKUP(AVB42,ChurnSeasonTable,4,FALSE))*POWER(1-(AnnualChurn*VLOOKUP(AVB42,ChurnSeasonTable,4,FALSE)),1)+AVP6*(AnnualChurn*VLOOKUP(AVB42,ChurnSeasonTable,4,FALSE))*POWER(1-(AnnualChurn*VLOOKUP(AVB42,ChurnSeasonTable,4,FALSE)),2)</f>
        <v/>
      </c>
      <c r="AVW42" s="12">
        <f>AVW41+AVQ42-AVQ30*(AnnualChurn*VLOOKUP(AVB42,ChurnSeasonTable,4,FALSE))*POWER(1-(AnnualChurn*VLOOKUP(AVB42,ChurnSeasonTable,4,FALSE)),0)+AVQ18*(AnnualChurn*VLOOKUP(AVB42,ChurnSeasonTable,4,FALSE))*POWER(1-(AnnualChurn*VLOOKUP(AVB42,ChurnSeasonTable,4,FALSE)),1)+AVQ6*(AnnualChurn*VLOOKUP(AVB42,ChurnSeasonTable,4,FALSE))*POWER(1-(AnnualChurn*VLOOKUP(AVB42,ChurnSeasonTable,4,FALSE)),2)</f>
        <v/>
      </c>
      <c r="AVX42" s="12">
        <f>AVX41+AVR42-AVR30*(AnnualChurn*VLOOKUP(AVB42,ChurnSeasonTable,4,FALSE))*POWER(1-(AnnualChurn*VLOOKUP(AVB42,ChurnSeasonTable,4,FALSE)),0)+AVR18*(AnnualChurn*VLOOKUP(AVB42,ChurnSeasonTable,4,FALSE))*POWER(1-(AnnualChurn*VLOOKUP(AVB42,ChurnSeasonTable,4,FALSE)),1)+AVR6*(AnnualChurn*VLOOKUP(AVB42,ChurnSeasonTable,4,FALSE))*POWER(1-(AnnualChurn*VLOOKUP(AVB42,ChurnSeasonTable,4,FALSE)),2)</f>
        <v/>
      </c>
      <c r="AVY42" s="12">
        <f>AVS42+AVT42+AVU42+AVV42+AVW42+AVX42</f>
        <v/>
      </c>
      <c r="AVZ42" s="9">
        <f>AVS42*BlendedPriceEssMonthly*AVE42+AVT42*(BlendedPricePremMonthly+'Sens - Winter Pivot'!$B$7)*AVE42+AVU42*BlendedPriceEliteMonthly*AVE42+AVV42*BlendedPriceEssAnnual*AVE42/12+AVW42*(BlendedPricePremAnnual+'Sens - Winter Pivot'!$B$7*12)*AVE42/12+AVX42*BlendedPriceEliteAnnual*AVE42/12</f>
        <v/>
      </c>
      <c r="AWA42" s="9">
        <f>AVZ42*12</f>
        <v/>
      </c>
      <c r="AWB42" s="12">
        <f>AVS42*BlendedPriceEssMonthly*AVE42+AVT42*(BlendedPricePremMonthly+'Sens - Winter Pivot'!$B$7)*AVE42+AVU42*BlendedPriceEliteMonthly*AVE42</f>
        <v/>
      </c>
      <c r="AWC42" s="12">
        <f>AVP42*BlendedPriceEssAnnual*AVE42+AVQ42*(BlendedPricePremAnnual+'Sens - Winter Pivot'!$B$7*12)*AVE42+AVR42*BlendedPriceEliteAnnual*AVE42</f>
        <v/>
      </c>
      <c r="AWD42" s="12">
        <f>AVP30*POWER(1-(AnnualChurn*VLOOKUP(AVB42,ChurnSeasonTable,4,FALSE)),1)*BlendedPriceEssAnnual*AVE42+AVP18*POWER(1-(AnnualChurn*VLOOKUP(AVB42,ChurnSeasonTable,4,FALSE)),2)*BlendedPriceEssAnnual*AVE42+AVP6*POWER(1-(AnnualChurn*VLOOKUP(AVB42,ChurnSeasonTable,4,FALSE)),3)*BlendedPriceEssAnnual*AVE42+AVQ30*POWER(1-(AnnualChurn*VLOOKUP(AVB42,ChurnSeasonTable,4,FALSE)),1)*BlendedPricePremAnnual*AVE42+AVQ18*POWER(1-(AnnualChurn*VLOOKUP(AVB42,ChurnSeasonTable,4,FALSE)),2)*BlendedPricePremAnnual*AVE42+AVQ6*POWER(1-(AnnualChurn*VLOOKUP(AVB42,ChurnSeasonTable,4,FALSE)),3)*BlendedPricePremAnnual*AVE42+AVR30*POWER(1-(AnnualChurn*VLOOKUP(AVB42,ChurnSeasonTable,4,FALSE)),1)*BlendedPriceEliteAnnual*AVE42+AVR18*POWER(1-(AnnualChurn*VLOOKUP(AVB42,ChurnSeasonTable,4,FALSE)),2)*BlendedPriceEliteAnnual*AVE42+AVR6*POWER(1-(AnnualChurn*VLOOKUP(AVB42,ChurnSeasonTable,4,FALSE)),3)*BlendedPriceEliteAnnual*AVE42</f>
        <v/>
      </c>
      <c r="AWE42" s="9">
        <f>AWB42+AWC42+AWD42</f>
        <v/>
      </c>
      <c r="AWF42" s="12">
        <f>SUM(AWE31:AWE42)</f>
        <v/>
      </c>
      <c r="AWG42" s="12">
        <f>OR(AWG41,IF(VATAgentMode,SUM($AWE31:$AWE42)-SUM($AWL31:$AWL42)&gt;=VATThreshold,SUM($AWE31:$AWE42)&gt;=VATThreshold))</f>
        <v/>
      </c>
      <c r="AWH42" s="9">
        <f>IF(AWG42,IF(VATAgentMode,AWE42-((AWE42-AWL42)-(AWE42-AWL42)/(1+VATRate)),AWE42/(1+VATRate)),AWE42)</f>
        <v/>
      </c>
      <c r="AWI42" s="12">
        <f>AWE42-AWH42</f>
        <v/>
      </c>
      <c r="AWJ42" s="12">
        <f>IF(AWG42=0,0,IF(AVB42=1,SUMPRODUCT(--(($AVC$5:$AVC42=$AVC42-1)*($AVB$5:$AVB42&gt;=10)*($AVB$5:$AVB42&lt;=12)),$AWI$5:$AWI42),IF(AVB42=4,SUMPRODUCT(--(($AVC$5:$AVC42=$AVC42)*($AVB$5:$AVB42&gt;=1)*($AVB$5:$AVB42&lt;=3)),$AWI$5:$AWI42),IF(AVB42=7,SUMPRODUCT(--(($AVC$5:$AVC42=$AVC42)*($AVB$5:$AVB42&gt;=4)*($AVB$5:$AVB42&lt;=6)),$AWI$5:$AWI42),IF(AVB42=10,SUMPRODUCT(--(($AVC$5:$AVC42=$AVC42)*($AVB$5:$AVB42&gt;=7)*($AVB$5:$AVB42&lt;=9)),$AWI$5:$AWI42),0)))))</f>
        <v/>
      </c>
      <c r="AWK42" s="12">
        <f>AWK41+AWI42-AWJ42</f>
        <v/>
      </c>
      <c r="AWL42" s="12">
        <f>IF(ProviderDelay&gt;=1,AVS41*BlendedProvPayEss+AVT41*BlendedProvPayPrem+AVU41*BlendedProvPayElite+AVV41*BlendedProvPayEss+AVW41*BlendedProvPayPrem+AVX41*BlendedProvPayElite,AVS42*BlendedProvPayEss+AVT42*BlendedProvPayPrem+AVU42*BlendedProvPayElite+AVV42*BlendedProvPayEss+AVW42*BlendedProvPayPrem+AVX42*BlendedProvPayElite)</f>
        <v/>
      </c>
      <c r="AWM42" s="12">
        <f>AWE42*PaymentFee</f>
        <v/>
      </c>
      <c r="AWN42" s="12">
        <f>AVY42*OpsAI</f>
        <v/>
      </c>
      <c r="AWO42" s="12">
        <f>MonthlyFixed</f>
        <v/>
      </c>
      <c r="AWP42" s="12">
        <f>AVI42*ReferralReward</f>
        <v/>
      </c>
      <c r="AWQ42" s="12">
        <f>AVG42</f>
        <v/>
      </c>
      <c r="AWR42" s="9">
        <f>AWH42-AWL42-AWM42-AWN42-AWO42-AWP42-AWQ42</f>
        <v/>
      </c>
      <c r="AWS42" s="9">
        <f>AWS41+AWE42-(AWL42+AWM42+AWN42+AWO42+AWP42+AWQ42+AWJ42)</f>
        <v/>
      </c>
      <c r="AWT42" s="12">
        <f>IF(AVY42&gt;0,AVZ42/AVY42,0)</f>
        <v/>
      </c>
      <c r="AWU42" s="11">
        <f>IF(AVY41&gt;0,MAX(0,(AVY41+AVJ42-AVY42)/AVY41),0)</f>
        <v/>
      </c>
    </row>
    <row r="43">
      <c r="A43" s="12" t="n">
        <v>39</v>
      </c>
      <c r="B43" s="12">
        <f>MOD(A43-1+LaunchMonth-1,12)+1</f>
        <v/>
      </c>
      <c r="C43" s="12">
        <f>INT((A43-1+LaunchMonth-1)/12)+1</f>
        <v/>
      </c>
      <c r="D43" s="12">
        <f>VLOOKUP(B43,SeasonTable,2,FALSE)</f>
        <v/>
      </c>
      <c r="E43" s="12">
        <f>(1+InflationRate)^INT((A43-1)/12)</f>
        <v/>
      </c>
      <c r="F43" s="11">
        <f>'Sens - Scenarios'!$B$5*VLOOKUP(B43,ChurnSeasonTable,4,FALSE)</f>
        <v/>
      </c>
      <c r="G43" s="12">
        <f>MIN(MAX(MktMin19plus,AE42*MktPct19plus),MAX(0,AS42-CashBuffer))</f>
        <v/>
      </c>
      <c r="H43" s="12">
        <f>IF(G43&gt;0,MAX(1,ROUND(G43/'Sens - Scenarios'!$B$8*D43,0)),0)</f>
        <v/>
      </c>
      <c r="I43" s="12">
        <f>IF(H43&gt;0,ROUND(H43*ReferralMix/(1-ReferralMix),0),0)</f>
        <v/>
      </c>
      <c r="J43" s="12">
        <f>H43+I43</f>
        <v/>
      </c>
      <c r="K43" s="12">
        <f>ROUND(J43*(1-'Sens - Scenarios'!$B$7),0)</f>
        <v/>
      </c>
      <c r="L43" s="12">
        <f>J43-K43</f>
        <v/>
      </c>
      <c r="M43" s="12">
        <f>ROUND(K43*EssentialMix,0)</f>
        <v/>
      </c>
      <c r="N43" s="12">
        <f>ROUND(K43*PremiumMix,0)</f>
        <v/>
      </c>
      <c r="O43" s="12">
        <f>K43-M43-N43</f>
        <v/>
      </c>
      <c r="P43" s="12">
        <f>ROUND(L43*EssentialMix,0)</f>
        <v/>
      </c>
      <c r="Q43" s="12">
        <f>ROUND(L43*PremiumMix,0)</f>
        <v/>
      </c>
      <c r="R43" s="12">
        <f>L43-P43-Q43</f>
        <v/>
      </c>
      <c r="S43" s="12">
        <f>M43+M42+M41+MAX(0,S42-M42-M41)*(1-F43)</f>
        <v/>
      </c>
      <c r="T43" s="12">
        <f>N43+N42+N41+MAX(0,T42-N42-N41)*(1-F43)</f>
        <v/>
      </c>
      <c r="U43" s="12">
        <f>O43+O42+O41+MAX(0,U42-O42-O41)*(1-F43)</f>
        <v/>
      </c>
      <c r="V43" s="12">
        <f>V42+P43-P31*('Sens - Scenarios'!$B$6*VLOOKUP(B43,ChurnSeasonTable,4,FALSE))*POWER(1-('Sens - Scenarios'!$B$6*VLOOKUP(B43,ChurnSeasonTable,4,FALSE)),0)+P19*('Sens - Scenarios'!$B$6*VLOOKUP(B43,ChurnSeasonTable,4,FALSE))*POWER(1-('Sens - Scenarios'!$B$6*VLOOKUP(B43,ChurnSeasonTable,4,FALSE)),1)+P7*('Sens - Scenarios'!$B$6*VLOOKUP(B43,ChurnSeasonTable,4,FALSE))*POWER(1-('Sens - Scenarios'!$B$6*VLOOKUP(B43,ChurnSeasonTable,4,FALSE)),2)</f>
        <v/>
      </c>
      <c r="W43" s="12">
        <f>W42+Q43-Q31*('Sens - Scenarios'!$B$6*VLOOKUP(B43,ChurnSeasonTable,4,FALSE))*POWER(1-('Sens - Scenarios'!$B$6*VLOOKUP(B43,ChurnSeasonTable,4,FALSE)),0)+Q19*('Sens - Scenarios'!$B$6*VLOOKUP(B43,ChurnSeasonTable,4,FALSE))*POWER(1-('Sens - Scenarios'!$B$6*VLOOKUP(B43,ChurnSeasonTable,4,FALSE)),1)+Q7*('Sens - Scenarios'!$B$6*VLOOKUP(B43,ChurnSeasonTable,4,FALSE))*POWER(1-('Sens - Scenarios'!$B$6*VLOOKUP(B43,ChurnSeasonTable,4,FALSE)),2)</f>
        <v/>
      </c>
      <c r="X43" s="12">
        <f>X42+R43-R31*('Sens - Scenarios'!$B$6*VLOOKUP(B43,ChurnSeasonTable,4,FALSE))*POWER(1-('Sens - Scenarios'!$B$6*VLOOKUP(B43,ChurnSeasonTable,4,FALSE)),0)+R19*('Sens - Scenarios'!$B$6*VLOOKUP(B43,ChurnSeasonTable,4,FALSE))*POWER(1-('Sens - Scenarios'!$B$6*VLOOKUP(B43,ChurnSeasonTable,4,FALSE)),1)+R7*('Sens - Scenarios'!$B$6*VLOOKUP(B43,ChurnSeasonTable,4,FALSE))*POWER(1-('Sens - Scenarios'!$B$6*VLOOKUP(B43,ChurnSeasonTable,4,FALSE)),2)</f>
        <v/>
      </c>
      <c r="Y43" s="12">
        <f>S43+T43+U43+V43+W43+X43</f>
        <v/>
      </c>
      <c r="Z43" s="9">
        <f>S43*BlendedPriceEssMonthly*E43+T43*BlendedPricePremMonthly*E43+U43*BlendedPriceEliteMonthly*E43+V43*BlendedPriceEssAnnual*E43/12+W43*BlendedPricePremAnnual*E43/12+X43*BlendedPriceEliteAnnual*E43/12</f>
        <v/>
      </c>
      <c r="AA43" s="9">
        <f>Z43*12</f>
        <v/>
      </c>
      <c r="AB43" s="12">
        <f>S43*BlendedPriceEssMonthly*E43+T43*BlendedPricePremMonthly*E43+U43*BlendedPriceEliteMonthly*E43</f>
        <v/>
      </c>
      <c r="AC43" s="12">
        <f>P43*BlendedPriceEssAnnual*E43+Q43*BlendedPricePremAnnual*E43+R43*BlendedPriceEliteAnnual*E43</f>
        <v/>
      </c>
      <c r="AD43" s="12">
        <f>P31*POWER(1-('Sens - Scenarios'!$B$6*VLOOKUP(B43,ChurnSeasonTable,4,FALSE)),1)*BlendedPriceEssAnnual*E43+P19*POWER(1-('Sens - Scenarios'!$B$6*VLOOKUP(B43,ChurnSeasonTable,4,FALSE)),2)*BlendedPriceEssAnnual*E43+P7*POWER(1-('Sens - Scenarios'!$B$6*VLOOKUP(B43,ChurnSeasonTable,4,FALSE)),3)*BlendedPriceEssAnnual*E43+Q31*POWER(1-('Sens - Scenarios'!$B$6*VLOOKUP(B43,ChurnSeasonTable,4,FALSE)),1)*BlendedPricePremAnnual*E43+Q19*POWER(1-('Sens - Scenarios'!$B$6*VLOOKUP(B43,ChurnSeasonTable,4,FALSE)),2)*BlendedPricePremAnnual*E43+Q7*POWER(1-('Sens - Scenarios'!$B$6*VLOOKUP(B43,ChurnSeasonTable,4,FALSE)),3)*BlendedPricePremAnnual*E43+R31*POWER(1-('Sens - Scenarios'!$B$6*VLOOKUP(B43,ChurnSeasonTable,4,FALSE)),1)*BlendedPriceEliteAnnual*E43+R19*POWER(1-('Sens - Scenarios'!$B$6*VLOOKUP(B43,ChurnSeasonTable,4,FALSE)),2)*BlendedPriceEliteAnnual*E43+R7*POWER(1-('Sens - Scenarios'!$B$6*VLOOKUP(B43,ChurnSeasonTable,4,FALSE)),3)*BlendedPriceEliteAnnual*E43</f>
        <v/>
      </c>
      <c r="AE43" s="9">
        <f>AB43+AC43+AD43</f>
        <v/>
      </c>
      <c r="AF43" s="12">
        <f>SUM(AE32:AE43)</f>
        <v/>
      </c>
      <c r="AG43" s="12">
        <f>OR(AG42,IF(VATAgentMode,SUM($AE32:$AE43)-SUM($AL32:$AL43)&gt;=VATThreshold,SUM($AE32:$AE43)&gt;=VATThreshold))</f>
        <v/>
      </c>
      <c r="AH43" s="9">
        <f>IF(AG43,IF(VATAgentMode,AE43-((AE43-AL43)-(AE43-AL43)/(1+VATRate)),AE43/(1+VATRate)),AE43)</f>
        <v/>
      </c>
      <c r="AI43" s="12">
        <f>AE43-AH43</f>
        <v/>
      </c>
      <c r="AJ43" s="12">
        <f>IF(AG43=0,0,IF(B43=1,SUMPRODUCT(--(($C$5:$C43=$C43-1)*($B$5:$B43&gt;=10)*($B$5:$B43&lt;=12)),$AI$5:$AI43),IF(B43=4,SUMPRODUCT(--(($C$5:$C43=$C43)*($B$5:$B43&gt;=1)*($B$5:$B43&lt;=3)),$AI$5:$AI43),IF(B43=7,SUMPRODUCT(--(($C$5:$C43=$C43)*($B$5:$B43&gt;=4)*($B$5:$B43&lt;=6)),$AI$5:$AI43),IF(B43=10,SUMPRODUCT(--(($C$5:$C43=$C43)*($B$5:$B43&gt;=7)*($B$5:$B43&lt;=9)),$AI$5:$AI43),0)))))</f>
        <v/>
      </c>
      <c r="AK43" s="12">
        <f>AK42+AI43-AJ43</f>
        <v/>
      </c>
      <c r="AL43" s="12">
        <f>IF(ProviderDelay&gt;=1,S42*BlendedProvPayEss+T42*BlendedProvPayPrem+U42*BlendedProvPayElite+V42*BlendedProvPayEss+W42*BlendedProvPayPrem+X42*BlendedProvPayElite,S43*BlendedProvPayEss+T43*BlendedProvPayPrem+U43*BlendedProvPayElite+V43*BlendedProvPayEss+W43*BlendedProvPayPrem+X43*BlendedProvPayElite)</f>
        <v/>
      </c>
      <c r="AM43" s="12">
        <f>AE43*PaymentFee</f>
        <v/>
      </c>
      <c r="AN43" s="12">
        <f>Y43*OpsAI</f>
        <v/>
      </c>
      <c r="AO43" s="12">
        <f>MonthlyFixed</f>
        <v/>
      </c>
      <c r="AP43" s="12">
        <f>I43*ReferralReward</f>
        <v/>
      </c>
      <c r="AQ43" s="12">
        <f>G43</f>
        <v/>
      </c>
      <c r="AR43" s="9">
        <f>AH43-AL43-AM43-AN43-AO43-AP43-AQ43</f>
        <v/>
      </c>
      <c r="AS43" s="9">
        <f>AS42+AE43-(AL43+AM43+AN43+AO43+AP43+AQ43+AJ43)</f>
        <v/>
      </c>
      <c r="AT43" s="12">
        <f>IF(Y43&gt;0,Z43/Y43,0)</f>
        <v/>
      </c>
      <c r="AU43" s="11">
        <f>IF(Y42&gt;0,MAX(0,(Y42+J43-Y43)/Y42),0)</f>
        <v/>
      </c>
      <c r="AW43" s="12" t="n">
        <v>39</v>
      </c>
      <c r="AX43" s="12">
        <f>MOD(AW43-1+LaunchMonth-1,12)+1</f>
        <v/>
      </c>
      <c r="AY43" s="12">
        <f>INT((AW43-1+LaunchMonth-1)/12)+1</f>
        <v/>
      </c>
      <c r="AZ43" s="12">
        <f>VLOOKUP(AX43,SeasonTable,2,FALSE)</f>
        <v/>
      </c>
      <c r="BA43" s="12">
        <f>(1+InflationRate)^INT((AW43-1)/12)</f>
        <v/>
      </c>
      <c r="BB43" s="11">
        <f>MonthlyChurn*VLOOKUP(AX43,ChurnSeasonTable,4,FALSE)</f>
        <v/>
      </c>
      <c r="BC43" s="12">
        <f>MIN(MAX(MktMin19plus,CA42*MktPct19plus),MAX(0,CO42-CashBuffer))</f>
        <v/>
      </c>
      <c r="BD43" s="12">
        <f>IF(BC43&gt;0,MAX(1,ROUND(BC43/CAC*AZ43,0)),0)</f>
        <v/>
      </c>
      <c r="BE43" s="12">
        <f>IF(BD43&gt;0,ROUND(BD43*ReferralMix/(1-ReferralMix),0),0)</f>
        <v/>
      </c>
      <c r="BF43" s="12">
        <f>BD43+BE43</f>
        <v/>
      </c>
      <c r="BG43" s="12">
        <f>ROUND(BF43*(1-AnnualMix),0)</f>
        <v/>
      </c>
      <c r="BH43" s="12">
        <f>BF43-BG43</f>
        <v/>
      </c>
      <c r="BI43" s="12">
        <f>ROUND(BG43*EssentialMix,0)</f>
        <v/>
      </c>
      <c r="BJ43" s="12">
        <f>ROUND(BG43*PremiumMix,0)</f>
        <v/>
      </c>
      <c r="BK43" s="12">
        <f>BG43-BI43-BJ43</f>
        <v/>
      </c>
      <c r="BL43" s="12">
        <f>ROUND(BH43*EssentialMix,0)</f>
        <v/>
      </c>
      <c r="BM43" s="12">
        <f>ROUND(BH43*PremiumMix,0)</f>
        <v/>
      </c>
      <c r="BN43" s="12">
        <f>BH43-BL43-BM43</f>
        <v/>
      </c>
      <c r="BO43" s="12">
        <f>BI43+BI42+BI41+MAX(0,BO42-BI42-BI41)*(1-BB43)</f>
        <v/>
      </c>
      <c r="BP43" s="12">
        <f>BJ43+BJ42+BJ41+MAX(0,BP42-BJ42-BJ41)*(1-BB43)</f>
        <v/>
      </c>
      <c r="BQ43" s="12">
        <f>BK43+BK42+BK41+MAX(0,BQ42-BK42-BK41)*(1-BB43)</f>
        <v/>
      </c>
      <c r="BR43" s="12">
        <f>BR42+BL43-BL31*(AnnualChurn*VLOOKUP(AX43,ChurnSeasonTable,4,FALSE))*POWER(1-(AnnualChurn*VLOOKUP(AX43,ChurnSeasonTable,4,FALSE)),0)+BL19*(AnnualChurn*VLOOKUP(AX43,ChurnSeasonTable,4,FALSE))*POWER(1-(AnnualChurn*VLOOKUP(AX43,ChurnSeasonTable,4,FALSE)),1)+BL7*(AnnualChurn*VLOOKUP(AX43,ChurnSeasonTable,4,FALSE))*POWER(1-(AnnualChurn*VLOOKUP(AX43,ChurnSeasonTable,4,FALSE)),2)</f>
        <v/>
      </c>
      <c r="BS43" s="12">
        <f>BS42+BM43-BM31*(AnnualChurn*VLOOKUP(AX43,ChurnSeasonTable,4,FALSE))*POWER(1-(AnnualChurn*VLOOKUP(AX43,ChurnSeasonTable,4,FALSE)),0)+BM19*(AnnualChurn*VLOOKUP(AX43,ChurnSeasonTable,4,FALSE))*POWER(1-(AnnualChurn*VLOOKUP(AX43,ChurnSeasonTable,4,FALSE)),1)+BM7*(AnnualChurn*VLOOKUP(AX43,ChurnSeasonTable,4,FALSE))*POWER(1-(AnnualChurn*VLOOKUP(AX43,ChurnSeasonTable,4,FALSE)),2)</f>
        <v/>
      </c>
      <c r="BT43" s="12">
        <f>BT42+BN43-BN31*(AnnualChurn*VLOOKUP(AX43,ChurnSeasonTable,4,FALSE))*POWER(1-(AnnualChurn*VLOOKUP(AX43,ChurnSeasonTable,4,FALSE)),0)+BN19*(AnnualChurn*VLOOKUP(AX43,ChurnSeasonTable,4,FALSE))*POWER(1-(AnnualChurn*VLOOKUP(AX43,ChurnSeasonTable,4,FALSE)),1)+BN7*(AnnualChurn*VLOOKUP(AX43,ChurnSeasonTable,4,FALSE))*POWER(1-(AnnualChurn*VLOOKUP(AX43,ChurnSeasonTable,4,FALSE)),2)</f>
        <v/>
      </c>
      <c r="BU43" s="12">
        <f>BO43+BP43+BQ43+BR43+BS43+BT43</f>
        <v/>
      </c>
      <c r="BV43" s="9">
        <f>BO43*BlendedPriceEssMonthly*BA43+BP43*BlendedPricePremMonthly*BA43+BQ43*BlendedPriceEliteMonthly*BA43+BR43*BlendedPriceEssAnnual*BA43/12+BS43*BlendedPricePremAnnual*BA43/12+BT43*BlendedPriceEliteAnnual*BA43/12</f>
        <v/>
      </c>
      <c r="BW43" s="9">
        <f>BV43*12</f>
        <v/>
      </c>
      <c r="BX43" s="12">
        <f>BO43*BlendedPriceEssMonthly*BA43+BP43*BlendedPricePremMonthly*BA43+BQ43*BlendedPriceEliteMonthly*BA43</f>
        <v/>
      </c>
      <c r="BY43" s="12">
        <f>BL43*BlendedPriceEssAnnual*BA43+BM43*BlendedPricePremAnnual*BA43+BN43*BlendedPriceEliteAnnual*BA43</f>
        <v/>
      </c>
      <c r="BZ43" s="12">
        <f>BL31*POWER(1-(AnnualChurn*VLOOKUP(AX43,ChurnSeasonTable,4,FALSE)),1)*BlendedPriceEssAnnual*BA43+BL19*POWER(1-(AnnualChurn*VLOOKUP(AX43,ChurnSeasonTable,4,FALSE)),2)*BlendedPriceEssAnnual*BA43+BL7*POWER(1-(AnnualChurn*VLOOKUP(AX43,ChurnSeasonTable,4,FALSE)),3)*BlendedPriceEssAnnual*BA43+BM31*POWER(1-(AnnualChurn*VLOOKUP(AX43,ChurnSeasonTable,4,FALSE)),1)*BlendedPricePremAnnual*BA43+BM19*POWER(1-(AnnualChurn*VLOOKUP(AX43,ChurnSeasonTable,4,FALSE)),2)*BlendedPricePremAnnual*BA43+BM7*POWER(1-(AnnualChurn*VLOOKUP(AX43,ChurnSeasonTable,4,FALSE)),3)*BlendedPricePremAnnual*BA43+BN31*POWER(1-(AnnualChurn*VLOOKUP(AX43,ChurnSeasonTable,4,FALSE)),1)*BlendedPriceEliteAnnual*BA43+BN19*POWER(1-(AnnualChurn*VLOOKUP(AX43,ChurnSeasonTable,4,FALSE)),2)*BlendedPriceEliteAnnual*BA43+BN7*POWER(1-(AnnualChurn*VLOOKUP(AX43,ChurnSeasonTable,4,FALSE)),3)*BlendedPriceEliteAnnual*BA43</f>
        <v/>
      </c>
      <c r="CA43" s="9">
        <f>BX43+BY43+BZ43</f>
        <v/>
      </c>
      <c r="CB43" s="12">
        <f>SUM(CA32:CA43)</f>
        <v/>
      </c>
      <c r="CC43" s="12">
        <f>OR(CC42,IF(VATAgentMode,SUM($CA32:$CA43)-SUM($CH32:$CH43)&gt;=VATThreshold,SUM($CA32:$CA43)&gt;=VATThreshold))</f>
        <v/>
      </c>
      <c r="CD43" s="9">
        <f>IF(CC43,IF(VATAgentMode,CA43-((CA43-CH43)-(CA43-CH43)/(1+VATRate)),CA43/(1+VATRate)),CA43)</f>
        <v/>
      </c>
      <c r="CE43" s="12">
        <f>CA43-CD43</f>
        <v/>
      </c>
      <c r="CF43" s="12">
        <f>IF(CC43=0,0,IF(AX43=1,SUMPRODUCT(--(($AY$5:$AY43=$AY43-1)*($AX$5:$AX43&gt;=10)*($AX$5:$AX43&lt;=12)),$CE$5:$CE43),IF(AX43=4,SUMPRODUCT(--(($AY$5:$AY43=$AY43)*($AX$5:$AX43&gt;=1)*($AX$5:$AX43&lt;=3)),$CE$5:$CE43),IF(AX43=7,SUMPRODUCT(--(($AY$5:$AY43=$AY43)*($AX$5:$AX43&gt;=4)*($AX$5:$AX43&lt;=6)),$CE$5:$CE43),IF(AX43=10,SUMPRODUCT(--(($AY$5:$AY43=$AY43)*($AX$5:$AX43&gt;=7)*($AX$5:$AX43&lt;=9)),$CE$5:$CE43),0)))))</f>
        <v/>
      </c>
      <c r="CG43" s="12">
        <f>CG42+CE43-CF43</f>
        <v/>
      </c>
      <c r="CH43" s="12">
        <f>IF(ProviderDelay&gt;=1,BO42*BlendedProvPayEss+BP42*BlendedProvPayPrem+BQ42*BlendedProvPayElite+BR42*BlendedProvPayEss+BS42*BlendedProvPayPrem+BT42*BlendedProvPayElite,BO43*BlendedProvPayEss+BP43*BlendedProvPayPrem+BQ43*BlendedProvPayElite+BR43*BlendedProvPayEss+BS43*BlendedProvPayPrem+BT43*BlendedProvPayElite)</f>
        <v/>
      </c>
      <c r="CI43" s="12">
        <f>CA43*PaymentFee</f>
        <v/>
      </c>
      <c r="CJ43" s="12">
        <f>BU43*OpsAI</f>
        <v/>
      </c>
      <c r="CK43" s="12">
        <f>MonthlyFixed</f>
        <v/>
      </c>
      <c r="CL43" s="12">
        <f>BE43*ReferralReward</f>
        <v/>
      </c>
      <c r="CM43" s="12">
        <f>BC43</f>
        <v/>
      </c>
      <c r="CN43" s="9">
        <f>CD43-CH43-CI43-CJ43-CK43-CL43-CM43</f>
        <v/>
      </c>
      <c r="CO43" s="9">
        <f>CO42+CA43-(CH43+CI43+CJ43+CK43+CL43+CM43+CF43)</f>
        <v/>
      </c>
      <c r="CP43" s="12">
        <f>IF(BU43&gt;0,BV43/BU43,0)</f>
        <v/>
      </c>
      <c r="CQ43" s="11">
        <f>IF(BU42&gt;0,MAX(0,(BU42+BF43-BU43)/BU42),0)</f>
        <v/>
      </c>
      <c r="CS43" s="12" t="n">
        <v>39</v>
      </c>
      <c r="CT43" s="12">
        <f>MOD(CS43-1+LaunchMonth-1,12)+1</f>
        <v/>
      </c>
      <c r="CU43" s="12">
        <f>INT((CS43-1+LaunchMonth-1)/12)+1</f>
        <v/>
      </c>
      <c r="CV43" s="12">
        <f>VLOOKUP(CT43,SeasonTable,2,FALSE)</f>
        <v/>
      </c>
      <c r="CW43" s="12">
        <f>(1+InflationRate)^INT((CS43-1)/12)</f>
        <v/>
      </c>
      <c r="CX43" s="11">
        <f>'Sens - Scenarios'!$D$5*VLOOKUP(CT43,ChurnSeasonTable,4,FALSE)</f>
        <v/>
      </c>
      <c r="CY43" s="12">
        <f>MIN(MAX(MktMin19plus,DW42*MktPct19plus),MAX(0,EK42-CashBuffer))</f>
        <v/>
      </c>
      <c r="CZ43" s="12">
        <f>IF(CY43&gt;0,MAX(1,ROUND(CY43/'Sens - Scenarios'!$D$8*CV43,0)),0)</f>
        <v/>
      </c>
      <c r="DA43" s="12">
        <f>IF(CZ43&gt;0,ROUND(CZ43*ReferralMix/(1-ReferralMix),0),0)</f>
        <v/>
      </c>
      <c r="DB43" s="12">
        <f>CZ43+DA43</f>
        <v/>
      </c>
      <c r="DC43" s="12">
        <f>ROUND(DB43*(1-'Sens - Scenarios'!$D$7),0)</f>
        <v/>
      </c>
      <c r="DD43" s="12">
        <f>DB43-DC43</f>
        <v/>
      </c>
      <c r="DE43" s="12">
        <f>ROUND(DC43*EssentialMix,0)</f>
        <v/>
      </c>
      <c r="DF43" s="12">
        <f>ROUND(DC43*PremiumMix,0)</f>
        <v/>
      </c>
      <c r="DG43" s="12">
        <f>DC43-DE43-DF43</f>
        <v/>
      </c>
      <c r="DH43" s="12">
        <f>ROUND(DD43*EssentialMix,0)</f>
        <v/>
      </c>
      <c r="DI43" s="12">
        <f>ROUND(DD43*PremiumMix,0)</f>
        <v/>
      </c>
      <c r="DJ43" s="12">
        <f>DD43-DH43-DI43</f>
        <v/>
      </c>
      <c r="DK43" s="12">
        <f>DE43+DE42+DE41+MAX(0,DK42-DE42-DE41)*(1-CX43)</f>
        <v/>
      </c>
      <c r="DL43" s="12">
        <f>DF43+DF42+DF41+MAX(0,DL42-DF42-DF41)*(1-CX43)</f>
        <v/>
      </c>
      <c r="DM43" s="12">
        <f>DG43+DG42+DG41+MAX(0,DM42-DG42-DG41)*(1-CX43)</f>
        <v/>
      </c>
      <c r="DN43" s="12">
        <f>DN42+DH43-DH31*('Sens - Scenarios'!$D$6*VLOOKUP(CT43,ChurnSeasonTable,4,FALSE))*POWER(1-('Sens - Scenarios'!$D$6*VLOOKUP(CT43,ChurnSeasonTable,4,FALSE)),0)+DH19*('Sens - Scenarios'!$D$6*VLOOKUP(CT43,ChurnSeasonTable,4,FALSE))*POWER(1-('Sens - Scenarios'!$D$6*VLOOKUP(CT43,ChurnSeasonTable,4,FALSE)),1)+DH7*('Sens - Scenarios'!$D$6*VLOOKUP(CT43,ChurnSeasonTable,4,FALSE))*POWER(1-('Sens - Scenarios'!$D$6*VLOOKUP(CT43,ChurnSeasonTable,4,FALSE)),2)</f>
        <v/>
      </c>
      <c r="DO43" s="12">
        <f>DO42+DI43-DI31*('Sens - Scenarios'!$D$6*VLOOKUP(CT43,ChurnSeasonTable,4,FALSE))*POWER(1-('Sens - Scenarios'!$D$6*VLOOKUP(CT43,ChurnSeasonTable,4,FALSE)),0)+DI19*('Sens - Scenarios'!$D$6*VLOOKUP(CT43,ChurnSeasonTable,4,FALSE))*POWER(1-('Sens - Scenarios'!$D$6*VLOOKUP(CT43,ChurnSeasonTable,4,FALSE)),1)+DI7*('Sens - Scenarios'!$D$6*VLOOKUP(CT43,ChurnSeasonTable,4,FALSE))*POWER(1-('Sens - Scenarios'!$D$6*VLOOKUP(CT43,ChurnSeasonTable,4,FALSE)),2)</f>
        <v/>
      </c>
      <c r="DP43" s="12">
        <f>DP42+DJ43-DJ31*('Sens - Scenarios'!$D$6*VLOOKUP(CT43,ChurnSeasonTable,4,FALSE))*POWER(1-('Sens - Scenarios'!$D$6*VLOOKUP(CT43,ChurnSeasonTable,4,FALSE)),0)+DJ19*('Sens - Scenarios'!$D$6*VLOOKUP(CT43,ChurnSeasonTable,4,FALSE))*POWER(1-('Sens - Scenarios'!$D$6*VLOOKUP(CT43,ChurnSeasonTable,4,FALSE)),1)+DJ7*('Sens - Scenarios'!$D$6*VLOOKUP(CT43,ChurnSeasonTable,4,FALSE))*POWER(1-('Sens - Scenarios'!$D$6*VLOOKUP(CT43,ChurnSeasonTable,4,FALSE)),2)</f>
        <v/>
      </c>
      <c r="DQ43" s="12">
        <f>DK43+DL43+DM43+DN43+DO43+DP43</f>
        <v/>
      </c>
      <c r="DR43" s="9">
        <f>DK43*BlendedPriceEssMonthly*CW43+DL43*BlendedPricePremMonthly*CW43+DM43*BlendedPriceEliteMonthly*CW43+DN43*BlendedPriceEssAnnual*CW43/12+DO43*BlendedPricePremAnnual*CW43/12+DP43*BlendedPriceEliteAnnual*CW43/12</f>
        <v/>
      </c>
      <c r="DS43" s="9">
        <f>DR43*12</f>
        <v/>
      </c>
      <c r="DT43" s="12">
        <f>DK43*BlendedPriceEssMonthly*CW43+DL43*BlendedPricePremMonthly*CW43+DM43*BlendedPriceEliteMonthly*CW43</f>
        <v/>
      </c>
      <c r="DU43" s="12">
        <f>DH43*BlendedPriceEssAnnual*CW43+DI43*BlendedPricePremAnnual*CW43+DJ43*BlendedPriceEliteAnnual*CW43</f>
        <v/>
      </c>
      <c r="DV43" s="12">
        <f>DH31*POWER(1-('Sens - Scenarios'!$D$6*VLOOKUP(CT43,ChurnSeasonTable,4,FALSE)),1)*BlendedPriceEssAnnual*CW43+DH19*POWER(1-('Sens - Scenarios'!$D$6*VLOOKUP(CT43,ChurnSeasonTable,4,FALSE)),2)*BlendedPriceEssAnnual*CW43+DH7*POWER(1-('Sens - Scenarios'!$D$6*VLOOKUP(CT43,ChurnSeasonTable,4,FALSE)),3)*BlendedPriceEssAnnual*CW43+DI31*POWER(1-('Sens - Scenarios'!$D$6*VLOOKUP(CT43,ChurnSeasonTable,4,FALSE)),1)*BlendedPricePremAnnual*CW43+DI19*POWER(1-('Sens - Scenarios'!$D$6*VLOOKUP(CT43,ChurnSeasonTable,4,FALSE)),2)*BlendedPricePremAnnual*CW43+DI7*POWER(1-('Sens - Scenarios'!$D$6*VLOOKUP(CT43,ChurnSeasonTable,4,FALSE)),3)*BlendedPricePremAnnual*CW43+DJ31*POWER(1-('Sens - Scenarios'!$D$6*VLOOKUP(CT43,ChurnSeasonTable,4,FALSE)),1)*BlendedPriceEliteAnnual*CW43+DJ19*POWER(1-('Sens - Scenarios'!$D$6*VLOOKUP(CT43,ChurnSeasonTable,4,FALSE)),2)*BlendedPriceEliteAnnual*CW43+DJ7*POWER(1-('Sens - Scenarios'!$D$6*VLOOKUP(CT43,ChurnSeasonTable,4,FALSE)),3)*BlendedPriceEliteAnnual*CW43</f>
        <v/>
      </c>
      <c r="DW43" s="9">
        <f>DT43+DU43+DV43</f>
        <v/>
      </c>
      <c r="DX43" s="12">
        <f>SUM(DW32:DW43)</f>
        <v/>
      </c>
      <c r="DY43" s="12">
        <f>OR(DY42,IF(VATAgentMode,SUM($DW32:$DW43)-SUM($ED32:$ED43)&gt;=VATThreshold,SUM($DW32:$DW43)&gt;=VATThreshold))</f>
        <v/>
      </c>
      <c r="DZ43" s="9">
        <f>IF(DY43,IF(VATAgentMode,DW43-((DW43-ED43)-(DW43-ED43)/(1+VATRate)),DW43/(1+VATRate)),DW43)</f>
        <v/>
      </c>
      <c r="EA43" s="12">
        <f>DW43-DZ43</f>
        <v/>
      </c>
      <c r="EB43" s="12">
        <f>IF(DY43=0,0,IF(CT43=1,SUMPRODUCT(--(($CU$5:$CU43=$CU43-1)*($CT$5:$CT43&gt;=10)*($CT$5:$CT43&lt;=12)),$EA$5:$EA43),IF(CT43=4,SUMPRODUCT(--(($CU$5:$CU43=$CU43)*($CT$5:$CT43&gt;=1)*($CT$5:$CT43&lt;=3)),$EA$5:$EA43),IF(CT43=7,SUMPRODUCT(--(($CU$5:$CU43=$CU43)*($CT$5:$CT43&gt;=4)*($CT$5:$CT43&lt;=6)),$EA$5:$EA43),IF(CT43=10,SUMPRODUCT(--(($CU$5:$CU43=$CU43)*($CT$5:$CT43&gt;=7)*($CT$5:$CT43&lt;=9)),$EA$5:$EA43),0)))))</f>
        <v/>
      </c>
      <c r="EC43" s="12">
        <f>EC42+EA43-EB43</f>
        <v/>
      </c>
      <c r="ED43" s="12">
        <f>IF(ProviderDelay&gt;=1,DK42*BlendedProvPayEss+DL42*BlendedProvPayPrem+DM42*BlendedProvPayElite+DN42*BlendedProvPayEss+DO42*BlendedProvPayPrem+DP42*BlendedProvPayElite,DK43*BlendedProvPayEss+DL43*BlendedProvPayPrem+DM43*BlendedProvPayElite+DN43*BlendedProvPayEss+DO43*BlendedProvPayPrem+DP43*BlendedProvPayElite)</f>
        <v/>
      </c>
      <c r="EE43" s="12">
        <f>DW43*PaymentFee</f>
        <v/>
      </c>
      <c r="EF43" s="12">
        <f>DQ43*OpsAI</f>
        <v/>
      </c>
      <c r="EG43" s="12">
        <f>MonthlyFixed</f>
        <v/>
      </c>
      <c r="EH43" s="12">
        <f>DA43*ReferralReward</f>
        <v/>
      </c>
      <c r="EI43" s="12">
        <f>CY43</f>
        <v/>
      </c>
      <c r="EJ43" s="9">
        <f>DZ43-ED43-EE43-EF43-EG43-EH43-EI43</f>
        <v/>
      </c>
      <c r="EK43" s="9">
        <f>EK42+DW43-(ED43+EE43+EF43+EG43+EH43+EI43+EB43)</f>
        <v/>
      </c>
      <c r="EL43" s="12">
        <f>IF(DQ43&gt;0,DR43/DQ43,0)</f>
        <v/>
      </c>
      <c r="EM43" s="11">
        <f>IF(DQ42&gt;0,MAX(0,(DQ42+DB43-DQ43)/DQ42),0)</f>
        <v/>
      </c>
      <c r="EO43" s="12" t="n">
        <v>39</v>
      </c>
      <c r="EP43" s="12">
        <f>MOD(EO43-1+LaunchMonth-1,12)+1</f>
        <v/>
      </c>
      <c r="EQ43" s="12">
        <f>INT((EO43-1+LaunchMonth-1)/12)+1</f>
        <v/>
      </c>
      <c r="ER43" s="12">
        <f>VLOOKUP(EP43,SeasonTable,2,FALSE)</f>
        <v/>
      </c>
      <c r="ES43" s="12">
        <f>(1+InflationRate)^INT((EO43-1)/12)</f>
        <v/>
      </c>
      <c r="ET43" s="11">
        <f>'Sens - Churn'!$A$13*VLOOKUP(EP43,ChurnSeasonTable,4,FALSE)</f>
        <v/>
      </c>
      <c r="EU43" s="12">
        <f>MIN(MAX(MktMin19plus,FS42*MktPct19plus),MAX(0,GG42-CashBuffer))</f>
        <v/>
      </c>
      <c r="EV43" s="12">
        <f>IF(EU43&gt;0,MAX(1,ROUND(EU43/CAC*ER43,0)),0)</f>
        <v/>
      </c>
      <c r="EW43" s="12">
        <f>IF(EV43&gt;0,ROUND(EV43*ReferralMix/(1-ReferralMix),0),0)</f>
        <v/>
      </c>
      <c r="EX43" s="12">
        <f>EV43+EW43</f>
        <v/>
      </c>
      <c r="EY43" s="12">
        <f>ROUND(EX43*(1-AnnualMix),0)</f>
        <v/>
      </c>
      <c r="EZ43" s="12">
        <f>EX43-EY43</f>
        <v/>
      </c>
      <c r="FA43" s="12">
        <f>ROUND(EY43*EssentialMix,0)</f>
        <v/>
      </c>
      <c r="FB43" s="12">
        <f>ROUND(EY43*PremiumMix,0)</f>
        <v/>
      </c>
      <c r="FC43" s="12">
        <f>EY43-FA43-FB43</f>
        <v/>
      </c>
      <c r="FD43" s="12">
        <f>ROUND(EZ43*EssentialMix,0)</f>
        <v/>
      </c>
      <c r="FE43" s="12">
        <f>ROUND(EZ43*PremiumMix,0)</f>
        <v/>
      </c>
      <c r="FF43" s="12">
        <f>EZ43-FD43-FE43</f>
        <v/>
      </c>
      <c r="FG43" s="12">
        <f>FA43+FA42+FA41+MAX(0,FG42-FA42-FA41)*(1-ET43)</f>
        <v/>
      </c>
      <c r="FH43" s="12">
        <f>FB43+FB42+FB41+MAX(0,FH42-FB42-FB41)*(1-ET43)</f>
        <v/>
      </c>
      <c r="FI43" s="12">
        <f>FC43+FC42+FC41+MAX(0,FI42-FC42-FC41)*(1-ET43)</f>
        <v/>
      </c>
      <c r="FJ43" s="12">
        <f>FJ42+FD43-FD31*(AnnualChurn*VLOOKUP(EP43,ChurnSeasonTable,4,FALSE))*POWER(1-(AnnualChurn*VLOOKUP(EP43,ChurnSeasonTable,4,FALSE)),0)+FD19*(AnnualChurn*VLOOKUP(EP43,ChurnSeasonTable,4,FALSE))*POWER(1-(AnnualChurn*VLOOKUP(EP43,ChurnSeasonTable,4,FALSE)),1)+FD7*(AnnualChurn*VLOOKUP(EP43,ChurnSeasonTable,4,FALSE))*POWER(1-(AnnualChurn*VLOOKUP(EP43,ChurnSeasonTable,4,FALSE)),2)</f>
        <v/>
      </c>
      <c r="FK43" s="12">
        <f>FK42+FE43-FE31*(AnnualChurn*VLOOKUP(EP43,ChurnSeasonTable,4,FALSE))*POWER(1-(AnnualChurn*VLOOKUP(EP43,ChurnSeasonTable,4,FALSE)),0)+FE19*(AnnualChurn*VLOOKUP(EP43,ChurnSeasonTable,4,FALSE))*POWER(1-(AnnualChurn*VLOOKUP(EP43,ChurnSeasonTable,4,FALSE)),1)+FE7*(AnnualChurn*VLOOKUP(EP43,ChurnSeasonTable,4,FALSE))*POWER(1-(AnnualChurn*VLOOKUP(EP43,ChurnSeasonTable,4,FALSE)),2)</f>
        <v/>
      </c>
      <c r="FL43" s="12">
        <f>FL42+FF43-FF31*(AnnualChurn*VLOOKUP(EP43,ChurnSeasonTable,4,FALSE))*POWER(1-(AnnualChurn*VLOOKUP(EP43,ChurnSeasonTable,4,FALSE)),0)+FF19*(AnnualChurn*VLOOKUP(EP43,ChurnSeasonTable,4,FALSE))*POWER(1-(AnnualChurn*VLOOKUP(EP43,ChurnSeasonTable,4,FALSE)),1)+FF7*(AnnualChurn*VLOOKUP(EP43,ChurnSeasonTable,4,FALSE))*POWER(1-(AnnualChurn*VLOOKUP(EP43,ChurnSeasonTable,4,FALSE)),2)</f>
        <v/>
      </c>
      <c r="FM43" s="12">
        <f>FG43+FH43+FI43+FJ43+FK43+FL43</f>
        <v/>
      </c>
      <c r="FN43" s="9">
        <f>FG43*BlendedPriceEssMonthly*ES43+FH43*BlendedPricePremMonthly*ES43+FI43*BlendedPriceEliteMonthly*ES43+FJ43*BlendedPriceEssAnnual*ES43/12+FK43*BlendedPricePremAnnual*ES43/12+FL43*BlendedPriceEliteAnnual*ES43/12</f>
        <v/>
      </c>
      <c r="FO43" s="9">
        <f>FN43*12</f>
        <v/>
      </c>
      <c r="FP43" s="12">
        <f>FG43*BlendedPriceEssMonthly*ES43+FH43*BlendedPricePremMonthly*ES43+FI43*BlendedPriceEliteMonthly*ES43</f>
        <v/>
      </c>
      <c r="FQ43" s="12">
        <f>FD43*BlendedPriceEssAnnual*ES43+FE43*BlendedPricePremAnnual*ES43+FF43*BlendedPriceEliteAnnual*ES43</f>
        <v/>
      </c>
      <c r="FR43" s="12">
        <f>FD31*POWER(1-(AnnualChurn*VLOOKUP(EP43,ChurnSeasonTable,4,FALSE)),1)*BlendedPriceEssAnnual*ES43+FD19*POWER(1-(AnnualChurn*VLOOKUP(EP43,ChurnSeasonTable,4,FALSE)),2)*BlendedPriceEssAnnual*ES43+FD7*POWER(1-(AnnualChurn*VLOOKUP(EP43,ChurnSeasonTable,4,FALSE)),3)*BlendedPriceEssAnnual*ES43+FE31*POWER(1-(AnnualChurn*VLOOKUP(EP43,ChurnSeasonTable,4,FALSE)),1)*BlendedPricePremAnnual*ES43+FE19*POWER(1-(AnnualChurn*VLOOKUP(EP43,ChurnSeasonTable,4,FALSE)),2)*BlendedPricePremAnnual*ES43+FE7*POWER(1-(AnnualChurn*VLOOKUP(EP43,ChurnSeasonTable,4,FALSE)),3)*BlendedPricePremAnnual*ES43+FF31*POWER(1-(AnnualChurn*VLOOKUP(EP43,ChurnSeasonTable,4,FALSE)),1)*BlendedPriceEliteAnnual*ES43+FF19*POWER(1-(AnnualChurn*VLOOKUP(EP43,ChurnSeasonTable,4,FALSE)),2)*BlendedPriceEliteAnnual*ES43+FF7*POWER(1-(AnnualChurn*VLOOKUP(EP43,ChurnSeasonTable,4,FALSE)),3)*BlendedPriceEliteAnnual*ES43</f>
        <v/>
      </c>
      <c r="FS43" s="9">
        <f>FP43+FQ43+FR43</f>
        <v/>
      </c>
      <c r="FT43" s="12">
        <f>SUM(FS32:FS43)</f>
        <v/>
      </c>
      <c r="FU43" s="12">
        <f>OR(FU42,IF(VATAgentMode,SUM($FS32:$FS43)-SUM($FZ32:$FZ43)&gt;=VATThreshold,SUM($FS32:$FS43)&gt;=VATThreshold))</f>
        <v/>
      </c>
      <c r="FV43" s="9">
        <f>IF(FU43,IF(VATAgentMode,FS43-((FS43-FZ43)-(FS43-FZ43)/(1+VATRate)),FS43/(1+VATRate)),FS43)</f>
        <v/>
      </c>
      <c r="FW43" s="12">
        <f>FS43-FV43</f>
        <v/>
      </c>
      <c r="FX43" s="12">
        <f>IF(FU43=0,0,IF(EP43=1,SUMPRODUCT(--(($EQ$5:$EQ43=$EQ43-1)*($EP$5:$EP43&gt;=10)*($EP$5:$EP43&lt;=12)),$FW$5:$FW43),IF(EP43=4,SUMPRODUCT(--(($EQ$5:$EQ43=$EQ43)*($EP$5:$EP43&gt;=1)*($EP$5:$EP43&lt;=3)),$FW$5:$FW43),IF(EP43=7,SUMPRODUCT(--(($EQ$5:$EQ43=$EQ43)*($EP$5:$EP43&gt;=4)*($EP$5:$EP43&lt;=6)),$FW$5:$FW43),IF(EP43=10,SUMPRODUCT(--(($EQ$5:$EQ43=$EQ43)*($EP$5:$EP43&gt;=7)*($EP$5:$EP43&lt;=9)),$FW$5:$FW43),0)))))</f>
        <v/>
      </c>
      <c r="FY43" s="12">
        <f>FY42+FW43-FX43</f>
        <v/>
      </c>
      <c r="FZ43" s="12">
        <f>IF(ProviderDelay&gt;=1,FG42*BlendedProvPayEss+FH42*BlendedProvPayPrem+FI42*BlendedProvPayElite+FJ42*BlendedProvPayEss+FK42*BlendedProvPayPrem+FL42*BlendedProvPayElite,FG43*BlendedProvPayEss+FH43*BlendedProvPayPrem+FI43*BlendedProvPayElite+FJ43*BlendedProvPayEss+FK43*BlendedProvPayPrem+FL43*BlendedProvPayElite)</f>
        <v/>
      </c>
      <c r="GA43" s="12">
        <f>FS43*PaymentFee</f>
        <v/>
      </c>
      <c r="GB43" s="12">
        <f>FM43*OpsAI</f>
        <v/>
      </c>
      <c r="GC43" s="12">
        <f>MonthlyFixed</f>
        <v/>
      </c>
      <c r="GD43" s="12">
        <f>EW43*ReferralReward</f>
        <v/>
      </c>
      <c r="GE43" s="12">
        <f>EU43</f>
        <v/>
      </c>
      <c r="GF43" s="9">
        <f>FV43-FZ43-GA43-GB43-GC43-GD43-GE43</f>
        <v/>
      </c>
      <c r="GG43" s="9">
        <f>GG42+FS43-(FZ43+GA43+GB43+GC43+GD43+GE43+FX43)</f>
        <v/>
      </c>
      <c r="GH43" s="12">
        <f>IF(FM43&gt;0,FN43/FM43,0)</f>
        <v/>
      </c>
      <c r="GI43" s="11">
        <f>IF(FM42&gt;0,MAX(0,(FM42+EX43-FM43)/FM42),0)</f>
        <v/>
      </c>
      <c r="GK43" s="12" t="n">
        <v>39</v>
      </c>
      <c r="GL43" s="12">
        <f>MOD(GK43-1+LaunchMonth-1,12)+1</f>
        <v/>
      </c>
      <c r="GM43" s="12">
        <f>INT((GK43-1+LaunchMonth-1)/12)+1</f>
        <v/>
      </c>
      <c r="GN43" s="12">
        <f>VLOOKUP(GL43,SeasonTable,2,FALSE)</f>
        <v/>
      </c>
      <c r="GO43" s="12">
        <f>(1+InflationRate)^INT((GK43-1)/12)</f>
        <v/>
      </c>
      <c r="GP43" s="11">
        <f>'Sens - Churn'!$A$14*VLOOKUP(GL43,ChurnSeasonTable,4,FALSE)</f>
        <v/>
      </c>
      <c r="GQ43" s="12">
        <f>MIN(MAX(MktMin19plus,HO42*MktPct19plus),MAX(0,IC42-CashBuffer))</f>
        <v/>
      </c>
      <c r="GR43" s="12">
        <f>IF(GQ43&gt;0,MAX(1,ROUND(GQ43/CAC*GN43,0)),0)</f>
        <v/>
      </c>
      <c r="GS43" s="12">
        <f>IF(GR43&gt;0,ROUND(GR43*ReferralMix/(1-ReferralMix),0),0)</f>
        <v/>
      </c>
      <c r="GT43" s="12">
        <f>GR43+GS43</f>
        <v/>
      </c>
      <c r="GU43" s="12">
        <f>ROUND(GT43*(1-AnnualMix),0)</f>
        <v/>
      </c>
      <c r="GV43" s="12">
        <f>GT43-GU43</f>
        <v/>
      </c>
      <c r="GW43" s="12">
        <f>ROUND(GU43*EssentialMix,0)</f>
        <v/>
      </c>
      <c r="GX43" s="12">
        <f>ROUND(GU43*PremiumMix,0)</f>
        <v/>
      </c>
      <c r="GY43" s="12">
        <f>GU43-GW43-GX43</f>
        <v/>
      </c>
      <c r="GZ43" s="12">
        <f>ROUND(GV43*EssentialMix,0)</f>
        <v/>
      </c>
      <c r="HA43" s="12">
        <f>ROUND(GV43*PremiumMix,0)</f>
        <v/>
      </c>
      <c r="HB43" s="12">
        <f>GV43-GZ43-HA43</f>
        <v/>
      </c>
      <c r="HC43" s="12">
        <f>GW43+GW42+GW41+MAX(0,HC42-GW42-GW41)*(1-GP43)</f>
        <v/>
      </c>
      <c r="HD43" s="12">
        <f>GX43+GX42+GX41+MAX(0,HD42-GX42-GX41)*(1-GP43)</f>
        <v/>
      </c>
      <c r="HE43" s="12">
        <f>GY43+GY42+GY41+MAX(0,HE42-GY42-GY41)*(1-GP43)</f>
        <v/>
      </c>
      <c r="HF43" s="12">
        <f>HF42+GZ43-GZ31*(AnnualChurn*VLOOKUP(GL43,ChurnSeasonTable,4,FALSE))*POWER(1-(AnnualChurn*VLOOKUP(GL43,ChurnSeasonTable,4,FALSE)),0)+GZ19*(AnnualChurn*VLOOKUP(GL43,ChurnSeasonTable,4,FALSE))*POWER(1-(AnnualChurn*VLOOKUP(GL43,ChurnSeasonTable,4,FALSE)),1)+GZ7*(AnnualChurn*VLOOKUP(GL43,ChurnSeasonTable,4,FALSE))*POWER(1-(AnnualChurn*VLOOKUP(GL43,ChurnSeasonTable,4,FALSE)),2)</f>
        <v/>
      </c>
      <c r="HG43" s="12">
        <f>HG42+HA43-HA31*(AnnualChurn*VLOOKUP(GL43,ChurnSeasonTable,4,FALSE))*POWER(1-(AnnualChurn*VLOOKUP(GL43,ChurnSeasonTable,4,FALSE)),0)+HA19*(AnnualChurn*VLOOKUP(GL43,ChurnSeasonTable,4,FALSE))*POWER(1-(AnnualChurn*VLOOKUP(GL43,ChurnSeasonTable,4,FALSE)),1)+HA7*(AnnualChurn*VLOOKUP(GL43,ChurnSeasonTable,4,FALSE))*POWER(1-(AnnualChurn*VLOOKUP(GL43,ChurnSeasonTable,4,FALSE)),2)</f>
        <v/>
      </c>
      <c r="HH43" s="12">
        <f>HH42+HB43-HB31*(AnnualChurn*VLOOKUP(GL43,ChurnSeasonTable,4,FALSE))*POWER(1-(AnnualChurn*VLOOKUP(GL43,ChurnSeasonTable,4,FALSE)),0)+HB19*(AnnualChurn*VLOOKUP(GL43,ChurnSeasonTable,4,FALSE))*POWER(1-(AnnualChurn*VLOOKUP(GL43,ChurnSeasonTable,4,FALSE)),1)+HB7*(AnnualChurn*VLOOKUP(GL43,ChurnSeasonTable,4,FALSE))*POWER(1-(AnnualChurn*VLOOKUP(GL43,ChurnSeasonTable,4,FALSE)),2)</f>
        <v/>
      </c>
      <c r="HI43" s="12">
        <f>HC43+HD43+HE43+HF43+HG43+HH43</f>
        <v/>
      </c>
      <c r="HJ43" s="9">
        <f>HC43*BlendedPriceEssMonthly*GO43+HD43*BlendedPricePremMonthly*GO43+HE43*BlendedPriceEliteMonthly*GO43+HF43*BlendedPriceEssAnnual*GO43/12+HG43*BlendedPricePremAnnual*GO43/12+HH43*BlendedPriceEliteAnnual*GO43/12</f>
        <v/>
      </c>
      <c r="HK43" s="9">
        <f>HJ43*12</f>
        <v/>
      </c>
      <c r="HL43" s="12">
        <f>HC43*BlendedPriceEssMonthly*GO43+HD43*BlendedPricePremMonthly*GO43+HE43*BlendedPriceEliteMonthly*GO43</f>
        <v/>
      </c>
      <c r="HM43" s="12">
        <f>GZ43*BlendedPriceEssAnnual*GO43+HA43*BlendedPricePremAnnual*GO43+HB43*BlendedPriceEliteAnnual*GO43</f>
        <v/>
      </c>
      <c r="HN43" s="12">
        <f>GZ31*POWER(1-(AnnualChurn*VLOOKUP(GL43,ChurnSeasonTable,4,FALSE)),1)*BlendedPriceEssAnnual*GO43+GZ19*POWER(1-(AnnualChurn*VLOOKUP(GL43,ChurnSeasonTable,4,FALSE)),2)*BlendedPriceEssAnnual*GO43+GZ7*POWER(1-(AnnualChurn*VLOOKUP(GL43,ChurnSeasonTable,4,FALSE)),3)*BlendedPriceEssAnnual*GO43+HA31*POWER(1-(AnnualChurn*VLOOKUP(GL43,ChurnSeasonTable,4,FALSE)),1)*BlendedPricePremAnnual*GO43+HA19*POWER(1-(AnnualChurn*VLOOKUP(GL43,ChurnSeasonTable,4,FALSE)),2)*BlendedPricePremAnnual*GO43+HA7*POWER(1-(AnnualChurn*VLOOKUP(GL43,ChurnSeasonTable,4,FALSE)),3)*BlendedPricePremAnnual*GO43+HB31*POWER(1-(AnnualChurn*VLOOKUP(GL43,ChurnSeasonTable,4,FALSE)),1)*BlendedPriceEliteAnnual*GO43+HB19*POWER(1-(AnnualChurn*VLOOKUP(GL43,ChurnSeasonTable,4,FALSE)),2)*BlendedPriceEliteAnnual*GO43+HB7*POWER(1-(AnnualChurn*VLOOKUP(GL43,ChurnSeasonTable,4,FALSE)),3)*BlendedPriceEliteAnnual*GO43</f>
        <v/>
      </c>
      <c r="HO43" s="9">
        <f>HL43+HM43+HN43</f>
        <v/>
      </c>
      <c r="HP43" s="12">
        <f>SUM(HO32:HO43)</f>
        <v/>
      </c>
      <c r="HQ43" s="12">
        <f>OR(HQ42,IF(VATAgentMode,SUM($HO32:$HO43)-SUM($HV32:$HV43)&gt;=VATThreshold,SUM($HO32:$HO43)&gt;=VATThreshold))</f>
        <v/>
      </c>
      <c r="HR43" s="9">
        <f>IF(HQ43,IF(VATAgentMode,HO43-((HO43-HV43)-(HO43-HV43)/(1+VATRate)),HO43/(1+VATRate)),HO43)</f>
        <v/>
      </c>
      <c r="HS43" s="12">
        <f>HO43-HR43</f>
        <v/>
      </c>
      <c r="HT43" s="12">
        <f>IF(HQ43=0,0,IF(GL43=1,SUMPRODUCT(--(($GM$5:$GM43=$GM43-1)*($GL$5:$GL43&gt;=10)*($GL$5:$GL43&lt;=12)),$HS$5:$HS43),IF(GL43=4,SUMPRODUCT(--(($GM$5:$GM43=$GM43)*($GL$5:$GL43&gt;=1)*($GL$5:$GL43&lt;=3)),$HS$5:$HS43),IF(GL43=7,SUMPRODUCT(--(($GM$5:$GM43=$GM43)*($GL$5:$GL43&gt;=4)*($GL$5:$GL43&lt;=6)),$HS$5:$HS43),IF(GL43=10,SUMPRODUCT(--(($GM$5:$GM43=$GM43)*($GL$5:$GL43&gt;=7)*($GL$5:$GL43&lt;=9)),$HS$5:$HS43),0)))))</f>
        <v/>
      </c>
      <c r="HU43" s="12">
        <f>HU42+HS43-HT43</f>
        <v/>
      </c>
      <c r="HV43" s="12">
        <f>IF(ProviderDelay&gt;=1,HC42*BlendedProvPayEss+HD42*BlendedProvPayPrem+HE42*BlendedProvPayElite+HF42*BlendedProvPayEss+HG42*BlendedProvPayPrem+HH42*BlendedProvPayElite,HC43*BlendedProvPayEss+HD43*BlendedProvPayPrem+HE43*BlendedProvPayElite+HF43*BlendedProvPayEss+HG43*BlendedProvPayPrem+HH43*BlendedProvPayElite)</f>
        <v/>
      </c>
      <c r="HW43" s="12">
        <f>HO43*PaymentFee</f>
        <v/>
      </c>
      <c r="HX43" s="12">
        <f>HI43*OpsAI</f>
        <v/>
      </c>
      <c r="HY43" s="12">
        <f>MonthlyFixed</f>
        <v/>
      </c>
      <c r="HZ43" s="12">
        <f>GS43*ReferralReward</f>
        <v/>
      </c>
      <c r="IA43" s="12">
        <f>GQ43</f>
        <v/>
      </c>
      <c r="IB43" s="9">
        <f>HR43-HV43-HW43-HX43-HY43-HZ43-IA43</f>
        <v/>
      </c>
      <c r="IC43" s="9">
        <f>IC42+HO43-(HV43+HW43+HX43+HY43+HZ43+IA43+HT43)</f>
        <v/>
      </c>
      <c r="ID43" s="12">
        <f>IF(HI43&gt;0,HJ43/HI43,0)</f>
        <v/>
      </c>
      <c r="IE43" s="11">
        <f>IF(HI42&gt;0,MAX(0,(HI42+GT43-HI43)/HI42),0)</f>
        <v/>
      </c>
      <c r="IG43" s="12" t="n">
        <v>39</v>
      </c>
      <c r="IH43" s="12">
        <f>MOD(IG43-1+LaunchMonth-1,12)+1</f>
        <v/>
      </c>
      <c r="II43" s="12">
        <f>INT((IG43-1+LaunchMonth-1)/12)+1</f>
        <v/>
      </c>
      <c r="IJ43" s="12">
        <f>VLOOKUP(IH43,SeasonTable,2,FALSE)</f>
        <v/>
      </c>
      <c r="IK43" s="12">
        <f>(1+InflationRate)^INT((IG43-1)/12)</f>
        <v/>
      </c>
      <c r="IL43" s="11">
        <f>'Sens - Churn'!$A$15*VLOOKUP(IH43,ChurnSeasonTable,4,FALSE)</f>
        <v/>
      </c>
      <c r="IM43" s="12">
        <f>MIN(MAX(MktMin19plus,JK42*MktPct19plus),MAX(0,JY42-CashBuffer))</f>
        <v/>
      </c>
      <c r="IN43" s="12">
        <f>IF(IM43&gt;0,MAX(1,ROUND(IM43/CAC*IJ43,0)),0)</f>
        <v/>
      </c>
      <c r="IO43" s="12">
        <f>IF(IN43&gt;0,ROUND(IN43*ReferralMix/(1-ReferralMix),0),0)</f>
        <v/>
      </c>
      <c r="IP43" s="12">
        <f>IN43+IO43</f>
        <v/>
      </c>
      <c r="IQ43" s="12">
        <f>ROUND(IP43*(1-AnnualMix),0)</f>
        <v/>
      </c>
      <c r="IR43" s="12">
        <f>IP43-IQ43</f>
        <v/>
      </c>
      <c r="IS43" s="12">
        <f>ROUND(IQ43*EssentialMix,0)</f>
        <v/>
      </c>
      <c r="IT43" s="12">
        <f>ROUND(IQ43*PremiumMix,0)</f>
        <v/>
      </c>
      <c r="IU43" s="12">
        <f>IQ43-IS43-IT43</f>
        <v/>
      </c>
      <c r="IV43" s="12">
        <f>ROUND(IR43*EssentialMix,0)</f>
        <v/>
      </c>
      <c r="IW43" s="12">
        <f>ROUND(IR43*PremiumMix,0)</f>
        <v/>
      </c>
      <c r="IX43" s="12">
        <f>IR43-IV43-IW43</f>
        <v/>
      </c>
      <c r="IY43" s="12">
        <f>IS43+IS42+IS41+MAX(0,IY42-IS42-IS41)*(1-IL43)</f>
        <v/>
      </c>
      <c r="IZ43" s="12">
        <f>IT43+IT42+IT41+MAX(0,IZ42-IT42-IT41)*(1-IL43)</f>
        <v/>
      </c>
      <c r="JA43" s="12">
        <f>IU43+IU42+IU41+MAX(0,JA42-IU42-IU41)*(1-IL43)</f>
        <v/>
      </c>
      <c r="JB43" s="12">
        <f>JB42+IV43-IV31*(AnnualChurn*VLOOKUP(IH43,ChurnSeasonTable,4,FALSE))*POWER(1-(AnnualChurn*VLOOKUP(IH43,ChurnSeasonTable,4,FALSE)),0)+IV19*(AnnualChurn*VLOOKUP(IH43,ChurnSeasonTable,4,FALSE))*POWER(1-(AnnualChurn*VLOOKUP(IH43,ChurnSeasonTable,4,FALSE)),1)+IV7*(AnnualChurn*VLOOKUP(IH43,ChurnSeasonTable,4,FALSE))*POWER(1-(AnnualChurn*VLOOKUP(IH43,ChurnSeasonTable,4,FALSE)),2)</f>
        <v/>
      </c>
      <c r="JC43" s="12">
        <f>JC42+IW43-IW31*(AnnualChurn*VLOOKUP(IH43,ChurnSeasonTable,4,FALSE))*POWER(1-(AnnualChurn*VLOOKUP(IH43,ChurnSeasonTable,4,FALSE)),0)+IW19*(AnnualChurn*VLOOKUP(IH43,ChurnSeasonTable,4,FALSE))*POWER(1-(AnnualChurn*VLOOKUP(IH43,ChurnSeasonTable,4,FALSE)),1)+IW7*(AnnualChurn*VLOOKUP(IH43,ChurnSeasonTable,4,FALSE))*POWER(1-(AnnualChurn*VLOOKUP(IH43,ChurnSeasonTable,4,FALSE)),2)</f>
        <v/>
      </c>
      <c r="JD43" s="12">
        <f>JD42+IX43-IX31*(AnnualChurn*VLOOKUP(IH43,ChurnSeasonTable,4,FALSE))*POWER(1-(AnnualChurn*VLOOKUP(IH43,ChurnSeasonTable,4,FALSE)),0)+IX19*(AnnualChurn*VLOOKUP(IH43,ChurnSeasonTable,4,FALSE))*POWER(1-(AnnualChurn*VLOOKUP(IH43,ChurnSeasonTable,4,FALSE)),1)+IX7*(AnnualChurn*VLOOKUP(IH43,ChurnSeasonTable,4,FALSE))*POWER(1-(AnnualChurn*VLOOKUP(IH43,ChurnSeasonTable,4,FALSE)),2)</f>
        <v/>
      </c>
      <c r="JE43" s="12">
        <f>IY43+IZ43+JA43+JB43+JC43+JD43</f>
        <v/>
      </c>
      <c r="JF43" s="9">
        <f>IY43*BlendedPriceEssMonthly*IK43+IZ43*BlendedPricePremMonthly*IK43+JA43*BlendedPriceEliteMonthly*IK43+JB43*BlendedPriceEssAnnual*IK43/12+JC43*BlendedPricePremAnnual*IK43/12+JD43*BlendedPriceEliteAnnual*IK43/12</f>
        <v/>
      </c>
      <c r="JG43" s="9">
        <f>JF43*12</f>
        <v/>
      </c>
      <c r="JH43" s="12">
        <f>IY43*BlendedPriceEssMonthly*IK43+IZ43*BlendedPricePremMonthly*IK43+JA43*BlendedPriceEliteMonthly*IK43</f>
        <v/>
      </c>
      <c r="JI43" s="12">
        <f>IV43*BlendedPriceEssAnnual*IK43+IW43*BlendedPricePremAnnual*IK43+IX43*BlendedPriceEliteAnnual*IK43</f>
        <v/>
      </c>
      <c r="JJ43" s="12">
        <f>IV31*POWER(1-(AnnualChurn*VLOOKUP(IH43,ChurnSeasonTable,4,FALSE)),1)*BlendedPriceEssAnnual*IK43+IV19*POWER(1-(AnnualChurn*VLOOKUP(IH43,ChurnSeasonTable,4,FALSE)),2)*BlendedPriceEssAnnual*IK43+IV7*POWER(1-(AnnualChurn*VLOOKUP(IH43,ChurnSeasonTable,4,FALSE)),3)*BlendedPriceEssAnnual*IK43+IW31*POWER(1-(AnnualChurn*VLOOKUP(IH43,ChurnSeasonTable,4,FALSE)),1)*BlendedPricePremAnnual*IK43+IW19*POWER(1-(AnnualChurn*VLOOKUP(IH43,ChurnSeasonTable,4,FALSE)),2)*BlendedPricePremAnnual*IK43+IW7*POWER(1-(AnnualChurn*VLOOKUP(IH43,ChurnSeasonTable,4,FALSE)),3)*BlendedPricePremAnnual*IK43+IX31*POWER(1-(AnnualChurn*VLOOKUP(IH43,ChurnSeasonTable,4,FALSE)),1)*BlendedPriceEliteAnnual*IK43+IX19*POWER(1-(AnnualChurn*VLOOKUP(IH43,ChurnSeasonTable,4,FALSE)),2)*BlendedPriceEliteAnnual*IK43+IX7*POWER(1-(AnnualChurn*VLOOKUP(IH43,ChurnSeasonTable,4,FALSE)),3)*BlendedPriceEliteAnnual*IK43</f>
        <v/>
      </c>
      <c r="JK43" s="9">
        <f>JH43+JI43+JJ43</f>
        <v/>
      </c>
      <c r="JL43" s="12">
        <f>SUM(JK32:JK43)</f>
        <v/>
      </c>
      <c r="JM43" s="12">
        <f>OR(JM42,IF(VATAgentMode,SUM($JK32:$JK43)-SUM($JR32:$JR43)&gt;=VATThreshold,SUM($JK32:$JK43)&gt;=VATThreshold))</f>
        <v/>
      </c>
      <c r="JN43" s="9">
        <f>IF(JM43,IF(VATAgentMode,JK43-((JK43-JR43)-(JK43-JR43)/(1+VATRate)),JK43/(1+VATRate)),JK43)</f>
        <v/>
      </c>
      <c r="JO43" s="12">
        <f>JK43-JN43</f>
        <v/>
      </c>
      <c r="JP43" s="12">
        <f>IF(JM43=0,0,IF(IH43=1,SUMPRODUCT(--(($II$5:$II43=$II43-1)*($IH$5:$IH43&gt;=10)*($IH$5:$IH43&lt;=12)),$JO$5:$JO43),IF(IH43=4,SUMPRODUCT(--(($II$5:$II43=$II43)*($IH$5:$IH43&gt;=1)*($IH$5:$IH43&lt;=3)),$JO$5:$JO43),IF(IH43=7,SUMPRODUCT(--(($II$5:$II43=$II43)*($IH$5:$IH43&gt;=4)*($IH$5:$IH43&lt;=6)),$JO$5:$JO43),IF(IH43=10,SUMPRODUCT(--(($II$5:$II43=$II43)*($IH$5:$IH43&gt;=7)*($IH$5:$IH43&lt;=9)),$JO$5:$JO43),0)))))</f>
        <v/>
      </c>
      <c r="JQ43" s="12">
        <f>JQ42+JO43-JP43</f>
        <v/>
      </c>
      <c r="JR43" s="12">
        <f>IF(ProviderDelay&gt;=1,IY42*BlendedProvPayEss+IZ42*BlendedProvPayPrem+JA42*BlendedProvPayElite+JB42*BlendedProvPayEss+JC42*BlendedProvPayPrem+JD42*BlendedProvPayElite,IY43*BlendedProvPayEss+IZ43*BlendedProvPayPrem+JA43*BlendedProvPayElite+JB43*BlendedProvPayEss+JC43*BlendedProvPayPrem+JD43*BlendedProvPayElite)</f>
        <v/>
      </c>
      <c r="JS43" s="12">
        <f>JK43*PaymentFee</f>
        <v/>
      </c>
      <c r="JT43" s="12">
        <f>JE43*OpsAI</f>
        <v/>
      </c>
      <c r="JU43" s="12">
        <f>MonthlyFixed</f>
        <v/>
      </c>
      <c r="JV43" s="12">
        <f>IO43*ReferralReward</f>
        <v/>
      </c>
      <c r="JW43" s="12">
        <f>IM43</f>
        <v/>
      </c>
      <c r="JX43" s="9">
        <f>JN43-JR43-JS43-JT43-JU43-JV43-JW43</f>
        <v/>
      </c>
      <c r="JY43" s="9">
        <f>JY42+JK43-(JR43+JS43+JT43+JU43+JV43+JW43+JP43)</f>
        <v/>
      </c>
      <c r="JZ43" s="12">
        <f>IF(JE43&gt;0,JF43/JE43,0)</f>
        <v/>
      </c>
      <c r="KA43" s="11">
        <f>IF(JE42&gt;0,MAX(0,(JE42+IP43-JE43)/JE42),0)</f>
        <v/>
      </c>
      <c r="KC43" s="12" t="n">
        <v>39</v>
      </c>
      <c r="KD43" s="12">
        <f>MOD(KC43-1+LaunchMonth-1,12)+1</f>
        <v/>
      </c>
      <c r="KE43" s="12">
        <f>INT((KC43-1+LaunchMonth-1)/12)+1</f>
        <v/>
      </c>
      <c r="KF43" s="12">
        <f>VLOOKUP(KD43,SeasonTable,2,FALSE)</f>
        <v/>
      </c>
      <c r="KG43" s="12">
        <f>(1+InflationRate)^INT((KC43-1)/12)</f>
        <v/>
      </c>
      <c r="KH43" s="11">
        <f>'Sens - Churn'!$A$16*VLOOKUP(KD43,ChurnSeasonTable,4,FALSE)</f>
        <v/>
      </c>
      <c r="KI43" s="12">
        <f>MIN(MAX(MktMin19plus,LG42*MktPct19plus),MAX(0,LU42-CashBuffer))</f>
        <v/>
      </c>
      <c r="KJ43" s="12">
        <f>IF(KI43&gt;0,MAX(1,ROUND(KI43/CAC*KF43,0)),0)</f>
        <v/>
      </c>
      <c r="KK43" s="12">
        <f>IF(KJ43&gt;0,ROUND(KJ43*ReferralMix/(1-ReferralMix),0),0)</f>
        <v/>
      </c>
      <c r="KL43" s="12">
        <f>KJ43+KK43</f>
        <v/>
      </c>
      <c r="KM43" s="12">
        <f>ROUND(KL43*(1-AnnualMix),0)</f>
        <v/>
      </c>
      <c r="KN43" s="12">
        <f>KL43-KM43</f>
        <v/>
      </c>
      <c r="KO43" s="12">
        <f>ROUND(KM43*EssentialMix,0)</f>
        <v/>
      </c>
      <c r="KP43" s="12">
        <f>ROUND(KM43*PremiumMix,0)</f>
        <v/>
      </c>
      <c r="KQ43" s="12">
        <f>KM43-KO43-KP43</f>
        <v/>
      </c>
      <c r="KR43" s="12">
        <f>ROUND(KN43*EssentialMix,0)</f>
        <v/>
      </c>
      <c r="KS43" s="12">
        <f>ROUND(KN43*PremiumMix,0)</f>
        <v/>
      </c>
      <c r="KT43" s="12">
        <f>KN43-KR43-KS43</f>
        <v/>
      </c>
      <c r="KU43" s="12">
        <f>KO43+KO42+KO41+MAX(0,KU42-KO42-KO41)*(1-KH43)</f>
        <v/>
      </c>
      <c r="KV43" s="12">
        <f>KP43+KP42+KP41+MAX(0,KV42-KP42-KP41)*(1-KH43)</f>
        <v/>
      </c>
      <c r="KW43" s="12">
        <f>KQ43+KQ42+KQ41+MAX(0,KW42-KQ42-KQ41)*(1-KH43)</f>
        <v/>
      </c>
      <c r="KX43" s="12">
        <f>KX42+KR43-KR31*(AnnualChurn*VLOOKUP(KD43,ChurnSeasonTable,4,FALSE))*POWER(1-(AnnualChurn*VLOOKUP(KD43,ChurnSeasonTable,4,FALSE)),0)+KR19*(AnnualChurn*VLOOKUP(KD43,ChurnSeasonTable,4,FALSE))*POWER(1-(AnnualChurn*VLOOKUP(KD43,ChurnSeasonTable,4,FALSE)),1)+KR7*(AnnualChurn*VLOOKUP(KD43,ChurnSeasonTable,4,FALSE))*POWER(1-(AnnualChurn*VLOOKUP(KD43,ChurnSeasonTable,4,FALSE)),2)</f>
        <v/>
      </c>
      <c r="KY43" s="12">
        <f>KY42+KS43-KS31*(AnnualChurn*VLOOKUP(KD43,ChurnSeasonTable,4,FALSE))*POWER(1-(AnnualChurn*VLOOKUP(KD43,ChurnSeasonTable,4,FALSE)),0)+KS19*(AnnualChurn*VLOOKUP(KD43,ChurnSeasonTable,4,FALSE))*POWER(1-(AnnualChurn*VLOOKUP(KD43,ChurnSeasonTable,4,FALSE)),1)+KS7*(AnnualChurn*VLOOKUP(KD43,ChurnSeasonTable,4,FALSE))*POWER(1-(AnnualChurn*VLOOKUP(KD43,ChurnSeasonTable,4,FALSE)),2)</f>
        <v/>
      </c>
      <c r="KZ43" s="12">
        <f>KZ42+KT43-KT31*(AnnualChurn*VLOOKUP(KD43,ChurnSeasonTable,4,FALSE))*POWER(1-(AnnualChurn*VLOOKUP(KD43,ChurnSeasonTable,4,FALSE)),0)+KT19*(AnnualChurn*VLOOKUP(KD43,ChurnSeasonTable,4,FALSE))*POWER(1-(AnnualChurn*VLOOKUP(KD43,ChurnSeasonTable,4,FALSE)),1)+KT7*(AnnualChurn*VLOOKUP(KD43,ChurnSeasonTable,4,FALSE))*POWER(1-(AnnualChurn*VLOOKUP(KD43,ChurnSeasonTable,4,FALSE)),2)</f>
        <v/>
      </c>
      <c r="LA43" s="12">
        <f>KU43+KV43+KW43+KX43+KY43+KZ43</f>
        <v/>
      </c>
      <c r="LB43" s="9">
        <f>KU43*BlendedPriceEssMonthly*KG43+KV43*BlendedPricePremMonthly*KG43+KW43*BlendedPriceEliteMonthly*KG43+KX43*BlendedPriceEssAnnual*KG43/12+KY43*BlendedPricePremAnnual*KG43/12+KZ43*BlendedPriceEliteAnnual*KG43/12</f>
        <v/>
      </c>
      <c r="LC43" s="9">
        <f>LB43*12</f>
        <v/>
      </c>
      <c r="LD43" s="12">
        <f>KU43*BlendedPriceEssMonthly*KG43+KV43*BlendedPricePremMonthly*KG43+KW43*BlendedPriceEliteMonthly*KG43</f>
        <v/>
      </c>
      <c r="LE43" s="12">
        <f>KR43*BlendedPriceEssAnnual*KG43+KS43*BlendedPricePremAnnual*KG43+KT43*BlendedPriceEliteAnnual*KG43</f>
        <v/>
      </c>
      <c r="LF43" s="12">
        <f>KR31*POWER(1-(AnnualChurn*VLOOKUP(KD43,ChurnSeasonTable,4,FALSE)),1)*BlendedPriceEssAnnual*KG43+KR19*POWER(1-(AnnualChurn*VLOOKUP(KD43,ChurnSeasonTable,4,FALSE)),2)*BlendedPriceEssAnnual*KG43+KR7*POWER(1-(AnnualChurn*VLOOKUP(KD43,ChurnSeasonTable,4,FALSE)),3)*BlendedPriceEssAnnual*KG43+KS31*POWER(1-(AnnualChurn*VLOOKUP(KD43,ChurnSeasonTable,4,FALSE)),1)*BlendedPricePremAnnual*KG43+KS19*POWER(1-(AnnualChurn*VLOOKUP(KD43,ChurnSeasonTable,4,FALSE)),2)*BlendedPricePremAnnual*KG43+KS7*POWER(1-(AnnualChurn*VLOOKUP(KD43,ChurnSeasonTable,4,FALSE)),3)*BlendedPricePremAnnual*KG43+KT31*POWER(1-(AnnualChurn*VLOOKUP(KD43,ChurnSeasonTable,4,FALSE)),1)*BlendedPriceEliteAnnual*KG43+KT19*POWER(1-(AnnualChurn*VLOOKUP(KD43,ChurnSeasonTable,4,FALSE)),2)*BlendedPriceEliteAnnual*KG43+KT7*POWER(1-(AnnualChurn*VLOOKUP(KD43,ChurnSeasonTable,4,FALSE)),3)*BlendedPriceEliteAnnual*KG43</f>
        <v/>
      </c>
      <c r="LG43" s="9">
        <f>LD43+LE43+LF43</f>
        <v/>
      </c>
      <c r="LH43" s="12">
        <f>SUM(LG32:LG43)</f>
        <v/>
      </c>
      <c r="LI43" s="12">
        <f>OR(LI42,IF(VATAgentMode,SUM($LG32:$LG43)-SUM($LN32:$LN43)&gt;=VATThreshold,SUM($LG32:$LG43)&gt;=VATThreshold))</f>
        <v/>
      </c>
      <c r="LJ43" s="9">
        <f>IF(LI43,IF(VATAgentMode,LG43-((LG43-LN43)-(LG43-LN43)/(1+VATRate)),LG43/(1+VATRate)),LG43)</f>
        <v/>
      </c>
      <c r="LK43" s="12">
        <f>LG43-LJ43</f>
        <v/>
      </c>
      <c r="LL43" s="12">
        <f>IF(LI43=0,0,IF(KD43=1,SUMPRODUCT(--(($KE$5:$KE43=$KE43-1)*($KD$5:$KD43&gt;=10)*($KD$5:$KD43&lt;=12)),$LK$5:$LK43),IF(KD43=4,SUMPRODUCT(--(($KE$5:$KE43=$KE43)*($KD$5:$KD43&gt;=1)*($KD$5:$KD43&lt;=3)),$LK$5:$LK43),IF(KD43=7,SUMPRODUCT(--(($KE$5:$KE43=$KE43)*($KD$5:$KD43&gt;=4)*($KD$5:$KD43&lt;=6)),$LK$5:$LK43),IF(KD43=10,SUMPRODUCT(--(($KE$5:$KE43=$KE43)*($KD$5:$KD43&gt;=7)*($KD$5:$KD43&lt;=9)),$LK$5:$LK43),0)))))</f>
        <v/>
      </c>
      <c r="LM43" s="12">
        <f>LM42+LK43-LL43</f>
        <v/>
      </c>
      <c r="LN43" s="12">
        <f>IF(ProviderDelay&gt;=1,KU42*BlendedProvPayEss+KV42*BlendedProvPayPrem+KW42*BlendedProvPayElite+KX42*BlendedProvPayEss+KY42*BlendedProvPayPrem+KZ42*BlendedProvPayElite,KU43*BlendedProvPayEss+KV43*BlendedProvPayPrem+KW43*BlendedProvPayElite+KX43*BlendedProvPayEss+KY43*BlendedProvPayPrem+KZ43*BlendedProvPayElite)</f>
        <v/>
      </c>
      <c r="LO43" s="12">
        <f>LG43*PaymentFee</f>
        <v/>
      </c>
      <c r="LP43" s="12">
        <f>LA43*OpsAI</f>
        <v/>
      </c>
      <c r="LQ43" s="12">
        <f>MonthlyFixed</f>
        <v/>
      </c>
      <c r="LR43" s="12">
        <f>KK43*ReferralReward</f>
        <v/>
      </c>
      <c r="LS43" s="12">
        <f>KI43</f>
        <v/>
      </c>
      <c r="LT43" s="9">
        <f>LJ43-LN43-LO43-LP43-LQ43-LR43-LS43</f>
        <v/>
      </c>
      <c r="LU43" s="9">
        <f>LU42+LG43-(LN43+LO43+LP43+LQ43+LR43+LS43+LL43)</f>
        <v/>
      </c>
      <c r="LV43" s="12">
        <f>IF(LA43&gt;0,LB43/LA43,0)</f>
        <v/>
      </c>
      <c r="LW43" s="11">
        <f>IF(LA42&gt;0,MAX(0,(LA42+KL43-LA43)/LA42),0)</f>
        <v/>
      </c>
      <c r="LY43" s="12" t="n">
        <v>39</v>
      </c>
      <c r="LZ43" s="12">
        <f>MOD(LY43-1+LaunchMonth-1,12)+1</f>
        <v/>
      </c>
      <c r="MA43" s="12">
        <f>INT((LY43-1+LaunchMonth-1)/12)+1</f>
        <v/>
      </c>
      <c r="MB43" s="12">
        <f>VLOOKUP(LZ43,SeasonTable,2,FALSE)</f>
        <v/>
      </c>
      <c r="MC43" s="12">
        <f>(1+InflationRate)^INT((LY43-1)/12)</f>
        <v/>
      </c>
      <c r="MD43" s="11">
        <f>'Sens - Churn'!$A$17*VLOOKUP(LZ43,ChurnSeasonTable,4,FALSE)</f>
        <v/>
      </c>
      <c r="ME43" s="12">
        <f>MIN(MAX(MktMin19plus,NC42*MktPct19plus),MAX(0,NQ42-CashBuffer))</f>
        <v/>
      </c>
      <c r="MF43" s="12">
        <f>IF(ME43&gt;0,MAX(1,ROUND(ME43/CAC*MB43,0)),0)</f>
        <v/>
      </c>
      <c r="MG43" s="12">
        <f>IF(MF43&gt;0,ROUND(MF43*ReferralMix/(1-ReferralMix),0),0)</f>
        <v/>
      </c>
      <c r="MH43" s="12">
        <f>MF43+MG43</f>
        <v/>
      </c>
      <c r="MI43" s="12">
        <f>ROUND(MH43*(1-AnnualMix),0)</f>
        <v/>
      </c>
      <c r="MJ43" s="12">
        <f>MH43-MI43</f>
        <v/>
      </c>
      <c r="MK43" s="12">
        <f>ROUND(MI43*EssentialMix,0)</f>
        <v/>
      </c>
      <c r="ML43" s="12">
        <f>ROUND(MI43*PremiumMix,0)</f>
        <v/>
      </c>
      <c r="MM43" s="12">
        <f>MI43-MK43-ML43</f>
        <v/>
      </c>
      <c r="MN43" s="12">
        <f>ROUND(MJ43*EssentialMix,0)</f>
        <v/>
      </c>
      <c r="MO43" s="12">
        <f>ROUND(MJ43*PremiumMix,0)</f>
        <v/>
      </c>
      <c r="MP43" s="12">
        <f>MJ43-MN43-MO43</f>
        <v/>
      </c>
      <c r="MQ43" s="12">
        <f>MK43+MK42+MK41+MAX(0,MQ42-MK42-MK41)*(1-MD43)</f>
        <v/>
      </c>
      <c r="MR43" s="12">
        <f>ML43+ML42+ML41+MAX(0,MR42-ML42-ML41)*(1-MD43)</f>
        <v/>
      </c>
      <c r="MS43" s="12">
        <f>MM43+MM42+MM41+MAX(0,MS42-MM42-MM41)*(1-MD43)</f>
        <v/>
      </c>
      <c r="MT43" s="12">
        <f>MT42+MN43-MN31*(AnnualChurn*VLOOKUP(LZ43,ChurnSeasonTable,4,FALSE))*POWER(1-(AnnualChurn*VLOOKUP(LZ43,ChurnSeasonTable,4,FALSE)),0)+MN19*(AnnualChurn*VLOOKUP(LZ43,ChurnSeasonTable,4,FALSE))*POWER(1-(AnnualChurn*VLOOKUP(LZ43,ChurnSeasonTable,4,FALSE)),1)+MN7*(AnnualChurn*VLOOKUP(LZ43,ChurnSeasonTable,4,FALSE))*POWER(1-(AnnualChurn*VLOOKUP(LZ43,ChurnSeasonTable,4,FALSE)),2)</f>
        <v/>
      </c>
      <c r="MU43" s="12">
        <f>MU42+MO43-MO31*(AnnualChurn*VLOOKUP(LZ43,ChurnSeasonTable,4,FALSE))*POWER(1-(AnnualChurn*VLOOKUP(LZ43,ChurnSeasonTable,4,FALSE)),0)+MO19*(AnnualChurn*VLOOKUP(LZ43,ChurnSeasonTable,4,FALSE))*POWER(1-(AnnualChurn*VLOOKUP(LZ43,ChurnSeasonTable,4,FALSE)),1)+MO7*(AnnualChurn*VLOOKUP(LZ43,ChurnSeasonTable,4,FALSE))*POWER(1-(AnnualChurn*VLOOKUP(LZ43,ChurnSeasonTable,4,FALSE)),2)</f>
        <v/>
      </c>
      <c r="MV43" s="12">
        <f>MV42+MP43-MP31*(AnnualChurn*VLOOKUP(LZ43,ChurnSeasonTable,4,FALSE))*POWER(1-(AnnualChurn*VLOOKUP(LZ43,ChurnSeasonTable,4,FALSE)),0)+MP19*(AnnualChurn*VLOOKUP(LZ43,ChurnSeasonTable,4,FALSE))*POWER(1-(AnnualChurn*VLOOKUP(LZ43,ChurnSeasonTable,4,FALSE)),1)+MP7*(AnnualChurn*VLOOKUP(LZ43,ChurnSeasonTable,4,FALSE))*POWER(1-(AnnualChurn*VLOOKUP(LZ43,ChurnSeasonTable,4,FALSE)),2)</f>
        <v/>
      </c>
      <c r="MW43" s="12">
        <f>MQ43+MR43+MS43+MT43+MU43+MV43</f>
        <v/>
      </c>
      <c r="MX43" s="9">
        <f>MQ43*BlendedPriceEssMonthly*MC43+MR43*BlendedPricePremMonthly*MC43+MS43*BlendedPriceEliteMonthly*MC43+MT43*BlendedPriceEssAnnual*MC43/12+MU43*BlendedPricePremAnnual*MC43/12+MV43*BlendedPriceEliteAnnual*MC43/12</f>
        <v/>
      </c>
      <c r="MY43" s="9">
        <f>MX43*12</f>
        <v/>
      </c>
      <c r="MZ43" s="12">
        <f>MQ43*BlendedPriceEssMonthly*MC43+MR43*BlendedPricePremMonthly*MC43+MS43*BlendedPriceEliteMonthly*MC43</f>
        <v/>
      </c>
      <c r="NA43" s="12">
        <f>MN43*BlendedPriceEssAnnual*MC43+MO43*BlendedPricePremAnnual*MC43+MP43*BlendedPriceEliteAnnual*MC43</f>
        <v/>
      </c>
      <c r="NB43" s="12">
        <f>MN31*POWER(1-(AnnualChurn*VLOOKUP(LZ43,ChurnSeasonTable,4,FALSE)),1)*BlendedPriceEssAnnual*MC43+MN19*POWER(1-(AnnualChurn*VLOOKUP(LZ43,ChurnSeasonTable,4,FALSE)),2)*BlendedPriceEssAnnual*MC43+MN7*POWER(1-(AnnualChurn*VLOOKUP(LZ43,ChurnSeasonTable,4,FALSE)),3)*BlendedPriceEssAnnual*MC43+MO31*POWER(1-(AnnualChurn*VLOOKUP(LZ43,ChurnSeasonTable,4,FALSE)),1)*BlendedPricePremAnnual*MC43+MO19*POWER(1-(AnnualChurn*VLOOKUP(LZ43,ChurnSeasonTable,4,FALSE)),2)*BlendedPricePremAnnual*MC43+MO7*POWER(1-(AnnualChurn*VLOOKUP(LZ43,ChurnSeasonTable,4,FALSE)),3)*BlendedPricePremAnnual*MC43+MP31*POWER(1-(AnnualChurn*VLOOKUP(LZ43,ChurnSeasonTable,4,FALSE)),1)*BlendedPriceEliteAnnual*MC43+MP19*POWER(1-(AnnualChurn*VLOOKUP(LZ43,ChurnSeasonTable,4,FALSE)),2)*BlendedPriceEliteAnnual*MC43+MP7*POWER(1-(AnnualChurn*VLOOKUP(LZ43,ChurnSeasonTable,4,FALSE)),3)*BlendedPriceEliteAnnual*MC43</f>
        <v/>
      </c>
      <c r="NC43" s="9">
        <f>MZ43+NA43+NB43</f>
        <v/>
      </c>
      <c r="ND43" s="12">
        <f>SUM(NC32:NC43)</f>
        <v/>
      </c>
      <c r="NE43" s="12">
        <f>OR(NE42,IF(VATAgentMode,SUM($NC32:$NC43)-SUM($NJ32:$NJ43)&gt;=VATThreshold,SUM($NC32:$NC43)&gt;=VATThreshold))</f>
        <v/>
      </c>
      <c r="NF43" s="9">
        <f>IF(NE43,IF(VATAgentMode,NC43-((NC43-NJ43)-(NC43-NJ43)/(1+VATRate)),NC43/(1+VATRate)),NC43)</f>
        <v/>
      </c>
      <c r="NG43" s="12">
        <f>NC43-NF43</f>
        <v/>
      </c>
      <c r="NH43" s="12">
        <f>IF(NE43=0,0,IF(LZ43=1,SUMPRODUCT(--(($MA$5:$MA43=$MA43-1)*($LZ$5:$LZ43&gt;=10)*($LZ$5:$LZ43&lt;=12)),$NG$5:$NG43),IF(LZ43=4,SUMPRODUCT(--(($MA$5:$MA43=$MA43)*($LZ$5:$LZ43&gt;=1)*($LZ$5:$LZ43&lt;=3)),$NG$5:$NG43),IF(LZ43=7,SUMPRODUCT(--(($MA$5:$MA43=$MA43)*($LZ$5:$LZ43&gt;=4)*($LZ$5:$LZ43&lt;=6)),$NG$5:$NG43),IF(LZ43=10,SUMPRODUCT(--(($MA$5:$MA43=$MA43)*($LZ$5:$LZ43&gt;=7)*($LZ$5:$LZ43&lt;=9)),$NG$5:$NG43),0)))))</f>
        <v/>
      </c>
      <c r="NI43" s="12">
        <f>NI42+NG43-NH43</f>
        <v/>
      </c>
      <c r="NJ43" s="12">
        <f>IF(ProviderDelay&gt;=1,MQ42*BlendedProvPayEss+MR42*BlendedProvPayPrem+MS42*BlendedProvPayElite+MT42*BlendedProvPayEss+MU42*BlendedProvPayPrem+MV42*BlendedProvPayElite,MQ43*BlendedProvPayEss+MR43*BlendedProvPayPrem+MS43*BlendedProvPayElite+MT43*BlendedProvPayEss+MU43*BlendedProvPayPrem+MV43*BlendedProvPayElite)</f>
        <v/>
      </c>
      <c r="NK43" s="12">
        <f>NC43*PaymentFee</f>
        <v/>
      </c>
      <c r="NL43" s="12">
        <f>MW43*OpsAI</f>
        <v/>
      </c>
      <c r="NM43" s="12">
        <f>MonthlyFixed</f>
        <v/>
      </c>
      <c r="NN43" s="12">
        <f>MG43*ReferralReward</f>
        <v/>
      </c>
      <c r="NO43" s="12">
        <f>ME43</f>
        <v/>
      </c>
      <c r="NP43" s="9">
        <f>NF43-NJ43-NK43-NL43-NM43-NN43-NO43</f>
        <v/>
      </c>
      <c r="NQ43" s="9">
        <f>NQ42+NC43-(NJ43+NK43+NL43+NM43+NN43+NO43+NH43)</f>
        <v/>
      </c>
      <c r="NR43" s="12">
        <f>IF(MW43&gt;0,MX43/MW43,0)</f>
        <v/>
      </c>
      <c r="NS43" s="11">
        <f>IF(MW42&gt;0,MAX(0,(MW42+MH43-MW43)/MW42),0)</f>
        <v/>
      </c>
      <c r="NU43" s="12" t="n">
        <v>39</v>
      </c>
      <c r="NV43" s="12">
        <f>MOD(NU43-1+LaunchMonth-1,12)+1</f>
        <v/>
      </c>
      <c r="NW43" s="12">
        <f>INT((NU43-1+LaunchMonth-1)/12)+1</f>
        <v/>
      </c>
      <c r="NX43" s="12">
        <f>VLOOKUP(NV43,SeasonTable,2,FALSE)</f>
        <v/>
      </c>
      <c r="NY43" s="12">
        <f>(1+InflationRate)^INT((NU43-1)/12)</f>
        <v/>
      </c>
      <c r="NZ43" s="11">
        <f>'Sens - Churn'!$A$18*VLOOKUP(NV43,ChurnSeasonTable,4,FALSE)</f>
        <v/>
      </c>
      <c r="OA43" s="12">
        <f>MIN(MAX(MktMin19plus,OY42*MktPct19plus),MAX(0,PM42-CashBuffer))</f>
        <v/>
      </c>
      <c r="OB43" s="12">
        <f>IF(OA43&gt;0,MAX(1,ROUND(OA43/CAC*NX43,0)),0)</f>
        <v/>
      </c>
      <c r="OC43" s="12">
        <f>IF(OB43&gt;0,ROUND(OB43*ReferralMix/(1-ReferralMix),0),0)</f>
        <v/>
      </c>
      <c r="OD43" s="12">
        <f>OB43+OC43</f>
        <v/>
      </c>
      <c r="OE43" s="12">
        <f>ROUND(OD43*(1-AnnualMix),0)</f>
        <v/>
      </c>
      <c r="OF43" s="12">
        <f>OD43-OE43</f>
        <v/>
      </c>
      <c r="OG43" s="12">
        <f>ROUND(OE43*EssentialMix,0)</f>
        <v/>
      </c>
      <c r="OH43" s="12">
        <f>ROUND(OE43*PremiumMix,0)</f>
        <v/>
      </c>
      <c r="OI43" s="12">
        <f>OE43-OG43-OH43</f>
        <v/>
      </c>
      <c r="OJ43" s="12">
        <f>ROUND(OF43*EssentialMix,0)</f>
        <v/>
      </c>
      <c r="OK43" s="12">
        <f>ROUND(OF43*PremiumMix,0)</f>
        <v/>
      </c>
      <c r="OL43" s="12">
        <f>OF43-OJ43-OK43</f>
        <v/>
      </c>
      <c r="OM43" s="12">
        <f>OG43+OG42+OG41+MAX(0,OM42-OG42-OG41)*(1-NZ43)</f>
        <v/>
      </c>
      <c r="ON43" s="12">
        <f>OH43+OH42+OH41+MAX(0,ON42-OH42-OH41)*(1-NZ43)</f>
        <v/>
      </c>
      <c r="OO43" s="12">
        <f>OI43+OI42+OI41+MAX(0,OO42-OI42-OI41)*(1-NZ43)</f>
        <v/>
      </c>
      <c r="OP43" s="12">
        <f>OP42+OJ43-OJ31*(AnnualChurn*VLOOKUP(NV43,ChurnSeasonTable,4,FALSE))*POWER(1-(AnnualChurn*VLOOKUP(NV43,ChurnSeasonTable,4,FALSE)),0)+OJ19*(AnnualChurn*VLOOKUP(NV43,ChurnSeasonTable,4,FALSE))*POWER(1-(AnnualChurn*VLOOKUP(NV43,ChurnSeasonTable,4,FALSE)),1)+OJ7*(AnnualChurn*VLOOKUP(NV43,ChurnSeasonTable,4,FALSE))*POWER(1-(AnnualChurn*VLOOKUP(NV43,ChurnSeasonTable,4,FALSE)),2)</f>
        <v/>
      </c>
      <c r="OQ43" s="12">
        <f>OQ42+OK43-OK31*(AnnualChurn*VLOOKUP(NV43,ChurnSeasonTable,4,FALSE))*POWER(1-(AnnualChurn*VLOOKUP(NV43,ChurnSeasonTable,4,FALSE)),0)+OK19*(AnnualChurn*VLOOKUP(NV43,ChurnSeasonTable,4,FALSE))*POWER(1-(AnnualChurn*VLOOKUP(NV43,ChurnSeasonTable,4,FALSE)),1)+OK7*(AnnualChurn*VLOOKUP(NV43,ChurnSeasonTable,4,FALSE))*POWER(1-(AnnualChurn*VLOOKUP(NV43,ChurnSeasonTable,4,FALSE)),2)</f>
        <v/>
      </c>
      <c r="OR43" s="12">
        <f>OR42+OL43-OL31*(AnnualChurn*VLOOKUP(NV43,ChurnSeasonTable,4,FALSE))*POWER(1-(AnnualChurn*VLOOKUP(NV43,ChurnSeasonTable,4,FALSE)),0)+OL19*(AnnualChurn*VLOOKUP(NV43,ChurnSeasonTable,4,FALSE))*POWER(1-(AnnualChurn*VLOOKUP(NV43,ChurnSeasonTable,4,FALSE)),1)+OL7*(AnnualChurn*VLOOKUP(NV43,ChurnSeasonTable,4,FALSE))*POWER(1-(AnnualChurn*VLOOKUP(NV43,ChurnSeasonTable,4,FALSE)),2)</f>
        <v/>
      </c>
      <c r="OS43" s="12">
        <f>OM43+ON43+OO43+OP43+OQ43+OR43</f>
        <v/>
      </c>
      <c r="OT43" s="9">
        <f>OM43*BlendedPriceEssMonthly*NY43+ON43*BlendedPricePremMonthly*NY43+OO43*BlendedPriceEliteMonthly*NY43+OP43*BlendedPriceEssAnnual*NY43/12+OQ43*BlendedPricePremAnnual*NY43/12+OR43*BlendedPriceEliteAnnual*NY43/12</f>
        <v/>
      </c>
      <c r="OU43" s="9">
        <f>OT43*12</f>
        <v/>
      </c>
      <c r="OV43" s="12">
        <f>OM43*BlendedPriceEssMonthly*NY43+ON43*BlendedPricePremMonthly*NY43+OO43*BlendedPriceEliteMonthly*NY43</f>
        <v/>
      </c>
      <c r="OW43" s="12">
        <f>OJ43*BlendedPriceEssAnnual*NY43+OK43*BlendedPricePremAnnual*NY43+OL43*BlendedPriceEliteAnnual*NY43</f>
        <v/>
      </c>
      <c r="OX43" s="12">
        <f>OJ31*POWER(1-(AnnualChurn*VLOOKUP(NV43,ChurnSeasonTable,4,FALSE)),1)*BlendedPriceEssAnnual*NY43+OJ19*POWER(1-(AnnualChurn*VLOOKUP(NV43,ChurnSeasonTable,4,FALSE)),2)*BlendedPriceEssAnnual*NY43+OJ7*POWER(1-(AnnualChurn*VLOOKUP(NV43,ChurnSeasonTable,4,FALSE)),3)*BlendedPriceEssAnnual*NY43+OK31*POWER(1-(AnnualChurn*VLOOKUP(NV43,ChurnSeasonTable,4,FALSE)),1)*BlendedPricePremAnnual*NY43+OK19*POWER(1-(AnnualChurn*VLOOKUP(NV43,ChurnSeasonTable,4,FALSE)),2)*BlendedPricePremAnnual*NY43+OK7*POWER(1-(AnnualChurn*VLOOKUP(NV43,ChurnSeasonTable,4,FALSE)),3)*BlendedPricePremAnnual*NY43+OL31*POWER(1-(AnnualChurn*VLOOKUP(NV43,ChurnSeasonTable,4,FALSE)),1)*BlendedPriceEliteAnnual*NY43+OL19*POWER(1-(AnnualChurn*VLOOKUP(NV43,ChurnSeasonTable,4,FALSE)),2)*BlendedPriceEliteAnnual*NY43+OL7*POWER(1-(AnnualChurn*VLOOKUP(NV43,ChurnSeasonTable,4,FALSE)),3)*BlendedPriceEliteAnnual*NY43</f>
        <v/>
      </c>
      <c r="OY43" s="9">
        <f>OV43+OW43+OX43</f>
        <v/>
      </c>
      <c r="OZ43" s="12">
        <f>SUM(OY32:OY43)</f>
        <v/>
      </c>
      <c r="PA43" s="12">
        <f>OR(PA42,IF(VATAgentMode,SUM($OY32:$OY43)-SUM($PF32:$PF43)&gt;=VATThreshold,SUM($OY32:$OY43)&gt;=VATThreshold))</f>
        <v/>
      </c>
      <c r="PB43" s="9">
        <f>IF(PA43,IF(VATAgentMode,OY43-((OY43-PF43)-(OY43-PF43)/(1+VATRate)),OY43/(1+VATRate)),OY43)</f>
        <v/>
      </c>
      <c r="PC43" s="12">
        <f>OY43-PB43</f>
        <v/>
      </c>
      <c r="PD43" s="12">
        <f>IF(PA43=0,0,IF(NV43=1,SUMPRODUCT(--(($NW$5:$NW43=$NW43-1)*($NV$5:$NV43&gt;=10)*($NV$5:$NV43&lt;=12)),$PC$5:$PC43),IF(NV43=4,SUMPRODUCT(--(($NW$5:$NW43=$NW43)*($NV$5:$NV43&gt;=1)*($NV$5:$NV43&lt;=3)),$PC$5:$PC43),IF(NV43=7,SUMPRODUCT(--(($NW$5:$NW43=$NW43)*($NV$5:$NV43&gt;=4)*($NV$5:$NV43&lt;=6)),$PC$5:$PC43),IF(NV43=10,SUMPRODUCT(--(($NW$5:$NW43=$NW43)*($NV$5:$NV43&gt;=7)*($NV$5:$NV43&lt;=9)),$PC$5:$PC43),0)))))</f>
        <v/>
      </c>
      <c r="PE43" s="12">
        <f>PE42+PC43-PD43</f>
        <v/>
      </c>
      <c r="PF43" s="12">
        <f>IF(ProviderDelay&gt;=1,OM42*BlendedProvPayEss+ON42*BlendedProvPayPrem+OO42*BlendedProvPayElite+OP42*BlendedProvPayEss+OQ42*BlendedProvPayPrem+OR42*BlendedProvPayElite,OM43*BlendedProvPayEss+ON43*BlendedProvPayPrem+OO43*BlendedProvPayElite+OP43*BlendedProvPayEss+OQ43*BlendedProvPayPrem+OR43*BlendedProvPayElite)</f>
        <v/>
      </c>
      <c r="PG43" s="12">
        <f>OY43*PaymentFee</f>
        <v/>
      </c>
      <c r="PH43" s="12">
        <f>OS43*OpsAI</f>
        <v/>
      </c>
      <c r="PI43" s="12">
        <f>MonthlyFixed</f>
        <v/>
      </c>
      <c r="PJ43" s="12">
        <f>OC43*ReferralReward</f>
        <v/>
      </c>
      <c r="PK43" s="12">
        <f>OA43</f>
        <v/>
      </c>
      <c r="PL43" s="9">
        <f>PB43-PF43-PG43-PH43-PI43-PJ43-PK43</f>
        <v/>
      </c>
      <c r="PM43" s="9">
        <f>PM42+OY43-(PF43+PG43+PH43+PI43+PJ43+PK43+PD43)</f>
        <v/>
      </c>
      <c r="PN43" s="12">
        <f>IF(OS43&gt;0,OT43/OS43,0)</f>
        <v/>
      </c>
      <c r="PO43" s="11">
        <f>IF(OS42&gt;0,MAX(0,(OS42+OD43-OS43)/OS42),0)</f>
        <v/>
      </c>
      <c r="PQ43" s="12" t="n">
        <v>39</v>
      </c>
      <c r="PR43" s="12">
        <f>MOD(PQ43-1+LaunchMonth-1,12)+1</f>
        <v/>
      </c>
      <c r="PS43" s="12">
        <f>INT((PQ43-1+LaunchMonth-1)/12)+1</f>
        <v/>
      </c>
      <c r="PT43" s="12">
        <f>VLOOKUP(PR43,SeasonTable,2,FALSE)</f>
        <v/>
      </c>
      <c r="PU43" s="12">
        <f>(1+InflationRate)^INT((PQ43-1)/12)</f>
        <v/>
      </c>
      <c r="PV43" s="11">
        <f>'Sens - Churn'!$A$19*VLOOKUP(PR43,ChurnSeasonTable,4,FALSE)</f>
        <v/>
      </c>
      <c r="PW43" s="12">
        <f>MIN(MAX(MktMin19plus,QU42*MktPct19plus),MAX(0,RI42-CashBuffer))</f>
        <v/>
      </c>
      <c r="PX43" s="12">
        <f>IF(PW43&gt;0,MAX(1,ROUND(PW43/CAC*PT43,0)),0)</f>
        <v/>
      </c>
      <c r="PY43" s="12">
        <f>IF(PX43&gt;0,ROUND(PX43*ReferralMix/(1-ReferralMix),0),0)</f>
        <v/>
      </c>
      <c r="PZ43" s="12">
        <f>PX43+PY43</f>
        <v/>
      </c>
      <c r="QA43" s="12">
        <f>ROUND(PZ43*(1-AnnualMix),0)</f>
        <v/>
      </c>
      <c r="QB43" s="12">
        <f>PZ43-QA43</f>
        <v/>
      </c>
      <c r="QC43" s="12">
        <f>ROUND(QA43*EssentialMix,0)</f>
        <v/>
      </c>
      <c r="QD43" s="12">
        <f>ROUND(QA43*PremiumMix,0)</f>
        <v/>
      </c>
      <c r="QE43" s="12">
        <f>QA43-QC43-QD43</f>
        <v/>
      </c>
      <c r="QF43" s="12">
        <f>ROUND(QB43*EssentialMix,0)</f>
        <v/>
      </c>
      <c r="QG43" s="12">
        <f>ROUND(QB43*PremiumMix,0)</f>
        <v/>
      </c>
      <c r="QH43" s="12">
        <f>QB43-QF43-QG43</f>
        <v/>
      </c>
      <c r="QI43" s="12">
        <f>QC43+QC42+QC41+MAX(0,QI42-QC42-QC41)*(1-PV43)</f>
        <v/>
      </c>
      <c r="QJ43" s="12">
        <f>QD43+QD42+QD41+MAX(0,QJ42-QD42-QD41)*(1-PV43)</f>
        <v/>
      </c>
      <c r="QK43" s="12">
        <f>QE43+QE42+QE41+MAX(0,QK42-QE42-QE41)*(1-PV43)</f>
        <v/>
      </c>
      <c r="QL43" s="12">
        <f>QL42+QF43-QF31*(AnnualChurn*VLOOKUP(PR43,ChurnSeasonTable,4,FALSE))*POWER(1-(AnnualChurn*VLOOKUP(PR43,ChurnSeasonTable,4,FALSE)),0)+QF19*(AnnualChurn*VLOOKUP(PR43,ChurnSeasonTable,4,FALSE))*POWER(1-(AnnualChurn*VLOOKUP(PR43,ChurnSeasonTable,4,FALSE)),1)+QF7*(AnnualChurn*VLOOKUP(PR43,ChurnSeasonTable,4,FALSE))*POWER(1-(AnnualChurn*VLOOKUP(PR43,ChurnSeasonTable,4,FALSE)),2)</f>
        <v/>
      </c>
      <c r="QM43" s="12">
        <f>QM42+QG43-QG31*(AnnualChurn*VLOOKUP(PR43,ChurnSeasonTable,4,FALSE))*POWER(1-(AnnualChurn*VLOOKUP(PR43,ChurnSeasonTable,4,FALSE)),0)+QG19*(AnnualChurn*VLOOKUP(PR43,ChurnSeasonTable,4,FALSE))*POWER(1-(AnnualChurn*VLOOKUP(PR43,ChurnSeasonTable,4,FALSE)),1)+QG7*(AnnualChurn*VLOOKUP(PR43,ChurnSeasonTable,4,FALSE))*POWER(1-(AnnualChurn*VLOOKUP(PR43,ChurnSeasonTable,4,FALSE)),2)</f>
        <v/>
      </c>
      <c r="QN43" s="12">
        <f>QN42+QH43-QH31*(AnnualChurn*VLOOKUP(PR43,ChurnSeasonTable,4,FALSE))*POWER(1-(AnnualChurn*VLOOKUP(PR43,ChurnSeasonTable,4,FALSE)),0)+QH19*(AnnualChurn*VLOOKUP(PR43,ChurnSeasonTable,4,FALSE))*POWER(1-(AnnualChurn*VLOOKUP(PR43,ChurnSeasonTable,4,FALSE)),1)+QH7*(AnnualChurn*VLOOKUP(PR43,ChurnSeasonTable,4,FALSE))*POWER(1-(AnnualChurn*VLOOKUP(PR43,ChurnSeasonTable,4,FALSE)),2)</f>
        <v/>
      </c>
      <c r="QO43" s="12">
        <f>QI43+QJ43+QK43+QL43+QM43+QN43</f>
        <v/>
      </c>
      <c r="QP43" s="9">
        <f>QI43*BlendedPriceEssMonthly*PU43+QJ43*BlendedPricePremMonthly*PU43+QK43*BlendedPriceEliteMonthly*PU43+QL43*BlendedPriceEssAnnual*PU43/12+QM43*BlendedPricePremAnnual*PU43/12+QN43*BlendedPriceEliteAnnual*PU43/12</f>
        <v/>
      </c>
      <c r="QQ43" s="9">
        <f>QP43*12</f>
        <v/>
      </c>
      <c r="QR43" s="12">
        <f>QI43*BlendedPriceEssMonthly*PU43+QJ43*BlendedPricePremMonthly*PU43+QK43*BlendedPriceEliteMonthly*PU43</f>
        <v/>
      </c>
      <c r="QS43" s="12">
        <f>QF43*BlendedPriceEssAnnual*PU43+QG43*BlendedPricePremAnnual*PU43+QH43*BlendedPriceEliteAnnual*PU43</f>
        <v/>
      </c>
      <c r="QT43" s="12">
        <f>QF31*POWER(1-(AnnualChurn*VLOOKUP(PR43,ChurnSeasonTable,4,FALSE)),1)*BlendedPriceEssAnnual*PU43+QF19*POWER(1-(AnnualChurn*VLOOKUP(PR43,ChurnSeasonTable,4,FALSE)),2)*BlendedPriceEssAnnual*PU43+QF7*POWER(1-(AnnualChurn*VLOOKUP(PR43,ChurnSeasonTable,4,FALSE)),3)*BlendedPriceEssAnnual*PU43+QG31*POWER(1-(AnnualChurn*VLOOKUP(PR43,ChurnSeasonTable,4,FALSE)),1)*BlendedPricePremAnnual*PU43+QG19*POWER(1-(AnnualChurn*VLOOKUP(PR43,ChurnSeasonTable,4,FALSE)),2)*BlendedPricePremAnnual*PU43+QG7*POWER(1-(AnnualChurn*VLOOKUP(PR43,ChurnSeasonTable,4,FALSE)),3)*BlendedPricePremAnnual*PU43+QH31*POWER(1-(AnnualChurn*VLOOKUP(PR43,ChurnSeasonTable,4,FALSE)),1)*BlendedPriceEliteAnnual*PU43+QH19*POWER(1-(AnnualChurn*VLOOKUP(PR43,ChurnSeasonTable,4,FALSE)),2)*BlendedPriceEliteAnnual*PU43+QH7*POWER(1-(AnnualChurn*VLOOKUP(PR43,ChurnSeasonTable,4,FALSE)),3)*BlendedPriceEliteAnnual*PU43</f>
        <v/>
      </c>
      <c r="QU43" s="9">
        <f>QR43+QS43+QT43</f>
        <v/>
      </c>
      <c r="QV43" s="12">
        <f>SUM(QU32:QU43)</f>
        <v/>
      </c>
      <c r="QW43" s="12">
        <f>OR(QW42,IF(VATAgentMode,SUM($QU32:$QU43)-SUM($RB32:$RB43)&gt;=VATThreshold,SUM($QU32:$QU43)&gt;=VATThreshold))</f>
        <v/>
      </c>
      <c r="QX43" s="9">
        <f>IF(QW43,IF(VATAgentMode,QU43-((QU43-RB43)-(QU43-RB43)/(1+VATRate)),QU43/(1+VATRate)),QU43)</f>
        <v/>
      </c>
      <c r="QY43" s="12">
        <f>QU43-QX43</f>
        <v/>
      </c>
      <c r="QZ43" s="12">
        <f>IF(QW43=0,0,IF(PR43=1,SUMPRODUCT(--(($PS$5:$PS43=$PS43-1)*($PR$5:$PR43&gt;=10)*($PR$5:$PR43&lt;=12)),$QY$5:$QY43),IF(PR43=4,SUMPRODUCT(--(($PS$5:$PS43=$PS43)*($PR$5:$PR43&gt;=1)*($PR$5:$PR43&lt;=3)),$QY$5:$QY43),IF(PR43=7,SUMPRODUCT(--(($PS$5:$PS43=$PS43)*($PR$5:$PR43&gt;=4)*($PR$5:$PR43&lt;=6)),$QY$5:$QY43),IF(PR43=10,SUMPRODUCT(--(($PS$5:$PS43=$PS43)*($PR$5:$PR43&gt;=7)*($PR$5:$PR43&lt;=9)),$QY$5:$QY43),0)))))</f>
        <v/>
      </c>
      <c r="RA43" s="12">
        <f>RA42+QY43-QZ43</f>
        <v/>
      </c>
      <c r="RB43" s="12">
        <f>IF(ProviderDelay&gt;=1,QI42*BlendedProvPayEss+QJ42*BlendedProvPayPrem+QK42*BlendedProvPayElite+QL42*BlendedProvPayEss+QM42*BlendedProvPayPrem+QN42*BlendedProvPayElite,QI43*BlendedProvPayEss+QJ43*BlendedProvPayPrem+QK43*BlendedProvPayElite+QL43*BlendedProvPayEss+QM43*BlendedProvPayPrem+QN43*BlendedProvPayElite)</f>
        <v/>
      </c>
      <c r="RC43" s="12">
        <f>QU43*PaymentFee</f>
        <v/>
      </c>
      <c r="RD43" s="12">
        <f>QO43*OpsAI</f>
        <v/>
      </c>
      <c r="RE43" s="12">
        <f>MonthlyFixed</f>
        <v/>
      </c>
      <c r="RF43" s="12">
        <f>PY43*ReferralReward</f>
        <v/>
      </c>
      <c r="RG43" s="12">
        <f>PW43</f>
        <v/>
      </c>
      <c r="RH43" s="9">
        <f>QX43-RB43-RC43-RD43-RE43-RF43-RG43</f>
        <v/>
      </c>
      <c r="RI43" s="9">
        <f>RI42+QU43-(RB43+RC43+RD43+RE43+RF43+RG43+QZ43)</f>
        <v/>
      </c>
      <c r="RJ43" s="12">
        <f>IF(QO43&gt;0,QP43/QO43,0)</f>
        <v/>
      </c>
      <c r="RK43" s="11">
        <f>IF(QO42&gt;0,MAX(0,(QO42+PZ43-QO43)/QO42),0)</f>
        <v/>
      </c>
      <c r="RM43" s="12" t="n">
        <v>39</v>
      </c>
      <c r="RN43" s="12">
        <f>MOD(RM43-1+LaunchMonth-1,12)+1</f>
        <v/>
      </c>
      <c r="RO43" s="12">
        <f>INT((RM43-1+LaunchMonth-1)/12)+1</f>
        <v/>
      </c>
      <c r="RP43" s="12">
        <f>VLOOKUP(RN43,SeasonTable,2,FALSE)</f>
        <v/>
      </c>
      <c r="RQ43" s="12">
        <f>(1+InflationRate)^INT((RM43-1)/12)</f>
        <v/>
      </c>
      <c r="RR43" s="11">
        <f>'Sens - Churn'!$A$20*VLOOKUP(RN43,ChurnSeasonTable,4,FALSE)</f>
        <v/>
      </c>
      <c r="RS43" s="12">
        <f>MIN(MAX(MktMin19plus,SQ42*MktPct19plus),MAX(0,TE42-CashBuffer))</f>
        <v/>
      </c>
      <c r="RT43" s="12">
        <f>IF(RS43&gt;0,MAX(1,ROUND(RS43/CAC*RP43,0)),0)</f>
        <v/>
      </c>
      <c r="RU43" s="12">
        <f>IF(RT43&gt;0,ROUND(RT43*ReferralMix/(1-ReferralMix),0),0)</f>
        <v/>
      </c>
      <c r="RV43" s="12">
        <f>RT43+RU43</f>
        <v/>
      </c>
      <c r="RW43" s="12">
        <f>ROUND(RV43*(1-AnnualMix),0)</f>
        <v/>
      </c>
      <c r="RX43" s="12">
        <f>RV43-RW43</f>
        <v/>
      </c>
      <c r="RY43" s="12">
        <f>ROUND(RW43*EssentialMix,0)</f>
        <v/>
      </c>
      <c r="RZ43" s="12">
        <f>ROUND(RW43*PremiumMix,0)</f>
        <v/>
      </c>
      <c r="SA43" s="12">
        <f>RW43-RY43-RZ43</f>
        <v/>
      </c>
      <c r="SB43" s="12">
        <f>ROUND(RX43*EssentialMix,0)</f>
        <v/>
      </c>
      <c r="SC43" s="12">
        <f>ROUND(RX43*PremiumMix,0)</f>
        <v/>
      </c>
      <c r="SD43" s="12">
        <f>RX43-SB43-SC43</f>
        <v/>
      </c>
      <c r="SE43" s="12">
        <f>RY43+RY42+RY41+MAX(0,SE42-RY42-RY41)*(1-RR43)</f>
        <v/>
      </c>
      <c r="SF43" s="12">
        <f>RZ43+RZ42+RZ41+MAX(0,SF42-RZ42-RZ41)*(1-RR43)</f>
        <v/>
      </c>
      <c r="SG43" s="12">
        <f>SA43+SA42+SA41+MAX(0,SG42-SA42-SA41)*(1-RR43)</f>
        <v/>
      </c>
      <c r="SH43" s="12">
        <f>SH42+SB43-SB31*(AnnualChurn*VLOOKUP(RN43,ChurnSeasonTable,4,FALSE))*POWER(1-(AnnualChurn*VLOOKUP(RN43,ChurnSeasonTable,4,FALSE)),0)+SB19*(AnnualChurn*VLOOKUP(RN43,ChurnSeasonTable,4,FALSE))*POWER(1-(AnnualChurn*VLOOKUP(RN43,ChurnSeasonTable,4,FALSE)),1)+SB7*(AnnualChurn*VLOOKUP(RN43,ChurnSeasonTable,4,FALSE))*POWER(1-(AnnualChurn*VLOOKUP(RN43,ChurnSeasonTable,4,FALSE)),2)</f>
        <v/>
      </c>
      <c r="SI43" s="12">
        <f>SI42+SC43-SC31*(AnnualChurn*VLOOKUP(RN43,ChurnSeasonTable,4,FALSE))*POWER(1-(AnnualChurn*VLOOKUP(RN43,ChurnSeasonTable,4,FALSE)),0)+SC19*(AnnualChurn*VLOOKUP(RN43,ChurnSeasonTable,4,FALSE))*POWER(1-(AnnualChurn*VLOOKUP(RN43,ChurnSeasonTable,4,FALSE)),1)+SC7*(AnnualChurn*VLOOKUP(RN43,ChurnSeasonTable,4,FALSE))*POWER(1-(AnnualChurn*VLOOKUP(RN43,ChurnSeasonTable,4,FALSE)),2)</f>
        <v/>
      </c>
      <c r="SJ43" s="12">
        <f>SJ42+SD43-SD31*(AnnualChurn*VLOOKUP(RN43,ChurnSeasonTable,4,FALSE))*POWER(1-(AnnualChurn*VLOOKUP(RN43,ChurnSeasonTable,4,FALSE)),0)+SD19*(AnnualChurn*VLOOKUP(RN43,ChurnSeasonTable,4,FALSE))*POWER(1-(AnnualChurn*VLOOKUP(RN43,ChurnSeasonTable,4,FALSE)),1)+SD7*(AnnualChurn*VLOOKUP(RN43,ChurnSeasonTable,4,FALSE))*POWER(1-(AnnualChurn*VLOOKUP(RN43,ChurnSeasonTable,4,FALSE)),2)</f>
        <v/>
      </c>
      <c r="SK43" s="12">
        <f>SE43+SF43+SG43+SH43+SI43+SJ43</f>
        <v/>
      </c>
      <c r="SL43" s="9">
        <f>SE43*BlendedPriceEssMonthly*RQ43+SF43*BlendedPricePremMonthly*RQ43+SG43*BlendedPriceEliteMonthly*RQ43+SH43*BlendedPriceEssAnnual*RQ43/12+SI43*BlendedPricePremAnnual*RQ43/12+SJ43*BlendedPriceEliteAnnual*RQ43/12</f>
        <v/>
      </c>
      <c r="SM43" s="9">
        <f>SL43*12</f>
        <v/>
      </c>
      <c r="SN43" s="12">
        <f>SE43*BlendedPriceEssMonthly*RQ43+SF43*BlendedPricePremMonthly*RQ43+SG43*BlendedPriceEliteMonthly*RQ43</f>
        <v/>
      </c>
      <c r="SO43" s="12">
        <f>SB43*BlendedPriceEssAnnual*RQ43+SC43*BlendedPricePremAnnual*RQ43+SD43*BlendedPriceEliteAnnual*RQ43</f>
        <v/>
      </c>
      <c r="SP43" s="12">
        <f>SB31*POWER(1-(AnnualChurn*VLOOKUP(RN43,ChurnSeasonTable,4,FALSE)),1)*BlendedPriceEssAnnual*RQ43+SB19*POWER(1-(AnnualChurn*VLOOKUP(RN43,ChurnSeasonTable,4,FALSE)),2)*BlendedPriceEssAnnual*RQ43+SB7*POWER(1-(AnnualChurn*VLOOKUP(RN43,ChurnSeasonTable,4,FALSE)),3)*BlendedPriceEssAnnual*RQ43+SC31*POWER(1-(AnnualChurn*VLOOKUP(RN43,ChurnSeasonTable,4,FALSE)),1)*BlendedPricePremAnnual*RQ43+SC19*POWER(1-(AnnualChurn*VLOOKUP(RN43,ChurnSeasonTable,4,FALSE)),2)*BlendedPricePremAnnual*RQ43+SC7*POWER(1-(AnnualChurn*VLOOKUP(RN43,ChurnSeasonTable,4,FALSE)),3)*BlendedPricePremAnnual*RQ43+SD31*POWER(1-(AnnualChurn*VLOOKUP(RN43,ChurnSeasonTable,4,FALSE)),1)*BlendedPriceEliteAnnual*RQ43+SD19*POWER(1-(AnnualChurn*VLOOKUP(RN43,ChurnSeasonTable,4,FALSE)),2)*BlendedPriceEliteAnnual*RQ43+SD7*POWER(1-(AnnualChurn*VLOOKUP(RN43,ChurnSeasonTable,4,FALSE)),3)*BlendedPriceEliteAnnual*RQ43</f>
        <v/>
      </c>
      <c r="SQ43" s="9">
        <f>SN43+SO43+SP43</f>
        <v/>
      </c>
      <c r="SR43" s="12">
        <f>SUM(SQ32:SQ43)</f>
        <v/>
      </c>
      <c r="SS43" s="12">
        <f>OR(SS42,IF(VATAgentMode,SUM($SQ32:$SQ43)-SUM($SX32:$SX43)&gt;=VATThreshold,SUM($SQ32:$SQ43)&gt;=VATThreshold))</f>
        <v/>
      </c>
      <c r="ST43" s="9">
        <f>IF(SS43,IF(VATAgentMode,SQ43-((SQ43-SX43)-(SQ43-SX43)/(1+VATRate)),SQ43/(1+VATRate)),SQ43)</f>
        <v/>
      </c>
      <c r="SU43" s="12">
        <f>SQ43-ST43</f>
        <v/>
      </c>
      <c r="SV43" s="12">
        <f>IF(SS43=0,0,IF(RN43=1,SUMPRODUCT(--(($RO$5:$RO43=$RO43-1)*($RN$5:$RN43&gt;=10)*($RN$5:$RN43&lt;=12)),$SU$5:$SU43),IF(RN43=4,SUMPRODUCT(--(($RO$5:$RO43=$RO43)*($RN$5:$RN43&gt;=1)*($RN$5:$RN43&lt;=3)),$SU$5:$SU43),IF(RN43=7,SUMPRODUCT(--(($RO$5:$RO43=$RO43)*($RN$5:$RN43&gt;=4)*($RN$5:$RN43&lt;=6)),$SU$5:$SU43),IF(RN43=10,SUMPRODUCT(--(($RO$5:$RO43=$RO43)*($RN$5:$RN43&gt;=7)*($RN$5:$RN43&lt;=9)),$SU$5:$SU43),0)))))</f>
        <v/>
      </c>
      <c r="SW43" s="12">
        <f>SW42+SU43-SV43</f>
        <v/>
      </c>
      <c r="SX43" s="12">
        <f>IF(ProviderDelay&gt;=1,SE42*BlendedProvPayEss+SF42*BlendedProvPayPrem+SG42*BlendedProvPayElite+SH42*BlendedProvPayEss+SI42*BlendedProvPayPrem+SJ42*BlendedProvPayElite,SE43*BlendedProvPayEss+SF43*BlendedProvPayPrem+SG43*BlendedProvPayElite+SH43*BlendedProvPayEss+SI43*BlendedProvPayPrem+SJ43*BlendedProvPayElite)</f>
        <v/>
      </c>
      <c r="SY43" s="12">
        <f>SQ43*PaymentFee</f>
        <v/>
      </c>
      <c r="SZ43" s="12">
        <f>SK43*OpsAI</f>
        <v/>
      </c>
      <c r="TA43" s="12">
        <f>MonthlyFixed</f>
        <v/>
      </c>
      <c r="TB43" s="12">
        <f>RU43*ReferralReward</f>
        <v/>
      </c>
      <c r="TC43" s="12">
        <f>RS43</f>
        <v/>
      </c>
      <c r="TD43" s="9">
        <f>ST43-SX43-SY43-SZ43-TA43-TB43-TC43</f>
        <v/>
      </c>
      <c r="TE43" s="9">
        <f>TE42+SQ43-(SX43+SY43+SZ43+TA43+TB43+TC43+SV43)</f>
        <v/>
      </c>
      <c r="TF43" s="12">
        <f>IF(SK43&gt;0,SL43/SK43,0)</f>
        <v/>
      </c>
      <c r="TG43" s="11">
        <f>IF(SK42&gt;0,MAX(0,(SK42+RV43-SK43)/SK42),0)</f>
        <v/>
      </c>
      <c r="TI43" s="12" t="n">
        <v>39</v>
      </c>
      <c r="TJ43" s="12">
        <f>MOD(TI43-1+LaunchMonth-1,12)+1</f>
        <v/>
      </c>
      <c r="TK43" s="12">
        <f>INT((TI43-1+LaunchMonth-1)/12)+1</f>
        <v/>
      </c>
      <c r="TL43" s="12">
        <f>VLOOKUP(TJ43,SeasonTable,2,FALSE)</f>
        <v/>
      </c>
      <c r="TM43" s="12">
        <f>(1+InflationRate)^INT((TI43-1)/12)</f>
        <v/>
      </c>
      <c r="TN43" s="11">
        <f>'Sens - Churn'!$A$21*VLOOKUP(TJ43,ChurnSeasonTable,4,FALSE)</f>
        <v/>
      </c>
      <c r="TO43" s="12">
        <f>MIN(MAX(MktMin19plus,UM42*MktPct19plus),MAX(0,VA42-CashBuffer))</f>
        <v/>
      </c>
      <c r="TP43" s="12">
        <f>IF(TO43&gt;0,MAX(1,ROUND(TO43/CAC*TL43,0)),0)</f>
        <v/>
      </c>
      <c r="TQ43" s="12">
        <f>IF(TP43&gt;0,ROUND(TP43*ReferralMix/(1-ReferralMix),0),0)</f>
        <v/>
      </c>
      <c r="TR43" s="12">
        <f>TP43+TQ43</f>
        <v/>
      </c>
      <c r="TS43" s="12">
        <f>ROUND(TR43*(1-AnnualMix),0)</f>
        <v/>
      </c>
      <c r="TT43" s="12">
        <f>TR43-TS43</f>
        <v/>
      </c>
      <c r="TU43" s="12">
        <f>ROUND(TS43*EssentialMix,0)</f>
        <v/>
      </c>
      <c r="TV43" s="12">
        <f>ROUND(TS43*PremiumMix,0)</f>
        <v/>
      </c>
      <c r="TW43" s="12">
        <f>TS43-TU43-TV43</f>
        <v/>
      </c>
      <c r="TX43" s="12">
        <f>ROUND(TT43*EssentialMix,0)</f>
        <v/>
      </c>
      <c r="TY43" s="12">
        <f>ROUND(TT43*PremiumMix,0)</f>
        <v/>
      </c>
      <c r="TZ43" s="12">
        <f>TT43-TX43-TY43</f>
        <v/>
      </c>
      <c r="UA43" s="12">
        <f>TU43+TU42+TU41+MAX(0,UA42-TU42-TU41)*(1-TN43)</f>
        <v/>
      </c>
      <c r="UB43" s="12">
        <f>TV43+TV42+TV41+MAX(0,UB42-TV42-TV41)*(1-TN43)</f>
        <v/>
      </c>
      <c r="UC43" s="12">
        <f>TW43+TW42+TW41+MAX(0,UC42-TW42-TW41)*(1-TN43)</f>
        <v/>
      </c>
      <c r="UD43" s="12">
        <f>UD42+TX43-TX31*(AnnualChurn*VLOOKUP(TJ43,ChurnSeasonTable,4,FALSE))*POWER(1-(AnnualChurn*VLOOKUP(TJ43,ChurnSeasonTable,4,FALSE)),0)+TX19*(AnnualChurn*VLOOKUP(TJ43,ChurnSeasonTable,4,FALSE))*POWER(1-(AnnualChurn*VLOOKUP(TJ43,ChurnSeasonTable,4,FALSE)),1)+TX7*(AnnualChurn*VLOOKUP(TJ43,ChurnSeasonTable,4,FALSE))*POWER(1-(AnnualChurn*VLOOKUP(TJ43,ChurnSeasonTable,4,FALSE)),2)</f>
        <v/>
      </c>
      <c r="UE43" s="12">
        <f>UE42+TY43-TY31*(AnnualChurn*VLOOKUP(TJ43,ChurnSeasonTable,4,FALSE))*POWER(1-(AnnualChurn*VLOOKUP(TJ43,ChurnSeasonTable,4,FALSE)),0)+TY19*(AnnualChurn*VLOOKUP(TJ43,ChurnSeasonTable,4,FALSE))*POWER(1-(AnnualChurn*VLOOKUP(TJ43,ChurnSeasonTable,4,FALSE)),1)+TY7*(AnnualChurn*VLOOKUP(TJ43,ChurnSeasonTable,4,FALSE))*POWER(1-(AnnualChurn*VLOOKUP(TJ43,ChurnSeasonTable,4,FALSE)),2)</f>
        <v/>
      </c>
      <c r="UF43" s="12">
        <f>UF42+TZ43-TZ31*(AnnualChurn*VLOOKUP(TJ43,ChurnSeasonTable,4,FALSE))*POWER(1-(AnnualChurn*VLOOKUP(TJ43,ChurnSeasonTable,4,FALSE)),0)+TZ19*(AnnualChurn*VLOOKUP(TJ43,ChurnSeasonTable,4,FALSE))*POWER(1-(AnnualChurn*VLOOKUP(TJ43,ChurnSeasonTable,4,FALSE)),1)+TZ7*(AnnualChurn*VLOOKUP(TJ43,ChurnSeasonTable,4,FALSE))*POWER(1-(AnnualChurn*VLOOKUP(TJ43,ChurnSeasonTable,4,FALSE)),2)</f>
        <v/>
      </c>
      <c r="UG43" s="12">
        <f>UA43+UB43+UC43+UD43+UE43+UF43</f>
        <v/>
      </c>
      <c r="UH43" s="9">
        <f>UA43*BlendedPriceEssMonthly*TM43+UB43*BlendedPricePremMonthly*TM43+UC43*BlendedPriceEliteMonthly*TM43+UD43*BlendedPriceEssAnnual*TM43/12+UE43*BlendedPricePremAnnual*TM43/12+UF43*BlendedPriceEliteAnnual*TM43/12</f>
        <v/>
      </c>
      <c r="UI43" s="9">
        <f>UH43*12</f>
        <v/>
      </c>
      <c r="UJ43" s="12">
        <f>UA43*BlendedPriceEssMonthly*TM43+UB43*BlendedPricePremMonthly*TM43+UC43*BlendedPriceEliteMonthly*TM43</f>
        <v/>
      </c>
      <c r="UK43" s="12">
        <f>TX43*BlendedPriceEssAnnual*TM43+TY43*BlendedPricePremAnnual*TM43+TZ43*BlendedPriceEliteAnnual*TM43</f>
        <v/>
      </c>
      <c r="UL43" s="12">
        <f>TX31*POWER(1-(AnnualChurn*VLOOKUP(TJ43,ChurnSeasonTable,4,FALSE)),1)*BlendedPriceEssAnnual*TM43+TX19*POWER(1-(AnnualChurn*VLOOKUP(TJ43,ChurnSeasonTable,4,FALSE)),2)*BlendedPriceEssAnnual*TM43+TX7*POWER(1-(AnnualChurn*VLOOKUP(TJ43,ChurnSeasonTable,4,FALSE)),3)*BlendedPriceEssAnnual*TM43+TY31*POWER(1-(AnnualChurn*VLOOKUP(TJ43,ChurnSeasonTable,4,FALSE)),1)*BlendedPricePremAnnual*TM43+TY19*POWER(1-(AnnualChurn*VLOOKUP(TJ43,ChurnSeasonTable,4,FALSE)),2)*BlendedPricePremAnnual*TM43+TY7*POWER(1-(AnnualChurn*VLOOKUP(TJ43,ChurnSeasonTable,4,FALSE)),3)*BlendedPricePremAnnual*TM43+TZ31*POWER(1-(AnnualChurn*VLOOKUP(TJ43,ChurnSeasonTable,4,FALSE)),1)*BlendedPriceEliteAnnual*TM43+TZ19*POWER(1-(AnnualChurn*VLOOKUP(TJ43,ChurnSeasonTable,4,FALSE)),2)*BlendedPriceEliteAnnual*TM43+TZ7*POWER(1-(AnnualChurn*VLOOKUP(TJ43,ChurnSeasonTable,4,FALSE)),3)*BlendedPriceEliteAnnual*TM43</f>
        <v/>
      </c>
      <c r="UM43" s="9">
        <f>UJ43+UK43+UL43</f>
        <v/>
      </c>
      <c r="UN43" s="12">
        <f>SUM(UM32:UM43)</f>
        <v/>
      </c>
      <c r="UO43" s="12">
        <f>OR(UO42,IF(VATAgentMode,SUM($UM32:$UM43)-SUM($UT32:$UT43)&gt;=VATThreshold,SUM($UM32:$UM43)&gt;=VATThreshold))</f>
        <v/>
      </c>
      <c r="UP43" s="9">
        <f>IF(UO43,IF(VATAgentMode,UM43-((UM43-UT43)-(UM43-UT43)/(1+VATRate)),UM43/(1+VATRate)),UM43)</f>
        <v/>
      </c>
      <c r="UQ43" s="12">
        <f>UM43-UP43</f>
        <v/>
      </c>
      <c r="UR43" s="12">
        <f>IF(UO43=0,0,IF(TJ43=1,SUMPRODUCT(--(($TK$5:$TK43=$TK43-1)*($TJ$5:$TJ43&gt;=10)*($TJ$5:$TJ43&lt;=12)),$UQ$5:$UQ43),IF(TJ43=4,SUMPRODUCT(--(($TK$5:$TK43=$TK43)*($TJ$5:$TJ43&gt;=1)*($TJ$5:$TJ43&lt;=3)),$UQ$5:$UQ43),IF(TJ43=7,SUMPRODUCT(--(($TK$5:$TK43=$TK43)*($TJ$5:$TJ43&gt;=4)*($TJ$5:$TJ43&lt;=6)),$UQ$5:$UQ43),IF(TJ43=10,SUMPRODUCT(--(($TK$5:$TK43=$TK43)*($TJ$5:$TJ43&gt;=7)*($TJ$5:$TJ43&lt;=9)),$UQ$5:$UQ43),0)))))</f>
        <v/>
      </c>
      <c r="US43" s="12">
        <f>US42+UQ43-UR43</f>
        <v/>
      </c>
      <c r="UT43" s="12">
        <f>IF(ProviderDelay&gt;=1,UA42*BlendedProvPayEss+UB42*BlendedProvPayPrem+UC42*BlendedProvPayElite+UD42*BlendedProvPayEss+UE42*BlendedProvPayPrem+UF42*BlendedProvPayElite,UA43*BlendedProvPayEss+UB43*BlendedProvPayPrem+UC43*BlendedProvPayElite+UD43*BlendedProvPayEss+UE43*BlendedProvPayPrem+UF43*BlendedProvPayElite)</f>
        <v/>
      </c>
      <c r="UU43" s="12">
        <f>UM43*PaymentFee</f>
        <v/>
      </c>
      <c r="UV43" s="12">
        <f>UG43*OpsAI</f>
        <v/>
      </c>
      <c r="UW43" s="12">
        <f>MonthlyFixed</f>
        <v/>
      </c>
      <c r="UX43" s="12">
        <f>TQ43*ReferralReward</f>
        <v/>
      </c>
      <c r="UY43" s="12">
        <f>TO43</f>
        <v/>
      </c>
      <c r="UZ43" s="9">
        <f>UP43-UT43-UU43-UV43-UW43-UX43-UY43</f>
        <v/>
      </c>
      <c r="VA43" s="9">
        <f>VA42+UM43-(UT43+UU43+UV43+UW43+UX43+UY43+UR43)</f>
        <v/>
      </c>
      <c r="VB43" s="12">
        <f>IF(UG43&gt;0,UH43/UG43,0)</f>
        <v/>
      </c>
      <c r="VC43" s="11">
        <f>IF(UG42&gt;0,MAX(0,(UG42+TR43-UG43)/UG42),0)</f>
        <v/>
      </c>
      <c r="VE43" s="12" t="n">
        <v>39</v>
      </c>
      <c r="VF43" s="12">
        <f>MOD(VE43-1+LaunchMonth-1,12)+1</f>
        <v/>
      </c>
      <c r="VG43" s="12">
        <f>INT((VE43-1+LaunchMonth-1)/12)+1</f>
        <v/>
      </c>
      <c r="VH43" s="12">
        <f>VLOOKUP(VF43,SeasonTable,2,FALSE)</f>
        <v/>
      </c>
      <c r="VI43" s="12">
        <f>(1+InflationRate)^INT((VE43-1)/12)</f>
        <v/>
      </c>
      <c r="VJ43" s="11">
        <f>MonthlyChurn*VLOOKUP(VF43,ChurnSeasonTable,4,FALSE)</f>
        <v/>
      </c>
      <c r="VK43" s="12">
        <f>MIN(MAX(MktMin19plus,WI42*MktPct19plus),MAX(0,WW42-CashBuffer))</f>
        <v/>
      </c>
      <c r="VL43" s="12">
        <f>IF(VK43&gt;0,MAX(1,ROUND(VK43/CAC*VH43,0)),0)</f>
        <v/>
      </c>
      <c r="VM43" s="12">
        <f>IF(VL43&gt;0,ROUND(VL43*ReferralMix/(1-ReferralMix),0),0)</f>
        <v/>
      </c>
      <c r="VN43" s="12">
        <f>VL43+VM43</f>
        <v/>
      </c>
      <c r="VO43" s="12">
        <f>ROUND(VN43*(1-'Sens - Annual Mix'!$A$9),0)</f>
        <v/>
      </c>
      <c r="VP43" s="12">
        <f>VN43-VO43</f>
        <v/>
      </c>
      <c r="VQ43" s="12">
        <f>ROUND(VO43*EssentialMix,0)</f>
        <v/>
      </c>
      <c r="VR43" s="12">
        <f>ROUND(VO43*PremiumMix,0)</f>
        <v/>
      </c>
      <c r="VS43" s="12">
        <f>VO43-VQ43-VR43</f>
        <v/>
      </c>
      <c r="VT43" s="12">
        <f>ROUND(VP43*EssentialMix,0)</f>
        <v/>
      </c>
      <c r="VU43" s="12">
        <f>ROUND(VP43*PremiumMix,0)</f>
        <v/>
      </c>
      <c r="VV43" s="12">
        <f>VP43-VT43-VU43</f>
        <v/>
      </c>
      <c r="VW43" s="12">
        <f>VQ43+VQ42+VQ41+MAX(0,VW42-VQ42-VQ41)*(1-VJ43)</f>
        <v/>
      </c>
      <c r="VX43" s="12">
        <f>VR43+VR42+VR41+MAX(0,VX42-VR42-VR41)*(1-VJ43)</f>
        <v/>
      </c>
      <c r="VY43" s="12">
        <f>VS43+VS42+VS41+MAX(0,VY42-VS42-VS41)*(1-VJ43)</f>
        <v/>
      </c>
      <c r="VZ43" s="12">
        <f>VZ42+VT43-VT31*(AnnualChurn*VLOOKUP(VF43,ChurnSeasonTable,4,FALSE))*POWER(1-(AnnualChurn*VLOOKUP(VF43,ChurnSeasonTable,4,FALSE)),0)+VT19*(AnnualChurn*VLOOKUP(VF43,ChurnSeasonTable,4,FALSE))*POWER(1-(AnnualChurn*VLOOKUP(VF43,ChurnSeasonTable,4,FALSE)),1)+VT7*(AnnualChurn*VLOOKUP(VF43,ChurnSeasonTable,4,FALSE))*POWER(1-(AnnualChurn*VLOOKUP(VF43,ChurnSeasonTable,4,FALSE)),2)</f>
        <v/>
      </c>
      <c r="WA43" s="12">
        <f>WA42+VU43-VU31*(AnnualChurn*VLOOKUP(VF43,ChurnSeasonTable,4,FALSE))*POWER(1-(AnnualChurn*VLOOKUP(VF43,ChurnSeasonTable,4,FALSE)),0)+VU19*(AnnualChurn*VLOOKUP(VF43,ChurnSeasonTable,4,FALSE))*POWER(1-(AnnualChurn*VLOOKUP(VF43,ChurnSeasonTable,4,FALSE)),1)+VU7*(AnnualChurn*VLOOKUP(VF43,ChurnSeasonTable,4,FALSE))*POWER(1-(AnnualChurn*VLOOKUP(VF43,ChurnSeasonTable,4,FALSE)),2)</f>
        <v/>
      </c>
      <c r="WB43" s="12">
        <f>WB42+VV43-VV31*(AnnualChurn*VLOOKUP(VF43,ChurnSeasonTable,4,FALSE))*POWER(1-(AnnualChurn*VLOOKUP(VF43,ChurnSeasonTable,4,FALSE)),0)+VV19*(AnnualChurn*VLOOKUP(VF43,ChurnSeasonTable,4,FALSE))*POWER(1-(AnnualChurn*VLOOKUP(VF43,ChurnSeasonTable,4,FALSE)),1)+VV7*(AnnualChurn*VLOOKUP(VF43,ChurnSeasonTable,4,FALSE))*POWER(1-(AnnualChurn*VLOOKUP(VF43,ChurnSeasonTable,4,FALSE)),2)</f>
        <v/>
      </c>
      <c r="WC43" s="12">
        <f>VW43+VX43+VY43+VZ43+WA43+WB43</f>
        <v/>
      </c>
      <c r="WD43" s="9">
        <f>VW43*BlendedPriceEssMonthly*VI43+VX43*BlendedPricePremMonthly*VI43+VY43*BlendedPriceEliteMonthly*VI43+VZ43*BlendedPriceEssAnnual*VI43/12+WA43*BlendedPricePremAnnual*VI43/12+WB43*BlendedPriceEliteAnnual*VI43/12</f>
        <v/>
      </c>
      <c r="WE43" s="9">
        <f>WD43*12</f>
        <v/>
      </c>
      <c r="WF43" s="12">
        <f>VW43*BlendedPriceEssMonthly*VI43+VX43*BlendedPricePremMonthly*VI43+VY43*BlendedPriceEliteMonthly*VI43</f>
        <v/>
      </c>
      <c r="WG43" s="12">
        <f>VT43*BlendedPriceEssAnnual*VI43+VU43*BlendedPricePremAnnual*VI43+VV43*BlendedPriceEliteAnnual*VI43</f>
        <v/>
      </c>
      <c r="WH43" s="12">
        <f>VT31*POWER(1-(AnnualChurn*VLOOKUP(VF43,ChurnSeasonTable,4,FALSE)),1)*BlendedPriceEssAnnual*VI43+VT19*POWER(1-(AnnualChurn*VLOOKUP(VF43,ChurnSeasonTable,4,FALSE)),2)*BlendedPriceEssAnnual*VI43+VT7*POWER(1-(AnnualChurn*VLOOKUP(VF43,ChurnSeasonTable,4,FALSE)),3)*BlendedPriceEssAnnual*VI43+VU31*POWER(1-(AnnualChurn*VLOOKUP(VF43,ChurnSeasonTable,4,FALSE)),1)*BlendedPricePremAnnual*VI43+VU19*POWER(1-(AnnualChurn*VLOOKUP(VF43,ChurnSeasonTable,4,FALSE)),2)*BlendedPricePremAnnual*VI43+VU7*POWER(1-(AnnualChurn*VLOOKUP(VF43,ChurnSeasonTable,4,FALSE)),3)*BlendedPricePremAnnual*VI43+VV31*POWER(1-(AnnualChurn*VLOOKUP(VF43,ChurnSeasonTable,4,FALSE)),1)*BlendedPriceEliteAnnual*VI43+VV19*POWER(1-(AnnualChurn*VLOOKUP(VF43,ChurnSeasonTable,4,FALSE)),2)*BlendedPriceEliteAnnual*VI43+VV7*POWER(1-(AnnualChurn*VLOOKUP(VF43,ChurnSeasonTable,4,FALSE)),3)*BlendedPriceEliteAnnual*VI43</f>
        <v/>
      </c>
      <c r="WI43" s="9">
        <f>WF43+WG43+WH43</f>
        <v/>
      </c>
      <c r="WJ43" s="12">
        <f>SUM(WI32:WI43)</f>
        <v/>
      </c>
      <c r="WK43" s="12">
        <f>OR(WK42,IF(VATAgentMode,SUM($WI32:$WI43)-SUM($WP32:$WP43)&gt;=VATThreshold,SUM($WI32:$WI43)&gt;=VATThreshold))</f>
        <v/>
      </c>
      <c r="WL43" s="9">
        <f>IF(WK43,IF(VATAgentMode,WI43-((WI43-WP43)-(WI43-WP43)/(1+VATRate)),WI43/(1+VATRate)),WI43)</f>
        <v/>
      </c>
      <c r="WM43" s="12">
        <f>WI43-WL43</f>
        <v/>
      </c>
      <c r="WN43" s="12">
        <f>IF(WK43=0,0,IF(VF43=1,SUMPRODUCT(--(($VG$5:$VG43=$VG43-1)*($VF$5:$VF43&gt;=10)*($VF$5:$VF43&lt;=12)),$WM$5:$WM43),IF(VF43=4,SUMPRODUCT(--(($VG$5:$VG43=$VG43)*($VF$5:$VF43&gt;=1)*($VF$5:$VF43&lt;=3)),$WM$5:$WM43),IF(VF43=7,SUMPRODUCT(--(($VG$5:$VG43=$VG43)*($VF$5:$VF43&gt;=4)*($VF$5:$VF43&lt;=6)),$WM$5:$WM43),IF(VF43=10,SUMPRODUCT(--(($VG$5:$VG43=$VG43)*($VF$5:$VF43&gt;=7)*($VF$5:$VF43&lt;=9)),$WM$5:$WM43),0)))))</f>
        <v/>
      </c>
      <c r="WO43" s="12">
        <f>WO42+WM43-WN43</f>
        <v/>
      </c>
      <c r="WP43" s="12">
        <f>IF(ProviderDelay&gt;=1,VW42*BlendedProvPayEss+VX42*BlendedProvPayPrem+VY42*BlendedProvPayElite+VZ42*BlendedProvPayEss+WA42*BlendedProvPayPrem+WB42*BlendedProvPayElite,VW43*BlendedProvPayEss+VX43*BlendedProvPayPrem+VY43*BlendedProvPayElite+VZ43*BlendedProvPayEss+WA43*BlendedProvPayPrem+WB43*BlendedProvPayElite)</f>
        <v/>
      </c>
      <c r="WQ43" s="12">
        <f>WI43*PaymentFee</f>
        <v/>
      </c>
      <c r="WR43" s="12">
        <f>WC43*OpsAI</f>
        <v/>
      </c>
      <c r="WS43" s="12">
        <f>MonthlyFixed</f>
        <v/>
      </c>
      <c r="WT43" s="12">
        <f>VM43*ReferralReward</f>
        <v/>
      </c>
      <c r="WU43" s="12">
        <f>VK43</f>
        <v/>
      </c>
      <c r="WV43" s="9">
        <f>WL43-WP43-WQ43-WR43-WS43-WT43-WU43</f>
        <v/>
      </c>
      <c r="WW43" s="9">
        <f>WW42+WI43-(WP43+WQ43+WR43+WS43+WT43+WU43+WN43)</f>
        <v/>
      </c>
      <c r="WX43" s="12">
        <f>IF(WC43&gt;0,WD43/WC43,0)</f>
        <v/>
      </c>
      <c r="WY43" s="11">
        <f>IF(WC42&gt;0,MAX(0,(WC42+VN43-WC43)/WC42),0)</f>
        <v/>
      </c>
      <c r="XA43" s="12" t="n">
        <v>39</v>
      </c>
      <c r="XB43" s="12">
        <f>MOD(XA43-1+LaunchMonth-1,12)+1</f>
        <v/>
      </c>
      <c r="XC43" s="12">
        <f>INT((XA43-1+LaunchMonth-1)/12)+1</f>
        <v/>
      </c>
      <c r="XD43" s="12">
        <f>VLOOKUP(XB43,SeasonTable,2,FALSE)</f>
        <v/>
      </c>
      <c r="XE43" s="12">
        <f>(1+InflationRate)^INT((XA43-1)/12)</f>
        <v/>
      </c>
      <c r="XF43" s="11">
        <f>MonthlyChurn*VLOOKUP(XB43,ChurnSeasonTable,4,FALSE)</f>
        <v/>
      </c>
      <c r="XG43" s="12">
        <f>MIN(MAX(MktMin19plus,YE42*MktPct19plus),MAX(0,YS42-CashBuffer))</f>
        <v/>
      </c>
      <c r="XH43" s="12">
        <f>IF(XG43&gt;0,MAX(1,ROUND(XG43/CAC*XD43,0)),0)</f>
        <v/>
      </c>
      <c r="XI43" s="12">
        <f>IF(XH43&gt;0,ROUND(XH43*ReferralMix/(1-ReferralMix),0),0)</f>
        <v/>
      </c>
      <c r="XJ43" s="12">
        <f>XH43+XI43</f>
        <v/>
      </c>
      <c r="XK43" s="12">
        <f>ROUND(XJ43*(1-'Sens - Annual Mix'!$A$10),0)</f>
        <v/>
      </c>
      <c r="XL43" s="12">
        <f>XJ43-XK43</f>
        <v/>
      </c>
      <c r="XM43" s="12">
        <f>ROUND(XK43*EssentialMix,0)</f>
        <v/>
      </c>
      <c r="XN43" s="12">
        <f>ROUND(XK43*PremiumMix,0)</f>
        <v/>
      </c>
      <c r="XO43" s="12">
        <f>XK43-XM43-XN43</f>
        <v/>
      </c>
      <c r="XP43" s="12">
        <f>ROUND(XL43*EssentialMix,0)</f>
        <v/>
      </c>
      <c r="XQ43" s="12">
        <f>ROUND(XL43*PremiumMix,0)</f>
        <v/>
      </c>
      <c r="XR43" s="12">
        <f>XL43-XP43-XQ43</f>
        <v/>
      </c>
      <c r="XS43" s="12">
        <f>XM43+XM42+XM41+MAX(0,XS42-XM42-XM41)*(1-XF43)</f>
        <v/>
      </c>
      <c r="XT43" s="12">
        <f>XN43+XN42+XN41+MAX(0,XT42-XN42-XN41)*(1-XF43)</f>
        <v/>
      </c>
      <c r="XU43" s="12">
        <f>XO43+XO42+XO41+MAX(0,XU42-XO42-XO41)*(1-XF43)</f>
        <v/>
      </c>
      <c r="XV43" s="12">
        <f>XV42+XP43-XP31*(AnnualChurn*VLOOKUP(XB43,ChurnSeasonTable,4,FALSE))*POWER(1-(AnnualChurn*VLOOKUP(XB43,ChurnSeasonTable,4,FALSE)),0)+XP19*(AnnualChurn*VLOOKUP(XB43,ChurnSeasonTable,4,FALSE))*POWER(1-(AnnualChurn*VLOOKUP(XB43,ChurnSeasonTable,4,FALSE)),1)+XP7*(AnnualChurn*VLOOKUP(XB43,ChurnSeasonTable,4,FALSE))*POWER(1-(AnnualChurn*VLOOKUP(XB43,ChurnSeasonTable,4,FALSE)),2)</f>
        <v/>
      </c>
      <c r="XW43" s="12">
        <f>XW42+XQ43-XQ31*(AnnualChurn*VLOOKUP(XB43,ChurnSeasonTable,4,FALSE))*POWER(1-(AnnualChurn*VLOOKUP(XB43,ChurnSeasonTable,4,FALSE)),0)+XQ19*(AnnualChurn*VLOOKUP(XB43,ChurnSeasonTable,4,FALSE))*POWER(1-(AnnualChurn*VLOOKUP(XB43,ChurnSeasonTable,4,FALSE)),1)+XQ7*(AnnualChurn*VLOOKUP(XB43,ChurnSeasonTable,4,FALSE))*POWER(1-(AnnualChurn*VLOOKUP(XB43,ChurnSeasonTable,4,FALSE)),2)</f>
        <v/>
      </c>
      <c r="XX43" s="12">
        <f>XX42+XR43-XR31*(AnnualChurn*VLOOKUP(XB43,ChurnSeasonTable,4,FALSE))*POWER(1-(AnnualChurn*VLOOKUP(XB43,ChurnSeasonTable,4,FALSE)),0)+XR19*(AnnualChurn*VLOOKUP(XB43,ChurnSeasonTable,4,FALSE))*POWER(1-(AnnualChurn*VLOOKUP(XB43,ChurnSeasonTable,4,FALSE)),1)+XR7*(AnnualChurn*VLOOKUP(XB43,ChurnSeasonTable,4,FALSE))*POWER(1-(AnnualChurn*VLOOKUP(XB43,ChurnSeasonTable,4,FALSE)),2)</f>
        <v/>
      </c>
      <c r="XY43" s="12">
        <f>XS43+XT43+XU43+XV43+XW43+XX43</f>
        <v/>
      </c>
      <c r="XZ43" s="9">
        <f>XS43*BlendedPriceEssMonthly*XE43+XT43*BlendedPricePremMonthly*XE43+XU43*BlendedPriceEliteMonthly*XE43+XV43*BlendedPriceEssAnnual*XE43/12+XW43*BlendedPricePremAnnual*XE43/12+XX43*BlendedPriceEliteAnnual*XE43/12</f>
        <v/>
      </c>
      <c r="YA43" s="9">
        <f>XZ43*12</f>
        <v/>
      </c>
      <c r="YB43" s="12">
        <f>XS43*BlendedPriceEssMonthly*XE43+XT43*BlendedPricePremMonthly*XE43+XU43*BlendedPriceEliteMonthly*XE43</f>
        <v/>
      </c>
      <c r="YC43" s="12">
        <f>XP43*BlendedPriceEssAnnual*XE43+XQ43*BlendedPricePremAnnual*XE43+XR43*BlendedPriceEliteAnnual*XE43</f>
        <v/>
      </c>
      <c r="YD43" s="12">
        <f>XP31*POWER(1-(AnnualChurn*VLOOKUP(XB43,ChurnSeasonTable,4,FALSE)),1)*BlendedPriceEssAnnual*XE43+XP19*POWER(1-(AnnualChurn*VLOOKUP(XB43,ChurnSeasonTable,4,FALSE)),2)*BlendedPriceEssAnnual*XE43+XP7*POWER(1-(AnnualChurn*VLOOKUP(XB43,ChurnSeasonTable,4,FALSE)),3)*BlendedPriceEssAnnual*XE43+XQ31*POWER(1-(AnnualChurn*VLOOKUP(XB43,ChurnSeasonTable,4,FALSE)),1)*BlendedPricePremAnnual*XE43+XQ19*POWER(1-(AnnualChurn*VLOOKUP(XB43,ChurnSeasonTable,4,FALSE)),2)*BlendedPricePremAnnual*XE43+XQ7*POWER(1-(AnnualChurn*VLOOKUP(XB43,ChurnSeasonTable,4,FALSE)),3)*BlendedPricePremAnnual*XE43+XR31*POWER(1-(AnnualChurn*VLOOKUP(XB43,ChurnSeasonTable,4,FALSE)),1)*BlendedPriceEliteAnnual*XE43+XR19*POWER(1-(AnnualChurn*VLOOKUP(XB43,ChurnSeasonTable,4,FALSE)),2)*BlendedPriceEliteAnnual*XE43+XR7*POWER(1-(AnnualChurn*VLOOKUP(XB43,ChurnSeasonTable,4,FALSE)),3)*BlendedPriceEliteAnnual*XE43</f>
        <v/>
      </c>
      <c r="YE43" s="9">
        <f>YB43+YC43+YD43</f>
        <v/>
      </c>
      <c r="YF43" s="12">
        <f>SUM(YE32:YE43)</f>
        <v/>
      </c>
      <c r="YG43" s="12">
        <f>OR(YG42,IF(VATAgentMode,SUM($YE32:$YE43)-SUM($YL32:$YL43)&gt;=VATThreshold,SUM($YE32:$YE43)&gt;=VATThreshold))</f>
        <v/>
      </c>
      <c r="YH43" s="9">
        <f>IF(YG43,IF(VATAgentMode,YE43-((YE43-YL43)-(YE43-YL43)/(1+VATRate)),YE43/(1+VATRate)),YE43)</f>
        <v/>
      </c>
      <c r="YI43" s="12">
        <f>YE43-YH43</f>
        <v/>
      </c>
      <c r="YJ43" s="12">
        <f>IF(YG43=0,0,IF(XB43=1,SUMPRODUCT(--(($XC$5:$XC43=$XC43-1)*($XB$5:$XB43&gt;=10)*($XB$5:$XB43&lt;=12)),$YI$5:$YI43),IF(XB43=4,SUMPRODUCT(--(($XC$5:$XC43=$XC43)*($XB$5:$XB43&gt;=1)*($XB$5:$XB43&lt;=3)),$YI$5:$YI43),IF(XB43=7,SUMPRODUCT(--(($XC$5:$XC43=$XC43)*($XB$5:$XB43&gt;=4)*($XB$5:$XB43&lt;=6)),$YI$5:$YI43),IF(XB43=10,SUMPRODUCT(--(($XC$5:$XC43=$XC43)*($XB$5:$XB43&gt;=7)*($XB$5:$XB43&lt;=9)),$YI$5:$YI43),0)))))</f>
        <v/>
      </c>
      <c r="YK43" s="12">
        <f>YK42+YI43-YJ43</f>
        <v/>
      </c>
      <c r="YL43" s="12">
        <f>IF(ProviderDelay&gt;=1,XS42*BlendedProvPayEss+XT42*BlendedProvPayPrem+XU42*BlendedProvPayElite+XV42*BlendedProvPayEss+XW42*BlendedProvPayPrem+XX42*BlendedProvPayElite,XS43*BlendedProvPayEss+XT43*BlendedProvPayPrem+XU43*BlendedProvPayElite+XV43*BlendedProvPayEss+XW43*BlendedProvPayPrem+XX43*BlendedProvPayElite)</f>
        <v/>
      </c>
      <c r="YM43" s="12">
        <f>YE43*PaymentFee</f>
        <v/>
      </c>
      <c r="YN43" s="12">
        <f>XY43*OpsAI</f>
        <v/>
      </c>
      <c r="YO43" s="12">
        <f>MonthlyFixed</f>
        <v/>
      </c>
      <c r="YP43" s="12">
        <f>XI43*ReferralReward</f>
        <v/>
      </c>
      <c r="YQ43" s="12">
        <f>XG43</f>
        <v/>
      </c>
      <c r="YR43" s="9">
        <f>YH43-YL43-YM43-YN43-YO43-YP43-YQ43</f>
        <v/>
      </c>
      <c r="YS43" s="9">
        <f>YS42+YE43-(YL43+YM43+YN43+YO43+YP43+YQ43+YJ43)</f>
        <v/>
      </c>
      <c r="YT43" s="12">
        <f>IF(XY43&gt;0,XZ43/XY43,0)</f>
        <v/>
      </c>
      <c r="YU43" s="11">
        <f>IF(XY42&gt;0,MAX(0,(XY42+XJ43-XY43)/XY42),0)</f>
        <v/>
      </c>
      <c r="YW43" s="12" t="n">
        <v>39</v>
      </c>
      <c r="YX43" s="12">
        <f>MOD(YW43-1+LaunchMonth-1,12)+1</f>
        <v/>
      </c>
      <c r="YY43" s="12">
        <f>INT((YW43-1+LaunchMonth-1)/12)+1</f>
        <v/>
      </c>
      <c r="YZ43" s="12">
        <f>VLOOKUP(YX43,SeasonTable,2,FALSE)</f>
        <v/>
      </c>
      <c r="ZA43" s="12">
        <f>(1+InflationRate)^INT((YW43-1)/12)</f>
        <v/>
      </c>
      <c r="ZB43" s="11">
        <f>MonthlyChurn*VLOOKUP(YX43,ChurnSeasonTable,4,FALSE)</f>
        <v/>
      </c>
      <c r="ZC43" s="12">
        <f>MIN(MAX(MktMin19plus,AAA42*MktPct19plus),MAX(0,AAO42-CashBuffer))</f>
        <v/>
      </c>
      <c r="ZD43" s="12">
        <f>IF(ZC43&gt;0,MAX(1,ROUND(ZC43/CAC*YZ43,0)),0)</f>
        <v/>
      </c>
      <c r="ZE43" s="12">
        <f>IF(ZD43&gt;0,ROUND(ZD43*ReferralMix/(1-ReferralMix),0),0)</f>
        <v/>
      </c>
      <c r="ZF43" s="12">
        <f>ZD43+ZE43</f>
        <v/>
      </c>
      <c r="ZG43" s="12">
        <f>ROUND(ZF43*(1-'Sens - Annual Mix'!$A$11),0)</f>
        <v/>
      </c>
      <c r="ZH43" s="12">
        <f>ZF43-ZG43</f>
        <v/>
      </c>
      <c r="ZI43" s="12">
        <f>ROUND(ZG43*EssentialMix,0)</f>
        <v/>
      </c>
      <c r="ZJ43" s="12">
        <f>ROUND(ZG43*PremiumMix,0)</f>
        <v/>
      </c>
      <c r="ZK43" s="12">
        <f>ZG43-ZI43-ZJ43</f>
        <v/>
      </c>
      <c r="ZL43" s="12">
        <f>ROUND(ZH43*EssentialMix,0)</f>
        <v/>
      </c>
      <c r="ZM43" s="12">
        <f>ROUND(ZH43*PremiumMix,0)</f>
        <v/>
      </c>
      <c r="ZN43" s="12">
        <f>ZH43-ZL43-ZM43</f>
        <v/>
      </c>
      <c r="ZO43" s="12">
        <f>ZI43+ZI42+ZI41+MAX(0,ZO42-ZI42-ZI41)*(1-ZB43)</f>
        <v/>
      </c>
      <c r="ZP43" s="12">
        <f>ZJ43+ZJ42+ZJ41+MAX(0,ZP42-ZJ42-ZJ41)*(1-ZB43)</f>
        <v/>
      </c>
      <c r="ZQ43" s="12">
        <f>ZK43+ZK42+ZK41+MAX(0,ZQ42-ZK42-ZK41)*(1-ZB43)</f>
        <v/>
      </c>
      <c r="ZR43" s="12">
        <f>ZR42+ZL43-ZL31*(AnnualChurn*VLOOKUP(YX43,ChurnSeasonTable,4,FALSE))*POWER(1-(AnnualChurn*VLOOKUP(YX43,ChurnSeasonTable,4,FALSE)),0)+ZL19*(AnnualChurn*VLOOKUP(YX43,ChurnSeasonTable,4,FALSE))*POWER(1-(AnnualChurn*VLOOKUP(YX43,ChurnSeasonTable,4,FALSE)),1)+ZL7*(AnnualChurn*VLOOKUP(YX43,ChurnSeasonTable,4,FALSE))*POWER(1-(AnnualChurn*VLOOKUP(YX43,ChurnSeasonTable,4,FALSE)),2)</f>
        <v/>
      </c>
      <c r="ZS43" s="12">
        <f>ZS42+ZM43-ZM31*(AnnualChurn*VLOOKUP(YX43,ChurnSeasonTable,4,FALSE))*POWER(1-(AnnualChurn*VLOOKUP(YX43,ChurnSeasonTable,4,FALSE)),0)+ZM19*(AnnualChurn*VLOOKUP(YX43,ChurnSeasonTable,4,FALSE))*POWER(1-(AnnualChurn*VLOOKUP(YX43,ChurnSeasonTable,4,FALSE)),1)+ZM7*(AnnualChurn*VLOOKUP(YX43,ChurnSeasonTable,4,FALSE))*POWER(1-(AnnualChurn*VLOOKUP(YX43,ChurnSeasonTable,4,FALSE)),2)</f>
        <v/>
      </c>
      <c r="ZT43" s="12">
        <f>ZT42+ZN43-ZN31*(AnnualChurn*VLOOKUP(YX43,ChurnSeasonTable,4,FALSE))*POWER(1-(AnnualChurn*VLOOKUP(YX43,ChurnSeasonTable,4,FALSE)),0)+ZN19*(AnnualChurn*VLOOKUP(YX43,ChurnSeasonTable,4,FALSE))*POWER(1-(AnnualChurn*VLOOKUP(YX43,ChurnSeasonTable,4,FALSE)),1)+ZN7*(AnnualChurn*VLOOKUP(YX43,ChurnSeasonTable,4,FALSE))*POWER(1-(AnnualChurn*VLOOKUP(YX43,ChurnSeasonTable,4,FALSE)),2)</f>
        <v/>
      </c>
      <c r="ZU43" s="12">
        <f>ZO43+ZP43+ZQ43+ZR43+ZS43+ZT43</f>
        <v/>
      </c>
      <c r="ZV43" s="9">
        <f>ZO43*BlendedPriceEssMonthly*ZA43+ZP43*BlendedPricePremMonthly*ZA43+ZQ43*BlendedPriceEliteMonthly*ZA43+ZR43*BlendedPriceEssAnnual*ZA43/12+ZS43*BlendedPricePremAnnual*ZA43/12+ZT43*BlendedPriceEliteAnnual*ZA43/12</f>
        <v/>
      </c>
      <c r="ZW43" s="9">
        <f>ZV43*12</f>
        <v/>
      </c>
      <c r="ZX43" s="12">
        <f>ZO43*BlendedPriceEssMonthly*ZA43+ZP43*BlendedPricePremMonthly*ZA43+ZQ43*BlendedPriceEliteMonthly*ZA43</f>
        <v/>
      </c>
      <c r="ZY43" s="12">
        <f>ZL43*BlendedPriceEssAnnual*ZA43+ZM43*BlendedPricePremAnnual*ZA43+ZN43*BlendedPriceEliteAnnual*ZA43</f>
        <v/>
      </c>
      <c r="ZZ43" s="12">
        <f>ZL31*POWER(1-(AnnualChurn*VLOOKUP(YX43,ChurnSeasonTable,4,FALSE)),1)*BlendedPriceEssAnnual*ZA43+ZL19*POWER(1-(AnnualChurn*VLOOKUP(YX43,ChurnSeasonTable,4,FALSE)),2)*BlendedPriceEssAnnual*ZA43+ZL7*POWER(1-(AnnualChurn*VLOOKUP(YX43,ChurnSeasonTable,4,FALSE)),3)*BlendedPriceEssAnnual*ZA43+ZM31*POWER(1-(AnnualChurn*VLOOKUP(YX43,ChurnSeasonTable,4,FALSE)),1)*BlendedPricePremAnnual*ZA43+ZM19*POWER(1-(AnnualChurn*VLOOKUP(YX43,ChurnSeasonTable,4,FALSE)),2)*BlendedPricePremAnnual*ZA43+ZM7*POWER(1-(AnnualChurn*VLOOKUP(YX43,ChurnSeasonTable,4,FALSE)),3)*BlendedPricePremAnnual*ZA43+ZN31*POWER(1-(AnnualChurn*VLOOKUP(YX43,ChurnSeasonTable,4,FALSE)),1)*BlendedPriceEliteAnnual*ZA43+ZN19*POWER(1-(AnnualChurn*VLOOKUP(YX43,ChurnSeasonTable,4,FALSE)),2)*BlendedPriceEliteAnnual*ZA43+ZN7*POWER(1-(AnnualChurn*VLOOKUP(YX43,ChurnSeasonTable,4,FALSE)),3)*BlendedPriceEliteAnnual*ZA43</f>
        <v/>
      </c>
      <c r="AAA43" s="9">
        <f>ZX43+ZY43+ZZ43</f>
        <v/>
      </c>
      <c r="AAB43" s="12">
        <f>SUM(AAA32:AAA43)</f>
        <v/>
      </c>
      <c r="AAC43" s="12">
        <f>OR(AAC42,IF(VATAgentMode,SUM($AAA32:$AAA43)-SUM($AAH32:$AAH43)&gt;=VATThreshold,SUM($AAA32:$AAA43)&gt;=VATThreshold))</f>
        <v/>
      </c>
      <c r="AAD43" s="9">
        <f>IF(AAC43,IF(VATAgentMode,AAA43-((AAA43-AAH43)-(AAA43-AAH43)/(1+VATRate)),AAA43/(1+VATRate)),AAA43)</f>
        <v/>
      </c>
      <c r="AAE43" s="12">
        <f>AAA43-AAD43</f>
        <v/>
      </c>
      <c r="AAF43" s="12">
        <f>IF(AAC43=0,0,IF(YX43=1,SUMPRODUCT(--(($YY$5:$YY43=$YY43-1)*($YX$5:$YX43&gt;=10)*($YX$5:$YX43&lt;=12)),$AAE$5:$AAE43),IF(YX43=4,SUMPRODUCT(--(($YY$5:$YY43=$YY43)*($YX$5:$YX43&gt;=1)*($YX$5:$YX43&lt;=3)),$AAE$5:$AAE43),IF(YX43=7,SUMPRODUCT(--(($YY$5:$YY43=$YY43)*($YX$5:$YX43&gt;=4)*($YX$5:$YX43&lt;=6)),$AAE$5:$AAE43),IF(YX43=10,SUMPRODUCT(--(($YY$5:$YY43=$YY43)*($YX$5:$YX43&gt;=7)*($YX$5:$YX43&lt;=9)),$AAE$5:$AAE43),0)))))</f>
        <v/>
      </c>
      <c r="AAG43" s="12">
        <f>AAG42+AAE43-AAF43</f>
        <v/>
      </c>
      <c r="AAH43" s="12">
        <f>IF(ProviderDelay&gt;=1,ZO42*BlendedProvPayEss+ZP42*BlendedProvPayPrem+ZQ42*BlendedProvPayElite+ZR42*BlendedProvPayEss+ZS42*BlendedProvPayPrem+ZT42*BlendedProvPayElite,ZO43*BlendedProvPayEss+ZP43*BlendedProvPayPrem+ZQ43*BlendedProvPayElite+ZR43*BlendedProvPayEss+ZS43*BlendedProvPayPrem+ZT43*BlendedProvPayElite)</f>
        <v/>
      </c>
      <c r="AAI43" s="12">
        <f>AAA43*PaymentFee</f>
        <v/>
      </c>
      <c r="AAJ43" s="12">
        <f>ZU43*OpsAI</f>
        <v/>
      </c>
      <c r="AAK43" s="12">
        <f>MonthlyFixed</f>
        <v/>
      </c>
      <c r="AAL43" s="12">
        <f>ZE43*ReferralReward</f>
        <v/>
      </c>
      <c r="AAM43" s="12">
        <f>ZC43</f>
        <v/>
      </c>
      <c r="AAN43" s="9">
        <f>AAD43-AAH43-AAI43-AAJ43-AAK43-AAL43-AAM43</f>
        <v/>
      </c>
      <c r="AAO43" s="9">
        <f>AAO42+AAA43-(AAH43+AAI43+AAJ43+AAK43+AAL43+AAM43+AAF43)</f>
        <v/>
      </c>
      <c r="AAP43" s="12">
        <f>IF(ZU43&gt;0,ZV43/ZU43,0)</f>
        <v/>
      </c>
      <c r="AAQ43" s="11">
        <f>IF(ZU42&gt;0,MAX(0,(ZU42+ZF43-ZU43)/ZU42),0)</f>
        <v/>
      </c>
      <c r="AAS43" s="12" t="n">
        <v>39</v>
      </c>
      <c r="AAT43" s="12">
        <f>MOD(AAS43-1+LaunchMonth-1,12)+1</f>
        <v/>
      </c>
      <c r="AAU43" s="12">
        <f>INT((AAS43-1+LaunchMonth-1)/12)+1</f>
        <v/>
      </c>
      <c r="AAV43" s="12">
        <f>VLOOKUP(AAT43,SeasonTable,2,FALSE)</f>
        <v/>
      </c>
      <c r="AAW43" s="12">
        <f>(1+InflationRate)^INT((AAS43-1)/12)</f>
        <v/>
      </c>
      <c r="AAX43" s="11">
        <f>MonthlyChurn*VLOOKUP(AAT43,ChurnSeasonTable,4,FALSE)</f>
        <v/>
      </c>
      <c r="AAY43" s="12">
        <f>MIN(MAX(MktMin19plus,ABW42*MktPct19plus),MAX(0,ACK42-CashBuffer))</f>
        <v/>
      </c>
      <c r="AAZ43" s="12">
        <f>IF(AAY43&gt;0,MAX(1,ROUND(AAY43/CAC*AAV43,0)),0)</f>
        <v/>
      </c>
      <c r="ABA43" s="12">
        <f>IF(AAZ43&gt;0,ROUND(AAZ43*ReferralMix/(1-ReferralMix),0),0)</f>
        <v/>
      </c>
      <c r="ABB43" s="12">
        <f>AAZ43+ABA43</f>
        <v/>
      </c>
      <c r="ABC43" s="12">
        <f>ROUND(ABB43*(1-'Sens - Annual Mix'!$A$12),0)</f>
        <v/>
      </c>
      <c r="ABD43" s="12">
        <f>ABB43-ABC43</f>
        <v/>
      </c>
      <c r="ABE43" s="12">
        <f>ROUND(ABC43*EssentialMix,0)</f>
        <v/>
      </c>
      <c r="ABF43" s="12">
        <f>ROUND(ABC43*PremiumMix,0)</f>
        <v/>
      </c>
      <c r="ABG43" s="12">
        <f>ABC43-ABE43-ABF43</f>
        <v/>
      </c>
      <c r="ABH43" s="12">
        <f>ROUND(ABD43*EssentialMix,0)</f>
        <v/>
      </c>
      <c r="ABI43" s="12">
        <f>ROUND(ABD43*PremiumMix,0)</f>
        <v/>
      </c>
      <c r="ABJ43" s="12">
        <f>ABD43-ABH43-ABI43</f>
        <v/>
      </c>
      <c r="ABK43" s="12">
        <f>ABE43+ABE42+ABE41+MAX(0,ABK42-ABE42-ABE41)*(1-AAX43)</f>
        <v/>
      </c>
      <c r="ABL43" s="12">
        <f>ABF43+ABF42+ABF41+MAX(0,ABL42-ABF42-ABF41)*(1-AAX43)</f>
        <v/>
      </c>
      <c r="ABM43" s="12">
        <f>ABG43+ABG42+ABG41+MAX(0,ABM42-ABG42-ABG41)*(1-AAX43)</f>
        <v/>
      </c>
      <c r="ABN43" s="12">
        <f>ABN42+ABH43-ABH31*(AnnualChurn*VLOOKUP(AAT43,ChurnSeasonTable,4,FALSE))*POWER(1-(AnnualChurn*VLOOKUP(AAT43,ChurnSeasonTable,4,FALSE)),0)+ABH19*(AnnualChurn*VLOOKUP(AAT43,ChurnSeasonTable,4,FALSE))*POWER(1-(AnnualChurn*VLOOKUP(AAT43,ChurnSeasonTable,4,FALSE)),1)+ABH7*(AnnualChurn*VLOOKUP(AAT43,ChurnSeasonTable,4,FALSE))*POWER(1-(AnnualChurn*VLOOKUP(AAT43,ChurnSeasonTable,4,FALSE)),2)</f>
        <v/>
      </c>
      <c r="ABO43" s="12">
        <f>ABO42+ABI43-ABI31*(AnnualChurn*VLOOKUP(AAT43,ChurnSeasonTable,4,FALSE))*POWER(1-(AnnualChurn*VLOOKUP(AAT43,ChurnSeasonTable,4,FALSE)),0)+ABI19*(AnnualChurn*VLOOKUP(AAT43,ChurnSeasonTable,4,FALSE))*POWER(1-(AnnualChurn*VLOOKUP(AAT43,ChurnSeasonTable,4,FALSE)),1)+ABI7*(AnnualChurn*VLOOKUP(AAT43,ChurnSeasonTable,4,FALSE))*POWER(1-(AnnualChurn*VLOOKUP(AAT43,ChurnSeasonTable,4,FALSE)),2)</f>
        <v/>
      </c>
      <c r="ABP43" s="12">
        <f>ABP42+ABJ43-ABJ31*(AnnualChurn*VLOOKUP(AAT43,ChurnSeasonTable,4,FALSE))*POWER(1-(AnnualChurn*VLOOKUP(AAT43,ChurnSeasonTable,4,FALSE)),0)+ABJ19*(AnnualChurn*VLOOKUP(AAT43,ChurnSeasonTable,4,FALSE))*POWER(1-(AnnualChurn*VLOOKUP(AAT43,ChurnSeasonTable,4,FALSE)),1)+ABJ7*(AnnualChurn*VLOOKUP(AAT43,ChurnSeasonTable,4,FALSE))*POWER(1-(AnnualChurn*VLOOKUP(AAT43,ChurnSeasonTable,4,FALSE)),2)</f>
        <v/>
      </c>
      <c r="ABQ43" s="12">
        <f>ABK43+ABL43+ABM43+ABN43+ABO43+ABP43</f>
        <v/>
      </c>
      <c r="ABR43" s="9">
        <f>ABK43*BlendedPriceEssMonthly*AAW43+ABL43*BlendedPricePremMonthly*AAW43+ABM43*BlendedPriceEliteMonthly*AAW43+ABN43*BlendedPriceEssAnnual*AAW43/12+ABO43*BlendedPricePremAnnual*AAW43/12+ABP43*BlendedPriceEliteAnnual*AAW43/12</f>
        <v/>
      </c>
      <c r="ABS43" s="9">
        <f>ABR43*12</f>
        <v/>
      </c>
      <c r="ABT43" s="12">
        <f>ABK43*BlendedPriceEssMonthly*AAW43+ABL43*BlendedPricePremMonthly*AAW43+ABM43*BlendedPriceEliteMonthly*AAW43</f>
        <v/>
      </c>
      <c r="ABU43" s="12">
        <f>ABH43*BlendedPriceEssAnnual*AAW43+ABI43*BlendedPricePremAnnual*AAW43+ABJ43*BlendedPriceEliteAnnual*AAW43</f>
        <v/>
      </c>
      <c r="ABV43" s="12">
        <f>ABH31*POWER(1-(AnnualChurn*VLOOKUP(AAT43,ChurnSeasonTable,4,FALSE)),1)*BlendedPriceEssAnnual*AAW43+ABH19*POWER(1-(AnnualChurn*VLOOKUP(AAT43,ChurnSeasonTable,4,FALSE)),2)*BlendedPriceEssAnnual*AAW43+ABH7*POWER(1-(AnnualChurn*VLOOKUP(AAT43,ChurnSeasonTable,4,FALSE)),3)*BlendedPriceEssAnnual*AAW43+ABI31*POWER(1-(AnnualChurn*VLOOKUP(AAT43,ChurnSeasonTable,4,FALSE)),1)*BlendedPricePremAnnual*AAW43+ABI19*POWER(1-(AnnualChurn*VLOOKUP(AAT43,ChurnSeasonTable,4,FALSE)),2)*BlendedPricePremAnnual*AAW43+ABI7*POWER(1-(AnnualChurn*VLOOKUP(AAT43,ChurnSeasonTable,4,FALSE)),3)*BlendedPricePremAnnual*AAW43+ABJ31*POWER(1-(AnnualChurn*VLOOKUP(AAT43,ChurnSeasonTable,4,FALSE)),1)*BlendedPriceEliteAnnual*AAW43+ABJ19*POWER(1-(AnnualChurn*VLOOKUP(AAT43,ChurnSeasonTable,4,FALSE)),2)*BlendedPriceEliteAnnual*AAW43+ABJ7*POWER(1-(AnnualChurn*VLOOKUP(AAT43,ChurnSeasonTable,4,FALSE)),3)*BlendedPriceEliteAnnual*AAW43</f>
        <v/>
      </c>
      <c r="ABW43" s="9">
        <f>ABT43+ABU43+ABV43</f>
        <v/>
      </c>
      <c r="ABX43" s="12">
        <f>SUM(ABW32:ABW43)</f>
        <v/>
      </c>
      <c r="ABY43" s="12">
        <f>OR(ABY42,IF(VATAgentMode,SUM($ABW32:$ABW43)-SUM($ACD32:$ACD43)&gt;=VATThreshold,SUM($ABW32:$ABW43)&gt;=VATThreshold))</f>
        <v/>
      </c>
      <c r="ABZ43" s="9">
        <f>IF(ABY43,IF(VATAgentMode,ABW43-((ABW43-ACD43)-(ABW43-ACD43)/(1+VATRate)),ABW43/(1+VATRate)),ABW43)</f>
        <v/>
      </c>
      <c r="ACA43" s="12">
        <f>ABW43-ABZ43</f>
        <v/>
      </c>
      <c r="ACB43" s="12">
        <f>IF(ABY43=0,0,IF(AAT43=1,SUMPRODUCT(--(($AAU$5:$AAU43=$AAU43-1)*($AAT$5:$AAT43&gt;=10)*($AAT$5:$AAT43&lt;=12)),$ACA$5:$ACA43),IF(AAT43=4,SUMPRODUCT(--(($AAU$5:$AAU43=$AAU43)*($AAT$5:$AAT43&gt;=1)*($AAT$5:$AAT43&lt;=3)),$ACA$5:$ACA43),IF(AAT43=7,SUMPRODUCT(--(($AAU$5:$AAU43=$AAU43)*($AAT$5:$AAT43&gt;=4)*($AAT$5:$AAT43&lt;=6)),$ACA$5:$ACA43),IF(AAT43=10,SUMPRODUCT(--(($AAU$5:$AAU43=$AAU43)*($AAT$5:$AAT43&gt;=7)*($AAT$5:$AAT43&lt;=9)),$ACA$5:$ACA43),0)))))</f>
        <v/>
      </c>
      <c r="ACC43" s="12">
        <f>ACC42+ACA43-ACB43</f>
        <v/>
      </c>
      <c r="ACD43" s="12">
        <f>IF(ProviderDelay&gt;=1,ABK42*BlendedProvPayEss+ABL42*BlendedProvPayPrem+ABM42*BlendedProvPayElite+ABN42*BlendedProvPayEss+ABO42*BlendedProvPayPrem+ABP42*BlendedProvPayElite,ABK43*BlendedProvPayEss+ABL43*BlendedProvPayPrem+ABM43*BlendedProvPayElite+ABN43*BlendedProvPayEss+ABO43*BlendedProvPayPrem+ABP43*BlendedProvPayElite)</f>
        <v/>
      </c>
      <c r="ACE43" s="12">
        <f>ABW43*PaymentFee</f>
        <v/>
      </c>
      <c r="ACF43" s="12">
        <f>ABQ43*OpsAI</f>
        <v/>
      </c>
      <c r="ACG43" s="12">
        <f>MonthlyFixed</f>
        <v/>
      </c>
      <c r="ACH43" s="12">
        <f>ABA43*ReferralReward</f>
        <v/>
      </c>
      <c r="ACI43" s="12">
        <f>AAY43</f>
        <v/>
      </c>
      <c r="ACJ43" s="9">
        <f>ABZ43-ACD43-ACE43-ACF43-ACG43-ACH43-ACI43</f>
        <v/>
      </c>
      <c r="ACK43" s="9">
        <f>ACK42+ABW43-(ACD43+ACE43+ACF43+ACG43+ACH43+ACI43+ACB43)</f>
        <v/>
      </c>
      <c r="ACL43" s="12">
        <f>IF(ABQ43&gt;0,ABR43/ABQ43,0)</f>
        <v/>
      </c>
      <c r="ACM43" s="11">
        <f>IF(ABQ42&gt;0,MAX(0,(ABQ42+ABB43-ABQ43)/ABQ42),0)</f>
        <v/>
      </c>
      <c r="ACO43" s="12" t="n">
        <v>39</v>
      </c>
      <c r="ACP43" s="12">
        <f>MOD(ACO43-1+LaunchMonth-1,12)+1</f>
        <v/>
      </c>
      <c r="ACQ43" s="12">
        <f>INT((ACO43-1+LaunchMonth-1)/12)+1</f>
        <v/>
      </c>
      <c r="ACR43" s="12">
        <f>VLOOKUP(ACP43,SeasonTable,2,FALSE)</f>
        <v/>
      </c>
      <c r="ACS43" s="12">
        <f>(1+InflationRate)^INT((ACO43-1)/12)</f>
        <v/>
      </c>
      <c r="ACT43" s="11">
        <f>MonthlyChurn*VLOOKUP(ACP43,ChurnSeasonTable,4,FALSE)</f>
        <v/>
      </c>
      <c r="ACU43" s="12">
        <f>MIN(MAX(MktMin19plus,ADS42*MktPct19plus),MAX(0,AEG42-CashBuffer))</f>
        <v/>
      </c>
      <c r="ACV43" s="12">
        <f>IF(ACU43&gt;0,MAX(1,ROUND(ACU43/CAC*ACR43,0)),0)</f>
        <v/>
      </c>
      <c r="ACW43" s="12">
        <f>IF(ACV43&gt;0,ROUND(ACV43*ReferralMix/(1-ReferralMix),0),0)</f>
        <v/>
      </c>
      <c r="ACX43" s="12">
        <f>ACV43+ACW43</f>
        <v/>
      </c>
      <c r="ACY43" s="12">
        <f>ROUND(ACX43*(1-'Sens - Annual Mix'!$A$13),0)</f>
        <v/>
      </c>
      <c r="ACZ43" s="12">
        <f>ACX43-ACY43</f>
        <v/>
      </c>
      <c r="ADA43" s="12">
        <f>ROUND(ACY43*EssentialMix,0)</f>
        <v/>
      </c>
      <c r="ADB43" s="12">
        <f>ROUND(ACY43*PremiumMix,0)</f>
        <v/>
      </c>
      <c r="ADC43" s="12">
        <f>ACY43-ADA43-ADB43</f>
        <v/>
      </c>
      <c r="ADD43" s="12">
        <f>ROUND(ACZ43*EssentialMix,0)</f>
        <v/>
      </c>
      <c r="ADE43" s="12">
        <f>ROUND(ACZ43*PremiumMix,0)</f>
        <v/>
      </c>
      <c r="ADF43" s="12">
        <f>ACZ43-ADD43-ADE43</f>
        <v/>
      </c>
      <c r="ADG43" s="12">
        <f>ADA43+ADA42+ADA41+MAX(0,ADG42-ADA42-ADA41)*(1-ACT43)</f>
        <v/>
      </c>
      <c r="ADH43" s="12">
        <f>ADB43+ADB42+ADB41+MAX(0,ADH42-ADB42-ADB41)*(1-ACT43)</f>
        <v/>
      </c>
      <c r="ADI43" s="12">
        <f>ADC43+ADC42+ADC41+MAX(0,ADI42-ADC42-ADC41)*(1-ACT43)</f>
        <v/>
      </c>
      <c r="ADJ43" s="12">
        <f>ADJ42+ADD43-ADD31*(AnnualChurn*VLOOKUP(ACP43,ChurnSeasonTable,4,FALSE))*POWER(1-(AnnualChurn*VLOOKUP(ACP43,ChurnSeasonTable,4,FALSE)),0)+ADD19*(AnnualChurn*VLOOKUP(ACP43,ChurnSeasonTable,4,FALSE))*POWER(1-(AnnualChurn*VLOOKUP(ACP43,ChurnSeasonTable,4,FALSE)),1)+ADD7*(AnnualChurn*VLOOKUP(ACP43,ChurnSeasonTable,4,FALSE))*POWER(1-(AnnualChurn*VLOOKUP(ACP43,ChurnSeasonTable,4,FALSE)),2)</f>
        <v/>
      </c>
      <c r="ADK43" s="12">
        <f>ADK42+ADE43-ADE31*(AnnualChurn*VLOOKUP(ACP43,ChurnSeasonTable,4,FALSE))*POWER(1-(AnnualChurn*VLOOKUP(ACP43,ChurnSeasonTable,4,FALSE)),0)+ADE19*(AnnualChurn*VLOOKUP(ACP43,ChurnSeasonTable,4,FALSE))*POWER(1-(AnnualChurn*VLOOKUP(ACP43,ChurnSeasonTable,4,FALSE)),1)+ADE7*(AnnualChurn*VLOOKUP(ACP43,ChurnSeasonTable,4,FALSE))*POWER(1-(AnnualChurn*VLOOKUP(ACP43,ChurnSeasonTable,4,FALSE)),2)</f>
        <v/>
      </c>
      <c r="ADL43" s="12">
        <f>ADL42+ADF43-ADF31*(AnnualChurn*VLOOKUP(ACP43,ChurnSeasonTable,4,FALSE))*POWER(1-(AnnualChurn*VLOOKUP(ACP43,ChurnSeasonTable,4,FALSE)),0)+ADF19*(AnnualChurn*VLOOKUP(ACP43,ChurnSeasonTable,4,FALSE))*POWER(1-(AnnualChurn*VLOOKUP(ACP43,ChurnSeasonTable,4,FALSE)),1)+ADF7*(AnnualChurn*VLOOKUP(ACP43,ChurnSeasonTable,4,FALSE))*POWER(1-(AnnualChurn*VLOOKUP(ACP43,ChurnSeasonTable,4,FALSE)),2)</f>
        <v/>
      </c>
      <c r="ADM43" s="12">
        <f>ADG43+ADH43+ADI43+ADJ43+ADK43+ADL43</f>
        <v/>
      </c>
      <c r="ADN43" s="9">
        <f>ADG43*BlendedPriceEssMonthly*ACS43+ADH43*BlendedPricePremMonthly*ACS43+ADI43*BlendedPriceEliteMonthly*ACS43+ADJ43*BlendedPriceEssAnnual*ACS43/12+ADK43*BlendedPricePremAnnual*ACS43/12+ADL43*BlendedPriceEliteAnnual*ACS43/12</f>
        <v/>
      </c>
      <c r="ADO43" s="9">
        <f>ADN43*12</f>
        <v/>
      </c>
      <c r="ADP43" s="12">
        <f>ADG43*BlendedPriceEssMonthly*ACS43+ADH43*BlendedPricePremMonthly*ACS43+ADI43*BlendedPriceEliteMonthly*ACS43</f>
        <v/>
      </c>
      <c r="ADQ43" s="12">
        <f>ADD43*BlendedPriceEssAnnual*ACS43+ADE43*BlendedPricePremAnnual*ACS43+ADF43*BlendedPriceEliteAnnual*ACS43</f>
        <v/>
      </c>
      <c r="ADR43" s="12">
        <f>ADD31*POWER(1-(AnnualChurn*VLOOKUP(ACP43,ChurnSeasonTable,4,FALSE)),1)*BlendedPriceEssAnnual*ACS43+ADD19*POWER(1-(AnnualChurn*VLOOKUP(ACP43,ChurnSeasonTable,4,FALSE)),2)*BlendedPriceEssAnnual*ACS43+ADD7*POWER(1-(AnnualChurn*VLOOKUP(ACP43,ChurnSeasonTable,4,FALSE)),3)*BlendedPriceEssAnnual*ACS43+ADE31*POWER(1-(AnnualChurn*VLOOKUP(ACP43,ChurnSeasonTable,4,FALSE)),1)*BlendedPricePremAnnual*ACS43+ADE19*POWER(1-(AnnualChurn*VLOOKUP(ACP43,ChurnSeasonTable,4,FALSE)),2)*BlendedPricePremAnnual*ACS43+ADE7*POWER(1-(AnnualChurn*VLOOKUP(ACP43,ChurnSeasonTable,4,FALSE)),3)*BlendedPricePremAnnual*ACS43+ADF31*POWER(1-(AnnualChurn*VLOOKUP(ACP43,ChurnSeasonTable,4,FALSE)),1)*BlendedPriceEliteAnnual*ACS43+ADF19*POWER(1-(AnnualChurn*VLOOKUP(ACP43,ChurnSeasonTable,4,FALSE)),2)*BlendedPriceEliteAnnual*ACS43+ADF7*POWER(1-(AnnualChurn*VLOOKUP(ACP43,ChurnSeasonTable,4,FALSE)),3)*BlendedPriceEliteAnnual*ACS43</f>
        <v/>
      </c>
      <c r="ADS43" s="9">
        <f>ADP43+ADQ43+ADR43</f>
        <v/>
      </c>
      <c r="ADT43" s="12">
        <f>SUM(ADS32:ADS43)</f>
        <v/>
      </c>
      <c r="ADU43" s="12">
        <f>OR(ADU42,IF(VATAgentMode,SUM($ADS32:$ADS43)-SUM($ADZ32:$ADZ43)&gt;=VATThreshold,SUM($ADS32:$ADS43)&gt;=VATThreshold))</f>
        <v/>
      </c>
      <c r="ADV43" s="9">
        <f>IF(ADU43,IF(VATAgentMode,ADS43-((ADS43-ADZ43)-(ADS43-ADZ43)/(1+VATRate)),ADS43/(1+VATRate)),ADS43)</f>
        <v/>
      </c>
      <c r="ADW43" s="12">
        <f>ADS43-ADV43</f>
        <v/>
      </c>
      <c r="ADX43" s="12">
        <f>IF(ADU43=0,0,IF(ACP43=1,SUMPRODUCT(--(($ACQ$5:$ACQ43=$ACQ43-1)*($ACP$5:$ACP43&gt;=10)*($ACP$5:$ACP43&lt;=12)),$ADW$5:$ADW43),IF(ACP43=4,SUMPRODUCT(--(($ACQ$5:$ACQ43=$ACQ43)*($ACP$5:$ACP43&gt;=1)*($ACP$5:$ACP43&lt;=3)),$ADW$5:$ADW43),IF(ACP43=7,SUMPRODUCT(--(($ACQ$5:$ACQ43=$ACQ43)*($ACP$5:$ACP43&gt;=4)*($ACP$5:$ACP43&lt;=6)),$ADW$5:$ADW43),IF(ACP43=10,SUMPRODUCT(--(($ACQ$5:$ACQ43=$ACQ43)*($ACP$5:$ACP43&gt;=7)*($ACP$5:$ACP43&lt;=9)),$ADW$5:$ADW43),0)))))</f>
        <v/>
      </c>
      <c r="ADY43" s="12">
        <f>ADY42+ADW43-ADX43</f>
        <v/>
      </c>
      <c r="ADZ43" s="12">
        <f>IF(ProviderDelay&gt;=1,ADG42*BlendedProvPayEss+ADH42*BlendedProvPayPrem+ADI42*BlendedProvPayElite+ADJ42*BlendedProvPayEss+ADK42*BlendedProvPayPrem+ADL42*BlendedProvPayElite,ADG43*BlendedProvPayEss+ADH43*BlendedProvPayPrem+ADI43*BlendedProvPayElite+ADJ43*BlendedProvPayEss+ADK43*BlendedProvPayPrem+ADL43*BlendedProvPayElite)</f>
        <v/>
      </c>
      <c r="AEA43" s="12">
        <f>ADS43*PaymentFee</f>
        <v/>
      </c>
      <c r="AEB43" s="12">
        <f>ADM43*OpsAI</f>
        <v/>
      </c>
      <c r="AEC43" s="12">
        <f>MonthlyFixed</f>
        <v/>
      </c>
      <c r="AED43" s="12">
        <f>ACW43*ReferralReward</f>
        <v/>
      </c>
      <c r="AEE43" s="12">
        <f>ACU43</f>
        <v/>
      </c>
      <c r="AEF43" s="9">
        <f>ADV43-ADZ43-AEA43-AEB43-AEC43-AED43-AEE43</f>
        <v/>
      </c>
      <c r="AEG43" s="9">
        <f>AEG42+ADS43-(ADZ43+AEA43+AEB43+AEC43+AED43+AEE43+ADX43)</f>
        <v/>
      </c>
      <c r="AEH43" s="12">
        <f>IF(ADM43&gt;0,ADN43/ADM43,0)</f>
        <v/>
      </c>
      <c r="AEI43" s="11">
        <f>IF(ADM42&gt;0,MAX(0,(ADM42+ACX43-ADM43)/ADM42),0)</f>
        <v/>
      </c>
      <c r="AEK43" s="12" t="n">
        <v>39</v>
      </c>
      <c r="AEL43" s="12">
        <f>MOD(AEK43-1+LaunchMonth-1,12)+1</f>
        <v/>
      </c>
      <c r="AEM43" s="12">
        <f>INT((AEK43-1+LaunchMonth-1)/12)+1</f>
        <v/>
      </c>
      <c r="AEN43" s="12">
        <f>VLOOKUP(AEL43,SeasonTable,2,FALSE)</f>
        <v/>
      </c>
      <c r="AEO43" s="12">
        <f>(1+InflationRate)^INT((AEK43-1)/12)</f>
        <v/>
      </c>
      <c r="AEP43" s="11">
        <f>MonthlyChurn*VLOOKUP(AEL43,ChurnSeasonTable,4,FALSE)</f>
        <v/>
      </c>
      <c r="AEQ43" s="12">
        <f>MIN(MAX(MktMin19plus,AFO42*MktPct19plus),MAX(0,AGC42-CashBuffer))</f>
        <v/>
      </c>
      <c r="AER43" s="12">
        <f>IF(AEQ43&gt;0,MAX(1,ROUND(AEQ43/CAC*AEN43,0)),0)</f>
        <v/>
      </c>
      <c r="AES43" s="12">
        <f>IF(AER43&gt;0,ROUND(AER43*ReferralMix/(1-ReferralMix),0),0)</f>
        <v/>
      </c>
      <c r="AET43" s="12">
        <f>AER43+AES43</f>
        <v/>
      </c>
      <c r="AEU43" s="12">
        <f>ROUND(AET43*(1-'Sens - Annual Mix'!$A$14),0)</f>
        <v/>
      </c>
      <c r="AEV43" s="12">
        <f>AET43-AEU43</f>
        <v/>
      </c>
      <c r="AEW43" s="12">
        <f>ROUND(AEU43*EssentialMix,0)</f>
        <v/>
      </c>
      <c r="AEX43" s="12">
        <f>ROUND(AEU43*PremiumMix,0)</f>
        <v/>
      </c>
      <c r="AEY43" s="12">
        <f>AEU43-AEW43-AEX43</f>
        <v/>
      </c>
      <c r="AEZ43" s="12">
        <f>ROUND(AEV43*EssentialMix,0)</f>
        <v/>
      </c>
      <c r="AFA43" s="12">
        <f>ROUND(AEV43*PremiumMix,0)</f>
        <v/>
      </c>
      <c r="AFB43" s="12">
        <f>AEV43-AEZ43-AFA43</f>
        <v/>
      </c>
      <c r="AFC43" s="12">
        <f>AEW43+AEW42+AEW41+MAX(0,AFC42-AEW42-AEW41)*(1-AEP43)</f>
        <v/>
      </c>
      <c r="AFD43" s="12">
        <f>AEX43+AEX42+AEX41+MAX(0,AFD42-AEX42-AEX41)*(1-AEP43)</f>
        <v/>
      </c>
      <c r="AFE43" s="12">
        <f>AEY43+AEY42+AEY41+MAX(0,AFE42-AEY42-AEY41)*(1-AEP43)</f>
        <v/>
      </c>
      <c r="AFF43" s="12">
        <f>AFF42+AEZ43-AEZ31*(AnnualChurn*VLOOKUP(AEL43,ChurnSeasonTable,4,FALSE))*POWER(1-(AnnualChurn*VLOOKUP(AEL43,ChurnSeasonTable,4,FALSE)),0)+AEZ19*(AnnualChurn*VLOOKUP(AEL43,ChurnSeasonTable,4,FALSE))*POWER(1-(AnnualChurn*VLOOKUP(AEL43,ChurnSeasonTable,4,FALSE)),1)+AEZ7*(AnnualChurn*VLOOKUP(AEL43,ChurnSeasonTable,4,FALSE))*POWER(1-(AnnualChurn*VLOOKUP(AEL43,ChurnSeasonTable,4,FALSE)),2)</f>
        <v/>
      </c>
      <c r="AFG43" s="12">
        <f>AFG42+AFA43-AFA31*(AnnualChurn*VLOOKUP(AEL43,ChurnSeasonTable,4,FALSE))*POWER(1-(AnnualChurn*VLOOKUP(AEL43,ChurnSeasonTable,4,FALSE)),0)+AFA19*(AnnualChurn*VLOOKUP(AEL43,ChurnSeasonTable,4,FALSE))*POWER(1-(AnnualChurn*VLOOKUP(AEL43,ChurnSeasonTable,4,FALSE)),1)+AFA7*(AnnualChurn*VLOOKUP(AEL43,ChurnSeasonTable,4,FALSE))*POWER(1-(AnnualChurn*VLOOKUP(AEL43,ChurnSeasonTable,4,FALSE)),2)</f>
        <v/>
      </c>
      <c r="AFH43" s="12">
        <f>AFH42+AFB43-AFB31*(AnnualChurn*VLOOKUP(AEL43,ChurnSeasonTable,4,FALSE))*POWER(1-(AnnualChurn*VLOOKUP(AEL43,ChurnSeasonTable,4,FALSE)),0)+AFB19*(AnnualChurn*VLOOKUP(AEL43,ChurnSeasonTable,4,FALSE))*POWER(1-(AnnualChurn*VLOOKUP(AEL43,ChurnSeasonTable,4,FALSE)),1)+AFB7*(AnnualChurn*VLOOKUP(AEL43,ChurnSeasonTable,4,FALSE))*POWER(1-(AnnualChurn*VLOOKUP(AEL43,ChurnSeasonTable,4,FALSE)),2)</f>
        <v/>
      </c>
      <c r="AFI43" s="12">
        <f>AFC43+AFD43+AFE43+AFF43+AFG43+AFH43</f>
        <v/>
      </c>
      <c r="AFJ43" s="9">
        <f>AFC43*BlendedPriceEssMonthly*AEO43+AFD43*BlendedPricePremMonthly*AEO43+AFE43*BlendedPriceEliteMonthly*AEO43+AFF43*BlendedPriceEssAnnual*AEO43/12+AFG43*BlendedPricePremAnnual*AEO43/12+AFH43*BlendedPriceEliteAnnual*AEO43/12</f>
        <v/>
      </c>
      <c r="AFK43" s="9">
        <f>AFJ43*12</f>
        <v/>
      </c>
      <c r="AFL43" s="12">
        <f>AFC43*BlendedPriceEssMonthly*AEO43+AFD43*BlendedPricePremMonthly*AEO43+AFE43*BlendedPriceEliteMonthly*AEO43</f>
        <v/>
      </c>
      <c r="AFM43" s="12">
        <f>AEZ43*BlendedPriceEssAnnual*AEO43+AFA43*BlendedPricePremAnnual*AEO43+AFB43*BlendedPriceEliteAnnual*AEO43</f>
        <v/>
      </c>
      <c r="AFN43" s="12">
        <f>AEZ31*POWER(1-(AnnualChurn*VLOOKUP(AEL43,ChurnSeasonTable,4,FALSE)),1)*BlendedPriceEssAnnual*AEO43+AEZ19*POWER(1-(AnnualChurn*VLOOKUP(AEL43,ChurnSeasonTable,4,FALSE)),2)*BlendedPriceEssAnnual*AEO43+AEZ7*POWER(1-(AnnualChurn*VLOOKUP(AEL43,ChurnSeasonTable,4,FALSE)),3)*BlendedPriceEssAnnual*AEO43+AFA31*POWER(1-(AnnualChurn*VLOOKUP(AEL43,ChurnSeasonTable,4,FALSE)),1)*BlendedPricePremAnnual*AEO43+AFA19*POWER(1-(AnnualChurn*VLOOKUP(AEL43,ChurnSeasonTable,4,FALSE)),2)*BlendedPricePremAnnual*AEO43+AFA7*POWER(1-(AnnualChurn*VLOOKUP(AEL43,ChurnSeasonTable,4,FALSE)),3)*BlendedPricePremAnnual*AEO43+AFB31*POWER(1-(AnnualChurn*VLOOKUP(AEL43,ChurnSeasonTable,4,FALSE)),1)*BlendedPriceEliteAnnual*AEO43+AFB19*POWER(1-(AnnualChurn*VLOOKUP(AEL43,ChurnSeasonTable,4,FALSE)),2)*BlendedPriceEliteAnnual*AEO43+AFB7*POWER(1-(AnnualChurn*VLOOKUP(AEL43,ChurnSeasonTable,4,FALSE)),3)*BlendedPriceEliteAnnual*AEO43</f>
        <v/>
      </c>
      <c r="AFO43" s="9">
        <f>AFL43+AFM43+AFN43</f>
        <v/>
      </c>
      <c r="AFP43" s="12">
        <f>SUM(AFO32:AFO43)</f>
        <v/>
      </c>
      <c r="AFQ43" s="12">
        <f>OR(AFQ42,IF(VATAgentMode,SUM($AFO32:$AFO43)-SUM($AFV32:$AFV43)&gt;=VATThreshold,SUM($AFO32:$AFO43)&gt;=VATThreshold))</f>
        <v/>
      </c>
      <c r="AFR43" s="9">
        <f>IF(AFQ43,IF(VATAgentMode,AFO43-((AFO43-AFV43)-(AFO43-AFV43)/(1+VATRate)),AFO43/(1+VATRate)),AFO43)</f>
        <v/>
      </c>
      <c r="AFS43" s="12">
        <f>AFO43-AFR43</f>
        <v/>
      </c>
      <c r="AFT43" s="12">
        <f>IF(AFQ43=0,0,IF(AEL43=1,SUMPRODUCT(--(($AEM$5:$AEM43=$AEM43-1)*($AEL$5:$AEL43&gt;=10)*($AEL$5:$AEL43&lt;=12)),$AFS$5:$AFS43),IF(AEL43=4,SUMPRODUCT(--(($AEM$5:$AEM43=$AEM43)*($AEL$5:$AEL43&gt;=1)*($AEL$5:$AEL43&lt;=3)),$AFS$5:$AFS43),IF(AEL43=7,SUMPRODUCT(--(($AEM$5:$AEM43=$AEM43)*($AEL$5:$AEL43&gt;=4)*($AEL$5:$AEL43&lt;=6)),$AFS$5:$AFS43),IF(AEL43=10,SUMPRODUCT(--(($AEM$5:$AEM43=$AEM43)*($AEL$5:$AEL43&gt;=7)*($AEL$5:$AEL43&lt;=9)),$AFS$5:$AFS43),0)))))</f>
        <v/>
      </c>
      <c r="AFU43" s="12">
        <f>AFU42+AFS43-AFT43</f>
        <v/>
      </c>
      <c r="AFV43" s="12">
        <f>IF(ProviderDelay&gt;=1,AFC42*BlendedProvPayEss+AFD42*BlendedProvPayPrem+AFE42*BlendedProvPayElite+AFF42*BlendedProvPayEss+AFG42*BlendedProvPayPrem+AFH42*BlendedProvPayElite,AFC43*BlendedProvPayEss+AFD43*BlendedProvPayPrem+AFE43*BlendedProvPayElite+AFF43*BlendedProvPayEss+AFG43*BlendedProvPayPrem+AFH43*BlendedProvPayElite)</f>
        <v/>
      </c>
      <c r="AFW43" s="12">
        <f>AFO43*PaymentFee</f>
        <v/>
      </c>
      <c r="AFX43" s="12">
        <f>AFI43*OpsAI</f>
        <v/>
      </c>
      <c r="AFY43" s="12">
        <f>MonthlyFixed</f>
        <v/>
      </c>
      <c r="AFZ43" s="12">
        <f>AES43*ReferralReward</f>
        <v/>
      </c>
      <c r="AGA43" s="12">
        <f>AEQ43</f>
        <v/>
      </c>
      <c r="AGB43" s="9">
        <f>AFR43-AFV43-AFW43-AFX43-AFY43-AFZ43-AGA43</f>
        <v/>
      </c>
      <c r="AGC43" s="9">
        <f>AGC42+AFO43-(AFV43+AFW43+AFX43+AFY43+AFZ43+AGA43+AFT43)</f>
        <v/>
      </c>
      <c r="AGD43" s="12">
        <f>IF(AFI43&gt;0,AFJ43/AFI43,0)</f>
        <v/>
      </c>
      <c r="AGE43" s="11">
        <f>IF(AFI42&gt;0,MAX(0,(AFI42+AET43-AFI43)/AFI42),0)</f>
        <v/>
      </c>
      <c r="AGG43" s="12" t="n">
        <v>39</v>
      </c>
      <c r="AGH43" s="12">
        <f>MOD(AGG43-1+LaunchMonth-1,12)+1</f>
        <v/>
      </c>
      <c r="AGI43" s="12">
        <f>INT((AGG43-1+LaunchMonth-1)/12)+1</f>
        <v/>
      </c>
      <c r="AGJ43" s="12">
        <f>VLOOKUP(AGH43,SeasonTable,2,FALSE)</f>
        <v/>
      </c>
      <c r="AGK43" s="12">
        <f>(1+InflationRate)^INT((AGG43-1)/12)</f>
        <v/>
      </c>
      <c r="AGL43" s="11">
        <f>MonthlyChurn*VLOOKUP(AGH43,ChurnSeasonTable,4,FALSE)</f>
        <v/>
      </c>
      <c r="AGM43" s="12">
        <f>MIN(MAX(MktMin19plus,AHK42*MktPct19plus),MAX(0,AHY42-CashBuffer))</f>
        <v/>
      </c>
      <c r="AGN43" s="12">
        <f>IF(AGM43&gt;0,MAX(1,ROUND(AGM43/CAC*AGJ43,0)),0)</f>
        <v/>
      </c>
      <c r="AGO43" s="12">
        <f>IF(AGN43&gt;0,ROUND(AGN43*ReferralMix/(1-ReferralMix),0),0)</f>
        <v/>
      </c>
      <c r="AGP43" s="12">
        <f>AGN43+AGO43</f>
        <v/>
      </c>
      <c r="AGQ43" s="12">
        <f>ROUND(AGP43*(1-'Sens - Annual Mix'!$A$15),0)</f>
        <v/>
      </c>
      <c r="AGR43" s="12">
        <f>AGP43-AGQ43</f>
        <v/>
      </c>
      <c r="AGS43" s="12">
        <f>ROUND(AGQ43*EssentialMix,0)</f>
        <v/>
      </c>
      <c r="AGT43" s="12">
        <f>ROUND(AGQ43*PremiumMix,0)</f>
        <v/>
      </c>
      <c r="AGU43" s="12">
        <f>AGQ43-AGS43-AGT43</f>
        <v/>
      </c>
      <c r="AGV43" s="12">
        <f>ROUND(AGR43*EssentialMix,0)</f>
        <v/>
      </c>
      <c r="AGW43" s="12">
        <f>ROUND(AGR43*PremiumMix,0)</f>
        <v/>
      </c>
      <c r="AGX43" s="12">
        <f>AGR43-AGV43-AGW43</f>
        <v/>
      </c>
      <c r="AGY43" s="12">
        <f>AGS43+AGS42+AGS41+MAX(0,AGY42-AGS42-AGS41)*(1-AGL43)</f>
        <v/>
      </c>
      <c r="AGZ43" s="12">
        <f>AGT43+AGT42+AGT41+MAX(0,AGZ42-AGT42-AGT41)*(1-AGL43)</f>
        <v/>
      </c>
      <c r="AHA43" s="12">
        <f>AGU43+AGU42+AGU41+MAX(0,AHA42-AGU42-AGU41)*(1-AGL43)</f>
        <v/>
      </c>
      <c r="AHB43" s="12">
        <f>AHB42+AGV43-AGV31*(AnnualChurn*VLOOKUP(AGH43,ChurnSeasonTable,4,FALSE))*POWER(1-(AnnualChurn*VLOOKUP(AGH43,ChurnSeasonTable,4,FALSE)),0)+AGV19*(AnnualChurn*VLOOKUP(AGH43,ChurnSeasonTable,4,FALSE))*POWER(1-(AnnualChurn*VLOOKUP(AGH43,ChurnSeasonTable,4,FALSE)),1)+AGV7*(AnnualChurn*VLOOKUP(AGH43,ChurnSeasonTable,4,FALSE))*POWER(1-(AnnualChurn*VLOOKUP(AGH43,ChurnSeasonTable,4,FALSE)),2)</f>
        <v/>
      </c>
      <c r="AHC43" s="12">
        <f>AHC42+AGW43-AGW31*(AnnualChurn*VLOOKUP(AGH43,ChurnSeasonTable,4,FALSE))*POWER(1-(AnnualChurn*VLOOKUP(AGH43,ChurnSeasonTable,4,FALSE)),0)+AGW19*(AnnualChurn*VLOOKUP(AGH43,ChurnSeasonTable,4,FALSE))*POWER(1-(AnnualChurn*VLOOKUP(AGH43,ChurnSeasonTable,4,FALSE)),1)+AGW7*(AnnualChurn*VLOOKUP(AGH43,ChurnSeasonTable,4,FALSE))*POWER(1-(AnnualChurn*VLOOKUP(AGH43,ChurnSeasonTable,4,FALSE)),2)</f>
        <v/>
      </c>
      <c r="AHD43" s="12">
        <f>AHD42+AGX43-AGX31*(AnnualChurn*VLOOKUP(AGH43,ChurnSeasonTable,4,FALSE))*POWER(1-(AnnualChurn*VLOOKUP(AGH43,ChurnSeasonTable,4,FALSE)),0)+AGX19*(AnnualChurn*VLOOKUP(AGH43,ChurnSeasonTable,4,FALSE))*POWER(1-(AnnualChurn*VLOOKUP(AGH43,ChurnSeasonTable,4,FALSE)),1)+AGX7*(AnnualChurn*VLOOKUP(AGH43,ChurnSeasonTable,4,FALSE))*POWER(1-(AnnualChurn*VLOOKUP(AGH43,ChurnSeasonTable,4,FALSE)),2)</f>
        <v/>
      </c>
      <c r="AHE43" s="12">
        <f>AGY43+AGZ43+AHA43+AHB43+AHC43+AHD43</f>
        <v/>
      </c>
      <c r="AHF43" s="9">
        <f>AGY43*BlendedPriceEssMonthly*AGK43+AGZ43*BlendedPricePremMonthly*AGK43+AHA43*BlendedPriceEliteMonthly*AGK43+AHB43*BlendedPriceEssAnnual*AGK43/12+AHC43*BlendedPricePremAnnual*AGK43/12+AHD43*BlendedPriceEliteAnnual*AGK43/12</f>
        <v/>
      </c>
      <c r="AHG43" s="9">
        <f>AHF43*12</f>
        <v/>
      </c>
      <c r="AHH43" s="12">
        <f>AGY43*BlendedPriceEssMonthly*AGK43+AGZ43*BlendedPricePremMonthly*AGK43+AHA43*BlendedPriceEliteMonthly*AGK43</f>
        <v/>
      </c>
      <c r="AHI43" s="12">
        <f>AGV43*BlendedPriceEssAnnual*AGK43+AGW43*BlendedPricePremAnnual*AGK43+AGX43*BlendedPriceEliteAnnual*AGK43</f>
        <v/>
      </c>
      <c r="AHJ43" s="12">
        <f>AGV31*POWER(1-(AnnualChurn*VLOOKUP(AGH43,ChurnSeasonTable,4,FALSE)),1)*BlendedPriceEssAnnual*AGK43+AGV19*POWER(1-(AnnualChurn*VLOOKUP(AGH43,ChurnSeasonTable,4,FALSE)),2)*BlendedPriceEssAnnual*AGK43+AGV7*POWER(1-(AnnualChurn*VLOOKUP(AGH43,ChurnSeasonTable,4,FALSE)),3)*BlendedPriceEssAnnual*AGK43+AGW31*POWER(1-(AnnualChurn*VLOOKUP(AGH43,ChurnSeasonTable,4,FALSE)),1)*BlendedPricePremAnnual*AGK43+AGW19*POWER(1-(AnnualChurn*VLOOKUP(AGH43,ChurnSeasonTable,4,FALSE)),2)*BlendedPricePremAnnual*AGK43+AGW7*POWER(1-(AnnualChurn*VLOOKUP(AGH43,ChurnSeasonTable,4,FALSE)),3)*BlendedPricePremAnnual*AGK43+AGX31*POWER(1-(AnnualChurn*VLOOKUP(AGH43,ChurnSeasonTable,4,FALSE)),1)*BlendedPriceEliteAnnual*AGK43+AGX19*POWER(1-(AnnualChurn*VLOOKUP(AGH43,ChurnSeasonTable,4,FALSE)),2)*BlendedPriceEliteAnnual*AGK43+AGX7*POWER(1-(AnnualChurn*VLOOKUP(AGH43,ChurnSeasonTable,4,FALSE)),3)*BlendedPriceEliteAnnual*AGK43</f>
        <v/>
      </c>
      <c r="AHK43" s="9">
        <f>AHH43+AHI43+AHJ43</f>
        <v/>
      </c>
      <c r="AHL43" s="12">
        <f>SUM(AHK32:AHK43)</f>
        <v/>
      </c>
      <c r="AHM43" s="12">
        <f>OR(AHM42,IF(VATAgentMode,SUM($AHK32:$AHK43)-SUM($AHR32:$AHR43)&gt;=VATThreshold,SUM($AHK32:$AHK43)&gt;=VATThreshold))</f>
        <v/>
      </c>
      <c r="AHN43" s="9">
        <f>IF(AHM43,IF(VATAgentMode,AHK43-((AHK43-AHR43)-(AHK43-AHR43)/(1+VATRate)),AHK43/(1+VATRate)),AHK43)</f>
        <v/>
      </c>
      <c r="AHO43" s="12">
        <f>AHK43-AHN43</f>
        <v/>
      </c>
      <c r="AHP43" s="12">
        <f>IF(AHM43=0,0,IF(AGH43=1,SUMPRODUCT(--(($AGI$5:$AGI43=$AGI43-1)*($AGH$5:$AGH43&gt;=10)*($AGH$5:$AGH43&lt;=12)),$AHO$5:$AHO43),IF(AGH43=4,SUMPRODUCT(--(($AGI$5:$AGI43=$AGI43)*($AGH$5:$AGH43&gt;=1)*($AGH$5:$AGH43&lt;=3)),$AHO$5:$AHO43),IF(AGH43=7,SUMPRODUCT(--(($AGI$5:$AGI43=$AGI43)*($AGH$5:$AGH43&gt;=4)*($AGH$5:$AGH43&lt;=6)),$AHO$5:$AHO43),IF(AGH43=10,SUMPRODUCT(--(($AGI$5:$AGI43=$AGI43)*($AGH$5:$AGH43&gt;=7)*($AGH$5:$AGH43&lt;=9)),$AHO$5:$AHO43),0)))))</f>
        <v/>
      </c>
      <c r="AHQ43" s="12">
        <f>AHQ42+AHO43-AHP43</f>
        <v/>
      </c>
      <c r="AHR43" s="12">
        <f>IF(ProviderDelay&gt;=1,AGY42*BlendedProvPayEss+AGZ42*BlendedProvPayPrem+AHA42*BlendedProvPayElite+AHB42*BlendedProvPayEss+AHC42*BlendedProvPayPrem+AHD42*BlendedProvPayElite,AGY43*BlendedProvPayEss+AGZ43*BlendedProvPayPrem+AHA43*BlendedProvPayElite+AHB43*BlendedProvPayEss+AHC43*BlendedProvPayPrem+AHD43*BlendedProvPayElite)</f>
        <v/>
      </c>
      <c r="AHS43" s="12">
        <f>AHK43*PaymentFee</f>
        <v/>
      </c>
      <c r="AHT43" s="12">
        <f>AHE43*OpsAI</f>
        <v/>
      </c>
      <c r="AHU43" s="12">
        <f>MonthlyFixed</f>
        <v/>
      </c>
      <c r="AHV43" s="12">
        <f>AGO43*ReferralReward</f>
        <v/>
      </c>
      <c r="AHW43" s="12">
        <f>AGM43</f>
        <v/>
      </c>
      <c r="AHX43" s="9">
        <f>AHN43-AHR43-AHS43-AHT43-AHU43-AHV43-AHW43</f>
        <v/>
      </c>
      <c r="AHY43" s="9">
        <f>AHY42+AHK43-(AHR43+AHS43+AHT43+AHU43+AHV43+AHW43+AHP43)</f>
        <v/>
      </c>
      <c r="AHZ43" s="12">
        <f>IF(AHE43&gt;0,AHF43/AHE43,0)</f>
        <v/>
      </c>
      <c r="AIA43" s="11">
        <f>IF(AHE42&gt;0,MAX(0,(AHE42+AGP43-AHE43)/AHE42),0)</f>
        <v/>
      </c>
      <c r="AIC43" s="12" t="n">
        <v>39</v>
      </c>
      <c r="AID43" s="12">
        <f>MOD(AIC43-1+LaunchMonth-1,12)+1</f>
        <v/>
      </c>
      <c r="AIE43" s="12">
        <f>INT((AIC43-1+LaunchMonth-1)/12)+1</f>
        <v/>
      </c>
      <c r="AIF43" s="12">
        <f>VLOOKUP(AID43,SeasonTable,2,FALSE)</f>
        <v/>
      </c>
      <c r="AIG43" s="12">
        <f>(1+InflationRate)^INT((AIC43-1)/12)</f>
        <v/>
      </c>
      <c r="AIH43" s="11">
        <f>MonthlyChurn*VLOOKUP(AID43,ChurnSeasonTable,4,FALSE)</f>
        <v/>
      </c>
      <c r="AII43" s="12">
        <f>MIN(MAX(MktMin19plus,AJG42*MktPct19plus),MAX(0,AJU42-CashBuffer))</f>
        <v/>
      </c>
      <c r="AIJ43" s="12">
        <f>IF(AII43&gt;0,MAX(1,ROUND(AII43/'Sens - CAC &amp; Marketing'!$A$9*AIF43,0)),0)</f>
        <v/>
      </c>
      <c r="AIK43" s="12">
        <f>IF(AIJ43&gt;0,ROUND(AIJ43*ReferralMix/(1-ReferralMix),0),0)</f>
        <v/>
      </c>
      <c r="AIL43" s="12">
        <f>AIJ43+AIK43</f>
        <v/>
      </c>
      <c r="AIM43" s="12">
        <f>ROUND(AIL43*(1-AnnualMix),0)</f>
        <v/>
      </c>
      <c r="AIN43" s="12">
        <f>AIL43-AIM43</f>
        <v/>
      </c>
      <c r="AIO43" s="12">
        <f>ROUND(AIM43*EssentialMix,0)</f>
        <v/>
      </c>
      <c r="AIP43" s="12">
        <f>ROUND(AIM43*PremiumMix,0)</f>
        <v/>
      </c>
      <c r="AIQ43" s="12">
        <f>AIM43-AIO43-AIP43</f>
        <v/>
      </c>
      <c r="AIR43" s="12">
        <f>ROUND(AIN43*EssentialMix,0)</f>
        <v/>
      </c>
      <c r="AIS43" s="12">
        <f>ROUND(AIN43*PremiumMix,0)</f>
        <v/>
      </c>
      <c r="AIT43" s="12">
        <f>AIN43-AIR43-AIS43</f>
        <v/>
      </c>
      <c r="AIU43" s="12">
        <f>AIO43+AIO42+AIO41+MAX(0,AIU42-AIO42-AIO41)*(1-AIH43)</f>
        <v/>
      </c>
      <c r="AIV43" s="12">
        <f>AIP43+AIP42+AIP41+MAX(0,AIV42-AIP42-AIP41)*(1-AIH43)</f>
        <v/>
      </c>
      <c r="AIW43" s="12">
        <f>AIQ43+AIQ42+AIQ41+MAX(0,AIW42-AIQ42-AIQ41)*(1-AIH43)</f>
        <v/>
      </c>
      <c r="AIX43" s="12">
        <f>AIX42+AIR43-AIR31*(AnnualChurn*VLOOKUP(AID43,ChurnSeasonTable,4,FALSE))*POWER(1-(AnnualChurn*VLOOKUP(AID43,ChurnSeasonTable,4,FALSE)),0)+AIR19*(AnnualChurn*VLOOKUP(AID43,ChurnSeasonTable,4,FALSE))*POWER(1-(AnnualChurn*VLOOKUP(AID43,ChurnSeasonTable,4,FALSE)),1)+AIR7*(AnnualChurn*VLOOKUP(AID43,ChurnSeasonTable,4,FALSE))*POWER(1-(AnnualChurn*VLOOKUP(AID43,ChurnSeasonTable,4,FALSE)),2)</f>
        <v/>
      </c>
      <c r="AIY43" s="12">
        <f>AIY42+AIS43-AIS31*(AnnualChurn*VLOOKUP(AID43,ChurnSeasonTable,4,FALSE))*POWER(1-(AnnualChurn*VLOOKUP(AID43,ChurnSeasonTable,4,FALSE)),0)+AIS19*(AnnualChurn*VLOOKUP(AID43,ChurnSeasonTable,4,FALSE))*POWER(1-(AnnualChurn*VLOOKUP(AID43,ChurnSeasonTable,4,FALSE)),1)+AIS7*(AnnualChurn*VLOOKUP(AID43,ChurnSeasonTable,4,FALSE))*POWER(1-(AnnualChurn*VLOOKUP(AID43,ChurnSeasonTable,4,FALSE)),2)</f>
        <v/>
      </c>
      <c r="AIZ43" s="12">
        <f>AIZ42+AIT43-AIT31*(AnnualChurn*VLOOKUP(AID43,ChurnSeasonTable,4,FALSE))*POWER(1-(AnnualChurn*VLOOKUP(AID43,ChurnSeasonTable,4,FALSE)),0)+AIT19*(AnnualChurn*VLOOKUP(AID43,ChurnSeasonTable,4,FALSE))*POWER(1-(AnnualChurn*VLOOKUP(AID43,ChurnSeasonTable,4,FALSE)),1)+AIT7*(AnnualChurn*VLOOKUP(AID43,ChurnSeasonTable,4,FALSE))*POWER(1-(AnnualChurn*VLOOKUP(AID43,ChurnSeasonTable,4,FALSE)),2)</f>
        <v/>
      </c>
      <c r="AJA43" s="12">
        <f>AIU43+AIV43+AIW43+AIX43+AIY43+AIZ43</f>
        <v/>
      </c>
      <c r="AJB43" s="9">
        <f>AIU43*BlendedPriceEssMonthly*AIG43+AIV43*BlendedPricePremMonthly*AIG43+AIW43*BlendedPriceEliteMonthly*AIG43+AIX43*BlendedPriceEssAnnual*AIG43/12+AIY43*BlendedPricePremAnnual*AIG43/12+AIZ43*BlendedPriceEliteAnnual*AIG43/12</f>
        <v/>
      </c>
      <c r="AJC43" s="9">
        <f>AJB43*12</f>
        <v/>
      </c>
      <c r="AJD43" s="12">
        <f>AIU43*BlendedPriceEssMonthly*AIG43+AIV43*BlendedPricePremMonthly*AIG43+AIW43*BlendedPriceEliteMonthly*AIG43</f>
        <v/>
      </c>
      <c r="AJE43" s="12">
        <f>AIR43*BlendedPriceEssAnnual*AIG43+AIS43*BlendedPricePremAnnual*AIG43+AIT43*BlendedPriceEliteAnnual*AIG43</f>
        <v/>
      </c>
      <c r="AJF43" s="12">
        <f>AIR31*POWER(1-(AnnualChurn*VLOOKUP(AID43,ChurnSeasonTable,4,FALSE)),1)*BlendedPriceEssAnnual*AIG43+AIR19*POWER(1-(AnnualChurn*VLOOKUP(AID43,ChurnSeasonTable,4,FALSE)),2)*BlendedPriceEssAnnual*AIG43+AIR7*POWER(1-(AnnualChurn*VLOOKUP(AID43,ChurnSeasonTable,4,FALSE)),3)*BlendedPriceEssAnnual*AIG43+AIS31*POWER(1-(AnnualChurn*VLOOKUP(AID43,ChurnSeasonTable,4,FALSE)),1)*BlendedPricePremAnnual*AIG43+AIS19*POWER(1-(AnnualChurn*VLOOKUP(AID43,ChurnSeasonTable,4,FALSE)),2)*BlendedPricePremAnnual*AIG43+AIS7*POWER(1-(AnnualChurn*VLOOKUP(AID43,ChurnSeasonTable,4,FALSE)),3)*BlendedPricePremAnnual*AIG43+AIT31*POWER(1-(AnnualChurn*VLOOKUP(AID43,ChurnSeasonTable,4,FALSE)),1)*BlendedPriceEliteAnnual*AIG43+AIT19*POWER(1-(AnnualChurn*VLOOKUP(AID43,ChurnSeasonTable,4,FALSE)),2)*BlendedPriceEliteAnnual*AIG43+AIT7*POWER(1-(AnnualChurn*VLOOKUP(AID43,ChurnSeasonTable,4,FALSE)),3)*BlendedPriceEliteAnnual*AIG43</f>
        <v/>
      </c>
      <c r="AJG43" s="9">
        <f>AJD43+AJE43+AJF43</f>
        <v/>
      </c>
      <c r="AJH43" s="12">
        <f>SUM(AJG32:AJG43)</f>
        <v/>
      </c>
      <c r="AJI43" s="12">
        <f>OR(AJI42,IF(VATAgentMode,SUM($AJG32:$AJG43)-SUM($AJN32:$AJN43)&gt;=VATThreshold,SUM($AJG32:$AJG43)&gt;=VATThreshold))</f>
        <v/>
      </c>
      <c r="AJJ43" s="9">
        <f>IF(AJI43,IF(VATAgentMode,AJG43-((AJG43-AJN43)-(AJG43-AJN43)/(1+VATRate)),AJG43/(1+VATRate)),AJG43)</f>
        <v/>
      </c>
      <c r="AJK43" s="12">
        <f>AJG43-AJJ43</f>
        <v/>
      </c>
      <c r="AJL43" s="12">
        <f>IF(AJI43=0,0,IF(AID43=1,SUMPRODUCT(--(($AIE$5:$AIE43=$AIE43-1)*($AID$5:$AID43&gt;=10)*($AID$5:$AID43&lt;=12)),$AJK$5:$AJK43),IF(AID43=4,SUMPRODUCT(--(($AIE$5:$AIE43=$AIE43)*($AID$5:$AID43&gt;=1)*($AID$5:$AID43&lt;=3)),$AJK$5:$AJK43),IF(AID43=7,SUMPRODUCT(--(($AIE$5:$AIE43=$AIE43)*($AID$5:$AID43&gt;=4)*($AID$5:$AID43&lt;=6)),$AJK$5:$AJK43),IF(AID43=10,SUMPRODUCT(--(($AIE$5:$AIE43=$AIE43)*($AID$5:$AID43&gt;=7)*($AID$5:$AID43&lt;=9)),$AJK$5:$AJK43),0)))))</f>
        <v/>
      </c>
      <c r="AJM43" s="12">
        <f>AJM42+AJK43-AJL43</f>
        <v/>
      </c>
      <c r="AJN43" s="12">
        <f>IF(ProviderDelay&gt;=1,AIU42*BlendedProvPayEss+AIV42*BlendedProvPayPrem+AIW42*BlendedProvPayElite+AIX42*BlendedProvPayEss+AIY42*BlendedProvPayPrem+AIZ42*BlendedProvPayElite,AIU43*BlendedProvPayEss+AIV43*BlendedProvPayPrem+AIW43*BlendedProvPayElite+AIX43*BlendedProvPayEss+AIY43*BlendedProvPayPrem+AIZ43*BlendedProvPayElite)</f>
        <v/>
      </c>
      <c r="AJO43" s="12">
        <f>AJG43*PaymentFee</f>
        <v/>
      </c>
      <c r="AJP43" s="12">
        <f>AJA43*OpsAI</f>
        <v/>
      </c>
      <c r="AJQ43" s="12">
        <f>MonthlyFixed</f>
        <v/>
      </c>
      <c r="AJR43" s="12">
        <f>AIK43*ReferralReward</f>
        <v/>
      </c>
      <c r="AJS43" s="12">
        <f>AII43</f>
        <v/>
      </c>
      <c r="AJT43" s="9">
        <f>AJJ43-AJN43-AJO43-AJP43-AJQ43-AJR43-AJS43</f>
        <v/>
      </c>
      <c r="AJU43" s="9">
        <f>AJU42+AJG43-(AJN43+AJO43+AJP43+AJQ43+AJR43+AJS43+AJL43)</f>
        <v/>
      </c>
      <c r="AJV43" s="12">
        <f>IF(AJA43&gt;0,AJB43/AJA43,0)</f>
        <v/>
      </c>
      <c r="AJW43" s="11">
        <f>IF(AJA42&gt;0,MAX(0,(AJA42+AIL43-AJA43)/AJA42),0)</f>
        <v/>
      </c>
      <c r="AJY43" s="12" t="n">
        <v>39</v>
      </c>
      <c r="AJZ43" s="12">
        <f>MOD(AJY43-1+LaunchMonth-1,12)+1</f>
        <v/>
      </c>
      <c r="AKA43" s="12">
        <f>INT((AJY43-1+LaunchMonth-1)/12)+1</f>
        <v/>
      </c>
      <c r="AKB43" s="12">
        <f>VLOOKUP(AJZ43,SeasonTable,2,FALSE)</f>
        <v/>
      </c>
      <c r="AKC43" s="12">
        <f>(1+InflationRate)^INT((AJY43-1)/12)</f>
        <v/>
      </c>
      <c r="AKD43" s="11">
        <f>MonthlyChurn*VLOOKUP(AJZ43,ChurnSeasonTable,4,FALSE)</f>
        <v/>
      </c>
      <c r="AKE43" s="12">
        <f>MIN(MAX(MktMin19plus,ALC42*MktPct19plus),MAX(0,ALQ42-CashBuffer))</f>
        <v/>
      </c>
      <c r="AKF43" s="12">
        <f>IF(AKE43&gt;0,MAX(1,ROUND(AKE43/'Sens - CAC &amp; Marketing'!$A$10*AKB43,0)),0)</f>
        <v/>
      </c>
      <c r="AKG43" s="12">
        <f>IF(AKF43&gt;0,ROUND(AKF43*ReferralMix/(1-ReferralMix),0),0)</f>
        <v/>
      </c>
      <c r="AKH43" s="12">
        <f>AKF43+AKG43</f>
        <v/>
      </c>
      <c r="AKI43" s="12">
        <f>ROUND(AKH43*(1-AnnualMix),0)</f>
        <v/>
      </c>
      <c r="AKJ43" s="12">
        <f>AKH43-AKI43</f>
        <v/>
      </c>
      <c r="AKK43" s="12">
        <f>ROUND(AKI43*EssentialMix,0)</f>
        <v/>
      </c>
      <c r="AKL43" s="12">
        <f>ROUND(AKI43*PremiumMix,0)</f>
        <v/>
      </c>
      <c r="AKM43" s="12">
        <f>AKI43-AKK43-AKL43</f>
        <v/>
      </c>
      <c r="AKN43" s="12">
        <f>ROUND(AKJ43*EssentialMix,0)</f>
        <v/>
      </c>
      <c r="AKO43" s="12">
        <f>ROUND(AKJ43*PremiumMix,0)</f>
        <v/>
      </c>
      <c r="AKP43" s="12">
        <f>AKJ43-AKN43-AKO43</f>
        <v/>
      </c>
      <c r="AKQ43" s="12">
        <f>AKK43+AKK42+AKK41+MAX(0,AKQ42-AKK42-AKK41)*(1-AKD43)</f>
        <v/>
      </c>
      <c r="AKR43" s="12">
        <f>AKL43+AKL42+AKL41+MAX(0,AKR42-AKL42-AKL41)*(1-AKD43)</f>
        <v/>
      </c>
      <c r="AKS43" s="12">
        <f>AKM43+AKM42+AKM41+MAX(0,AKS42-AKM42-AKM41)*(1-AKD43)</f>
        <v/>
      </c>
      <c r="AKT43" s="12">
        <f>AKT42+AKN43-AKN31*(AnnualChurn*VLOOKUP(AJZ43,ChurnSeasonTable,4,FALSE))*POWER(1-(AnnualChurn*VLOOKUP(AJZ43,ChurnSeasonTable,4,FALSE)),0)+AKN19*(AnnualChurn*VLOOKUP(AJZ43,ChurnSeasonTable,4,FALSE))*POWER(1-(AnnualChurn*VLOOKUP(AJZ43,ChurnSeasonTable,4,FALSE)),1)+AKN7*(AnnualChurn*VLOOKUP(AJZ43,ChurnSeasonTable,4,FALSE))*POWER(1-(AnnualChurn*VLOOKUP(AJZ43,ChurnSeasonTable,4,FALSE)),2)</f>
        <v/>
      </c>
      <c r="AKU43" s="12">
        <f>AKU42+AKO43-AKO31*(AnnualChurn*VLOOKUP(AJZ43,ChurnSeasonTable,4,FALSE))*POWER(1-(AnnualChurn*VLOOKUP(AJZ43,ChurnSeasonTable,4,FALSE)),0)+AKO19*(AnnualChurn*VLOOKUP(AJZ43,ChurnSeasonTable,4,FALSE))*POWER(1-(AnnualChurn*VLOOKUP(AJZ43,ChurnSeasonTable,4,FALSE)),1)+AKO7*(AnnualChurn*VLOOKUP(AJZ43,ChurnSeasonTable,4,FALSE))*POWER(1-(AnnualChurn*VLOOKUP(AJZ43,ChurnSeasonTable,4,FALSE)),2)</f>
        <v/>
      </c>
      <c r="AKV43" s="12">
        <f>AKV42+AKP43-AKP31*(AnnualChurn*VLOOKUP(AJZ43,ChurnSeasonTable,4,FALSE))*POWER(1-(AnnualChurn*VLOOKUP(AJZ43,ChurnSeasonTable,4,FALSE)),0)+AKP19*(AnnualChurn*VLOOKUP(AJZ43,ChurnSeasonTable,4,FALSE))*POWER(1-(AnnualChurn*VLOOKUP(AJZ43,ChurnSeasonTable,4,FALSE)),1)+AKP7*(AnnualChurn*VLOOKUP(AJZ43,ChurnSeasonTable,4,FALSE))*POWER(1-(AnnualChurn*VLOOKUP(AJZ43,ChurnSeasonTable,4,FALSE)),2)</f>
        <v/>
      </c>
      <c r="AKW43" s="12">
        <f>AKQ43+AKR43+AKS43+AKT43+AKU43+AKV43</f>
        <v/>
      </c>
      <c r="AKX43" s="9">
        <f>AKQ43*BlendedPriceEssMonthly*AKC43+AKR43*BlendedPricePremMonthly*AKC43+AKS43*BlendedPriceEliteMonthly*AKC43+AKT43*BlendedPriceEssAnnual*AKC43/12+AKU43*BlendedPricePremAnnual*AKC43/12+AKV43*BlendedPriceEliteAnnual*AKC43/12</f>
        <v/>
      </c>
      <c r="AKY43" s="9">
        <f>AKX43*12</f>
        <v/>
      </c>
      <c r="AKZ43" s="12">
        <f>AKQ43*BlendedPriceEssMonthly*AKC43+AKR43*BlendedPricePremMonthly*AKC43+AKS43*BlendedPriceEliteMonthly*AKC43</f>
        <v/>
      </c>
      <c r="ALA43" s="12">
        <f>AKN43*BlendedPriceEssAnnual*AKC43+AKO43*BlendedPricePremAnnual*AKC43+AKP43*BlendedPriceEliteAnnual*AKC43</f>
        <v/>
      </c>
      <c r="ALB43" s="12">
        <f>AKN31*POWER(1-(AnnualChurn*VLOOKUP(AJZ43,ChurnSeasonTable,4,FALSE)),1)*BlendedPriceEssAnnual*AKC43+AKN19*POWER(1-(AnnualChurn*VLOOKUP(AJZ43,ChurnSeasonTable,4,FALSE)),2)*BlendedPriceEssAnnual*AKC43+AKN7*POWER(1-(AnnualChurn*VLOOKUP(AJZ43,ChurnSeasonTable,4,FALSE)),3)*BlendedPriceEssAnnual*AKC43+AKO31*POWER(1-(AnnualChurn*VLOOKUP(AJZ43,ChurnSeasonTable,4,FALSE)),1)*BlendedPricePremAnnual*AKC43+AKO19*POWER(1-(AnnualChurn*VLOOKUP(AJZ43,ChurnSeasonTable,4,FALSE)),2)*BlendedPricePremAnnual*AKC43+AKO7*POWER(1-(AnnualChurn*VLOOKUP(AJZ43,ChurnSeasonTable,4,FALSE)),3)*BlendedPricePremAnnual*AKC43+AKP31*POWER(1-(AnnualChurn*VLOOKUP(AJZ43,ChurnSeasonTable,4,FALSE)),1)*BlendedPriceEliteAnnual*AKC43+AKP19*POWER(1-(AnnualChurn*VLOOKUP(AJZ43,ChurnSeasonTable,4,FALSE)),2)*BlendedPriceEliteAnnual*AKC43+AKP7*POWER(1-(AnnualChurn*VLOOKUP(AJZ43,ChurnSeasonTable,4,FALSE)),3)*BlendedPriceEliteAnnual*AKC43</f>
        <v/>
      </c>
      <c r="ALC43" s="9">
        <f>AKZ43+ALA43+ALB43</f>
        <v/>
      </c>
      <c r="ALD43" s="12">
        <f>SUM(ALC32:ALC43)</f>
        <v/>
      </c>
      <c r="ALE43" s="12">
        <f>OR(ALE42,IF(VATAgentMode,SUM($ALC32:$ALC43)-SUM($ALJ32:$ALJ43)&gt;=VATThreshold,SUM($ALC32:$ALC43)&gt;=VATThreshold))</f>
        <v/>
      </c>
      <c r="ALF43" s="9">
        <f>IF(ALE43,IF(VATAgentMode,ALC43-((ALC43-ALJ43)-(ALC43-ALJ43)/(1+VATRate)),ALC43/(1+VATRate)),ALC43)</f>
        <v/>
      </c>
      <c r="ALG43" s="12">
        <f>ALC43-ALF43</f>
        <v/>
      </c>
      <c r="ALH43" s="12">
        <f>IF(ALE43=0,0,IF(AJZ43=1,SUMPRODUCT(--(($AKA$5:$AKA43=$AKA43-1)*($AJZ$5:$AJZ43&gt;=10)*($AJZ$5:$AJZ43&lt;=12)),$ALG$5:$ALG43),IF(AJZ43=4,SUMPRODUCT(--(($AKA$5:$AKA43=$AKA43)*($AJZ$5:$AJZ43&gt;=1)*($AJZ$5:$AJZ43&lt;=3)),$ALG$5:$ALG43),IF(AJZ43=7,SUMPRODUCT(--(($AKA$5:$AKA43=$AKA43)*($AJZ$5:$AJZ43&gt;=4)*($AJZ$5:$AJZ43&lt;=6)),$ALG$5:$ALG43),IF(AJZ43=10,SUMPRODUCT(--(($AKA$5:$AKA43=$AKA43)*($AJZ$5:$AJZ43&gt;=7)*($AJZ$5:$AJZ43&lt;=9)),$ALG$5:$ALG43),0)))))</f>
        <v/>
      </c>
      <c r="ALI43" s="12">
        <f>ALI42+ALG43-ALH43</f>
        <v/>
      </c>
      <c r="ALJ43" s="12">
        <f>IF(ProviderDelay&gt;=1,AKQ42*BlendedProvPayEss+AKR42*BlendedProvPayPrem+AKS42*BlendedProvPayElite+AKT42*BlendedProvPayEss+AKU42*BlendedProvPayPrem+AKV42*BlendedProvPayElite,AKQ43*BlendedProvPayEss+AKR43*BlendedProvPayPrem+AKS43*BlendedProvPayElite+AKT43*BlendedProvPayEss+AKU43*BlendedProvPayPrem+AKV43*BlendedProvPayElite)</f>
        <v/>
      </c>
      <c r="ALK43" s="12">
        <f>ALC43*PaymentFee</f>
        <v/>
      </c>
      <c r="ALL43" s="12">
        <f>AKW43*OpsAI</f>
        <v/>
      </c>
      <c r="ALM43" s="12">
        <f>MonthlyFixed</f>
        <v/>
      </c>
      <c r="ALN43" s="12">
        <f>AKG43*ReferralReward</f>
        <v/>
      </c>
      <c r="ALO43" s="12">
        <f>AKE43</f>
        <v/>
      </c>
      <c r="ALP43" s="9">
        <f>ALF43-ALJ43-ALK43-ALL43-ALM43-ALN43-ALO43</f>
        <v/>
      </c>
      <c r="ALQ43" s="9">
        <f>ALQ42+ALC43-(ALJ43+ALK43+ALL43+ALM43+ALN43+ALO43+ALH43)</f>
        <v/>
      </c>
      <c r="ALR43" s="12">
        <f>IF(AKW43&gt;0,AKX43/AKW43,0)</f>
        <v/>
      </c>
      <c r="ALS43" s="11">
        <f>IF(AKW42&gt;0,MAX(0,(AKW42+AKH43-AKW43)/AKW42),0)</f>
        <v/>
      </c>
      <c r="ALU43" s="12" t="n">
        <v>39</v>
      </c>
      <c r="ALV43" s="12">
        <f>MOD(ALU43-1+LaunchMonth-1,12)+1</f>
        <v/>
      </c>
      <c r="ALW43" s="12">
        <f>INT((ALU43-1+LaunchMonth-1)/12)+1</f>
        <v/>
      </c>
      <c r="ALX43" s="12">
        <f>VLOOKUP(ALV43,SeasonTable,2,FALSE)</f>
        <v/>
      </c>
      <c r="ALY43" s="12">
        <f>(1+InflationRate)^INT((ALU43-1)/12)</f>
        <v/>
      </c>
      <c r="ALZ43" s="11">
        <f>MonthlyChurn*VLOOKUP(ALV43,ChurnSeasonTable,4,FALSE)</f>
        <v/>
      </c>
      <c r="AMA43" s="12">
        <f>MIN(MAX(MktMin19plus,AMY42*MktPct19plus),MAX(0,ANM42-CashBuffer))</f>
        <v/>
      </c>
      <c r="AMB43" s="12">
        <f>IF(AMA43&gt;0,MAX(1,ROUND(AMA43/'Sens - CAC &amp; Marketing'!$A$11*ALX43,0)),0)</f>
        <v/>
      </c>
      <c r="AMC43" s="12">
        <f>IF(AMB43&gt;0,ROUND(AMB43*ReferralMix/(1-ReferralMix),0),0)</f>
        <v/>
      </c>
      <c r="AMD43" s="12">
        <f>AMB43+AMC43</f>
        <v/>
      </c>
      <c r="AME43" s="12">
        <f>ROUND(AMD43*(1-AnnualMix),0)</f>
        <v/>
      </c>
      <c r="AMF43" s="12">
        <f>AMD43-AME43</f>
        <v/>
      </c>
      <c r="AMG43" s="12">
        <f>ROUND(AME43*EssentialMix,0)</f>
        <v/>
      </c>
      <c r="AMH43" s="12">
        <f>ROUND(AME43*PremiumMix,0)</f>
        <v/>
      </c>
      <c r="AMI43" s="12">
        <f>AME43-AMG43-AMH43</f>
        <v/>
      </c>
      <c r="AMJ43" s="12">
        <f>ROUND(AMF43*EssentialMix,0)</f>
        <v/>
      </c>
      <c r="AMK43" s="12">
        <f>ROUND(AMF43*PremiumMix,0)</f>
        <v/>
      </c>
      <c r="AML43" s="12">
        <f>AMF43-AMJ43-AMK43</f>
        <v/>
      </c>
      <c r="AMM43" s="12">
        <f>AMG43+AMG42+AMG41+MAX(0,AMM42-AMG42-AMG41)*(1-ALZ43)</f>
        <v/>
      </c>
      <c r="AMN43" s="12">
        <f>AMH43+AMH42+AMH41+MAX(0,AMN42-AMH42-AMH41)*(1-ALZ43)</f>
        <v/>
      </c>
      <c r="AMO43" s="12">
        <f>AMI43+AMI42+AMI41+MAX(0,AMO42-AMI42-AMI41)*(1-ALZ43)</f>
        <v/>
      </c>
      <c r="AMP43" s="12">
        <f>AMP42+AMJ43-AMJ31*(AnnualChurn*VLOOKUP(ALV43,ChurnSeasonTable,4,FALSE))*POWER(1-(AnnualChurn*VLOOKUP(ALV43,ChurnSeasonTable,4,FALSE)),0)+AMJ19*(AnnualChurn*VLOOKUP(ALV43,ChurnSeasonTable,4,FALSE))*POWER(1-(AnnualChurn*VLOOKUP(ALV43,ChurnSeasonTable,4,FALSE)),1)+AMJ7*(AnnualChurn*VLOOKUP(ALV43,ChurnSeasonTable,4,FALSE))*POWER(1-(AnnualChurn*VLOOKUP(ALV43,ChurnSeasonTable,4,FALSE)),2)</f>
        <v/>
      </c>
      <c r="AMQ43" s="12">
        <f>AMQ42+AMK43-AMK31*(AnnualChurn*VLOOKUP(ALV43,ChurnSeasonTable,4,FALSE))*POWER(1-(AnnualChurn*VLOOKUP(ALV43,ChurnSeasonTable,4,FALSE)),0)+AMK19*(AnnualChurn*VLOOKUP(ALV43,ChurnSeasonTable,4,FALSE))*POWER(1-(AnnualChurn*VLOOKUP(ALV43,ChurnSeasonTable,4,FALSE)),1)+AMK7*(AnnualChurn*VLOOKUP(ALV43,ChurnSeasonTable,4,FALSE))*POWER(1-(AnnualChurn*VLOOKUP(ALV43,ChurnSeasonTable,4,FALSE)),2)</f>
        <v/>
      </c>
      <c r="AMR43" s="12">
        <f>AMR42+AML43-AML31*(AnnualChurn*VLOOKUP(ALV43,ChurnSeasonTable,4,FALSE))*POWER(1-(AnnualChurn*VLOOKUP(ALV43,ChurnSeasonTable,4,FALSE)),0)+AML19*(AnnualChurn*VLOOKUP(ALV43,ChurnSeasonTable,4,FALSE))*POWER(1-(AnnualChurn*VLOOKUP(ALV43,ChurnSeasonTable,4,FALSE)),1)+AML7*(AnnualChurn*VLOOKUP(ALV43,ChurnSeasonTable,4,FALSE))*POWER(1-(AnnualChurn*VLOOKUP(ALV43,ChurnSeasonTable,4,FALSE)),2)</f>
        <v/>
      </c>
      <c r="AMS43" s="12">
        <f>AMM43+AMN43+AMO43+AMP43+AMQ43+AMR43</f>
        <v/>
      </c>
      <c r="AMT43" s="9">
        <f>AMM43*BlendedPriceEssMonthly*ALY43+AMN43*BlendedPricePremMonthly*ALY43+AMO43*BlendedPriceEliteMonthly*ALY43+AMP43*BlendedPriceEssAnnual*ALY43/12+AMQ43*BlendedPricePremAnnual*ALY43/12+AMR43*BlendedPriceEliteAnnual*ALY43/12</f>
        <v/>
      </c>
      <c r="AMU43" s="9">
        <f>AMT43*12</f>
        <v/>
      </c>
      <c r="AMV43" s="12">
        <f>AMM43*BlendedPriceEssMonthly*ALY43+AMN43*BlendedPricePremMonthly*ALY43+AMO43*BlendedPriceEliteMonthly*ALY43</f>
        <v/>
      </c>
      <c r="AMW43" s="12">
        <f>AMJ43*BlendedPriceEssAnnual*ALY43+AMK43*BlendedPricePremAnnual*ALY43+AML43*BlendedPriceEliteAnnual*ALY43</f>
        <v/>
      </c>
      <c r="AMX43" s="12">
        <f>AMJ31*POWER(1-(AnnualChurn*VLOOKUP(ALV43,ChurnSeasonTable,4,FALSE)),1)*BlendedPriceEssAnnual*ALY43+AMJ19*POWER(1-(AnnualChurn*VLOOKUP(ALV43,ChurnSeasonTable,4,FALSE)),2)*BlendedPriceEssAnnual*ALY43+AMJ7*POWER(1-(AnnualChurn*VLOOKUP(ALV43,ChurnSeasonTable,4,FALSE)),3)*BlendedPriceEssAnnual*ALY43+AMK31*POWER(1-(AnnualChurn*VLOOKUP(ALV43,ChurnSeasonTable,4,FALSE)),1)*BlendedPricePremAnnual*ALY43+AMK19*POWER(1-(AnnualChurn*VLOOKUP(ALV43,ChurnSeasonTable,4,FALSE)),2)*BlendedPricePremAnnual*ALY43+AMK7*POWER(1-(AnnualChurn*VLOOKUP(ALV43,ChurnSeasonTable,4,FALSE)),3)*BlendedPricePremAnnual*ALY43+AML31*POWER(1-(AnnualChurn*VLOOKUP(ALV43,ChurnSeasonTable,4,FALSE)),1)*BlendedPriceEliteAnnual*ALY43+AML19*POWER(1-(AnnualChurn*VLOOKUP(ALV43,ChurnSeasonTable,4,FALSE)),2)*BlendedPriceEliteAnnual*ALY43+AML7*POWER(1-(AnnualChurn*VLOOKUP(ALV43,ChurnSeasonTable,4,FALSE)),3)*BlendedPriceEliteAnnual*ALY43</f>
        <v/>
      </c>
      <c r="AMY43" s="9">
        <f>AMV43+AMW43+AMX43</f>
        <v/>
      </c>
      <c r="AMZ43" s="12">
        <f>SUM(AMY32:AMY43)</f>
        <v/>
      </c>
      <c r="ANA43" s="12">
        <f>OR(ANA42,IF(VATAgentMode,SUM($AMY32:$AMY43)-SUM($ANF32:$ANF43)&gt;=VATThreshold,SUM($AMY32:$AMY43)&gt;=VATThreshold))</f>
        <v/>
      </c>
      <c r="ANB43" s="9">
        <f>IF(ANA43,IF(VATAgentMode,AMY43-((AMY43-ANF43)-(AMY43-ANF43)/(1+VATRate)),AMY43/(1+VATRate)),AMY43)</f>
        <v/>
      </c>
      <c r="ANC43" s="12">
        <f>AMY43-ANB43</f>
        <v/>
      </c>
      <c r="AND43" s="12">
        <f>IF(ANA43=0,0,IF(ALV43=1,SUMPRODUCT(--(($ALW$5:$ALW43=$ALW43-1)*($ALV$5:$ALV43&gt;=10)*($ALV$5:$ALV43&lt;=12)),$ANC$5:$ANC43),IF(ALV43=4,SUMPRODUCT(--(($ALW$5:$ALW43=$ALW43)*($ALV$5:$ALV43&gt;=1)*($ALV$5:$ALV43&lt;=3)),$ANC$5:$ANC43),IF(ALV43=7,SUMPRODUCT(--(($ALW$5:$ALW43=$ALW43)*($ALV$5:$ALV43&gt;=4)*($ALV$5:$ALV43&lt;=6)),$ANC$5:$ANC43),IF(ALV43=10,SUMPRODUCT(--(($ALW$5:$ALW43=$ALW43)*($ALV$5:$ALV43&gt;=7)*($ALV$5:$ALV43&lt;=9)),$ANC$5:$ANC43),0)))))</f>
        <v/>
      </c>
      <c r="ANE43" s="12">
        <f>ANE42+ANC43-AND43</f>
        <v/>
      </c>
      <c r="ANF43" s="12">
        <f>IF(ProviderDelay&gt;=1,AMM42*BlendedProvPayEss+AMN42*BlendedProvPayPrem+AMO42*BlendedProvPayElite+AMP42*BlendedProvPayEss+AMQ42*BlendedProvPayPrem+AMR42*BlendedProvPayElite,AMM43*BlendedProvPayEss+AMN43*BlendedProvPayPrem+AMO43*BlendedProvPayElite+AMP43*BlendedProvPayEss+AMQ43*BlendedProvPayPrem+AMR43*BlendedProvPayElite)</f>
        <v/>
      </c>
      <c r="ANG43" s="12">
        <f>AMY43*PaymentFee</f>
        <v/>
      </c>
      <c r="ANH43" s="12">
        <f>AMS43*OpsAI</f>
        <v/>
      </c>
      <c r="ANI43" s="12">
        <f>MonthlyFixed</f>
        <v/>
      </c>
      <c r="ANJ43" s="12">
        <f>AMC43*ReferralReward</f>
        <v/>
      </c>
      <c r="ANK43" s="12">
        <f>AMA43</f>
        <v/>
      </c>
      <c r="ANL43" s="9">
        <f>ANB43-ANF43-ANG43-ANH43-ANI43-ANJ43-ANK43</f>
        <v/>
      </c>
      <c r="ANM43" s="9">
        <f>ANM42+AMY43-(ANF43+ANG43+ANH43+ANI43+ANJ43+ANK43+AND43)</f>
        <v/>
      </c>
      <c r="ANN43" s="12">
        <f>IF(AMS43&gt;0,AMT43/AMS43,0)</f>
        <v/>
      </c>
      <c r="ANO43" s="11">
        <f>IF(AMS42&gt;0,MAX(0,(AMS42+AMD43-AMS43)/AMS42),0)</f>
        <v/>
      </c>
      <c r="ANQ43" s="12" t="n">
        <v>39</v>
      </c>
      <c r="ANR43" s="12">
        <f>MOD(ANQ43-1+LaunchMonth-1,12)+1</f>
        <v/>
      </c>
      <c r="ANS43" s="12">
        <f>INT((ANQ43-1+LaunchMonth-1)/12)+1</f>
        <v/>
      </c>
      <c r="ANT43" s="12">
        <f>VLOOKUP(ANR43,SeasonTable,2,FALSE)</f>
        <v/>
      </c>
      <c r="ANU43" s="12">
        <f>(1+InflationRate)^INT((ANQ43-1)/12)</f>
        <v/>
      </c>
      <c r="ANV43" s="11">
        <f>MonthlyChurn*VLOOKUP(ANR43,ChurnSeasonTable,4,FALSE)</f>
        <v/>
      </c>
      <c r="ANW43" s="12">
        <f>MIN(MAX(MktMin19plus,AOU42*MktPct19plus),MAX(0,API42-CashBuffer))</f>
        <v/>
      </c>
      <c r="ANX43" s="12">
        <f>IF(ANW43&gt;0,MAX(1,ROUND(ANW43/'Sens - CAC &amp; Marketing'!$A$12*ANT43,0)),0)</f>
        <v/>
      </c>
      <c r="ANY43" s="12">
        <f>IF(ANX43&gt;0,ROUND(ANX43*ReferralMix/(1-ReferralMix),0),0)</f>
        <v/>
      </c>
      <c r="ANZ43" s="12">
        <f>ANX43+ANY43</f>
        <v/>
      </c>
      <c r="AOA43" s="12">
        <f>ROUND(ANZ43*(1-AnnualMix),0)</f>
        <v/>
      </c>
      <c r="AOB43" s="12">
        <f>ANZ43-AOA43</f>
        <v/>
      </c>
      <c r="AOC43" s="12">
        <f>ROUND(AOA43*EssentialMix,0)</f>
        <v/>
      </c>
      <c r="AOD43" s="12">
        <f>ROUND(AOA43*PremiumMix,0)</f>
        <v/>
      </c>
      <c r="AOE43" s="12">
        <f>AOA43-AOC43-AOD43</f>
        <v/>
      </c>
      <c r="AOF43" s="12">
        <f>ROUND(AOB43*EssentialMix,0)</f>
        <v/>
      </c>
      <c r="AOG43" s="12">
        <f>ROUND(AOB43*PremiumMix,0)</f>
        <v/>
      </c>
      <c r="AOH43" s="12">
        <f>AOB43-AOF43-AOG43</f>
        <v/>
      </c>
      <c r="AOI43" s="12">
        <f>AOC43+AOC42+AOC41+MAX(0,AOI42-AOC42-AOC41)*(1-ANV43)</f>
        <v/>
      </c>
      <c r="AOJ43" s="12">
        <f>AOD43+AOD42+AOD41+MAX(0,AOJ42-AOD42-AOD41)*(1-ANV43)</f>
        <v/>
      </c>
      <c r="AOK43" s="12">
        <f>AOE43+AOE42+AOE41+MAX(0,AOK42-AOE42-AOE41)*(1-ANV43)</f>
        <v/>
      </c>
      <c r="AOL43" s="12">
        <f>AOL42+AOF43-AOF31*(AnnualChurn*VLOOKUP(ANR43,ChurnSeasonTable,4,FALSE))*POWER(1-(AnnualChurn*VLOOKUP(ANR43,ChurnSeasonTable,4,FALSE)),0)+AOF19*(AnnualChurn*VLOOKUP(ANR43,ChurnSeasonTable,4,FALSE))*POWER(1-(AnnualChurn*VLOOKUP(ANR43,ChurnSeasonTable,4,FALSE)),1)+AOF7*(AnnualChurn*VLOOKUP(ANR43,ChurnSeasonTable,4,FALSE))*POWER(1-(AnnualChurn*VLOOKUP(ANR43,ChurnSeasonTable,4,FALSE)),2)</f>
        <v/>
      </c>
      <c r="AOM43" s="12">
        <f>AOM42+AOG43-AOG31*(AnnualChurn*VLOOKUP(ANR43,ChurnSeasonTable,4,FALSE))*POWER(1-(AnnualChurn*VLOOKUP(ANR43,ChurnSeasonTable,4,FALSE)),0)+AOG19*(AnnualChurn*VLOOKUP(ANR43,ChurnSeasonTable,4,FALSE))*POWER(1-(AnnualChurn*VLOOKUP(ANR43,ChurnSeasonTable,4,FALSE)),1)+AOG7*(AnnualChurn*VLOOKUP(ANR43,ChurnSeasonTable,4,FALSE))*POWER(1-(AnnualChurn*VLOOKUP(ANR43,ChurnSeasonTable,4,FALSE)),2)</f>
        <v/>
      </c>
      <c r="AON43" s="12">
        <f>AON42+AOH43-AOH31*(AnnualChurn*VLOOKUP(ANR43,ChurnSeasonTable,4,FALSE))*POWER(1-(AnnualChurn*VLOOKUP(ANR43,ChurnSeasonTable,4,FALSE)),0)+AOH19*(AnnualChurn*VLOOKUP(ANR43,ChurnSeasonTable,4,FALSE))*POWER(1-(AnnualChurn*VLOOKUP(ANR43,ChurnSeasonTable,4,FALSE)),1)+AOH7*(AnnualChurn*VLOOKUP(ANR43,ChurnSeasonTable,4,FALSE))*POWER(1-(AnnualChurn*VLOOKUP(ANR43,ChurnSeasonTable,4,FALSE)),2)</f>
        <v/>
      </c>
      <c r="AOO43" s="12">
        <f>AOI43+AOJ43+AOK43+AOL43+AOM43+AON43</f>
        <v/>
      </c>
      <c r="AOP43" s="9">
        <f>AOI43*BlendedPriceEssMonthly*ANU43+AOJ43*BlendedPricePremMonthly*ANU43+AOK43*BlendedPriceEliteMonthly*ANU43+AOL43*BlendedPriceEssAnnual*ANU43/12+AOM43*BlendedPricePremAnnual*ANU43/12+AON43*BlendedPriceEliteAnnual*ANU43/12</f>
        <v/>
      </c>
      <c r="AOQ43" s="9">
        <f>AOP43*12</f>
        <v/>
      </c>
      <c r="AOR43" s="12">
        <f>AOI43*BlendedPriceEssMonthly*ANU43+AOJ43*BlendedPricePremMonthly*ANU43+AOK43*BlendedPriceEliteMonthly*ANU43</f>
        <v/>
      </c>
      <c r="AOS43" s="12">
        <f>AOF43*BlendedPriceEssAnnual*ANU43+AOG43*BlendedPricePremAnnual*ANU43+AOH43*BlendedPriceEliteAnnual*ANU43</f>
        <v/>
      </c>
      <c r="AOT43" s="12">
        <f>AOF31*POWER(1-(AnnualChurn*VLOOKUP(ANR43,ChurnSeasonTable,4,FALSE)),1)*BlendedPriceEssAnnual*ANU43+AOF19*POWER(1-(AnnualChurn*VLOOKUP(ANR43,ChurnSeasonTable,4,FALSE)),2)*BlendedPriceEssAnnual*ANU43+AOF7*POWER(1-(AnnualChurn*VLOOKUP(ANR43,ChurnSeasonTable,4,FALSE)),3)*BlendedPriceEssAnnual*ANU43+AOG31*POWER(1-(AnnualChurn*VLOOKUP(ANR43,ChurnSeasonTable,4,FALSE)),1)*BlendedPricePremAnnual*ANU43+AOG19*POWER(1-(AnnualChurn*VLOOKUP(ANR43,ChurnSeasonTable,4,FALSE)),2)*BlendedPricePremAnnual*ANU43+AOG7*POWER(1-(AnnualChurn*VLOOKUP(ANR43,ChurnSeasonTable,4,FALSE)),3)*BlendedPricePremAnnual*ANU43+AOH31*POWER(1-(AnnualChurn*VLOOKUP(ANR43,ChurnSeasonTable,4,FALSE)),1)*BlendedPriceEliteAnnual*ANU43+AOH19*POWER(1-(AnnualChurn*VLOOKUP(ANR43,ChurnSeasonTable,4,FALSE)),2)*BlendedPriceEliteAnnual*ANU43+AOH7*POWER(1-(AnnualChurn*VLOOKUP(ANR43,ChurnSeasonTable,4,FALSE)),3)*BlendedPriceEliteAnnual*ANU43</f>
        <v/>
      </c>
      <c r="AOU43" s="9">
        <f>AOR43+AOS43+AOT43</f>
        <v/>
      </c>
      <c r="AOV43" s="12">
        <f>SUM(AOU32:AOU43)</f>
        <v/>
      </c>
      <c r="AOW43" s="12">
        <f>OR(AOW42,IF(VATAgentMode,SUM($AOU32:$AOU43)-SUM($APB32:$APB43)&gt;=VATThreshold,SUM($AOU32:$AOU43)&gt;=VATThreshold))</f>
        <v/>
      </c>
      <c r="AOX43" s="9">
        <f>IF(AOW43,IF(VATAgentMode,AOU43-((AOU43-APB43)-(AOU43-APB43)/(1+VATRate)),AOU43/(1+VATRate)),AOU43)</f>
        <v/>
      </c>
      <c r="AOY43" s="12">
        <f>AOU43-AOX43</f>
        <v/>
      </c>
      <c r="AOZ43" s="12">
        <f>IF(AOW43=0,0,IF(ANR43=1,SUMPRODUCT(--(($ANS$5:$ANS43=$ANS43-1)*($ANR$5:$ANR43&gt;=10)*($ANR$5:$ANR43&lt;=12)),$AOY$5:$AOY43),IF(ANR43=4,SUMPRODUCT(--(($ANS$5:$ANS43=$ANS43)*($ANR$5:$ANR43&gt;=1)*($ANR$5:$ANR43&lt;=3)),$AOY$5:$AOY43),IF(ANR43=7,SUMPRODUCT(--(($ANS$5:$ANS43=$ANS43)*($ANR$5:$ANR43&gt;=4)*($ANR$5:$ANR43&lt;=6)),$AOY$5:$AOY43),IF(ANR43=10,SUMPRODUCT(--(($ANS$5:$ANS43=$ANS43)*($ANR$5:$ANR43&gt;=7)*($ANR$5:$ANR43&lt;=9)),$AOY$5:$AOY43),0)))))</f>
        <v/>
      </c>
      <c r="APA43" s="12">
        <f>APA42+AOY43-AOZ43</f>
        <v/>
      </c>
      <c r="APB43" s="12">
        <f>IF(ProviderDelay&gt;=1,AOI42*BlendedProvPayEss+AOJ42*BlendedProvPayPrem+AOK42*BlendedProvPayElite+AOL42*BlendedProvPayEss+AOM42*BlendedProvPayPrem+AON42*BlendedProvPayElite,AOI43*BlendedProvPayEss+AOJ43*BlendedProvPayPrem+AOK43*BlendedProvPayElite+AOL43*BlendedProvPayEss+AOM43*BlendedProvPayPrem+AON43*BlendedProvPayElite)</f>
        <v/>
      </c>
      <c r="APC43" s="12">
        <f>AOU43*PaymentFee</f>
        <v/>
      </c>
      <c r="APD43" s="12">
        <f>AOO43*OpsAI</f>
        <v/>
      </c>
      <c r="APE43" s="12">
        <f>MonthlyFixed</f>
        <v/>
      </c>
      <c r="APF43" s="12">
        <f>ANY43*ReferralReward</f>
        <v/>
      </c>
      <c r="APG43" s="12">
        <f>ANW43</f>
        <v/>
      </c>
      <c r="APH43" s="9">
        <f>AOX43-APB43-APC43-APD43-APE43-APF43-APG43</f>
        <v/>
      </c>
      <c r="API43" s="9">
        <f>API42+AOU43-(APB43+APC43+APD43+APE43+APF43+APG43+AOZ43)</f>
        <v/>
      </c>
      <c r="APJ43" s="12">
        <f>IF(AOO43&gt;0,AOP43/AOO43,0)</f>
        <v/>
      </c>
      <c r="APK43" s="11">
        <f>IF(AOO42&gt;0,MAX(0,(AOO42+ANZ43-AOO43)/AOO42),0)</f>
        <v/>
      </c>
      <c r="APM43" s="12" t="n">
        <v>39</v>
      </c>
      <c r="APN43" s="12">
        <f>MOD(APM43-1+LaunchMonth-1,12)+1</f>
        <v/>
      </c>
      <c r="APO43" s="12">
        <f>INT((APM43-1+LaunchMonth-1)/12)+1</f>
        <v/>
      </c>
      <c r="APP43" s="12">
        <f>VLOOKUP(APN43,SeasonTable,2,FALSE)</f>
        <v/>
      </c>
      <c r="APQ43" s="12">
        <f>(1+InflationRate)^INT((APM43-1)/12)</f>
        <v/>
      </c>
      <c r="APR43" s="11">
        <f>MonthlyChurn*VLOOKUP(APN43,ChurnSeasonTable,4,FALSE)</f>
        <v/>
      </c>
      <c r="APS43" s="12">
        <f>MIN(MAX(MktMin19plus,AQQ42*MktPct19plus),MAX(0,ARE42-CashBuffer))</f>
        <v/>
      </c>
      <c r="APT43" s="12">
        <f>IF(APS43&gt;0,MAX(1,ROUND(APS43/'Sens - CAC &amp; Marketing'!$A$13*APP43,0)),0)</f>
        <v/>
      </c>
      <c r="APU43" s="12">
        <f>IF(APT43&gt;0,ROUND(APT43*ReferralMix/(1-ReferralMix),0),0)</f>
        <v/>
      </c>
      <c r="APV43" s="12">
        <f>APT43+APU43</f>
        <v/>
      </c>
      <c r="APW43" s="12">
        <f>ROUND(APV43*(1-AnnualMix),0)</f>
        <v/>
      </c>
      <c r="APX43" s="12">
        <f>APV43-APW43</f>
        <v/>
      </c>
      <c r="APY43" s="12">
        <f>ROUND(APW43*EssentialMix,0)</f>
        <v/>
      </c>
      <c r="APZ43" s="12">
        <f>ROUND(APW43*PremiumMix,0)</f>
        <v/>
      </c>
      <c r="AQA43" s="12">
        <f>APW43-APY43-APZ43</f>
        <v/>
      </c>
      <c r="AQB43" s="12">
        <f>ROUND(APX43*EssentialMix,0)</f>
        <v/>
      </c>
      <c r="AQC43" s="12">
        <f>ROUND(APX43*PremiumMix,0)</f>
        <v/>
      </c>
      <c r="AQD43" s="12">
        <f>APX43-AQB43-AQC43</f>
        <v/>
      </c>
      <c r="AQE43" s="12">
        <f>APY43+APY42+APY41+MAX(0,AQE42-APY42-APY41)*(1-APR43)</f>
        <v/>
      </c>
      <c r="AQF43" s="12">
        <f>APZ43+APZ42+APZ41+MAX(0,AQF42-APZ42-APZ41)*(1-APR43)</f>
        <v/>
      </c>
      <c r="AQG43" s="12">
        <f>AQA43+AQA42+AQA41+MAX(0,AQG42-AQA42-AQA41)*(1-APR43)</f>
        <v/>
      </c>
      <c r="AQH43" s="12">
        <f>AQH42+AQB43-AQB31*(AnnualChurn*VLOOKUP(APN43,ChurnSeasonTable,4,FALSE))*POWER(1-(AnnualChurn*VLOOKUP(APN43,ChurnSeasonTable,4,FALSE)),0)+AQB19*(AnnualChurn*VLOOKUP(APN43,ChurnSeasonTable,4,FALSE))*POWER(1-(AnnualChurn*VLOOKUP(APN43,ChurnSeasonTable,4,FALSE)),1)+AQB7*(AnnualChurn*VLOOKUP(APN43,ChurnSeasonTable,4,FALSE))*POWER(1-(AnnualChurn*VLOOKUP(APN43,ChurnSeasonTable,4,FALSE)),2)</f>
        <v/>
      </c>
      <c r="AQI43" s="12">
        <f>AQI42+AQC43-AQC31*(AnnualChurn*VLOOKUP(APN43,ChurnSeasonTable,4,FALSE))*POWER(1-(AnnualChurn*VLOOKUP(APN43,ChurnSeasonTable,4,FALSE)),0)+AQC19*(AnnualChurn*VLOOKUP(APN43,ChurnSeasonTable,4,FALSE))*POWER(1-(AnnualChurn*VLOOKUP(APN43,ChurnSeasonTable,4,FALSE)),1)+AQC7*(AnnualChurn*VLOOKUP(APN43,ChurnSeasonTable,4,FALSE))*POWER(1-(AnnualChurn*VLOOKUP(APN43,ChurnSeasonTable,4,FALSE)),2)</f>
        <v/>
      </c>
      <c r="AQJ43" s="12">
        <f>AQJ42+AQD43-AQD31*(AnnualChurn*VLOOKUP(APN43,ChurnSeasonTable,4,FALSE))*POWER(1-(AnnualChurn*VLOOKUP(APN43,ChurnSeasonTable,4,FALSE)),0)+AQD19*(AnnualChurn*VLOOKUP(APN43,ChurnSeasonTable,4,FALSE))*POWER(1-(AnnualChurn*VLOOKUP(APN43,ChurnSeasonTable,4,FALSE)),1)+AQD7*(AnnualChurn*VLOOKUP(APN43,ChurnSeasonTable,4,FALSE))*POWER(1-(AnnualChurn*VLOOKUP(APN43,ChurnSeasonTable,4,FALSE)),2)</f>
        <v/>
      </c>
      <c r="AQK43" s="12">
        <f>AQE43+AQF43+AQG43+AQH43+AQI43+AQJ43</f>
        <v/>
      </c>
      <c r="AQL43" s="9">
        <f>AQE43*BlendedPriceEssMonthly*APQ43+AQF43*BlendedPricePremMonthly*APQ43+AQG43*BlendedPriceEliteMonthly*APQ43+AQH43*BlendedPriceEssAnnual*APQ43/12+AQI43*BlendedPricePremAnnual*APQ43/12+AQJ43*BlendedPriceEliteAnnual*APQ43/12</f>
        <v/>
      </c>
      <c r="AQM43" s="9">
        <f>AQL43*12</f>
        <v/>
      </c>
      <c r="AQN43" s="12">
        <f>AQE43*BlendedPriceEssMonthly*APQ43+AQF43*BlendedPricePremMonthly*APQ43+AQG43*BlendedPriceEliteMonthly*APQ43</f>
        <v/>
      </c>
      <c r="AQO43" s="12">
        <f>AQB43*BlendedPriceEssAnnual*APQ43+AQC43*BlendedPricePremAnnual*APQ43+AQD43*BlendedPriceEliteAnnual*APQ43</f>
        <v/>
      </c>
      <c r="AQP43" s="12">
        <f>AQB31*POWER(1-(AnnualChurn*VLOOKUP(APN43,ChurnSeasonTable,4,FALSE)),1)*BlendedPriceEssAnnual*APQ43+AQB19*POWER(1-(AnnualChurn*VLOOKUP(APN43,ChurnSeasonTable,4,FALSE)),2)*BlendedPriceEssAnnual*APQ43+AQB7*POWER(1-(AnnualChurn*VLOOKUP(APN43,ChurnSeasonTable,4,FALSE)),3)*BlendedPriceEssAnnual*APQ43+AQC31*POWER(1-(AnnualChurn*VLOOKUP(APN43,ChurnSeasonTable,4,FALSE)),1)*BlendedPricePremAnnual*APQ43+AQC19*POWER(1-(AnnualChurn*VLOOKUP(APN43,ChurnSeasonTable,4,FALSE)),2)*BlendedPricePremAnnual*APQ43+AQC7*POWER(1-(AnnualChurn*VLOOKUP(APN43,ChurnSeasonTable,4,FALSE)),3)*BlendedPricePremAnnual*APQ43+AQD31*POWER(1-(AnnualChurn*VLOOKUP(APN43,ChurnSeasonTable,4,FALSE)),1)*BlendedPriceEliteAnnual*APQ43+AQD19*POWER(1-(AnnualChurn*VLOOKUP(APN43,ChurnSeasonTable,4,FALSE)),2)*BlendedPriceEliteAnnual*APQ43+AQD7*POWER(1-(AnnualChurn*VLOOKUP(APN43,ChurnSeasonTable,4,FALSE)),3)*BlendedPriceEliteAnnual*APQ43</f>
        <v/>
      </c>
      <c r="AQQ43" s="9">
        <f>AQN43+AQO43+AQP43</f>
        <v/>
      </c>
      <c r="AQR43" s="12">
        <f>SUM(AQQ32:AQQ43)</f>
        <v/>
      </c>
      <c r="AQS43" s="12">
        <f>OR(AQS42,IF(VATAgentMode,SUM($AQQ32:$AQQ43)-SUM($AQX32:$AQX43)&gt;=VATThreshold,SUM($AQQ32:$AQQ43)&gt;=VATThreshold))</f>
        <v/>
      </c>
      <c r="AQT43" s="9">
        <f>IF(AQS43,IF(VATAgentMode,AQQ43-((AQQ43-AQX43)-(AQQ43-AQX43)/(1+VATRate)),AQQ43/(1+VATRate)),AQQ43)</f>
        <v/>
      </c>
      <c r="AQU43" s="12">
        <f>AQQ43-AQT43</f>
        <v/>
      </c>
      <c r="AQV43" s="12">
        <f>IF(AQS43=0,0,IF(APN43=1,SUMPRODUCT(--(($APO$5:$APO43=$APO43-1)*($APN$5:$APN43&gt;=10)*($APN$5:$APN43&lt;=12)),$AQU$5:$AQU43),IF(APN43=4,SUMPRODUCT(--(($APO$5:$APO43=$APO43)*($APN$5:$APN43&gt;=1)*($APN$5:$APN43&lt;=3)),$AQU$5:$AQU43),IF(APN43=7,SUMPRODUCT(--(($APO$5:$APO43=$APO43)*($APN$5:$APN43&gt;=4)*($APN$5:$APN43&lt;=6)),$AQU$5:$AQU43),IF(APN43=10,SUMPRODUCT(--(($APO$5:$APO43=$APO43)*($APN$5:$APN43&gt;=7)*($APN$5:$APN43&lt;=9)),$AQU$5:$AQU43),0)))))</f>
        <v/>
      </c>
      <c r="AQW43" s="12">
        <f>AQW42+AQU43-AQV43</f>
        <v/>
      </c>
      <c r="AQX43" s="12">
        <f>IF(ProviderDelay&gt;=1,AQE42*BlendedProvPayEss+AQF42*BlendedProvPayPrem+AQG42*BlendedProvPayElite+AQH42*BlendedProvPayEss+AQI42*BlendedProvPayPrem+AQJ42*BlendedProvPayElite,AQE43*BlendedProvPayEss+AQF43*BlendedProvPayPrem+AQG43*BlendedProvPayElite+AQH43*BlendedProvPayEss+AQI43*BlendedProvPayPrem+AQJ43*BlendedProvPayElite)</f>
        <v/>
      </c>
      <c r="AQY43" s="12">
        <f>AQQ43*PaymentFee</f>
        <v/>
      </c>
      <c r="AQZ43" s="12">
        <f>AQK43*OpsAI</f>
        <v/>
      </c>
      <c r="ARA43" s="12">
        <f>MonthlyFixed</f>
        <v/>
      </c>
      <c r="ARB43" s="12">
        <f>APU43*ReferralReward</f>
        <v/>
      </c>
      <c r="ARC43" s="12">
        <f>APS43</f>
        <v/>
      </c>
      <c r="ARD43" s="9">
        <f>AQT43-AQX43-AQY43-AQZ43-ARA43-ARB43-ARC43</f>
        <v/>
      </c>
      <c r="ARE43" s="9">
        <f>ARE42+AQQ43-(AQX43+AQY43+AQZ43+ARA43+ARB43+ARC43+AQV43)</f>
        <v/>
      </c>
      <c r="ARF43" s="12">
        <f>IF(AQK43&gt;0,AQL43/AQK43,0)</f>
        <v/>
      </c>
      <c r="ARG43" s="11">
        <f>IF(AQK42&gt;0,MAX(0,(AQK42+APV43-AQK43)/AQK42),0)</f>
        <v/>
      </c>
      <c r="ARI43" s="12" t="n">
        <v>39</v>
      </c>
      <c r="ARJ43" s="12">
        <f>MOD(ARI43-1+LaunchMonth-1,12)+1</f>
        <v/>
      </c>
      <c r="ARK43" s="12">
        <f>INT((ARI43-1+LaunchMonth-1)/12)+1</f>
        <v/>
      </c>
      <c r="ARL43" s="12">
        <f>VLOOKUP(ARJ43,SeasonTable,2,FALSE)</f>
        <v/>
      </c>
      <c r="ARM43" s="12">
        <f>(1+InflationRate)^INT((ARI43-1)/12)</f>
        <v/>
      </c>
      <c r="ARN43" s="11">
        <f>MonthlyChurn*VLOOKUP(ARJ43,ChurnSeasonTable,4,FALSE)</f>
        <v/>
      </c>
      <c r="ARO43" s="12">
        <f>MIN(MAX(MktMin19plus,ASM42*MktPct19plus),MAX(0,ATA42-CashBuffer))</f>
        <v/>
      </c>
      <c r="ARP43" s="12">
        <f>IF(ARO43&gt;0,MAX(1,ROUND(ARO43/'Sens - CAC &amp; Marketing'!$A$14*ARL43,0)),0)</f>
        <v/>
      </c>
      <c r="ARQ43" s="12">
        <f>IF(ARP43&gt;0,ROUND(ARP43*ReferralMix/(1-ReferralMix),0),0)</f>
        <v/>
      </c>
      <c r="ARR43" s="12">
        <f>ARP43+ARQ43</f>
        <v/>
      </c>
      <c r="ARS43" s="12">
        <f>ROUND(ARR43*(1-AnnualMix),0)</f>
        <v/>
      </c>
      <c r="ART43" s="12">
        <f>ARR43-ARS43</f>
        <v/>
      </c>
      <c r="ARU43" s="12">
        <f>ROUND(ARS43*EssentialMix,0)</f>
        <v/>
      </c>
      <c r="ARV43" s="12">
        <f>ROUND(ARS43*PremiumMix,0)</f>
        <v/>
      </c>
      <c r="ARW43" s="12">
        <f>ARS43-ARU43-ARV43</f>
        <v/>
      </c>
      <c r="ARX43" s="12">
        <f>ROUND(ART43*EssentialMix,0)</f>
        <v/>
      </c>
      <c r="ARY43" s="12">
        <f>ROUND(ART43*PremiumMix,0)</f>
        <v/>
      </c>
      <c r="ARZ43" s="12">
        <f>ART43-ARX43-ARY43</f>
        <v/>
      </c>
      <c r="ASA43" s="12">
        <f>ARU43+ARU42+ARU41+MAX(0,ASA42-ARU42-ARU41)*(1-ARN43)</f>
        <v/>
      </c>
      <c r="ASB43" s="12">
        <f>ARV43+ARV42+ARV41+MAX(0,ASB42-ARV42-ARV41)*(1-ARN43)</f>
        <v/>
      </c>
      <c r="ASC43" s="12">
        <f>ARW43+ARW42+ARW41+MAX(0,ASC42-ARW42-ARW41)*(1-ARN43)</f>
        <v/>
      </c>
      <c r="ASD43" s="12">
        <f>ASD42+ARX43-ARX31*(AnnualChurn*VLOOKUP(ARJ43,ChurnSeasonTable,4,FALSE))*POWER(1-(AnnualChurn*VLOOKUP(ARJ43,ChurnSeasonTable,4,FALSE)),0)+ARX19*(AnnualChurn*VLOOKUP(ARJ43,ChurnSeasonTable,4,FALSE))*POWER(1-(AnnualChurn*VLOOKUP(ARJ43,ChurnSeasonTable,4,FALSE)),1)+ARX7*(AnnualChurn*VLOOKUP(ARJ43,ChurnSeasonTable,4,FALSE))*POWER(1-(AnnualChurn*VLOOKUP(ARJ43,ChurnSeasonTable,4,FALSE)),2)</f>
        <v/>
      </c>
      <c r="ASE43" s="12">
        <f>ASE42+ARY43-ARY31*(AnnualChurn*VLOOKUP(ARJ43,ChurnSeasonTable,4,FALSE))*POWER(1-(AnnualChurn*VLOOKUP(ARJ43,ChurnSeasonTable,4,FALSE)),0)+ARY19*(AnnualChurn*VLOOKUP(ARJ43,ChurnSeasonTable,4,FALSE))*POWER(1-(AnnualChurn*VLOOKUP(ARJ43,ChurnSeasonTable,4,FALSE)),1)+ARY7*(AnnualChurn*VLOOKUP(ARJ43,ChurnSeasonTable,4,FALSE))*POWER(1-(AnnualChurn*VLOOKUP(ARJ43,ChurnSeasonTable,4,FALSE)),2)</f>
        <v/>
      </c>
      <c r="ASF43" s="12">
        <f>ASF42+ARZ43-ARZ31*(AnnualChurn*VLOOKUP(ARJ43,ChurnSeasonTable,4,FALSE))*POWER(1-(AnnualChurn*VLOOKUP(ARJ43,ChurnSeasonTable,4,FALSE)),0)+ARZ19*(AnnualChurn*VLOOKUP(ARJ43,ChurnSeasonTable,4,FALSE))*POWER(1-(AnnualChurn*VLOOKUP(ARJ43,ChurnSeasonTable,4,FALSE)),1)+ARZ7*(AnnualChurn*VLOOKUP(ARJ43,ChurnSeasonTable,4,FALSE))*POWER(1-(AnnualChurn*VLOOKUP(ARJ43,ChurnSeasonTable,4,FALSE)),2)</f>
        <v/>
      </c>
      <c r="ASG43" s="12">
        <f>ASA43+ASB43+ASC43+ASD43+ASE43+ASF43</f>
        <v/>
      </c>
      <c r="ASH43" s="9">
        <f>ASA43*BlendedPriceEssMonthly*ARM43+ASB43*BlendedPricePremMonthly*ARM43+ASC43*BlendedPriceEliteMonthly*ARM43+ASD43*BlendedPriceEssAnnual*ARM43/12+ASE43*BlendedPricePremAnnual*ARM43/12+ASF43*BlendedPriceEliteAnnual*ARM43/12</f>
        <v/>
      </c>
      <c r="ASI43" s="9">
        <f>ASH43*12</f>
        <v/>
      </c>
      <c r="ASJ43" s="12">
        <f>ASA43*BlendedPriceEssMonthly*ARM43+ASB43*BlendedPricePremMonthly*ARM43+ASC43*BlendedPriceEliteMonthly*ARM43</f>
        <v/>
      </c>
      <c r="ASK43" s="12">
        <f>ARX43*BlendedPriceEssAnnual*ARM43+ARY43*BlendedPricePremAnnual*ARM43+ARZ43*BlendedPriceEliteAnnual*ARM43</f>
        <v/>
      </c>
      <c r="ASL43" s="12">
        <f>ARX31*POWER(1-(AnnualChurn*VLOOKUP(ARJ43,ChurnSeasonTable,4,FALSE)),1)*BlendedPriceEssAnnual*ARM43+ARX19*POWER(1-(AnnualChurn*VLOOKUP(ARJ43,ChurnSeasonTable,4,FALSE)),2)*BlendedPriceEssAnnual*ARM43+ARX7*POWER(1-(AnnualChurn*VLOOKUP(ARJ43,ChurnSeasonTable,4,FALSE)),3)*BlendedPriceEssAnnual*ARM43+ARY31*POWER(1-(AnnualChurn*VLOOKUP(ARJ43,ChurnSeasonTable,4,FALSE)),1)*BlendedPricePremAnnual*ARM43+ARY19*POWER(1-(AnnualChurn*VLOOKUP(ARJ43,ChurnSeasonTable,4,FALSE)),2)*BlendedPricePremAnnual*ARM43+ARY7*POWER(1-(AnnualChurn*VLOOKUP(ARJ43,ChurnSeasonTable,4,FALSE)),3)*BlendedPricePremAnnual*ARM43+ARZ31*POWER(1-(AnnualChurn*VLOOKUP(ARJ43,ChurnSeasonTable,4,FALSE)),1)*BlendedPriceEliteAnnual*ARM43+ARZ19*POWER(1-(AnnualChurn*VLOOKUP(ARJ43,ChurnSeasonTable,4,FALSE)),2)*BlendedPriceEliteAnnual*ARM43+ARZ7*POWER(1-(AnnualChurn*VLOOKUP(ARJ43,ChurnSeasonTable,4,FALSE)),3)*BlendedPriceEliteAnnual*ARM43</f>
        <v/>
      </c>
      <c r="ASM43" s="9">
        <f>ASJ43+ASK43+ASL43</f>
        <v/>
      </c>
      <c r="ASN43" s="12">
        <f>SUM(ASM32:ASM43)</f>
        <v/>
      </c>
      <c r="ASO43" s="12">
        <f>OR(ASO42,IF(VATAgentMode,SUM($ASM32:$ASM43)-SUM($AST32:$AST43)&gt;=VATThreshold,SUM($ASM32:$ASM43)&gt;=VATThreshold))</f>
        <v/>
      </c>
      <c r="ASP43" s="9">
        <f>IF(ASO43,IF(VATAgentMode,ASM43-((ASM43-AST43)-(ASM43-AST43)/(1+VATRate)),ASM43/(1+VATRate)),ASM43)</f>
        <v/>
      </c>
      <c r="ASQ43" s="12">
        <f>ASM43-ASP43</f>
        <v/>
      </c>
      <c r="ASR43" s="12">
        <f>IF(ASO43=0,0,IF(ARJ43=1,SUMPRODUCT(--(($ARK$5:$ARK43=$ARK43-1)*($ARJ$5:$ARJ43&gt;=10)*($ARJ$5:$ARJ43&lt;=12)),$ASQ$5:$ASQ43),IF(ARJ43=4,SUMPRODUCT(--(($ARK$5:$ARK43=$ARK43)*($ARJ$5:$ARJ43&gt;=1)*($ARJ$5:$ARJ43&lt;=3)),$ASQ$5:$ASQ43),IF(ARJ43=7,SUMPRODUCT(--(($ARK$5:$ARK43=$ARK43)*($ARJ$5:$ARJ43&gt;=4)*($ARJ$5:$ARJ43&lt;=6)),$ASQ$5:$ASQ43),IF(ARJ43=10,SUMPRODUCT(--(($ARK$5:$ARK43=$ARK43)*($ARJ$5:$ARJ43&gt;=7)*($ARJ$5:$ARJ43&lt;=9)),$ASQ$5:$ASQ43),0)))))</f>
        <v/>
      </c>
      <c r="ASS43" s="12">
        <f>ASS42+ASQ43-ASR43</f>
        <v/>
      </c>
      <c r="AST43" s="12">
        <f>IF(ProviderDelay&gt;=1,ASA42*BlendedProvPayEss+ASB42*BlendedProvPayPrem+ASC42*BlendedProvPayElite+ASD42*BlendedProvPayEss+ASE42*BlendedProvPayPrem+ASF42*BlendedProvPayElite,ASA43*BlendedProvPayEss+ASB43*BlendedProvPayPrem+ASC43*BlendedProvPayElite+ASD43*BlendedProvPayEss+ASE43*BlendedProvPayPrem+ASF43*BlendedProvPayElite)</f>
        <v/>
      </c>
      <c r="ASU43" s="12">
        <f>ASM43*PaymentFee</f>
        <v/>
      </c>
      <c r="ASV43" s="12">
        <f>ASG43*OpsAI</f>
        <v/>
      </c>
      <c r="ASW43" s="12">
        <f>MonthlyFixed</f>
        <v/>
      </c>
      <c r="ASX43" s="12">
        <f>ARQ43*ReferralReward</f>
        <v/>
      </c>
      <c r="ASY43" s="12">
        <f>ARO43</f>
        <v/>
      </c>
      <c r="ASZ43" s="9">
        <f>ASP43-AST43-ASU43-ASV43-ASW43-ASX43-ASY43</f>
        <v/>
      </c>
      <c r="ATA43" s="9">
        <f>ATA42+ASM43-(AST43+ASU43+ASV43+ASW43+ASX43+ASY43+ASR43)</f>
        <v/>
      </c>
      <c r="ATB43" s="12">
        <f>IF(ASG43&gt;0,ASH43/ASG43,0)</f>
        <v/>
      </c>
      <c r="ATC43" s="11">
        <f>IF(ASG42&gt;0,MAX(0,(ASG42+ARR43-ASG43)/ASG42),0)</f>
        <v/>
      </c>
      <c r="ATE43" s="12" t="n">
        <v>39</v>
      </c>
      <c r="ATF43" s="12">
        <f>MOD(ATE43-1+LaunchMonth-1,12)+1</f>
        <v/>
      </c>
      <c r="ATG43" s="12">
        <f>INT((ATE43-1+LaunchMonth-1)/12)+1</f>
        <v/>
      </c>
      <c r="ATH43" s="12">
        <f>VLOOKUP(ATF43,SeasonTable,2,FALSE)</f>
        <v/>
      </c>
      <c r="ATI43" s="12">
        <f>(1+InflationRate)^INT((ATE43-1)/12)</f>
        <v/>
      </c>
      <c r="ATJ43" s="11">
        <f>MonthlyChurn*VLOOKUP(ATF43,ChurnSeasonTable,4,FALSE)</f>
        <v/>
      </c>
      <c r="ATK43" s="12">
        <f>MIN(MAX(MktMin19plus,AUI42*MktPct19plus),MAX(0,AUW42-CashBuffer))</f>
        <v/>
      </c>
      <c r="ATL43" s="12">
        <f>IF(ATK43&gt;0,MAX(1,ROUND(ATK43/'Sens - CAC &amp; Marketing'!$A$15*ATH43,0)),0)</f>
        <v/>
      </c>
      <c r="ATM43" s="12">
        <f>IF(ATL43&gt;0,ROUND(ATL43*ReferralMix/(1-ReferralMix),0),0)</f>
        <v/>
      </c>
      <c r="ATN43" s="12">
        <f>ATL43+ATM43</f>
        <v/>
      </c>
      <c r="ATO43" s="12">
        <f>ROUND(ATN43*(1-AnnualMix),0)</f>
        <v/>
      </c>
      <c r="ATP43" s="12">
        <f>ATN43-ATO43</f>
        <v/>
      </c>
      <c r="ATQ43" s="12">
        <f>ROUND(ATO43*EssentialMix,0)</f>
        <v/>
      </c>
      <c r="ATR43" s="12">
        <f>ROUND(ATO43*PremiumMix,0)</f>
        <v/>
      </c>
      <c r="ATS43" s="12">
        <f>ATO43-ATQ43-ATR43</f>
        <v/>
      </c>
      <c r="ATT43" s="12">
        <f>ROUND(ATP43*EssentialMix,0)</f>
        <v/>
      </c>
      <c r="ATU43" s="12">
        <f>ROUND(ATP43*PremiumMix,0)</f>
        <v/>
      </c>
      <c r="ATV43" s="12">
        <f>ATP43-ATT43-ATU43</f>
        <v/>
      </c>
      <c r="ATW43" s="12">
        <f>ATQ43+ATQ42+ATQ41+MAX(0,ATW42-ATQ42-ATQ41)*(1-ATJ43)</f>
        <v/>
      </c>
      <c r="ATX43" s="12">
        <f>ATR43+ATR42+ATR41+MAX(0,ATX42-ATR42-ATR41)*(1-ATJ43)</f>
        <v/>
      </c>
      <c r="ATY43" s="12">
        <f>ATS43+ATS42+ATS41+MAX(0,ATY42-ATS42-ATS41)*(1-ATJ43)</f>
        <v/>
      </c>
      <c r="ATZ43" s="12">
        <f>ATZ42+ATT43-ATT31*(AnnualChurn*VLOOKUP(ATF43,ChurnSeasonTable,4,FALSE))*POWER(1-(AnnualChurn*VLOOKUP(ATF43,ChurnSeasonTable,4,FALSE)),0)+ATT19*(AnnualChurn*VLOOKUP(ATF43,ChurnSeasonTable,4,FALSE))*POWER(1-(AnnualChurn*VLOOKUP(ATF43,ChurnSeasonTable,4,FALSE)),1)+ATT7*(AnnualChurn*VLOOKUP(ATF43,ChurnSeasonTable,4,FALSE))*POWER(1-(AnnualChurn*VLOOKUP(ATF43,ChurnSeasonTable,4,FALSE)),2)</f>
        <v/>
      </c>
      <c r="AUA43" s="12">
        <f>AUA42+ATU43-ATU31*(AnnualChurn*VLOOKUP(ATF43,ChurnSeasonTable,4,FALSE))*POWER(1-(AnnualChurn*VLOOKUP(ATF43,ChurnSeasonTable,4,FALSE)),0)+ATU19*(AnnualChurn*VLOOKUP(ATF43,ChurnSeasonTable,4,FALSE))*POWER(1-(AnnualChurn*VLOOKUP(ATF43,ChurnSeasonTable,4,FALSE)),1)+ATU7*(AnnualChurn*VLOOKUP(ATF43,ChurnSeasonTable,4,FALSE))*POWER(1-(AnnualChurn*VLOOKUP(ATF43,ChurnSeasonTable,4,FALSE)),2)</f>
        <v/>
      </c>
      <c r="AUB43" s="12">
        <f>AUB42+ATV43-ATV31*(AnnualChurn*VLOOKUP(ATF43,ChurnSeasonTable,4,FALSE))*POWER(1-(AnnualChurn*VLOOKUP(ATF43,ChurnSeasonTable,4,FALSE)),0)+ATV19*(AnnualChurn*VLOOKUP(ATF43,ChurnSeasonTable,4,FALSE))*POWER(1-(AnnualChurn*VLOOKUP(ATF43,ChurnSeasonTable,4,FALSE)),1)+ATV7*(AnnualChurn*VLOOKUP(ATF43,ChurnSeasonTable,4,FALSE))*POWER(1-(AnnualChurn*VLOOKUP(ATF43,ChurnSeasonTable,4,FALSE)),2)</f>
        <v/>
      </c>
      <c r="AUC43" s="12">
        <f>ATW43+ATX43+ATY43+ATZ43+AUA43+AUB43</f>
        <v/>
      </c>
      <c r="AUD43" s="9">
        <f>ATW43*BlendedPriceEssMonthly*ATI43+ATX43*BlendedPricePremMonthly*ATI43+ATY43*BlendedPriceEliteMonthly*ATI43+ATZ43*BlendedPriceEssAnnual*ATI43/12+AUA43*BlendedPricePremAnnual*ATI43/12+AUB43*BlendedPriceEliteAnnual*ATI43/12</f>
        <v/>
      </c>
      <c r="AUE43" s="9">
        <f>AUD43*12</f>
        <v/>
      </c>
      <c r="AUF43" s="12">
        <f>ATW43*BlendedPriceEssMonthly*ATI43+ATX43*BlendedPricePremMonthly*ATI43+ATY43*BlendedPriceEliteMonthly*ATI43</f>
        <v/>
      </c>
      <c r="AUG43" s="12">
        <f>ATT43*BlendedPriceEssAnnual*ATI43+ATU43*BlendedPricePremAnnual*ATI43+ATV43*BlendedPriceEliteAnnual*ATI43</f>
        <v/>
      </c>
      <c r="AUH43" s="12">
        <f>ATT31*POWER(1-(AnnualChurn*VLOOKUP(ATF43,ChurnSeasonTable,4,FALSE)),1)*BlendedPriceEssAnnual*ATI43+ATT19*POWER(1-(AnnualChurn*VLOOKUP(ATF43,ChurnSeasonTable,4,FALSE)),2)*BlendedPriceEssAnnual*ATI43+ATT7*POWER(1-(AnnualChurn*VLOOKUP(ATF43,ChurnSeasonTable,4,FALSE)),3)*BlendedPriceEssAnnual*ATI43+ATU31*POWER(1-(AnnualChurn*VLOOKUP(ATF43,ChurnSeasonTable,4,FALSE)),1)*BlendedPricePremAnnual*ATI43+ATU19*POWER(1-(AnnualChurn*VLOOKUP(ATF43,ChurnSeasonTable,4,FALSE)),2)*BlendedPricePremAnnual*ATI43+ATU7*POWER(1-(AnnualChurn*VLOOKUP(ATF43,ChurnSeasonTable,4,FALSE)),3)*BlendedPricePremAnnual*ATI43+ATV31*POWER(1-(AnnualChurn*VLOOKUP(ATF43,ChurnSeasonTable,4,FALSE)),1)*BlendedPriceEliteAnnual*ATI43+ATV19*POWER(1-(AnnualChurn*VLOOKUP(ATF43,ChurnSeasonTable,4,FALSE)),2)*BlendedPriceEliteAnnual*ATI43+ATV7*POWER(1-(AnnualChurn*VLOOKUP(ATF43,ChurnSeasonTable,4,FALSE)),3)*BlendedPriceEliteAnnual*ATI43</f>
        <v/>
      </c>
      <c r="AUI43" s="9">
        <f>AUF43+AUG43+AUH43</f>
        <v/>
      </c>
      <c r="AUJ43" s="12">
        <f>SUM(AUI32:AUI43)</f>
        <v/>
      </c>
      <c r="AUK43" s="12">
        <f>OR(AUK42,IF(VATAgentMode,SUM($AUI32:$AUI43)-SUM($AUP32:$AUP43)&gt;=VATThreshold,SUM($AUI32:$AUI43)&gt;=VATThreshold))</f>
        <v/>
      </c>
      <c r="AUL43" s="9">
        <f>IF(AUK43,IF(VATAgentMode,AUI43-((AUI43-AUP43)-(AUI43-AUP43)/(1+VATRate)),AUI43/(1+VATRate)),AUI43)</f>
        <v/>
      </c>
      <c r="AUM43" s="12">
        <f>AUI43-AUL43</f>
        <v/>
      </c>
      <c r="AUN43" s="12">
        <f>IF(AUK43=0,0,IF(ATF43=1,SUMPRODUCT(--(($ATG$5:$ATG43=$ATG43-1)*($ATF$5:$ATF43&gt;=10)*($ATF$5:$ATF43&lt;=12)),$AUM$5:$AUM43),IF(ATF43=4,SUMPRODUCT(--(($ATG$5:$ATG43=$ATG43)*($ATF$5:$ATF43&gt;=1)*($ATF$5:$ATF43&lt;=3)),$AUM$5:$AUM43),IF(ATF43=7,SUMPRODUCT(--(($ATG$5:$ATG43=$ATG43)*($ATF$5:$ATF43&gt;=4)*($ATF$5:$ATF43&lt;=6)),$AUM$5:$AUM43),IF(ATF43=10,SUMPRODUCT(--(($ATG$5:$ATG43=$ATG43)*($ATF$5:$ATF43&gt;=7)*($ATF$5:$ATF43&lt;=9)),$AUM$5:$AUM43),0)))))</f>
        <v/>
      </c>
      <c r="AUO43" s="12">
        <f>AUO42+AUM43-AUN43</f>
        <v/>
      </c>
      <c r="AUP43" s="12">
        <f>IF(ProviderDelay&gt;=1,ATW42*BlendedProvPayEss+ATX42*BlendedProvPayPrem+ATY42*BlendedProvPayElite+ATZ42*BlendedProvPayEss+AUA42*BlendedProvPayPrem+AUB42*BlendedProvPayElite,ATW43*BlendedProvPayEss+ATX43*BlendedProvPayPrem+ATY43*BlendedProvPayElite+ATZ43*BlendedProvPayEss+AUA43*BlendedProvPayPrem+AUB43*BlendedProvPayElite)</f>
        <v/>
      </c>
      <c r="AUQ43" s="12">
        <f>AUI43*PaymentFee</f>
        <v/>
      </c>
      <c r="AUR43" s="12">
        <f>AUC43*OpsAI</f>
        <v/>
      </c>
      <c r="AUS43" s="12">
        <f>MonthlyFixed</f>
        <v/>
      </c>
      <c r="AUT43" s="12">
        <f>ATM43*ReferralReward</f>
        <v/>
      </c>
      <c r="AUU43" s="12">
        <f>ATK43</f>
        <v/>
      </c>
      <c r="AUV43" s="9">
        <f>AUL43-AUP43-AUQ43-AUR43-AUS43-AUT43-AUU43</f>
        <v/>
      </c>
      <c r="AUW43" s="9">
        <f>AUW42+AUI43-(AUP43+AUQ43+AUR43+AUS43+AUT43+AUU43+AUN43)</f>
        <v/>
      </c>
      <c r="AUX43" s="12">
        <f>IF(AUC43&gt;0,AUD43/AUC43,0)</f>
        <v/>
      </c>
      <c r="AUY43" s="11">
        <f>IF(AUC42&gt;0,MAX(0,(AUC42+ATN43-AUC43)/AUC42),0)</f>
        <v/>
      </c>
      <c r="AVA43" s="12" t="n">
        <v>39</v>
      </c>
      <c r="AVB43" s="12">
        <f>MOD(AVA43-1+LaunchMonth-1,12)+1</f>
        <v/>
      </c>
      <c r="AVC43" s="12">
        <f>INT((AVA43-1+LaunchMonth-1)/12)+1</f>
        <v/>
      </c>
      <c r="AVD43" s="12">
        <f>VLOOKUP(AVB43,WinterPivotSeasonTable,5,FALSE)</f>
        <v/>
      </c>
      <c r="AVE43" s="12">
        <f>(1+InflationRate)^INT((AVA43-1)/12)</f>
        <v/>
      </c>
      <c r="AVF43" s="11">
        <f>MonthlyChurn*VLOOKUP(AVB43,WinterPivotChurnTable,6,FALSE)</f>
        <v/>
      </c>
      <c r="AVG43" s="12">
        <f>MIN(MAX(MktMin19plus,AWE42*MktPct19plus),MAX(0,AWS42-CashBuffer))</f>
        <v/>
      </c>
      <c r="AVH43" s="12">
        <f>IF(AVG43&gt;0,MAX(1,ROUND(AVG43/CAC*AVD43,0)),0)</f>
        <v/>
      </c>
      <c r="AVI43" s="12">
        <f>IF(AVH43&gt;0,ROUND(AVH43*ReferralMix/(1-ReferralMix),0),0)</f>
        <v/>
      </c>
      <c r="AVJ43" s="12">
        <f>AVH43+AVI43</f>
        <v/>
      </c>
      <c r="AVK43" s="12">
        <f>ROUND(AVJ43*(1-AnnualMix),0)</f>
        <v/>
      </c>
      <c r="AVL43" s="12">
        <f>AVJ43-AVK43</f>
        <v/>
      </c>
      <c r="AVM43" s="12">
        <f>ROUND(AVK43*'Sens - Winter Pivot'!$B$6,0)</f>
        <v/>
      </c>
      <c r="AVN43" s="12">
        <f>ROUND(AVK43*PremiumMix,0)</f>
        <v/>
      </c>
      <c r="AVO43" s="12">
        <f>AVK43-AVM43-AVN43</f>
        <v/>
      </c>
      <c r="AVP43" s="12">
        <f>ROUND(AVL43*'Sens - Winter Pivot'!$B$6,0)</f>
        <v/>
      </c>
      <c r="AVQ43" s="12">
        <f>ROUND(AVL43*PremiumMix,0)</f>
        <v/>
      </c>
      <c r="AVR43" s="12">
        <f>AVL43-AVP43-AVQ43</f>
        <v/>
      </c>
      <c r="AVS43" s="12">
        <f>AVM43+AVM42+AVM41+MAX(0,AVS42-AVM42-AVM41)*(1-AVF43)</f>
        <v/>
      </c>
      <c r="AVT43" s="12">
        <f>AVN43+AVN42+AVN41+MAX(0,AVT42-AVN42-AVN41)*(1-AVF43)</f>
        <v/>
      </c>
      <c r="AVU43" s="12">
        <f>AVO43+AVO42+AVO41+MAX(0,AVU42-AVO42-AVO41)*(1-AVF43)</f>
        <v/>
      </c>
      <c r="AVV43" s="12">
        <f>AVV42+AVP43-AVP31*(AnnualChurn*VLOOKUP(AVB43,ChurnSeasonTable,4,FALSE))*POWER(1-(AnnualChurn*VLOOKUP(AVB43,ChurnSeasonTable,4,FALSE)),0)+AVP19*(AnnualChurn*VLOOKUP(AVB43,ChurnSeasonTable,4,FALSE))*POWER(1-(AnnualChurn*VLOOKUP(AVB43,ChurnSeasonTable,4,FALSE)),1)+AVP7*(AnnualChurn*VLOOKUP(AVB43,ChurnSeasonTable,4,FALSE))*POWER(1-(AnnualChurn*VLOOKUP(AVB43,ChurnSeasonTable,4,FALSE)),2)</f>
        <v/>
      </c>
      <c r="AVW43" s="12">
        <f>AVW42+AVQ43-AVQ31*(AnnualChurn*VLOOKUP(AVB43,ChurnSeasonTable,4,FALSE))*POWER(1-(AnnualChurn*VLOOKUP(AVB43,ChurnSeasonTable,4,FALSE)),0)+AVQ19*(AnnualChurn*VLOOKUP(AVB43,ChurnSeasonTable,4,FALSE))*POWER(1-(AnnualChurn*VLOOKUP(AVB43,ChurnSeasonTable,4,FALSE)),1)+AVQ7*(AnnualChurn*VLOOKUP(AVB43,ChurnSeasonTable,4,FALSE))*POWER(1-(AnnualChurn*VLOOKUP(AVB43,ChurnSeasonTable,4,FALSE)),2)</f>
        <v/>
      </c>
      <c r="AVX43" s="12">
        <f>AVX42+AVR43-AVR31*(AnnualChurn*VLOOKUP(AVB43,ChurnSeasonTable,4,FALSE))*POWER(1-(AnnualChurn*VLOOKUP(AVB43,ChurnSeasonTable,4,FALSE)),0)+AVR19*(AnnualChurn*VLOOKUP(AVB43,ChurnSeasonTable,4,FALSE))*POWER(1-(AnnualChurn*VLOOKUP(AVB43,ChurnSeasonTable,4,FALSE)),1)+AVR7*(AnnualChurn*VLOOKUP(AVB43,ChurnSeasonTable,4,FALSE))*POWER(1-(AnnualChurn*VLOOKUP(AVB43,ChurnSeasonTable,4,FALSE)),2)</f>
        <v/>
      </c>
      <c r="AVY43" s="12">
        <f>AVS43+AVT43+AVU43+AVV43+AVW43+AVX43</f>
        <v/>
      </c>
      <c r="AVZ43" s="9">
        <f>AVS43*BlendedPriceEssMonthly*AVE43+AVT43*(BlendedPricePremMonthly+'Sens - Winter Pivot'!$B$7)*AVE43+AVU43*BlendedPriceEliteMonthly*AVE43+AVV43*BlendedPriceEssAnnual*AVE43/12+AVW43*(BlendedPricePremAnnual+'Sens - Winter Pivot'!$B$7*12)*AVE43/12+AVX43*BlendedPriceEliteAnnual*AVE43/12</f>
        <v/>
      </c>
      <c r="AWA43" s="9">
        <f>AVZ43*12</f>
        <v/>
      </c>
      <c r="AWB43" s="12">
        <f>AVS43*BlendedPriceEssMonthly*AVE43+AVT43*(BlendedPricePremMonthly+'Sens - Winter Pivot'!$B$7)*AVE43+AVU43*BlendedPriceEliteMonthly*AVE43</f>
        <v/>
      </c>
      <c r="AWC43" s="12">
        <f>AVP43*BlendedPriceEssAnnual*AVE43+AVQ43*(BlendedPricePremAnnual+'Sens - Winter Pivot'!$B$7*12)*AVE43+AVR43*BlendedPriceEliteAnnual*AVE43</f>
        <v/>
      </c>
      <c r="AWD43" s="12">
        <f>AVP31*POWER(1-(AnnualChurn*VLOOKUP(AVB43,ChurnSeasonTable,4,FALSE)),1)*BlendedPriceEssAnnual*AVE43+AVP19*POWER(1-(AnnualChurn*VLOOKUP(AVB43,ChurnSeasonTable,4,FALSE)),2)*BlendedPriceEssAnnual*AVE43+AVP7*POWER(1-(AnnualChurn*VLOOKUP(AVB43,ChurnSeasonTable,4,FALSE)),3)*BlendedPriceEssAnnual*AVE43+AVQ31*POWER(1-(AnnualChurn*VLOOKUP(AVB43,ChurnSeasonTable,4,FALSE)),1)*BlendedPricePremAnnual*AVE43+AVQ19*POWER(1-(AnnualChurn*VLOOKUP(AVB43,ChurnSeasonTable,4,FALSE)),2)*BlendedPricePremAnnual*AVE43+AVQ7*POWER(1-(AnnualChurn*VLOOKUP(AVB43,ChurnSeasonTable,4,FALSE)),3)*BlendedPricePremAnnual*AVE43+AVR31*POWER(1-(AnnualChurn*VLOOKUP(AVB43,ChurnSeasonTable,4,FALSE)),1)*BlendedPriceEliteAnnual*AVE43+AVR19*POWER(1-(AnnualChurn*VLOOKUP(AVB43,ChurnSeasonTable,4,FALSE)),2)*BlendedPriceEliteAnnual*AVE43+AVR7*POWER(1-(AnnualChurn*VLOOKUP(AVB43,ChurnSeasonTable,4,FALSE)),3)*BlendedPriceEliteAnnual*AVE43</f>
        <v/>
      </c>
      <c r="AWE43" s="9">
        <f>AWB43+AWC43+AWD43</f>
        <v/>
      </c>
      <c r="AWF43" s="12">
        <f>SUM(AWE32:AWE43)</f>
        <v/>
      </c>
      <c r="AWG43" s="12">
        <f>OR(AWG42,IF(VATAgentMode,SUM($AWE32:$AWE43)-SUM($AWL32:$AWL43)&gt;=VATThreshold,SUM($AWE32:$AWE43)&gt;=VATThreshold))</f>
        <v/>
      </c>
      <c r="AWH43" s="9">
        <f>IF(AWG43,IF(VATAgentMode,AWE43-((AWE43-AWL43)-(AWE43-AWL43)/(1+VATRate)),AWE43/(1+VATRate)),AWE43)</f>
        <v/>
      </c>
      <c r="AWI43" s="12">
        <f>AWE43-AWH43</f>
        <v/>
      </c>
      <c r="AWJ43" s="12">
        <f>IF(AWG43=0,0,IF(AVB43=1,SUMPRODUCT(--(($AVC$5:$AVC43=$AVC43-1)*($AVB$5:$AVB43&gt;=10)*($AVB$5:$AVB43&lt;=12)),$AWI$5:$AWI43),IF(AVB43=4,SUMPRODUCT(--(($AVC$5:$AVC43=$AVC43)*($AVB$5:$AVB43&gt;=1)*($AVB$5:$AVB43&lt;=3)),$AWI$5:$AWI43),IF(AVB43=7,SUMPRODUCT(--(($AVC$5:$AVC43=$AVC43)*($AVB$5:$AVB43&gt;=4)*($AVB$5:$AVB43&lt;=6)),$AWI$5:$AWI43),IF(AVB43=10,SUMPRODUCT(--(($AVC$5:$AVC43=$AVC43)*($AVB$5:$AVB43&gt;=7)*($AVB$5:$AVB43&lt;=9)),$AWI$5:$AWI43),0)))))</f>
        <v/>
      </c>
      <c r="AWK43" s="12">
        <f>AWK42+AWI43-AWJ43</f>
        <v/>
      </c>
      <c r="AWL43" s="12">
        <f>IF(ProviderDelay&gt;=1,AVS42*BlendedProvPayEss+AVT42*BlendedProvPayPrem+AVU42*BlendedProvPayElite+AVV42*BlendedProvPayEss+AVW42*BlendedProvPayPrem+AVX42*BlendedProvPayElite,AVS43*BlendedProvPayEss+AVT43*BlendedProvPayPrem+AVU43*BlendedProvPayElite+AVV43*BlendedProvPayEss+AVW43*BlendedProvPayPrem+AVX43*BlendedProvPayElite)</f>
        <v/>
      </c>
      <c r="AWM43" s="12">
        <f>AWE43*PaymentFee</f>
        <v/>
      </c>
      <c r="AWN43" s="12">
        <f>AVY43*OpsAI</f>
        <v/>
      </c>
      <c r="AWO43" s="12">
        <f>MonthlyFixed</f>
        <v/>
      </c>
      <c r="AWP43" s="12">
        <f>AVI43*ReferralReward</f>
        <v/>
      </c>
      <c r="AWQ43" s="12">
        <f>AVG43</f>
        <v/>
      </c>
      <c r="AWR43" s="9">
        <f>AWH43-AWL43-AWM43-AWN43-AWO43-AWP43-AWQ43</f>
        <v/>
      </c>
      <c r="AWS43" s="9">
        <f>AWS42+AWE43-(AWL43+AWM43+AWN43+AWO43+AWP43+AWQ43+AWJ43)</f>
        <v/>
      </c>
      <c r="AWT43" s="12">
        <f>IF(AVY43&gt;0,AVZ43/AVY43,0)</f>
        <v/>
      </c>
      <c r="AWU43" s="11">
        <f>IF(AVY42&gt;0,MAX(0,(AVY42+AVJ43-AVY43)/AVY42),0)</f>
        <v/>
      </c>
    </row>
    <row r="44">
      <c r="A44" s="12" t="n">
        <v>40</v>
      </c>
      <c r="B44" s="12">
        <f>MOD(A44-1+LaunchMonth-1,12)+1</f>
        <v/>
      </c>
      <c r="C44" s="12">
        <f>INT((A44-1+LaunchMonth-1)/12)+1</f>
        <v/>
      </c>
      <c r="D44" s="12">
        <f>VLOOKUP(B44,SeasonTable,2,FALSE)</f>
        <v/>
      </c>
      <c r="E44" s="12">
        <f>(1+InflationRate)^INT((A44-1)/12)</f>
        <v/>
      </c>
      <c r="F44" s="11">
        <f>'Sens - Scenarios'!$B$5*VLOOKUP(B44,ChurnSeasonTable,4,FALSE)</f>
        <v/>
      </c>
      <c r="G44" s="12">
        <f>MIN(MAX(MktMin19plus,AE43*MktPct19plus),MAX(0,AS43-CashBuffer))</f>
        <v/>
      </c>
      <c r="H44" s="12">
        <f>IF(G44&gt;0,MAX(1,ROUND(G44/'Sens - Scenarios'!$B$8*D44,0)),0)</f>
        <v/>
      </c>
      <c r="I44" s="12">
        <f>IF(H44&gt;0,ROUND(H44*ReferralMix/(1-ReferralMix),0),0)</f>
        <v/>
      </c>
      <c r="J44" s="12">
        <f>H44+I44</f>
        <v/>
      </c>
      <c r="K44" s="12">
        <f>ROUND(J44*(1-'Sens - Scenarios'!$B$7),0)</f>
        <v/>
      </c>
      <c r="L44" s="12">
        <f>J44-K44</f>
        <v/>
      </c>
      <c r="M44" s="12">
        <f>ROUND(K44*EssentialMix,0)</f>
        <v/>
      </c>
      <c r="N44" s="12">
        <f>ROUND(K44*PremiumMix,0)</f>
        <v/>
      </c>
      <c r="O44" s="12">
        <f>K44-M44-N44</f>
        <v/>
      </c>
      <c r="P44" s="12">
        <f>ROUND(L44*EssentialMix,0)</f>
        <v/>
      </c>
      <c r="Q44" s="12">
        <f>ROUND(L44*PremiumMix,0)</f>
        <v/>
      </c>
      <c r="R44" s="12">
        <f>L44-P44-Q44</f>
        <v/>
      </c>
      <c r="S44" s="12">
        <f>M44+M43+M42+MAX(0,S43-M43-M42)*(1-F44)</f>
        <v/>
      </c>
      <c r="T44" s="12">
        <f>N44+N43+N42+MAX(0,T43-N43-N42)*(1-F44)</f>
        <v/>
      </c>
      <c r="U44" s="12">
        <f>O44+O43+O42+MAX(0,U43-O43-O42)*(1-F44)</f>
        <v/>
      </c>
      <c r="V44" s="12">
        <f>V43+P44-P32*('Sens - Scenarios'!$B$6*VLOOKUP(B44,ChurnSeasonTable,4,FALSE))*POWER(1-('Sens - Scenarios'!$B$6*VLOOKUP(B44,ChurnSeasonTable,4,FALSE)),0)+P20*('Sens - Scenarios'!$B$6*VLOOKUP(B44,ChurnSeasonTable,4,FALSE))*POWER(1-('Sens - Scenarios'!$B$6*VLOOKUP(B44,ChurnSeasonTable,4,FALSE)),1)+P8*('Sens - Scenarios'!$B$6*VLOOKUP(B44,ChurnSeasonTable,4,FALSE))*POWER(1-('Sens - Scenarios'!$B$6*VLOOKUP(B44,ChurnSeasonTable,4,FALSE)),2)</f>
        <v/>
      </c>
      <c r="W44" s="12">
        <f>W43+Q44-Q32*('Sens - Scenarios'!$B$6*VLOOKUP(B44,ChurnSeasonTable,4,FALSE))*POWER(1-('Sens - Scenarios'!$B$6*VLOOKUP(B44,ChurnSeasonTable,4,FALSE)),0)+Q20*('Sens - Scenarios'!$B$6*VLOOKUP(B44,ChurnSeasonTable,4,FALSE))*POWER(1-('Sens - Scenarios'!$B$6*VLOOKUP(B44,ChurnSeasonTable,4,FALSE)),1)+Q8*('Sens - Scenarios'!$B$6*VLOOKUP(B44,ChurnSeasonTable,4,FALSE))*POWER(1-('Sens - Scenarios'!$B$6*VLOOKUP(B44,ChurnSeasonTable,4,FALSE)),2)</f>
        <v/>
      </c>
      <c r="X44" s="12">
        <f>X43+R44-R32*('Sens - Scenarios'!$B$6*VLOOKUP(B44,ChurnSeasonTable,4,FALSE))*POWER(1-('Sens - Scenarios'!$B$6*VLOOKUP(B44,ChurnSeasonTable,4,FALSE)),0)+R20*('Sens - Scenarios'!$B$6*VLOOKUP(B44,ChurnSeasonTable,4,FALSE))*POWER(1-('Sens - Scenarios'!$B$6*VLOOKUP(B44,ChurnSeasonTable,4,FALSE)),1)+R8*('Sens - Scenarios'!$B$6*VLOOKUP(B44,ChurnSeasonTable,4,FALSE))*POWER(1-('Sens - Scenarios'!$B$6*VLOOKUP(B44,ChurnSeasonTable,4,FALSE)),2)</f>
        <v/>
      </c>
      <c r="Y44" s="12">
        <f>S44+T44+U44+V44+W44+X44</f>
        <v/>
      </c>
      <c r="Z44" s="9">
        <f>S44*BlendedPriceEssMonthly*E44+T44*BlendedPricePremMonthly*E44+U44*BlendedPriceEliteMonthly*E44+V44*BlendedPriceEssAnnual*E44/12+W44*BlendedPricePremAnnual*E44/12+X44*BlendedPriceEliteAnnual*E44/12</f>
        <v/>
      </c>
      <c r="AA44" s="9">
        <f>Z44*12</f>
        <v/>
      </c>
      <c r="AB44" s="12">
        <f>S44*BlendedPriceEssMonthly*E44+T44*BlendedPricePremMonthly*E44+U44*BlendedPriceEliteMonthly*E44</f>
        <v/>
      </c>
      <c r="AC44" s="12">
        <f>P44*BlendedPriceEssAnnual*E44+Q44*BlendedPricePremAnnual*E44+R44*BlendedPriceEliteAnnual*E44</f>
        <v/>
      </c>
      <c r="AD44" s="12">
        <f>P32*POWER(1-('Sens - Scenarios'!$B$6*VLOOKUP(B44,ChurnSeasonTable,4,FALSE)),1)*BlendedPriceEssAnnual*E44+P20*POWER(1-('Sens - Scenarios'!$B$6*VLOOKUP(B44,ChurnSeasonTable,4,FALSE)),2)*BlendedPriceEssAnnual*E44+P8*POWER(1-('Sens - Scenarios'!$B$6*VLOOKUP(B44,ChurnSeasonTable,4,FALSE)),3)*BlendedPriceEssAnnual*E44+Q32*POWER(1-('Sens - Scenarios'!$B$6*VLOOKUP(B44,ChurnSeasonTable,4,FALSE)),1)*BlendedPricePremAnnual*E44+Q20*POWER(1-('Sens - Scenarios'!$B$6*VLOOKUP(B44,ChurnSeasonTable,4,FALSE)),2)*BlendedPricePremAnnual*E44+Q8*POWER(1-('Sens - Scenarios'!$B$6*VLOOKUP(B44,ChurnSeasonTable,4,FALSE)),3)*BlendedPricePremAnnual*E44+R32*POWER(1-('Sens - Scenarios'!$B$6*VLOOKUP(B44,ChurnSeasonTable,4,FALSE)),1)*BlendedPriceEliteAnnual*E44+R20*POWER(1-('Sens - Scenarios'!$B$6*VLOOKUP(B44,ChurnSeasonTable,4,FALSE)),2)*BlendedPriceEliteAnnual*E44+R8*POWER(1-('Sens - Scenarios'!$B$6*VLOOKUP(B44,ChurnSeasonTable,4,FALSE)),3)*BlendedPriceEliteAnnual*E44</f>
        <v/>
      </c>
      <c r="AE44" s="9">
        <f>AB44+AC44+AD44</f>
        <v/>
      </c>
      <c r="AF44" s="12">
        <f>SUM(AE33:AE44)</f>
        <v/>
      </c>
      <c r="AG44" s="12">
        <f>OR(AG43,IF(VATAgentMode,SUM($AE33:$AE44)-SUM($AL33:$AL44)&gt;=VATThreshold,SUM($AE33:$AE44)&gt;=VATThreshold))</f>
        <v/>
      </c>
      <c r="AH44" s="9">
        <f>IF(AG44,IF(VATAgentMode,AE44-((AE44-AL44)-(AE44-AL44)/(1+VATRate)),AE44/(1+VATRate)),AE44)</f>
        <v/>
      </c>
      <c r="AI44" s="12">
        <f>AE44-AH44</f>
        <v/>
      </c>
      <c r="AJ44" s="12">
        <f>IF(AG44=0,0,IF(B44=1,SUMPRODUCT(--(($C$5:$C44=$C44-1)*($B$5:$B44&gt;=10)*($B$5:$B44&lt;=12)),$AI$5:$AI44),IF(B44=4,SUMPRODUCT(--(($C$5:$C44=$C44)*($B$5:$B44&gt;=1)*($B$5:$B44&lt;=3)),$AI$5:$AI44),IF(B44=7,SUMPRODUCT(--(($C$5:$C44=$C44)*($B$5:$B44&gt;=4)*($B$5:$B44&lt;=6)),$AI$5:$AI44),IF(B44=10,SUMPRODUCT(--(($C$5:$C44=$C44)*($B$5:$B44&gt;=7)*($B$5:$B44&lt;=9)),$AI$5:$AI44),0)))))</f>
        <v/>
      </c>
      <c r="AK44" s="12">
        <f>AK43+AI44-AJ44</f>
        <v/>
      </c>
      <c r="AL44" s="12">
        <f>IF(ProviderDelay&gt;=1,S43*BlendedProvPayEss+T43*BlendedProvPayPrem+U43*BlendedProvPayElite+V43*BlendedProvPayEss+W43*BlendedProvPayPrem+X43*BlendedProvPayElite,S44*BlendedProvPayEss+T44*BlendedProvPayPrem+U44*BlendedProvPayElite+V44*BlendedProvPayEss+W44*BlendedProvPayPrem+X44*BlendedProvPayElite)</f>
        <v/>
      </c>
      <c r="AM44" s="12">
        <f>AE44*PaymentFee</f>
        <v/>
      </c>
      <c r="AN44" s="12">
        <f>Y44*OpsAI</f>
        <v/>
      </c>
      <c r="AO44" s="12">
        <f>MonthlyFixed</f>
        <v/>
      </c>
      <c r="AP44" s="12">
        <f>I44*ReferralReward</f>
        <v/>
      </c>
      <c r="AQ44" s="12">
        <f>G44</f>
        <v/>
      </c>
      <c r="AR44" s="9">
        <f>AH44-AL44-AM44-AN44-AO44-AP44-AQ44</f>
        <v/>
      </c>
      <c r="AS44" s="9">
        <f>AS43+AE44-(AL44+AM44+AN44+AO44+AP44+AQ44+AJ44)</f>
        <v/>
      </c>
      <c r="AT44" s="12">
        <f>IF(Y44&gt;0,Z44/Y44,0)</f>
        <v/>
      </c>
      <c r="AU44" s="11">
        <f>IF(Y43&gt;0,MAX(0,(Y43+J44-Y44)/Y43),0)</f>
        <v/>
      </c>
      <c r="AW44" s="12" t="n">
        <v>40</v>
      </c>
      <c r="AX44" s="12">
        <f>MOD(AW44-1+LaunchMonth-1,12)+1</f>
        <v/>
      </c>
      <c r="AY44" s="12">
        <f>INT((AW44-1+LaunchMonth-1)/12)+1</f>
        <v/>
      </c>
      <c r="AZ44" s="12">
        <f>VLOOKUP(AX44,SeasonTable,2,FALSE)</f>
        <v/>
      </c>
      <c r="BA44" s="12">
        <f>(1+InflationRate)^INT((AW44-1)/12)</f>
        <v/>
      </c>
      <c r="BB44" s="11">
        <f>MonthlyChurn*VLOOKUP(AX44,ChurnSeasonTable,4,FALSE)</f>
        <v/>
      </c>
      <c r="BC44" s="12">
        <f>MIN(MAX(MktMin19plus,CA43*MktPct19plus),MAX(0,CO43-CashBuffer))</f>
        <v/>
      </c>
      <c r="BD44" s="12">
        <f>IF(BC44&gt;0,MAX(1,ROUND(BC44/CAC*AZ44,0)),0)</f>
        <v/>
      </c>
      <c r="BE44" s="12">
        <f>IF(BD44&gt;0,ROUND(BD44*ReferralMix/(1-ReferralMix),0),0)</f>
        <v/>
      </c>
      <c r="BF44" s="12">
        <f>BD44+BE44</f>
        <v/>
      </c>
      <c r="BG44" s="12">
        <f>ROUND(BF44*(1-AnnualMix),0)</f>
        <v/>
      </c>
      <c r="BH44" s="12">
        <f>BF44-BG44</f>
        <v/>
      </c>
      <c r="BI44" s="12">
        <f>ROUND(BG44*EssentialMix,0)</f>
        <v/>
      </c>
      <c r="BJ44" s="12">
        <f>ROUND(BG44*PremiumMix,0)</f>
        <v/>
      </c>
      <c r="BK44" s="12">
        <f>BG44-BI44-BJ44</f>
        <v/>
      </c>
      <c r="BL44" s="12">
        <f>ROUND(BH44*EssentialMix,0)</f>
        <v/>
      </c>
      <c r="BM44" s="12">
        <f>ROUND(BH44*PremiumMix,0)</f>
        <v/>
      </c>
      <c r="BN44" s="12">
        <f>BH44-BL44-BM44</f>
        <v/>
      </c>
      <c r="BO44" s="12">
        <f>BI44+BI43+BI42+MAX(0,BO43-BI43-BI42)*(1-BB44)</f>
        <v/>
      </c>
      <c r="BP44" s="12">
        <f>BJ44+BJ43+BJ42+MAX(0,BP43-BJ43-BJ42)*(1-BB44)</f>
        <v/>
      </c>
      <c r="BQ44" s="12">
        <f>BK44+BK43+BK42+MAX(0,BQ43-BK43-BK42)*(1-BB44)</f>
        <v/>
      </c>
      <c r="BR44" s="12">
        <f>BR43+BL44-BL32*(AnnualChurn*VLOOKUP(AX44,ChurnSeasonTable,4,FALSE))*POWER(1-(AnnualChurn*VLOOKUP(AX44,ChurnSeasonTable,4,FALSE)),0)+BL20*(AnnualChurn*VLOOKUP(AX44,ChurnSeasonTable,4,FALSE))*POWER(1-(AnnualChurn*VLOOKUP(AX44,ChurnSeasonTable,4,FALSE)),1)+BL8*(AnnualChurn*VLOOKUP(AX44,ChurnSeasonTable,4,FALSE))*POWER(1-(AnnualChurn*VLOOKUP(AX44,ChurnSeasonTable,4,FALSE)),2)</f>
        <v/>
      </c>
      <c r="BS44" s="12">
        <f>BS43+BM44-BM32*(AnnualChurn*VLOOKUP(AX44,ChurnSeasonTable,4,FALSE))*POWER(1-(AnnualChurn*VLOOKUP(AX44,ChurnSeasonTable,4,FALSE)),0)+BM20*(AnnualChurn*VLOOKUP(AX44,ChurnSeasonTable,4,FALSE))*POWER(1-(AnnualChurn*VLOOKUP(AX44,ChurnSeasonTable,4,FALSE)),1)+BM8*(AnnualChurn*VLOOKUP(AX44,ChurnSeasonTable,4,FALSE))*POWER(1-(AnnualChurn*VLOOKUP(AX44,ChurnSeasonTable,4,FALSE)),2)</f>
        <v/>
      </c>
      <c r="BT44" s="12">
        <f>BT43+BN44-BN32*(AnnualChurn*VLOOKUP(AX44,ChurnSeasonTable,4,FALSE))*POWER(1-(AnnualChurn*VLOOKUP(AX44,ChurnSeasonTable,4,FALSE)),0)+BN20*(AnnualChurn*VLOOKUP(AX44,ChurnSeasonTable,4,FALSE))*POWER(1-(AnnualChurn*VLOOKUP(AX44,ChurnSeasonTable,4,FALSE)),1)+BN8*(AnnualChurn*VLOOKUP(AX44,ChurnSeasonTable,4,FALSE))*POWER(1-(AnnualChurn*VLOOKUP(AX44,ChurnSeasonTable,4,FALSE)),2)</f>
        <v/>
      </c>
      <c r="BU44" s="12">
        <f>BO44+BP44+BQ44+BR44+BS44+BT44</f>
        <v/>
      </c>
      <c r="BV44" s="9">
        <f>BO44*BlendedPriceEssMonthly*BA44+BP44*BlendedPricePremMonthly*BA44+BQ44*BlendedPriceEliteMonthly*BA44+BR44*BlendedPriceEssAnnual*BA44/12+BS44*BlendedPricePremAnnual*BA44/12+BT44*BlendedPriceEliteAnnual*BA44/12</f>
        <v/>
      </c>
      <c r="BW44" s="9">
        <f>BV44*12</f>
        <v/>
      </c>
      <c r="BX44" s="12">
        <f>BO44*BlendedPriceEssMonthly*BA44+BP44*BlendedPricePremMonthly*BA44+BQ44*BlendedPriceEliteMonthly*BA44</f>
        <v/>
      </c>
      <c r="BY44" s="12">
        <f>BL44*BlendedPriceEssAnnual*BA44+BM44*BlendedPricePremAnnual*BA44+BN44*BlendedPriceEliteAnnual*BA44</f>
        <v/>
      </c>
      <c r="BZ44" s="12">
        <f>BL32*POWER(1-(AnnualChurn*VLOOKUP(AX44,ChurnSeasonTable,4,FALSE)),1)*BlendedPriceEssAnnual*BA44+BL20*POWER(1-(AnnualChurn*VLOOKUP(AX44,ChurnSeasonTable,4,FALSE)),2)*BlendedPriceEssAnnual*BA44+BL8*POWER(1-(AnnualChurn*VLOOKUP(AX44,ChurnSeasonTable,4,FALSE)),3)*BlendedPriceEssAnnual*BA44+BM32*POWER(1-(AnnualChurn*VLOOKUP(AX44,ChurnSeasonTable,4,FALSE)),1)*BlendedPricePremAnnual*BA44+BM20*POWER(1-(AnnualChurn*VLOOKUP(AX44,ChurnSeasonTable,4,FALSE)),2)*BlendedPricePremAnnual*BA44+BM8*POWER(1-(AnnualChurn*VLOOKUP(AX44,ChurnSeasonTable,4,FALSE)),3)*BlendedPricePremAnnual*BA44+BN32*POWER(1-(AnnualChurn*VLOOKUP(AX44,ChurnSeasonTable,4,FALSE)),1)*BlendedPriceEliteAnnual*BA44+BN20*POWER(1-(AnnualChurn*VLOOKUP(AX44,ChurnSeasonTable,4,FALSE)),2)*BlendedPriceEliteAnnual*BA44+BN8*POWER(1-(AnnualChurn*VLOOKUP(AX44,ChurnSeasonTable,4,FALSE)),3)*BlendedPriceEliteAnnual*BA44</f>
        <v/>
      </c>
      <c r="CA44" s="9">
        <f>BX44+BY44+BZ44</f>
        <v/>
      </c>
      <c r="CB44" s="12">
        <f>SUM(CA33:CA44)</f>
        <v/>
      </c>
      <c r="CC44" s="12">
        <f>OR(CC43,IF(VATAgentMode,SUM($CA33:$CA44)-SUM($CH33:$CH44)&gt;=VATThreshold,SUM($CA33:$CA44)&gt;=VATThreshold))</f>
        <v/>
      </c>
      <c r="CD44" s="9">
        <f>IF(CC44,IF(VATAgentMode,CA44-((CA44-CH44)-(CA44-CH44)/(1+VATRate)),CA44/(1+VATRate)),CA44)</f>
        <v/>
      </c>
      <c r="CE44" s="12">
        <f>CA44-CD44</f>
        <v/>
      </c>
      <c r="CF44" s="12">
        <f>IF(CC44=0,0,IF(AX44=1,SUMPRODUCT(--(($AY$5:$AY44=$AY44-1)*($AX$5:$AX44&gt;=10)*($AX$5:$AX44&lt;=12)),$CE$5:$CE44),IF(AX44=4,SUMPRODUCT(--(($AY$5:$AY44=$AY44)*($AX$5:$AX44&gt;=1)*($AX$5:$AX44&lt;=3)),$CE$5:$CE44),IF(AX44=7,SUMPRODUCT(--(($AY$5:$AY44=$AY44)*($AX$5:$AX44&gt;=4)*($AX$5:$AX44&lt;=6)),$CE$5:$CE44),IF(AX44=10,SUMPRODUCT(--(($AY$5:$AY44=$AY44)*($AX$5:$AX44&gt;=7)*($AX$5:$AX44&lt;=9)),$CE$5:$CE44),0)))))</f>
        <v/>
      </c>
      <c r="CG44" s="12">
        <f>CG43+CE44-CF44</f>
        <v/>
      </c>
      <c r="CH44" s="12">
        <f>IF(ProviderDelay&gt;=1,BO43*BlendedProvPayEss+BP43*BlendedProvPayPrem+BQ43*BlendedProvPayElite+BR43*BlendedProvPayEss+BS43*BlendedProvPayPrem+BT43*BlendedProvPayElite,BO44*BlendedProvPayEss+BP44*BlendedProvPayPrem+BQ44*BlendedProvPayElite+BR44*BlendedProvPayEss+BS44*BlendedProvPayPrem+BT44*BlendedProvPayElite)</f>
        <v/>
      </c>
      <c r="CI44" s="12">
        <f>CA44*PaymentFee</f>
        <v/>
      </c>
      <c r="CJ44" s="12">
        <f>BU44*OpsAI</f>
        <v/>
      </c>
      <c r="CK44" s="12">
        <f>MonthlyFixed</f>
        <v/>
      </c>
      <c r="CL44" s="12">
        <f>BE44*ReferralReward</f>
        <v/>
      </c>
      <c r="CM44" s="12">
        <f>BC44</f>
        <v/>
      </c>
      <c r="CN44" s="9">
        <f>CD44-CH44-CI44-CJ44-CK44-CL44-CM44</f>
        <v/>
      </c>
      <c r="CO44" s="9">
        <f>CO43+CA44-(CH44+CI44+CJ44+CK44+CL44+CM44+CF44)</f>
        <v/>
      </c>
      <c r="CP44" s="12">
        <f>IF(BU44&gt;0,BV44/BU44,0)</f>
        <v/>
      </c>
      <c r="CQ44" s="11">
        <f>IF(BU43&gt;0,MAX(0,(BU43+BF44-BU44)/BU43),0)</f>
        <v/>
      </c>
      <c r="CS44" s="12" t="n">
        <v>40</v>
      </c>
      <c r="CT44" s="12">
        <f>MOD(CS44-1+LaunchMonth-1,12)+1</f>
        <v/>
      </c>
      <c r="CU44" s="12">
        <f>INT((CS44-1+LaunchMonth-1)/12)+1</f>
        <v/>
      </c>
      <c r="CV44" s="12">
        <f>VLOOKUP(CT44,SeasonTable,2,FALSE)</f>
        <v/>
      </c>
      <c r="CW44" s="12">
        <f>(1+InflationRate)^INT((CS44-1)/12)</f>
        <v/>
      </c>
      <c r="CX44" s="11">
        <f>'Sens - Scenarios'!$D$5*VLOOKUP(CT44,ChurnSeasonTable,4,FALSE)</f>
        <v/>
      </c>
      <c r="CY44" s="12">
        <f>MIN(MAX(MktMin19plus,DW43*MktPct19plus),MAX(0,EK43-CashBuffer))</f>
        <v/>
      </c>
      <c r="CZ44" s="12">
        <f>IF(CY44&gt;0,MAX(1,ROUND(CY44/'Sens - Scenarios'!$D$8*CV44,0)),0)</f>
        <v/>
      </c>
      <c r="DA44" s="12">
        <f>IF(CZ44&gt;0,ROUND(CZ44*ReferralMix/(1-ReferralMix),0),0)</f>
        <v/>
      </c>
      <c r="DB44" s="12">
        <f>CZ44+DA44</f>
        <v/>
      </c>
      <c r="DC44" s="12">
        <f>ROUND(DB44*(1-'Sens - Scenarios'!$D$7),0)</f>
        <v/>
      </c>
      <c r="DD44" s="12">
        <f>DB44-DC44</f>
        <v/>
      </c>
      <c r="DE44" s="12">
        <f>ROUND(DC44*EssentialMix,0)</f>
        <v/>
      </c>
      <c r="DF44" s="12">
        <f>ROUND(DC44*PremiumMix,0)</f>
        <v/>
      </c>
      <c r="DG44" s="12">
        <f>DC44-DE44-DF44</f>
        <v/>
      </c>
      <c r="DH44" s="12">
        <f>ROUND(DD44*EssentialMix,0)</f>
        <v/>
      </c>
      <c r="DI44" s="12">
        <f>ROUND(DD44*PremiumMix,0)</f>
        <v/>
      </c>
      <c r="DJ44" s="12">
        <f>DD44-DH44-DI44</f>
        <v/>
      </c>
      <c r="DK44" s="12">
        <f>DE44+DE43+DE42+MAX(0,DK43-DE43-DE42)*(1-CX44)</f>
        <v/>
      </c>
      <c r="DL44" s="12">
        <f>DF44+DF43+DF42+MAX(0,DL43-DF43-DF42)*(1-CX44)</f>
        <v/>
      </c>
      <c r="DM44" s="12">
        <f>DG44+DG43+DG42+MAX(0,DM43-DG43-DG42)*(1-CX44)</f>
        <v/>
      </c>
      <c r="DN44" s="12">
        <f>DN43+DH44-DH32*('Sens - Scenarios'!$D$6*VLOOKUP(CT44,ChurnSeasonTable,4,FALSE))*POWER(1-('Sens - Scenarios'!$D$6*VLOOKUP(CT44,ChurnSeasonTable,4,FALSE)),0)+DH20*('Sens - Scenarios'!$D$6*VLOOKUP(CT44,ChurnSeasonTable,4,FALSE))*POWER(1-('Sens - Scenarios'!$D$6*VLOOKUP(CT44,ChurnSeasonTable,4,FALSE)),1)+DH8*('Sens - Scenarios'!$D$6*VLOOKUP(CT44,ChurnSeasonTable,4,FALSE))*POWER(1-('Sens - Scenarios'!$D$6*VLOOKUP(CT44,ChurnSeasonTable,4,FALSE)),2)</f>
        <v/>
      </c>
      <c r="DO44" s="12">
        <f>DO43+DI44-DI32*('Sens - Scenarios'!$D$6*VLOOKUP(CT44,ChurnSeasonTable,4,FALSE))*POWER(1-('Sens - Scenarios'!$D$6*VLOOKUP(CT44,ChurnSeasonTable,4,FALSE)),0)+DI20*('Sens - Scenarios'!$D$6*VLOOKUP(CT44,ChurnSeasonTable,4,FALSE))*POWER(1-('Sens - Scenarios'!$D$6*VLOOKUP(CT44,ChurnSeasonTable,4,FALSE)),1)+DI8*('Sens - Scenarios'!$D$6*VLOOKUP(CT44,ChurnSeasonTable,4,FALSE))*POWER(1-('Sens - Scenarios'!$D$6*VLOOKUP(CT44,ChurnSeasonTable,4,FALSE)),2)</f>
        <v/>
      </c>
      <c r="DP44" s="12">
        <f>DP43+DJ44-DJ32*('Sens - Scenarios'!$D$6*VLOOKUP(CT44,ChurnSeasonTable,4,FALSE))*POWER(1-('Sens - Scenarios'!$D$6*VLOOKUP(CT44,ChurnSeasonTable,4,FALSE)),0)+DJ20*('Sens - Scenarios'!$D$6*VLOOKUP(CT44,ChurnSeasonTable,4,FALSE))*POWER(1-('Sens - Scenarios'!$D$6*VLOOKUP(CT44,ChurnSeasonTable,4,FALSE)),1)+DJ8*('Sens - Scenarios'!$D$6*VLOOKUP(CT44,ChurnSeasonTable,4,FALSE))*POWER(1-('Sens - Scenarios'!$D$6*VLOOKUP(CT44,ChurnSeasonTable,4,FALSE)),2)</f>
        <v/>
      </c>
      <c r="DQ44" s="12">
        <f>DK44+DL44+DM44+DN44+DO44+DP44</f>
        <v/>
      </c>
      <c r="DR44" s="9">
        <f>DK44*BlendedPriceEssMonthly*CW44+DL44*BlendedPricePremMonthly*CW44+DM44*BlendedPriceEliteMonthly*CW44+DN44*BlendedPriceEssAnnual*CW44/12+DO44*BlendedPricePremAnnual*CW44/12+DP44*BlendedPriceEliteAnnual*CW44/12</f>
        <v/>
      </c>
      <c r="DS44" s="9">
        <f>DR44*12</f>
        <v/>
      </c>
      <c r="DT44" s="12">
        <f>DK44*BlendedPriceEssMonthly*CW44+DL44*BlendedPricePremMonthly*CW44+DM44*BlendedPriceEliteMonthly*CW44</f>
        <v/>
      </c>
      <c r="DU44" s="12">
        <f>DH44*BlendedPriceEssAnnual*CW44+DI44*BlendedPricePremAnnual*CW44+DJ44*BlendedPriceEliteAnnual*CW44</f>
        <v/>
      </c>
      <c r="DV44" s="12">
        <f>DH32*POWER(1-('Sens - Scenarios'!$D$6*VLOOKUP(CT44,ChurnSeasonTable,4,FALSE)),1)*BlendedPriceEssAnnual*CW44+DH20*POWER(1-('Sens - Scenarios'!$D$6*VLOOKUP(CT44,ChurnSeasonTable,4,FALSE)),2)*BlendedPriceEssAnnual*CW44+DH8*POWER(1-('Sens - Scenarios'!$D$6*VLOOKUP(CT44,ChurnSeasonTable,4,FALSE)),3)*BlendedPriceEssAnnual*CW44+DI32*POWER(1-('Sens - Scenarios'!$D$6*VLOOKUP(CT44,ChurnSeasonTable,4,FALSE)),1)*BlendedPricePremAnnual*CW44+DI20*POWER(1-('Sens - Scenarios'!$D$6*VLOOKUP(CT44,ChurnSeasonTable,4,FALSE)),2)*BlendedPricePremAnnual*CW44+DI8*POWER(1-('Sens - Scenarios'!$D$6*VLOOKUP(CT44,ChurnSeasonTable,4,FALSE)),3)*BlendedPricePremAnnual*CW44+DJ32*POWER(1-('Sens - Scenarios'!$D$6*VLOOKUP(CT44,ChurnSeasonTable,4,FALSE)),1)*BlendedPriceEliteAnnual*CW44+DJ20*POWER(1-('Sens - Scenarios'!$D$6*VLOOKUP(CT44,ChurnSeasonTable,4,FALSE)),2)*BlendedPriceEliteAnnual*CW44+DJ8*POWER(1-('Sens - Scenarios'!$D$6*VLOOKUP(CT44,ChurnSeasonTable,4,FALSE)),3)*BlendedPriceEliteAnnual*CW44</f>
        <v/>
      </c>
      <c r="DW44" s="9">
        <f>DT44+DU44+DV44</f>
        <v/>
      </c>
      <c r="DX44" s="12">
        <f>SUM(DW33:DW44)</f>
        <v/>
      </c>
      <c r="DY44" s="12">
        <f>OR(DY43,IF(VATAgentMode,SUM($DW33:$DW44)-SUM($ED33:$ED44)&gt;=VATThreshold,SUM($DW33:$DW44)&gt;=VATThreshold))</f>
        <v/>
      </c>
      <c r="DZ44" s="9">
        <f>IF(DY44,IF(VATAgentMode,DW44-((DW44-ED44)-(DW44-ED44)/(1+VATRate)),DW44/(1+VATRate)),DW44)</f>
        <v/>
      </c>
      <c r="EA44" s="12">
        <f>DW44-DZ44</f>
        <v/>
      </c>
      <c r="EB44" s="12">
        <f>IF(DY44=0,0,IF(CT44=1,SUMPRODUCT(--(($CU$5:$CU44=$CU44-1)*($CT$5:$CT44&gt;=10)*($CT$5:$CT44&lt;=12)),$EA$5:$EA44),IF(CT44=4,SUMPRODUCT(--(($CU$5:$CU44=$CU44)*($CT$5:$CT44&gt;=1)*($CT$5:$CT44&lt;=3)),$EA$5:$EA44),IF(CT44=7,SUMPRODUCT(--(($CU$5:$CU44=$CU44)*($CT$5:$CT44&gt;=4)*($CT$5:$CT44&lt;=6)),$EA$5:$EA44),IF(CT44=10,SUMPRODUCT(--(($CU$5:$CU44=$CU44)*($CT$5:$CT44&gt;=7)*($CT$5:$CT44&lt;=9)),$EA$5:$EA44),0)))))</f>
        <v/>
      </c>
      <c r="EC44" s="12">
        <f>EC43+EA44-EB44</f>
        <v/>
      </c>
      <c r="ED44" s="12">
        <f>IF(ProviderDelay&gt;=1,DK43*BlendedProvPayEss+DL43*BlendedProvPayPrem+DM43*BlendedProvPayElite+DN43*BlendedProvPayEss+DO43*BlendedProvPayPrem+DP43*BlendedProvPayElite,DK44*BlendedProvPayEss+DL44*BlendedProvPayPrem+DM44*BlendedProvPayElite+DN44*BlendedProvPayEss+DO44*BlendedProvPayPrem+DP44*BlendedProvPayElite)</f>
        <v/>
      </c>
      <c r="EE44" s="12">
        <f>DW44*PaymentFee</f>
        <v/>
      </c>
      <c r="EF44" s="12">
        <f>DQ44*OpsAI</f>
        <v/>
      </c>
      <c r="EG44" s="12">
        <f>MonthlyFixed</f>
        <v/>
      </c>
      <c r="EH44" s="12">
        <f>DA44*ReferralReward</f>
        <v/>
      </c>
      <c r="EI44" s="12">
        <f>CY44</f>
        <v/>
      </c>
      <c r="EJ44" s="9">
        <f>DZ44-ED44-EE44-EF44-EG44-EH44-EI44</f>
        <v/>
      </c>
      <c r="EK44" s="9">
        <f>EK43+DW44-(ED44+EE44+EF44+EG44+EH44+EI44+EB44)</f>
        <v/>
      </c>
      <c r="EL44" s="12">
        <f>IF(DQ44&gt;0,DR44/DQ44,0)</f>
        <v/>
      </c>
      <c r="EM44" s="11">
        <f>IF(DQ43&gt;0,MAX(0,(DQ43+DB44-DQ44)/DQ43),0)</f>
        <v/>
      </c>
      <c r="EO44" s="12" t="n">
        <v>40</v>
      </c>
      <c r="EP44" s="12">
        <f>MOD(EO44-1+LaunchMonth-1,12)+1</f>
        <v/>
      </c>
      <c r="EQ44" s="12">
        <f>INT((EO44-1+LaunchMonth-1)/12)+1</f>
        <v/>
      </c>
      <c r="ER44" s="12">
        <f>VLOOKUP(EP44,SeasonTable,2,FALSE)</f>
        <v/>
      </c>
      <c r="ES44" s="12">
        <f>(1+InflationRate)^INT((EO44-1)/12)</f>
        <v/>
      </c>
      <c r="ET44" s="11">
        <f>'Sens - Churn'!$A$13*VLOOKUP(EP44,ChurnSeasonTable,4,FALSE)</f>
        <v/>
      </c>
      <c r="EU44" s="12">
        <f>MIN(MAX(MktMin19plus,FS43*MktPct19plus),MAX(0,GG43-CashBuffer))</f>
        <v/>
      </c>
      <c r="EV44" s="12">
        <f>IF(EU44&gt;0,MAX(1,ROUND(EU44/CAC*ER44,0)),0)</f>
        <v/>
      </c>
      <c r="EW44" s="12">
        <f>IF(EV44&gt;0,ROUND(EV44*ReferralMix/(1-ReferralMix),0),0)</f>
        <v/>
      </c>
      <c r="EX44" s="12">
        <f>EV44+EW44</f>
        <v/>
      </c>
      <c r="EY44" s="12">
        <f>ROUND(EX44*(1-AnnualMix),0)</f>
        <v/>
      </c>
      <c r="EZ44" s="12">
        <f>EX44-EY44</f>
        <v/>
      </c>
      <c r="FA44" s="12">
        <f>ROUND(EY44*EssentialMix,0)</f>
        <v/>
      </c>
      <c r="FB44" s="12">
        <f>ROUND(EY44*PremiumMix,0)</f>
        <v/>
      </c>
      <c r="FC44" s="12">
        <f>EY44-FA44-FB44</f>
        <v/>
      </c>
      <c r="FD44" s="12">
        <f>ROUND(EZ44*EssentialMix,0)</f>
        <v/>
      </c>
      <c r="FE44" s="12">
        <f>ROUND(EZ44*PremiumMix,0)</f>
        <v/>
      </c>
      <c r="FF44" s="12">
        <f>EZ44-FD44-FE44</f>
        <v/>
      </c>
      <c r="FG44" s="12">
        <f>FA44+FA43+FA42+MAX(0,FG43-FA43-FA42)*(1-ET44)</f>
        <v/>
      </c>
      <c r="FH44" s="12">
        <f>FB44+FB43+FB42+MAX(0,FH43-FB43-FB42)*(1-ET44)</f>
        <v/>
      </c>
      <c r="FI44" s="12">
        <f>FC44+FC43+FC42+MAX(0,FI43-FC43-FC42)*(1-ET44)</f>
        <v/>
      </c>
      <c r="FJ44" s="12">
        <f>FJ43+FD44-FD32*(AnnualChurn*VLOOKUP(EP44,ChurnSeasonTable,4,FALSE))*POWER(1-(AnnualChurn*VLOOKUP(EP44,ChurnSeasonTable,4,FALSE)),0)+FD20*(AnnualChurn*VLOOKUP(EP44,ChurnSeasonTable,4,FALSE))*POWER(1-(AnnualChurn*VLOOKUP(EP44,ChurnSeasonTable,4,FALSE)),1)+FD8*(AnnualChurn*VLOOKUP(EP44,ChurnSeasonTable,4,FALSE))*POWER(1-(AnnualChurn*VLOOKUP(EP44,ChurnSeasonTable,4,FALSE)),2)</f>
        <v/>
      </c>
      <c r="FK44" s="12">
        <f>FK43+FE44-FE32*(AnnualChurn*VLOOKUP(EP44,ChurnSeasonTable,4,FALSE))*POWER(1-(AnnualChurn*VLOOKUP(EP44,ChurnSeasonTable,4,FALSE)),0)+FE20*(AnnualChurn*VLOOKUP(EP44,ChurnSeasonTable,4,FALSE))*POWER(1-(AnnualChurn*VLOOKUP(EP44,ChurnSeasonTable,4,FALSE)),1)+FE8*(AnnualChurn*VLOOKUP(EP44,ChurnSeasonTable,4,FALSE))*POWER(1-(AnnualChurn*VLOOKUP(EP44,ChurnSeasonTable,4,FALSE)),2)</f>
        <v/>
      </c>
      <c r="FL44" s="12">
        <f>FL43+FF44-FF32*(AnnualChurn*VLOOKUP(EP44,ChurnSeasonTable,4,FALSE))*POWER(1-(AnnualChurn*VLOOKUP(EP44,ChurnSeasonTable,4,FALSE)),0)+FF20*(AnnualChurn*VLOOKUP(EP44,ChurnSeasonTable,4,FALSE))*POWER(1-(AnnualChurn*VLOOKUP(EP44,ChurnSeasonTable,4,FALSE)),1)+FF8*(AnnualChurn*VLOOKUP(EP44,ChurnSeasonTable,4,FALSE))*POWER(1-(AnnualChurn*VLOOKUP(EP44,ChurnSeasonTable,4,FALSE)),2)</f>
        <v/>
      </c>
      <c r="FM44" s="12">
        <f>FG44+FH44+FI44+FJ44+FK44+FL44</f>
        <v/>
      </c>
      <c r="FN44" s="9">
        <f>FG44*BlendedPriceEssMonthly*ES44+FH44*BlendedPricePremMonthly*ES44+FI44*BlendedPriceEliteMonthly*ES44+FJ44*BlendedPriceEssAnnual*ES44/12+FK44*BlendedPricePremAnnual*ES44/12+FL44*BlendedPriceEliteAnnual*ES44/12</f>
        <v/>
      </c>
      <c r="FO44" s="9">
        <f>FN44*12</f>
        <v/>
      </c>
      <c r="FP44" s="12">
        <f>FG44*BlendedPriceEssMonthly*ES44+FH44*BlendedPricePremMonthly*ES44+FI44*BlendedPriceEliteMonthly*ES44</f>
        <v/>
      </c>
      <c r="FQ44" s="12">
        <f>FD44*BlendedPriceEssAnnual*ES44+FE44*BlendedPricePremAnnual*ES44+FF44*BlendedPriceEliteAnnual*ES44</f>
        <v/>
      </c>
      <c r="FR44" s="12">
        <f>FD32*POWER(1-(AnnualChurn*VLOOKUP(EP44,ChurnSeasonTable,4,FALSE)),1)*BlendedPriceEssAnnual*ES44+FD20*POWER(1-(AnnualChurn*VLOOKUP(EP44,ChurnSeasonTable,4,FALSE)),2)*BlendedPriceEssAnnual*ES44+FD8*POWER(1-(AnnualChurn*VLOOKUP(EP44,ChurnSeasonTable,4,FALSE)),3)*BlendedPriceEssAnnual*ES44+FE32*POWER(1-(AnnualChurn*VLOOKUP(EP44,ChurnSeasonTable,4,FALSE)),1)*BlendedPricePremAnnual*ES44+FE20*POWER(1-(AnnualChurn*VLOOKUP(EP44,ChurnSeasonTable,4,FALSE)),2)*BlendedPricePremAnnual*ES44+FE8*POWER(1-(AnnualChurn*VLOOKUP(EP44,ChurnSeasonTable,4,FALSE)),3)*BlendedPricePremAnnual*ES44+FF32*POWER(1-(AnnualChurn*VLOOKUP(EP44,ChurnSeasonTable,4,FALSE)),1)*BlendedPriceEliteAnnual*ES44+FF20*POWER(1-(AnnualChurn*VLOOKUP(EP44,ChurnSeasonTable,4,FALSE)),2)*BlendedPriceEliteAnnual*ES44+FF8*POWER(1-(AnnualChurn*VLOOKUP(EP44,ChurnSeasonTable,4,FALSE)),3)*BlendedPriceEliteAnnual*ES44</f>
        <v/>
      </c>
      <c r="FS44" s="9">
        <f>FP44+FQ44+FR44</f>
        <v/>
      </c>
      <c r="FT44" s="12">
        <f>SUM(FS33:FS44)</f>
        <v/>
      </c>
      <c r="FU44" s="12">
        <f>OR(FU43,IF(VATAgentMode,SUM($FS33:$FS44)-SUM($FZ33:$FZ44)&gt;=VATThreshold,SUM($FS33:$FS44)&gt;=VATThreshold))</f>
        <v/>
      </c>
      <c r="FV44" s="9">
        <f>IF(FU44,IF(VATAgentMode,FS44-((FS44-FZ44)-(FS44-FZ44)/(1+VATRate)),FS44/(1+VATRate)),FS44)</f>
        <v/>
      </c>
      <c r="FW44" s="12">
        <f>FS44-FV44</f>
        <v/>
      </c>
      <c r="FX44" s="12">
        <f>IF(FU44=0,0,IF(EP44=1,SUMPRODUCT(--(($EQ$5:$EQ44=$EQ44-1)*($EP$5:$EP44&gt;=10)*($EP$5:$EP44&lt;=12)),$FW$5:$FW44),IF(EP44=4,SUMPRODUCT(--(($EQ$5:$EQ44=$EQ44)*($EP$5:$EP44&gt;=1)*($EP$5:$EP44&lt;=3)),$FW$5:$FW44),IF(EP44=7,SUMPRODUCT(--(($EQ$5:$EQ44=$EQ44)*($EP$5:$EP44&gt;=4)*($EP$5:$EP44&lt;=6)),$FW$5:$FW44),IF(EP44=10,SUMPRODUCT(--(($EQ$5:$EQ44=$EQ44)*($EP$5:$EP44&gt;=7)*($EP$5:$EP44&lt;=9)),$FW$5:$FW44),0)))))</f>
        <v/>
      </c>
      <c r="FY44" s="12">
        <f>FY43+FW44-FX44</f>
        <v/>
      </c>
      <c r="FZ44" s="12">
        <f>IF(ProviderDelay&gt;=1,FG43*BlendedProvPayEss+FH43*BlendedProvPayPrem+FI43*BlendedProvPayElite+FJ43*BlendedProvPayEss+FK43*BlendedProvPayPrem+FL43*BlendedProvPayElite,FG44*BlendedProvPayEss+FH44*BlendedProvPayPrem+FI44*BlendedProvPayElite+FJ44*BlendedProvPayEss+FK44*BlendedProvPayPrem+FL44*BlendedProvPayElite)</f>
        <v/>
      </c>
      <c r="GA44" s="12">
        <f>FS44*PaymentFee</f>
        <v/>
      </c>
      <c r="GB44" s="12">
        <f>FM44*OpsAI</f>
        <v/>
      </c>
      <c r="GC44" s="12">
        <f>MonthlyFixed</f>
        <v/>
      </c>
      <c r="GD44" s="12">
        <f>EW44*ReferralReward</f>
        <v/>
      </c>
      <c r="GE44" s="12">
        <f>EU44</f>
        <v/>
      </c>
      <c r="GF44" s="9">
        <f>FV44-FZ44-GA44-GB44-GC44-GD44-GE44</f>
        <v/>
      </c>
      <c r="GG44" s="9">
        <f>GG43+FS44-(FZ44+GA44+GB44+GC44+GD44+GE44+FX44)</f>
        <v/>
      </c>
      <c r="GH44" s="12">
        <f>IF(FM44&gt;0,FN44/FM44,0)</f>
        <v/>
      </c>
      <c r="GI44" s="11">
        <f>IF(FM43&gt;0,MAX(0,(FM43+EX44-FM44)/FM43),0)</f>
        <v/>
      </c>
      <c r="GK44" s="12" t="n">
        <v>40</v>
      </c>
      <c r="GL44" s="12">
        <f>MOD(GK44-1+LaunchMonth-1,12)+1</f>
        <v/>
      </c>
      <c r="GM44" s="12">
        <f>INT((GK44-1+LaunchMonth-1)/12)+1</f>
        <v/>
      </c>
      <c r="GN44" s="12">
        <f>VLOOKUP(GL44,SeasonTable,2,FALSE)</f>
        <v/>
      </c>
      <c r="GO44" s="12">
        <f>(1+InflationRate)^INT((GK44-1)/12)</f>
        <v/>
      </c>
      <c r="GP44" s="11">
        <f>'Sens - Churn'!$A$14*VLOOKUP(GL44,ChurnSeasonTable,4,FALSE)</f>
        <v/>
      </c>
      <c r="GQ44" s="12">
        <f>MIN(MAX(MktMin19plus,HO43*MktPct19plus),MAX(0,IC43-CashBuffer))</f>
        <v/>
      </c>
      <c r="GR44" s="12">
        <f>IF(GQ44&gt;0,MAX(1,ROUND(GQ44/CAC*GN44,0)),0)</f>
        <v/>
      </c>
      <c r="GS44" s="12">
        <f>IF(GR44&gt;0,ROUND(GR44*ReferralMix/(1-ReferralMix),0),0)</f>
        <v/>
      </c>
      <c r="GT44" s="12">
        <f>GR44+GS44</f>
        <v/>
      </c>
      <c r="GU44" s="12">
        <f>ROUND(GT44*(1-AnnualMix),0)</f>
        <v/>
      </c>
      <c r="GV44" s="12">
        <f>GT44-GU44</f>
        <v/>
      </c>
      <c r="GW44" s="12">
        <f>ROUND(GU44*EssentialMix,0)</f>
        <v/>
      </c>
      <c r="GX44" s="12">
        <f>ROUND(GU44*PremiumMix,0)</f>
        <v/>
      </c>
      <c r="GY44" s="12">
        <f>GU44-GW44-GX44</f>
        <v/>
      </c>
      <c r="GZ44" s="12">
        <f>ROUND(GV44*EssentialMix,0)</f>
        <v/>
      </c>
      <c r="HA44" s="12">
        <f>ROUND(GV44*PremiumMix,0)</f>
        <v/>
      </c>
      <c r="HB44" s="12">
        <f>GV44-GZ44-HA44</f>
        <v/>
      </c>
      <c r="HC44" s="12">
        <f>GW44+GW43+GW42+MAX(0,HC43-GW43-GW42)*(1-GP44)</f>
        <v/>
      </c>
      <c r="HD44" s="12">
        <f>GX44+GX43+GX42+MAX(0,HD43-GX43-GX42)*(1-GP44)</f>
        <v/>
      </c>
      <c r="HE44" s="12">
        <f>GY44+GY43+GY42+MAX(0,HE43-GY43-GY42)*(1-GP44)</f>
        <v/>
      </c>
      <c r="HF44" s="12">
        <f>HF43+GZ44-GZ32*(AnnualChurn*VLOOKUP(GL44,ChurnSeasonTable,4,FALSE))*POWER(1-(AnnualChurn*VLOOKUP(GL44,ChurnSeasonTable,4,FALSE)),0)+GZ20*(AnnualChurn*VLOOKUP(GL44,ChurnSeasonTable,4,FALSE))*POWER(1-(AnnualChurn*VLOOKUP(GL44,ChurnSeasonTable,4,FALSE)),1)+GZ8*(AnnualChurn*VLOOKUP(GL44,ChurnSeasonTable,4,FALSE))*POWER(1-(AnnualChurn*VLOOKUP(GL44,ChurnSeasonTable,4,FALSE)),2)</f>
        <v/>
      </c>
      <c r="HG44" s="12">
        <f>HG43+HA44-HA32*(AnnualChurn*VLOOKUP(GL44,ChurnSeasonTable,4,FALSE))*POWER(1-(AnnualChurn*VLOOKUP(GL44,ChurnSeasonTable,4,FALSE)),0)+HA20*(AnnualChurn*VLOOKUP(GL44,ChurnSeasonTable,4,FALSE))*POWER(1-(AnnualChurn*VLOOKUP(GL44,ChurnSeasonTable,4,FALSE)),1)+HA8*(AnnualChurn*VLOOKUP(GL44,ChurnSeasonTable,4,FALSE))*POWER(1-(AnnualChurn*VLOOKUP(GL44,ChurnSeasonTable,4,FALSE)),2)</f>
        <v/>
      </c>
      <c r="HH44" s="12">
        <f>HH43+HB44-HB32*(AnnualChurn*VLOOKUP(GL44,ChurnSeasonTable,4,FALSE))*POWER(1-(AnnualChurn*VLOOKUP(GL44,ChurnSeasonTable,4,FALSE)),0)+HB20*(AnnualChurn*VLOOKUP(GL44,ChurnSeasonTable,4,FALSE))*POWER(1-(AnnualChurn*VLOOKUP(GL44,ChurnSeasonTable,4,FALSE)),1)+HB8*(AnnualChurn*VLOOKUP(GL44,ChurnSeasonTable,4,FALSE))*POWER(1-(AnnualChurn*VLOOKUP(GL44,ChurnSeasonTable,4,FALSE)),2)</f>
        <v/>
      </c>
      <c r="HI44" s="12">
        <f>HC44+HD44+HE44+HF44+HG44+HH44</f>
        <v/>
      </c>
      <c r="HJ44" s="9">
        <f>HC44*BlendedPriceEssMonthly*GO44+HD44*BlendedPricePremMonthly*GO44+HE44*BlendedPriceEliteMonthly*GO44+HF44*BlendedPriceEssAnnual*GO44/12+HG44*BlendedPricePremAnnual*GO44/12+HH44*BlendedPriceEliteAnnual*GO44/12</f>
        <v/>
      </c>
      <c r="HK44" s="9">
        <f>HJ44*12</f>
        <v/>
      </c>
      <c r="HL44" s="12">
        <f>HC44*BlendedPriceEssMonthly*GO44+HD44*BlendedPricePremMonthly*GO44+HE44*BlendedPriceEliteMonthly*GO44</f>
        <v/>
      </c>
      <c r="HM44" s="12">
        <f>GZ44*BlendedPriceEssAnnual*GO44+HA44*BlendedPricePremAnnual*GO44+HB44*BlendedPriceEliteAnnual*GO44</f>
        <v/>
      </c>
      <c r="HN44" s="12">
        <f>GZ32*POWER(1-(AnnualChurn*VLOOKUP(GL44,ChurnSeasonTable,4,FALSE)),1)*BlendedPriceEssAnnual*GO44+GZ20*POWER(1-(AnnualChurn*VLOOKUP(GL44,ChurnSeasonTable,4,FALSE)),2)*BlendedPriceEssAnnual*GO44+GZ8*POWER(1-(AnnualChurn*VLOOKUP(GL44,ChurnSeasonTable,4,FALSE)),3)*BlendedPriceEssAnnual*GO44+HA32*POWER(1-(AnnualChurn*VLOOKUP(GL44,ChurnSeasonTable,4,FALSE)),1)*BlendedPricePremAnnual*GO44+HA20*POWER(1-(AnnualChurn*VLOOKUP(GL44,ChurnSeasonTable,4,FALSE)),2)*BlendedPricePremAnnual*GO44+HA8*POWER(1-(AnnualChurn*VLOOKUP(GL44,ChurnSeasonTable,4,FALSE)),3)*BlendedPricePremAnnual*GO44+HB32*POWER(1-(AnnualChurn*VLOOKUP(GL44,ChurnSeasonTable,4,FALSE)),1)*BlendedPriceEliteAnnual*GO44+HB20*POWER(1-(AnnualChurn*VLOOKUP(GL44,ChurnSeasonTable,4,FALSE)),2)*BlendedPriceEliteAnnual*GO44+HB8*POWER(1-(AnnualChurn*VLOOKUP(GL44,ChurnSeasonTable,4,FALSE)),3)*BlendedPriceEliteAnnual*GO44</f>
        <v/>
      </c>
      <c r="HO44" s="9">
        <f>HL44+HM44+HN44</f>
        <v/>
      </c>
      <c r="HP44" s="12">
        <f>SUM(HO33:HO44)</f>
        <v/>
      </c>
      <c r="HQ44" s="12">
        <f>OR(HQ43,IF(VATAgentMode,SUM($HO33:$HO44)-SUM($HV33:$HV44)&gt;=VATThreshold,SUM($HO33:$HO44)&gt;=VATThreshold))</f>
        <v/>
      </c>
      <c r="HR44" s="9">
        <f>IF(HQ44,IF(VATAgentMode,HO44-((HO44-HV44)-(HO44-HV44)/(1+VATRate)),HO44/(1+VATRate)),HO44)</f>
        <v/>
      </c>
      <c r="HS44" s="12">
        <f>HO44-HR44</f>
        <v/>
      </c>
      <c r="HT44" s="12">
        <f>IF(HQ44=0,0,IF(GL44=1,SUMPRODUCT(--(($GM$5:$GM44=$GM44-1)*($GL$5:$GL44&gt;=10)*($GL$5:$GL44&lt;=12)),$HS$5:$HS44),IF(GL44=4,SUMPRODUCT(--(($GM$5:$GM44=$GM44)*($GL$5:$GL44&gt;=1)*($GL$5:$GL44&lt;=3)),$HS$5:$HS44),IF(GL44=7,SUMPRODUCT(--(($GM$5:$GM44=$GM44)*($GL$5:$GL44&gt;=4)*($GL$5:$GL44&lt;=6)),$HS$5:$HS44),IF(GL44=10,SUMPRODUCT(--(($GM$5:$GM44=$GM44)*($GL$5:$GL44&gt;=7)*($GL$5:$GL44&lt;=9)),$HS$5:$HS44),0)))))</f>
        <v/>
      </c>
      <c r="HU44" s="12">
        <f>HU43+HS44-HT44</f>
        <v/>
      </c>
      <c r="HV44" s="12">
        <f>IF(ProviderDelay&gt;=1,HC43*BlendedProvPayEss+HD43*BlendedProvPayPrem+HE43*BlendedProvPayElite+HF43*BlendedProvPayEss+HG43*BlendedProvPayPrem+HH43*BlendedProvPayElite,HC44*BlendedProvPayEss+HD44*BlendedProvPayPrem+HE44*BlendedProvPayElite+HF44*BlendedProvPayEss+HG44*BlendedProvPayPrem+HH44*BlendedProvPayElite)</f>
        <v/>
      </c>
      <c r="HW44" s="12">
        <f>HO44*PaymentFee</f>
        <v/>
      </c>
      <c r="HX44" s="12">
        <f>HI44*OpsAI</f>
        <v/>
      </c>
      <c r="HY44" s="12">
        <f>MonthlyFixed</f>
        <v/>
      </c>
      <c r="HZ44" s="12">
        <f>GS44*ReferralReward</f>
        <v/>
      </c>
      <c r="IA44" s="12">
        <f>GQ44</f>
        <v/>
      </c>
      <c r="IB44" s="9">
        <f>HR44-HV44-HW44-HX44-HY44-HZ44-IA44</f>
        <v/>
      </c>
      <c r="IC44" s="9">
        <f>IC43+HO44-(HV44+HW44+HX44+HY44+HZ44+IA44+HT44)</f>
        <v/>
      </c>
      <c r="ID44" s="12">
        <f>IF(HI44&gt;0,HJ44/HI44,0)</f>
        <v/>
      </c>
      <c r="IE44" s="11">
        <f>IF(HI43&gt;0,MAX(0,(HI43+GT44-HI44)/HI43),0)</f>
        <v/>
      </c>
      <c r="IG44" s="12" t="n">
        <v>40</v>
      </c>
      <c r="IH44" s="12">
        <f>MOD(IG44-1+LaunchMonth-1,12)+1</f>
        <v/>
      </c>
      <c r="II44" s="12">
        <f>INT((IG44-1+LaunchMonth-1)/12)+1</f>
        <v/>
      </c>
      <c r="IJ44" s="12">
        <f>VLOOKUP(IH44,SeasonTable,2,FALSE)</f>
        <v/>
      </c>
      <c r="IK44" s="12">
        <f>(1+InflationRate)^INT((IG44-1)/12)</f>
        <v/>
      </c>
      <c r="IL44" s="11">
        <f>'Sens - Churn'!$A$15*VLOOKUP(IH44,ChurnSeasonTable,4,FALSE)</f>
        <v/>
      </c>
      <c r="IM44" s="12">
        <f>MIN(MAX(MktMin19plus,JK43*MktPct19plus),MAX(0,JY43-CashBuffer))</f>
        <v/>
      </c>
      <c r="IN44" s="12">
        <f>IF(IM44&gt;0,MAX(1,ROUND(IM44/CAC*IJ44,0)),0)</f>
        <v/>
      </c>
      <c r="IO44" s="12">
        <f>IF(IN44&gt;0,ROUND(IN44*ReferralMix/(1-ReferralMix),0),0)</f>
        <v/>
      </c>
      <c r="IP44" s="12">
        <f>IN44+IO44</f>
        <v/>
      </c>
      <c r="IQ44" s="12">
        <f>ROUND(IP44*(1-AnnualMix),0)</f>
        <v/>
      </c>
      <c r="IR44" s="12">
        <f>IP44-IQ44</f>
        <v/>
      </c>
      <c r="IS44" s="12">
        <f>ROUND(IQ44*EssentialMix,0)</f>
        <v/>
      </c>
      <c r="IT44" s="12">
        <f>ROUND(IQ44*PremiumMix,0)</f>
        <v/>
      </c>
      <c r="IU44" s="12">
        <f>IQ44-IS44-IT44</f>
        <v/>
      </c>
      <c r="IV44" s="12">
        <f>ROUND(IR44*EssentialMix,0)</f>
        <v/>
      </c>
      <c r="IW44" s="12">
        <f>ROUND(IR44*PremiumMix,0)</f>
        <v/>
      </c>
      <c r="IX44" s="12">
        <f>IR44-IV44-IW44</f>
        <v/>
      </c>
      <c r="IY44" s="12">
        <f>IS44+IS43+IS42+MAX(0,IY43-IS43-IS42)*(1-IL44)</f>
        <v/>
      </c>
      <c r="IZ44" s="12">
        <f>IT44+IT43+IT42+MAX(0,IZ43-IT43-IT42)*(1-IL44)</f>
        <v/>
      </c>
      <c r="JA44" s="12">
        <f>IU44+IU43+IU42+MAX(0,JA43-IU43-IU42)*(1-IL44)</f>
        <v/>
      </c>
      <c r="JB44" s="12">
        <f>JB43+IV44-IV32*(AnnualChurn*VLOOKUP(IH44,ChurnSeasonTable,4,FALSE))*POWER(1-(AnnualChurn*VLOOKUP(IH44,ChurnSeasonTable,4,FALSE)),0)+IV20*(AnnualChurn*VLOOKUP(IH44,ChurnSeasonTable,4,FALSE))*POWER(1-(AnnualChurn*VLOOKUP(IH44,ChurnSeasonTable,4,FALSE)),1)+IV8*(AnnualChurn*VLOOKUP(IH44,ChurnSeasonTable,4,FALSE))*POWER(1-(AnnualChurn*VLOOKUP(IH44,ChurnSeasonTable,4,FALSE)),2)</f>
        <v/>
      </c>
      <c r="JC44" s="12">
        <f>JC43+IW44-IW32*(AnnualChurn*VLOOKUP(IH44,ChurnSeasonTable,4,FALSE))*POWER(1-(AnnualChurn*VLOOKUP(IH44,ChurnSeasonTable,4,FALSE)),0)+IW20*(AnnualChurn*VLOOKUP(IH44,ChurnSeasonTable,4,FALSE))*POWER(1-(AnnualChurn*VLOOKUP(IH44,ChurnSeasonTable,4,FALSE)),1)+IW8*(AnnualChurn*VLOOKUP(IH44,ChurnSeasonTable,4,FALSE))*POWER(1-(AnnualChurn*VLOOKUP(IH44,ChurnSeasonTable,4,FALSE)),2)</f>
        <v/>
      </c>
      <c r="JD44" s="12">
        <f>JD43+IX44-IX32*(AnnualChurn*VLOOKUP(IH44,ChurnSeasonTable,4,FALSE))*POWER(1-(AnnualChurn*VLOOKUP(IH44,ChurnSeasonTable,4,FALSE)),0)+IX20*(AnnualChurn*VLOOKUP(IH44,ChurnSeasonTable,4,FALSE))*POWER(1-(AnnualChurn*VLOOKUP(IH44,ChurnSeasonTable,4,FALSE)),1)+IX8*(AnnualChurn*VLOOKUP(IH44,ChurnSeasonTable,4,FALSE))*POWER(1-(AnnualChurn*VLOOKUP(IH44,ChurnSeasonTable,4,FALSE)),2)</f>
        <v/>
      </c>
      <c r="JE44" s="12">
        <f>IY44+IZ44+JA44+JB44+JC44+JD44</f>
        <v/>
      </c>
      <c r="JF44" s="9">
        <f>IY44*BlendedPriceEssMonthly*IK44+IZ44*BlendedPricePremMonthly*IK44+JA44*BlendedPriceEliteMonthly*IK44+JB44*BlendedPriceEssAnnual*IK44/12+JC44*BlendedPricePremAnnual*IK44/12+JD44*BlendedPriceEliteAnnual*IK44/12</f>
        <v/>
      </c>
      <c r="JG44" s="9">
        <f>JF44*12</f>
        <v/>
      </c>
      <c r="JH44" s="12">
        <f>IY44*BlendedPriceEssMonthly*IK44+IZ44*BlendedPricePremMonthly*IK44+JA44*BlendedPriceEliteMonthly*IK44</f>
        <v/>
      </c>
      <c r="JI44" s="12">
        <f>IV44*BlendedPriceEssAnnual*IK44+IW44*BlendedPricePremAnnual*IK44+IX44*BlendedPriceEliteAnnual*IK44</f>
        <v/>
      </c>
      <c r="JJ44" s="12">
        <f>IV32*POWER(1-(AnnualChurn*VLOOKUP(IH44,ChurnSeasonTable,4,FALSE)),1)*BlendedPriceEssAnnual*IK44+IV20*POWER(1-(AnnualChurn*VLOOKUP(IH44,ChurnSeasonTable,4,FALSE)),2)*BlendedPriceEssAnnual*IK44+IV8*POWER(1-(AnnualChurn*VLOOKUP(IH44,ChurnSeasonTable,4,FALSE)),3)*BlendedPriceEssAnnual*IK44+IW32*POWER(1-(AnnualChurn*VLOOKUP(IH44,ChurnSeasonTable,4,FALSE)),1)*BlendedPricePremAnnual*IK44+IW20*POWER(1-(AnnualChurn*VLOOKUP(IH44,ChurnSeasonTable,4,FALSE)),2)*BlendedPricePremAnnual*IK44+IW8*POWER(1-(AnnualChurn*VLOOKUP(IH44,ChurnSeasonTable,4,FALSE)),3)*BlendedPricePremAnnual*IK44+IX32*POWER(1-(AnnualChurn*VLOOKUP(IH44,ChurnSeasonTable,4,FALSE)),1)*BlendedPriceEliteAnnual*IK44+IX20*POWER(1-(AnnualChurn*VLOOKUP(IH44,ChurnSeasonTable,4,FALSE)),2)*BlendedPriceEliteAnnual*IK44+IX8*POWER(1-(AnnualChurn*VLOOKUP(IH44,ChurnSeasonTable,4,FALSE)),3)*BlendedPriceEliteAnnual*IK44</f>
        <v/>
      </c>
      <c r="JK44" s="9">
        <f>JH44+JI44+JJ44</f>
        <v/>
      </c>
      <c r="JL44" s="12">
        <f>SUM(JK33:JK44)</f>
        <v/>
      </c>
      <c r="JM44" s="12">
        <f>OR(JM43,IF(VATAgentMode,SUM($JK33:$JK44)-SUM($JR33:$JR44)&gt;=VATThreshold,SUM($JK33:$JK44)&gt;=VATThreshold))</f>
        <v/>
      </c>
      <c r="JN44" s="9">
        <f>IF(JM44,IF(VATAgentMode,JK44-((JK44-JR44)-(JK44-JR44)/(1+VATRate)),JK44/(1+VATRate)),JK44)</f>
        <v/>
      </c>
      <c r="JO44" s="12">
        <f>JK44-JN44</f>
        <v/>
      </c>
      <c r="JP44" s="12">
        <f>IF(JM44=0,0,IF(IH44=1,SUMPRODUCT(--(($II$5:$II44=$II44-1)*($IH$5:$IH44&gt;=10)*($IH$5:$IH44&lt;=12)),$JO$5:$JO44),IF(IH44=4,SUMPRODUCT(--(($II$5:$II44=$II44)*($IH$5:$IH44&gt;=1)*($IH$5:$IH44&lt;=3)),$JO$5:$JO44),IF(IH44=7,SUMPRODUCT(--(($II$5:$II44=$II44)*($IH$5:$IH44&gt;=4)*($IH$5:$IH44&lt;=6)),$JO$5:$JO44),IF(IH44=10,SUMPRODUCT(--(($II$5:$II44=$II44)*($IH$5:$IH44&gt;=7)*($IH$5:$IH44&lt;=9)),$JO$5:$JO44),0)))))</f>
        <v/>
      </c>
      <c r="JQ44" s="12">
        <f>JQ43+JO44-JP44</f>
        <v/>
      </c>
      <c r="JR44" s="12">
        <f>IF(ProviderDelay&gt;=1,IY43*BlendedProvPayEss+IZ43*BlendedProvPayPrem+JA43*BlendedProvPayElite+JB43*BlendedProvPayEss+JC43*BlendedProvPayPrem+JD43*BlendedProvPayElite,IY44*BlendedProvPayEss+IZ44*BlendedProvPayPrem+JA44*BlendedProvPayElite+JB44*BlendedProvPayEss+JC44*BlendedProvPayPrem+JD44*BlendedProvPayElite)</f>
        <v/>
      </c>
      <c r="JS44" s="12">
        <f>JK44*PaymentFee</f>
        <v/>
      </c>
      <c r="JT44" s="12">
        <f>JE44*OpsAI</f>
        <v/>
      </c>
      <c r="JU44" s="12">
        <f>MonthlyFixed</f>
        <v/>
      </c>
      <c r="JV44" s="12">
        <f>IO44*ReferralReward</f>
        <v/>
      </c>
      <c r="JW44" s="12">
        <f>IM44</f>
        <v/>
      </c>
      <c r="JX44" s="9">
        <f>JN44-JR44-JS44-JT44-JU44-JV44-JW44</f>
        <v/>
      </c>
      <c r="JY44" s="9">
        <f>JY43+JK44-(JR44+JS44+JT44+JU44+JV44+JW44+JP44)</f>
        <v/>
      </c>
      <c r="JZ44" s="12">
        <f>IF(JE44&gt;0,JF44/JE44,0)</f>
        <v/>
      </c>
      <c r="KA44" s="11">
        <f>IF(JE43&gt;0,MAX(0,(JE43+IP44-JE44)/JE43),0)</f>
        <v/>
      </c>
      <c r="KC44" s="12" t="n">
        <v>40</v>
      </c>
      <c r="KD44" s="12">
        <f>MOD(KC44-1+LaunchMonth-1,12)+1</f>
        <v/>
      </c>
      <c r="KE44" s="12">
        <f>INT((KC44-1+LaunchMonth-1)/12)+1</f>
        <v/>
      </c>
      <c r="KF44" s="12">
        <f>VLOOKUP(KD44,SeasonTable,2,FALSE)</f>
        <v/>
      </c>
      <c r="KG44" s="12">
        <f>(1+InflationRate)^INT((KC44-1)/12)</f>
        <v/>
      </c>
      <c r="KH44" s="11">
        <f>'Sens - Churn'!$A$16*VLOOKUP(KD44,ChurnSeasonTable,4,FALSE)</f>
        <v/>
      </c>
      <c r="KI44" s="12">
        <f>MIN(MAX(MktMin19plus,LG43*MktPct19plus),MAX(0,LU43-CashBuffer))</f>
        <v/>
      </c>
      <c r="KJ44" s="12">
        <f>IF(KI44&gt;0,MAX(1,ROUND(KI44/CAC*KF44,0)),0)</f>
        <v/>
      </c>
      <c r="KK44" s="12">
        <f>IF(KJ44&gt;0,ROUND(KJ44*ReferralMix/(1-ReferralMix),0),0)</f>
        <v/>
      </c>
      <c r="KL44" s="12">
        <f>KJ44+KK44</f>
        <v/>
      </c>
      <c r="KM44" s="12">
        <f>ROUND(KL44*(1-AnnualMix),0)</f>
        <v/>
      </c>
      <c r="KN44" s="12">
        <f>KL44-KM44</f>
        <v/>
      </c>
      <c r="KO44" s="12">
        <f>ROUND(KM44*EssentialMix,0)</f>
        <v/>
      </c>
      <c r="KP44" s="12">
        <f>ROUND(KM44*PremiumMix,0)</f>
        <v/>
      </c>
      <c r="KQ44" s="12">
        <f>KM44-KO44-KP44</f>
        <v/>
      </c>
      <c r="KR44" s="12">
        <f>ROUND(KN44*EssentialMix,0)</f>
        <v/>
      </c>
      <c r="KS44" s="12">
        <f>ROUND(KN44*PremiumMix,0)</f>
        <v/>
      </c>
      <c r="KT44" s="12">
        <f>KN44-KR44-KS44</f>
        <v/>
      </c>
      <c r="KU44" s="12">
        <f>KO44+KO43+KO42+MAX(0,KU43-KO43-KO42)*(1-KH44)</f>
        <v/>
      </c>
      <c r="KV44" s="12">
        <f>KP44+KP43+KP42+MAX(0,KV43-KP43-KP42)*(1-KH44)</f>
        <v/>
      </c>
      <c r="KW44" s="12">
        <f>KQ44+KQ43+KQ42+MAX(0,KW43-KQ43-KQ42)*(1-KH44)</f>
        <v/>
      </c>
      <c r="KX44" s="12">
        <f>KX43+KR44-KR32*(AnnualChurn*VLOOKUP(KD44,ChurnSeasonTable,4,FALSE))*POWER(1-(AnnualChurn*VLOOKUP(KD44,ChurnSeasonTable,4,FALSE)),0)+KR20*(AnnualChurn*VLOOKUP(KD44,ChurnSeasonTable,4,FALSE))*POWER(1-(AnnualChurn*VLOOKUP(KD44,ChurnSeasonTable,4,FALSE)),1)+KR8*(AnnualChurn*VLOOKUP(KD44,ChurnSeasonTable,4,FALSE))*POWER(1-(AnnualChurn*VLOOKUP(KD44,ChurnSeasonTable,4,FALSE)),2)</f>
        <v/>
      </c>
      <c r="KY44" s="12">
        <f>KY43+KS44-KS32*(AnnualChurn*VLOOKUP(KD44,ChurnSeasonTable,4,FALSE))*POWER(1-(AnnualChurn*VLOOKUP(KD44,ChurnSeasonTable,4,FALSE)),0)+KS20*(AnnualChurn*VLOOKUP(KD44,ChurnSeasonTable,4,FALSE))*POWER(1-(AnnualChurn*VLOOKUP(KD44,ChurnSeasonTable,4,FALSE)),1)+KS8*(AnnualChurn*VLOOKUP(KD44,ChurnSeasonTable,4,FALSE))*POWER(1-(AnnualChurn*VLOOKUP(KD44,ChurnSeasonTable,4,FALSE)),2)</f>
        <v/>
      </c>
      <c r="KZ44" s="12">
        <f>KZ43+KT44-KT32*(AnnualChurn*VLOOKUP(KD44,ChurnSeasonTable,4,FALSE))*POWER(1-(AnnualChurn*VLOOKUP(KD44,ChurnSeasonTable,4,FALSE)),0)+KT20*(AnnualChurn*VLOOKUP(KD44,ChurnSeasonTable,4,FALSE))*POWER(1-(AnnualChurn*VLOOKUP(KD44,ChurnSeasonTable,4,FALSE)),1)+KT8*(AnnualChurn*VLOOKUP(KD44,ChurnSeasonTable,4,FALSE))*POWER(1-(AnnualChurn*VLOOKUP(KD44,ChurnSeasonTable,4,FALSE)),2)</f>
        <v/>
      </c>
      <c r="LA44" s="12">
        <f>KU44+KV44+KW44+KX44+KY44+KZ44</f>
        <v/>
      </c>
      <c r="LB44" s="9">
        <f>KU44*BlendedPriceEssMonthly*KG44+KV44*BlendedPricePremMonthly*KG44+KW44*BlendedPriceEliteMonthly*KG44+KX44*BlendedPriceEssAnnual*KG44/12+KY44*BlendedPricePremAnnual*KG44/12+KZ44*BlendedPriceEliteAnnual*KG44/12</f>
        <v/>
      </c>
      <c r="LC44" s="9">
        <f>LB44*12</f>
        <v/>
      </c>
      <c r="LD44" s="12">
        <f>KU44*BlendedPriceEssMonthly*KG44+KV44*BlendedPricePremMonthly*KG44+KW44*BlendedPriceEliteMonthly*KG44</f>
        <v/>
      </c>
      <c r="LE44" s="12">
        <f>KR44*BlendedPriceEssAnnual*KG44+KS44*BlendedPricePremAnnual*KG44+KT44*BlendedPriceEliteAnnual*KG44</f>
        <v/>
      </c>
      <c r="LF44" s="12">
        <f>KR32*POWER(1-(AnnualChurn*VLOOKUP(KD44,ChurnSeasonTable,4,FALSE)),1)*BlendedPriceEssAnnual*KG44+KR20*POWER(1-(AnnualChurn*VLOOKUP(KD44,ChurnSeasonTable,4,FALSE)),2)*BlendedPriceEssAnnual*KG44+KR8*POWER(1-(AnnualChurn*VLOOKUP(KD44,ChurnSeasonTable,4,FALSE)),3)*BlendedPriceEssAnnual*KG44+KS32*POWER(1-(AnnualChurn*VLOOKUP(KD44,ChurnSeasonTable,4,FALSE)),1)*BlendedPricePremAnnual*KG44+KS20*POWER(1-(AnnualChurn*VLOOKUP(KD44,ChurnSeasonTable,4,FALSE)),2)*BlendedPricePremAnnual*KG44+KS8*POWER(1-(AnnualChurn*VLOOKUP(KD44,ChurnSeasonTable,4,FALSE)),3)*BlendedPricePremAnnual*KG44+KT32*POWER(1-(AnnualChurn*VLOOKUP(KD44,ChurnSeasonTable,4,FALSE)),1)*BlendedPriceEliteAnnual*KG44+KT20*POWER(1-(AnnualChurn*VLOOKUP(KD44,ChurnSeasonTable,4,FALSE)),2)*BlendedPriceEliteAnnual*KG44+KT8*POWER(1-(AnnualChurn*VLOOKUP(KD44,ChurnSeasonTable,4,FALSE)),3)*BlendedPriceEliteAnnual*KG44</f>
        <v/>
      </c>
      <c r="LG44" s="9">
        <f>LD44+LE44+LF44</f>
        <v/>
      </c>
      <c r="LH44" s="12">
        <f>SUM(LG33:LG44)</f>
        <v/>
      </c>
      <c r="LI44" s="12">
        <f>OR(LI43,IF(VATAgentMode,SUM($LG33:$LG44)-SUM($LN33:$LN44)&gt;=VATThreshold,SUM($LG33:$LG44)&gt;=VATThreshold))</f>
        <v/>
      </c>
      <c r="LJ44" s="9">
        <f>IF(LI44,IF(VATAgentMode,LG44-((LG44-LN44)-(LG44-LN44)/(1+VATRate)),LG44/(1+VATRate)),LG44)</f>
        <v/>
      </c>
      <c r="LK44" s="12">
        <f>LG44-LJ44</f>
        <v/>
      </c>
      <c r="LL44" s="12">
        <f>IF(LI44=0,0,IF(KD44=1,SUMPRODUCT(--(($KE$5:$KE44=$KE44-1)*($KD$5:$KD44&gt;=10)*($KD$5:$KD44&lt;=12)),$LK$5:$LK44),IF(KD44=4,SUMPRODUCT(--(($KE$5:$KE44=$KE44)*($KD$5:$KD44&gt;=1)*($KD$5:$KD44&lt;=3)),$LK$5:$LK44),IF(KD44=7,SUMPRODUCT(--(($KE$5:$KE44=$KE44)*($KD$5:$KD44&gt;=4)*($KD$5:$KD44&lt;=6)),$LK$5:$LK44),IF(KD44=10,SUMPRODUCT(--(($KE$5:$KE44=$KE44)*($KD$5:$KD44&gt;=7)*($KD$5:$KD44&lt;=9)),$LK$5:$LK44),0)))))</f>
        <v/>
      </c>
      <c r="LM44" s="12">
        <f>LM43+LK44-LL44</f>
        <v/>
      </c>
      <c r="LN44" s="12">
        <f>IF(ProviderDelay&gt;=1,KU43*BlendedProvPayEss+KV43*BlendedProvPayPrem+KW43*BlendedProvPayElite+KX43*BlendedProvPayEss+KY43*BlendedProvPayPrem+KZ43*BlendedProvPayElite,KU44*BlendedProvPayEss+KV44*BlendedProvPayPrem+KW44*BlendedProvPayElite+KX44*BlendedProvPayEss+KY44*BlendedProvPayPrem+KZ44*BlendedProvPayElite)</f>
        <v/>
      </c>
      <c r="LO44" s="12">
        <f>LG44*PaymentFee</f>
        <v/>
      </c>
      <c r="LP44" s="12">
        <f>LA44*OpsAI</f>
        <v/>
      </c>
      <c r="LQ44" s="12">
        <f>MonthlyFixed</f>
        <v/>
      </c>
      <c r="LR44" s="12">
        <f>KK44*ReferralReward</f>
        <v/>
      </c>
      <c r="LS44" s="12">
        <f>KI44</f>
        <v/>
      </c>
      <c r="LT44" s="9">
        <f>LJ44-LN44-LO44-LP44-LQ44-LR44-LS44</f>
        <v/>
      </c>
      <c r="LU44" s="9">
        <f>LU43+LG44-(LN44+LO44+LP44+LQ44+LR44+LS44+LL44)</f>
        <v/>
      </c>
      <c r="LV44" s="12">
        <f>IF(LA44&gt;0,LB44/LA44,0)</f>
        <v/>
      </c>
      <c r="LW44" s="11">
        <f>IF(LA43&gt;0,MAX(0,(LA43+KL44-LA44)/LA43),0)</f>
        <v/>
      </c>
      <c r="LY44" s="12" t="n">
        <v>40</v>
      </c>
      <c r="LZ44" s="12">
        <f>MOD(LY44-1+LaunchMonth-1,12)+1</f>
        <v/>
      </c>
      <c r="MA44" s="12">
        <f>INT((LY44-1+LaunchMonth-1)/12)+1</f>
        <v/>
      </c>
      <c r="MB44" s="12">
        <f>VLOOKUP(LZ44,SeasonTable,2,FALSE)</f>
        <v/>
      </c>
      <c r="MC44" s="12">
        <f>(1+InflationRate)^INT((LY44-1)/12)</f>
        <v/>
      </c>
      <c r="MD44" s="11">
        <f>'Sens - Churn'!$A$17*VLOOKUP(LZ44,ChurnSeasonTable,4,FALSE)</f>
        <v/>
      </c>
      <c r="ME44" s="12">
        <f>MIN(MAX(MktMin19plus,NC43*MktPct19plus),MAX(0,NQ43-CashBuffer))</f>
        <v/>
      </c>
      <c r="MF44" s="12">
        <f>IF(ME44&gt;0,MAX(1,ROUND(ME44/CAC*MB44,0)),0)</f>
        <v/>
      </c>
      <c r="MG44" s="12">
        <f>IF(MF44&gt;0,ROUND(MF44*ReferralMix/(1-ReferralMix),0),0)</f>
        <v/>
      </c>
      <c r="MH44" s="12">
        <f>MF44+MG44</f>
        <v/>
      </c>
      <c r="MI44" s="12">
        <f>ROUND(MH44*(1-AnnualMix),0)</f>
        <v/>
      </c>
      <c r="MJ44" s="12">
        <f>MH44-MI44</f>
        <v/>
      </c>
      <c r="MK44" s="12">
        <f>ROUND(MI44*EssentialMix,0)</f>
        <v/>
      </c>
      <c r="ML44" s="12">
        <f>ROUND(MI44*PremiumMix,0)</f>
        <v/>
      </c>
      <c r="MM44" s="12">
        <f>MI44-MK44-ML44</f>
        <v/>
      </c>
      <c r="MN44" s="12">
        <f>ROUND(MJ44*EssentialMix,0)</f>
        <v/>
      </c>
      <c r="MO44" s="12">
        <f>ROUND(MJ44*PremiumMix,0)</f>
        <v/>
      </c>
      <c r="MP44" s="12">
        <f>MJ44-MN44-MO44</f>
        <v/>
      </c>
      <c r="MQ44" s="12">
        <f>MK44+MK43+MK42+MAX(0,MQ43-MK43-MK42)*(1-MD44)</f>
        <v/>
      </c>
      <c r="MR44" s="12">
        <f>ML44+ML43+ML42+MAX(0,MR43-ML43-ML42)*(1-MD44)</f>
        <v/>
      </c>
      <c r="MS44" s="12">
        <f>MM44+MM43+MM42+MAX(0,MS43-MM43-MM42)*(1-MD44)</f>
        <v/>
      </c>
      <c r="MT44" s="12">
        <f>MT43+MN44-MN32*(AnnualChurn*VLOOKUP(LZ44,ChurnSeasonTable,4,FALSE))*POWER(1-(AnnualChurn*VLOOKUP(LZ44,ChurnSeasonTable,4,FALSE)),0)+MN20*(AnnualChurn*VLOOKUP(LZ44,ChurnSeasonTable,4,FALSE))*POWER(1-(AnnualChurn*VLOOKUP(LZ44,ChurnSeasonTable,4,FALSE)),1)+MN8*(AnnualChurn*VLOOKUP(LZ44,ChurnSeasonTable,4,FALSE))*POWER(1-(AnnualChurn*VLOOKUP(LZ44,ChurnSeasonTable,4,FALSE)),2)</f>
        <v/>
      </c>
      <c r="MU44" s="12">
        <f>MU43+MO44-MO32*(AnnualChurn*VLOOKUP(LZ44,ChurnSeasonTable,4,FALSE))*POWER(1-(AnnualChurn*VLOOKUP(LZ44,ChurnSeasonTable,4,FALSE)),0)+MO20*(AnnualChurn*VLOOKUP(LZ44,ChurnSeasonTable,4,FALSE))*POWER(1-(AnnualChurn*VLOOKUP(LZ44,ChurnSeasonTable,4,FALSE)),1)+MO8*(AnnualChurn*VLOOKUP(LZ44,ChurnSeasonTable,4,FALSE))*POWER(1-(AnnualChurn*VLOOKUP(LZ44,ChurnSeasonTable,4,FALSE)),2)</f>
        <v/>
      </c>
      <c r="MV44" s="12">
        <f>MV43+MP44-MP32*(AnnualChurn*VLOOKUP(LZ44,ChurnSeasonTable,4,FALSE))*POWER(1-(AnnualChurn*VLOOKUP(LZ44,ChurnSeasonTable,4,FALSE)),0)+MP20*(AnnualChurn*VLOOKUP(LZ44,ChurnSeasonTable,4,FALSE))*POWER(1-(AnnualChurn*VLOOKUP(LZ44,ChurnSeasonTable,4,FALSE)),1)+MP8*(AnnualChurn*VLOOKUP(LZ44,ChurnSeasonTable,4,FALSE))*POWER(1-(AnnualChurn*VLOOKUP(LZ44,ChurnSeasonTable,4,FALSE)),2)</f>
        <v/>
      </c>
      <c r="MW44" s="12">
        <f>MQ44+MR44+MS44+MT44+MU44+MV44</f>
        <v/>
      </c>
      <c r="MX44" s="9">
        <f>MQ44*BlendedPriceEssMonthly*MC44+MR44*BlendedPricePremMonthly*MC44+MS44*BlendedPriceEliteMonthly*MC44+MT44*BlendedPriceEssAnnual*MC44/12+MU44*BlendedPricePremAnnual*MC44/12+MV44*BlendedPriceEliteAnnual*MC44/12</f>
        <v/>
      </c>
      <c r="MY44" s="9">
        <f>MX44*12</f>
        <v/>
      </c>
      <c r="MZ44" s="12">
        <f>MQ44*BlendedPriceEssMonthly*MC44+MR44*BlendedPricePremMonthly*MC44+MS44*BlendedPriceEliteMonthly*MC44</f>
        <v/>
      </c>
      <c r="NA44" s="12">
        <f>MN44*BlendedPriceEssAnnual*MC44+MO44*BlendedPricePremAnnual*MC44+MP44*BlendedPriceEliteAnnual*MC44</f>
        <v/>
      </c>
      <c r="NB44" s="12">
        <f>MN32*POWER(1-(AnnualChurn*VLOOKUP(LZ44,ChurnSeasonTable,4,FALSE)),1)*BlendedPriceEssAnnual*MC44+MN20*POWER(1-(AnnualChurn*VLOOKUP(LZ44,ChurnSeasonTable,4,FALSE)),2)*BlendedPriceEssAnnual*MC44+MN8*POWER(1-(AnnualChurn*VLOOKUP(LZ44,ChurnSeasonTable,4,FALSE)),3)*BlendedPriceEssAnnual*MC44+MO32*POWER(1-(AnnualChurn*VLOOKUP(LZ44,ChurnSeasonTable,4,FALSE)),1)*BlendedPricePremAnnual*MC44+MO20*POWER(1-(AnnualChurn*VLOOKUP(LZ44,ChurnSeasonTable,4,FALSE)),2)*BlendedPricePremAnnual*MC44+MO8*POWER(1-(AnnualChurn*VLOOKUP(LZ44,ChurnSeasonTable,4,FALSE)),3)*BlendedPricePremAnnual*MC44+MP32*POWER(1-(AnnualChurn*VLOOKUP(LZ44,ChurnSeasonTable,4,FALSE)),1)*BlendedPriceEliteAnnual*MC44+MP20*POWER(1-(AnnualChurn*VLOOKUP(LZ44,ChurnSeasonTable,4,FALSE)),2)*BlendedPriceEliteAnnual*MC44+MP8*POWER(1-(AnnualChurn*VLOOKUP(LZ44,ChurnSeasonTable,4,FALSE)),3)*BlendedPriceEliteAnnual*MC44</f>
        <v/>
      </c>
      <c r="NC44" s="9">
        <f>MZ44+NA44+NB44</f>
        <v/>
      </c>
      <c r="ND44" s="12">
        <f>SUM(NC33:NC44)</f>
        <v/>
      </c>
      <c r="NE44" s="12">
        <f>OR(NE43,IF(VATAgentMode,SUM($NC33:$NC44)-SUM($NJ33:$NJ44)&gt;=VATThreshold,SUM($NC33:$NC44)&gt;=VATThreshold))</f>
        <v/>
      </c>
      <c r="NF44" s="9">
        <f>IF(NE44,IF(VATAgentMode,NC44-((NC44-NJ44)-(NC44-NJ44)/(1+VATRate)),NC44/(1+VATRate)),NC44)</f>
        <v/>
      </c>
      <c r="NG44" s="12">
        <f>NC44-NF44</f>
        <v/>
      </c>
      <c r="NH44" s="12">
        <f>IF(NE44=0,0,IF(LZ44=1,SUMPRODUCT(--(($MA$5:$MA44=$MA44-1)*($LZ$5:$LZ44&gt;=10)*($LZ$5:$LZ44&lt;=12)),$NG$5:$NG44),IF(LZ44=4,SUMPRODUCT(--(($MA$5:$MA44=$MA44)*($LZ$5:$LZ44&gt;=1)*($LZ$5:$LZ44&lt;=3)),$NG$5:$NG44),IF(LZ44=7,SUMPRODUCT(--(($MA$5:$MA44=$MA44)*($LZ$5:$LZ44&gt;=4)*($LZ$5:$LZ44&lt;=6)),$NG$5:$NG44),IF(LZ44=10,SUMPRODUCT(--(($MA$5:$MA44=$MA44)*($LZ$5:$LZ44&gt;=7)*($LZ$5:$LZ44&lt;=9)),$NG$5:$NG44),0)))))</f>
        <v/>
      </c>
      <c r="NI44" s="12">
        <f>NI43+NG44-NH44</f>
        <v/>
      </c>
      <c r="NJ44" s="12">
        <f>IF(ProviderDelay&gt;=1,MQ43*BlendedProvPayEss+MR43*BlendedProvPayPrem+MS43*BlendedProvPayElite+MT43*BlendedProvPayEss+MU43*BlendedProvPayPrem+MV43*BlendedProvPayElite,MQ44*BlendedProvPayEss+MR44*BlendedProvPayPrem+MS44*BlendedProvPayElite+MT44*BlendedProvPayEss+MU44*BlendedProvPayPrem+MV44*BlendedProvPayElite)</f>
        <v/>
      </c>
      <c r="NK44" s="12">
        <f>NC44*PaymentFee</f>
        <v/>
      </c>
      <c r="NL44" s="12">
        <f>MW44*OpsAI</f>
        <v/>
      </c>
      <c r="NM44" s="12">
        <f>MonthlyFixed</f>
        <v/>
      </c>
      <c r="NN44" s="12">
        <f>MG44*ReferralReward</f>
        <v/>
      </c>
      <c r="NO44" s="12">
        <f>ME44</f>
        <v/>
      </c>
      <c r="NP44" s="9">
        <f>NF44-NJ44-NK44-NL44-NM44-NN44-NO44</f>
        <v/>
      </c>
      <c r="NQ44" s="9">
        <f>NQ43+NC44-(NJ44+NK44+NL44+NM44+NN44+NO44+NH44)</f>
        <v/>
      </c>
      <c r="NR44" s="12">
        <f>IF(MW44&gt;0,MX44/MW44,0)</f>
        <v/>
      </c>
      <c r="NS44" s="11">
        <f>IF(MW43&gt;0,MAX(0,(MW43+MH44-MW44)/MW43),0)</f>
        <v/>
      </c>
      <c r="NU44" s="12" t="n">
        <v>40</v>
      </c>
      <c r="NV44" s="12">
        <f>MOD(NU44-1+LaunchMonth-1,12)+1</f>
        <v/>
      </c>
      <c r="NW44" s="12">
        <f>INT((NU44-1+LaunchMonth-1)/12)+1</f>
        <v/>
      </c>
      <c r="NX44" s="12">
        <f>VLOOKUP(NV44,SeasonTable,2,FALSE)</f>
        <v/>
      </c>
      <c r="NY44" s="12">
        <f>(1+InflationRate)^INT((NU44-1)/12)</f>
        <v/>
      </c>
      <c r="NZ44" s="11">
        <f>'Sens - Churn'!$A$18*VLOOKUP(NV44,ChurnSeasonTable,4,FALSE)</f>
        <v/>
      </c>
      <c r="OA44" s="12">
        <f>MIN(MAX(MktMin19plus,OY43*MktPct19plus),MAX(0,PM43-CashBuffer))</f>
        <v/>
      </c>
      <c r="OB44" s="12">
        <f>IF(OA44&gt;0,MAX(1,ROUND(OA44/CAC*NX44,0)),0)</f>
        <v/>
      </c>
      <c r="OC44" s="12">
        <f>IF(OB44&gt;0,ROUND(OB44*ReferralMix/(1-ReferralMix),0),0)</f>
        <v/>
      </c>
      <c r="OD44" s="12">
        <f>OB44+OC44</f>
        <v/>
      </c>
      <c r="OE44" s="12">
        <f>ROUND(OD44*(1-AnnualMix),0)</f>
        <v/>
      </c>
      <c r="OF44" s="12">
        <f>OD44-OE44</f>
        <v/>
      </c>
      <c r="OG44" s="12">
        <f>ROUND(OE44*EssentialMix,0)</f>
        <v/>
      </c>
      <c r="OH44" s="12">
        <f>ROUND(OE44*PremiumMix,0)</f>
        <v/>
      </c>
      <c r="OI44" s="12">
        <f>OE44-OG44-OH44</f>
        <v/>
      </c>
      <c r="OJ44" s="12">
        <f>ROUND(OF44*EssentialMix,0)</f>
        <v/>
      </c>
      <c r="OK44" s="12">
        <f>ROUND(OF44*PremiumMix,0)</f>
        <v/>
      </c>
      <c r="OL44" s="12">
        <f>OF44-OJ44-OK44</f>
        <v/>
      </c>
      <c r="OM44" s="12">
        <f>OG44+OG43+OG42+MAX(0,OM43-OG43-OG42)*(1-NZ44)</f>
        <v/>
      </c>
      <c r="ON44" s="12">
        <f>OH44+OH43+OH42+MAX(0,ON43-OH43-OH42)*(1-NZ44)</f>
        <v/>
      </c>
      <c r="OO44" s="12">
        <f>OI44+OI43+OI42+MAX(0,OO43-OI43-OI42)*(1-NZ44)</f>
        <v/>
      </c>
      <c r="OP44" s="12">
        <f>OP43+OJ44-OJ32*(AnnualChurn*VLOOKUP(NV44,ChurnSeasonTable,4,FALSE))*POWER(1-(AnnualChurn*VLOOKUP(NV44,ChurnSeasonTable,4,FALSE)),0)+OJ20*(AnnualChurn*VLOOKUP(NV44,ChurnSeasonTable,4,FALSE))*POWER(1-(AnnualChurn*VLOOKUP(NV44,ChurnSeasonTable,4,FALSE)),1)+OJ8*(AnnualChurn*VLOOKUP(NV44,ChurnSeasonTable,4,FALSE))*POWER(1-(AnnualChurn*VLOOKUP(NV44,ChurnSeasonTable,4,FALSE)),2)</f>
        <v/>
      </c>
      <c r="OQ44" s="12">
        <f>OQ43+OK44-OK32*(AnnualChurn*VLOOKUP(NV44,ChurnSeasonTable,4,FALSE))*POWER(1-(AnnualChurn*VLOOKUP(NV44,ChurnSeasonTable,4,FALSE)),0)+OK20*(AnnualChurn*VLOOKUP(NV44,ChurnSeasonTable,4,FALSE))*POWER(1-(AnnualChurn*VLOOKUP(NV44,ChurnSeasonTable,4,FALSE)),1)+OK8*(AnnualChurn*VLOOKUP(NV44,ChurnSeasonTable,4,FALSE))*POWER(1-(AnnualChurn*VLOOKUP(NV44,ChurnSeasonTable,4,FALSE)),2)</f>
        <v/>
      </c>
      <c r="OR44" s="12">
        <f>OR43+OL44-OL32*(AnnualChurn*VLOOKUP(NV44,ChurnSeasonTable,4,FALSE))*POWER(1-(AnnualChurn*VLOOKUP(NV44,ChurnSeasonTable,4,FALSE)),0)+OL20*(AnnualChurn*VLOOKUP(NV44,ChurnSeasonTable,4,FALSE))*POWER(1-(AnnualChurn*VLOOKUP(NV44,ChurnSeasonTable,4,FALSE)),1)+OL8*(AnnualChurn*VLOOKUP(NV44,ChurnSeasonTable,4,FALSE))*POWER(1-(AnnualChurn*VLOOKUP(NV44,ChurnSeasonTable,4,FALSE)),2)</f>
        <v/>
      </c>
      <c r="OS44" s="12">
        <f>OM44+ON44+OO44+OP44+OQ44+OR44</f>
        <v/>
      </c>
      <c r="OT44" s="9">
        <f>OM44*BlendedPriceEssMonthly*NY44+ON44*BlendedPricePremMonthly*NY44+OO44*BlendedPriceEliteMonthly*NY44+OP44*BlendedPriceEssAnnual*NY44/12+OQ44*BlendedPricePremAnnual*NY44/12+OR44*BlendedPriceEliteAnnual*NY44/12</f>
        <v/>
      </c>
      <c r="OU44" s="9">
        <f>OT44*12</f>
        <v/>
      </c>
      <c r="OV44" s="12">
        <f>OM44*BlendedPriceEssMonthly*NY44+ON44*BlendedPricePremMonthly*NY44+OO44*BlendedPriceEliteMonthly*NY44</f>
        <v/>
      </c>
      <c r="OW44" s="12">
        <f>OJ44*BlendedPriceEssAnnual*NY44+OK44*BlendedPricePremAnnual*NY44+OL44*BlendedPriceEliteAnnual*NY44</f>
        <v/>
      </c>
      <c r="OX44" s="12">
        <f>OJ32*POWER(1-(AnnualChurn*VLOOKUP(NV44,ChurnSeasonTable,4,FALSE)),1)*BlendedPriceEssAnnual*NY44+OJ20*POWER(1-(AnnualChurn*VLOOKUP(NV44,ChurnSeasonTable,4,FALSE)),2)*BlendedPriceEssAnnual*NY44+OJ8*POWER(1-(AnnualChurn*VLOOKUP(NV44,ChurnSeasonTable,4,FALSE)),3)*BlendedPriceEssAnnual*NY44+OK32*POWER(1-(AnnualChurn*VLOOKUP(NV44,ChurnSeasonTable,4,FALSE)),1)*BlendedPricePremAnnual*NY44+OK20*POWER(1-(AnnualChurn*VLOOKUP(NV44,ChurnSeasonTable,4,FALSE)),2)*BlendedPricePremAnnual*NY44+OK8*POWER(1-(AnnualChurn*VLOOKUP(NV44,ChurnSeasonTable,4,FALSE)),3)*BlendedPricePremAnnual*NY44+OL32*POWER(1-(AnnualChurn*VLOOKUP(NV44,ChurnSeasonTable,4,FALSE)),1)*BlendedPriceEliteAnnual*NY44+OL20*POWER(1-(AnnualChurn*VLOOKUP(NV44,ChurnSeasonTable,4,FALSE)),2)*BlendedPriceEliteAnnual*NY44+OL8*POWER(1-(AnnualChurn*VLOOKUP(NV44,ChurnSeasonTable,4,FALSE)),3)*BlendedPriceEliteAnnual*NY44</f>
        <v/>
      </c>
      <c r="OY44" s="9">
        <f>OV44+OW44+OX44</f>
        <v/>
      </c>
      <c r="OZ44" s="12">
        <f>SUM(OY33:OY44)</f>
        <v/>
      </c>
      <c r="PA44" s="12">
        <f>OR(PA43,IF(VATAgentMode,SUM($OY33:$OY44)-SUM($PF33:$PF44)&gt;=VATThreshold,SUM($OY33:$OY44)&gt;=VATThreshold))</f>
        <v/>
      </c>
      <c r="PB44" s="9">
        <f>IF(PA44,IF(VATAgentMode,OY44-((OY44-PF44)-(OY44-PF44)/(1+VATRate)),OY44/(1+VATRate)),OY44)</f>
        <v/>
      </c>
      <c r="PC44" s="12">
        <f>OY44-PB44</f>
        <v/>
      </c>
      <c r="PD44" s="12">
        <f>IF(PA44=0,0,IF(NV44=1,SUMPRODUCT(--(($NW$5:$NW44=$NW44-1)*($NV$5:$NV44&gt;=10)*($NV$5:$NV44&lt;=12)),$PC$5:$PC44),IF(NV44=4,SUMPRODUCT(--(($NW$5:$NW44=$NW44)*($NV$5:$NV44&gt;=1)*($NV$5:$NV44&lt;=3)),$PC$5:$PC44),IF(NV44=7,SUMPRODUCT(--(($NW$5:$NW44=$NW44)*($NV$5:$NV44&gt;=4)*($NV$5:$NV44&lt;=6)),$PC$5:$PC44),IF(NV44=10,SUMPRODUCT(--(($NW$5:$NW44=$NW44)*($NV$5:$NV44&gt;=7)*($NV$5:$NV44&lt;=9)),$PC$5:$PC44),0)))))</f>
        <v/>
      </c>
      <c r="PE44" s="12">
        <f>PE43+PC44-PD44</f>
        <v/>
      </c>
      <c r="PF44" s="12">
        <f>IF(ProviderDelay&gt;=1,OM43*BlendedProvPayEss+ON43*BlendedProvPayPrem+OO43*BlendedProvPayElite+OP43*BlendedProvPayEss+OQ43*BlendedProvPayPrem+OR43*BlendedProvPayElite,OM44*BlendedProvPayEss+ON44*BlendedProvPayPrem+OO44*BlendedProvPayElite+OP44*BlendedProvPayEss+OQ44*BlendedProvPayPrem+OR44*BlendedProvPayElite)</f>
        <v/>
      </c>
      <c r="PG44" s="12">
        <f>OY44*PaymentFee</f>
        <v/>
      </c>
      <c r="PH44" s="12">
        <f>OS44*OpsAI</f>
        <v/>
      </c>
      <c r="PI44" s="12">
        <f>MonthlyFixed</f>
        <v/>
      </c>
      <c r="PJ44" s="12">
        <f>OC44*ReferralReward</f>
        <v/>
      </c>
      <c r="PK44" s="12">
        <f>OA44</f>
        <v/>
      </c>
      <c r="PL44" s="9">
        <f>PB44-PF44-PG44-PH44-PI44-PJ44-PK44</f>
        <v/>
      </c>
      <c r="PM44" s="9">
        <f>PM43+OY44-(PF44+PG44+PH44+PI44+PJ44+PK44+PD44)</f>
        <v/>
      </c>
      <c r="PN44" s="12">
        <f>IF(OS44&gt;0,OT44/OS44,0)</f>
        <v/>
      </c>
      <c r="PO44" s="11">
        <f>IF(OS43&gt;0,MAX(0,(OS43+OD44-OS44)/OS43),0)</f>
        <v/>
      </c>
      <c r="PQ44" s="12" t="n">
        <v>40</v>
      </c>
      <c r="PR44" s="12">
        <f>MOD(PQ44-1+LaunchMonth-1,12)+1</f>
        <v/>
      </c>
      <c r="PS44" s="12">
        <f>INT((PQ44-1+LaunchMonth-1)/12)+1</f>
        <v/>
      </c>
      <c r="PT44" s="12">
        <f>VLOOKUP(PR44,SeasonTable,2,FALSE)</f>
        <v/>
      </c>
      <c r="PU44" s="12">
        <f>(1+InflationRate)^INT((PQ44-1)/12)</f>
        <v/>
      </c>
      <c r="PV44" s="11">
        <f>'Sens - Churn'!$A$19*VLOOKUP(PR44,ChurnSeasonTable,4,FALSE)</f>
        <v/>
      </c>
      <c r="PW44" s="12">
        <f>MIN(MAX(MktMin19plus,QU43*MktPct19plus),MAX(0,RI43-CashBuffer))</f>
        <v/>
      </c>
      <c r="PX44" s="12">
        <f>IF(PW44&gt;0,MAX(1,ROUND(PW44/CAC*PT44,0)),0)</f>
        <v/>
      </c>
      <c r="PY44" s="12">
        <f>IF(PX44&gt;0,ROUND(PX44*ReferralMix/(1-ReferralMix),0),0)</f>
        <v/>
      </c>
      <c r="PZ44" s="12">
        <f>PX44+PY44</f>
        <v/>
      </c>
      <c r="QA44" s="12">
        <f>ROUND(PZ44*(1-AnnualMix),0)</f>
        <v/>
      </c>
      <c r="QB44" s="12">
        <f>PZ44-QA44</f>
        <v/>
      </c>
      <c r="QC44" s="12">
        <f>ROUND(QA44*EssentialMix,0)</f>
        <v/>
      </c>
      <c r="QD44" s="12">
        <f>ROUND(QA44*PremiumMix,0)</f>
        <v/>
      </c>
      <c r="QE44" s="12">
        <f>QA44-QC44-QD44</f>
        <v/>
      </c>
      <c r="QF44" s="12">
        <f>ROUND(QB44*EssentialMix,0)</f>
        <v/>
      </c>
      <c r="QG44" s="12">
        <f>ROUND(QB44*PremiumMix,0)</f>
        <v/>
      </c>
      <c r="QH44" s="12">
        <f>QB44-QF44-QG44</f>
        <v/>
      </c>
      <c r="QI44" s="12">
        <f>QC44+QC43+QC42+MAX(0,QI43-QC43-QC42)*(1-PV44)</f>
        <v/>
      </c>
      <c r="QJ44" s="12">
        <f>QD44+QD43+QD42+MAX(0,QJ43-QD43-QD42)*(1-PV44)</f>
        <v/>
      </c>
      <c r="QK44" s="12">
        <f>QE44+QE43+QE42+MAX(0,QK43-QE43-QE42)*(1-PV44)</f>
        <v/>
      </c>
      <c r="QL44" s="12">
        <f>QL43+QF44-QF32*(AnnualChurn*VLOOKUP(PR44,ChurnSeasonTable,4,FALSE))*POWER(1-(AnnualChurn*VLOOKUP(PR44,ChurnSeasonTable,4,FALSE)),0)+QF20*(AnnualChurn*VLOOKUP(PR44,ChurnSeasonTable,4,FALSE))*POWER(1-(AnnualChurn*VLOOKUP(PR44,ChurnSeasonTable,4,FALSE)),1)+QF8*(AnnualChurn*VLOOKUP(PR44,ChurnSeasonTable,4,FALSE))*POWER(1-(AnnualChurn*VLOOKUP(PR44,ChurnSeasonTable,4,FALSE)),2)</f>
        <v/>
      </c>
      <c r="QM44" s="12">
        <f>QM43+QG44-QG32*(AnnualChurn*VLOOKUP(PR44,ChurnSeasonTable,4,FALSE))*POWER(1-(AnnualChurn*VLOOKUP(PR44,ChurnSeasonTable,4,FALSE)),0)+QG20*(AnnualChurn*VLOOKUP(PR44,ChurnSeasonTable,4,FALSE))*POWER(1-(AnnualChurn*VLOOKUP(PR44,ChurnSeasonTable,4,FALSE)),1)+QG8*(AnnualChurn*VLOOKUP(PR44,ChurnSeasonTable,4,FALSE))*POWER(1-(AnnualChurn*VLOOKUP(PR44,ChurnSeasonTable,4,FALSE)),2)</f>
        <v/>
      </c>
      <c r="QN44" s="12">
        <f>QN43+QH44-QH32*(AnnualChurn*VLOOKUP(PR44,ChurnSeasonTable,4,FALSE))*POWER(1-(AnnualChurn*VLOOKUP(PR44,ChurnSeasonTable,4,FALSE)),0)+QH20*(AnnualChurn*VLOOKUP(PR44,ChurnSeasonTable,4,FALSE))*POWER(1-(AnnualChurn*VLOOKUP(PR44,ChurnSeasonTable,4,FALSE)),1)+QH8*(AnnualChurn*VLOOKUP(PR44,ChurnSeasonTable,4,FALSE))*POWER(1-(AnnualChurn*VLOOKUP(PR44,ChurnSeasonTable,4,FALSE)),2)</f>
        <v/>
      </c>
      <c r="QO44" s="12">
        <f>QI44+QJ44+QK44+QL44+QM44+QN44</f>
        <v/>
      </c>
      <c r="QP44" s="9">
        <f>QI44*BlendedPriceEssMonthly*PU44+QJ44*BlendedPricePremMonthly*PU44+QK44*BlendedPriceEliteMonthly*PU44+QL44*BlendedPriceEssAnnual*PU44/12+QM44*BlendedPricePremAnnual*PU44/12+QN44*BlendedPriceEliteAnnual*PU44/12</f>
        <v/>
      </c>
      <c r="QQ44" s="9">
        <f>QP44*12</f>
        <v/>
      </c>
      <c r="QR44" s="12">
        <f>QI44*BlendedPriceEssMonthly*PU44+QJ44*BlendedPricePremMonthly*PU44+QK44*BlendedPriceEliteMonthly*PU44</f>
        <v/>
      </c>
      <c r="QS44" s="12">
        <f>QF44*BlendedPriceEssAnnual*PU44+QG44*BlendedPricePremAnnual*PU44+QH44*BlendedPriceEliteAnnual*PU44</f>
        <v/>
      </c>
      <c r="QT44" s="12">
        <f>QF32*POWER(1-(AnnualChurn*VLOOKUP(PR44,ChurnSeasonTable,4,FALSE)),1)*BlendedPriceEssAnnual*PU44+QF20*POWER(1-(AnnualChurn*VLOOKUP(PR44,ChurnSeasonTable,4,FALSE)),2)*BlendedPriceEssAnnual*PU44+QF8*POWER(1-(AnnualChurn*VLOOKUP(PR44,ChurnSeasonTable,4,FALSE)),3)*BlendedPriceEssAnnual*PU44+QG32*POWER(1-(AnnualChurn*VLOOKUP(PR44,ChurnSeasonTable,4,FALSE)),1)*BlendedPricePremAnnual*PU44+QG20*POWER(1-(AnnualChurn*VLOOKUP(PR44,ChurnSeasonTable,4,FALSE)),2)*BlendedPricePremAnnual*PU44+QG8*POWER(1-(AnnualChurn*VLOOKUP(PR44,ChurnSeasonTable,4,FALSE)),3)*BlendedPricePremAnnual*PU44+QH32*POWER(1-(AnnualChurn*VLOOKUP(PR44,ChurnSeasonTable,4,FALSE)),1)*BlendedPriceEliteAnnual*PU44+QH20*POWER(1-(AnnualChurn*VLOOKUP(PR44,ChurnSeasonTable,4,FALSE)),2)*BlendedPriceEliteAnnual*PU44+QH8*POWER(1-(AnnualChurn*VLOOKUP(PR44,ChurnSeasonTable,4,FALSE)),3)*BlendedPriceEliteAnnual*PU44</f>
        <v/>
      </c>
      <c r="QU44" s="9">
        <f>QR44+QS44+QT44</f>
        <v/>
      </c>
      <c r="QV44" s="12">
        <f>SUM(QU33:QU44)</f>
        <v/>
      </c>
      <c r="QW44" s="12">
        <f>OR(QW43,IF(VATAgentMode,SUM($QU33:$QU44)-SUM($RB33:$RB44)&gt;=VATThreshold,SUM($QU33:$QU44)&gt;=VATThreshold))</f>
        <v/>
      </c>
      <c r="QX44" s="9">
        <f>IF(QW44,IF(VATAgentMode,QU44-((QU44-RB44)-(QU44-RB44)/(1+VATRate)),QU44/(1+VATRate)),QU44)</f>
        <v/>
      </c>
      <c r="QY44" s="12">
        <f>QU44-QX44</f>
        <v/>
      </c>
      <c r="QZ44" s="12">
        <f>IF(QW44=0,0,IF(PR44=1,SUMPRODUCT(--(($PS$5:$PS44=$PS44-1)*($PR$5:$PR44&gt;=10)*($PR$5:$PR44&lt;=12)),$QY$5:$QY44),IF(PR44=4,SUMPRODUCT(--(($PS$5:$PS44=$PS44)*($PR$5:$PR44&gt;=1)*($PR$5:$PR44&lt;=3)),$QY$5:$QY44),IF(PR44=7,SUMPRODUCT(--(($PS$5:$PS44=$PS44)*($PR$5:$PR44&gt;=4)*($PR$5:$PR44&lt;=6)),$QY$5:$QY44),IF(PR44=10,SUMPRODUCT(--(($PS$5:$PS44=$PS44)*($PR$5:$PR44&gt;=7)*($PR$5:$PR44&lt;=9)),$QY$5:$QY44),0)))))</f>
        <v/>
      </c>
      <c r="RA44" s="12">
        <f>RA43+QY44-QZ44</f>
        <v/>
      </c>
      <c r="RB44" s="12">
        <f>IF(ProviderDelay&gt;=1,QI43*BlendedProvPayEss+QJ43*BlendedProvPayPrem+QK43*BlendedProvPayElite+QL43*BlendedProvPayEss+QM43*BlendedProvPayPrem+QN43*BlendedProvPayElite,QI44*BlendedProvPayEss+QJ44*BlendedProvPayPrem+QK44*BlendedProvPayElite+QL44*BlendedProvPayEss+QM44*BlendedProvPayPrem+QN44*BlendedProvPayElite)</f>
        <v/>
      </c>
      <c r="RC44" s="12">
        <f>QU44*PaymentFee</f>
        <v/>
      </c>
      <c r="RD44" s="12">
        <f>QO44*OpsAI</f>
        <v/>
      </c>
      <c r="RE44" s="12">
        <f>MonthlyFixed</f>
        <v/>
      </c>
      <c r="RF44" s="12">
        <f>PY44*ReferralReward</f>
        <v/>
      </c>
      <c r="RG44" s="12">
        <f>PW44</f>
        <v/>
      </c>
      <c r="RH44" s="9">
        <f>QX44-RB44-RC44-RD44-RE44-RF44-RG44</f>
        <v/>
      </c>
      <c r="RI44" s="9">
        <f>RI43+QU44-(RB44+RC44+RD44+RE44+RF44+RG44+QZ44)</f>
        <v/>
      </c>
      <c r="RJ44" s="12">
        <f>IF(QO44&gt;0,QP44/QO44,0)</f>
        <v/>
      </c>
      <c r="RK44" s="11">
        <f>IF(QO43&gt;0,MAX(0,(QO43+PZ44-QO44)/QO43),0)</f>
        <v/>
      </c>
      <c r="RM44" s="12" t="n">
        <v>40</v>
      </c>
      <c r="RN44" s="12">
        <f>MOD(RM44-1+LaunchMonth-1,12)+1</f>
        <v/>
      </c>
      <c r="RO44" s="12">
        <f>INT((RM44-1+LaunchMonth-1)/12)+1</f>
        <v/>
      </c>
      <c r="RP44" s="12">
        <f>VLOOKUP(RN44,SeasonTable,2,FALSE)</f>
        <v/>
      </c>
      <c r="RQ44" s="12">
        <f>(1+InflationRate)^INT((RM44-1)/12)</f>
        <v/>
      </c>
      <c r="RR44" s="11">
        <f>'Sens - Churn'!$A$20*VLOOKUP(RN44,ChurnSeasonTable,4,FALSE)</f>
        <v/>
      </c>
      <c r="RS44" s="12">
        <f>MIN(MAX(MktMin19plus,SQ43*MktPct19plus),MAX(0,TE43-CashBuffer))</f>
        <v/>
      </c>
      <c r="RT44" s="12">
        <f>IF(RS44&gt;0,MAX(1,ROUND(RS44/CAC*RP44,0)),0)</f>
        <v/>
      </c>
      <c r="RU44" s="12">
        <f>IF(RT44&gt;0,ROUND(RT44*ReferralMix/(1-ReferralMix),0),0)</f>
        <v/>
      </c>
      <c r="RV44" s="12">
        <f>RT44+RU44</f>
        <v/>
      </c>
      <c r="RW44" s="12">
        <f>ROUND(RV44*(1-AnnualMix),0)</f>
        <v/>
      </c>
      <c r="RX44" s="12">
        <f>RV44-RW44</f>
        <v/>
      </c>
      <c r="RY44" s="12">
        <f>ROUND(RW44*EssentialMix,0)</f>
        <v/>
      </c>
      <c r="RZ44" s="12">
        <f>ROUND(RW44*PremiumMix,0)</f>
        <v/>
      </c>
      <c r="SA44" s="12">
        <f>RW44-RY44-RZ44</f>
        <v/>
      </c>
      <c r="SB44" s="12">
        <f>ROUND(RX44*EssentialMix,0)</f>
        <v/>
      </c>
      <c r="SC44" s="12">
        <f>ROUND(RX44*PremiumMix,0)</f>
        <v/>
      </c>
      <c r="SD44" s="12">
        <f>RX44-SB44-SC44</f>
        <v/>
      </c>
      <c r="SE44" s="12">
        <f>RY44+RY43+RY42+MAX(0,SE43-RY43-RY42)*(1-RR44)</f>
        <v/>
      </c>
      <c r="SF44" s="12">
        <f>RZ44+RZ43+RZ42+MAX(0,SF43-RZ43-RZ42)*(1-RR44)</f>
        <v/>
      </c>
      <c r="SG44" s="12">
        <f>SA44+SA43+SA42+MAX(0,SG43-SA43-SA42)*(1-RR44)</f>
        <v/>
      </c>
      <c r="SH44" s="12">
        <f>SH43+SB44-SB32*(AnnualChurn*VLOOKUP(RN44,ChurnSeasonTable,4,FALSE))*POWER(1-(AnnualChurn*VLOOKUP(RN44,ChurnSeasonTable,4,FALSE)),0)+SB20*(AnnualChurn*VLOOKUP(RN44,ChurnSeasonTable,4,FALSE))*POWER(1-(AnnualChurn*VLOOKUP(RN44,ChurnSeasonTable,4,FALSE)),1)+SB8*(AnnualChurn*VLOOKUP(RN44,ChurnSeasonTable,4,FALSE))*POWER(1-(AnnualChurn*VLOOKUP(RN44,ChurnSeasonTable,4,FALSE)),2)</f>
        <v/>
      </c>
      <c r="SI44" s="12">
        <f>SI43+SC44-SC32*(AnnualChurn*VLOOKUP(RN44,ChurnSeasonTable,4,FALSE))*POWER(1-(AnnualChurn*VLOOKUP(RN44,ChurnSeasonTable,4,FALSE)),0)+SC20*(AnnualChurn*VLOOKUP(RN44,ChurnSeasonTable,4,FALSE))*POWER(1-(AnnualChurn*VLOOKUP(RN44,ChurnSeasonTable,4,FALSE)),1)+SC8*(AnnualChurn*VLOOKUP(RN44,ChurnSeasonTable,4,FALSE))*POWER(1-(AnnualChurn*VLOOKUP(RN44,ChurnSeasonTable,4,FALSE)),2)</f>
        <v/>
      </c>
      <c r="SJ44" s="12">
        <f>SJ43+SD44-SD32*(AnnualChurn*VLOOKUP(RN44,ChurnSeasonTable,4,FALSE))*POWER(1-(AnnualChurn*VLOOKUP(RN44,ChurnSeasonTable,4,FALSE)),0)+SD20*(AnnualChurn*VLOOKUP(RN44,ChurnSeasonTable,4,FALSE))*POWER(1-(AnnualChurn*VLOOKUP(RN44,ChurnSeasonTable,4,FALSE)),1)+SD8*(AnnualChurn*VLOOKUP(RN44,ChurnSeasonTable,4,FALSE))*POWER(1-(AnnualChurn*VLOOKUP(RN44,ChurnSeasonTable,4,FALSE)),2)</f>
        <v/>
      </c>
      <c r="SK44" s="12">
        <f>SE44+SF44+SG44+SH44+SI44+SJ44</f>
        <v/>
      </c>
      <c r="SL44" s="9">
        <f>SE44*BlendedPriceEssMonthly*RQ44+SF44*BlendedPricePremMonthly*RQ44+SG44*BlendedPriceEliteMonthly*RQ44+SH44*BlendedPriceEssAnnual*RQ44/12+SI44*BlendedPricePremAnnual*RQ44/12+SJ44*BlendedPriceEliteAnnual*RQ44/12</f>
        <v/>
      </c>
      <c r="SM44" s="9">
        <f>SL44*12</f>
        <v/>
      </c>
      <c r="SN44" s="12">
        <f>SE44*BlendedPriceEssMonthly*RQ44+SF44*BlendedPricePremMonthly*RQ44+SG44*BlendedPriceEliteMonthly*RQ44</f>
        <v/>
      </c>
      <c r="SO44" s="12">
        <f>SB44*BlendedPriceEssAnnual*RQ44+SC44*BlendedPricePremAnnual*RQ44+SD44*BlendedPriceEliteAnnual*RQ44</f>
        <v/>
      </c>
      <c r="SP44" s="12">
        <f>SB32*POWER(1-(AnnualChurn*VLOOKUP(RN44,ChurnSeasonTable,4,FALSE)),1)*BlendedPriceEssAnnual*RQ44+SB20*POWER(1-(AnnualChurn*VLOOKUP(RN44,ChurnSeasonTable,4,FALSE)),2)*BlendedPriceEssAnnual*RQ44+SB8*POWER(1-(AnnualChurn*VLOOKUP(RN44,ChurnSeasonTable,4,FALSE)),3)*BlendedPriceEssAnnual*RQ44+SC32*POWER(1-(AnnualChurn*VLOOKUP(RN44,ChurnSeasonTable,4,FALSE)),1)*BlendedPricePremAnnual*RQ44+SC20*POWER(1-(AnnualChurn*VLOOKUP(RN44,ChurnSeasonTable,4,FALSE)),2)*BlendedPricePremAnnual*RQ44+SC8*POWER(1-(AnnualChurn*VLOOKUP(RN44,ChurnSeasonTable,4,FALSE)),3)*BlendedPricePremAnnual*RQ44+SD32*POWER(1-(AnnualChurn*VLOOKUP(RN44,ChurnSeasonTable,4,FALSE)),1)*BlendedPriceEliteAnnual*RQ44+SD20*POWER(1-(AnnualChurn*VLOOKUP(RN44,ChurnSeasonTable,4,FALSE)),2)*BlendedPriceEliteAnnual*RQ44+SD8*POWER(1-(AnnualChurn*VLOOKUP(RN44,ChurnSeasonTable,4,FALSE)),3)*BlendedPriceEliteAnnual*RQ44</f>
        <v/>
      </c>
      <c r="SQ44" s="9">
        <f>SN44+SO44+SP44</f>
        <v/>
      </c>
      <c r="SR44" s="12">
        <f>SUM(SQ33:SQ44)</f>
        <v/>
      </c>
      <c r="SS44" s="12">
        <f>OR(SS43,IF(VATAgentMode,SUM($SQ33:$SQ44)-SUM($SX33:$SX44)&gt;=VATThreshold,SUM($SQ33:$SQ44)&gt;=VATThreshold))</f>
        <v/>
      </c>
      <c r="ST44" s="9">
        <f>IF(SS44,IF(VATAgentMode,SQ44-((SQ44-SX44)-(SQ44-SX44)/(1+VATRate)),SQ44/(1+VATRate)),SQ44)</f>
        <v/>
      </c>
      <c r="SU44" s="12">
        <f>SQ44-ST44</f>
        <v/>
      </c>
      <c r="SV44" s="12">
        <f>IF(SS44=0,0,IF(RN44=1,SUMPRODUCT(--(($RO$5:$RO44=$RO44-1)*($RN$5:$RN44&gt;=10)*($RN$5:$RN44&lt;=12)),$SU$5:$SU44),IF(RN44=4,SUMPRODUCT(--(($RO$5:$RO44=$RO44)*($RN$5:$RN44&gt;=1)*($RN$5:$RN44&lt;=3)),$SU$5:$SU44),IF(RN44=7,SUMPRODUCT(--(($RO$5:$RO44=$RO44)*($RN$5:$RN44&gt;=4)*($RN$5:$RN44&lt;=6)),$SU$5:$SU44),IF(RN44=10,SUMPRODUCT(--(($RO$5:$RO44=$RO44)*($RN$5:$RN44&gt;=7)*($RN$5:$RN44&lt;=9)),$SU$5:$SU44),0)))))</f>
        <v/>
      </c>
      <c r="SW44" s="12">
        <f>SW43+SU44-SV44</f>
        <v/>
      </c>
      <c r="SX44" s="12">
        <f>IF(ProviderDelay&gt;=1,SE43*BlendedProvPayEss+SF43*BlendedProvPayPrem+SG43*BlendedProvPayElite+SH43*BlendedProvPayEss+SI43*BlendedProvPayPrem+SJ43*BlendedProvPayElite,SE44*BlendedProvPayEss+SF44*BlendedProvPayPrem+SG44*BlendedProvPayElite+SH44*BlendedProvPayEss+SI44*BlendedProvPayPrem+SJ44*BlendedProvPayElite)</f>
        <v/>
      </c>
      <c r="SY44" s="12">
        <f>SQ44*PaymentFee</f>
        <v/>
      </c>
      <c r="SZ44" s="12">
        <f>SK44*OpsAI</f>
        <v/>
      </c>
      <c r="TA44" s="12">
        <f>MonthlyFixed</f>
        <v/>
      </c>
      <c r="TB44" s="12">
        <f>RU44*ReferralReward</f>
        <v/>
      </c>
      <c r="TC44" s="12">
        <f>RS44</f>
        <v/>
      </c>
      <c r="TD44" s="9">
        <f>ST44-SX44-SY44-SZ44-TA44-TB44-TC44</f>
        <v/>
      </c>
      <c r="TE44" s="9">
        <f>TE43+SQ44-(SX44+SY44+SZ44+TA44+TB44+TC44+SV44)</f>
        <v/>
      </c>
      <c r="TF44" s="12">
        <f>IF(SK44&gt;0,SL44/SK44,0)</f>
        <v/>
      </c>
      <c r="TG44" s="11">
        <f>IF(SK43&gt;0,MAX(0,(SK43+RV44-SK44)/SK43),0)</f>
        <v/>
      </c>
      <c r="TI44" s="12" t="n">
        <v>40</v>
      </c>
      <c r="TJ44" s="12">
        <f>MOD(TI44-1+LaunchMonth-1,12)+1</f>
        <v/>
      </c>
      <c r="TK44" s="12">
        <f>INT((TI44-1+LaunchMonth-1)/12)+1</f>
        <v/>
      </c>
      <c r="TL44" s="12">
        <f>VLOOKUP(TJ44,SeasonTable,2,FALSE)</f>
        <v/>
      </c>
      <c r="TM44" s="12">
        <f>(1+InflationRate)^INT((TI44-1)/12)</f>
        <v/>
      </c>
      <c r="TN44" s="11">
        <f>'Sens - Churn'!$A$21*VLOOKUP(TJ44,ChurnSeasonTable,4,FALSE)</f>
        <v/>
      </c>
      <c r="TO44" s="12">
        <f>MIN(MAX(MktMin19plus,UM43*MktPct19plus),MAX(0,VA43-CashBuffer))</f>
        <v/>
      </c>
      <c r="TP44" s="12">
        <f>IF(TO44&gt;0,MAX(1,ROUND(TO44/CAC*TL44,0)),0)</f>
        <v/>
      </c>
      <c r="TQ44" s="12">
        <f>IF(TP44&gt;0,ROUND(TP44*ReferralMix/(1-ReferralMix),0),0)</f>
        <v/>
      </c>
      <c r="TR44" s="12">
        <f>TP44+TQ44</f>
        <v/>
      </c>
      <c r="TS44" s="12">
        <f>ROUND(TR44*(1-AnnualMix),0)</f>
        <v/>
      </c>
      <c r="TT44" s="12">
        <f>TR44-TS44</f>
        <v/>
      </c>
      <c r="TU44" s="12">
        <f>ROUND(TS44*EssentialMix,0)</f>
        <v/>
      </c>
      <c r="TV44" s="12">
        <f>ROUND(TS44*PremiumMix,0)</f>
        <v/>
      </c>
      <c r="TW44" s="12">
        <f>TS44-TU44-TV44</f>
        <v/>
      </c>
      <c r="TX44" s="12">
        <f>ROUND(TT44*EssentialMix,0)</f>
        <v/>
      </c>
      <c r="TY44" s="12">
        <f>ROUND(TT44*PremiumMix,0)</f>
        <v/>
      </c>
      <c r="TZ44" s="12">
        <f>TT44-TX44-TY44</f>
        <v/>
      </c>
      <c r="UA44" s="12">
        <f>TU44+TU43+TU42+MAX(0,UA43-TU43-TU42)*(1-TN44)</f>
        <v/>
      </c>
      <c r="UB44" s="12">
        <f>TV44+TV43+TV42+MAX(0,UB43-TV43-TV42)*(1-TN44)</f>
        <v/>
      </c>
      <c r="UC44" s="12">
        <f>TW44+TW43+TW42+MAX(0,UC43-TW43-TW42)*(1-TN44)</f>
        <v/>
      </c>
      <c r="UD44" s="12">
        <f>UD43+TX44-TX32*(AnnualChurn*VLOOKUP(TJ44,ChurnSeasonTable,4,FALSE))*POWER(1-(AnnualChurn*VLOOKUP(TJ44,ChurnSeasonTable,4,FALSE)),0)+TX20*(AnnualChurn*VLOOKUP(TJ44,ChurnSeasonTable,4,FALSE))*POWER(1-(AnnualChurn*VLOOKUP(TJ44,ChurnSeasonTable,4,FALSE)),1)+TX8*(AnnualChurn*VLOOKUP(TJ44,ChurnSeasonTable,4,FALSE))*POWER(1-(AnnualChurn*VLOOKUP(TJ44,ChurnSeasonTable,4,FALSE)),2)</f>
        <v/>
      </c>
      <c r="UE44" s="12">
        <f>UE43+TY44-TY32*(AnnualChurn*VLOOKUP(TJ44,ChurnSeasonTable,4,FALSE))*POWER(1-(AnnualChurn*VLOOKUP(TJ44,ChurnSeasonTable,4,FALSE)),0)+TY20*(AnnualChurn*VLOOKUP(TJ44,ChurnSeasonTable,4,FALSE))*POWER(1-(AnnualChurn*VLOOKUP(TJ44,ChurnSeasonTable,4,FALSE)),1)+TY8*(AnnualChurn*VLOOKUP(TJ44,ChurnSeasonTable,4,FALSE))*POWER(1-(AnnualChurn*VLOOKUP(TJ44,ChurnSeasonTable,4,FALSE)),2)</f>
        <v/>
      </c>
      <c r="UF44" s="12">
        <f>UF43+TZ44-TZ32*(AnnualChurn*VLOOKUP(TJ44,ChurnSeasonTable,4,FALSE))*POWER(1-(AnnualChurn*VLOOKUP(TJ44,ChurnSeasonTable,4,FALSE)),0)+TZ20*(AnnualChurn*VLOOKUP(TJ44,ChurnSeasonTable,4,FALSE))*POWER(1-(AnnualChurn*VLOOKUP(TJ44,ChurnSeasonTable,4,FALSE)),1)+TZ8*(AnnualChurn*VLOOKUP(TJ44,ChurnSeasonTable,4,FALSE))*POWER(1-(AnnualChurn*VLOOKUP(TJ44,ChurnSeasonTable,4,FALSE)),2)</f>
        <v/>
      </c>
      <c r="UG44" s="12">
        <f>UA44+UB44+UC44+UD44+UE44+UF44</f>
        <v/>
      </c>
      <c r="UH44" s="9">
        <f>UA44*BlendedPriceEssMonthly*TM44+UB44*BlendedPricePremMonthly*TM44+UC44*BlendedPriceEliteMonthly*TM44+UD44*BlendedPriceEssAnnual*TM44/12+UE44*BlendedPricePremAnnual*TM44/12+UF44*BlendedPriceEliteAnnual*TM44/12</f>
        <v/>
      </c>
      <c r="UI44" s="9">
        <f>UH44*12</f>
        <v/>
      </c>
      <c r="UJ44" s="12">
        <f>UA44*BlendedPriceEssMonthly*TM44+UB44*BlendedPricePremMonthly*TM44+UC44*BlendedPriceEliteMonthly*TM44</f>
        <v/>
      </c>
      <c r="UK44" s="12">
        <f>TX44*BlendedPriceEssAnnual*TM44+TY44*BlendedPricePremAnnual*TM44+TZ44*BlendedPriceEliteAnnual*TM44</f>
        <v/>
      </c>
      <c r="UL44" s="12">
        <f>TX32*POWER(1-(AnnualChurn*VLOOKUP(TJ44,ChurnSeasonTable,4,FALSE)),1)*BlendedPriceEssAnnual*TM44+TX20*POWER(1-(AnnualChurn*VLOOKUP(TJ44,ChurnSeasonTable,4,FALSE)),2)*BlendedPriceEssAnnual*TM44+TX8*POWER(1-(AnnualChurn*VLOOKUP(TJ44,ChurnSeasonTable,4,FALSE)),3)*BlendedPriceEssAnnual*TM44+TY32*POWER(1-(AnnualChurn*VLOOKUP(TJ44,ChurnSeasonTable,4,FALSE)),1)*BlendedPricePremAnnual*TM44+TY20*POWER(1-(AnnualChurn*VLOOKUP(TJ44,ChurnSeasonTable,4,FALSE)),2)*BlendedPricePremAnnual*TM44+TY8*POWER(1-(AnnualChurn*VLOOKUP(TJ44,ChurnSeasonTable,4,FALSE)),3)*BlendedPricePremAnnual*TM44+TZ32*POWER(1-(AnnualChurn*VLOOKUP(TJ44,ChurnSeasonTable,4,FALSE)),1)*BlendedPriceEliteAnnual*TM44+TZ20*POWER(1-(AnnualChurn*VLOOKUP(TJ44,ChurnSeasonTable,4,FALSE)),2)*BlendedPriceEliteAnnual*TM44+TZ8*POWER(1-(AnnualChurn*VLOOKUP(TJ44,ChurnSeasonTable,4,FALSE)),3)*BlendedPriceEliteAnnual*TM44</f>
        <v/>
      </c>
      <c r="UM44" s="9">
        <f>UJ44+UK44+UL44</f>
        <v/>
      </c>
      <c r="UN44" s="12">
        <f>SUM(UM33:UM44)</f>
        <v/>
      </c>
      <c r="UO44" s="12">
        <f>OR(UO43,IF(VATAgentMode,SUM($UM33:$UM44)-SUM($UT33:$UT44)&gt;=VATThreshold,SUM($UM33:$UM44)&gt;=VATThreshold))</f>
        <v/>
      </c>
      <c r="UP44" s="9">
        <f>IF(UO44,IF(VATAgentMode,UM44-((UM44-UT44)-(UM44-UT44)/(1+VATRate)),UM44/(1+VATRate)),UM44)</f>
        <v/>
      </c>
      <c r="UQ44" s="12">
        <f>UM44-UP44</f>
        <v/>
      </c>
      <c r="UR44" s="12">
        <f>IF(UO44=0,0,IF(TJ44=1,SUMPRODUCT(--(($TK$5:$TK44=$TK44-1)*($TJ$5:$TJ44&gt;=10)*($TJ$5:$TJ44&lt;=12)),$UQ$5:$UQ44),IF(TJ44=4,SUMPRODUCT(--(($TK$5:$TK44=$TK44)*($TJ$5:$TJ44&gt;=1)*($TJ$5:$TJ44&lt;=3)),$UQ$5:$UQ44),IF(TJ44=7,SUMPRODUCT(--(($TK$5:$TK44=$TK44)*($TJ$5:$TJ44&gt;=4)*($TJ$5:$TJ44&lt;=6)),$UQ$5:$UQ44),IF(TJ44=10,SUMPRODUCT(--(($TK$5:$TK44=$TK44)*($TJ$5:$TJ44&gt;=7)*($TJ$5:$TJ44&lt;=9)),$UQ$5:$UQ44),0)))))</f>
        <v/>
      </c>
      <c r="US44" s="12">
        <f>US43+UQ44-UR44</f>
        <v/>
      </c>
      <c r="UT44" s="12">
        <f>IF(ProviderDelay&gt;=1,UA43*BlendedProvPayEss+UB43*BlendedProvPayPrem+UC43*BlendedProvPayElite+UD43*BlendedProvPayEss+UE43*BlendedProvPayPrem+UF43*BlendedProvPayElite,UA44*BlendedProvPayEss+UB44*BlendedProvPayPrem+UC44*BlendedProvPayElite+UD44*BlendedProvPayEss+UE44*BlendedProvPayPrem+UF44*BlendedProvPayElite)</f>
        <v/>
      </c>
      <c r="UU44" s="12">
        <f>UM44*PaymentFee</f>
        <v/>
      </c>
      <c r="UV44" s="12">
        <f>UG44*OpsAI</f>
        <v/>
      </c>
      <c r="UW44" s="12">
        <f>MonthlyFixed</f>
        <v/>
      </c>
      <c r="UX44" s="12">
        <f>TQ44*ReferralReward</f>
        <v/>
      </c>
      <c r="UY44" s="12">
        <f>TO44</f>
        <v/>
      </c>
      <c r="UZ44" s="9">
        <f>UP44-UT44-UU44-UV44-UW44-UX44-UY44</f>
        <v/>
      </c>
      <c r="VA44" s="9">
        <f>VA43+UM44-(UT44+UU44+UV44+UW44+UX44+UY44+UR44)</f>
        <v/>
      </c>
      <c r="VB44" s="12">
        <f>IF(UG44&gt;0,UH44/UG44,0)</f>
        <v/>
      </c>
      <c r="VC44" s="11">
        <f>IF(UG43&gt;0,MAX(0,(UG43+TR44-UG44)/UG43),0)</f>
        <v/>
      </c>
      <c r="VE44" s="12" t="n">
        <v>40</v>
      </c>
      <c r="VF44" s="12">
        <f>MOD(VE44-1+LaunchMonth-1,12)+1</f>
        <v/>
      </c>
      <c r="VG44" s="12">
        <f>INT((VE44-1+LaunchMonth-1)/12)+1</f>
        <v/>
      </c>
      <c r="VH44" s="12">
        <f>VLOOKUP(VF44,SeasonTable,2,FALSE)</f>
        <v/>
      </c>
      <c r="VI44" s="12">
        <f>(1+InflationRate)^INT((VE44-1)/12)</f>
        <v/>
      </c>
      <c r="VJ44" s="11">
        <f>MonthlyChurn*VLOOKUP(VF44,ChurnSeasonTable,4,FALSE)</f>
        <v/>
      </c>
      <c r="VK44" s="12">
        <f>MIN(MAX(MktMin19plus,WI43*MktPct19plus),MAX(0,WW43-CashBuffer))</f>
        <v/>
      </c>
      <c r="VL44" s="12">
        <f>IF(VK44&gt;0,MAX(1,ROUND(VK44/CAC*VH44,0)),0)</f>
        <v/>
      </c>
      <c r="VM44" s="12">
        <f>IF(VL44&gt;0,ROUND(VL44*ReferralMix/(1-ReferralMix),0),0)</f>
        <v/>
      </c>
      <c r="VN44" s="12">
        <f>VL44+VM44</f>
        <v/>
      </c>
      <c r="VO44" s="12">
        <f>ROUND(VN44*(1-'Sens - Annual Mix'!$A$9),0)</f>
        <v/>
      </c>
      <c r="VP44" s="12">
        <f>VN44-VO44</f>
        <v/>
      </c>
      <c r="VQ44" s="12">
        <f>ROUND(VO44*EssentialMix,0)</f>
        <v/>
      </c>
      <c r="VR44" s="12">
        <f>ROUND(VO44*PremiumMix,0)</f>
        <v/>
      </c>
      <c r="VS44" s="12">
        <f>VO44-VQ44-VR44</f>
        <v/>
      </c>
      <c r="VT44" s="12">
        <f>ROUND(VP44*EssentialMix,0)</f>
        <v/>
      </c>
      <c r="VU44" s="12">
        <f>ROUND(VP44*PremiumMix,0)</f>
        <v/>
      </c>
      <c r="VV44" s="12">
        <f>VP44-VT44-VU44</f>
        <v/>
      </c>
      <c r="VW44" s="12">
        <f>VQ44+VQ43+VQ42+MAX(0,VW43-VQ43-VQ42)*(1-VJ44)</f>
        <v/>
      </c>
      <c r="VX44" s="12">
        <f>VR44+VR43+VR42+MAX(0,VX43-VR43-VR42)*(1-VJ44)</f>
        <v/>
      </c>
      <c r="VY44" s="12">
        <f>VS44+VS43+VS42+MAX(0,VY43-VS43-VS42)*(1-VJ44)</f>
        <v/>
      </c>
      <c r="VZ44" s="12">
        <f>VZ43+VT44-VT32*(AnnualChurn*VLOOKUP(VF44,ChurnSeasonTable,4,FALSE))*POWER(1-(AnnualChurn*VLOOKUP(VF44,ChurnSeasonTable,4,FALSE)),0)+VT20*(AnnualChurn*VLOOKUP(VF44,ChurnSeasonTable,4,FALSE))*POWER(1-(AnnualChurn*VLOOKUP(VF44,ChurnSeasonTable,4,FALSE)),1)+VT8*(AnnualChurn*VLOOKUP(VF44,ChurnSeasonTable,4,FALSE))*POWER(1-(AnnualChurn*VLOOKUP(VF44,ChurnSeasonTable,4,FALSE)),2)</f>
        <v/>
      </c>
      <c r="WA44" s="12">
        <f>WA43+VU44-VU32*(AnnualChurn*VLOOKUP(VF44,ChurnSeasonTable,4,FALSE))*POWER(1-(AnnualChurn*VLOOKUP(VF44,ChurnSeasonTable,4,FALSE)),0)+VU20*(AnnualChurn*VLOOKUP(VF44,ChurnSeasonTable,4,FALSE))*POWER(1-(AnnualChurn*VLOOKUP(VF44,ChurnSeasonTable,4,FALSE)),1)+VU8*(AnnualChurn*VLOOKUP(VF44,ChurnSeasonTable,4,FALSE))*POWER(1-(AnnualChurn*VLOOKUP(VF44,ChurnSeasonTable,4,FALSE)),2)</f>
        <v/>
      </c>
      <c r="WB44" s="12">
        <f>WB43+VV44-VV32*(AnnualChurn*VLOOKUP(VF44,ChurnSeasonTable,4,FALSE))*POWER(1-(AnnualChurn*VLOOKUP(VF44,ChurnSeasonTable,4,FALSE)),0)+VV20*(AnnualChurn*VLOOKUP(VF44,ChurnSeasonTable,4,FALSE))*POWER(1-(AnnualChurn*VLOOKUP(VF44,ChurnSeasonTable,4,FALSE)),1)+VV8*(AnnualChurn*VLOOKUP(VF44,ChurnSeasonTable,4,FALSE))*POWER(1-(AnnualChurn*VLOOKUP(VF44,ChurnSeasonTable,4,FALSE)),2)</f>
        <v/>
      </c>
      <c r="WC44" s="12">
        <f>VW44+VX44+VY44+VZ44+WA44+WB44</f>
        <v/>
      </c>
      <c r="WD44" s="9">
        <f>VW44*BlendedPriceEssMonthly*VI44+VX44*BlendedPricePremMonthly*VI44+VY44*BlendedPriceEliteMonthly*VI44+VZ44*BlendedPriceEssAnnual*VI44/12+WA44*BlendedPricePremAnnual*VI44/12+WB44*BlendedPriceEliteAnnual*VI44/12</f>
        <v/>
      </c>
      <c r="WE44" s="9">
        <f>WD44*12</f>
        <v/>
      </c>
      <c r="WF44" s="12">
        <f>VW44*BlendedPriceEssMonthly*VI44+VX44*BlendedPricePremMonthly*VI44+VY44*BlendedPriceEliteMonthly*VI44</f>
        <v/>
      </c>
      <c r="WG44" s="12">
        <f>VT44*BlendedPriceEssAnnual*VI44+VU44*BlendedPricePremAnnual*VI44+VV44*BlendedPriceEliteAnnual*VI44</f>
        <v/>
      </c>
      <c r="WH44" s="12">
        <f>VT32*POWER(1-(AnnualChurn*VLOOKUP(VF44,ChurnSeasonTable,4,FALSE)),1)*BlendedPriceEssAnnual*VI44+VT20*POWER(1-(AnnualChurn*VLOOKUP(VF44,ChurnSeasonTable,4,FALSE)),2)*BlendedPriceEssAnnual*VI44+VT8*POWER(1-(AnnualChurn*VLOOKUP(VF44,ChurnSeasonTable,4,FALSE)),3)*BlendedPriceEssAnnual*VI44+VU32*POWER(1-(AnnualChurn*VLOOKUP(VF44,ChurnSeasonTable,4,FALSE)),1)*BlendedPricePremAnnual*VI44+VU20*POWER(1-(AnnualChurn*VLOOKUP(VF44,ChurnSeasonTable,4,FALSE)),2)*BlendedPricePremAnnual*VI44+VU8*POWER(1-(AnnualChurn*VLOOKUP(VF44,ChurnSeasonTable,4,FALSE)),3)*BlendedPricePremAnnual*VI44+VV32*POWER(1-(AnnualChurn*VLOOKUP(VF44,ChurnSeasonTable,4,FALSE)),1)*BlendedPriceEliteAnnual*VI44+VV20*POWER(1-(AnnualChurn*VLOOKUP(VF44,ChurnSeasonTable,4,FALSE)),2)*BlendedPriceEliteAnnual*VI44+VV8*POWER(1-(AnnualChurn*VLOOKUP(VF44,ChurnSeasonTable,4,FALSE)),3)*BlendedPriceEliteAnnual*VI44</f>
        <v/>
      </c>
      <c r="WI44" s="9">
        <f>WF44+WG44+WH44</f>
        <v/>
      </c>
      <c r="WJ44" s="12">
        <f>SUM(WI33:WI44)</f>
        <v/>
      </c>
      <c r="WK44" s="12">
        <f>OR(WK43,IF(VATAgentMode,SUM($WI33:$WI44)-SUM($WP33:$WP44)&gt;=VATThreshold,SUM($WI33:$WI44)&gt;=VATThreshold))</f>
        <v/>
      </c>
      <c r="WL44" s="9">
        <f>IF(WK44,IF(VATAgentMode,WI44-((WI44-WP44)-(WI44-WP44)/(1+VATRate)),WI44/(1+VATRate)),WI44)</f>
        <v/>
      </c>
      <c r="WM44" s="12">
        <f>WI44-WL44</f>
        <v/>
      </c>
      <c r="WN44" s="12">
        <f>IF(WK44=0,0,IF(VF44=1,SUMPRODUCT(--(($VG$5:$VG44=$VG44-1)*($VF$5:$VF44&gt;=10)*($VF$5:$VF44&lt;=12)),$WM$5:$WM44),IF(VF44=4,SUMPRODUCT(--(($VG$5:$VG44=$VG44)*($VF$5:$VF44&gt;=1)*($VF$5:$VF44&lt;=3)),$WM$5:$WM44),IF(VF44=7,SUMPRODUCT(--(($VG$5:$VG44=$VG44)*($VF$5:$VF44&gt;=4)*($VF$5:$VF44&lt;=6)),$WM$5:$WM44),IF(VF44=10,SUMPRODUCT(--(($VG$5:$VG44=$VG44)*($VF$5:$VF44&gt;=7)*($VF$5:$VF44&lt;=9)),$WM$5:$WM44),0)))))</f>
        <v/>
      </c>
      <c r="WO44" s="12">
        <f>WO43+WM44-WN44</f>
        <v/>
      </c>
      <c r="WP44" s="12">
        <f>IF(ProviderDelay&gt;=1,VW43*BlendedProvPayEss+VX43*BlendedProvPayPrem+VY43*BlendedProvPayElite+VZ43*BlendedProvPayEss+WA43*BlendedProvPayPrem+WB43*BlendedProvPayElite,VW44*BlendedProvPayEss+VX44*BlendedProvPayPrem+VY44*BlendedProvPayElite+VZ44*BlendedProvPayEss+WA44*BlendedProvPayPrem+WB44*BlendedProvPayElite)</f>
        <v/>
      </c>
      <c r="WQ44" s="12">
        <f>WI44*PaymentFee</f>
        <v/>
      </c>
      <c r="WR44" s="12">
        <f>WC44*OpsAI</f>
        <v/>
      </c>
      <c r="WS44" s="12">
        <f>MonthlyFixed</f>
        <v/>
      </c>
      <c r="WT44" s="12">
        <f>VM44*ReferralReward</f>
        <v/>
      </c>
      <c r="WU44" s="12">
        <f>VK44</f>
        <v/>
      </c>
      <c r="WV44" s="9">
        <f>WL44-WP44-WQ44-WR44-WS44-WT44-WU44</f>
        <v/>
      </c>
      <c r="WW44" s="9">
        <f>WW43+WI44-(WP44+WQ44+WR44+WS44+WT44+WU44+WN44)</f>
        <v/>
      </c>
      <c r="WX44" s="12">
        <f>IF(WC44&gt;0,WD44/WC44,0)</f>
        <v/>
      </c>
      <c r="WY44" s="11">
        <f>IF(WC43&gt;0,MAX(0,(WC43+VN44-WC44)/WC43),0)</f>
        <v/>
      </c>
      <c r="XA44" s="12" t="n">
        <v>40</v>
      </c>
      <c r="XB44" s="12">
        <f>MOD(XA44-1+LaunchMonth-1,12)+1</f>
        <v/>
      </c>
      <c r="XC44" s="12">
        <f>INT((XA44-1+LaunchMonth-1)/12)+1</f>
        <v/>
      </c>
      <c r="XD44" s="12">
        <f>VLOOKUP(XB44,SeasonTable,2,FALSE)</f>
        <v/>
      </c>
      <c r="XE44" s="12">
        <f>(1+InflationRate)^INT((XA44-1)/12)</f>
        <v/>
      </c>
      <c r="XF44" s="11">
        <f>MonthlyChurn*VLOOKUP(XB44,ChurnSeasonTable,4,FALSE)</f>
        <v/>
      </c>
      <c r="XG44" s="12">
        <f>MIN(MAX(MktMin19plus,YE43*MktPct19plus),MAX(0,YS43-CashBuffer))</f>
        <v/>
      </c>
      <c r="XH44" s="12">
        <f>IF(XG44&gt;0,MAX(1,ROUND(XG44/CAC*XD44,0)),0)</f>
        <v/>
      </c>
      <c r="XI44" s="12">
        <f>IF(XH44&gt;0,ROUND(XH44*ReferralMix/(1-ReferralMix),0),0)</f>
        <v/>
      </c>
      <c r="XJ44" s="12">
        <f>XH44+XI44</f>
        <v/>
      </c>
      <c r="XK44" s="12">
        <f>ROUND(XJ44*(1-'Sens - Annual Mix'!$A$10),0)</f>
        <v/>
      </c>
      <c r="XL44" s="12">
        <f>XJ44-XK44</f>
        <v/>
      </c>
      <c r="XM44" s="12">
        <f>ROUND(XK44*EssentialMix,0)</f>
        <v/>
      </c>
      <c r="XN44" s="12">
        <f>ROUND(XK44*PremiumMix,0)</f>
        <v/>
      </c>
      <c r="XO44" s="12">
        <f>XK44-XM44-XN44</f>
        <v/>
      </c>
      <c r="XP44" s="12">
        <f>ROUND(XL44*EssentialMix,0)</f>
        <v/>
      </c>
      <c r="XQ44" s="12">
        <f>ROUND(XL44*PremiumMix,0)</f>
        <v/>
      </c>
      <c r="XR44" s="12">
        <f>XL44-XP44-XQ44</f>
        <v/>
      </c>
      <c r="XS44" s="12">
        <f>XM44+XM43+XM42+MAX(0,XS43-XM43-XM42)*(1-XF44)</f>
        <v/>
      </c>
      <c r="XT44" s="12">
        <f>XN44+XN43+XN42+MAX(0,XT43-XN43-XN42)*(1-XF44)</f>
        <v/>
      </c>
      <c r="XU44" s="12">
        <f>XO44+XO43+XO42+MAX(0,XU43-XO43-XO42)*(1-XF44)</f>
        <v/>
      </c>
      <c r="XV44" s="12">
        <f>XV43+XP44-XP32*(AnnualChurn*VLOOKUP(XB44,ChurnSeasonTable,4,FALSE))*POWER(1-(AnnualChurn*VLOOKUP(XB44,ChurnSeasonTable,4,FALSE)),0)+XP20*(AnnualChurn*VLOOKUP(XB44,ChurnSeasonTable,4,FALSE))*POWER(1-(AnnualChurn*VLOOKUP(XB44,ChurnSeasonTable,4,FALSE)),1)+XP8*(AnnualChurn*VLOOKUP(XB44,ChurnSeasonTable,4,FALSE))*POWER(1-(AnnualChurn*VLOOKUP(XB44,ChurnSeasonTable,4,FALSE)),2)</f>
        <v/>
      </c>
      <c r="XW44" s="12">
        <f>XW43+XQ44-XQ32*(AnnualChurn*VLOOKUP(XB44,ChurnSeasonTable,4,FALSE))*POWER(1-(AnnualChurn*VLOOKUP(XB44,ChurnSeasonTable,4,FALSE)),0)+XQ20*(AnnualChurn*VLOOKUP(XB44,ChurnSeasonTable,4,FALSE))*POWER(1-(AnnualChurn*VLOOKUP(XB44,ChurnSeasonTable,4,FALSE)),1)+XQ8*(AnnualChurn*VLOOKUP(XB44,ChurnSeasonTable,4,FALSE))*POWER(1-(AnnualChurn*VLOOKUP(XB44,ChurnSeasonTable,4,FALSE)),2)</f>
        <v/>
      </c>
      <c r="XX44" s="12">
        <f>XX43+XR44-XR32*(AnnualChurn*VLOOKUP(XB44,ChurnSeasonTable,4,FALSE))*POWER(1-(AnnualChurn*VLOOKUP(XB44,ChurnSeasonTable,4,FALSE)),0)+XR20*(AnnualChurn*VLOOKUP(XB44,ChurnSeasonTable,4,FALSE))*POWER(1-(AnnualChurn*VLOOKUP(XB44,ChurnSeasonTable,4,FALSE)),1)+XR8*(AnnualChurn*VLOOKUP(XB44,ChurnSeasonTable,4,FALSE))*POWER(1-(AnnualChurn*VLOOKUP(XB44,ChurnSeasonTable,4,FALSE)),2)</f>
        <v/>
      </c>
      <c r="XY44" s="12">
        <f>XS44+XT44+XU44+XV44+XW44+XX44</f>
        <v/>
      </c>
      <c r="XZ44" s="9">
        <f>XS44*BlendedPriceEssMonthly*XE44+XT44*BlendedPricePremMonthly*XE44+XU44*BlendedPriceEliteMonthly*XE44+XV44*BlendedPriceEssAnnual*XE44/12+XW44*BlendedPricePremAnnual*XE44/12+XX44*BlendedPriceEliteAnnual*XE44/12</f>
        <v/>
      </c>
      <c r="YA44" s="9">
        <f>XZ44*12</f>
        <v/>
      </c>
      <c r="YB44" s="12">
        <f>XS44*BlendedPriceEssMonthly*XE44+XT44*BlendedPricePremMonthly*XE44+XU44*BlendedPriceEliteMonthly*XE44</f>
        <v/>
      </c>
      <c r="YC44" s="12">
        <f>XP44*BlendedPriceEssAnnual*XE44+XQ44*BlendedPricePremAnnual*XE44+XR44*BlendedPriceEliteAnnual*XE44</f>
        <v/>
      </c>
      <c r="YD44" s="12">
        <f>XP32*POWER(1-(AnnualChurn*VLOOKUP(XB44,ChurnSeasonTable,4,FALSE)),1)*BlendedPriceEssAnnual*XE44+XP20*POWER(1-(AnnualChurn*VLOOKUP(XB44,ChurnSeasonTable,4,FALSE)),2)*BlendedPriceEssAnnual*XE44+XP8*POWER(1-(AnnualChurn*VLOOKUP(XB44,ChurnSeasonTable,4,FALSE)),3)*BlendedPriceEssAnnual*XE44+XQ32*POWER(1-(AnnualChurn*VLOOKUP(XB44,ChurnSeasonTable,4,FALSE)),1)*BlendedPricePremAnnual*XE44+XQ20*POWER(1-(AnnualChurn*VLOOKUP(XB44,ChurnSeasonTable,4,FALSE)),2)*BlendedPricePremAnnual*XE44+XQ8*POWER(1-(AnnualChurn*VLOOKUP(XB44,ChurnSeasonTable,4,FALSE)),3)*BlendedPricePremAnnual*XE44+XR32*POWER(1-(AnnualChurn*VLOOKUP(XB44,ChurnSeasonTable,4,FALSE)),1)*BlendedPriceEliteAnnual*XE44+XR20*POWER(1-(AnnualChurn*VLOOKUP(XB44,ChurnSeasonTable,4,FALSE)),2)*BlendedPriceEliteAnnual*XE44+XR8*POWER(1-(AnnualChurn*VLOOKUP(XB44,ChurnSeasonTable,4,FALSE)),3)*BlendedPriceEliteAnnual*XE44</f>
        <v/>
      </c>
      <c r="YE44" s="9">
        <f>YB44+YC44+YD44</f>
        <v/>
      </c>
      <c r="YF44" s="12">
        <f>SUM(YE33:YE44)</f>
        <v/>
      </c>
      <c r="YG44" s="12">
        <f>OR(YG43,IF(VATAgentMode,SUM($YE33:$YE44)-SUM($YL33:$YL44)&gt;=VATThreshold,SUM($YE33:$YE44)&gt;=VATThreshold))</f>
        <v/>
      </c>
      <c r="YH44" s="9">
        <f>IF(YG44,IF(VATAgentMode,YE44-((YE44-YL44)-(YE44-YL44)/(1+VATRate)),YE44/(1+VATRate)),YE44)</f>
        <v/>
      </c>
      <c r="YI44" s="12">
        <f>YE44-YH44</f>
        <v/>
      </c>
      <c r="YJ44" s="12">
        <f>IF(YG44=0,0,IF(XB44=1,SUMPRODUCT(--(($XC$5:$XC44=$XC44-1)*($XB$5:$XB44&gt;=10)*($XB$5:$XB44&lt;=12)),$YI$5:$YI44),IF(XB44=4,SUMPRODUCT(--(($XC$5:$XC44=$XC44)*($XB$5:$XB44&gt;=1)*($XB$5:$XB44&lt;=3)),$YI$5:$YI44),IF(XB44=7,SUMPRODUCT(--(($XC$5:$XC44=$XC44)*($XB$5:$XB44&gt;=4)*($XB$5:$XB44&lt;=6)),$YI$5:$YI44),IF(XB44=10,SUMPRODUCT(--(($XC$5:$XC44=$XC44)*($XB$5:$XB44&gt;=7)*($XB$5:$XB44&lt;=9)),$YI$5:$YI44),0)))))</f>
        <v/>
      </c>
      <c r="YK44" s="12">
        <f>YK43+YI44-YJ44</f>
        <v/>
      </c>
      <c r="YL44" s="12">
        <f>IF(ProviderDelay&gt;=1,XS43*BlendedProvPayEss+XT43*BlendedProvPayPrem+XU43*BlendedProvPayElite+XV43*BlendedProvPayEss+XW43*BlendedProvPayPrem+XX43*BlendedProvPayElite,XS44*BlendedProvPayEss+XT44*BlendedProvPayPrem+XU44*BlendedProvPayElite+XV44*BlendedProvPayEss+XW44*BlendedProvPayPrem+XX44*BlendedProvPayElite)</f>
        <v/>
      </c>
      <c r="YM44" s="12">
        <f>YE44*PaymentFee</f>
        <v/>
      </c>
      <c r="YN44" s="12">
        <f>XY44*OpsAI</f>
        <v/>
      </c>
      <c r="YO44" s="12">
        <f>MonthlyFixed</f>
        <v/>
      </c>
      <c r="YP44" s="12">
        <f>XI44*ReferralReward</f>
        <v/>
      </c>
      <c r="YQ44" s="12">
        <f>XG44</f>
        <v/>
      </c>
      <c r="YR44" s="9">
        <f>YH44-YL44-YM44-YN44-YO44-YP44-YQ44</f>
        <v/>
      </c>
      <c r="YS44" s="9">
        <f>YS43+YE44-(YL44+YM44+YN44+YO44+YP44+YQ44+YJ44)</f>
        <v/>
      </c>
      <c r="YT44" s="12">
        <f>IF(XY44&gt;0,XZ44/XY44,0)</f>
        <v/>
      </c>
      <c r="YU44" s="11">
        <f>IF(XY43&gt;0,MAX(0,(XY43+XJ44-XY44)/XY43),0)</f>
        <v/>
      </c>
      <c r="YW44" s="12" t="n">
        <v>40</v>
      </c>
      <c r="YX44" s="12">
        <f>MOD(YW44-1+LaunchMonth-1,12)+1</f>
        <v/>
      </c>
      <c r="YY44" s="12">
        <f>INT((YW44-1+LaunchMonth-1)/12)+1</f>
        <v/>
      </c>
      <c r="YZ44" s="12">
        <f>VLOOKUP(YX44,SeasonTable,2,FALSE)</f>
        <v/>
      </c>
      <c r="ZA44" s="12">
        <f>(1+InflationRate)^INT((YW44-1)/12)</f>
        <v/>
      </c>
      <c r="ZB44" s="11">
        <f>MonthlyChurn*VLOOKUP(YX44,ChurnSeasonTable,4,FALSE)</f>
        <v/>
      </c>
      <c r="ZC44" s="12">
        <f>MIN(MAX(MktMin19plus,AAA43*MktPct19plus),MAX(0,AAO43-CashBuffer))</f>
        <v/>
      </c>
      <c r="ZD44" s="12">
        <f>IF(ZC44&gt;0,MAX(1,ROUND(ZC44/CAC*YZ44,0)),0)</f>
        <v/>
      </c>
      <c r="ZE44" s="12">
        <f>IF(ZD44&gt;0,ROUND(ZD44*ReferralMix/(1-ReferralMix),0),0)</f>
        <v/>
      </c>
      <c r="ZF44" s="12">
        <f>ZD44+ZE44</f>
        <v/>
      </c>
      <c r="ZG44" s="12">
        <f>ROUND(ZF44*(1-'Sens - Annual Mix'!$A$11),0)</f>
        <v/>
      </c>
      <c r="ZH44" s="12">
        <f>ZF44-ZG44</f>
        <v/>
      </c>
      <c r="ZI44" s="12">
        <f>ROUND(ZG44*EssentialMix,0)</f>
        <v/>
      </c>
      <c r="ZJ44" s="12">
        <f>ROUND(ZG44*PremiumMix,0)</f>
        <v/>
      </c>
      <c r="ZK44" s="12">
        <f>ZG44-ZI44-ZJ44</f>
        <v/>
      </c>
      <c r="ZL44" s="12">
        <f>ROUND(ZH44*EssentialMix,0)</f>
        <v/>
      </c>
      <c r="ZM44" s="12">
        <f>ROUND(ZH44*PremiumMix,0)</f>
        <v/>
      </c>
      <c r="ZN44" s="12">
        <f>ZH44-ZL44-ZM44</f>
        <v/>
      </c>
      <c r="ZO44" s="12">
        <f>ZI44+ZI43+ZI42+MAX(0,ZO43-ZI43-ZI42)*(1-ZB44)</f>
        <v/>
      </c>
      <c r="ZP44" s="12">
        <f>ZJ44+ZJ43+ZJ42+MAX(0,ZP43-ZJ43-ZJ42)*(1-ZB44)</f>
        <v/>
      </c>
      <c r="ZQ44" s="12">
        <f>ZK44+ZK43+ZK42+MAX(0,ZQ43-ZK43-ZK42)*(1-ZB44)</f>
        <v/>
      </c>
      <c r="ZR44" s="12">
        <f>ZR43+ZL44-ZL32*(AnnualChurn*VLOOKUP(YX44,ChurnSeasonTable,4,FALSE))*POWER(1-(AnnualChurn*VLOOKUP(YX44,ChurnSeasonTable,4,FALSE)),0)+ZL20*(AnnualChurn*VLOOKUP(YX44,ChurnSeasonTable,4,FALSE))*POWER(1-(AnnualChurn*VLOOKUP(YX44,ChurnSeasonTable,4,FALSE)),1)+ZL8*(AnnualChurn*VLOOKUP(YX44,ChurnSeasonTable,4,FALSE))*POWER(1-(AnnualChurn*VLOOKUP(YX44,ChurnSeasonTable,4,FALSE)),2)</f>
        <v/>
      </c>
      <c r="ZS44" s="12">
        <f>ZS43+ZM44-ZM32*(AnnualChurn*VLOOKUP(YX44,ChurnSeasonTable,4,FALSE))*POWER(1-(AnnualChurn*VLOOKUP(YX44,ChurnSeasonTable,4,FALSE)),0)+ZM20*(AnnualChurn*VLOOKUP(YX44,ChurnSeasonTable,4,FALSE))*POWER(1-(AnnualChurn*VLOOKUP(YX44,ChurnSeasonTable,4,FALSE)),1)+ZM8*(AnnualChurn*VLOOKUP(YX44,ChurnSeasonTable,4,FALSE))*POWER(1-(AnnualChurn*VLOOKUP(YX44,ChurnSeasonTable,4,FALSE)),2)</f>
        <v/>
      </c>
      <c r="ZT44" s="12">
        <f>ZT43+ZN44-ZN32*(AnnualChurn*VLOOKUP(YX44,ChurnSeasonTable,4,FALSE))*POWER(1-(AnnualChurn*VLOOKUP(YX44,ChurnSeasonTable,4,FALSE)),0)+ZN20*(AnnualChurn*VLOOKUP(YX44,ChurnSeasonTable,4,FALSE))*POWER(1-(AnnualChurn*VLOOKUP(YX44,ChurnSeasonTable,4,FALSE)),1)+ZN8*(AnnualChurn*VLOOKUP(YX44,ChurnSeasonTable,4,FALSE))*POWER(1-(AnnualChurn*VLOOKUP(YX44,ChurnSeasonTable,4,FALSE)),2)</f>
        <v/>
      </c>
      <c r="ZU44" s="12">
        <f>ZO44+ZP44+ZQ44+ZR44+ZS44+ZT44</f>
        <v/>
      </c>
      <c r="ZV44" s="9">
        <f>ZO44*BlendedPriceEssMonthly*ZA44+ZP44*BlendedPricePremMonthly*ZA44+ZQ44*BlendedPriceEliteMonthly*ZA44+ZR44*BlendedPriceEssAnnual*ZA44/12+ZS44*BlendedPricePremAnnual*ZA44/12+ZT44*BlendedPriceEliteAnnual*ZA44/12</f>
        <v/>
      </c>
      <c r="ZW44" s="9">
        <f>ZV44*12</f>
        <v/>
      </c>
      <c r="ZX44" s="12">
        <f>ZO44*BlendedPriceEssMonthly*ZA44+ZP44*BlendedPricePremMonthly*ZA44+ZQ44*BlendedPriceEliteMonthly*ZA44</f>
        <v/>
      </c>
      <c r="ZY44" s="12">
        <f>ZL44*BlendedPriceEssAnnual*ZA44+ZM44*BlendedPricePremAnnual*ZA44+ZN44*BlendedPriceEliteAnnual*ZA44</f>
        <v/>
      </c>
      <c r="ZZ44" s="12">
        <f>ZL32*POWER(1-(AnnualChurn*VLOOKUP(YX44,ChurnSeasonTable,4,FALSE)),1)*BlendedPriceEssAnnual*ZA44+ZL20*POWER(1-(AnnualChurn*VLOOKUP(YX44,ChurnSeasonTable,4,FALSE)),2)*BlendedPriceEssAnnual*ZA44+ZL8*POWER(1-(AnnualChurn*VLOOKUP(YX44,ChurnSeasonTable,4,FALSE)),3)*BlendedPriceEssAnnual*ZA44+ZM32*POWER(1-(AnnualChurn*VLOOKUP(YX44,ChurnSeasonTable,4,FALSE)),1)*BlendedPricePremAnnual*ZA44+ZM20*POWER(1-(AnnualChurn*VLOOKUP(YX44,ChurnSeasonTable,4,FALSE)),2)*BlendedPricePremAnnual*ZA44+ZM8*POWER(1-(AnnualChurn*VLOOKUP(YX44,ChurnSeasonTable,4,FALSE)),3)*BlendedPricePremAnnual*ZA44+ZN32*POWER(1-(AnnualChurn*VLOOKUP(YX44,ChurnSeasonTable,4,FALSE)),1)*BlendedPriceEliteAnnual*ZA44+ZN20*POWER(1-(AnnualChurn*VLOOKUP(YX44,ChurnSeasonTable,4,FALSE)),2)*BlendedPriceEliteAnnual*ZA44+ZN8*POWER(1-(AnnualChurn*VLOOKUP(YX44,ChurnSeasonTable,4,FALSE)),3)*BlendedPriceEliteAnnual*ZA44</f>
        <v/>
      </c>
      <c r="AAA44" s="9">
        <f>ZX44+ZY44+ZZ44</f>
        <v/>
      </c>
      <c r="AAB44" s="12">
        <f>SUM(AAA33:AAA44)</f>
        <v/>
      </c>
      <c r="AAC44" s="12">
        <f>OR(AAC43,IF(VATAgentMode,SUM($AAA33:$AAA44)-SUM($AAH33:$AAH44)&gt;=VATThreshold,SUM($AAA33:$AAA44)&gt;=VATThreshold))</f>
        <v/>
      </c>
      <c r="AAD44" s="9">
        <f>IF(AAC44,IF(VATAgentMode,AAA44-((AAA44-AAH44)-(AAA44-AAH44)/(1+VATRate)),AAA44/(1+VATRate)),AAA44)</f>
        <v/>
      </c>
      <c r="AAE44" s="12">
        <f>AAA44-AAD44</f>
        <v/>
      </c>
      <c r="AAF44" s="12">
        <f>IF(AAC44=0,0,IF(YX44=1,SUMPRODUCT(--(($YY$5:$YY44=$YY44-1)*($YX$5:$YX44&gt;=10)*($YX$5:$YX44&lt;=12)),$AAE$5:$AAE44),IF(YX44=4,SUMPRODUCT(--(($YY$5:$YY44=$YY44)*($YX$5:$YX44&gt;=1)*($YX$5:$YX44&lt;=3)),$AAE$5:$AAE44),IF(YX44=7,SUMPRODUCT(--(($YY$5:$YY44=$YY44)*($YX$5:$YX44&gt;=4)*($YX$5:$YX44&lt;=6)),$AAE$5:$AAE44),IF(YX44=10,SUMPRODUCT(--(($YY$5:$YY44=$YY44)*($YX$5:$YX44&gt;=7)*($YX$5:$YX44&lt;=9)),$AAE$5:$AAE44),0)))))</f>
        <v/>
      </c>
      <c r="AAG44" s="12">
        <f>AAG43+AAE44-AAF44</f>
        <v/>
      </c>
      <c r="AAH44" s="12">
        <f>IF(ProviderDelay&gt;=1,ZO43*BlendedProvPayEss+ZP43*BlendedProvPayPrem+ZQ43*BlendedProvPayElite+ZR43*BlendedProvPayEss+ZS43*BlendedProvPayPrem+ZT43*BlendedProvPayElite,ZO44*BlendedProvPayEss+ZP44*BlendedProvPayPrem+ZQ44*BlendedProvPayElite+ZR44*BlendedProvPayEss+ZS44*BlendedProvPayPrem+ZT44*BlendedProvPayElite)</f>
        <v/>
      </c>
      <c r="AAI44" s="12">
        <f>AAA44*PaymentFee</f>
        <v/>
      </c>
      <c r="AAJ44" s="12">
        <f>ZU44*OpsAI</f>
        <v/>
      </c>
      <c r="AAK44" s="12">
        <f>MonthlyFixed</f>
        <v/>
      </c>
      <c r="AAL44" s="12">
        <f>ZE44*ReferralReward</f>
        <v/>
      </c>
      <c r="AAM44" s="12">
        <f>ZC44</f>
        <v/>
      </c>
      <c r="AAN44" s="9">
        <f>AAD44-AAH44-AAI44-AAJ44-AAK44-AAL44-AAM44</f>
        <v/>
      </c>
      <c r="AAO44" s="9">
        <f>AAO43+AAA44-(AAH44+AAI44+AAJ44+AAK44+AAL44+AAM44+AAF44)</f>
        <v/>
      </c>
      <c r="AAP44" s="12">
        <f>IF(ZU44&gt;0,ZV44/ZU44,0)</f>
        <v/>
      </c>
      <c r="AAQ44" s="11">
        <f>IF(ZU43&gt;0,MAX(0,(ZU43+ZF44-ZU44)/ZU43),0)</f>
        <v/>
      </c>
      <c r="AAS44" s="12" t="n">
        <v>40</v>
      </c>
      <c r="AAT44" s="12">
        <f>MOD(AAS44-1+LaunchMonth-1,12)+1</f>
        <v/>
      </c>
      <c r="AAU44" s="12">
        <f>INT((AAS44-1+LaunchMonth-1)/12)+1</f>
        <v/>
      </c>
      <c r="AAV44" s="12">
        <f>VLOOKUP(AAT44,SeasonTable,2,FALSE)</f>
        <v/>
      </c>
      <c r="AAW44" s="12">
        <f>(1+InflationRate)^INT((AAS44-1)/12)</f>
        <v/>
      </c>
      <c r="AAX44" s="11">
        <f>MonthlyChurn*VLOOKUP(AAT44,ChurnSeasonTable,4,FALSE)</f>
        <v/>
      </c>
      <c r="AAY44" s="12">
        <f>MIN(MAX(MktMin19plus,ABW43*MktPct19plus),MAX(0,ACK43-CashBuffer))</f>
        <v/>
      </c>
      <c r="AAZ44" s="12">
        <f>IF(AAY44&gt;0,MAX(1,ROUND(AAY44/CAC*AAV44,0)),0)</f>
        <v/>
      </c>
      <c r="ABA44" s="12">
        <f>IF(AAZ44&gt;0,ROUND(AAZ44*ReferralMix/(1-ReferralMix),0),0)</f>
        <v/>
      </c>
      <c r="ABB44" s="12">
        <f>AAZ44+ABA44</f>
        <v/>
      </c>
      <c r="ABC44" s="12">
        <f>ROUND(ABB44*(1-'Sens - Annual Mix'!$A$12),0)</f>
        <v/>
      </c>
      <c r="ABD44" s="12">
        <f>ABB44-ABC44</f>
        <v/>
      </c>
      <c r="ABE44" s="12">
        <f>ROUND(ABC44*EssentialMix,0)</f>
        <v/>
      </c>
      <c r="ABF44" s="12">
        <f>ROUND(ABC44*PremiumMix,0)</f>
        <v/>
      </c>
      <c r="ABG44" s="12">
        <f>ABC44-ABE44-ABF44</f>
        <v/>
      </c>
      <c r="ABH44" s="12">
        <f>ROUND(ABD44*EssentialMix,0)</f>
        <v/>
      </c>
      <c r="ABI44" s="12">
        <f>ROUND(ABD44*PremiumMix,0)</f>
        <v/>
      </c>
      <c r="ABJ44" s="12">
        <f>ABD44-ABH44-ABI44</f>
        <v/>
      </c>
      <c r="ABK44" s="12">
        <f>ABE44+ABE43+ABE42+MAX(0,ABK43-ABE43-ABE42)*(1-AAX44)</f>
        <v/>
      </c>
      <c r="ABL44" s="12">
        <f>ABF44+ABF43+ABF42+MAX(0,ABL43-ABF43-ABF42)*(1-AAX44)</f>
        <v/>
      </c>
      <c r="ABM44" s="12">
        <f>ABG44+ABG43+ABG42+MAX(0,ABM43-ABG43-ABG42)*(1-AAX44)</f>
        <v/>
      </c>
      <c r="ABN44" s="12">
        <f>ABN43+ABH44-ABH32*(AnnualChurn*VLOOKUP(AAT44,ChurnSeasonTable,4,FALSE))*POWER(1-(AnnualChurn*VLOOKUP(AAT44,ChurnSeasonTable,4,FALSE)),0)+ABH20*(AnnualChurn*VLOOKUP(AAT44,ChurnSeasonTable,4,FALSE))*POWER(1-(AnnualChurn*VLOOKUP(AAT44,ChurnSeasonTable,4,FALSE)),1)+ABH8*(AnnualChurn*VLOOKUP(AAT44,ChurnSeasonTable,4,FALSE))*POWER(1-(AnnualChurn*VLOOKUP(AAT44,ChurnSeasonTable,4,FALSE)),2)</f>
        <v/>
      </c>
      <c r="ABO44" s="12">
        <f>ABO43+ABI44-ABI32*(AnnualChurn*VLOOKUP(AAT44,ChurnSeasonTable,4,FALSE))*POWER(1-(AnnualChurn*VLOOKUP(AAT44,ChurnSeasonTable,4,FALSE)),0)+ABI20*(AnnualChurn*VLOOKUP(AAT44,ChurnSeasonTable,4,FALSE))*POWER(1-(AnnualChurn*VLOOKUP(AAT44,ChurnSeasonTable,4,FALSE)),1)+ABI8*(AnnualChurn*VLOOKUP(AAT44,ChurnSeasonTable,4,FALSE))*POWER(1-(AnnualChurn*VLOOKUP(AAT44,ChurnSeasonTable,4,FALSE)),2)</f>
        <v/>
      </c>
      <c r="ABP44" s="12">
        <f>ABP43+ABJ44-ABJ32*(AnnualChurn*VLOOKUP(AAT44,ChurnSeasonTable,4,FALSE))*POWER(1-(AnnualChurn*VLOOKUP(AAT44,ChurnSeasonTable,4,FALSE)),0)+ABJ20*(AnnualChurn*VLOOKUP(AAT44,ChurnSeasonTable,4,FALSE))*POWER(1-(AnnualChurn*VLOOKUP(AAT44,ChurnSeasonTable,4,FALSE)),1)+ABJ8*(AnnualChurn*VLOOKUP(AAT44,ChurnSeasonTable,4,FALSE))*POWER(1-(AnnualChurn*VLOOKUP(AAT44,ChurnSeasonTable,4,FALSE)),2)</f>
        <v/>
      </c>
      <c r="ABQ44" s="12">
        <f>ABK44+ABL44+ABM44+ABN44+ABO44+ABP44</f>
        <v/>
      </c>
      <c r="ABR44" s="9">
        <f>ABK44*BlendedPriceEssMonthly*AAW44+ABL44*BlendedPricePremMonthly*AAW44+ABM44*BlendedPriceEliteMonthly*AAW44+ABN44*BlendedPriceEssAnnual*AAW44/12+ABO44*BlendedPricePremAnnual*AAW44/12+ABP44*BlendedPriceEliteAnnual*AAW44/12</f>
        <v/>
      </c>
      <c r="ABS44" s="9">
        <f>ABR44*12</f>
        <v/>
      </c>
      <c r="ABT44" s="12">
        <f>ABK44*BlendedPriceEssMonthly*AAW44+ABL44*BlendedPricePremMonthly*AAW44+ABM44*BlendedPriceEliteMonthly*AAW44</f>
        <v/>
      </c>
      <c r="ABU44" s="12">
        <f>ABH44*BlendedPriceEssAnnual*AAW44+ABI44*BlendedPricePremAnnual*AAW44+ABJ44*BlendedPriceEliteAnnual*AAW44</f>
        <v/>
      </c>
      <c r="ABV44" s="12">
        <f>ABH32*POWER(1-(AnnualChurn*VLOOKUP(AAT44,ChurnSeasonTable,4,FALSE)),1)*BlendedPriceEssAnnual*AAW44+ABH20*POWER(1-(AnnualChurn*VLOOKUP(AAT44,ChurnSeasonTable,4,FALSE)),2)*BlendedPriceEssAnnual*AAW44+ABH8*POWER(1-(AnnualChurn*VLOOKUP(AAT44,ChurnSeasonTable,4,FALSE)),3)*BlendedPriceEssAnnual*AAW44+ABI32*POWER(1-(AnnualChurn*VLOOKUP(AAT44,ChurnSeasonTable,4,FALSE)),1)*BlendedPricePremAnnual*AAW44+ABI20*POWER(1-(AnnualChurn*VLOOKUP(AAT44,ChurnSeasonTable,4,FALSE)),2)*BlendedPricePremAnnual*AAW44+ABI8*POWER(1-(AnnualChurn*VLOOKUP(AAT44,ChurnSeasonTable,4,FALSE)),3)*BlendedPricePremAnnual*AAW44+ABJ32*POWER(1-(AnnualChurn*VLOOKUP(AAT44,ChurnSeasonTable,4,FALSE)),1)*BlendedPriceEliteAnnual*AAW44+ABJ20*POWER(1-(AnnualChurn*VLOOKUP(AAT44,ChurnSeasonTable,4,FALSE)),2)*BlendedPriceEliteAnnual*AAW44+ABJ8*POWER(1-(AnnualChurn*VLOOKUP(AAT44,ChurnSeasonTable,4,FALSE)),3)*BlendedPriceEliteAnnual*AAW44</f>
        <v/>
      </c>
      <c r="ABW44" s="9">
        <f>ABT44+ABU44+ABV44</f>
        <v/>
      </c>
      <c r="ABX44" s="12">
        <f>SUM(ABW33:ABW44)</f>
        <v/>
      </c>
      <c r="ABY44" s="12">
        <f>OR(ABY43,IF(VATAgentMode,SUM($ABW33:$ABW44)-SUM($ACD33:$ACD44)&gt;=VATThreshold,SUM($ABW33:$ABW44)&gt;=VATThreshold))</f>
        <v/>
      </c>
      <c r="ABZ44" s="9">
        <f>IF(ABY44,IF(VATAgentMode,ABW44-((ABW44-ACD44)-(ABW44-ACD44)/(1+VATRate)),ABW44/(1+VATRate)),ABW44)</f>
        <v/>
      </c>
      <c r="ACA44" s="12">
        <f>ABW44-ABZ44</f>
        <v/>
      </c>
      <c r="ACB44" s="12">
        <f>IF(ABY44=0,0,IF(AAT44=1,SUMPRODUCT(--(($AAU$5:$AAU44=$AAU44-1)*($AAT$5:$AAT44&gt;=10)*($AAT$5:$AAT44&lt;=12)),$ACA$5:$ACA44),IF(AAT44=4,SUMPRODUCT(--(($AAU$5:$AAU44=$AAU44)*($AAT$5:$AAT44&gt;=1)*($AAT$5:$AAT44&lt;=3)),$ACA$5:$ACA44),IF(AAT44=7,SUMPRODUCT(--(($AAU$5:$AAU44=$AAU44)*($AAT$5:$AAT44&gt;=4)*($AAT$5:$AAT44&lt;=6)),$ACA$5:$ACA44),IF(AAT44=10,SUMPRODUCT(--(($AAU$5:$AAU44=$AAU44)*($AAT$5:$AAT44&gt;=7)*($AAT$5:$AAT44&lt;=9)),$ACA$5:$ACA44),0)))))</f>
        <v/>
      </c>
      <c r="ACC44" s="12">
        <f>ACC43+ACA44-ACB44</f>
        <v/>
      </c>
      <c r="ACD44" s="12">
        <f>IF(ProviderDelay&gt;=1,ABK43*BlendedProvPayEss+ABL43*BlendedProvPayPrem+ABM43*BlendedProvPayElite+ABN43*BlendedProvPayEss+ABO43*BlendedProvPayPrem+ABP43*BlendedProvPayElite,ABK44*BlendedProvPayEss+ABL44*BlendedProvPayPrem+ABM44*BlendedProvPayElite+ABN44*BlendedProvPayEss+ABO44*BlendedProvPayPrem+ABP44*BlendedProvPayElite)</f>
        <v/>
      </c>
      <c r="ACE44" s="12">
        <f>ABW44*PaymentFee</f>
        <v/>
      </c>
      <c r="ACF44" s="12">
        <f>ABQ44*OpsAI</f>
        <v/>
      </c>
      <c r="ACG44" s="12">
        <f>MonthlyFixed</f>
        <v/>
      </c>
      <c r="ACH44" s="12">
        <f>ABA44*ReferralReward</f>
        <v/>
      </c>
      <c r="ACI44" s="12">
        <f>AAY44</f>
        <v/>
      </c>
      <c r="ACJ44" s="9">
        <f>ABZ44-ACD44-ACE44-ACF44-ACG44-ACH44-ACI44</f>
        <v/>
      </c>
      <c r="ACK44" s="9">
        <f>ACK43+ABW44-(ACD44+ACE44+ACF44+ACG44+ACH44+ACI44+ACB44)</f>
        <v/>
      </c>
      <c r="ACL44" s="12">
        <f>IF(ABQ44&gt;0,ABR44/ABQ44,0)</f>
        <v/>
      </c>
      <c r="ACM44" s="11">
        <f>IF(ABQ43&gt;0,MAX(0,(ABQ43+ABB44-ABQ44)/ABQ43),0)</f>
        <v/>
      </c>
      <c r="ACO44" s="12" t="n">
        <v>40</v>
      </c>
      <c r="ACP44" s="12">
        <f>MOD(ACO44-1+LaunchMonth-1,12)+1</f>
        <v/>
      </c>
      <c r="ACQ44" s="12">
        <f>INT((ACO44-1+LaunchMonth-1)/12)+1</f>
        <v/>
      </c>
      <c r="ACR44" s="12">
        <f>VLOOKUP(ACP44,SeasonTable,2,FALSE)</f>
        <v/>
      </c>
      <c r="ACS44" s="12">
        <f>(1+InflationRate)^INT((ACO44-1)/12)</f>
        <v/>
      </c>
      <c r="ACT44" s="11">
        <f>MonthlyChurn*VLOOKUP(ACP44,ChurnSeasonTable,4,FALSE)</f>
        <v/>
      </c>
      <c r="ACU44" s="12">
        <f>MIN(MAX(MktMin19plus,ADS43*MktPct19plus),MAX(0,AEG43-CashBuffer))</f>
        <v/>
      </c>
      <c r="ACV44" s="12">
        <f>IF(ACU44&gt;0,MAX(1,ROUND(ACU44/CAC*ACR44,0)),0)</f>
        <v/>
      </c>
      <c r="ACW44" s="12">
        <f>IF(ACV44&gt;0,ROUND(ACV44*ReferralMix/(1-ReferralMix),0),0)</f>
        <v/>
      </c>
      <c r="ACX44" s="12">
        <f>ACV44+ACW44</f>
        <v/>
      </c>
      <c r="ACY44" s="12">
        <f>ROUND(ACX44*(1-'Sens - Annual Mix'!$A$13),0)</f>
        <v/>
      </c>
      <c r="ACZ44" s="12">
        <f>ACX44-ACY44</f>
        <v/>
      </c>
      <c r="ADA44" s="12">
        <f>ROUND(ACY44*EssentialMix,0)</f>
        <v/>
      </c>
      <c r="ADB44" s="12">
        <f>ROUND(ACY44*PremiumMix,0)</f>
        <v/>
      </c>
      <c r="ADC44" s="12">
        <f>ACY44-ADA44-ADB44</f>
        <v/>
      </c>
      <c r="ADD44" s="12">
        <f>ROUND(ACZ44*EssentialMix,0)</f>
        <v/>
      </c>
      <c r="ADE44" s="12">
        <f>ROUND(ACZ44*PremiumMix,0)</f>
        <v/>
      </c>
      <c r="ADF44" s="12">
        <f>ACZ44-ADD44-ADE44</f>
        <v/>
      </c>
      <c r="ADG44" s="12">
        <f>ADA44+ADA43+ADA42+MAX(0,ADG43-ADA43-ADA42)*(1-ACT44)</f>
        <v/>
      </c>
      <c r="ADH44" s="12">
        <f>ADB44+ADB43+ADB42+MAX(0,ADH43-ADB43-ADB42)*(1-ACT44)</f>
        <v/>
      </c>
      <c r="ADI44" s="12">
        <f>ADC44+ADC43+ADC42+MAX(0,ADI43-ADC43-ADC42)*(1-ACT44)</f>
        <v/>
      </c>
      <c r="ADJ44" s="12">
        <f>ADJ43+ADD44-ADD32*(AnnualChurn*VLOOKUP(ACP44,ChurnSeasonTable,4,FALSE))*POWER(1-(AnnualChurn*VLOOKUP(ACP44,ChurnSeasonTable,4,FALSE)),0)+ADD20*(AnnualChurn*VLOOKUP(ACP44,ChurnSeasonTable,4,FALSE))*POWER(1-(AnnualChurn*VLOOKUP(ACP44,ChurnSeasonTable,4,FALSE)),1)+ADD8*(AnnualChurn*VLOOKUP(ACP44,ChurnSeasonTable,4,FALSE))*POWER(1-(AnnualChurn*VLOOKUP(ACP44,ChurnSeasonTable,4,FALSE)),2)</f>
        <v/>
      </c>
      <c r="ADK44" s="12">
        <f>ADK43+ADE44-ADE32*(AnnualChurn*VLOOKUP(ACP44,ChurnSeasonTable,4,FALSE))*POWER(1-(AnnualChurn*VLOOKUP(ACP44,ChurnSeasonTable,4,FALSE)),0)+ADE20*(AnnualChurn*VLOOKUP(ACP44,ChurnSeasonTable,4,FALSE))*POWER(1-(AnnualChurn*VLOOKUP(ACP44,ChurnSeasonTable,4,FALSE)),1)+ADE8*(AnnualChurn*VLOOKUP(ACP44,ChurnSeasonTable,4,FALSE))*POWER(1-(AnnualChurn*VLOOKUP(ACP44,ChurnSeasonTable,4,FALSE)),2)</f>
        <v/>
      </c>
      <c r="ADL44" s="12">
        <f>ADL43+ADF44-ADF32*(AnnualChurn*VLOOKUP(ACP44,ChurnSeasonTable,4,FALSE))*POWER(1-(AnnualChurn*VLOOKUP(ACP44,ChurnSeasonTable,4,FALSE)),0)+ADF20*(AnnualChurn*VLOOKUP(ACP44,ChurnSeasonTable,4,FALSE))*POWER(1-(AnnualChurn*VLOOKUP(ACP44,ChurnSeasonTable,4,FALSE)),1)+ADF8*(AnnualChurn*VLOOKUP(ACP44,ChurnSeasonTable,4,FALSE))*POWER(1-(AnnualChurn*VLOOKUP(ACP44,ChurnSeasonTable,4,FALSE)),2)</f>
        <v/>
      </c>
      <c r="ADM44" s="12">
        <f>ADG44+ADH44+ADI44+ADJ44+ADK44+ADL44</f>
        <v/>
      </c>
      <c r="ADN44" s="9">
        <f>ADG44*BlendedPriceEssMonthly*ACS44+ADH44*BlendedPricePremMonthly*ACS44+ADI44*BlendedPriceEliteMonthly*ACS44+ADJ44*BlendedPriceEssAnnual*ACS44/12+ADK44*BlendedPricePremAnnual*ACS44/12+ADL44*BlendedPriceEliteAnnual*ACS44/12</f>
        <v/>
      </c>
      <c r="ADO44" s="9">
        <f>ADN44*12</f>
        <v/>
      </c>
      <c r="ADP44" s="12">
        <f>ADG44*BlendedPriceEssMonthly*ACS44+ADH44*BlendedPricePremMonthly*ACS44+ADI44*BlendedPriceEliteMonthly*ACS44</f>
        <v/>
      </c>
      <c r="ADQ44" s="12">
        <f>ADD44*BlendedPriceEssAnnual*ACS44+ADE44*BlendedPricePremAnnual*ACS44+ADF44*BlendedPriceEliteAnnual*ACS44</f>
        <v/>
      </c>
      <c r="ADR44" s="12">
        <f>ADD32*POWER(1-(AnnualChurn*VLOOKUP(ACP44,ChurnSeasonTable,4,FALSE)),1)*BlendedPriceEssAnnual*ACS44+ADD20*POWER(1-(AnnualChurn*VLOOKUP(ACP44,ChurnSeasonTable,4,FALSE)),2)*BlendedPriceEssAnnual*ACS44+ADD8*POWER(1-(AnnualChurn*VLOOKUP(ACP44,ChurnSeasonTable,4,FALSE)),3)*BlendedPriceEssAnnual*ACS44+ADE32*POWER(1-(AnnualChurn*VLOOKUP(ACP44,ChurnSeasonTable,4,FALSE)),1)*BlendedPricePremAnnual*ACS44+ADE20*POWER(1-(AnnualChurn*VLOOKUP(ACP44,ChurnSeasonTable,4,FALSE)),2)*BlendedPricePremAnnual*ACS44+ADE8*POWER(1-(AnnualChurn*VLOOKUP(ACP44,ChurnSeasonTable,4,FALSE)),3)*BlendedPricePremAnnual*ACS44+ADF32*POWER(1-(AnnualChurn*VLOOKUP(ACP44,ChurnSeasonTable,4,FALSE)),1)*BlendedPriceEliteAnnual*ACS44+ADF20*POWER(1-(AnnualChurn*VLOOKUP(ACP44,ChurnSeasonTable,4,FALSE)),2)*BlendedPriceEliteAnnual*ACS44+ADF8*POWER(1-(AnnualChurn*VLOOKUP(ACP44,ChurnSeasonTable,4,FALSE)),3)*BlendedPriceEliteAnnual*ACS44</f>
        <v/>
      </c>
      <c r="ADS44" s="9">
        <f>ADP44+ADQ44+ADR44</f>
        <v/>
      </c>
      <c r="ADT44" s="12">
        <f>SUM(ADS33:ADS44)</f>
        <v/>
      </c>
      <c r="ADU44" s="12">
        <f>OR(ADU43,IF(VATAgentMode,SUM($ADS33:$ADS44)-SUM($ADZ33:$ADZ44)&gt;=VATThreshold,SUM($ADS33:$ADS44)&gt;=VATThreshold))</f>
        <v/>
      </c>
      <c r="ADV44" s="9">
        <f>IF(ADU44,IF(VATAgentMode,ADS44-((ADS44-ADZ44)-(ADS44-ADZ44)/(1+VATRate)),ADS44/(1+VATRate)),ADS44)</f>
        <v/>
      </c>
      <c r="ADW44" s="12">
        <f>ADS44-ADV44</f>
        <v/>
      </c>
      <c r="ADX44" s="12">
        <f>IF(ADU44=0,0,IF(ACP44=1,SUMPRODUCT(--(($ACQ$5:$ACQ44=$ACQ44-1)*($ACP$5:$ACP44&gt;=10)*($ACP$5:$ACP44&lt;=12)),$ADW$5:$ADW44),IF(ACP44=4,SUMPRODUCT(--(($ACQ$5:$ACQ44=$ACQ44)*($ACP$5:$ACP44&gt;=1)*($ACP$5:$ACP44&lt;=3)),$ADW$5:$ADW44),IF(ACP44=7,SUMPRODUCT(--(($ACQ$5:$ACQ44=$ACQ44)*($ACP$5:$ACP44&gt;=4)*($ACP$5:$ACP44&lt;=6)),$ADW$5:$ADW44),IF(ACP44=10,SUMPRODUCT(--(($ACQ$5:$ACQ44=$ACQ44)*($ACP$5:$ACP44&gt;=7)*($ACP$5:$ACP44&lt;=9)),$ADW$5:$ADW44),0)))))</f>
        <v/>
      </c>
      <c r="ADY44" s="12">
        <f>ADY43+ADW44-ADX44</f>
        <v/>
      </c>
      <c r="ADZ44" s="12">
        <f>IF(ProviderDelay&gt;=1,ADG43*BlendedProvPayEss+ADH43*BlendedProvPayPrem+ADI43*BlendedProvPayElite+ADJ43*BlendedProvPayEss+ADK43*BlendedProvPayPrem+ADL43*BlendedProvPayElite,ADG44*BlendedProvPayEss+ADH44*BlendedProvPayPrem+ADI44*BlendedProvPayElite+ADJ44*BlendedProvPayEss+ADK44*BlendedProvPayPrem+ADL44*BlendedProvPayElite)</f>
        <v/>
      </c>
      <c r="AEA44" s="12">
        <f>ADS44*PaymentFee</f>
        <v/>
      </c>
      <c r="AEB44" s="12">
        <f>ADM44*OpsAI</f>
        <v/>
      </c>
      <c r="AEC44" s="12">
        <f>MonthlyFixed</f>
        <v/>
      </c>
      <c r="AED44" s="12">
        <f>ACW44*ReferralReward</f>
        <v/>
      </c>
      <c r="AEE44" s="12">
        <f>ACU44</f>
        <v/>
      </c>
      <c r="AEF44" s="9">
        <f>ADV44-ADZ44-AEA44-AEB44-AEC44-AED44-AEE44</f>
        <v/>
      </c>
      <c r="AEG44" s="9">
        <f>AEG43+ADS44-(ADZ44+AEA44+AEB44+AEC44+AED44+AEE44+ADX44)</f>
        <v/>
      </c>
      <c r="AEH44" s="12">
        <f>IF(ADM44&gt;0,ADN44/ADM44,0)</f>
        <v/>
      </c>
      <c r="AEI44" s="11">
        <f>IF(ADM43&gt;0,MAX(0,(ADM43+ACX44-ADM44)/ADM43),0)</f>
        <v/>
      </c>
      <c r="AEK44" s="12" t="n">
        <v>40</v>
      </c>
      <c r="AEL44" s="12">
        <f>MOD(AEK44-1+LaunchMonth-1,12)+1</f>
        <v/>
      </c>
      <c r="AEM44" s="12">
        <f>INT((AEK44-1+LaunchMonth-1)/12)+1</f>
        <v/>
      </c>
      <c r="AEN44" s="12">
        <f>VLOOKUP(AEL44,SeasonTable,2,FALSE)</f>
        <v/>
      </c>
      <c r="AEO44" s="12">
        <f>(1+InflationRate)^INT((AEK44-1)/12)</f>
        <v/>
      </c>
      <c r="AEP44" s="11">
        <f>MonthlyChurn*VLOOKUP(AEL44,ChurnSeasonTable,4,FALSE)</f>
        <v/>
      </c>
      <c r="AEQ44" s="12">
        <f>MIN(MAX(MktMin19plus,AFO43*MktPct19plus),MAX(0,AGC43-CashBuffer))</f>
        <v/>
      </c>
      <c r="AER44" s="12">
        <f>IF(AEQ44&gt;0,MAX(1,ROUND(AEQ44/CAC*AEN44,0)),0)</f>
        <v/>
      </c>
      <c r="AES44" s="12">
        <f>IF(AER44&gt;0,ROUND(AER44*ReferralMix/(1-ReferralMix),0),0)</f>
        <v/>
      </c>
      <c r="AET44" s="12">
        <f>AER44+AES44</f>
        <v/>
      </c>
      <c r="AEU44" s="12">
        <f>ROUND(AET44*(1-'Sens - Annual Mix'!$A$14),0)</f>
        <v/>
      </c>
      <c r="AEV44" s="12">
        <f>AET44-AEU44</f>
        <v/>
      </c>
      <c r="AEW44" s="12">
        <f>ROUND(AEU44*EssentialMix,0)</f>
        <v/>
      </c>
      <c r="AEX44" s="12">
        <f>ROUND(AEU44*PremiumMix,0)</f>
        <v/>
      </c>
      <c r="AEY44" s="12">
        <f>AEU44-AEW44-AEX44</f>
        <v/>
      </c>
      <c r="AEZ44" s="12">
        <f>ROUND(AEV44*EssentialMix,0)</f>
        <v/>
      </c>
      <c r="AFA44" s="12">
        <f>ROUND(AEV44*PremiumMix,0)</f>
        <v/>
      </c>
      <c r="AFB44" s="12">
        <f>AEV44-AEZ44-AFA44</f>
        <v/>
      </c>
      <c r="AFC44" s="12">
        <f>AEW44+AEW43+AEW42+MAX(0,AFC43-AEW43-AEW42)*(1-AEP44)</f>
        <v/>
      </c>
      <c r="AFD44" s="12">
        <f>AEX44+AEX43+AEX42+MAX(0,AFD43-AEX43-AEX42)*(1-AEP44)</f>
        <v/>
      </c>
      <c r="AFE44" s="12">
        <f>AEY44+AEY43+AEY42+MAX(0,AFE43-AEY43-AEY42)*(1-AEP44)</f>
        <v/>
      </c>
      <c r="AFF44" s="12">
        <f>AFF43+AEZ44-AEZ32*(AnnualChurn*VLOOKUP(AEL44,ChurnSeasonTable,4,FALSE))*POWER(1-(AnnualChurn*VLOOKUP(AEL44,ChurnSeasonTable,4,FALSE)),0)+AEZ20*(AnnualChurn*VLOOKUP(AEL44,ChurnSeasonTable,4,FALSE))*POWER(1-(AnnualChurn*VLOOKUP(AEL44,ChurnSeasonTable,4,FALSE)),1)+AEZ8*(AnnualChurn*VLOOKUP(AEL44,ChurnSeasonTable,4,FALSE))*POWER(1-(AnnualChurn*VLOOKUP(AEL44,ChurnSeasonTable,4,FALSE)),2)</f>
        <v/>
      </c>
      <c r="AFG44" s="12">
        <f>AFG43+AFA44-AFA32*(AnnualChurn*VLOOKUP(AEL44,ChurnSeasonTable,4,FALSE))*POWER(1-(AnnualChurn*VLOOKUP(AEL44,ChurnSeasonTable,4,FALSE)),0)+AFA20*(AnnualChurn*VLOOKUP(AEL44,ChurnSeasonTable,4,FALSE))*POWER(1-(AnnualChurn*VLOOKUP(AEL44,ChurnSeasonTable,4,FALSE)),1)+AFA8*(AnnualChurn*VLOOKUP(AEL44,ChurnSeasonTable,4,FALSE))*POWER(1-(AnnualChurn*VLOOKUP(AEL44,ChurnSeasonTable,4,FALSE)),2)</f>
        <v/>
      </c>
      <c r="AFH44" s="12">
        <f>AFH43+AFB44-AFB32*(AnnualChurn*VLOOKUP(AEL44,ChurnSeasonTable,4,FALSE))*POWER(1-(AnnualChurn*VLOOKUP(AEL44,ChurnSeasonTable,4,FALSE)),0)+AFB20*(AnnualChurn*VLOOKUP(AEL44,ChurnSeasonTable,4,FALSE))*POWER(1-(AnnualChurn*VLOOKUP(AEL44,ChurnSeasonTable,4,FALSE)),1)+AFB8*(AnnualChurn*VLOOKUP(AEL44,ChurnSeasonTable,4,FALSE))*POWER(1-(AnnualChurn*VLOOKUP(AEL44,ChurnSeasonTable,4,FALSE)),2)</f>
        <v/>
      </c>
      <c r="AFI44" s="12">
        <f>AFC44+AFD44+AFE44+AFF44+AFG44+AFH44</f>
        <v/>
      </c>
      <c r="AFJ44" s="9">
        <f>AFC44*BlendedPriceEssMonthly*AEO44+AFD44*BlendedPricePremMonthly*AEO44+AFE44*BlendedPriceEliteMonthly*AEO44+AFF44*BlendedPriceEssAnnual*AEO44/12+AFG44*BlendedPricePremAnnual*AEO44/12+AFH44*BlendedPriceEliteAnnual*AEO44/12</f>
        <v/>
      </c>
      <c r="AFK44" s="9">
        <f>AFJ44*12</f>
        <v/>
      </c>
      <c r="AFL44" s="12">
        <f>AFC44*BlendedPriceEssMonthly*AEO44+AFD44*BlendedPricePremMonthly*AEO44+AFE44*BlendedPriceEliteMonthly*AEO44</f>
        <v/>
      </c>
      <c r="AFM44" s="12">
        <f>AEZ44*BlendedPriceEssAnnual*AEO44+AFA44*BlendedPricePremAnnual*AEO44+AFB44*BlendedPriceEliteAnnual*AEO44</f>
        <v/>
      </c>
      <c r="AFN44" s="12">
        <f>AEZ32*POWER(1-(AnnualChurn*VLOOKUP(AEL44,ChurnSeasonTable,4,FALSE)),1)*BlendedPriceEssAnnual*AEO44+AEZ20*POWER(1-(AnnualChurn*VLOOKUP(AEL44,ChurnSeasonTable,4,FALSE)),2)*BlendedPriceEssAnnual*AEO44+AEZ8*POWER(1-(AnnualChurn*VLOOKUP(AEL44,ChurnSeasonTable,4,FALSE)),3)*BlendedPriceEssAnnual*AEO44+AFA32*POWER(1-(AnnualChurn*VLOOKUP(AEL44,ChurnSeasonTable,4,FALSE)),1)*BlendedPricePremAnnual*AEO44+AFA20*POWER(1-(AnnualChurn*VLOOKUP(AEL44,ChurnSeasonTable,4,FALSE)),2)*BlendedPricePremAnnual*AEO44+AFA8*POWER(1-(AnnualChurn*VLOOKUP(AEL44,ChurnSeasonTable,4,FALSE)),3)*BlendedPricePremAnnual*AEO44+AFB32*POWER(1-(AnnualChurn*VLOOKUP(AEL44,ChurnSeasonTable,4,FALSE)),1)*BlendedPriceEliteAnnual*AEO44+AFB20*POWER(1-(AnnualChurn*VLOOKUP(AEL44,ChurnSeasonTable,4,FALSE)),2)*BlendedPriceEliteAnnual*AEO44+AFB8*POWER(1-(AnnualChurn*VLOOKUP(AEL44,ChurnSeasonTable,4,FALSE)),3)*BlendedPriceEliteAnnual*AEO44</f>
        <v/>
      </c>
      <c r="AFO44" s="9">
        <f>AFL44+AFM44+AFN44</f>
        <v/>
      </c>
      <c r="AFP44" s="12">
        <f>SUM(AFO33:AFO44)</f>
        <v/>
      </c>
      <c r="AFQ44" s="12">
        <f>OR(AFQ43,IF(VATAgentMode,SUM($AFO33:$AFO44)-SUM($AFV33:$AFV44)&gt;=VATThreshold,SUM($AFO33:$AFO44)&gt;=VATThreshold))</f>
        <v/>
      </c>
      <c r="AFR44" s="9">
        <f>IF(AFQ44,IF(VATAgentMode,AFO44-((AFO44-AFV44)-(AFO44-AFV44)/(1+VATRate)),AFO44/(1+VATRate)),AFO44)</f>
        <v/>
      </c>
      <c r="AFS44" s="12">
        <f>AFO44-AFR44</f>
        <v/>
      </c>
      <c r="AFT44" s="12">
        <f>IF(AFQ44=0,0,IF(AEL44=1,SUMPRODUCT(--(($AEM$5:$AEM44=$AEM44-1)*($AEL$5:$AEL44&gt;=10)*($AEL$5:$AEL44&lt;=12)),$AFS$5:$AFS44),IF(AEL44=4,SUMPRODUCT(--(($AEM$5:$AEM44=$AEM44)*($AEL$5:$AEL44&gt;=1)*($AEL$5:$AEL44&lt;=3)),$AFS$5:$AFS44),IF(AEL44=7,SUMPRODUCT(--(($AEM$5:$AEM44=$AEM44)*($AEL$5:$AEL44&gt;=4)*($AEL$5:$AEL44&lt;=6)),$AFS$5:$AFS44),IF(AEL44=10,SUMPRODUCT(--(($AEM$5:$AEM44=$AEM44)*($AEL$5:$AEL44&gt;=7)*($AEL$5:$AEL44&lt;=9)),$AFS$5:$AFS44),0)))))</f>
        <v/>
      </c>
      <c r="AFU44" s="12">
        <f>AFU43+AFS44-AFT44</f>
        <v/>
      </c>
      <c r="AFV44" s="12">
        <f>IF(ProviderDelay&gt;=1,AFC43*BlendedProvPayEss+AFD43*BlendedProvPayPrem+AFE43*BlendedProvPayElite+AFF43*BlendedProvPayEss+AFG43*BlendedProvPayPrem+AFH43*BlendedProvPayElite,AFC44*BlendedProvPayEss+AFD44*BlendedProvPayPrem+AFE44*BlendedProvPayElite+AFF44*BlendedProvPayEss+AFG44*BlendedProvPayPrem+AFH44*BlendedProvPayElite)</f>
        <v/>
      </c>
      <c r="AFW44" s="12">
        <f>AFO44*PaymentFee</f>
        <v/>
      </c>
      <c r="AFX44" s="12">
        <f>AFI44*OpsAI</f>
        <v/>
      </c>
      <c r="AFY44" s="12">
        <f>MonthlyFixed</f>
        <v/>
      </c>
      <c r="AFZ44" s="12">
        <f>AES44*ReferralReward</f>
        <v/>
      </c>
      <c r="AGA44" s="12">
        <f>AEQ44</f>
        <v/>
      </c>
      <c r="AGB44" s="9">
        <f>AFR44-AFV44-AFW44-AFX44-AFY44-AFZ44-AGA44</f>
        <v/>
      </c>
      <c r="AGC44" s="9">
        <f>AGC43+AFO44-(AFV44+AFW44+AFX44+AFY44+AFZ44+AGA44+AFT44)</f>
        <v/>
      </c>
      <c r="AGD44" s="12">
        <f>IF(AFI44&gt;0,AFJ44/AFI44,0)</f>
        <v/>
      </c>
      <c r="AGE44" s="11">
        <f>IF(AFI43&gt;0,MAX(0,(AFI43+AET44-AFI44)/AFI43),0)</f>
        <v/>
      </c>
      <c r="AGG44" s="12" t="n">
        <v>40</v>
      </c>
      <c r="AGH44" s="12">
        <f>MOD(AGG44-1+LaunchMonth-1,12)+1</f>
        <v/>
      </c>
      <c r="AGI44" s="12">
        <f>INT((AGG44-1+LaunchMonth-1)/12)+1</f>
        <v/>
      </c>
      <c r="AGJ44" s="12">
        <f>VLOOKUP(AGH44,SeasonTable,2,FALSE)</f>
        <v/>
      </c>
      <c r="AGK44" s="12">
        <f>(1+InflationRate)^INT((AGG44-1)/12)</f>
        <v/>
      </c>
      <c r="AGL44" s="11">
        <f>MonthlyChurn*VLOOKUP(AGH44,ChurnSeasonTable,4,FALSE)</f>
        <v/>
      </c>
      <c r="AGM44" s="12">
        <f>MIN(MAX(MktMin19plus,AHK43*MktPct19plus),MAX(0,AHY43-CashBuffer))</f>
        <v/>
      </c>
      <c r="AGN44" s="12">
        <f>IF(AGM44&gt;0,MAX(1,ROUND(AGM44/CAC*AGJ44,0)),0)</f>
        <v/>
      </c>
      <c r="AGO44" s="12">
        <f>IF(AGN44&gt;0,ROUND(AGN44*ReferralMix/(1-ReferralMix),0),0)</f>
        <v/>
      </c>
      <c r="AGP44" s="12">
        <f>AGN44+AGO44</f>
        <v/>
      </c>
      <c r="AGQ44" s="12">
        <f>ROUND(AGP44*(1-'Sens - Annual Mix'!$A$15),0)</f>
        <v/>
      </c>
      <c r="AGR44" s="12">
        <f>AGP44-AGQ44</f>
        <v/>
      </c>
      <c r="AGS44" s="12">
        <f>ROUND(AGQ44*EssentialMix,0)</f>
        <v/>
      </c>
      <c r="AGT44" s="12">
        <f>ROUND(AGQ44*PremiumMix,0)</f>
        <v/>
      </c>
      <c r="AGU44" s="12">
        <f>AGQ44-AGS44-AGT44</f>
        <v/>
      </c>
      <c r="AGV44" s="12">
        <f>ROUND(AGR44*EssentialMix,0)</f>
        <v/>
      </c>
      <c r="AGW44" s="12">
        <f>ROUND(AGR44*PremiumMix,0)</f>
        <v/>
      </c>
      <c r="AGX44" s="12">
        <f>AGR44-AGV44-AGW44</f>
        <v/>
      </c>
      <c r="AGY44" s="12">
        <f>AGS44+AGS43+AGS42+MAX(0,AGY43-AGS43-AGS42)*(1-AGL44)</f>
        <v/>
      </c>
      <c r="AGZ44" s="12">
        <f>AGT44+AGT43+AGT42+MAX(0,AGZ43-AGT43-AGT42)*(1-AGL44)</f>
        <v/>
      </c>
      <c r="AHA44" s="12">
        <f>AGU44+AGU43+AGU42+MAX(0,AHA43-AGU43-AGU42)*(1-AGL44)</f>
        <v/>
      </c>
      <c r="AHB44" s="12">
        <f>AHB43+AGV44-AGV32*(AnnualChurn*VLOOKUP(AGH44,ChurnSeasonTable,4,FALSE))*POWER(1-(AnnualChurn*VLOOKUP(AGH44,ChurnSeasonTable,4,FALSE)),0)+AGV20*(AnnualChurn*VLOOKUP(AGH44,ChurnSeasonTable,4,FALSE))*POWER(1-(AnnualChurn*VLOOKUP(AGH44,ChurnSeasonTable,4,FALSE)),1)+AGV8*(AnnualChurn*VLOOKUP(AGH44,ChurnSeasonTable,4,FALSE))*POWER(1-(AnnualChurn*VLOOKUP(AGH44,ChurnSeasonTable,4,FALSE)),2)</f>
        <v/>
      </c>
      <c r="AHC44" s="12">
        <f>AHC43+AGW44-AGW32*(AnnualChurn*VLOOKUP(AGH44,ChurnSeasonTable,4,FALSE))*POWER(1-(AnnualChurn*VLOOKUP(AGH44,ChurnSeasonTable,4,FALSE)),0)+AGW20*(AnnualChurn*VLOOKUP(AGH44,ChurnSeasonTable,4,FALSE))*POWER(1-(AnnualChurn*VLOOKUP(AGH44,ChurnSeasonTable,4,FALSE)),1)+AGW8*(AnnualChurn*VLOOKUP(AGH44,ChurnSeasonTable,4,FALSE))*POWER(1-(AnnualChurn*VLOOKUP(AGH44,ChurnSeasonTable,4,FALSE)),2)</f>
        <v/>
      </c>
      <c r="AHD44" s="12">
        <f>AHD43+AGX44-AGX32*(AnnualChurn*VLOOKUP(AGH44,ChurnSeasonTable,4,FALSE))*POWER(1-(AnnualChurn*VLOOKUP(AGH44,ChurnSeasonTable,4,FALSE)),0)+AGX20*(AnnualChurn*VLOOKUP(AGH44,ChurnSeasonTable,4,FALSE))*POWER(1-(AnnualChurn*VLOOKUP(AGH44,ChurnSeasonTable,4,FALSE)),1)+AGX8*(AnnualChurn*VLOOKUP(AGH44,ChurnSeasonTable,4,FALSE))*POWER(1-(AnnualChurn*VLOOKUP(AGH44,ChurnSeasonTable,4,FALSE)),2)</f>
        <v/>
      </c>
      <c r="AHE44" s="12">
        <f>AGY44+AGZ44+AHA44+AHB44+AHC44+AHD44</f>
        <v/>
      </c>
      <c r="AHF44" s="9">
        <f>AGY44*BlendedPriceEssMonthly*AGK44+AGZ44*BlendedPricePremMonthly*AGK44+AHA44*BlendedPriceEliteMonthly*AGK44+AHB44*BlendedPriceEssAnnual*AGK44/12+AHC44*BlendedPricePremAnnual*AGK44/12+AHD44*BlendedPriceEliteAnnual*AGK44/12</f>
        <v/>
      </c>
      <c r="AHG44" s="9">
        <f>AHF44*12</f>
        <v/>
      </c>
      <c r="AHH44" s="12">
        <f>AGY44*BlendedPriceEssMonthly*AGK44+AGZ44*BlendedPricePremMonthly*AGK44+AHA44*BlendedPriceEliteMonthly*AGK44</f>
        <v/>
      </c>
      <c r="AHI44" s="12">
        <f>AGV44*BlendedPriceEssAnnual*AGK44+AGW44*BlendedPricePremAnnual*AGK44+AGX44*BlendedPriceEliteAnnual*AGK44</f>
        <v/>
      </c>
      <c r="AHJ44" s="12">
        <f>AGV32*POWER(1-(AnnualChurn*VLOOKUP(AGH44,ChurnSeasonTable,4,FALSE)),1)*BlendedPriceEssAnnual*AGK44+AGV20*POWER(1-(AnnualChurn*VLOOKUP(AGH44,ChurnSeasonTable,4,FALSE)),2)*BlendedPriceEssAnnual*AGK44+AGV8*POWER(1-(AnnualChurn*VLOOKUP(AGH44,ChurnSeasonTable,4,FALSE)),3)*BlendedPriceEssAnnual*AGK44+AGW32*POWER(1-(AnnualChurn*VLOOKUP(AGH44,ChurnSeasonTable,4,FALSE)),1)*BlendedPricePremAnnual*AGK44+AGW20*POWER(1-(AnnualChurn*VLOOKUP(AGH44,ChurnSeasonTable,4,FALSE)),2)*BlendedPricePremAnnual*AGK44+AGW8*POWER(1-(AnnualChurn*VLOOKUP(AGH44,ChurnSeasonTable,4,FALSE)),3)*BlendedPricePremAnnual*AGK44+AGX32*POWER(1-(AnnualChurn*VLOOKUP(AGH44,ChurnSeasonTable,4,FALSE)),1)*BlendedPriceEliteAnnual*AGK44+AGX20*POWER(1-(AnnualChurn*VLOOKUP(AGH44,ChurnSeasonTable,4,FALSE)),2)*BlendedPriceEliteAnnual*AGK44+AGX8*POWER(1-(AnnualChurn*VLOOKUP(AGH44,ChurnSeasonTable,4,FALSE)),3)*BlendedPriceEliteAnnual*AGK44</f>
        <v/>
      </c>
      <c r="AHK44" s="9">
        <f>AHH44+AHI44+AHJ44</f>
        <v/>
      </c>
      <c r="AHL44" s="12">
        <f>SUM(AHK33:AHK44)</f>
        <v/>
      </c>
      <c r="AHM44" s="12">
        <f>OR(AHM43,IF(VATAgentMode,SUM($AHK33:$AHK44)-SUM($AHR33:$AHR44)&gt;=VATThreshold,SUM($AHK33:$AHK44)&gt;=VATThreshold))</f>
        <v/>
      </c>
      <c r="AHN44" s="9">
        <f>IF(AHM44,IF(VATAgentMode,AHK44-((AHK44-AHR44)-(AHK44-AHR44)/(1+VATRate)),AHK44/(1+VATRate)),AHK44)</f>
        <v/>
      </c>
      <c r="AHO44" s="12">
        <f>AHK44-AHN44</f>
        <v/>
      </c>
      <c r="AHP44" s="12">
        <f>IF(AHM44=0,0,IF(AGH44=1,SUMPRODUCT(--(($AGI$5:$AGI44=$AGI44-1)*($AGH$5:$AGH44&gt;=10)*($AGH$5:$AGH44&lt;=12)),$AHO$5:$AHO44),IF(AGH44=4,SUMPRODUCT(--(($AGI$5:$AGI44=$AGI44)*($AGH$5:$AGH44&gt;=1)*($AGH$5:$AGH44&lt;=3)),$AHO$5:$AHO44),IF(AGH44=7,SUMPRODUCT(--(($AGI$5:$AGI44=$AGI44)*($AGH$5:$AGH44&gt;=4)*($AGH$5:$AGH44&lt;=6)),$AHO$5:$AHO44),IF(AGH44=10,SUMPRODUCT(--(($AGI$5:$AGI44=$AGI44)*($AGH$5:$AGH44&gt;=7)*($AGH$5:$AGH44&lt;=9)),$AHO$5:$AHO44),0)))))</f>
        <v/>
      </c>
      <c r="AHQ44" s="12">
        <f>AHQ43+AHO44-AHP44</f>
        <v/>
      </c>
      <c r="AHR44" s="12">
        <f>IF(ProviderDelay&gt;=1,AGY43*BlendedProvPayEss+AGZ43*BlendedProvPayPrem+AHA43*BlendedProvPayElite+AHB43*BlendedProvPayEss+AHC43*BlendedProvPayPrem+AHD43*BlendedProvPayElite,AGY44*BlendedProvPayEss+AGZ44*BlendedProvPayPrem+AHA44*BlendedProvPayElite+AHB44*BlendedProvPayEss+AHC44*BlendedProvPayPrem+AHD44*BlendedProvPayElite)</f>
        <v/>
      </c>
      <c r="AHS44" s="12">
        <f>AHK44*PaymentFee</f>
        <v/>
      </c>
      <c r="AHT44" s="12">
        <f>AHE44*OpsAI</f>
        <v/>
      </c>
      <c r="AHU44" s="12">
        <f>MonthlyFixed</f>
        <v/>
      </c>
      <c r="AHV44" s="12">
        <f>AGO44*ReferralReward</f>
        <v/>
      </c>
      <c r="AHW44" s="12">
        <f>AGM44</f>
        <v/>
      </c>
      <c r="AHX44" s="9">
        <f>AHN44-AHR44-AHS44-AHT44-AHU44-AHV44-AHW44</f>
        <v/>
      </c>
      <c r="AHY44" s="9">
        <f>AHY43+AHK44-(AHR44+AHS44+AHT44+AHU44+AHV44+AHW44+AHP44)</f>
        <v/>
      </c>
      <c r="AHZ44" s="12">
        <f>IF(AHE44&gt;0,AHF44/AHE44,0)</f>
        <v/>
      </c>
      <c r="AIA44" s="11">
        <f>IF(AHE43&gt;0,MAX(0,(AHE43+AGP44-AHE44)/AHE43),0)</f>
        <v/>
      </c>
      <c r="AIC44" s="12" t="n">
        <v>40</v>
      </c>
      <c r="AID44" s="12">
        <f>MOD(AIC44-1+LaunchMonth-1,12)+1</f>
        <v/>
      </c>
      <c r="AIE44" s="12">
        <f>INT((AIC44-1+LaunchMonth-1)/12)+1</f>
        <v/>
      </c>
      <c r="AIF44" s="12">
        <f>VLOOKUP(AID44,SeasonTable,2,FALSE)</f>
        <v/>
      </c>
      <c r="AIG44" s="12">
        <f>(1+InflationRate)^INT((AIC44-1)/12)</f>
        <v/>
      </c>
      <c r="AIH44" s="11">
        <f>MonthlyChurn*VLOOKUP(AID44,ChurnSeasonTable,4,FALSE)</f>
        <v/>
      </c>
      <c r="AII44" s="12">
        <f>MIN(MAX(MktMin19plus,AJG43*MktPct19plus),MAX(0,AJU43-CashBuffer))</f>
        <v/>
      </c>
      <c r="AIJ44" s="12">
        <f>IF(AII44&gt;0,MAX(1,ROUND(AII44/'Sens - CAC &amp; Marketing'!$A$9*AIF44,0)),0)</f>
        <v/>
      </c>
      <c r="AIK44" s="12">
        <f>IF(AIJ44&gt;0,ROUND(AIJ44*ReferralMix/(1-ReferralMix),0),0)</f>
        <v/>
      </c>
      <c r="AIL44" s="12">
        <f>AIJ44+AIK44</f>
        <v/>
      </c>
      <c r="AIM44" s="12">
        <f>ROUND(AIL44*(1-AnnualMix),0)</f>
        <v/>
      </c>
      <c r="AIN44" s="12">
        <f>AIL44-AIM44</f>
        <v/>
      </c>
      <c r="AIO44" s="12">
        <f>ROUND(AIM44*EssentialMix,0)</f>
        <v/>
      </c>
      <c r="AIP44" s="12">
        <f>ROUND(AIM44*PremiumMix,0)</f>
        <v/>
      </c>
      <c r="AIQ44" s="12">
        <f>AIM44-AIO44-AIP44</f>
        <v/>
      </c>
      <c r="AIR44" s="12">
        <f>ROUND(AIN44*EssentialMix,0)</f>
        <v/>
      </c>
      <c r="AIS44" s="12">
        <f>ROUND(AIN44*PremiumMix,0)</f>
        <v/>
      </c>
      <c r="AIT44" s="12">
        <f>AIN44-AIR44-AIS44</f>
        <v/>
      </c>
      <c r="AIU44" s="12">
        <f>AIO44+AIO43+AIO42+MAX(0,AIU43-AIO43-AIO42)*(1-AIH44)</f>
        <v/>
      </c>
      <c r="AIV44" s="12">
        <f>AIP44+AIP43+AIP42+MAX(0,AIV43-AIP43-AIP42)*(1-AIH44)</f>
        <v/>
      </c>
      <c r="AIW44" s="12">
        <f>AIQ44+AIQ43+AIQ42+MAX(0,AIW43-AIQ43-AIQ42)*(1-AIH44)</f>
        <v/>
      </c>
      <c r="AIX44" s="12">
        <f>AIX43+AIR44-AIR32*(AnnualChurn*VLOOKUP(AID44,ChurnSeasonTable,4,FALSE))*POWER(1-(AnnualChurn*VLOOKUP(AID44,ChurnSeasonTable,4,FALSE)),0)+AIR20*(AnnualChurn*VLOOKUP(AID44,ChurnSeasonTable,4,FALSE))*POWER(1-(AnnualChurn*VLOOKUP(AID44,ChurnSeasonTable,4,FALSE)),1)+AIR8*(AnnualChurn*VLOOKUP(AID44,ChurnSeasonTable,4,FALSE))*POWER(1-(AnnualChurn*VLOOKUP(AID44,ChurnSeasonTable,4,FALSE)),2)</f>
        <v/>
      </c>
      <c r="AIY44" s="12">
        <f>AIY43+AIS44-AIS32*(AnnualChurn*VLOOKUP(AID44,ChurnSeasonTable,4,FALSE))*POWER(1-(AnnualChurn*VLOOKUP(AID44,ChurnSeasonTable,4,FALSE)),0)+AIS20*(AnnualChurn*VLOOKUP(AID44,ChurnSeasonTable,4,FALSE))*POWER(1-(AnnualChurn*VLOOKUP(AID44,ChurnSeasonTable,4,FALSE)),1)+AIS8*(AnnualChurn*VLOOKUP(AID44,ChurnSeasonTable,4,FALSE))*POWER(1-(AnnualChurn*VLOOKUP(AID44,ChurnSeasonTable,4,FALSE)),2)</f>
        <v/>
      </c>
      <c r="AIZ44" s="12">
        <f>AIZ43+AIT44-AIT32*(AnnualChurn*VLOOKUP(AID44,ChurnSeasonTable,4,FALSE))*POWER(1-(AnnualChurn*VLOOKUP(AID44,ChurnSeasonTable,4,FALSE)),0)+AIT20*(AnnualChurn*VLOOKUP(AID44,ChurnSeasonTable,4,FALSE))*POWER(1-(AnnualChurn*VLOOKUP(AID44,ChurnSeasonTable,4,FALSE)),1)+AIT8*(AnnualChurn*VLOOKUP(AID44,ChurnSeasonTable,4,FALSE))*POWER(1-(AnnualChurn*VLOOKUP(AID44,ChurnSeasonTable,4,FALSE)),2)</f>
        <v/>
      </c>
      <c r="AJA44" s="12">
        <f>AIU44+AIV44+AIW44+AIX44+AIY44+AIZ44</f>
        <v/>
      </c>
      <c r="AJB44" s="9">
        <f>AIU44*BlendedPriceEssMonthly*AIG44+AIV44*BlendedPricePremMonthly*AIG44+AIW44*BlendedPriceEliteMonthly*AIG44+AIX44*BlendedPriceEssAnnual*AIG44/12+AIY44*BlendedPricePremAnnual*AIG44/12+AIZ44*BlendedPriceEliteAnnual*AIG44/12</f>
        <v/>
      </c>
      <c r="AJC44" s="9">
        <f>AJB44*12</f>
        <v/>
      </c>
      <c r="AJD44" s="12">
        <f>AIU44*BlendedPriceEssMonthly*AIG44+AIV44*BlendedPricePremMonthly*AIG44+AIW44*BlendedPriceEliteMonthly*AIG44</f>
        <v/>
      </c>
      <c r="AJE44" s="12">
        <f>AIR44*BlendedPriceEssAnnual*AIG44+AIS44*BlendedPricePremAnnual*AIG44+AIT44*BlendedPriceEliteAnnual*AIG44</f>
        <v/>
      </c>
      <c r="AJF44" s="12">
        <f>AIR32*POWER(1-(AnnualChurn*VLOOKUP(AID44,ChurnSeasonTable,4,FALSE)),1)*BlendedPriceEssAnnual*AIG44+AIR20*POWER(1-(AnnualChurn*VLOOKUP(AID44,ChurnSeasonTable,4,FALSE)),2)*BlendedPriceEssAnnual*AIG44+AIR8*POWER(1-(AnnualChurn*VLOOKUP(AID44,ChurnSeasonTable,4,FALSE)),3)*BlendedPriceEssAnnual*AIG44+AIS32*POWER(1-(AnnualChurn*VLOOKUP(AID44,ChurnSeasonTable,4,FALSE)),1)*BlendedPricePremAnnual*AIG44+AIS20*POWER(1-(AnnualChurn*VLOOKUP(AID44,ChurnSeasonTable,4,FALSE)),2)*BlendedPricePremAnnual*AIG44+AIS8*POWER(1-(AnnualChurn*VLOOKUP(AID44,ChurnSeasonTable,4,FALSE)),3)*BlendedPricePremAnnual*AIG44+AIT32*POWER(1-(AnnualChurn*VLOOKUP(AID44,ChurnSeasonTable,4,FALSE)),1)*BlendedPriceEliteAnnual*AIG44+AIT20*POWER(1-(AnnualChurn*VLOOKUP(AID44,ChurnSeasonTable,4,FALSE)),2)*BlendedPriceEliteAnnual*AIG44+AIT8*POWER(1-(AnnualChurn*VLOOKUP(AID44,ChurnSeasonTable,4,FALSE)),3)*BlendedPriceEliteAnnual*AIG44</f>
        <v/>
      </c>
      <c r="AJG44" s="9">
        <f>AJD44+AJE44+AJF44</f>
        <v/>
      </c>
      <c r="AJH44" s="12">
        <f>SUM(AJG33:AJG44)</f>
        <v/>
      </c>
      <c r="AJI44" s="12">
        <f>OR(AJI43,IF(VATAgentMode,SUM($AJG33:$AJG44)-SUM($AJN33:$AJN44)&gt;=VATThreshold,SUM($AJG33:$AJG44)&gt;=VATThreshold))</f>
        <v/>
      </c>
      <c r="AJJ44" s="9">
        <f>IF(AJI44,IF(VATAgentMode,AJG44-((AJG44-AJN44)-(AJG44-AJN44)/(1+VATRate)),AJG44/(1+VATRate)),AJG44)</f>
        <v/>
      </c>
      <c r="AJK44" s="12">
        <f>AJG44-AJJ44</f>
        <v/>
      </c>
      <c r="AJL44" s="12">
        <f>IF(AJI44=0,0,IF(AID44=1,SUMPRODUCT(--(($AIE$5:$AIE44=$AIE44-1)*($AID$5:$AID44&gt;=10)*($AID$5:$AID44&lt;=12)),$AJK$5:$AJK44),IF(AID44=4,SUMPRODUCT(--(($AIE$5:$AIE44=$AIE44)*($AID$5:$AID44&gt;=1)*($AID$5:$AID44&lt;=3)),$AJK$5:$AJK44),IF(AID44=7,SUMPRODUCT(--(($AIE$5:$AIE44=$AIE44)*($AID$5:$AID44&gt;=4)*($AID$5:$AID44&lt;=6)),$AJK$5:$AJK44),IF(AID44=10,SUMPRODUCT(--(($AIE$5:$AIE44=$AIE44)*($AID$5:$AID44&gt;=7)*($AID$5:$AID44&lt;=9)),$AJK$5:$AJK44),0)))))</f>
        <v/>
      </c>
      <c r="AJM44" s="12">
        <f>AJM43+AJK44-AJL44</f>
        <v/>
      </c>
      <c r="AJN44" s="12">
        <f>IF(ProviderDelay&gt;=1,AIU43*BlendedProvPayEss+AIV43*BlendedProvPayPrem+AIW43*BlendedProvPayElite+AIX43*BlendedProvPayEss+AIY43*BlendedProvPayPrem+AIZ43*BlendedProvPayElite,AIU44*BlendedProvPayEss+AIV44*BlendedProvPayPrem+AIW44*BlendedProvPayElite+AIX44*BlendedProvPayEss+AIY44*BlendedProvPayPrem+AIZ44*BlendedProvPayElite)</f>
        <v/>
      </c>
      <c r="AJO44" s="12">
        <f>AJG44*PaymentFee</f>
        <v/>
      </c>
      <c r="AJP44" s="12">
        <f>AJA44*OpsAI</f>
        <v/>
      </c>
      <c r="AJQ44" s="12">
        <f>MonthlyFixed</f>
        <v/>
      </c>
      <c r="AJR44" s="12">
        <f>AIK44*ReferralReward</f>
        <v/>
      </c>
      <c r="AJS44" s="12">
        <f>AII44</f>
        <v/>
      </c>
      <c r="AJT44" s="9">
        <f>AJJ44-AJN44-AJO44-AJP44-AJQ44-AJR44-AJS44</f>
        <v/>
      </c>
      <c r="AJU44" s="9">
        <f>AJU43+AJG44-(AJN44+AJO44+AJP44+AJQ44+AJR44+AJS44+AJL44)</f>
        <v/>
      </c>
      <c r="AJV44" s="12">
        <f>IF(AJA44&gt;0,AJB44/AJA44,0)</f>
        <v/>
      </c>
      <c r="AJW44" s="11">
        <f>IF(AJA43&gt;0,MAX(0,(AJA43+AIL44-AJA44)/AJA43),0)</f>
        <v/>
      </c>
      <c r="AJY44" s="12" t="n">
        <v>40</v>
      </c>
      <c r="AJZ44" s="12">
        <f>MOD(AJY44-1+LaunchMonth-1,12)+1</f>
        <v/>
      </c>
      <c r="AKA44" s="12">
        <f>INT((AJY44-1+LaunchMonth-1)/12)+1</f>
        <v/>
      </c>
      <c r="AKB44" s="12">
        <f>VLOOKUP(AJZ44,SeasonTable,2,FALSE)</f>
        <v/>
      </c>
      <c r="AKC44" s="12">
        <f>(1+InflationRate)^INT((AJY44-1)/12)</f>
        <v/>
      </c>
      <c r="AKD44" s="11">
        <f>MonthlyChurn*VLOOKUP(AJZ44,ChurnSeasonTable,4,FALSE)</f>
        <v/>
      </c>
      <c r="AKE44" s="12">
        <f>MIN(MAX(MktMin19plus,ALC43*MktPct19plus),MAX(0,ALQ43-CashBuffer))</f>
        <v/>
      </c>
      <c r="AKF44" s="12">
        <f>IF(AKE44&gt;0,MAX(1,ROUND(AKE44/'Sens - CAC &amp; Marketing'!$A$10*AKB44,0)),0)</f>
        <v/>
      </c>
      <c r="AKG44" s="12">
        <f>IF(AKF44&gt;0,ROUND(AKF44*ReferralMix/(1-ReferralMix),0),0)</f>
        <v/>
      </c>
      <c r="AKH44" s="12">
        <f>AKF44+AKG44</f>
        <v/>
      </c>
      <c r="AKI44" s="12">
        <f>ROUND(AKH44*(1-AnnualMix),0)</f>
        <v/>
      </c>
      <c r="AKJ44" s="12">
        <f>AKH44-AKI44</f>
        <v/>
      </c>
      <c r="AKK44" s="12">
        <f>ROUND(AKI44*EssentialMix,0)</f>
        <v/>
      </c>
      <c r="AKL44" s="12">
        <f>ROUND(AKI44*PremiumMix,0)</f>
        <v/>
      </c>
      <c r="AKM44" s="12">
        <f>AKI44-AKK44-AKL44</f>
        <v/>
      </c>
      <c r="AKN44" s="12">
        <f>ROUND(AKJ44*EssentialMix,0)</f>
        <v/>
      </c>
      <c r="AKO44" s="12">
        <f>ROUND(AKJ44*PremiumMix,0)</f>
        <v/>
      </c>
      <c r="AKP44" s="12">
        <f>AKJ44-AKN44-AKO44</f>
        <v/>
      </c>
      <c r="AKQ44" s="12">
        <f>AKK44+AKK43+AKK42+MAX(0,AKQ43-AKK43-AKK42)*(1-AKD44)</f>
        <v/>
      </c>
      <c r="AKR44" s="12">
        <f>AKL44+AKL43+AKL42+MAX(0,AKR43-AKL43-AKL42)*(1-AKD44)</f>
        <v/>
      </c>
      <c r="AKS44" s="12">
        <f>AKM44+AKM43+AKM42+MAX(0,AKS43-AKM43-AKM42)*(1-AKD44)</f>
        <v/>
      </c>
      <c r="AKT44" s="12">
        <f>AKT43+AKN44-AKN32*(AnnualChurn*VLOOKUP(AJZ44,ChurnSeasonTable,4,FALSE))*POWER(1-(AnnualChurn*VLOOKUP(AJZ44,ChurnSeasonTable,4,FALSE)),0)+AKN20*(AnnualChurn*VLOOKUP(AJZ44,ChurnSeasonTable,4,FALSE))*POWER(1-(AnnualChurn*VLOOKUP(AJZ44,ChurnSeasonTable,4,FALSE)),1)+AKN8*(AnnualChurn*VLOOKUP(AJZ44,ChurnSeasonTable,4,FALSE))*POWER(1-(AnnualChurn*VLOOKUP(AJZ44,ChurnSeasonTable,4,FALSE)),2)</f>
        <v/>
      </c>
      <c r="AKU44" s="12">
        <f>AKU43+AKO44-AKO32*(AnnualChurn*VLOOKUP(AJZ44,ChurnSeasonTable,4,FALSE))*POWER(1-(AnnualChurn*VLOOKUP(AJZ44,ChurnSeasonTable,4,FALSE)),0)+AKO20*(AnnualChurn*VLOOKUP(AJZ44,ChurnSeasonTable,4,FALSE))*POWER(1-(AnnualChurn*VLOOKUP(AJZ44,ChurnSeasonTable,4,FALSE)),1)+AKO8*(AnnualChurn*VLOOKUP(AJZ44,ChurnSeasonTable,4,FALSE))*POWER(1-(AnnualChurn*VLOOKUP(AJZ44,ChurnSeasonTable,4,FALSE)),2)</f>
        <v/>
      </c>
      <c r="AKV44" s="12">
        <f>AKV43+AKP44-AKP32*(AnnualChurn*VLOOKUP(AJZ44,ChurnSeasonTable,4,FALSE))*POWER(1-(AnnualChurn*VLOOKUP(AJZ44,ChurnSeasonTable,4,FALSE)),0)+AKP20*(AnnualChurn*VLOOKUP(AJZ44,ChurnSeasonTable,4,FALSE))*POWER(1-(AnnualChurn*VLOOKUP(AJZ44,ChurnSeasonTable,4,FALSE)),1)+AKP8*(AnnualChurn*VLOOKUP(AJZ44,ChurnSeasonTable,4,FALSE))*POWER(1-(AnnualChurn*VLOOKUP(AJZ44,ChurnSeasonTable,4,FALSE)),2)</f>
        <v/>
      </c>
      <c r="AKW44" s="12">
        <f>AKQ44+AKR44+AKS44+AKT44+AKU44+AKV44</f>
        <v/>
      </c>
      <c r="AKX44" s="9">
        <f>AKQ44*BlendedPriceEssMonthly*AKC44+AKR44*BlendedPricePremMonthly*AKC44+AKS44*BlendedPriceEliteMonthly*AKC44+AKT44*BlendedPriceEssAnnual*AKC44/12+AKU44*BlendedPricePremAnnual*AKC44/12+AKV44*BlendedPriceEliteAnnual*AKC44/12</f>
        <v/>
      </c>
      <c r="AKY44" s="9">
        <f>AKX44*12</f>
        <v/>
      </c>
      <c r="AKZ44" s="12">
        <f>AKQ44*BlendedPriceEssMonthly*AKC44+AKR44*BlendedPricePremMonthly*AKC44+AKS44*BlendedPriceEliteMonthly*AKC44</f>
        <v/>
      </c>
      <c r="ALA44" s="12">
        <f>AKN44*BlendedPriceEssAnnual*AKC44+AKO44*BlendedPricePremAnnual*AKC44+AKP44*BlendedPriceEliteAnnual*AKC44</f>
        <v/>
      </c>
      <c r="ALB44" s="12">
        <f>AKN32*POWER(1-(AnnualChurn*VLOOKUP(AJZ44,ChurnSeasonTable,4,FALSE)),1)*BlendedPriceEssAnnual*AKC44+AKN20*POWER(1-(AnnualChurn*VLOOKUP(AJZ44,ChurnSeasonTable,4,FALSE)),2)*BlendedPriceEssAnnual*AKC44+AKN8*POWER(1-(AnnualChurn*VLOOKUP(AJZ44,ChurnSeasonTable,4,FALSE)),3)*BlendedPriceEssAnnual*AKC44+AKO32*POWER(1-(AnnualChurn*VLOOKUP(AJZ44,ChurnSeasonTable,4,FALSE)),1)*BlendedPricePremAnnual*AKC44+AKO20*POWER(1-(AnnualChurn*VLOOKUP(AJZ44,ChurnSeasonTable,4,FALSE)),2)*BlendedPricePremAnnual*AKC44+AKO8*POWER(1-(AnnualChurn*VLOOKUP(AJZ44,ChurnSeasonTable,4,FALSE)),3)*BlendedPricePremAnnual*AKC44+AKP32*POWER(1-(AnnualChurn*VLOOKUP(AJZ44,ChurnSeasonTable,4,FALSE)),1)*BlendedPriceEliteAnnual*AKC44+AKP20*POWER(1-(AnnualChurn*VLOOKUP(AJZ44,ChurnSeasonTable,4,FALSE)),2)*BlendedPriceEliteAnnual*AKC44+AKP8*POWER(1-(AnnualChurn*VLOOKUP(AJZ44,ChurnSeasonTable,4,FALSE)),3)*BlendedPriceEliteAnnual*AKC44</f>
        <v/>
      </c>
      <c r="ALC44" s="9">
        <f>AKZ44+ALA44+ALB44</f>
        <v/>
      </c>
      <c r="ALD44" s="12">
        <f>SUM(ALC33:ALC44)</f>
        <v/>
      </c>
      <c r="ALE44" s="12">
        <f>OR(ALE43,IF(VATAgentMode,SUM($ALC33:$ALC44)-SUM($ALJ33:$ALJ44)&gt;=VATThreshold,SUM($ALC33:$ALC44)&gt;=VATThreshold))</f>
        <v/>
      </c>
      <c r="ALF44" s="9">
        <f>IF(ALE44,IF(VATAgentMode,ALC44-((ALC44-ALJ44)-(ALC44-ALJ44)/(1+VATRate)),ALC44/(1+VATRate)),ALC44)</f>
        <v/>
      </c>
      <c r="ALG44" s="12">
        <f>ALC44-ALF44</f>
        <v/>
      </c>
      <c r="ALH44" s="12">
        <f>IF(ALE44=0,0,IF(AJZ44=1,SUMPRODUCT(--(($AKA$5:$AKA44=$AKA44-1)*($AJZ$5:$AJZ44&gt;=10)*($AJZ$5:$AJZ44&lt;=12)),$ALG$5:$ALG44),IF(AJZ44=4,SUMPRODUCT(--(($AKA$5:$AKA44=$AKA44)*($AJZ$5:$AJZ44&gt;=1)*($AJZ$5:$AJZ44&lt;=3)),$ALG$5:$ALG44),IF(AJZ44=7,SUMPRODUCT(--(($AKA$5:$AKA44=$AKA44)*($AJZ$5:$AJZ44&gt;=4)*($AJZ$5:$AJZ44&lt;=6)),$ALG$5:$ALG44),IF(AJZ44=10,SUMPRODUCT(--(($AKA$5:$AKA44=$AKA44)*($AJZ$5:$AJZ44&gt;=7)*($AJZ$5:$AJZ44&lt;=9)),$ALG$5:$ALG44),0)))))</f>
        <v/>
      </c>
      <c r="ALI44" s="12">
        <f>ALI43+ALG44-ALH44</f>
        <v/>
      </c>
      <c r="ALJ44" s="12">
        <f>IF(ProviderDelay&gt;=1,AKQ43*BlendedProvPayEss+AKR43*BlendedProvPayPrem+AKS43*BlendedProvPayElite+AKT43*BlendedProvPayEss+AKU43*BlendedProvPayPrem+AKV43*BlendedProvPayElite,AKQ44*BlendedProvPayEss+AKR44*BlendedProvPayPrem+AKS44*BlendedProvPayElite+AKT44*BlendedProvPayEss+AKU44*BlendedProvPayPrem+AKV44*BlendedProvPayElite)</f>
        <v/>
      </c>
      <c r="ALK44" s="12">
        <f>ALC44*PaymentFee</f>
        <v/>
      </c>
      <c r="ALL44" s="12">
        <f>AKW44*OpsAI</f>
        <v/>
      </c>
      <c r="ALM44" s="12">
        <f>MonthlyFixed</f>
        <v/>
      </c>
      <c r="ALN44" s="12">
        <f>AKG44*ReferralReward</f>
        <v/>
      </c>
      <c r="ALO44" s="12">
        <f>AKE44</f>
        <v/>
      </c>
      <c r="ALP44" s="9">
        <f>ALF44-ALJ44-ALK44-ALL44-ALM44-ALN44-ALO44</f>
        <v/>
      </c>
      <c r="ALQ44" s="9">
        <f>ALQ43+ALC44-(ALJ44+ALK44+ALL44+ALM44+ALN44+ALO44+ALH44)</f>
        <v/>
      </c>
      <c r="ALR44" s="12">
        <f>IF(AKW44&gt;0,AKX44/AKW44,0)</f>
        <v/>
      </c>
      <c r="ALS44" s="11">
        <f>IF(AKW43&gt;0,MAX(0,(AKW43+AKH44-AKW44)/AKW43),0)</f>
        <v/>
      </c>
      <c r="ALU44" s="12" t="n">
        <v>40</v>
      </c>
      <c r="ALV44" s="12">
        <f>MOD(ALU44-1+LaunchMonth-1,12)+1</f>
        <v/>
      </c>
      <c r="ALW44" s="12">
        <f>INT((ALU44-1+LaunchMonth-1)/12)+1</f>
        <v/>
      </c>
      <c r="ALX44" s="12">
        <f>VLOOKUP(ALV44,SeasonTable,2,FALSE)</f>
        <v/>
      </c>
      <c r="ALY44" s="12">
        <f>(1+InflationRate)^INT((ALU44-1)/12)</f>
        <v/>
      </c>
      <c r="ALZ44" s="11">
        <f>MonthlyChurn*VLOOKUP(ALV44,ChurnSeasonTable,4,FALSE)</f>
        <v/>
      </c>
      <c r="AMA44" s="12">
        <f>MIN(MAX(MktMin19plus,AMY43*MktPct19plus),MAX(0,ANM43-CashBuffer))</f>
        <v/>
      </c>
      <c r="AMB44" s="12">
        <f>IF(AMA44&gt;0,MAX(1,ROUND(AMA44/'Sens - CAC &amp; Marketing'!$A$11*ALX44,0)),0)</f>
        <v/>
      </c>
      <c r="AMC44" s="12">
        <f>IF(AMB44&gt;0,ROUND(AMB44*ReferralMix/(1-ReferralMix),0),0)</f>
        <v/>
      </c>
      <c r="AMD44" s="12">
        <f>AMB44+AMC44</f>
        <v/>
      </c>
      <c r="AME44" s="12">
        <f>ROUND(AMD44*(1-AnnualMix),0)</f>
        <v/>
      </c>
      <c r="AMF44" s="12">
        <f>AMD44-AME44</f>
        <v/>
      </c>
      <c r="AMG44" s="12">
        <f>ROUND(AME44*EssentialMix,0)</f>
        <v/>
      </c>
      <c r="AMH44" s="12">
        <f>ROUND(AME44*PremiumMix,0)</f>
        <v/>
      </c>
      <c r="AMI44" s="12">
        <f>AME44-AMG44-AMH44</f>
        <v/>
      </c>
      <c r="AMJ44" s="12">
        <f>ROUND(AMF44*EssentialMix,0)</f>
        <v/>
      </c>
      <c r="AMK44" s="12">
        <f>ROUND(AMF44*PremiumMix,0)</f>
        <v/>
      </c>
      <c r="AML44" s="12">
        <f>AMF44-AMJ44-AMK44</f>
        <v/>
      </c>
      <c r="AMM44" s="12">
        <f>AMG44+AMG43+AMG42+MAX(0,AMM43-AMG43-AMG42)*(1-ALZ44)</f>
        <v/>
      </c>
      <c r="AMN44" s="12">
        <f>AMH44+AMH43+AMH42+MAX(0,AMN43-AMH43-AMH42)*(1-ALZ44)</f>
        <v/>
      </c>
      <c r="AMO44" s="12">
        <f>AMI44+AMI43+AMI42+MAX(0,AMO43-AMI43-AMI42)*(1-ALZ44)</f>
        <v/>
      </c>
      <c r="AMP44" s="12">
        <f>AMP43+AMJ44-AMJ32*(AnnualChurn*VLOOKUP(ALV44,ChurnSeasonTable,4,FALSE))*POWER(1-(AnnualChurn*VLOOKUP(ALV44,ChurnSeasonTable,4,FALSE)),0)+AMJ20*(AnnualChurn*VLOOKUP(ALV44,ChurnSeasonTable,4,FALSE))*POWER(1-(AnnualChurn*VLOOKUP(ALV44,ChurnSeasonTable,4,FALSE)),1)+AMJ8*(AnnualChurn*VLOOKUP(ALV44,ChurnSeasonTable,4,FALSE))*POWER(1-(AnnualChurn*VLOOKUP(ALV44,ChurnSeasonTable,4,FALSE)),2)</f>
        <v/>
      </c>
      <c r="AMQ44" s="12">
        <f>AMQ43+AMK44-AMK32*(AnnualChurn*VLOOKUP(ALV44,ChurnSeasonTable,4,FALSE))*POWER(1-(AnnualChurn*VLOOKUP(ALV44,ChurnSeasonTable,4,FALSE)),0)+AMK20*(AnnualChurn*VLOOKUP(ALV44,ChurnSeasonTable,4,FALSE))*POWER(1-(AnnualChurn*VLOOKUP(ALV44,ChurnSeasonTable,4,FALSE)),1)+AMK8*(AnnualChurn*VLOOKUP(ALV44,ChurnSeasonTable,4,FALSE))*POWER(1-(AnnualChurn*VLOOKUP(ALV44,ChurnSeasonTable,4,FALSE)),2)</f>
        <v/>
      </c>
      <c r="AMR44" s="12">
        <f>AMR43+AML44-AML32*(AnnualChurn*VLOOKUP(ALV44,ChurnSeasonTable,4,FALSE))*POWER(1-(AnnualChurn*VLOOKUP(ALV44,ChurnSeasonTable,4,FALSE)),0)+AML20*(AnnualChurn*VLOOKUP(ALV44,ChurnSeasonTable,4,FALSE))*POWER(1-(AnnualChurn*VLOOKUP(ALV44,ChurnSeasonTable,4,FALSE)),1)+AML8*(AnnualChurn*VLOOKUP(ALV44,ChurnSeasonTable,4,FALSE))*POWER(1-(AnnualChurn*VLOOKUP(ALV44,ChurnSeasonTable,4,FALSE)),2)</f>
        <v/>
      </c>
      <c r="AMS44" s="12">
        <f>AMM44+AMN44+AMO44+AMP44+AMQ44+AMR44</f>
        <v/>
      </c>
      <c r="AMT44" s="9">
        <f>AMM44*BlendedPriceEssMonthly*ALY44+AMN44*BlendedPricePremMonthly*ALY44+AMO44*BlendedPriceEliteMonthly*ALY44+AMP44*BlendedPriceEssAnnual*ALY44/12+AMQ44*BlendedPricePremAnnual*ALY44/12+AMR44*BlendedPriceEliteAnnual*ALY44/12</f>
        <v/>
      </c>
      <c r="AMU44" s="9">
        <f>AMT44*12</f>
        <v/>
      </c>
      <c r="AMV44" s="12">
        <f>AMM44*BlendedPriceEssMonthly*ALY44+AMN44*BlendedPricePremMonthly*ALY44+AMO44*BlendedPriceEliteMonthly*ALY44</f>
        <v/>
      </c>
      <c r="AMW44" s="12">
        <f>AMJ44*BlendedPriceEssAnnual*ALY44+AMK44*BlendedPricePremAnnual*ALY44+AML44*BlendedPriceEliteAnnual*ALY44</f>
        <v/>
      </c>
      <c r="AMX44" s="12">
        <f>AMJ32*POWER(1-(AnnualChurn*VLOOKUP(ALV44,ChurnSeasonTable,4,FALSE)),1)*BlendedPriceEssAnnual*ALY44+AMJ20*POWER(1-(AnnualChurn*VLOOKUP(ALV44,ChurnSeasonTable,4,FALSE)),2)*BlendedPriceEssAnnual*ALY44+AMJ8*POWER(1-(AnnualChurn*VLOOKUP(ALV44,ChurnSeasonTable,4,FALSE)),3)*BlendedPriceEssAnnual*ALY44+AMK32*POWER(1-(AnnualChurn*VLOOKUP(ALV44,ChurnSeasonTable,4,FALSE)),1)*BlendedPricePremAnnual*ALY44+AMK20*POWER(1-(AnnualChurn*VLOOKUP(ALV44,ChurnSeasonTable,4,FALSE)),2)*BlendedPricePremAnnual*ALY44+AMK8*POWER(1-(AnnualChurn*VLOOKUP(ALV44,ChurnSeasonTable,4,FALSE)),3)*BlendedPricePremAnnual*ALY44+AML32*POWER(1-(AnnualChurn*VLOOKUP(ALV44,ChurnSeasonTable,4,FALSE)),1)*BlendedPriceEliteAnnual*ALY44+AML20*POWER(1-(AnnualChurn*VLOOKUP(ALV44,ChurnSeasonTable,4,FALSE)),2)*BlendedPriceEliteAnnual*ALY44+AML8*POWER(1-(AnnualChurn*VLOOKUP(ALV44,ChurnSeasonTable,4,FALSE)),3)*BlendedPriceEliteAnnual*ALY44</f>
        <v/>
      </c>
      <c r="AMY44" s="9">
        <f>AMV44+AMW44+AMX44</f>
        <v/>
      </c>
      <c r="AMZ44" s="12">
        <f>SUM(AMY33:AMY44)</f>
        <v/>
      </c>
      <c r="ANA44" s="12">
        <f>OR(ANA43,IF(VATAgentMode,SUM($AMY33:$AMY44)-SUM($ANF33:$ANF44)&gt;=VATThreshold,SUM($AMY33:$AMY44)&gt;=VATThreshold))</f>
        <v/>
      </c>
      <c r="ANB44" s="9">
        <f>IF(ANA44,IF(VATAgentMode,AMY44-((AMY44-ANF44)-(AMY44-ANF44)/(1+VATRate)),AMY44/(1+VATRate)),AMY44)</f>
        <v/>
      </c>
      <c r="ANC44" s="12">
        <f>AMY44-ANB44</f>
        <v/>
      </c>
      <c r="AND44" s="12">
        <f>IF(ANA44=0,0,IF(ALV44=1,SUMPRODUCT(--(($ALW$5:$ALW44=$ALW44-1)*($ALV$5:$ALV44&gt;=10)*($ALV$5:$ALV44&lt;=12)),$ANC$5:$ANC44),IF(ALV44=4,SUMPRODUCT(--(($ALW$5:$ALW44=$ALW44)*($ALV$5:$ALV44&gt;=1)*($ALV$5:$ALV44&lt;=3)),$ANC$5:$ANC44),IF(ALV44=7,SUMPRODUCT(--(($ALW$5:$ALW44=$ALW44)*($ALV$5:$ALV44&gt;=4)*($ALV$5:$ALV44&lt;=6)),$ANC$5:$ANC44),IF(ALV44=10,SUMPRODUCT(--(($ALW$5:$ALW44=$ALW44)*($ALV$5:$ALV44&gt;=7)*($ALV$5:$ALV44&lt;=9)),$ANC$5:$ANC44),0)))))</f>
        <v/>
      </c>
      <c r="ANE44" s="12">
        <f>ANE43+ANC44-AND44</f>
        <v/>
      </c>
      <c r="ANF44" s="12">
        <f>IF(ProviderDelay&gt;=1,AMM43*BlendedProvPayEss+AMN43*BlendedProvPayPrem+AMO43*BlendedProvPayElite+AMP43*BlendedProvPayEss+AMQ43*BlendedProvPayPrem+AMR43*BlendedProvPayElite,AMM44*BlendedProvPayEss+AMN44*BlendedProvPayPrem+AMO44*BlendedProvPayElite+AMP44*BlendedProvPayEss+AMQ44*BlendedProvPayPrem+AMR44*BlendedProvPayElite)</f>
        <v/>
      </c>
      <c r="ANG44" s="12">
        <f>AMY44*PaymentFee</f>
        <v/>
      </c>
      <c r="ANH44" s="12">
        <f>AMS44*OpsAI</f>
        <v/>
      </c>
      <c r="ANI44" s="12">
        <f>MonthlyFixed</f>
        <v/>
      </c>
      <c r="ANJ44" s="12">
        <f>AMC44*ReferralReward</f>
        <v/>
      </c>
      <c r="ANK44" s="12">
        <f>AMA44</f>
        <v/>
      </c>
      <c r="ANL44" s="9">
        <f>ANB44-ANF44-ANG44-ANH44-ANI44-ANJ44-ANK44</f>
        <v/>
      </c>
      <c r="ANM44" s="9">
        <f>ANM43+AMY44-(ANF44+ANG44+ANH44+ANI44+ANJ44+ANK44+AND44)</f>
        <v/>
      </c>
      <c r="ANN44" s="12">
        <f>IF(AMS44&gt;0,AMT44/AMS44,0)</f>
        <v/>
      </c>
      <c r="ANO44" s="11">
        <f>IF(AMS43&gt;0,MAX(0,(AMS43+AMD44-AMS44)/AMS43),0)</f>
        <v/>
      </c>
      <c r="ANQ44" s="12" t="n">
        <v>40</v>
      </c>
      <c r="ANR44" s="12">
        <f>MOD(ANQ44-1+LaunchMonth-1,12)+1</f>
        <v/>
      </c>
      <c r="ANS44" s="12">
        <f>INT((ANQ44-1+LaunchMonth-1)/12)+1</f>
        <v/>
      </c>
      <c r="ANT44" s="12">
        <f>VLOOKUP(ANR44,SeasonTable,2,FALSE)</f>
        <v/>
      </c>
      <c r="ANU44" s="12">
        <f>(1+InflationRate)^INT((ANQ44-1)/12)</f>
        <v/>
      </c>
      <c r="ANV44" s="11">
        <f>MonthlyChurn*VLOOKUP(ANR44,ChurnSeasonTable,4,FALSE)</f>
        <v/>
      </c>
      <c r="ANW44" s="12">
        <f>MIN(MAX(MktMin19plus,AOU43*MktPct19plus),MAX(0,API43-CashBuffer))</f>
        <v/>
      </c>
      <c r="ANX44" s="12">
        <f>IF(ANW44&gt;0,MAX(1,ROUND(ANW44/'Sens - CAC &amp; Marketing'!$A$12*ANT44,0)),0)</f>
        <v/>
      </c>
      <c r="ANY44" s="12">
        <f>IF(ANX44&gt;0,ROUND(ANX44*ReferralMix/(1-ReferralMix),0),0)</f>
        <v/>
      </c>
      <c r="ANZ44" s="12">
        <f>ANX44+ANY44</f>
        <v/>
      </c>
      <c r="AOA44" s="12">
        <f>ROUND(ANZ44*(1-AnnualMix),0)</f>
        <v/>
      </c>
      <c r="AOB44" s="12">
        <f>ANZ44-AOA44</f>
        <v/>
      </c>
      <c r="AOC44" s="12">
        <f>ROUND(AOA44*EssentialMix,0)</f>
        <v/>
      </c>
      <c r="AOD44" s="12">
        <f>ROUND(AOA44*PremiumMix,0)</f>
        <v/>
      </c>
      <c r="AOE44" s="12">
        <f>AOA44-AOC44-AOD44</f>
        <v/>
      </c>
      <c r="AOF44" s="12">
        <f>ROUND(AOB44*EssentialMix,0)</f>
        <v/>
      </c>
      <c r="AOG44" s="12">
        <f>ROUND(AOB44*PremiumMix,0)</f>
        <v/>
      </c>
      <c r="AOH44" s="12">
        <f>AOB44-AOF44-AOG44</f>
        <v/>
      </c>
      <c r="AOI44" s="12">
        <f>AOC44+AOC43+AOC42+MAX(0,AOI43-AOC43-AOC42)*(1-ANV44)</f>
        <v/>
      </c>
      <c r="AOJ44" s="12">
        <f>AOD44+AOD43+AOD42+MAX(0,AOJ43-AOD43-AOD42)*(1-ANV44)</f>
        <v/>
      </c>
      <c r="AOK44" s="12">
        <f>AOE44+AOE43+AOE42+MAX(0,AOK43-AOE43-AOE42)*(1-ANV44)</f>
        <v/>
      </c>
      <c r="AOL44" s="12">
        <f>AOL43+AOF44-AOF32*(AnnualChurn*VLOOKUP(ANR44,ChurnSeasonTable,4,FALSE))*POWER(1-(AnnualChurn*VLOOKUP(ANR44,ChurnSeasonTable,4,FALSE)),0)+AOF20*(AnnualChurn*VLOOKUP(ANR44,ChurnSeasonTable,4,FALSE))*POWER(1-(AnnualChurn*VLOOKUP(ANR44,ChurnSeasonTable,4,FALSE)),1)+AOF8*(AnnualChurn*VLOOKUP(ANR44,ChurnSeasonTable,4,FALSE))*POWER(1-(AnnualChurn*VLOOKUP(ANR44,ChurnSeasonTable,4,FALSE)),2)</f>
        <v/>
      </c>
      <c r="AOM44" s="12">
        <f>AOM43+AOG44-AOG32*(AnnualChurn*VLOOKUP(ANR44,ChurnSeasonTable,4,FALSE))*POWER(1-(AnnualChurn*VLOOKUP(ANR44,ChurnSeasonTable,4,FALSE)),0)+AOG20*(AnnualChurn*VLOOKUP(ANR44,ChurnSeasonTable,4,FALSE))*POWER(1-(AnnualChurn*VLOOKUP(ANR44,ChurnSeasonTable,4,FALSE)),1)+AOG8*(AnnualChurn*VLOOKUP(ANR44,ChurnSeasonTable,4,FALSE))*POWER(1-(AnnualChurn*VLOOKUP(ANR44,ChurnSeasonTable,4,FALSE)),2)</f>
        <v/>
      </c>
      <c r="AON44" s="12">
        <f>AON43+AOH44-AOH32*(AnnualChurn*VLOOKUP(ANR44,ChurnSeasonTable,4,FALSE))*POWER(1-(AnnualChurn*VLOOKUP(ANR44,ChurnSeasonTable,4,FALSE)),0)+AOH20*(AnnualChurn*VLOOKUP(ANR44,ChurnSeasonTable,4,FALSE))*POWER(1-(AnnualChurn*VLOOKUP(ANR44,ChurnSeasonTable,4,FALSE)),1)+AOH8*(AnnualChurn*VLOOKUP(ANR44,ChurnSeasonTable,4,FALSE))*POWER(1-(AnnualChurn*VLOOKUP(ANR44,ChurnSeasonTable,4,FALSE)),2)</f>
        <v/>
      </c>
      <c r="AOO44" s="12">
        <f>AOI44+AOJ44+AOK44+AOL44+AOM44+AON44</f>
        <v/>
      </c>
      <c r="AOP44" s="9">
        <f>AOI44*BlendedPriceEssMonthly*ANU44+AOJ44*BlendedPricePremMonthly*ANU44+AOK44*BlendedPriceEliteMonthly*ANU44+AOL44*BlendedPriceEssAnnual*ANU44/12+AOM44*BlendedPricePremAnnual*ANU44/12+AON44*BlendedPriceEliteAnnual*ANU44/12</f>
        <v/>
      </c>
      <c r="AOQ44" s="9">
        <f>AOP44*12</f>
        <v/>
      </c>
      <c r="AOR44" s="12">
        <f>AOI44*BlendedPriceEssMonthly*ANU44+AOJ44*BlendedPricePremMonthly*ANU44+AOK44*BlendedPriceEliteMonthly*ANU44</f>
        <v/>
      </c>
      <c r="AOS44" s="12">
        <f>AOF44*BlendedPriceEssAnnual*ANU44+AOG44*BlendedPricePremAnnual*ANU44+AOH44*BlendedPriceEliteAnnual*ANU44</f>
        <v/>
      </c>
      <c r="AOT44" s="12">
        <f>AOF32*POWER(1-(AnnualChurn*VLOOKUP(ANR44,ChurnSeasonTable,4,FALSE)),1)*BlendedPriceEssAnnual*ANU44+AOF20*POWER(1-(AnnualChurn*VLOOKUP(ANR44,ChurnSeasonTable,4,FALSE)),2)*BlendedPriceEssAnnual*ANU44+AOF8*POWER(1-(AnnualChurn*VLOOKUP(ANR44,ChurnSeasonTable,4,FALSE)),3)*BlendedPriceEssAnnual*ANU44+AOG32*POWER(1-(AnnualChurn*VLOOKUP(ANR44,ChurnSeasonTable,4,FALSE)),1)*BlendedPricePremAnnual*ANU44+AOG20*POWER(1-(AnnualChurn*VLOOKUP(ANR44,ChurnSeasonTable,4,FALSE)),2)*BlendedPricePremAnnual*ANU44+AOG8*POWER(1-(AnnualChurn*VLOOKUP(ANR44,ChurnSeasonTable,4,FALSE)),3)*BlendedPricePremAnnual*ANU44+AOH32*POWER(1-(AnnualChurn*VLOOKUP(ANR44,ChurnSeasonTable,4,FALSE)),1)*BlendedPriceEliteAnnual*ANU44+AOH20*POWER(1-(AnnualChurn*VLOOKUP(ANR44,ChurnSeasonTable,4,FALSE)),2)*BlendedPriceEliteAnnual*ANU44+AOH8*POWER(1-(AnnualChurn*VLOOKUP(ANR44,ChurnSeasonTable,4,FALSE)),3)*BlendedPriceEliteAnnual*ANU44</f>
        <v/>
      </c>
      <c r="AOU44" s="9">
        <f>AOR44+AOS44+AOT44</f>
        <v/>
      </c>
      <c r="AOV44" s="12">
        <f>SUM(AOU33:AOU44)</f>
        <v/>
      </c>
      <c r="AOW44" s="12">
        <f>OR(AOW43,IF(VATAgentMode,SUM($AOU33:$AOU44)-SUM($APB33:$APB44)&gt;=VATThreshold,SUM($AOU33:$AOU44)&gt;=VATThreshold))</f>
        <v/>
      </c>
      <c r="AOX44" s="9">
        <f>IF(AOW44,IF(VATAgentMode,AOU44-((AOU44-APB44)-(AOU44-APB44)/(1+VATRate)),AOU44/(1+VATRate)),AOU44)</f>
        <v/>
      </c>
      <c r="AOY44" s="12">
        <f>AOU44-AOX44</f>
        <v/>
      </c>
      <c r="AOZ44" s="12">
        <f>IF(AOW44=0,0,IF(ANR44=1,SUMPRODUCT(--(($ANS$5:$ANS44=$ANS44-1)*($ANR$5:$ANR44&gt;=10)*($ANR$5:$ANR44&lt;=12)),$AOY$5:$AOY44),IF(ANR44=4,SUMPRODUCT(--(($ANS$5:$ANS44=$ANS44)*($ANR$5:$ANR44&gt;=1)*($ANR$5:$ANR44&lt;=3)),$AOY$5:$AOY44),IF(ANR44=7,SUMPRODUCT(--(($ANS$5:$ANS44=$ANS44)*($ANR$5:$ANR44&gt;=4)*($ANR$5:$ANR44&lt;=6)),$AOY$5:$AOY44),IF(ANR44=10,SUMPRODUCT(--(($ANS$5:$ANS44=$ANS44)*($ANR$5:$ANR44&gt;=7)*($ANR$5:$ANR44&lt;=9)),$AOY$5:$AOY44),0)))))</f>
        <v/>
      </c>
      <c r="APA44" s="12">
        <f>APA43+AOY44-AOZ44</f>
        <v/>
      </c>
      <c r="APB44" s="12">
        <f>IF(ProviderDelay&gt;=1,AOI43*BlendedProvPayEss+AOJ43*BlendedProvPayPrem+AOK43*BlendedProvPayElite+AOL43*BlendedProvPayEss+AOM43*BlendedProvPayPrem+AON43*BlendedProvPayElite,AOI44*BlendedProvPayEss+AOJ44*BlendedProvPayPrem+AOK44*BlendedProvPayElite+AOL44*BlendedProvPayEss+AOM44*BlendedProvPayPrem+AON44*BlendedProvPayElite)</f>
        <v/>
      </c>
      <c r="APC44" s="12">
        <f>AOU44*PaymentFee</f>
        <v/>
      </c>
      <c r="APD44" s="12">
        <f>AOO44*OpsAI</f>
        <v/>
      </c>
      <c r="APE44" s="12">
        <f>MonthlyFixed</f>
        <v/>
      </c>
      <c r="APF44" s="12">
        <f>ANY44*ReferralReward</f>
        <v/>
      </c>
      <c r="APG44" s="12">
        <f>ANW44</f>
        <v/>
      </c>
      <c r="APH44" s="9">
        <f>AOX44-APB44-APC44-APD44-APE44-APF44-APG44</f>
        <v/>
      </c>
      <c r="API44" s="9">
        <f>API43+AOU44-(APB44+APC44+APD44+APE44+APF44+APG44+AOZ44)</f>
        <v/>
      </c>
      <c r="APJ44" s="12">
        <f>IF(AOO44&gt;0,AOP44/AOO44,0)</f>
        <v/>
      </c>
      <c r="APK44" s="11">
        <f>IF(AOO43&gt;0,MAX(0,(AOO43+ANZ44-AOO44)/AOO43),0)</f>
        <v/>
      </c>
      <c r="APM44" s="12" t="n">
        <v>40</v>
      </c>
      <c r="APN44" s="12">
        <f>MOD(APM44-1+LaunchMonth-1,12)+1</f>
        <v/>
      </c>
      <c r="APO44" s="12">
        <f>INT((APM44-1+LaunchMonth-1)/12)+1</f>
        <v/>
      </c>
      <c r="APP44" s="12">
        <f>VLOOKUP(APN44,SeasonTable,2,FALSE)</f>
        <v/>
      </c>
      <c r="APQ44" s="12">
        <f>(1+InflationRate)^INT((APM44-1)/12)</f>
        <v/>
      </c>
      <c r="APR44" s="11">
        <f>MonthlyChurn*VLOOKUP(APN44,ChurnSeasonTable,4,FALSE)</f>
        <v/>
      </c>
      <c r="APS44" s="12">
        <f>MIN(MAX(MktMin19plus,AQQ43*MktPct19plus),MAX(0,ARE43-CashBuffer))</f>
        <v/>
      </c>
      <c r="APT44" s="12">
        <f>IF(APS44&gt;0,MAX(1,ROUND(APS44/'Sens - CAC &amp; Marketing'!$A$13*APP44,0)),0)</f>
        <v/>
      </c>
      <c r="APU44" s="12">
        <f>IF(APT44&gt;0,ROUND(APT44*ReferralMix/(1-ReferralMix),0),0)</f>
        <v/>
      </c>
      <c r="APV44" s="12">
        <f>APT44+APU44</f>
        <v/>
      </c>
      <c r="APW44" s="12">
        <f>ROUND(APV44*(1-AnnualMix),0)</f>
        <v/>
      </c>
      <c r="APX44" s="12">
        <f>APV44-APW44</f>
        <v/>
      </c>
      <c r="APY44" s="12">
        <f>ROUND(APW44*EssentialMix,0)</f>
        <v/>
      </c>
      <c r="APZ44" s="12">
        <f>ROUND(APW44*PremiumMix,0)</f>
        <v/>
      </c>
      <c r="AQA44" s="12">
        <f>APW44-APY44-APZ44</f>
        <v/>
      </c>
      <c r="AQB44" s="12">
        <f>ROUND(APX44*EssentialMix,0)</f>
        <v/>
      </c>
      <c r="AQC44" s="12">
        <f>ROUND(APX44*PremiumMix,0)</f>
        <v/>
      </c>
      <c r="AQD44" s="12">
        <f>APX44-AQB44-AQC44</f>
        <v/>
      </c>
      <c r="AQE44" s="12">
        <f>APY44+APY43+APY42+MAX(0,AQE43-APY43-APY42)*(1-APR44)</f>
        <v/>
      </c>
      <c r="AQF44" s="12">
        <f>APZ44+APZ43+APZ42+MAX(0,AQF43-APZ43-APZ42)*(1-APR44)</f>
        <v/>
      </c>
      <c r="AQG44" s="12">
        <f>AQA44+AQA43+AQA42+MAX(0,AQG43-AQA43-AQA42)*(1-APR44)</f>
        <v/>
      </c>
      <c r="AQH44" s="12">
        <f>AQH43+AQB44-AQB32*(AnnualChurn*VLOOKUP(APN44,ChurnSeasonTable,4,FALSE))*POWER(1-(AnnualChurn*VLOOKUP(APN44,ChurnSeasonTable,4,FALSE)),0)+AQB20*(AnnualChurn*VLOOKUP(APN44,ChurnSeasonTable,4,FALSE))*POWER(1-(AnnualChurn*VLOOKUP(APN44,ChurnSeasonTable,4,FALSE)),1)+AQB8*(AnnualChurn*VLOOKUP(APN44,ChurnSeasonTable,4,FALSE))*POWER(1-(AnnualChurn*VLOOKUP(APN44,ChurnSeasonTable,4,FALSE)),2)</f>
        <v/>
      </c>
      <c r="AQI44" s="12">
        <f>AQI43+AQC44-AQC32*(AnnualChurn*VLOOKUP(APN44,ChurnSeasonTable,4,FALSE))*POWER(1-(AnnualChurn*VLOOKUP(APN44,ChurnSeasonTable,4,FALSE)),0)+AQC20*(AnnualChurn*VLOOKUP(APN44,ChurnSeasonTable,4,FALSE))*POWER(1-(AnnualChurn*VLOOKUP(APN44,ChurnSeasonTable,4,FALSE)),1)+AQC8*(AnnualChurn*VLOOKUP(APN44,ChurnSeasonTable,4,FALSE))*POWER(1-(AnnualChurn*VLOOKUP(APN44,ChurnSeasonTable,4,FALSE)),2)</f>
        <v/>
      </c>
      <c r="AQJ44" s="12">
        <f>AQJ43+AQD44-AQD32*(AnnualChurn*VLOOKUP(APN44,ChurnSeasonTable,4,FALSE))*POWER(1-(AnnualChurn*VLOOKUP(APN44,ChurnSeasonTable,4,FALSE)),0)+AQD20*(AnnualChurn*VLOOKUP(APN44,ChurnSeasonTable,4,FALSE))*POWER(1-(AnnualChurn*VLOOKUP(APN44,ChurnSeasonTable,4,FALSE)),1)+AQD8*(AnnualChurn*VLOOKUP(APN44,ChurnSeasonTable,4,FALSE))*POWER(1-(AnnualChurn*VLOOKUP(APN44,ChurnSeasonTable,4,FALSE)),2)</f>
        <v/>
      </c>
      <c r="AQK44" s="12">
        <f>AQE44+AQF44+AQG44+AQH44+AQI44+AQJ44</f>
        <v/>
      </c>
      <c r="AQL44" s="9">
        <f>AQE44*BlendedPriceEssMonthly*APQ44+AQF44*BlendedPricePremMonthly*APQ44+AQG44*BlendedPriceEliteMonthly*APQ44+AQH44*BlendedPriceEssAnnual*APQ44/12+AQI44*BlendedPricePremAnnual*APQ44/12+AQJ44*BlendedPriceEliteAnnual*APQ44/12</f>
        <v/>
      </c>
      <c r="AQM44" s="9">
        <f>AQL44*12</f>
        <v/>
      </c>
      <c r="AQN44" s="12">
        <f>AQE44*BlendedPriceEssMonthly*APQ44+AQF44*BlendedPricePremMonthly*APQ44+AQG44*BlendedPriceEliteMonthly*APQ44</f>
        <v/>
      </c>
      <c r="AQO44" s="12">
        <f>AQB44*BlendedPriceEssAnnual*APQ44+AQC44*BlendedPricePremAnnual*APQ44+AQD44*BlendedPriceEliteAnnual*APQ44</f>
        <v/>
      </c>
      <c r="AQP44" s="12">
        <f>AQB32*POWER(1-(AnnualChurn*VLOOKUP(APN44,ChurnSeasonTable,4,FALSE)),1)*BlendedPriceEssAnnual*APQ44+AQB20*POWER(1-(AnnualChurn*VLOOKUP(APN44,ChurnSeasonTable,4,FALSE)),2)*BlendedPriceEssAnnual*APQ44+AQB8*POWER(1-(AnnualChurn*VLOOKUP(APN44,ChurnSeasonTable,4,FALSE)),3)*BlendedPriceEssAnnual*APQ44+AQC32*POWER(1-(AnnualChurn*VLOOKUP(APN44,ChurnSeasonTable,4,FALSE)),1)*BlendedPricePremAnnual*APQ44+AQC20*POWER(1-(AnnualChurn*VLOOKUP(APN44,ChurnSeasonTable,4,FALSE)),2)*BlendedPricePremAnnual*APQ44+AQC8*POWER(1-(AnnualChurn*VLOOKUP(APN44,ChurnSeasonTable,4,FALSE)),3)*BlendedPricePremAnnual*APQ44+AQD32*POWER(1-(AnnualChurn*VLOOKUP(APN44,ChurnSeasonTable,4,FALSE)),1)*BlendedPriceEliteAnnual*APQ44+AQD20*POWER(1-(AnnualChurn*VLOOKUP(APN44,ChurnSeasonTable,4,FALSE)),2)*BlendedPriceEliteAnnual*APQ44+AQD8*POWER(1-(AnnualChurn*VLOOKUP(APN44,ChurnSeasonTable,4,FALSE)),3)*BlendedPriceEliteAnnual*APQ44</f>
        <v/>
      </c>
      <c r="AQQ44" s="9">
        <f>AQN44+AQO44+AQP44</f>
        <v/>
      </c>
      <c r="AQR44" s="12">
        <f>SUM(AQQ33:AQQ44)</f>
        <v/>
      </c>
      <c r="AQS44" s="12">
        <f>OR(AQS43,IF(VATAgentMode,SUM($AQQ33:$AQQ44)-SUM($AQX33:$AQX44)&gt;=VATThreshold,SUM($AQQ33:$AQQ44)&gt;=VATThreshold))</f>
        <v/>
      </c>
      <c r="AQT44" s="9">
        <f>IF(AQS44,IF(VATAgentMode,AQQ44-((AQQ44-AQX44)-(AQQ44-AQX44)/(1+VATRate)),AQQ44/(1+VATRate)),AQQ44)</f>
        <v/>
      </c>
      <c r="AQU44" s="12">
        <f>AQQ44-AQT44</f>
        <v/>
      </c>
      <c r="AQV44" s="12">
        <f>IF(AQS44=0,0,IF(APN44=1,SUMPRODUCT(--(($APO$5:$APO44=$APO44-1)*($APN$5:$APN44&gt;=10)*($APN$5:$APN44&lt;=12)),$AQU$5:$AQU44),IF(APN44=4,SUMPRODUCT(--(($APO$5:$APO44=$APO44)*($APN$5:$APN44&gt;=1)*($APN$5:$APN44&lt;=3)),$AQU$5:$AQU44),IF(APN44=7,SUMPRODUCT(--(($APO$5:$APO44=$APO44)*($APN$5:$APN44&gt;=4)*($APN$5:$APN44&lt;=6)),$AQU$5:$AQU44),IF(APN44=10,SUMPRODUCT(--(($APO$5:$APO44=$APO44)*($APN$5:$APN44&gt;=7)*($APN$5:$APN44&lt;=9)),$AQU$5:$AQU44),0)))))</f>
        <v/>
      </c>
      <c r="AQW44" s="12">
        <f>AQW43+AQU44-AQV44</f>
        <v/>
      </c>
      <c r="AQX44" s="12">
        <f>IF(ProviderDelay&gt;=1,AQE43*BlendedProvPayEss+AQF43*BlendedProvPayPrem+AQG43*BlendedProvPayElite+AQH43*BlendedProvPayEss+AQI43*BlendedProvPayPrem+AQJ43*BlendedProvPayElite,AQE44*BlendedProvPayEss+AQF44*BlendedProvPayPrem+AQG44*BlendedProvPayElite+AQH44*BlendedProvPayEss+AQI44*BlendedProvPayPrem+AQJ44*BlendedProvPayElite)</f>
        <v/>
      </c>
      <c r="AQY44" s="12">
        <f>AQQ44*PaymentFee</f>
        <v/>
      </c>
      <c r="AQZ44" s="12">
        <f>AQK44*OpsAI</f>
        <v/>
      </c>
      <c r="ARA44" s="12">
        <f>MonthlyFixed</f>
        <v/>
      </c>
      <c r="ARB44" s="12">
        <f>APU44*ReferralReward</f>
        <v/>
      </c>
      <c r="ARC44" s="12">
        <f>APS44</f>
        <v/>
      </c>
      <c r="ARD44" s="9">
        <f>AQT44-AQX44-AQY44-AQZ44-ARA44-ARB44-ARC44</f>
        <v/>
      </c>
      <c r="ARE44" s="9">
        <f>ARE43+AQQ44-(AQX44+AQY44+AQZ44+ARA44+ARB44+ARC44+AQV44)</f>
        <v/>
      </c>
      <c r="ARF44" s="12">
        <f>IF(AQK44&gt;0,AQL44/AQK44,0)</f>
        <v/>
      </c>
      <c r="ARG44" s="11">
        <f>IF(AQK43&gt;0,MAX(0,(AQK43+APV44-AQK44)/AQK43),0)</f>
        <v/>
      </c>
      <c r="ARI44" s="12" t="n">
        <v>40</v>
      </c>
      <c r="ARJ44" s="12">
        <f>MOD(ARI44-1+LaunchMonth-1,12)+1</f>
        <v/>
      </c>
      <c r="ARK44" s="12">
        <f>INT((ARI44-1+LaunchMonth-1)/12)+1</f>
        <v/>
      </c>
      <c r="ARL44" s="12">
        <f>VLOOKUP(ARJ44,SeasonTable,2,FALSE)</f>
        <v/>
      </c>
      <c r="ARM44" s="12">
        <f>(1+InflationRate)^INT((ARI44-1)/12)</f>
        <v/>
      </c>
      <c r="ARN44" s="11">
        <f>MonthlyChurn*VLOOKUP(ARJ44,ChurnSeasonTable,4,FALSE)</f>
        <v/>
      </c>
      <c r="ARO44" s="12">
        <f>MIN(MAX(MktMin19plus,ASM43*MktPct19plus),MAX(0,ATA43-CashBuffer))</f>
        <v/>
      </c>
      <c r="ARP44" s="12">
        <f>IF(ARO44&gt;0,MAX(1,ROUND(ARO44/'Sens - CAC &amp; Marketing'!$A$14*ARL44,0)),0)</f>
        <v/>
      </c>
      <c r="ARQ44" s="12">
        <f>IF(ARP44&gt;0,ROUND(ARP44*ReferralMix/(1-ReferralMix),0),0)</f>
        <v/>
      </c>
      <c r="ARR44" s="12">
        <f>ARP44+ARQ44</f>
        <v/>
      </c>
      <c r="ARS44" s="12">
        <f>ROUND(ARR44*(1-AnnualMix),0)</f>
        <v/>
      </c>
      <c r="ART44" s="12">
        <f>ARR44-ARS44</f>
        <v/>
      </c>
      <c r="ARU44" s="12">
        <f>ROUND(ARS44*EssentialMix,0)</f>
        <v/>
      </c>
      <c r="ARV44" s="12">
        <f>ROUND(ARS44*PremiumMix,0)</f>
        <v/>
      </c>
      <c r="ARW44" s="12">
        <f>ARS44-ARU44-ARV44</f>
        <v/>
      </c>
      <c r="ARX44" s="12">
        <f>ROUND(ART44*EssentialMix,0)</f>
        <v/>
      </c>
      <c r="ARY44" s="12">
        <f>ROUND(ART44*PremiumMix,0)</f>
        <v/>
      </c>
      <c r="ARZ44" s="12">
        <f>ART44-ARX44-ARY44</f>
        <v/>
      </c>
      <c r="ASA44" s="12">
        <f>ARU44+ARU43+ARU42+MAX(0,ASA43-ARU43-ARU42)*(1-ARN44)</f>
        <v/>
      </c>
      <c r="ASB44" s="12">
        <f>ARV44+ARV43+ARV42+MAX(0,ASB43-ARV43-ARV42)*(1-ARN44)</f>
        <v/>
      </c>
      <c r="ASC44" s="12">
        <f>ARW44+ARW43+ARW42+MAX(0,ASC43-ARW43-ARW42)*(1-ARN44)</f>
        <v/>
      </c>
      <c r="ASD44" s="12">
        <f>ASD43+ARX44-ARX32*(AnnualChurn*VLOOKUP(ARJ44,ChurnSeasonTable,4,FALSE))*POWER(1-(AnnualChurn*VLOOKUP(ARJ44,ChurnSeasonTable,4,FALSE)),0)+ARX20*(AnnualChurn*VLOOKUP(ARJ44,ChurnSeasonTable,4,FALSE))*POWER(1-(AnnualChurn*VLOOKUP(ARJ44,ChurnSeasonTable,4,FALSE)),1)+ARX8*(AnnualChurn*VLOOKUP(ARJ44,ChurnSeasonTable,4,FALSE))*POWER(1-(AnnualChurn*VLOOKUP(ARJ44,ChurnSeasonTable,4,FALSE)),2)</f>
        <v/>
      </c>
      <c r="ASE44" s="12">
        <f>ASE43+ARY44-ARY32*(AnnualChurn*VLOOKUP(ARJ44,ChurnSeasonTable,4,FALSE))*POWER(1-(AnnualChurn*VLOOKUP(ARJ44,ChurnSeasonTable,4,FALSE)),0)+ARY20*(AnnualChurn*VLOOKUP(ARJ44,ChurnSeasonTable,4,FALSE))*POWER(1-(AnnualChurn*VLOOKUP(ARJ44,ChurnSeasonTable,4,FALSE)),1)+ARY8*(AnnualChurn*VLOOKUP(ARJ44,ChurnSeasonTable,4,FALSE))*POWER(1-(AnnualChurn*VLOOKUP(ARJ44,ChurnSeasonTable,4,FALSE)),2)</f>
        <v/>
      </c>
      <c r="ASF44" s="12">
        <f>ASF43+ARZ44-ARZ32*(AnnualChurn*VLOOKUP(ARJ44,ChurnSeasonTable,4,FALSE))*POWER(1-(AnnualChurn*VLOOKUP(ARJ44,ChurnSeasonTable,4,FALSE)),0)+ARZ20*(AnnualChurn*VLOOKUP(ARJ44,ChurnSeasonTable,4,FALSE))*POWER(1-(AnnualChurn*VLOOKUP(ARJ44,ChurnSeasonTable,4,FALSE)),1)+ARZ8*(AnnualChurn*VLOOKUP(ARJ44,ChurnSeasonTable,4,FALSE))*POWER(1-(AnnualChurn*VLOOKUP(ARJ44,ChurnSeasonTable,4,FALSE)),2)</f>
        <v/>
      </c>
      <c r="ASG44" s="12">
        <f>ASA44+ASB44+ASC44+ASD44+ASE44+ASF44</f>
        <v/>
      </c>
      <c r="ASH44" s="9">
        <f>ASA44*BlendedPriceEssMonthly*ARM44+ASB44*BlendedPricePremMonthly*ARM44+ASC44*BlendedPriceEliteMonthly*ARM44+ASD44*BlendedPriceEssAnnual*ARM44/12+ASE44*BlendedPricePremAnnual*ARM44/12+ASF44*BlendedPriceEliteAnnual*ARM44/12</f>
        <v/>
      </c>
      <c r="ASI44" s="9">
        <f>ASH44*12</f>
        <v/>
      </c>
      <c r="ASJ44" s="12">
        <f>ASA44*BlendedPriceEssMonthly*ARM44+ASB44*BlendedPricePremMonthly*ARM44+ASC44*BlendedPriceEliteMonthly*ARM44</f>
        <v/>
      </c>
      <c r="ASK44" s="12">
        <f>ARX44*BlendedPriceEssAnnual*ARM44+ARY44*BlendedPricePremAnnual*ARM44+ARZ44*BlendedPriceEliteAnnual*ARM44</f>
        <v/>
      </c>
      <c r="ASL44" s="12">
        <f>ARX32*POWER(1-(AnnualChurn*VLOOKUP(ARJ44,ChurnSeasonTable,4,FALSE)),1)*BlendedPriceEssAnnual*ARM44+ARX20*POWER(1-(AnnualChurn*VLOOKUP(ARJ44,ChurnSeasonTable,4,FALSE)),2)*BlendedPriceEssAnnual*ARM44+ARX8*POWER(1-(AnnualChurn*VLOOKUP(ARJ44,ChurnSeasonTable,4,FALSE)),3)*BlendedPriceEssAnnual*ARM44+ARY32*POWER(1-(AnnualChurn*VLOOKUP(ARJ44,ChurnSeasonTable,4,FALSE)),1)*BlendedPricePremAnnual*ARM44+ARY20*POWER(1-(AnnualChurn*VLOOKUP(ARJ44,ChurnSeasonTable,4,FALSE)),2)*BlendedPricePremAnnual*ARM44+ARY8*POWER(1-(AnnualChurn*VLOOKUP(ARJ44,ChurnSeasonTable,4,FALSE)),3)*BlendedPricePremAnnual*ARM44+ARZ32*POWER(1-(AnnualChurn*VLOOKUP(ARJ44,ChurnSeasonTable,4,FALSE)),1)*BlendedPriceEliteAnnual*ARM44+ARZ20*POWER(1-(AnnualChurn*VLOOKUP(ARJ44,ChurnSeasonTable,4,FALSE)),2)*BlendedPriceEliteAnnual*ARM44+ARZ8*POWER(1-(AnnualChurn*VLOOKUP(ARJ44,ChurnSeasonTable,4,FALSE)),3)*BlendedPriceEliteAnnual*ARM44</f>
        <v/>
      </c>
      <c r="ASM44" s="9">
        <f>ASJ44+ASK44+ASL44</f>
        <v/>
      </c>
      <c r="ASN44" s="12">
        <f>SUM(ASM33:ASM44)</f>
        <v/>
      </c>
      <c r="ASO44" s="12">
        <f>OR(ASO43,IF(VATAgentMode,SUM($ASM33:$ASM44)-SUM($AST33:$AST44)&gt;=VATThreshold,SUM($ASM33:$ASM44)&gt;=VATThreshold))</f>
        <v/>
      </c>
      <c r="ASP44" s="9">
        <f>IF(ASO44,IF(VATAgentMode,ASM44-((ASM44-AST44)-(ASM44-AST44)/(1+VATRate)),ASM44/(1+VATRate)),ASM44)</f>
        <v/>
      </c>
      <c r="ASQ44" s="12">
        <f>ASM44-ASP44</f>
        <v/>
      </c>
      <c r="ASR44" s="12">
        <f>IF(ASO44=0,0,IF(ARJ44=1,SUMPRODUCT(--(($ARK$5:$ARK44=$ARK44-1)*($ARJ$5:$ARJ44&gt;=10)*($ARJ$5:$ARJ44&lt;=12)),$ASQ$5:$ASQ44),IF(ARJ44=4,SUMPRODUCT(--(($ARK$5:$ARK44=$ARK44)*($ARJ$5:$ARJ44&gt;=1)*($ARJ$5:$ARJ44&lt;=3)),$ASQ$5:$ASQ44),IF(ARJ44=7,SUMPRODUCT(--(($ARK$5:$ARK44=$ARK44)*($ARJ$5:$ARJ44&gt;=4)*($ARJ$5:$ARJ44&lt;=6)),$ASQ$5:$ASQ44),IF(ARJ44=10,SUMPRODUCT(--(($ARK$5:$ARK44=$ARK44)*($ARJ$5:$ARJ44&gt;=7)*($ARJ$5:$ARJ44&lt;=9)),$ASQ$5:$ASQ44),0)))))</f>
        <v/>
      </c>
      <c r="ASS44" s="12">
        <f>ASS43+ASQ44-ASR44</f>
        <v/>
      </c>
      <c r="AST44" s="12">
        <f>IF(ProviderDelay&gt;=1,ASA43*BlendedProvPayEss+ASB43*BlendedProvPayPrem+ASC43*BlendedProvPayElite+ASD43*BlendedProvPayEss+ASE43*BlendedProvPayPrem+ASF43*BlendedProvPayElite,ASA44*BlendedProvPayEss+ASB44*BlendedProvPayPrem+ASC44*BlendedProvPayElite+ASD44*BlendedProvPayEss+ASE44*BlendedProvPayPrem+ASF44*BlendedProvPayElite)</f>
        <v/>
      </c>
      <c r="ASU44" s="12">
        <f>ASM44*PaymentFee</f>
        <v/>
      </c>
      <c r="ASV44" s="12">
        <f>ASG44*OpsAI</f>
        <v/>
      </c>
      <c r="ASW44" s="12">
        <f>MonthlyFixed</f>
        <v/>
      </c>
      <c r="ASX44" s="12">
        <f>ARQ44*ReferralReward</f>
        <v/>
      </c>
      <c r="ASY44" s="12">
        <f>ARO44</f>
        <v/>
      </c>
      <c r="ASZ44" s="9">
        <f>ASP44-AST44-ASU44-ASV44-ASW44-ASX44-ASY44</f>
        <v/>
      </c>
      <c r="ATA44" s="9">
        <f>ATA43+ASM44-(AST44+ASU44+ASV44+ASW44+ASX44+ASY44+ASR44)</f>
        <v/>
      </c>
      <c r="ATB44" s="12">
        <f>IF(ASG44&gt;0,ASH44/ASG44,0)</f>
        <v/>
      </c>
      <c r="ATC44" s="11">
        <f>IF(ASG43&gt;0,MAX(0,(ASG43+ARR44-ASG44)/ASG43),0)</f>
        <v/>
      </c>
      <c r="ATE44" s="12" t="n">
        <v>40</v>
      </c>
      <c r="ATF44" s="12">
        <f>MOD(ATE44-1+LaunchMonth-1,12)+1</f>
        <v/>
      </c>
      <c r="ATG44" s="12">
        <f>INT((ATE44-1+LaunchMonth-1)/12)+1</f>
        <v/>
      </c>
      <c r="ATH44" s="12">
        <f>VLOOKUP(ATF44,SeasonTable,2,FALSE)</f>
        <v/>
      </c>
      <c r="ATI44" s="12">
        <f>(1+InflationRate)^INT((ATE44-1)/12)</f>
        <v/>
      </c>
      <c r="ATJ44" s="11">
        <f>MonthlyChurn*VLOOKUP(ATF44,ChurnSeasonTable,4,FALSE)</f>
        <v/>
      </c>
      <c r="ATK44" s="12">
        <f>MIN(MAX(MktMin19plus,AUI43*MktPct19plus),MAX(0,AUW43-CashBuffer))</f>
        <v/>
      </c>
      <c r="ATL44" s="12">
        <f>IF(ATK44&gt;0,MAX(1,ROUND(ATK44/'Sens - CAC &amp; Marketing'!$A$15*ATH44,0)),0)</f>
        <v/>
      </c>
      <c r="ATM44" s="12">
        <f>IF(ATL44&gt;0,ROUND(ATL44*ReferralMix/(1-ReferralMix),0),0)</f>
        <v/>
      </c>
      <c r="ATN44" s="12">
        <f>ATL44+ATM44</f>
        <v/>
      </c>
      <c r="ATO44" s="12">
        <f>ROUND(ATN44*(1-AnnualMix),0)</f>
        <v/>
      </c>
      <c r="ATP44" s="12">
        <f>ATN44-ATO44</f>
        <v/>
      </c>
      <c r="ATQ44" s="12">
        <f>ROUND(ATO44*EssentialMix,0)</f>
        <v/>
      </c>
      <c r="ATR44" s="12">
        <f>ROUND(ATO44*PremiumMix,0)</f>
        <v/>
      </c>
      <c r="ATS44" s="12">
        <f>ATO44-ATQ44-ATR44</f>
        <v/>
      </c>
      <c r="ATT44" s="12">
        <f>ROUND(ATP44*EssentialMix,0)</f>
        <v/>
      </c>
      <c r="ATU44" s="12">
        <f>ROUND(ATP44*PremiumMix,0)</f>
        <v/>
      </c>
      <c r="ATV44" s="12">
        <f>ATP44-ATT44-ATU44</f>
        <v/>
      </c>
      <c r="ATW44" s="12">
        <f>ATQ44+ATQ43+ATQ42+MAX(0,ATW43-ATQ43-ATQ42)*(1-ATJ44)</f>
        <v/>
      </c>
      <c r="ATX44" s="12">
        <f>ATR44+ATR43+ATR42+MAX(0,ATX43-ATR43-ATR42)*(1-ATJ44)</f>
        <v/>
      </c>
      <c r="ATY44" s="12">
        <f>ATS44+ATS43+ATS42+MAX(0,ATY43-ATS43-ATS42)*(1-ATJ44)</f>
        <v/>
      </c>
      <c r="ATZ44" s="12">
        <f>ATZ43+ATT44-ATT32*(AnnualChurn*VLOOKUP(ATF44,ChurnSeasonTable,4,FALSE))*POWER(1-(AnnualChurn*VLOOKUP(ATF44,ChurnSeasonTable,4,FALSE)),0)+ATT20*(AnnualChurn*VLOOKUP(ATF44,ChurnSeasonTable,4,FALSE))*POWER(1-(AnnualChurn*VLOOKUP(ATF44,ChurnSeasonTable,4,FALSE)),1)+ATT8*(AnnualChurn*VLOOKUP(ATF44,ChurnSeasonTable,4,FALSE))*POWER(1-(AnnualChurn*VLOOKUP(ATF44,ChurnSeasonTable,4,FALSE)),2)</f>
        <v/>
      </c>
      <c r="AUA44" s="12">
        <f>AUA43+ATU44-ATU32*(AnnualChurn*VLOOKUP(ATF44,ChurnSeasonTable,4,FALSE))*POWER(1-(AnnualChurn*VLOOKUP(ATF44,ChurnSeasonTable,4,FALSE)),0)+ATU20*(AnnualChurn*VLOOKUP(ATF44,ChurnSeasonTable,4,FALSE))*POWER(1-(AnnualChurn*VLOOKUP(ATF44,ChurnSeasonTable,4,FALSE)),1)+ATU8*(AnnualChurn*VLOOKUP(ATF44,ChurnSeasonTable,4,FALSE))*POWER(1-(AnnualChurn*VLOOKUP(ATF44,ChurnSeasonTable,4,FALSE)),2)</f>
        <v/>
      </c>
      <c r="AUB44" s="12">
        <f>AUB43+ATV44-ATV32*(AnnualChurn*VLOOKUP(ATF44,ChurnSeasonTable,4,FALSE))*POWER(1-(AnnualChurn*VLOOKUP(ATF44,ChurnSeasonTable,4,FALSE)),0)+ATV20*(AnnualChurn*VLOOKUP(ATF44,ChurnSeasonTable,4,FALSE))*POWER(1-(AnnualChurn*VLOOKUP(ATF44,ChurnSeasonTable,4,FALSE)),1)+ATV8*(AnnualChurn*VLOOKUP(ATF44,ChurnSeasonTable,4,FALSE))*POWER(1-(AnnualChurn*VLOOKUP(ATF44,ChurnSeasonTable,4,FALSE)),2)</f>
        <v/>
      </c>
      <c r="AUC44" s="12">
        <f>ATW44+ATX44+ATY44+ATZ44+AUA44+AUB44</f>
        <v/>
      </c>
      <c r="AUD44" s="9">
        <f>ATW44*BlendedPriceEssMonthly*ATI44+ATX44*BlendedPricePremMonthly*ATI44+ATY44*BlendedPriceEliteMonthly*ATI44+ATZ44*BlendedPriceEssAnnual*ATI44/12+AUA44*BlendedPricePremAnnual*ATI44/12+AUB44*BlendedPriceEliteAnnual*ATI44/12</f>
        <v/>
      </c>
      <c r="AUE44" s="9">
        <f>AUD44*12</f>
        <v/>
      </c>
      <c r="AUF44" s="12">
        <f>ATW44*BlendedPriceEssMonthly*ATI44+ATX44*BlendedPricePremMonthly*ATI44+ATY44*BlendedPriceEliteMonthly*ATI44</f>
        <v/>
      </c>
      <c r="AUG44" s="12">
        <f>ATT44*BlendedPriceEssAnnual*ATI44+ATU44*BlendedPricePremAnnual*ATI44+ATV44*BlendedPriceEliteAnnual*ATI44</f>
        <v/>
      </c>
      <c r="AUH44" s="12">
        <f>ATT32*POWER(1-(AnnualChurn*VLOOKUP(ATF44,ChurnSeasonTable,4,FALSE)),1)*BlendedPriceEssAnnual*ATI44+ATT20*POWER(1-(AnnualChurn*VLOOKUP(ATF44,ChurnSeasonTable,4,FALSE)),2)*BlendedPriceEssAnnual*ATI44+ATT8*POWER(1-(AnnualChurn*VLOOKUP(ATF44,ChurnSeasonTable,4,FALSE)),3)*BlendedPriceEssAnnual*ATI44+ATU32*POWER(1-(AnnualChurn*VLOOKUP(ATF44,ChurnSeasonTable,4,FALSE)),1)*BlendedPricePremAnnual*ATI44+ATU20*POWER(1-(AnnualChurn*VLOOKUP(ATF44,ChurnSeasonTable,4,FALSE)),2)*BlendedPricePremAnnual*ATI44+ATU8*POWER(1-(AnnualChurn*VLOOKUP(ATF44,ChurnSeasonTable,4,FALSE)),3)*BlendedPricePremAnnual*ATI44+ATV32*POWER(1-(AnnualChurn*VLOOKUP(ATF44,ChurnSeasonTable,4,FALSE)),1)*BlendedPriceEliteAnnual*ATI44+ATV20*POWER(1-(AnnualChurn*VLOOKUP(ATF44,ChurnSeasonTable,4,FALSE)),2)*BlendedPriceEliteAnnual*ATI44+ATV8*POWER(1-(AnnualChurn*VLOOKUP(ATF44,ChurnSeasonTable,4,FALSE)),3)*BlendedPriceEliteAnnual*ATI44</f>
        <v/>
      </c>
      <c r="AUI44" s="9">
        <f>AUF44+AUG44+AUH44</f>
        <v/>
      </c>
      <c r="AUJ44" s="12">
        <f>SUM(AUI33:AUI44)</f>
        <v/>
      </c>
      <c r="AUK44" s="12">
        <f>OR(AUK43,IF(VATAgentMode,SUM($AUI33:$AUI44)-SUM($AUP33:$AUP44)&gt;=VATThreshold,SUM($AUI33:$AUI44)&gt;=VATThreshold))</f>
        <v/>
      </c>
      <c r="AUL44" s="9">
        <f>IF(AUK44,IF(VATAgentMode,AUI44-((AUI44-AUP44)-(AUI44-AUP44)/(1+VATRate)),AUI44/(1+VATRate)),AUI44)</f>
        <v/>
      </c>
      <c r="AUM44" s="12">
        <f>AUI44-AUL44</f>
        <v/>
      </c>
      <c r="AUN44" s="12">
        <f>IF(AUK44=0,0,IF(ATF44=1,SUMPRODUCT(--(($ATG$5:$ATG44=$ATG44-1)*($ATF$5:$ATF44&gt;=10)*($ATF$5:$ATF44&lt;=12)),$AUM$5:$AUM44),IF(ATF44=4,SUMPRODUCT(--(($ATG$5:$ATG44=$ATG44)*($ATF$5:$ATF44&gt;=1)*($ATF$5:$ATF44&lt;=3)),$AUM$5:$AUM44),IF(ATF44=7,SUMPRODUCT(--(($ATG$5:$ATG44=$ATG44)*($ATF$5:$ATF44&gt;=4)*($ATF$5:$ATF44&lt;=6)),$AUM$5:$AUM44),IF(ATF44=10,SUMPRODUCT(--(($ATG$5:$ATG44=$ATG44)*($ATF$5:$ATF44&gt;=7)*($ATF$5:$ATF44&lt;=9)),$AUM$5:$AUM44),0)))))</f>
        <v/>
      </c>
      <c r="AUO44" s="12">
        <f>AUO43+AUM44-AUN44</f>
        <v/>
      </c>
      <c r="AUP44" s="12">
        <f>IF(ProviderDelay&gt;=1,ATW43*BlendedProvPayEss+ATX43*BlendedProvPayPrem+ATY43*BlendedProvPayElite+ATZ43*BlendedProvPayEss+AUA43*BlendedProvPayPrem+AUB43*BlendedProvPayElite,ATW44*BlendedProvPayEss+ATX44*BlendedProvPayPrem+ATY44*BlendedProvPayElite+ATZ44*BlendedProvPayEss+AUA44*BlendedProvPayPrem+AUB44*BlendedProvPayElite)</f>
        <v/>
      </c>
      <c r="AUQ44" s="12">
        <f>AUI44*PaymentFee</f>
        <v/>
      </c>
      <c r="AUR44" s="12">
        <f>AUC44*OpsAI</f>
        <v/>
      </c>
      <c r="AUS44" s="12">
        <f>MonthlyFixed</f>
        <v/>
      </c>
      <c r="AUT44" s="12">
        <f>ATM44*ReferralReward</f>
        <v/>
      </c>
      <c r="AUU44" s="12">
        <f>ATK44</f>
        <v/>
      </c>
      <c r="AUV44" s="9">
        <f>AUL44-AUP44-AUQ44-AUR44-AUS44-AUT44-AUU44</f>
        <v/>
      </c>
      <c r="AUW44" s="9">
        <f>AUW43+AUI44-(AUP44+AUQ44+AUR44+AUS44+AUT44+AUU44+AUN44)</f>
        <v/>
      </c>
      <c r="AUX44" s="12">
        <f>IF(AUC44&gt;0,AUD44/AUC44,0)</f>
        <v/>
      </c>
      <c r="AUY44" s="11">
        <f>IF(AUC43&gt;0,MAX(0,(AUC43+ATN44-AUC44)/AUC43),0)</f>
        <v/>
      </c>
      <c r="AVA44" s="12" t="n">
        <v>40</v>
      </c>
      <c r="AVB44" s="12">
        <f>MOD(AVA44-1+LaunchMonth-1,12)+1</f>
        <v/>
      </c>
      <c r="AVC44" s="12">
        <f>INT((AVA44-1+LaunchMonth-1)/12)+1</f>
        <v/>
      </c>
      <c r="AVD44" s="12">
        <f>VLOOKUP(AVB44,WinterPivotSeasonTable,5,FALSE)</f>
        <v/>
      </c>
      <c r="AVE44" s="12">
        <f>(1+InflationRate)^INT((AVA44-1)/12)</f>
        <v/>
      </c>
      <c r="AVF44" s="11">
        <f>MonthlyChurn*VLOOKUP(AVB44,WinterPivotChurnTable,6,FALSE)</f>
        <v/>
      </c>
      <c r="AVG44" s="12">
        <f>MIN(MAX(MktMin19plus,AWE43*MktPct19plus),MAX(0,AWS43-CashBuffer))</f>
        <v/>
      </c>
      <c r="AVH44" s="12">
        <f>IF(AVG44&gt;0,MAX(1,ROUND(AVG44/CAC*AVD44,0)),0)</f>
        <v/>
      </c>
      <c r="AVI44" s="12">
        <f>IF(AVH44&gt;0,ROUND(AVH44*ReferralMix/(1-ReferralMix),0),0)</f>
        <v/>
      </c>
      <c r="AVJ44" s="12">
        <f>AVH44+AVI44</f>
        <v/>
      </c>
      <c r="AVK44" s="12">
        <f>ROUND(AVJ44*(1-AnnualMix),0)</f>
        <v/>
      </c>
      <c r="AVL44" s="12">
        <f>AVJ44-AVK44</f>
        <v/>
      </c>
      <c r="AVM44" s="12">
        <f>ROUND(AVK44*'Sens - Winter Pivot'!$B$6,0)</f>
        <v/>
      </c>
      <c r="AVN44" s="12">
        <f>ROUND(AVK44*PremiumMix,0)</f>
        <v/>
      </c>
      <c r="AVO44" s="12">
        <f>AVK44-AVM44-AVN44</f>
        <v/>
      </c>
      <c r="AVP44" s="12">
        <f>ROUND(AVL44*'Sens - Winter Pivot'!$B$6,0)</f>
        <v/>
      </c>
      <c r="AVQ44" s="12">
        <f>ROUND(AVL44*PremiumMix,0)</f>
        <v/>
      </c>
      <c r="AVR44" s="12">
        <f>AVL44-AVP44-AVQ44</f>
        <v/>
      </c>
      <c r="AVS44" s="12">
        <f>AVM44+AVM43+AVM42+MAX(0,AVS43-AVM43-AVM42)*(1-AVF44)</f>
        <v/>
      </c>
      <c r="AVT44" s="12">
        <f>AVN44+AVN43+AVN42+MAX(0,AVT43-AVN43-AVN42)*(1-AVF44)</f>
        <v/>
      </c>
      <c r="AVU44" s="12">
        <f>AVO44+AVO43+AVO42+MAX(0,AVU43-AVO43-AVO42)*(1-AVF44)</f>
        <v/>
      </c>
      <c r="AVV44" s="12">
        <f>AVV43+AVP44-AVP32*(AnnualChurn*VLOOKUP(AVB44,ChurnSeasonTable,4,FALSE))*POWER(1-(AnnualChurn*VLOOKUP(AVB44,ChurnSeasonTable,4,FALSE)),0)+AVP20*(AnnualChurn*VLOOKUP(AVB44,ChurnSeasonTable,4,FALSE))*POWER(1-(AnnualChurn*VLOOKUP(AVB44,ChurnSeasonTable,4,FALSE)),1)+AVP8*(AnnualChurn*VLOOKUP(AVB44,ChurnSeasonTable,4,FALSE))*POWER(1-(AnnualChurn*VLOOKUP(AVB44,ChurnSeasonTable,4,FALSE)),2)</f>
        <v/>
      </c>
      <c r="AVW44" s="12">
        <f>AVW43+AVQ44-AVQ32*(AnnualChurn*VLOOKUP(AVB44,ChurnSeasonTable,4,FALSE))*POWER(1-(AnnualChurn*VLOOKUP(AVB44,ChurnSeasonTable,4,FALSE)),0)+AVQ20*(AnnualChurn*VLOOKUP(AVB44,ChurnSeasonTable,4,FALSE))*POWER(1-(AnnualChurn*VLOOKUP(AVB44,ChurnSeasonTable,4,FALSE)),1)+AVQ8*(AnnualChurn*VLOOKUP(AVB44,ChurnSeasonTable,4,FALSE))*POWER(1-(AnnualChurn*VLOOKUP(AVB44,ChurnSeasonTable,4,FALSE)),2)</f>
        <v/>
      </c>
      <c r="AVX44" s="12">
        <f>AVX43+AVR44-AVR32*(AnnualChurn*VLOOKUP(AVB44,ChurnSeasonTable,4,FALSE))*POWER(1-(AnnualChurn*VLOOKUP(AVB44,ChurnSeasonTable,4,FALSE)),0)+AVR20*(AnnualChurn*VLOOKUP(AVB44,ChurnSeasonTable,4,FALSE))*POWER(1-(AnnualChurn*VLOOKUP(AVB44,ChurnSeasonTable,4,FALSE)),1)+AVR8*(AnnualChurn*VLOOKUP(AVB44,ChurnSeasonTable,4,FALSE))*POWER(1-(AnnualChurn*VLOOKUP(AVB44,ChurnSeasonTable,4,FALSE)),2)</f>
        <v/>
      </c>
      <c r="AVY44" s="12">
        <f>AVS44+AVT44+AVU44+AVV44+AVW44+AVX44</f>
        <v/>
      </c>
      <c r="AVZ44" s="9">
        <f>AVS44*BlendedPriceEssMonthly*AVE44+AVT44*(BlendedPricePremMonthly+'Sens - Winter Pivot'!$B$7)*AVE44+AVU44*BlendedPriceEliteMonthly*AVE44+AVV44*BlendedPriceEssAnnual*AVE44/12+AVW44*(BlendedPricePremAnnual+'Sens - Winter Pivot'!$B$7*12)*AVE44/12+AVX44*BlendedPriceEliteAnnual*AVE44/12</f>
        <v/>
      </c>
      <c r="AWA44" s="9">
        <f>AVZ44*12</f>
        <v/>
      </c>
      <c r="AWB44" s="12">
        <f>AVS44*BlendedPriceEssMonthly*AVE44+AVT44*(BlendedPricePremMonthly+'Sens - Winter Pivot'!$B$7)*AVE44+AVU44*BlendedPriceEliteMonthly*AVE44</f>
        <v/>
      </c>
      <c r="AWC44" s="12">
        <f>AVP44*BlendedPriceEssAnnual*AVE44+AVQ44*(BlendedPricePremAnnual+'Sens - Winter Pivot'!$B$7*12)*AVE44+AVR44*BlendedPriceEliteAnnual*AVE44</f>
        <v/>
      </c>
      <c r="AWD44" s="12">
        <f>AVP32*POWER(1-(AnnualChurn*VLOOKUP(AVB44,ChurnSeasonTable,4,FALSE)),1)*BlendedPriceEssAnnual*AVE44+AVP20*POWER(1-(AnnualChurn*VLOOKUP(AVB44,ChurnSeasonTable,4,FALSE)),2)*BlendedPriceEssAnnual*AVE44+AVP8*POWER(1-(AnnualChurn*VLOOKUP(AVB44,ChurnSeasonTable,4,FALSE)),3)*BlendedPriceEssAnnual*AVE44+AVQ32*POWER(1-(AnnualChurn*VLOOKUP(AVB44,ChurnSeasonTable,4,FALSE)),1)*BlendedPricePremAnnual*AVE44+AVQ20*POWER(1-(AnnualChurn*VLOOKUP(AVB44,ChurnSeasonTable,4,FALSE)),2)*BlendedPricePremAnnual*AVE44+AVQ8*POWER(1-(AnnualChurn*VLOOKUP(AVB44,ChurnSeasonTable,4,FALSE)),3)*BlendedPricePremAnnual*AVE44+AVR32*POWER(1-(AnnualChurn*VLOOKUP(AVB44,ChurnSeasonTable,4,FALSE)),1)*BlendedPriceEliteAnnual*AVE44+AVR20*POWER(1-(AnnualChurn*VLOOKUP(AVB44,ChurnSeasonTable,4,FALSE)),2)*BlendedPriceEliteAnnual*AVE44+AVR8*POWER(1-(AnnualChurn*VLOOKUP(AVB44,ChurnSeasonTable,4,FALSE)),3)*BlendedPriceEliteAnnual*AVE44</f>
        <v/>
      </c>
      <c r="AWE44" s="9">
        <f>AWB44+AWC44+AWD44</f>
        <v/>
      </c>
      <c r="AWF44" s="12">
        <f>SUM(AWE33:AWE44)</f>
        <v/>
      </c>
      <c r="AWG44" s="12">
        <f>OR(AWG43,IF(VATAgentMode,SUM($AWE33:$AWE44)-SUM($AWL33:$AWL44)&gt;=VATThreshold,SUM($AWE33:$AWE44)&gt;=VATThreshold))</f>
        <v/>
      </c>
      <c r="AWH44" s="9">
        <f>IF(AWG44,IF(VATAgentMode,AWE44-((AWE44-AWL44)-(AWE44-AWL44)/(1+VATRate)),AWE44/(1+VATRate)),AWE44)</f>
        <v/>
      </c>
      <c r="AWI44" s="12">
        <f>AWE44-AWH44</f>
        <v/>
      </c>
      <c r="AWJ44" s="12">
        <f>IF(AWG44=0,0,IF(AVB44=1,SUMPRODUCT(--(($AVC$5:$AVC44=$AVC44-1)*($AVB$5:$AVB44&gt;=10)*($AVB$5:$AVB44&lt;=12)),$AWI$5:$AWI44),IF(AVB44=4,SUMPRODUCT(--(($AVC$5:$AVC44=$AVC44)*($AVB$5:$AVB44&gt;=1)*($AVB$5:$AVB44&lt;=3)),$AWI$5:$AWI44),IF(AVB44=7,SUMPRODUCT(--(($AVC$5:$AVC44=$AVC44)*($AVB$5:$AVB44&gt;=4)*($AVB$5:$AVB44&lt;=6)),$AWI$5:$AWI44),IF(AVB44=10,SUMPRODUCT(--(($AVC$5:$AVC44=$AVC44)*($AVB$5:$AVB44&gt;=7)*($AVB$5:$AVB44&lt;=9)),$AWI$5:$AWI44),0)))))</f>
        <v/>
      </c>
      <c r="AWK44" s="12">
        <f>AWK43+AWI44-AWJ44</f>
        <v/>
      </c>
      <c r="AWL44" s="12">
        <f>IF(ProviderDelay&gt;=1,AVS43*BlendedProvPayEss+AVT43*BlendedProvPayPrem+AVU43*BlendedProvPayElite+AVV43*BlendedProvPayEss+AVW43*BlendedProvPayPrem+AVX43*BlendedProvPayElite,AVS44*BlendedProvPayEss+AVT44*BlendedProvPayPrem+AVU44*BlendedProvPayElite+AVV44*BlendedProvPayEss+AVW44*BlendedProvPayPrem+AVX44*BlendedProvPayElite)</f>
        <v/>
      </c>
      <c r="AWM44" s="12">
        <f>AWE44*PaymentFee</f>
        <v/>
      </c>
      <c r="AWN44" s="12">
        <f>AVY44*OpsAI</f>
        <v/>
      </c>
      <c r="AWO44" s="12">
        <f>MonthlyFixed</f>
        <v/>
      </c>
      <c r="AWP44" s="12">
        <f>AVI44*ReferralReward</f>
        <v/>
      </c>
      <c r="AWQ44" s="12">
        <f>AVG44</f>
        <v/>
      </c>
      <c r="AWR44" s="9">
        <f>AWH44-AWL44-AWM44-AWN44-AWO44-AWP44-AWQ44</f>
        <v/>
      </c>
      <c r="AWS44" s="9">
        <f>AWS43+AWE44-(AWL44+AWM44+AWN44+AWO44+AWP44+AWQ44+AWJ44)</f>
        <v/>
      </c>
      <c r="AWT44" s="12">
        <f>IF(AVY44&gt;0,AVZ44/AVY44,0)</f>
        <v/>
      </c>
      <c r="AWU44" s="11">
        <f>IF(AVY43&gt;0,MAX(0,(AVY43+AVJ44-AVY44)/AVY43),0)</f>
        <v/>
      </c>
    </row>
    <row r="45">
      <c r="A45" s="12" t="n">
        <v>41</v>
      </c>
      <c r="B45" s="12">
        <f>MOD(A45-1+LaunchMonth-1,12)+1</f>
        <v/>
      </c>
      <c r="C45" s="12">
        <f>INT((A45-1+LaunchMonth-1)/12)+1</f>
        <v/>
      </c>
      <c r="D45" s="12">
        <f>VLOOKUP(B45,SeasonTable,2,FALSE)</f>
        <v/>
      </c>
      <c r="E45" s="12">
        <f>(1+InflationRate)^INT((A45-1)/12)</f>
        <v/>
      </c>
      <c r="F45" s="11">
        <f>'Sens - Scenarios'!$B$5*VLOOKUP(B45,ChurnSeasonTable,4,FALSE)</f>
        <v/>
      </c>
      <c r="G45" s="12">
        <f>MIN(MAX(MktMin19plus,AE44*MktPct19plus),MAX(0,AS44-CashBuffer))</f>
        <v/>
      </c>
      <c r="H45" s="12">
        <f>IF(G45&gt;0,MAX(1,ROUND(G45/'Sens - Scenarios'!$B$8*D45,0)),0)</f>
        <v/>
      </c>
      <c r="I45" s="12">
        <f>IF(H45&gt;0,ROUND(H45*ReferralMix/(1-ReferralMix),0),0)</f>
        <v/>
      </c>
      <c r="J45" s="12">
        <f>H45+I45</f>
        <v/>
      </c>
      <c r="K45" s="12">
        <f>ROUND(J45*(1-'Sens - Scenarios'!$B$7),0)</f>
        <v/>
      </c>
      <c r="L45" s="12">
        <f>J45-K45</f>
        <v/>
      </c>
      <c r="M45" s="12">
        <f>ROUND(K45*EssentialMix,0)</f>
        <v/>
      </c>
      <c r="N45" s="12">
        <f>ROUND(K45*PremiumMix,0)</f>
        <v/>
      </c>
      <c r="O45" s="12">
        <f>K45-M45-N45</f>
        <v/>
      </c>
      <c r="P45" s="12">
        <f>ROUND(L45*EssentialMix,0)</f>
        <v/>
      </c>
      <c r="Q45" s="12">
        <f>ROUND(L45*PremiumMix,0)</f>
        <v/>
      </c>
      <c r="R45" s="12">
        <f>L45-P45-Q45</f>
        <v/>
      </c>
      <c r="S45" s="12">
        <f>M45+M44+M43+MAX(0,S44-M44-M43)*(1-F45)</f>
        <v/>
      </c>
      <c r="T45" s="12">
        <f>N45+N44+N43+MAX(0,T44-N44-N43)*(1-F45)</f>
        <v/>
      </c>
      <c r="U45" s="12">
        <f>O45+O44+O43+MAX(0,U44-O44-O43)*(1-F45)</f>
        <v/>
      </c>
      <c r="V45" s="12">
        <f>V44+P45-P33*('Sens - Scenarios'!$B$6*VLOOKUP(B45,ChurnSeasonTable,4,FALSE))*POWER(1-('Sens - Scenarios'!$B$6*VLOOKUP(B45,ChurnSeasonTable,4,FALSE)),0)+P21*('Sens - Scenarios'!$B$6*VLOOKUP(B45,ChurnSeasonTable,4,FALSE))*POWER(1-('Sens - Scenarios'!$B$6*VLOOKUP(B45,ChurnSeasonTable,4,FALSE)),1)+P9*('Sens - Scenarios'!$B$6*VLOOKUP(B45,ChurnSeasonTable,4,FALSE))*POWER(1-('Sens - Scenarios'!$B$6*VLOOKUP(B45,ChurnSeasonTable,4,FALSE)),2)</f>
        <v/>
      </c>
      <c r="W45" s="12">
        <f>W44+Q45-Q33*('Sens - Scenarios'!$B$6*VLOOKUP(B45,ChurnSeasonTable,4,FALSE))*POWER(1-('Sens - Scenarios'!$B$6*VLOOKUP(B45,ChurnSeasonTable,4,FALSE)),0)+Q21*('Sens - Scenarios'!$B$6*VLOOKUP(B45,ChurnSeasonTable,4,FALSE))*POWER(1-('Sens - Scenarios'!$B$6*VLOOKUP(B45,ChurnSeasonTable,4,FALSE)),1)+Q9*('Sens - Scenarios'!$B$6*VLOOKUP(B45,ChurnSeasonTable,4,FALSE))*POWER(1-('Sens - Scenarios'!$B$6*VLOOKUP(B45,ChurnSeasonTable,4,FALSE)),2)</f>
        <v/>
      </c>
      <c r="X45" s="12">
        <f>X44+R45-R33*('Sens - Scenarios'!$B$6*VLOOKUP(B45,ChurnSeasonTable,4,FALSE))*POWER(1-('Sens - Scenarios'!$B$6*VLOOKUP(B45,ChurnSeasonTable,4,FALSE)),0)+R21*('Sens - Scenarios'!$B$6*VLOOKUP(B45,ChurnSeasonTable,4,FALSE))*POWER(1-('Sens - Scenarios'!$B$6*VLOOKUP(B45,ChurnSeasonTable,4,FALSE)),1)+R9*('Sens - Scenarios'!$B$6*VLOOKUP(B45,ChurnSeasonTable,4,FALSE))*POWER(1-('Sens - Scenarios'!$B$6*VLOOKUP(B45,ChurnSeasonTable,4,FALSE)),2)</f>
        <v/>
      </c>
      <c r="Y45" s="12">
        <f>S45+T45+U45+V45+W45+X45</f>
        <v/>
      </c>
      <c r="Z45" s="9">
        <f>S45*BlendedPriceEssMonthly*E45+T45*BlendedPricePremMonthly*E45+U45*BlendedPriceEliteMonthly*E45+V45*BlendedPriceEssAnnual*E45/12+W45*BlendedPricePremAnnual*E45/12+X45*BlendedPriceEliteAnnual*E45/12</f>
        <v/>
      </c>
      <c r="AA45" s="9">
        <f>Z45*12</f>
        <v/>
      </c>
      <c r="AB45" s="12">
        <f>S45*BlendedPriceEssMonthly*E45+T45*BlendedPricePremMonthly*E45+U45*BlendedPriceEliteMonthly*E45</f>
        <v/>
      </c>
      <c r="AC45" s="12">
        <f>P45*BlendedPriceEssAnnual*E45+Q45*BlendedPricePremAnnual*E45+R45*BlendedPriceEliteAnnual*E45</f>
        <v/>
      </c>
      <c r="AD45" s="12">
        <f>P33*POWER(1-('Sens - Scenarios'!$B$6*VLOOKUP(B45,ChurnSeasonTable,4,FALSE)),1)*BlendedPriceEssAnnual*E45+P21*POWER(1-('Sens - Scenarios'!$B$6*VLOOKUP(B45,ChurnSeasonTable,4,FALSE)),2)*BlendedPriceEssAnnual*E45+P9*POWER(1-('Sens - Scenarios'!$B$6*VLOOKUP(B45,ChurnSeasonTable,4,FALSE)),3)*BlendedPriceEssAnnual*E45+Q33*POWER(1-('Sens - Scenarios'!$B$6*VLOOKUP(B45,ChurnSeasonTable,4,FALSE)),1)*BlendedPricePremAnnual*E45+Q21*POWER(1-('Sens - Scenarios'!$B$6*VLOOKUP(B45,ChurnSeasonTable,4,FALSE)),2)*BlendedPricePremAnnual*E45+Q9*POWER(1-('Sens - Scenarios'!$B$6*VLOOKUP(B45,ChurnSeasonTable,4,FALSE)),3)*BlendedPricePremAnnual*E45+R33*POWER(1-('Sens - Scenarios'!$B$6*VLOOKUP(B45,ChurnSeasonTable,4,FALSE)),1)*BlendedPriceEliteAnnual*E45+R21*POWER(1-('Sens - Scenarios'!$B$6*VLOOKUP(B45,ChurnSeasonTable,4,FALSE)),2)*BlendedPriceEliteAnnual*E45+R9*POWER(1-('Sens - Scenarios'!$B$6*VLOOKUP(B45,ChurnSeasonTable,4,FALSE)),3)*BlendedPriceEliteAnnual*E45</f>
        <v/>
      </c>
      <c r="AE45" s="9">
        <f>AB45+AC45+AD45</f>
        <v/>
      </c>
      <c r="AF45" s="12">
        <f>SUM(AE34:AE45)</f>
        <v/>
      </c>
      <c r="AG45" s="12">
        <f>OR(AG44,IF(VATAgentMode,SUM($AE34:$AE45)-SUM($AL34:$AL45)&gt;=VATThreshold,SUM($AE34:$AE45)&gt;=VATThreshold))</f>
        <v/>
      </c>
      <c r="AH45" s="9">
        <f>IF(AG45,IF(VATAgentMode,AE45-((AE45-AL45)-(AE45-AL45)/(1+VATRate)),AE45/(1+VATRate)),AE45)</f>
        <v/>
      </c>
      <c r="AI45" s="12">
        <f>AE45-AH45</f>
        <v/>
      </c>
      <c r="AJ45" s="12">
        <f>IF(AG45=0,0,IF(B45=1,SUMPRODUCT(--(($C$5:$C45=$C45-1)*($B$5:$B45&gt;=10)*($B$5:$B45&lt;=12)),$AI$5:$AI45),IF(B45=4,SUMPRODUCT(--(($C$5:$C45=$C45)*($B$5:$B45&gt;=1)*($B$5:$B45&lt;=3)),$AI$5:$AI45),IF(B45=7,SUMPRODUCT(--(($C$5:$C45=$C45)*($B$5:$B45&gt;=4)*($B$5:$B45&lt;=6)),$AI$5:$AI45),IF(B45=10,SUMPRODUCT(--(($C$5:$C45=$C45)*($B$5:$B45&gt;=7)*($B$5:$B45&lt;=9)),$AI$5:$AI45),0)))))</f>
        <v/>
      </c>
      <c r="AK45" s="12">
        <f>AK44+AI45-AJ45</f>
        <v/>
      </c>
      <c r="AL45" s="12">
        <f>IF(ProviderDelay&gt;=1,S44*BlendedProvPayEss+T44*BlendedProvPayPrem+U44*BlendedProvPayElite+V44*BlendedProvPayEss+W44*BlendedProvPayPrem+X44*BlendedProvPayElite,S45*BlendedProvPayEss+T45*BlendedProvPayPrem+U45*BlendedProvPayElite+V45*BlendedProvPayEss+W45*BlendedProvPayPrem+X45*BlendedProvPayElite)</f>
        <v/>
      </c>
      <c r="AM45" s="12">
        <f>AE45*PaymentFee</f>
        <v/>
      </c>
      <c r="AN45" s="12">
        <f>Y45*OpsAI</f>
        <v/>
      </c>
      <c r="AO45" s="12">
        <f>MonthlyFixed</f>
        <v/>
      </c>
      <c r="AP45" s="12">
        <f>I45*ReferralReward</f>
        <v/>
      </c>
      <c r="AQ45" s="12">
        <f>G45</f>
        <v/>
      </c>
      <c r="AR45" s="9">
        <f>AH45-AL45-AM45-AN45-AO45-AP45-AQ45</f>
        <v/>
      </c>
      <c r="AS45" s="9">
        <f>AS44+AE45-(AL45+AM45+AN45+AO45+AP45+AQ45+AJ45)</f>
        <v/>
      </c>
      <c r="AT45" s="12">
        <f>IF(Y45&gt;0,Z45/Y45,0)</f>
        <v/>
      </c>
      <c r="AU45" s="11">
        <f>IF(Y44&gt;0,MAX(0,(Y44+J45-Y45)/Y44),0)</f>
        <v/>
      </c>
      <c r="AW45" s="12" t="n">
        <v>41</v>
      </c>
      <c r="AX45" s="12">
        <f>MOD(AW45-1+LaunchMonth-1,12)+1</f>
        <v/>
      </c>
      <c r="AY45" s="12">
        <f>INT((AW45-1+LaunchMonth-1)/12)+1</f>
        <v/>
      </c>
      <c r="AZ45" s="12">
        <f>VLOOKUP(AX45,SeasonTable,2,FALSE)</f>
        <v/>
      </c>
      <c r="BA45" s="12">
        <f>(1+InflationRate)^INT((AW45-1)/12)</f>
        <v/>
      </c>
      <c r="BB45" s="11">
        <f>MonthlyChurn*VLOOKUP(AX45,ChurnSeasonTable,4,FALSE)</f>
        <v/>
      </c>
      <c r="BC45" s="12">
        <f>MIN(MAX(MktMin19plus,CA44*MktPct19plus),MAX(0,CO44-CashBuffer))</f>
        <v/>
      </c>
      <c r="BD45" s="12">
        <f>IF(BC45&gt;0,MAX(1,ROUND(BC45/CAC*AZ45,0)),0)</f>
        <v/>
      </c>
      <c r="BE45" s="12">
        <f>IF(BD45&gt;0,ROUND(BD45*ReferralMix/(1-ReferralMix),0),0)</f>
        <v/>
      </c>
      <c r="BF45" s="12">
        <f>BD45+BE45</f>
        <v/>
      </c>
      <c r="BG45" s="12">
        <f>ROUND(BF45*(1-AnnualMix),0)</f>
        <v/>
      </c>
      <c r="BH45" s="12">
        <f>BF45-BG45</f>
        <v/>
      </c>
      <c r="BI45" s="12">
        <f>ROUND(BG45*EssentialMix,0)</f>
        <v/>
      </c>
      <c r="BJ45" s="12">
        <f>ROUND(BG45*PremiumMix,0)</f>
        <v/>
      </c>
      <c r="BK45" s="12">
        <f>BG45-BI45-BJ45</f>
        <v/>
      </c>
      <c r="BL45" s="12">
        <f>ROUND(BH45*EssentialMix,0)</f>
        <v/>
      </c>
      <c r="BM45" s="12">
        <f>ROUND(BH45*PremiumMix,0)</f>
        <v/>
      </c>
      <c r="BN45" s="12">
        <f>BH45-BL45-BM45</f>
        <v/>
      </c>
      <c r="BO45" s="12">
        <f>BI45+BI44+BI43+MAX(0,BO44-BI44-BI43)*(1-BB45)</f>
        <v/>
      </c>
      <c r="BP45" s="12">
        <f>BJ45+BJ44+BJ43+MAX(0,BP44-BJ44-BJ43)*(1-BB45)</f>
        <v/>
      </c>
      <c r="BQ45" s="12">
        <f>BK45+BK44+BK43+MAX(0,BQ44-BK44-BK43)*(1-BB45)</f>
        <v/>
      </c>
      <c r="BR45" s="12">
        <f>BR44+BL45-BL33*(AnnualChurn*VLOOKUP(AX45,ChurnSeasonTable,4,FALSE))*POWER(1-(AnnualChurn*VLOOKUP(AX45,ChurnSeasonTable,4,FALSE)),0)+BL21*(AnnualChurn*VLOOKUP(AX45,ChurnSeasonTable,4,FALSE))*POWER(1-(AnnualChurn*VLOOKUP(AX45,ChurnSeasonTable,4,FALSE)),1)+BL9*(AnnualChurn*VLOOKUP(AX45,ChurnSeasonTable,4,FALSE))*POWER(1-(AnnualChurn*VLOOKUP(AX45,ChurnSeasonTable,4,FALSE)),2)</f>
        <v/>
      </c>
      <c r="BS45" s="12">
        <f>BS44+BM45-BM33*(AnnualChurn*VLOOKUP(AX45,ChurnSeasonTable,4,FALSE))*POWER(1-(AnnualChurn*VLOOKUP(AX45,ChurnSeasonTable,4,FALSE)),0)+BM21*(AnnualChurn*VLOOKUP(AX45,ChurnSeasonTable,4,FALSE))*POWER(1-(AnnualChurn*VLOOKUP(AX45,ChurnSeasonTable,4,FALSE)),1)+BM9*(AnnualChurn*VLOOKUP(AX45,ChurnSeasonTable,4,FALSE))*POWER(1-(AnnualChurn*VLOOKUP(AX45,ChurnSeasonTable,4,FALSE)),2)</f>
        <v/>
      </c>
      <c r="BT45" s="12">
        <f>BT44+BN45-BN33*(AnnualChurn*VLOOKUP(AX45,ChurnSeasonTable,4,FALSE))*POWER(1-(AnnualChurn*VLOOKUP(AX45,ChurnSeasonTable,4,FALSE)),0)+BN21*(AnnualChurn*VLOOKUP(AX45,ChurnSeasonTable,4,FALSE))*POWER(1-(AnnualChurn*VLOOKUP(AX45,ChurnSeasonTable,4,FALSE)),1)+BN9*(AnnualChurn*VLOOKUP(AX45,ChurnSeasonTable,4,FALSE))*POWER(1-(AnnualChurn*VLOOKUP(AX45,ChurnSeasonTable,4,FALSE)),2)</f>
        <v/>
      </c>
      <c r="BU45" s="12">
        <f>BO45+BP45+BQ45+BR45+BS45+BT45</f>
        <v/>
      </c>
      <c r="BV45" s="9">
        <f>BO45*BlendedPriceEssMonthly*BA45+BP45*BlendedPricePremMonthly*BA45+BQ45*BlendedPriceEliteMonthly*BA45+BR45*BlendedPriceEssAnnual*BA45/12+BS45*BlendedPricePremAnnual*BA45/12+BT45*BlendedPriceEliteAnnual*BA45/12</f>
        <v/>
      </c>
      <c r="BW45" s="9">
        <f>BV45*12</f>
        <v/>
      </c>
      <c r="BX45" s="12">
        <f>BO45*BlendedPriceEssMonthly*BA45+BP45*BlendedPricePremMonthly*BA45+BQ45*BlendedPriceEliteMonthly*BA45</f>
        <v/>
      </c>
      <c r="BY45" s="12">
        <f>BL45*BlendedPriceEssAnnual*BA45+BM45*BlendedPricePremAnnual*BA45+BN45*BlendedPriceEliteAnnual*BA45</f>
        <v/>
      </c>
      <c r="BZ45" s="12">
        <f>BL33*POWER(1-(AnnualChurn*VLOOKUP(AX45,ChurnSeasonTable,4,FALSE)),1)*BlendedPriceEssAnnual*BA45+BL21*POWER(1-(AnnualChurn*VLOOKUP(AX45,ChurnSeasonTable,4,FALSE)),2)*BlendedPriceEssAnnual*BA45+BL9*POWER(1-(AnnualChurn*VLOOKUP(AX45,ChurnSeasonTable,4,FALSE)),3)*BlendedPriceEssAnnual*BA45+BM33*POWER(1-(AnnualChurn*VLOOKUP(AX45,ChurnSeasonTable,4,FALSE)),1)*BlendedPricePremAnnual*BA45+BM21*POWER(1-(AnnualChurn*VLOOKUP(AX45,ChurnSeasonTable,4,FALSE)),2)*BlendedPricePremAnnual*BA45+BM9*POWER(1-(AnnualChurn*VLOOKUP(AX45,ChurnSeasonTable,4,FALSE)),3)*BlendedPricePremAnnual*BA45+BN33*POWER(1-(AnnualChurn*VLOOKUP(AX45,ChurnSeasonTable,4,FALSE)),1)*BlendedPriceEliteAnnual*BA45+BN21*POWER(1-(AnnualChurn*VLOOKUP(AX45,ChurnSeasonTable,4,FALSE)),2)*BlendedPriceEliteAnnual*BA45+BN9*POWER(1-(AnnualChurn*VLOOKUP(AX45,ChurnSeasonTable,4,FALSE)),3)*BlendedPriceEliteAnnual*BA45</f>
        <v/>
      </c>
      <c r="CA45" s="9">
        <f>BX45+BY45+BZ45</f>
        <v/>
      </c>
      <c r="CB45" s="12">
        <f>SUM(CA34:CA45)</f>
        <v/>
      </c>
      <c r="CC45" s="12">
        <f>OR(CC44,IF(VATAgentMode,SUM($CA34:$CA45)-SUM($CH34:$CH45)&gt;=VATThreshold,SUM($CA34:$CA45)&gt;=VATThreshold))</f>
        <v/>
      </c>
      <c r="CD45" s="9">
        <f>IF(CC45,IF(VATAgentMode,CA45-((CA45-CH45)-(CA45-CH45)/(1+VATRate)),CA45/(1+VATRate)),CA45)</f>
        <v/>
      </c>
      <c r="CE45" s="12">
        <f>CA45-CD45</f>
        <v/>
      </c>
      <c r="CF45" s="12">
        <f>IF(CC45=0,0,IF(AX45=1,SUMPRODUCT(--(($AY$5:$AY45=$AY45-1)*($AX$5:$AX45&gt;=10)*($AX$5:$AX45&lt;=12)),$CE$5:$CE45),IF(AX45=4,SUMPRODUCT(--(($AY$5:$AY45=$AY45)*($AX$5:$AX45&gt;=1)*($AX$5:$AX45&lt;=3)),$CE$5:$CE45),IF(AX45=7,SUMPRODUCT(--(($AY$5:$AY45=$AY45)*($AX$5:$AX45&gt;=4)*($AX$5:$AX45&lt;=6)),$CE$5:$CE45),IF(AX45=10,SUMPRODUCT(--(($AY$5:$AY45=$AY45)*($AX$5:$AX45&gt;=7)*($AX$5:$AX45&lt;=9)),$CE$5:$CE45),0)))))</f>
        <v/>
      </c>
      <c r="CG45" s="12">
        <f>CG44+CE45-CF45</f>
        <v/>
      </c>
      <c r="CH45" s="12">
        <f>IF(ProviderDelay&gt;=1,BO44*BlendedProvPayEss+BP44*BlendedProvPayPrem+BQ44*BlendedProvPayElite+BR44*BlendedProvPayEss+BS44*BlendedProvPayPrem+BT44*BlendedProvPayElite,BO45*BlendedProvPayEss+BP45*BlendedProvPayPrem+BQ45*BlendedProvPayElite+BR45*BlendedProvPayEss+BS45*BlendedProvPayPrem+BT45*BlendedProvPayElite)</f>
        <v/>
      </c>
      <c r="CI45" s="12">
        <f>CA45*PaymentFee</f>
        <v/>
      </c>
      <c r="CJ45" s="12">
        <f>BU45*OpsAI</f>
        <v/>
      </c>
      <c r="CK45" s="12">
        <f>MonthlyFixed</f>
        <v/>
      </c>
      <c r="CL45" s="12">
        <f>BE45*ReferralReward</f>
        <v/>
      </c>
      <c r="CM45" s="12">
        <f>BC45</f>
        <v/>
      </c>
      <c r="CN45" s="9">
        <f>CD45-CH45-CI45-CJ45-CK45-CL45-CM45</f>
        <v/>
      </c>
      <c r="CO45" s="9">
        <f>CO44+CA45-(CH45+CI45+CJ45+CK45+CL45+CM45+CF45)</f>
        <v/>
      </c>
      <c r="CP45" s="12">
        <f>IF(BU45&gt;0,BV45/BU45,0)</f>
        <v/>
      </c>
      <c r="CQ45" s="11">
        <f>IF(BU44&gt;0,MAX(0,(BU44+BF45-BU45)/BU44),0)</f>
        <v/>
      </c>
      <c r="CS45" s="12" t="n">
        <v>41</v>
      </c>
      <c r="CT45" s="12">
        <f>MOD(CS45-1+LaunchMonth-1,12)+1</f>
        <v/>
      </c>
      <c r="CU45" s="12">
        <f>INT((CS45-1+LaunchMonth-1)/12)+1</f>
        <v/>
      </c>
      <c r="CV45" s="12">
        <f>VLOOKUP(CT45,SeasonTable,2,FALSE)</f>
        <v/>
      </c>
      <c r="CW45" s="12">
        <f>(1+InflationRate)^INT((CS45-1)/12)</f>
        <v/>
      </c>
      <c r="CX45" s="11">
        <f>'Sens - Scenarios'!$D$5*VLOOKUP(CT45,ChurnSeasonTable,4,FALSE)</f>
        <v/>
      </c>
      <c r="CY45" s="12">
        <f>MIN(MAX(MktMin19plus,DW44*MktPct19plus),MAX(0,EK44-CashBuffer))</f>
        <v/>
      </c>
      <c r="CZ45" s="12">
        <f>IF(CY45&gt;0,MAX(1,ROUND(CY45/'Sens - Scenarios'!$D$8*CV45,0)),0)</f>
        <v/>
      </c>
      <c r="DA45" s="12">
        <f>IF(CZ45&gt;0,ROUND(CZ45*ReferralMix/(1-ReferralMix),0),0)</f>
        <v/>
      </c>
      <c r="DB45" s="12">
        <f>CZ45+DA45</f>
        <v/>
      </c>
      <c r="DC45" s="12">
        <f>ROUND(DB45*(1-'Sens - Scenarios'!$D$7),0)</f>
        <v/>
      </c>
      <c r="DD45" s="12">
        <f>DB45-DC45</f>
        <v/>
      </c>
      <c r="DE45" s="12">
        <f>ROUND(DC45*EssentialMix,0)</f>
        <v/>
      </c>
      <c r="DF45" s="12">
        <f>ROUND(DC45*PremiumMix,0)</f>
        <v/>
      </c>
      <c r="DG45" s="12">
        <f>DC45-DE45-DF45</f>
        <v/>
      </c>
      <c r="DH45" s="12">
        <f>ROUND(DD45*EssentialMix,0)</f>
        <v/>
      </c>
      <c r="DI45" s="12">
        <f>ROUND(DD45*PremiumMix,0)</f>
        <v/>
      </c>
      <c r="DJ45" s="12">
        <f>DD45-DH45-DI45</f>
        <v/>
      </c>
      <c r="DK45" s="12">
        <f>DE45+DE44+DE43+MAX(0,DK44-DE44-DE43)*(1-CX45)</f>
        <v/>
      </c>
      <c r="DL45" s="12">
        <f>DF45+DF44+DF43+MAX(0,DL44-DF44-DF43)*(1-CX45)</f>
        <v/>
      </c>
      <c r="DM45" s="12">
        <f>DG45+DG44+DG43+MAX(0,DM44-DG44-DG43)*(1-CX45)</f>
        <v/>
      </c>
      <c r="DN45" s="12">
        <f>DN44+DH45-DH33*('Sens - Scenarios'!$D$6*VLOOKUP(CT45,ChurnSeasonTable,4,FALSE))*POWER(1-('Sens - Scenarios'!$D$6*VLOOKUP(CT45,ChurnSeasonTable,4,FALSE)),0)+DH21*('Sens - Scenarios'!$D$6*VLOOKUP(CT45,ChurnSeasonTable,4,FALSE))*POWER(1-('Sens - Scenarios'!$D$6*VLOOKUP(CT45,ChurnSeasonTable,4,FALSE)),1)+DH9*('Sens - Scenarios'!$D$6*VLOOKUP(CT45,ChurnSeasonTable,4,FALSE))*POWER(1-('Sens - Scenarios'!$D$6*VLOOKUP(CT45,ChurnSeasonTable,4,FALSE)),2)</f>
        <v/>
      </c>
      <c r="DO45" s="12">
        <f>DO44+DI45-DI33*('Sens - Scenarios'!$D$6*VLOOKUP(CT45,ChurnSeasonTable,4,FALSE))*POWER(1-('Sens - Scenarios'!$D$6*VLOOKUP(CT45,ChurnSeasonTable,4,FALSE)),0)+DI21*('Sens - Scenarios'!$D$6*VLOOKUP(CT45,ChurnSeasonTable,4,FALSE))*POWER(1-('Sens - Scenarios'!$D$6*VLOOKUP(CT45,ChurnSeasonTable,4,FALSE)),1)+DI9*('Sens - Scenarios'!$D$6*VLOOKUP(CT45,ChurnSeasonTable,4,FALSE))*POWER(1-('Sens - Scenarios'!$D$6*VLOOKUP(CT45,ChurnSeasonTable,4,FALSE)),2)</f>
        <v/>
      </c>
      <c r="DP45" s="12">
        <f>DP44+DJ45-DJ33*('Sens - Scenarios'!$D$6*VLOOKUP(CT45,ChurnSeasonTable,4,FALSE))*POWER(1-('Sens - Scenarios'!$D$6*VLOOKUP(CT45,ChurnSeasonTable,4,FALSE)),0)+DJ21*('Sens - Scenarios'!$D$6*VLOOKUP(CT45,ChurnSeasonTable,4,FALSE))*POWER(1-('Sens - Scenarios'!$D$6*VLOOKUP(CT45,ChurnSeasonTable,4,FALSE)),1)+DJ9*('Sens - Scenarios'!$D$6*VLOOKUP(CT45,ChurnSeasonTable,4,FALSE))*POWER(1-('Sens - Scenarios'!$D$6*VLOOKUP(CT45,ChurnSeasonTable,4,FALSE)),2)</f>
        <v/>
      </c>
      <c r="DQ45" s="12">
        <f>DK45+DL45+DM45+DN45+DO45+DP45</f>
        <v/>
      </c>
      <c r="DR45" s="9">
        <f>DK45*BlendedPriceEssMonthly*CW45+DL45*BlendedPricePremMonthly*CW45+DM45*BlendedPriceEliteMonthly*CW45+DN45*BlendedPriceEssAnnual*CW45/12+DO45*BlendedPricePremAnnual*CW45/12+DP45*BlendedPriceEliteAnnual*CW45/12</f>
        <v/>
      </c>
      <c r="DS45" s="9">
        <f>DR45*12</f>
        <v/>
      </c>
      <c r="DT45" s="12">
        <f>DK45*BlendedPriceEssMonthly*CW45+DL45*BlendedPricePremMonthly*CW45+DM45*BlendedPriceEliteMonthly*CW45</f>
        <v/>
      </c>
      <c r="DU45" s="12">
        <f>DH45*BlendedPriceEssAnnual*CW45+DI45*BlendedPricePremAnnual*CW45+DJ45*BlendedPriceEliteAnnual*CW45</f>
        <v/>
      </c>
      <c r="DV45" s="12">
        <f>DH33*POWER(1-('Sens - Scenarios'!$D$6*VLOOKUP(CT45,ChurnSeasonTable,4,FALSE)),1)*BlendedPriceEssAnnual*CW45+DH21*POWER(1-('Sens - Scenarios'!$D$6*VLOOKUP(CT45,ChurnSeasonTable,4,FALSE)),2)*BlendedPriceEssAnnual*CW45+DH9*POWER(1-('Sens - Scenarios'!$D$6*VLOOKUP(CT45,ChurnSeasonTable,4,FALSE)),3)*BlendedPriceEssAnnual*CW45+DI33*POWER(1-('Sens - Scenarios'!$D$6*VLOOKUP(CT45,ChurnSeasonTable,4,FALSE)),1)*BlendedPricePremAnnual*CW45+DI21*POWER(1-('Sens - Scenarios'!$D$6*VLOOKUP(CT45,ChurnSeasonTable,4,FALSE)),2)*BlendedPricePremAnnual*CW45+DI9*POWER(1-('Sens - Scenarios'!$D$6*VLOOKUP(CT45,ChurnSeasonTable,4,FALSE)),3)*BlendedPricePremAnnual*CW45+DJ33*POWER(1-('Sens - Scenarios'!$D$6*VLOOKUP(CT45,ChurnSeasonTable,4,FALSE)),1)*BlendedPriceEliteAnnual*CW45+DJ21*POWER(1-('Sens - Scenarios'!$D$6*VLOOKUP(CT45,ChurnSeasonTable,4,FALSE)),2)*BlendedPriceEliteAnnual*CW45+DJ9*POWER(1-('Sens - Scenarios'!$D$6*VLOOKUP(CT45,ChurnSeasonTable,4,FALSE)),3)*BlendedPriceEliteAnnual*CW45</f>
        <v/>
      </c>
      <c r="DW45" s="9">
        <f>DT45+DU45+DV45</f>
        <v/>
      </c>
      <c r="DX45" s="12">
        <f>SUM(DW34:DW45)</f>
        <v/>
      </c>
      <c r="DY45" s="12">
        <f>OR(DY44,IF(VATAgentMode,SUM($DW34:$DW45)-SUM($ED34:$ED45)&gt;=VATThreshold,SUM($DW34:$DW45)&gt;=VATThreshold))</f>
        <v/>
      </c>
      <c r="DZ45" s="9">
        <f>IF(DY45,IF(VATAgentMode,DW45-((DW45-ED45)-(DW45-ED45)/(1+VATRate)),DW45/(1+VATRate)),DW45)</f>
        <v/>
      </c>
      <c r="EA45" s="12">
        <f>DW45-DZ45</f>
        <v/>
      </c>
      <c r="EB45" s="12">
        <f>IF(DY45=0,0,IF(CT45=1,SUMPRODUCT(--(($CU$5:$CU45=$CU45-1)*($CT$5:$CT45&gt;=10)*($CT$5:$CT45&lt;=12)),$EA$5:$EA45),IF(CT45=4,SUMPRODUCT(--(($CU$5:$CU45=$CU45)*($CT$5:$CT45&gt;=1)*($CT$5:$CT45&lt;=3)),$EA$5:$EA45),IF(CT45=7,SUMPRODUCT(--(($CU$5:$CU45=$CU45)*($CT$5:$CT45&gt;=4)*($CT$5:$CT45&lt;=6)),$EA$5:$EA45),IF(CT45=10,SUMPRODUCT(--(($CU$5:$CU45=$CU45)*($CT$5:$CT45&gt;=7)*($CT$5:$CT45&lt;=9)),$EA$5:$EA45),0)))))</f>
        <v/>
      </c>
      <c r="EC45" s="12">
        <f>EC44+EA45-EB45</f>
        <v/>
      </c>
      <c r="ED45" s="12">
        <f>IF(ProviderDelay&gt;=1,DK44*BlendedProvPayEss+DL44*BlendedProvPayPrem+DM44*BlendedProvPayElite+DN44*BlendedProvPayEss+DO44*BlendedProvPayPrem+DP44*BlendedProvPayElite,DK45*BlendedProvPayEss+DL45*BlendedProvPayPrem+DM45*BlendedProvPayElite+DN45*BlendedProvPayEss+DO45*BlendedProvPayPrem+DP45*BlendedProvPayElite)</f>
        <v/>
      </c>
      <c r="EE45" s="12">
        <f>DW45*PaymentFee</f>
        <v/>
      </c>
      <c r="EF45" s="12">
        <f>DQ45*OpsAI</f>
        <v/>
      </c>
      <c r="EG45" s="12">
        <f>MonthlyFixed</f>
        <v/>
      </c>
      <c r="EH45" s="12">
        <f>DA45*ReferralReward</f>
        <v/>
      </c>
      <c r="EI45" s="12">
        <f>CY45</f>
        <v/>
      </c>
      <c r="EJ45" s="9">
        <f>DZ45-ED45-EE45-EF45-EG45-EH45-EI45</f>
        <v/>
      </c>
      <c r="EK45" s="9">
        <f>EK44+DW45-(ED45+EE45+EF45+EG45+EH45+EI45+EB45)</f>
        <v/>
      </c>
      <c r="EL45" s="12">
        <f>IF(DQ45&gt;0,DR45/DQ45,0)</f>
        <v/>
      </c>
      <c r="EM45" s="11">
        <f>IF(DQ44&gt;0,MAX(0,(DQ44+DB45-DQ45)/DQ44),0)</f>
        <v/>
      </c>
      <c r="EO45" s="12" t="n">
        <v>41</v>
      </c>
      <c r="EP45" s="12">
        <f>MOD(EO45-1+LaunchMonth-1,12)+1</f>
        <v/>
      </c>
      <c r="EQ45" s="12">
        <f>INT((EO45-1+LaunchMonth-1)/12)+1</f>
        <v/>
      </c>
      <c r="ER45" s="12">
        <f>VLOOKUP(EP45,SeasonTable,2,FALSE)</f>
        <v/>
      </c>
      <c r="ES45" s="12">
        <f>(1+InflationRate)^INT((EO45-1)/12)</f>
        <v/>
      </c>
      <c r="ET45" s="11">
        <f>'Sens - Churn'!$A$13*VLOOKUP(EP45,ChurnSeasonTable,4,FALSE)</f>
        <v/>
      </c>
      <c r="EU45" s="12">
        <f>MIN(MAX(MktMin19plus,FS44*MktPct19plus),MAX(0,GG44-CashBuffer))</f>
        <v/>
      </c>
      <c r="EV45" s="12">
        <f>IF(EU45&gt;0,MAX(1,ROUND(EU45/CAC*ER45,0)),0)</f>
        <v/>
      </c>
      <c r="EW45" s="12">
        <f>IF(EV45&gt;0,ROUND(EV45*ReferralMix/(1-ReferralMix),0),0)</f>
        <v/>
      </c>
      <c r="EX45" s="12">
        <f>EV45+EW45</f>
        <v/>
      </c>
      <c r="EY45" s="12">
        <f>ROUND(EX45*(1-AnnualMix),0)</f>
        <v/>
      </c>
      <c r="EZ45" s="12">
        <f>EX45-EY45</f>
        <v/>
      </c>
      <c r="FA45" s="12">
        <f>ROUND(EY45*EssentialMix,0)</f>
        <v/>
      </c>
      <c r="FB45" s="12">
        <f>ROUND(EY45*PremiumMix,0)</f>
        <v/>
      </c>
      <c r="FC45" s="12">
        <f>EY45-FA45-FB45</f>
        <v/>
      </c>
      <c r="FD45" s="12">
        <f>ROUND(EZ45*EssentialMix,0)</f>
        <v/>
      </c>
      <c r="FE45" s="12">
        <f>ROUND(EZ45*PremiumMix,0)</f>
        <v/>
      </c>
      <c r="FF45" s="12">
        <f>EZ45-FD45-FE45</f>
        <v/>
      </c>
      <c r="FG45" s="12">
        <f>FA45+FA44+FA43+MAX(0,FG44-FA44-FA43)*(1-ET45)</f>
        <v/>
      </c>
      <c r="FH45" s="12">
        <f>FB45+FB44+FB43+MAX(0,FH44-FB44-FB43)*(1-ET45)</f>
        <v/>
      </c>
      <c r="FI45" s="12">
        <f>FC45+FC44+FC43+MAX(0,FI44-FC44-FC43)*(1-ET45)</f>
        <v/>
      </c>
      <c r="FJ45" s="12">
        <f>FJ44+FD45-FD33*(AnnualChurn*VLOOKUP(EP45,ChurnSeasonTable,4,FALSE))*POWER(1-(AnnualChurn*VLOOKUP(EP45,ChurnSeasonTable,4,FALSE)),0)+FD21*(AnnualChurn*VLOOKUP(EP45,ChurnSeasonTable,4,FALSE))*POWER(1-(AnnualChurn*VLOOKUP(EP45,ChurnSeasonTable,4,FALSE)),1)+FD9*(AnnualChurn*VLOOKUP(EP45,ChurnSeasonTable,4,FALSE))*POWER(1-(AnnualChurn*VLOOKUP(EP45,ChurnSeasonTable,4,FALSE)),2)</f>
        <v/>
      </c>
      <c r="FK45" s="12">
        <f>FK44+FE45-FE33*(AnnualChurn*VLOOKUP(EP45,ChurnSeasonTable,4,FALSE))*POWER(1-(AnnualChurn*VLOOKUP(EP45,ChurnSeasonTable,4,FALSE)),0)+FE21*(AnnualChurn*VLOOKUP(EP45,ChurnSeasonTable,4,FALSE))*POWER(1-(AnnualChurn*VLOOKUP(EP45,ChurnSeasonTable,4,FALSE)),1)+FE9*(AnnualChurn*VLOOKUP(EP45,ChurnSeasonTable,4,FALSE))*POWER(1-(AnnualChurn*VLOOKUP(EP45,ChurnSeasonTable,4,FALSE)),2)</f>
        <v/>
      </c>
      <c r="FL45" s="12">
        <f>FL44+FF45-FF33*(AnnualChurn*VLOOKUP(EP45,ChurnSeasonTable,4,FALSE))*POWER(1-(AnnualChurn*VLOOKUP(EP45,ChurnSeasonTable,4,FALSE)),0)+FF21*(AnnualChurn*VLOOKUP(EP45,ChurnSeasonTable,4,FALSE))*POWER(1-(AnnualChurn*VLOOKUP(EP45,ChurnSeasonTable,4,FALSE)),1)+FF9*(AnnualChurn*VLOOKUP(EP45,ChurnSeasonTable,4,FALSE))*POWER(1-(AnnualChurn*VLOOKUP(EP45,ChurnSeasonTable,4,FALSE)),2)</f>
        <v/>
      </c>
      <c r="FM45" s="12">
        <f>FG45+FH45+FI45+FJ45+FK45+FL45</f>
        <v/>
      </c>
      <c r="FN45" s="9">
        <f>FG45*BlendedPriceEssMonthly*ES45+FH45*BlendedPricePremMonthly*ES45+FI45*BlendedPriceEliteMonthly*ES45+FJ45*BlendedPriceEssAnnual*ES45/12+FK45*BlendedPricePremAnnual*ES45/12+FL45*BlendedPriceEliteAnnual*ES45/12</f>
        <v/>
      </c>
      <c r="FO45" s="9">
        <f>FN45*12</f>
        <v/>
      </c>
      <c r="FP45" s="12">
        <f>FG45*BlendedPriceEssMonthly*ES45+FH45*BlendedPricePremMonthly*ES45+FI45*BlendedPriceEliteMonthly*ES45</f>
        <v/>
      </c>
      <c r="FQ45" s="12">
        <f>FD45*BlendedPriceEssAnnual*ES45+FE45*BlendedPricePremAnnual*ES45+FF45*BlendedPriceEliteAnnual*ES45</f>
        <v/>
      </c>
      <c r="FR45" s="12">
        <f>FD33*POWER(1-(AnnualChurn*VLOOKUP(EP45,ChurnSeasonTable,4,FALSE)),1)*BlendedPriceEssAnnual*ES45+FD21*POWER(1-(AnnualChurn*VLOOKUP(EP45,ChurnSeasonTable,4,FALSE)),2)*BlendedPriceEssAnnual*ES45+FD9*POWER(1-(AnnualChurn*VLOOKUP(EP45,ChurnSeasonTable,4,FALSE)),3)*BlendedPriceEssAnnual*ES45+FE33*POWER(1-(AnnualChurn*VLOOKUP(EP45,ChurnSeasonTable,4,FALSE)),1)*BlendedPricePremAnnual*ES45+FE21*POWER(1-(AnnualChurn*VLOOKUP(EP45,ChurnSeasonTable,4,FALSE)),2)*BlendedPricePremAnnual*ES45+FE9*POWER(1-(AnnualChurn*VLOOKUP(EP45,ChurnSeasonTable,4,FALSE)),3)*BlendedPricePremAnnual*ES45+FF33*POWER(1-(AnnualChurn*VLOOKUP(EP45,ChurnSeasonTable,4,FALSE)),1)*BlendedPriceEliteAnnual*ES45+FF21*POWER(1-(AnnualChurn*VLOOKUP(EP45,ChurnSeasonTable,4,FALSE)),2)*BlendedPriceEliteAnnual*ES45+FF9*POWER(1-(AnnualChurn*VLOOKUP(EP45,ChurnSeasonTable,4,FALSE)),3)*BlendedPriceEliteAnnual*ES45</f>
        <v/>
      </c>
      <c r="FS45" s="9">
        <f>FP45+FQ45+FR45</f>
        <v/>
      </c>
      <c r="FT45" s="12">
        <f>SUM(FS34:FS45)</f>
        <v/>
      </c>
      <c r="FU45" s="12">
        <f>OR(FU44,IF(VATAgentMode,SUM($FS34:$FS45)-SUM($FZ34:$FZ45)&gt;=VATThreshold,SUM($FS34:$FS45)&gt;=VATThreshold))</f>
        <v/>
      </c>
      <c r="FV45" s="9">
        <f>IF(FU45,IF(VATAgentMode,FS45-((FS45-FZ45)-(FS45-FZ45)/(1+VATRate)),FS45/(1+VATRate)),FS45)</f>
        <v/>
      </c>
      <c r="FW45" s="12">
        <f>FS45-FV45</f>
        <v/>
      </c>
      <c r="FX45" s="12">
        <f>IF(FU45=0,0,IF(EP45=1,SUMPRODUCT(--(($EQ$5:$EQ45=$EQ45-1)*($EP$5:$EP45&gt;=10)*($EP$5:$EP45&lt;=12)),$FW$5:$FW45),IF(EP45=4,SUMPRODUCT(--(($EQ$5:$EQ45=$EQ45)*($EP$5:$EP45&gt;=1)*($EP$5:$EP45&lt;=3)),$FW$5:$FW45),IF(EP45=7,SUMPRODUCT(--(($EQ$5:$EQ45=$EQ45)*($EP$5:$EP45&gt;=4)*($EP$5:$EP45&lt;=6)),$FW$5:$FW45),IF(EP45=10,SUMPRODUCT(--(($EQ$5:$EQ45=$EQ45)*($EP$5:$EP45&gt;=7)*($EP$5:$EP45&lt;=9)),$FW$5:$FW45),0)))))</f>
        <v/>
      </c>
      <c r="FY45" s="12">
        <f>FY44+FW45-FX45</f>
        <v/>
      </c>
      <c r="FZ45" s="12">
        <f>IF(ProviderDelay&gt;=1,FG44*BlendedProvPayEss+FH44*BlendedProvPayPrem+FI44*BlendedProvPayElite+FJ44*BlendedProvPayEss+FK44*BlendedProvPayPrem+FL44*BlendedProvPayElite,FG45*BlendedProvPayEss+FH45*BlendedProvPayPrem+FI45*BlendedProvPayElite+FJ45*BlendedProvPayEss+FK45*BlendedProvPayPrem+FL45*BlendedProvPayElite)</f>
        <v/>
      </c>
      <c r="GA45" s="12">
        <f>FS45*PaymentFee</f>
        <v/>
      </c>
      <c r="GB45" s="12">
        <f>FM45*OpsAI</f>
        <v/>
      </c>
      <c r="GC45" s="12">
        <f>MonthlyFixed</f>
        <v/>
      </c>
      <c r="GD45" s="12">
        <f>EW45*ReferralReward</f>
        <v/>
      </c>
      <c r="GE45" s="12">
        <f>EU45</f>
        <v/>
      </c>
      <c r="GF45" s="9">
        <f>FV45-FZ45-GA45-GB45-GC45-GD45-GE45</f>
        <v/>
      </c>
      <c r="GG45" s="9">
        <f>GG44+FS45-(FZ45+GA45+GB45+GC45+GD45+GE45+FX45)</f>
        <v/>
      </c>
      <c r="GH45" s="12">
        <f>IF(FM45&gt;0,FN45/FM45,0)</f>
        <v/>
      </c>
      <c r="GI45" s="11">
        <f>IF(FM44&gt;0,MAX(0,(FM44+EX45-FM45)/FM44),0)</f>
        <v/>
      </c>
      <c r="GK45" s="12" t="n">
        <v>41</v>
      </c>
      <c r="GL45" s="12">
        <f>MOD(GK45-1+LaunchMonth-1,12)+1</f>
        <v/>
      </c>
      <c r="GM45" s="12">
        <f>INT((GK45-1+LaunchMonth-1)/12)+1</f>
        <v/>
      </c>
      <c r="GN45" s="12">
        <f>VLOOKUP(GL45,SeasonTable,2,FALSE)</f>
        <v/>
      </c>
      <c r="GO45" s="12">
        <f>(1+InflationRate)^INT((GK45-1)/12)</f>
        <v/>
      </c>
      <c r="GP45" s="11">
        <f>'Sens - Churn'!$A$14*VLOOKUP(GL45,ChurnSeasonTable,4,FALSE)</f>
        <v/>
      </c>
      <c r="GQ45" s="12">
        <f>MIN(MAX(MktMin19plus,HO44*MktPct19plus),MAX(0,IC44-CashBuffer))</f>
        <v/>
      </c>
      <c r="GR45" s="12">
        <f>IF(GQ45&gt;0,MAX(1,ROUND(GQ45/CAC*GN45,0)),0)</f>
        <v/>
      </c>
      <c r="GS45" s="12">
        <f>IF(GR45&gt;0,ROUND(GR45*ReferralMix/(1-ReferralMix),0),0)</f>
        <v/>
      </c>
      <c r="GT45" s="12">
        <f>GR45+GS45</f>
        <v/>
      </c>
      <c r="GU45" s="12">
        <f>ROUND(GT45*(1-AnnualMix),0)</f>
        <v/>
      </c>
      <c r="GV45" s="12">
        <f>GT45-GU45</f>
        <v/>
      </c>
      <c r="GW45" s="12">
        <f>ROUND(GU45*EssentialMix,0)</f>
        <v/>
      </c>
      <c r="GX45" s="12">
        <f>ROUND(GU45*PremiumMix,0)</f>
        <v/>
      </c>
      <c r="GY45" s="12">
        <f>GU45-GW45-GX45</f>
        <v/>
      </c>
      <c r="GZ45" s="12">
        <f>ROUND(GV45*EssentialMix,0)</f>
        <v/>
      </c>
      <c r="HA45" s="12">
        <f>ROUND(GV45*PremiumMix,0)</f>
        <v/>
      </c>
      <c r="HB45" s="12">
        <f>GV45-GZ45-HA45</f>
        <v/>
      </c>
      <c r="HC45" s="12">
        <f>GW45+GW44+GW43+MAX(0,HC44-GW44-GW43)*(1-GP45)</f>
        <v/>
      </c>
      <c r="HD45" s="12">
        <f>GX45+GX44+GX43+MAX(0,HD44-GX44-GX43)*(1-GP45)</f>
        <v/>
      </c>
      <c r="HE45" s="12">
        <f>GY45+GY44+GY43+MAX(0,HE44-GY44-GY43)*(1-GP45)</f>
        <v/>
      </c>
      <c r="HF45" s="12">
        <f>HF44+GZ45-GZ33*(AnnualChurn*VLOOKUP(GL45,ChurnSeasonTable,4,FALSE))*POWER(1-(AnnualChurn*VLOOKUP(GL45,ChurnSeasonTable,4,FALSE)),0)+GZ21*(AnnualChurn*VLOOKUP(GL45,ChurnSeasonTable,4,FALSE))*POWER(1-(AnnualChurn*VLOOKUP(GL45,ChurnSeasonTable,4,FALSE)),1)+GZ9*(AnnualChurn*VLOOKUP(GL45,ChurnSeasonTable,4,FALSE))*POWER(1-(AnnualChurn*VLOOKUP(GL45,ChurnSeasonTable,4,FALSE)),2)</f>
        <v/>
      </c>
      <c r="HG45" s="12">
        <f>HG44+HA45-HA33*(AnnualChurn*VLOOKUP(GL45,ChurnSeasonTable,4,FALSE))*POWER(1-(AnnualChurn*VLOOKUP(GL45,ChurnSeasonTable,4,FALSE)),0)+HA21*(AnnualChurn*VLOOKUP(GL45,ChurnSeasonTable,4,FALSE))*POWER(1-(AnnualChurn*VLOOKUP(GL45,ChurnSeasonTable,4,FALSE)),1)+HA9*(AnnualChurn*VLOOKUP(GL45,ChurnSeasonTable,4,FALSE))*POWER(1-(AnnualChurn*VLOOKUP(GL45,ChurnSeasonTable,4,FALSE)),2)</f>
        <v/>
      </c>
      <c r="HH45" s="12">
        <f>HH44+HB45-HB33*(AnnualChurn*VLOOKUP(GL45,ChurnSeasonTable,4,FALSE))*POWER(1-(AnnualChurn*VLOOKUP(GL45,ChurnSeasonTable,4,FALSE)),0)+HB21*(AnnualChurn*VLOOKUP(GL45,ChurnSeasonTable,4,FALSE))*POWER(1-(AnnualChurn*VLOOKUP(GL45,ChurnSeasonTable,4,FALSE)),1)+HB9*(AnnualChurn*VLOOKUP(GL45,ChurnSeasonTable,4,FALSE))*POWER(1-(AnnualChurn*VLOOKUP(GL45,ChurnSeasonTable,4,FALSE)),2)</f>
        <v/>
      </c>
      <c r="HI45" s="12">
        <f>HC45+HD45+HE45+HF45+HG45+HH45</f>
        <v/>
      </c>
      <c r="HJ45" s="9">
        <f>HC45*BlendedPriceEssMonthly*GO45+HD45*BlendedPricePremMonthly*GO45+HE45*BlendedPriceEliteMonthly*GO45+HF45*BlendedPriceEssAnnual*GO45/12+HG45*BlendedPricePremAnnual*GO45/12+HH45*BlendedPriceEliteAnnual*GO45/12</f>
        <v/>
      </c>
      <c r="HK45" s="9">
        <f>HJ45*12</f>
        <v/>
      </c>
      <c r="HL45" s="12">
        <f>HC45*BlendedPriceEssMonthly*GO45+HD45*BlendedPricePremMonthly*GO45+HE45*BlendedPriceEliteMonthly*GO45</f>
        <v/>
      </c>
      <c r="HM45" s="12">
        <f>GZ45*BlendedPriceEssAnnual*GO45+HA45*BlendedPricePremAnnual*GO45+HB45*BlendedPriceEliteAnnual*GO45</f>
        <v/>
      </c>
      <c r="HN45" s="12">
        <f>GZ33*POWER(1-(AnnualChurn*VLOOKUP(GL45,ChurnSeasonTable,4,FALSE)),1)*BlendedPriceEssAnnual*GO45+GZ21*POWER(1-(AnnualChurn*VLOOKUP(GL45,ChurnSeasonTable,4,FALSE)),2)*BlendedPriceEssAnnual*GO45+GZ9*POWER(1-(AnnualChurn*VLOOKUP(GL45,ChurnSeasonTable,4,FALSE)),3)*BlendedPriceEssAnnual*GO45+HA33*POWER(1-(AnnualChurn*VLOOKUP(GL45,ChurnSeasonTable,4,FALSE)),1)*BlendedPricePremAnnual*GO45+HA21*POWER(1-(AnnualChurn*VLOOKUP(GL45,ChurnSeasonTable,4,FALSE)),2)*BlendedPricePremAnnual*GO45+HA9*POWER(1-(AnnualChurn*VLOOKUP(GL45,ChurnSeasonTable,4,FALSE)),3)*BlendedPricePremAnnual*GO45+HB33*POWER(1-(AnnualChurn*VLOOKUP(GL45,ChurnSeasonTable,4,FALSE)),1)*BlendedPriceEliteAnnual*GO45+HB21*POWER(1-(AnnualChurn*VLOOKUP(GL45,ChurnSeasonTable,4,FALSE)),2)*BlendedPriceEliteAnnual*GO45+HB9*POWER(1-(AnnualChurn*VLOOKUP(GL45,ChurnSeasonTable,4,FALSE)),3)*BlendedPriceEliteAnnual*GO45</f>
        <v/>
      </c>
      <c r="HO45" s="9">
        <f>HL45+HM45+HN45</f>
        <v/>
      </c>
      <c r="HP45" s="12">
        <f>SUM(HO34:HO45)</f>
        <v/>
      </c>
      <c r="HQ45" s="12">
        <f>OR(HQ44,IF(VATAgentMode,SUM($HO34:$HO45)-SUM($HV34:$HV45)&gt;=VATThreshold,SUM($HO34:$HO45)&gt;=VATThreshold))</f>
        <v/>
      </c>
      <c r="HR45" s="9">
        <f>IF(HQ45,IF(VATAgentMode,HO45-((HO45-HV45)-(HO45-HV45)/(1+VATRate)),HO45/(1+VATRate)),HO45)</f>
        <v/>
      </c>
      <c r="HS45" s="12">
        <f>HO45-HR45</f>
        <v/>
      </c>
      <c r="HT45" s="12">
        <f>IF(HQ45=0,0,IF(GL45=1,SUMPRODUCT(--(($GM$5:$GM45=$GM45-1)*($GL$5:$GL45&gt;=10)*($GL$5:$GL45&lt;=12)),$HS$5:$HS45),IF(GL45=4,SUMPRODUCT(--(($GM$5:$GM45=$GM45)*($GL$5:$GL45&gt;=1)*($GL$5:$GL45&lt;=3)),$HS$5:$HS45),IF(GL45=7,SUMPRODUCT(--(($GM$5:$GM45=$GM45)*($GL$5:$GL45&gt;=4)*($GL$5:$GL45&lt;=6)),$HS$5:$HS45),IF(GL45=10,SUMPRODUCT(--(($GM$5:$GM45=$GM45)*($GL$5:$GL45&gt;=7)*($GL$5:$GL45&lt;=9)),$HS$5:$HS45),0)))))</f>
        <v/>
      </c>
      <c r="HU45" s="12">
        <f>HU44+HS45-HT45</f>
        <v/>
      </c>
      <c r="HV45" s="12">
        <f>IF(ProviderDelay&gt;=1,HC44*BlendedProvPayEss+HD44*BlendedProvPayPrem+HE44*BlendedProvPayElite+HF44*BlendedProvPayEss+HG44*BlendedProvPayPrem+HH44*BlendedProvPayElite,HC45*BlendedProvPayEss+HD45*BlendedProvPayPrem+HE45*BlendedProvPayElite+HF45*BlendedProvPayEss+HG45*BlendedProvPayPrem+HH45*BlendedProvPayElite)</f>
        <v/>
      </c>
      <c r="HW45" s="12">
        <f>HO45*PaymentFee</f>
        <v/>
      </c>
      <c r="HX45" s="12">
        <f>HI45*OpsAI</f>
        <v/>
      </c>
      <c r="HY45" s="12">
        <f>MonthlyFixed</f>
        <v/>
      </c>
      <c r="HZ45" s="12">
        <f>GS45*ReferralReward</f>
        <v/>
      </c>
      <c r="IA45" s="12">
        <f>GQ45</f>
        <v/>
      </c>
      <c r="IB45" s="9">
        <f>HR45-HV45-HW45-HX45-HY45-HZ45-IA45</f>
        <v/>
      </c>
      <c r="IC45" s="9">
        <f>IC44+HO45-(HV45+HW45+HX45+HY45+HZ45+IA45+HT45)</f>
        <v/>
      </c>
      <c r="ID45" s="12">
        <f>IF(HI45&gt;0,HJ45/HI45,0)</f>
        <v/>
      </c>
      <c r="IE45" s="11">
        <f>IF(HI44&gt;0,MAX(0,(HI44+GT45-HI45)/HI44),0)</f>
        <v/>
      </c>
      <c r="IG45" s="12" t="n">
        <v>41</v>
      </c>
      <c r="IH45" s="12">
        <f>MOD(IG45-1+LaunchMonth-1,12)+1</f>
        <v/>
      </c>
      <c r="II45" s="12">
        <f>INT((IG45-1+LaunchMonth-1)/12)+1</f>
        <v/>
      </c>
      <c r="IJ45" s="12">
        <f>VLOOKUP(IH45,SeasonTable,2,FALSE)</f>
        <v/>
      </c>
      <c r="IK45" s="12">
        <f>(1+InflationRate)^INT((IG45-1)/12)</f>
        <v/>
      </c>
      <c r="IL45" s="11">
        <f>'Sens - Churn'!$A$15*VLOOKUP(IH45,ChurnSeasonTable,4,FALSE)</f>
        <v/>
      </c>
      <c r="IM45" s="12">
        <f>MIN(MAX(MktMin19plus,JK44*MktPct19plus),MAX(0,JY44-CashBuffer))</f>
        <v/>
      </c>
      <c r="IN45" s="12">
        <f>IF(IM45&gt;0,MAX(1,ROUND(IM45/CAC*IJ45,0)),0)</f>
        <v/>
      </c>
      <c r="IO45" s="12">
        <f>IF(IN45&gt;0,ROUND(IN45*ReferralMix/(1-ReferralMix),0),0)</f>
        <v/>
      </c>
      <c r="IP45" s="12">
        <f>IN45+IO45</f>
        <v/>
      </c>
      <c r="IQ45" s="12">
        <f>ROUND(IP45*(1-AnnualMix),0)</f>
        <v/>
      </c>
      <c r="IR45" s="12">
        <f>IP45-IQ45</f>
        <v/>
      </c>
      <c r="IS45" s="12">
        <f>ROUND(IQ45*EssentialMix,0)</f>
        <v/>
      </c>
      <c r="IT45" s="12">
        <f>ROUND(IQ45*PremiumMix,0)</f>
        <v/>
      </c>
      <c r="IU45" s="12">
        <f>IQ45-IS45-IT45</f>
        <v/>
      </c>
      <c r="IV45" s="12">
        <f>ROUND(IR45*EssentialMix,0)</f>
        <v/>
      </c>
      <c r="IW45" s="12">
        <f>ROUND(IR45*PremiumMix,0)</f>
        <v/>
      </c>
      <c r="IX45" s="12">
        <f>IR45-IV45-IW45</f>
        <v/>
      </c>
      <c r="IY45" s="12">
        <f>IS45+IS44+IS43+MAX(0,IY44-IS44-IS43)*(1-IL45)</f>
        <v/>
      </c>
      <c r="IZ45" s="12">
        <f>IT45+IT44+IT43+MAX(0,IZ44-IT44-IT43)*(1-IL45)</f>
        <v/>
      </c>
      <c r="JA45" s="12">
        <f>IU45+IU44+IU43+MAX(0,JA44-IU44-IU43)*(1-IL45)</f>
        <v/>
      </c>
      <c r="JB45" s="12">
        <f>JB44+IV45-IV33*(AnnualChurn*VLOOKUP(IH45,ChurnSeasonTable,4,FALSE))*POWER(1-(AnnualChurn*VLOOKUP(IH45,ChurnSeasonTable,4,FALSE)),0)+IV21*(AnnualChurn*VLOOKUP(IH45,ChurnSeasonTable,4,FALSE))*POWER(1-(AnnualChurn*VLOOKUP(IH45,ChurnSeasonTable,4,FALSE)),1)+IV9*(AnnualChurn*VLOOKUP(IH45,ChurnSeasonTable,4,FALSE))*POWER(1-(AnnualChurn*VLOOKUP(IH45,ChurnSeasonTable,4,FALSE)),2)</f>
        <v/>
      </c>
      <c r="JC45" s="12">
        <f>JC44+IW45-IW33*(AnnualChurn*VLOOKUP(IH45,ChurnSeasonTable,4,FALSE))*POWER(1-(AnnualChurn*VLOOKUP(IH45,ChurnSeasonTable,4,FALSE)),0)+IW21*(AnnualChurn*VLOOKUP(IH45,ChurnSeasonTable,4,FALSE))*POWER(1-(AnnualChurn*VLOOKUP(IH45,ChurnSeasonTable,4,FALSE)),1)+IW9*(AnnualChurn*VLOOKUP(IH45,ChurnSeasonTable,4,FALSE))*POWER(1-(AnnualChurn*VLOOKUP(IH45,ChurnSeasonTable,4,FALSE)),2)</f>
        <v/>
      </c>
      <c r="JD45" s="12">
        <f>JD44+IX45-IX33*(AnnualChurn*VLOOKUP(IH45,ChurnSeasonTable,4,FALSE))*POWER(1-(AnnualChurn*VLOOKUP(IH45,ChurnSeasonTable,4,FALSE)),0)+IX21*(AnnualChurn*VLOOKUP(IH45,ChurnSeasonTable,4,FALSE))*POWER(1-(AnnualChurn*VLOOKUP(IH45,ChurnSeasonTable,4,FALSE)),1)+IX9*(AnnualChurn*VLOOKUP(IH45,ChurnSeasonTable,4,FALSE))*POWER(1-(AnnualChurn*VLOOKUP(IH45,ChurnSeasonTable,4,FALSE)),2)</f>
        <v/>
      </c>
      <c r="JE45" s="12">
        <f>IY45+IZ45+JA45+JB45+JC45+JD45</f>
        <v/>
      </c>
      <c r="JF45" s="9">
        <f>IY45*BlendedPriceEssMonthly*IK45+IZ45*BlendedPricePremMonthly*IK45+JA45*BlendedPriceEliteMonthly*IK45+JB45*BlendedPriceEssAnnual*IK45/12+JC45*BlendedPricePremAnnual*IK45/12+JD45*BlendedPriceEliteAnnual*IK45/12</f>
        <v/>
      </c>
      <c r="JG45" s="9">
        <f>JF45*12</f>
        <v/>
      </c>
      <c r="JH45" s="12">
        <f>IY45*BlendedPriceEssMonthly*IK45+IZ45*BlendedPricePremMonthly*IK45+JA45*BlendedPriceEliteMonthly*IK45</f>
        <v/>
      </c>
      <c r="JI45" s="12">
        <f>IV45*BlendedPriceEssAnnual*IK45+IW45*BlendedPricePremAnnual*IK45+IX45*BlendedPriceEliteAnnual*IK45</f>
        <v/>
      </c>
      <c r="JJ45" s="12">
        <f>IV33*POWER(1-(AnnualChurn*VLOOKUP(IH45,ChurnSeasonTable,4,FALSE)),1)*BlendedPriceEssAnnual*IK45+IV21*POWER(1-(AnnualChurn*VLOOKUP(IH45,ChurnSeasonTable,4,FALSE)),2)*BlendedPriceEssAnnual*IK45+IV9*POWER(1-(AnnualChurn*VLOOKUP(IH45,ChurnSeasonTable,4,FALSE)),3)*BlendedPriceEssAnnual*IK45+IW33*POWER(1-(AnnualChurn*VLOOKUP(IH45,ChurnSeasonTable,4,FALSE)),1)*BlendedPricePremAnnual*IK45+IW21*POWER(1-(AnnualChurn*VLOOKUP(IH45,ChurnSeasonTable,4,FALSE)),2)*BlendedPricePremAnnual*IK45+IW9*POWER(1-(AnnualChurn*VLOOKUP(IH45,ChurnSeasonTable,4,FALSE)),3)*BlendedPricePremAnnual*IK45+IX33*POWER(1-(AnnualChurn*VLOOKUP(IH45,ChurnSeasonTable,4,FALSE)),1)*BlendedPriceEliteAnnual*IK45+IX21*POWER(1-(AnnualChurn*VLOOKUP(IH45,ChurnSeasonTable,4,FALSE)),2)*BlendedPriceEliteAnnual*IK45+IX9*POWER(1-(AnnualChurn*VLOOKUP(IH45,ChurnSeasonTable,4,FALSE)),3)*BlendedPriceEliteAnnual*IK45</f>
        <v/>
      </c>
      <c r="JK45" s="9">
        <f>JH45+JI45+JJ45</f>
        <v/>
      </c>
      <c r="JL45" s="12">
        <f>SUM(JK34:JK45)</f>
        <v/>
      </c>
      <c r="JM45" s="12">
        <f>OR(JM44,IF(VATAgentMode,SUM($JK34:$JK45)-SUM($JR34:$JR45)&gt;=VATThreshold,SUM($JK34:$JK45)&gt;=VATThreshold))</f>
        <v/>
      </c>
      <c r="JN45" s="9">
        <f>IF(JM45,IF(VATAgentMode,JK45-((JK45-JR45)-(JK45-JR45)/(1+VATRate)),JK45/(1+VATRate)),JK45)</f>
        <v/>
      </c>
      <c r="JO45" s="12">
        <f>JK45-JN45</f>
        <v/>
      </c>
      <c r="JP45" s="12">
        <f>IF(JM45=0,0,IF(IH45=1,SUMPRODUCT(--(($II$5:$II45=$II45-1)*($IH$5:$IH45&gt;=10)*($IH$5:$IH45&lt;=12)),$JO$5:$JO45),IF(IH45=4,SUMPRODUCT(--(($II$5:$II45=$II45)*($IH$5:$IH45&gt;=1)*($IH$5:$IH45&lt;=3)),$JO$5:$JO45),IF(IH45=7,SUMPRODUCT(--(($II$5:$II45=$II45)*($IH$5:$IH45&gt;=4)*($IH$5:$IH45&lt;=6)),$JO$5:$JO45),IF(IH45=10,SUMPRODUCT(--(($II$5:$II45=$II45)*($IH$5:$IH45&gt;=7)*($IH$5:$IH45&lt;=9)),$JO$5:$JO45),0)))))</f>
        <v/>
      </c>
      <c r="JQ45" s="12">
        <f>JQ44+JO45-JP45</f>
        <v/>
      </c>
      <c r="JR45" s="12">
        <f>IF(ProviderDelay&gt;=1,IY44*BlendedProvPayEss+IZ44*BlendedProvPayPrem+JA44*BlendedProvPayElite+JB44*BlendedProvPayEss+JC44*BlendedProvPayPrem+JD44*BlendedProvPayElite,IY45*BlendedProvPayEss+IZ45*BlendedProvPayPrem+JA45*BlendedProvPayElite+JB45*BlendedProvPayEss+JC45*BlendedProvPayPrem+JD45*BlendedProvPayElite)</f>
        <v/>
      </c>
      <c r="JS45" s="12">
        <f>JK45*PaymentFee</f>
        <v/>
      </c>
      <c r="JT45" s="12">
        <f>JE45*OpsAI</f>
        <v/>
      </c>
      <c r="JU45" s="12">
        <f>MonthlyFixed</f>
        <v/>
      </c>
      <c r="JV45" s="12">
        <f>IO45*ReferralReward</f>
        <v/>
      </c>
      <c r="JW45" s="12">
        <f>IM45</f>
        <v/>
      </c>
      <c r="JX45" s="9">
        <f>JN45-JR45-JS45-JT45-JU45-JV45-JW45</f>
        <v/>
      </c>
      <c r="JY45" s="9">
        <f>JY44+JK45-(JR45+JS45+JT45+JU45+JV45+JW45+JP45)</f>
        <v/>
      </c>
      <c r="JZ45" s="12">
        <f>IF(JE45&gt;0,JF45/JE45,0)</f>
        <v/>
      </c>
      <c r="KA45" s="11">
        <f>IF(JE44&gt;0,MAX(0,(JE44+IP45-JE45)/JE44),0)</f>
        <v/>
      </c>
      <c r="KC45" s="12" t="n">
        <v>41</v>
      </c>
      <c r="KD45" s="12">
        <f>MOD(KC45-1+LaunchMonth-1,12)+1</f>
        <v/>
      </c>
      <c r="KE45" s="12">
        <f>INT((KC45-1+LaunchMonth-1)/12)+1</f>
        <v/>
      </c>
      <c r="KF45" s="12">
        <f>VLOOKUP(KD45,SeasonTable,2,FALSE)</f>
        <v/>
      </c>
      <c r="KG45" s="12">
        <f>(1+InflationRate)^INT((KC45-1)/12)</f>
        <v/>
      </c>
      <c r="KH45" s="11">
        <f>'Sens - Churn'!$A$16*VLOOKUP(KD45,ChurnSeasonTable,4,FALSE)</f>
        <v/>
      </c>
      <c r="KI45" s="12">
        <f>MIN(MAX(MktMin19plus,LG44*MktPct19plus),MAX(0,LU44-CashBuffer))</f>
        <v/>
      </c>
      <c r="KJ45" s="12">
        <f>IF(KI45&gt;0,MAX(1,ROUND(KI45/CAC*KF45,0)),0)</f>
        <v/>
      </c>
      <c r="KK45" s="12">
        <f>IF(KJ45&gt;0,ROUND(KJ45*ReferralMix/(1-ReferralMix),0),0)</f>
        <v/>
      </c>
      <c r="KL45" s="12">
        <f>KJ45+KK45</f>
        <v/>
      </c>
      <c r="KM45" s="12">
        <f>ROUND(KL45*(1-AnnualMix),0)</f>
        <v/>
      </c>
      <c r="KN45" s="12">
        <f>KL45-KM45</f>
        <v/>
      </c>
      <c r="KO45" s="12">
        <f>ROUND(KM45*EssentialMix,0)</f>
        <v/>
      </c>
      <c r="KP45" s="12">
        <f>ROUND(KM45*PremiumMix,0)</f>
        <v/>
      </c>
      <c r="KQ45" s="12">
        <f>KM45-KO45-KP45</f>
        <v/>
      </c>
      <c r="KR45" s="12">
        <f>ROUND(KN45*EssentialMix,0)</f>
        <v/>
      </c>
      <c r="KS45" s="12">
        <f>ROUND(KN45*PremiumMix,0)</f>
        <v/>
      </c>
      <c r="KT45" s="12">
        <f>KN45-KR45-KS45</f>
        <v/>
      </c>
      <c r="KU45" s="12">
        <f>KO45+KO44+KO43+MAX(0,KU44-KO44-KO43)*(1-KH45)</f>
        <v/>
      </c>
      <c r="KV45" s="12">
        <f>KP45+KP44+KP43+MAX(0,KV44-KP44-KP43)*(1-KH45)</f>
        <v/>
      </c>
      <c r="KW45" s="12">
        <f>KQ45+KQ44+KQ43+MAX(0,KW44-KQ44-KQ43)*(1-KH45)</f>
        <v/>
      </c>
      <c r="KX45" s="12">
        <f>KX44+KR45-KR33*(AnnualChurn*VLOOKUP(KD45,ChurnSeasonTable,4,FALSE))*POWER(1-(AnnualChurn*VLOOKUP(KD45,ChurnSeasonTable,4,FALSE)),0)+KR21*(AnnualChurn*VLOOKUP(KD45,ChurnSeasonTable,4,FALSE))*POWER(1-(AnnualChurn*VLOOKUP(KD45,ChurnSeasonTable,4,FALSE)),1)+KR9*(AnnualChurn*VLOOKUP(KD45,ChurnSeasonTable,4,FALSE))*POWER(1-(AnnualChurn*VLOOKUP(KD45,ChurnSeasonTable,4,FALSE)),2)</f>
        <v/>
      </c>
      <c r="KY45" s="12">
        <f>KY44+KS45-KS33*(AnnualChurn*VLOOKUP(KD45,ChurnSeasonTable,4,FALSE))*POWER(1-(AnnualChurn*VLOOKUP(KD45,ChurnSeasonTable,4,FALSE)),0)+KS21*(AnnualChurn*VLOOKUP(KD45,ChurnSeasonTable,4,FALSE))*POWER(1-(AnnualChurn*VLOOKUP(KD45,ChurnSeasonTable,4,FALSE)),1)+KS9*(AnnualChurn*VLOOKUP(KD45,ChurnSeasonTable,4,FALSE))*POWER(1-(AnnualChurn*VLOOKUP(KD45,ChurnSeasonTable,4,FALSE)),2)</f>
        <v/>
      </c>
      <c r="KZ45" s="12">
        <f>KZ44+KT45-KT33*(AnnualChurn*VLOOKUP(KD45,ChurnSeasonTable,4,FALSE))*POWER(1-(AnnualChurn*VLOOKUP(KD45,ChurnSeasonTable,4,FALSE)),0)+KT21*(AnnualChurn*VLOOKUP(KD45,ChurnSeasonTable,4,FALSE))*POWER(1-(AnnualChurn*VLOOKUP(KD45,ChurnSeasonTable,4,FALSE)),1)+KT9*(AnnualChurn*VLOOKUP(KD45,ChurnSeasonTable,4,FALSE))*POWER(1-(AnnualChurn*VLOOKUP(KD45,ChurnSeasonTable,4,FALSE)),2)</f>
        <v/>
      </c>
      <c r="LA45" s="12">
        <f>KU45+KV45+KW45+KX45+KY45+KZ45</f>
        <v/>
      </c>
      <c r="LB45" s="9">
        <f>KU45*BlendedPriceEssMonthly*KG45+KV45*BlendedPricePremMonthly*KG45+KW45*BlendedPriceEliteMonthly*KG45+KX45*BlendedPriceEssAnnual*KG45/12+KY45*BlendedPricePremAnnual*KG45/12+KZ45*BlendedPriceEliteAnnual*KG45/12</f>
        <v/>
      </c>
      <c r="LC45" s="9">
        <f>LB45*12</f>
        <v/>
      </c>
      <c r="LD45" s="12">
        <f>KU45*BlendedPriceEssMonthly*KG45+KV45*BlendedPricePremMonthly*KG45+KW45*BlendedPriceEliteMonthly*KG45</f>
        <v/>
      </c>
      <c r="LE45" s="12">
        <f>KR45*BlendedPriceEssAnnual*KG45+KS45*BlendedPricePremAnnual*KG45+KT45*BlendedPriceEliteAnnual*KG45</f>
        <v/>
      </c>
      <c r="LF45" s="12">
        <f>KR33*POWER(1-(AnnualChurn*VLOOKUP(KD45,ChurnSeasonTable,4,FALSE)),1)*BlendedPriceEssAnnual*KG45+KR21*POWER(1-(AnnualChurn*VLOOKUP(KD45,ChurnSeasonTable,4,FALSE)),2)*BlendedPriceEssAnnual*KG45+KR9*POWER(1-(AnnualChurn*VLOOKUP(KD45,ChurnSeasonTable,4,FALSE)),3)*BlendedPriceEssAnnual*KG45+KS33*POWER(1-(AnnualChurn*VLOOKUP(KD45,ChurnSeasonTable,4,FALSE)),1)*BlendedPricePremAnnual*KG45+KS21*POWER(1-(AnnualChurn*VLOOKUP(KD45,ChurnSeasonTable,4,FALSE)),2)*BlendedPricePremAnnual*KG45+KS9*POWER(1-(AnnualChurn*VLOOKUP(KD45,ChurnSeasonTable,4,FALSE)),3)*BlendedPricePremAnnual*KG45+KT33*POWER(1-(AnnualChurn*VLOOKUP(KD45,ChurnSeasonTable,4,FALSE)),1)*BlendedPriceEliteAnnual*KG45+KT21*POWER(1-(AnnualChurn*VLOOKUP(KD45,ChurnSeasonTable,4,FALSE)),2)*BlendedPriceEliteAnnual*KG45+KT9*POWER(1-(AnnualChurn*VLOOKUP(KD45,ChurnSeasonTable,4,FALSE)),3)*BlendedPriceEliteAnnual*KG45</f>
        <v/>
      </c>
      <c r="LG45" s="9">
        <f>LD45+LE45+LF45</f>
        <v/>
      </c>
      <c r="LH45" s="12">
        <f>SUM(LG34:LG45)</f>
        <v/>
      </c>
      <c r="LI45" s="12">
        <f>OR(LI44,IF(VATAgentMode,SUM($LG34:$LG45)-SUM($LN34:$LN45)&gt;=VATThreshold,SUM($LG34:$LG45)&gt;=VATThreshold))</f>
        <v/>
      </c>
      <c r="LJ45" s="9">
        <f>IF(LI45,IF(VATAgentMode,LG45-((LG45-LN45)-(LG45-LN45)/(1+VATRate)),LG45/(1+VATRate)),LG45)</f>
        <v/>
      </c>
      <c r="LK45" s="12">
        <f>LG45-LJ45</f>
        <v/>
      </c>
      <c r="LL45" s="12">
        <f>IF(LI45=0,0,IF(KD45=1,SUMPRODUCT(--(($KE$5:$KE45=$KE45-1)*($KD$5:$KD45&gt;=10)*($KD$5:$KD45&lt;=12)),$LK$5:$LK45),IF(KD45=4,SUMPRODUCT(--(($KE$5:$KE45=$KE45)*($KD$5:$KD45&gt;=1)*($KD$5:$KD45&lt;=3)),$LK$5:$LK45),IF(KD45=7,SUMPRODUCT(--(($KE$5:$KE45=$KE45)*($KD$5:$KD45&gt;=4)*($KD$5:$KD45&lt;=6)),$LK$5:$LK45),IF(KD45=10,SUMPRODUCT(--(($KE$5:$KE45=$KE45)*($KD$5:$KD45&gt;=7)*($KD$5:$KD45&lt;=9)),$LK$5:$LK45),0)))))</f>
        <v/>
      </c>
      <c r="LM45" s="12">
        <f>LM44+LK45-LL45</f>
        <v/>
      </c>
      <c r="LN45" s="12">
        <f>IF(ProviderDelay&gt;=1,KU44*BlendedProvPayEss+KV44*BlendedProvPayPrem+KW44*BlendedProvPayElite+KX44*BlendedProvPayEss+KY44*BlendedProvPayPrem+KZ44*BlendedProvPayElite,KU45*BlendedProvPayEss+KV45*BlendedProvPayPrem+KW45*BlendedProvPayElite+KX45*BlendedProvPayEss+KY45*BlendedProvPayPrem+KZ45*BlendedProvPayElite)</f>
        <v/>
      </c>
      <c r="LO45" s="12">
        <f>LG45*PaymentFee</f>
        <v/>
      </c>
      <c r="LP45" s="12">
        <f>LA45*OpsAI</f>
        <v/>
      </c>
      <c r="LQ45" s="12">
        <f>MonthlyFixed</f>
        <v/>
      </c>
      <c r="LR45" s="12">
        <f>KK45*ReferralReward</f>
        <v/>
      </c>
      <c r="LS45" s="12">
        <f>KI45</f>
        <v/>
      </c>
      <c r="LT45" s="9">
        <f>LJ45-LN45-LO45-LP45-LQ45-LR45-LS45</f>
        <v/>
      </c>
      <c r="LU45" s="9">
        <f>LU44+LG45-(LN45+LO45+LP45+LQ45+LR45+LS45+LL45)</f>
        <v/>
      </c>
      <c r="LV45" s="12">
        <f>IF(LA45&gt;0,LB45/LA45,0)</f>
        <v/>
      </c>
      <c r="LW45" s="11">
        <f>IF(LA44&gt;0,MAX(0,(LA44+KL45-LA45)/LA44),0)</f>
        <v/>
      </c>
      <c r="LY45" s="12" t="n">
        <v>41</v>
      </c>
      <c r="LZ45" s="12">
        <f>MOD(LY45-1+LaunchMonth-1,12)+1</f>
        <v/>
      </c>
      <c r="MA45" s="12">
        <f>INT((LY45-1+LaunchMonth-1)/12)+1</f>
        <v/>
      </c>
      <c r="MB45" s="12">
        <f>VLOOKUP(LZ45,SeasonTable,2,FALSE)</f>
        <v/>
      </c>
      <c r="MC45" s="12">
        <f>(1+InflationRate)^INT((LY45-1)/12)</f>
        <v/>
      </c>
      <c r="MD45" s="11">
        <f>'Sens - Churn'!$A$17*VLOOKUP(LZ45,ChurnSeasonTable,4,FALSE)</f>
        <v/>
      </c>
      <c r="ME45" s="12">
        <f>MIN(MAX(MktMin19plus,NC44*MktPct19plus),MAX(0,NQ44-CashBuffer))</f>
        <v/>
      </c>
      <c r="MF45" s="12">
        <f>IF(ME45&gt;0,MAX(1,ROUND(ME45/CAC*MB45,0)),0)</f>
        <v/>
      </c>
      <c r="MG45" s="12">
        <f>IF(MF45&gt;0,ROUND(MF45*ReferralMix/(1-ReferralMix),0),0)</f>
        <v/>
      </c>
      <c r="MH45" s="12">
        <f>MF45+MG45</f>
        <v/>
      </c>
      <c r="MI45" s="12">
        <f>ROUND(MH45*(1-AnnualMix),0)</f>
        <v/>
      </c>
      <c r="MJ45" s="12">
        <f>MH45-MI45</f>
        <v/>
      </c>
      <c r="MK45" s="12">
        <f>ROUND(MI45*EssentialMix,0)</f>
        <v/>
      </c>
      <c r="ML45" s="12">
        <f>ROUND(MI45*PremiumMix,0)</f>
        <v/>
      </c>
      <c r="MM45" s="12">
        <f>MI45-MK45-ML45</f>
        <v/>
      </c>
      <c r="MN45" s="12">
        <f>ROUND(MJ45*EssentialMix,0)</f>
        <v/>
      </c>
      <c r="MO45" s="12">
        <f>ROUND(MJ45*PremiumMix,0)</f>
        <v/>
      </c>
      <c r="MP45" s="12">
        <f>MJ45-MN45-MO45</f>
        <v/>
      </c>
      <c r="MQ45" s="12">
        <f>MK45+MK44+MK43+MAX(0,MQ44-MK44-MK43)*(1-MD45)</f>
        <v/>
      </c>
      <c r="MR45" s="12">
        <f>ML45+ML44+ML43+MAX(0,MR44-ML44-ML43)*(1-MD45)</f>
        <v/>
      </c>
      <c r="MS45" s="12">
        <f>MM45+MM44+MM43+MAX(0,MS44-MM44-MM43)*(1-MD45)</f>
        <v/>
      </c>
      <c r="MT45" s="12">
        <f>MT44+MN45-MN33*(AnnualChurn*VLOOKUP(LZ45,ChurnSeasonTable,4,FALSE))*POWER(1-(AnnualChurn*VLOOKUP(LZ45,ChurnSeasonTable,4,FALSE)),0)+MN21*(AnnualChurn*VLOOKUP(LZ45,ChurnSeasonTable,4,FALSE))*POWER(1-(AnnualChurn*VLOOKUP(LZ45,ChurnSeasonTable,4,FALSE)),1)+MN9*(AnnualChurn*VLOOKUP(LZ45,ChurnSeasonTable,4,FALSE))*POWER(1-(AnnualChurn*VLOOKUP(LZ45,ChurnSeasonTable,4,FALSE)),2)</f>
        <v/>
      </c>
      <c r="MU45" s="12">
        <f>MU44+MO45-MO33*(AnnualChurn*VLOOKUP(LZ45,ChurnSeasonTable,4,FALSE))*POWER(1-(AnnualChurn*VLOOKUP(LZ45,ChurnSeasonTable,4,FALSE)),0)+MO21*(AnnualChurn*VLOOKUP(LZ45,ChurnSeasonTable,4,FALSE))*POWER(1-(AnnualChurn*VLOOKUP(LZ45,ChurnSeasonTable,4,FALSE)),1)+MO9*(AnnualChurn*VLOOKUP(LZ45,ChurnSeasonTable,4,FALSE))*POWER(1-(AnnualChurn*VLOOKUP(LZ45,ChurnSeasonTable,4,FALSE)),2)</f>
        <v/>
      </c>
      <c r="MV45" s="12">
        <f>MV44+MP45-MP33*(AnnualChurn*VLOOKUP(LZ45,ChurnSeasonTable,4,FALSE))*POWER(1-(AnnualChurn*VLOOKUP(LZ45,ChurnSeasonTable,4,FALSE)),0)+MP21*(AnnualChurn*VLOOKUP(LZ45,ChurnSeasonTable,4,FALSE))*POWER(1-(AnnualChurn*VLOOKUP(LZ45,ChurnSeasonTable,4,FALSE)),1)+MP9*(AnnualChurn*VLOOKUP(LZ45,ChurnSeasonTable,4,FALSE))*POWER(1-(AnnualChurn*VLOOKUP(LZ45,ChurnSeasonTable,4,FALSE)),2)</f>
        <v/>
      </c>
      <c r="MW45" s="12">
        <f>MQ45+MR45+MS45+MT45+MU45+MV45</f>
        <v/>
      </c>
      <c r="MX45" s="9">
        <f>MQ45*BlendedPriceEssMonthly*MC45+MR45*BlendedPricePremMonthly*MC45+MS45*BlendedPriceEliteMonthly*MC45+MT45*BlendedPriceEssAnnual*MC45/12+MU45*BlendedPricePremAnnual*MC45/12+MV45*BlendedPriceEliteAnnual*MC45/12</f>
        <v/>
      </c>
      <c r="MY45" s="9">
        <f>MX45*12</f>
        <v/>
      </c>
      <c r="MZ45" s="12">
        <f>MQ45*BlendedPriceEssMonthly*MC45+MR45*BlendedPricePremMonthly*MC45+MS45*BlendedPriceEliteMonthly*MC45</f>
        <v/>
      </c>
      <c r="NA45" s="12">
        <f>MN45*BlendedPriceEssAnnual*MC45+MO45*BlendedPricePremAnnual*MC45+MP45*BlendedPriceEliteAnnual*MC45</f>
        <v/>
      </c>
      <c r="NB45" s="12">
        <f>MN33*POWER(1-(AnnualChurn*VLOOKUP(LZ45,ChurnSeasonTable,4,FALSE)),1)*BlendedPriceEssAnnual*MC45+MN21*POWER(1-(AnnualChurn*VLOOKUP(LZ45,ChurnSeasonTable,4,FALSE)),2)*BlendedPriceEssAnnual*MC45+MN9*POWER(1-(AnnualChurn*VLOOKUP(LZ45,ChurnSeasonTable,4,FALSE)),3)*BlendedPriceEssAnnual*MC45+MO33*POWER(1-(AnnualChurn*VLOOKUP(LZ45,ChurnSeasonTable,4,FALSE)),1)*BlendedPricePremAnnual*MC45+MO21*POWER(1-(AnnualChurn*VLOOKUP(LZ45,ChurnSeasonTable,4,FALSE)),2)*BlendedPricePremAnnual*MC45+MO9*POWER(1-(AnnualChurn*VLOOKUP(LZ45,ChurnSeasonTable,4,FALSE)),3)*BlendedPricePremAnnual*MC45+MP33*POWER(1-(AnnualChurn*VLOOKUP(LZ45,ChurnSeasonTable,4,FALSE)),1)*BlendedPriceEliteAnnual*MC45+MP21*POWER(1-(AnnualChurn*VLOOKUP(LZ45,ChurnSeasonTable,4,FALSE)),2)*BlendedPriceEliteAnnual*MC45+MP9*POWER(1-(AnnualChurn*VLOOKUP(LZ45,ChurnSeasonTable,4,FALSE)),3)*BlendedPriceEliteAnnual*MC45</f>
        <v/>
      </c>
      <c r="NC45" s="9">
        <f>MZ45+NA45+NB45</f>
        <v/>
      </c>
      <c r="ND45" s="12">
        <f>SUM(NC34:NC45)</f>
        <v/>
      </c>
      <c r="NE45" s="12">
        <f>OR(NE44,IF(VATAgentMode,SUM($NC34:$NC45)-SUM($NJ34:$NJ45)&gt;=VATThreshold,SUM($NC34:$NC45)&gt;=VATThreshold))</f>
        <v/>
      </c>
      <c r="NF45" s="9">
        <f>IF(NE45,IF(VATAgentMode,NC45-((NC45-NJ45)-(NC45-NJ45)/(1+VATRate)),NC45/(1+VATRate)),NC45)</f>
        <v/>
      </c>
      <c r="NG45" s="12">
        <f>NC45-NF45</f>
        <v/>
      </c>
      <c r="NH45" s="12">
        <f>IF(NE45=0,0,IF(LZ45=1,SUMPRODUCT(--(($MA$5:$MA45=$MA45-1)*($LZ$5:$LZ45&gt;=10)*($LZ$5:$LZ45&lt;=12)),$NG$5:$NG45),IF(LZ45=4,SUMPRODUCT(--(($MA$5:$MA45=$MA45)*($LZ$5:$LZ45&gt;=1)*($LZ$5:$LZ45&lt;=3)),$NG$5:$NG45),IF(LZ45=7,SUMPRODUCT(--(($MA$5:$MA45=$MA45)*($LZ$5:$LZ45&gt;=4)*($LZ$5:$LZ45&lt;=6)),$NG$5:$NG45),IF(LZ45=10,SUMPRODUCT(--(($MA$5:$MA45=$MA45)*($LZ$5:$LZ45&gt;=7)*($LZ$5:$LZ45&lt;=9)),$NG$5:$NG45),0)))))</f>
        <v/>
      </c>
      <c r="NI45" s="12">
        <f>NI44+NG45-NH45</f>
        <v/>
      </c>
      <c r="NJ45" s="12">
        <f>IF(ProviderDelay&gt;=1,MQ44*BlendedProvPayEss+MR44*BlendedProvPayPrem+MS44*BlendedProvPayElite+MT44*BlendedProvPayEss+MU44*BlendedProvPayPrem+MV44*BlendedProvPayElite,MQ45*BlendedProvPayEss+MR45*BlendedProvPayPrem+MS45*BlendedProvPayElite+MT45*BlendedProvPayEss+MU45*BlendedProvPayPrem+MV45*BlendedProvPayElite)</f>
        <v/>
      </c>
      <c r="NK45" s="12">
        <f>NC45*PaymentFee</f>
        <v/>
      </c>
      <c r="NL45" s="12">
        <f>MW45*OpsAI</f>
        <v/>
      </c>
      <c r="NM45" s="12">
        <f>MonthlyFixed</f>
        <v/>
      </c>
      <c r="NN45" s="12">
        <f>MG45*ReferralReward</f>
        <v/>
      </c>
      <c r="NO45" s="12">
        <f>ME45</f>
        <v/>
      </c>
      <c r="NP45" s="9">
        <f>NF45-NJ45-NK45-NL45-NM45-NN45-NO45</f>
        <v/>
      </c>
      <c r="NQ45" s="9">
        <f>NQ44+NC45-(NJ45+NK45+NL45+NM45+NN45+NO45+NH45)</f>
        <v/>
      </c>
      <c r="NR45" s="12">
        <f>IF(MW45&gt;0,MX45/MW45,0)</f>
        <v/>
      </c>
      <c r="NS45" s="11">
        <f>IF(MW44&gt;0,MAX(0,(MW44+MH45-MW45)/MW44),0)</f>
        <v/>
      </c>
      <c r="NU45" s="12" t="n">
        <v>41</v>
      </c>
      <c r="NV45" s="12">
        <f>MOD(NU45-1+LaunchMonth-1,12)+1</f>
        <v/>
      </c>
      <c r="NW45" s="12">
        <f>INT((NU45-1+LaunchMonth-1)/12)+1</f>
        <v/>
      </c>
      <c r="NX45" s="12">
        <f>VLOOKUP(NV45,SeasonTable,2,FALSE)</f>
        <v/>
      </c>
      <c r="NY45" s="12">
        <f>(1+InflationRate)^INT((NU45-1)/12)</f>
        <v/>
      </c>
      <c r="NZ45" s="11">
        <f>'Sens - Churn'!$A$18*VLOOKUP(NV45,ChurnSeasonTable,4,FALSE)</f>
        <v/>
      </c>
      <c r="OA45" s="12">
        <f>MIN(MAX(MktMin19plus,OY44*MktPct19plus),MAX(0,PM44-CashBuffer))</f>
        <v/>
      </c>
      <c r="OB45" s="12">
        <f>IF(OA45&gt;0,MAX(1,ROUND(OA45/CAC*NX45,0)),0)</f>
        <v/>
      </c>
      <c r="OC45" s="12">
        <f>IF(OB45&gt;0,ROUND(OB45*ReferralMix/(1-ReferralMix),0),0)</f>
        <v/>
      </c>
      <c r="OD45" s="12">
        <f>OB45+OC45</f>
        <v/>
      </c>
      <c r="OE45" s="12">
        <f>ROUND(OD45*(1-AnnualMix),0)</f>
        <v/>
      </c>
      <c r="OF45" s="12">
        <f>OD45-OE45</f>
        <v/>
      </c>
      <c r="OG45" s="12">
        <f>ROUND(OE45*EssentialMix,0)</f>
        <v/>
      </c>
      <c r="OH45" s="12">
        <f>ROUND(OE45*PremiumMix,0)</f>
        <v/>
      </c>
      <c r="OI45" s="12">
        <f>OE45-OG45-OH45</f>
        <v/>
      </c>
      <c r="OJ45" s="12">
        <f>ROUND(OF45*EssentialMix,0)</f>
        <v/>
      </c>
      <c r="OK45" s="12">
        <f>ROUND(OF45*PremiumMix,0)</f>
        <v/>
      </c>
      <c r="OL45" s="12">
        <f>OF45-OJ45-OK45</f>
        <v/>
      </c>
      <c r="OM45" s="12">
        <f>OG45+OG44+OG43+MAX(0,OM44-OG44-OG43)*(1-NZ45)</f>
        <v/>
      </c>
      <c r="ON45" s="12">
        <f>OH45+OH44+OH43+MAX(0,ON44-OH44-OH43)*(1-NZ45)</f>
        <v/>
      </c>
      <c r="OO45" s="12">
        <f>OI45+OI44+OI43+MAX(0,OO44-OI44-OI43)*(1-NZ45)</f>
        <v/>
      </c>
      <c r="OP45" s="12">
        <f>OP44+OJ45-OJ33*(AnnualChurn*VLOOKUP(NV45,ChurnSeasonTable,4,FALSE))*POWER(1-(AnnualChurn*VLOOKUP(NV45,ChurnSeasonTable,4,FALSE)),0)+OJ21*(AnnualChurn*VLOOKUP(NV45,ChurnSeasonTable,4,FALSE))*POWER(1-(AnnualChurn*VLOOKUP(NV45,ChurnSeasonTable,4,FALSE)),1)+OJ9*(AnnualChurn*VLOOKUP(NV45,ChurnSeasonTable,4,FALSE))*POWER(1-(AnnualChurn*VLOOKUP(NV45,ChurnSeasonTable,4,FALSE)),2)</f>
        <v/>
      </c>
      <c r="OQ45" s="12">
        <f>OQ44+OK45-OK33*(AnnualChurn*VLOOKUP(NV45,ChurnSeasonTable,4,FALSE))*POWER(1-(AnnualChurn*VLOOKUP(NV45,ChurnSeasonTable,4,FALSE)),0)+OK21*(AnnualChurn*VLOOKUP(NV45,ChurnSeasonTable,4,FALSE))*POWER(1-(AnnualChurn*VLOOKUP(NV45,ChurnSeasonTable,4,FALSE)),1)+OK9*(AnnualChurn*VLOOKUP(NV45,ChurnSeasonTable,4,FALSE))*POWER(1-(AnnualChurn*VLOOKUP(NV45,ChurnSeasonTable,4,FALSE)),2)</f>
        <v/>
      </c>
      <c r="OR45" s="12">
        <f>OR44+OL45-OL33*(AnnualChurn*VLOOKUP(NV45,ChurnSeasonTable,4,FALSE))*POWER(1-(AnnualChurn*VLOOKUP(NV45,ChurnSeasonTable,4,FALSE)),0)+OL21*(AnnualChurn*VLOOKUP(NV45,ChurnSeasonTable,4,FALSE))*POWER(1-(AnnualChurn*VLOOKUP(NV45,ChurnSeasonTable,4,FALSE)),1)+OL9*(AnnualChurn*VLOOKUP(NV45,ChurnSeasonTable,4,FALSE))*POWER(1-(AnnualChurn*VLOOKUP(NV45,ChurnSeasonTable,4,FALSE)),2)</f>
        <v/>
      </c>
      <c r="OS45" s="12">
        <f>OM45+ON45+OO45+OP45+OQ45+OR45</f>
        <v/>
      </c>
      <c r="OT45" s="9">
        <f>OM45*BlendedPriceEssMonthly*NY45+ON45*BlendedPricePremMonthly*NY45+OO45*BlendedPriceEliteMonthly*NY45+OP45*BlendedPriceEssAnnual*NY45/12+OQ45*BlendedPricePremAnnual*NY45/12+OR45*BlendedPriceEliteAnnual*NY45/12</f>
        <v/>
      </c>
      <c r="OU45" s="9">
        <f>OT45*12</f>
        <v/>
      </c>
      <c r="OV45" s="12">
        <f>OM45*BlendedPriceEssMonthly*NY45+ON45*BlendedPricePremMonthly*NY45+OO45*BlendedPriceEliteMonthly*NY45</f>
        <v/>
      </c>
      <c r="OW45" s="12">
        <f>OJ45*BlendedPriceEssAnnual*NY45+OK45*BlendedPricePremAnnual*NY45+OL45*BlendedPriceEliteAnnual*NY45</f>
        <v/>
      </c>
      <c r="OX45" s="12">
        <f>OJ33*POWER(1-(AnnualChurn*VLOOKUP(NV45,ChurnSeasonTable,4,FALSE)),1)*BlendedPriceEssAnnual*NY45+OJ21*POWER(1-(AnnualChurn*VLOOKUP(NV45,ChurnSeasonTable,4,FALSE)),2)*BlendedPriceEssAnnual*NY45+OJ9*POWER(1-(AnnualChurn*VLOOKUP(NV45,ChurnSeasonTable,4,FALSE)),3)*BlendedPriceEssAnnual*NY45+OK33*POWER(1-(AnnualChurn*VLOOKUP(NV45,ChurnSeasonTable,4,FALSE)),1)*BlendedPricePremAnnual*NY45+OK21*POWER(1-(AnnualChurn*VLOOKUP(NV45,ChurnSeasonTable,4,FALSE)),2)*BlendedPricePremAnnual*NY45+OK9*POWER(1-(AnnualChurn*VLOOKUP(NV45,ChurnSeasonTable,4,FALSE)),3)*BlendedPricePremAnnual*NY45+OL33*POWER(1-(AnnualChurn*VLOOKUP(NV45,ChurnSeasonTable,4,FALSE)),1)*BlendedPriceEliteAnnual*NY45+OL21*POWER(1-(AnnualChurn*VLOOKUP(NV45,ChurnSeasonTable,4,FALSE)),2)*BlendedPriceEliteAnnual*NY45+OL9*POWER(1-(AnnualChurn*VLOOKUP(NV45,ChurnSeasonTable,4,FALSE)),3)*BlendedPriceEliteAnnual*NY45</f>
        <v/>
      </c>
      <c r="OY45" s="9">
        <f>OV45+OW45+OX45</f>
        <v/>
      </c>
      <c r="OZ45" s="12">
        <f>SUM(OY34:OY45)</f>
        <v/>
      </c>
      <c r="PA45" s="12">
        <f>OR(PA44,IF(VATAgentMode,SUM($OY34:$OY45)-SUM($PF34:$PF45)&gt;=VATThreshold,SUM($OY34:$OY45)&gt;=VATThreshold))</f>
        <v/>
      </c>
      <c r="PB45" s="9">
        <f>IF(PA45,IF(VATAgentMode,OY45-((OY45-PF45)-(OY45-PF45)/(1+VATRate)),OY45/(1+VATRate)),OY45)</f>
        <v/>
      </c>
      <c r="PC45" s="12">
        <f>OY45-PB45</f>
        <v/>
      </c>
      <c r="PD45" s="12">
        <f>IF(PA45=0,0,IF(NV45=1,SUMPRODUCT(--(($NW$5:$NW45=$NW45-1)*($NV$5:$NV45&gt;=10)*($NV$5:$NV45&lt;=12)),$PC$5:$PC45),IF(NV45=4,SUMPRODUCT(--(($NW$5:$NW45=$NW45)*($NV$5:$NV45&gt;=1)*($NV$5:$NV45&lt;=3)),$PC$5:$PC45),IF(NV45=7,SUMPRODUCT(--(($NW$5:$NW45=$NW45)*($NV$5:$NV45&gt;=4)*($NV$5:$NV45&lt;=6)),$PC$5:$PC45),IF(NV45=10,SUMPRODUCT(--(($NW$5:$NW45=$NW45)*($NV$5:$NV45&gt;=7)*($NV$5:$NV45&lt;=9)),$PC$5:$PC45),0)))))</f>
        <v/>
      </c>
      <c r="PE45" s="12">
        <f>PE44+PC45-PD45</f>
        <v/>
      </c>
      <c r="PF45" s="12">
        <f>IF(ProviderDelay&gt;=1,OM44*BlendedProvPayEss+ON44*BlendedProvPayPrem+OO44*BlendedProvPayElite+OP44*BlendedProvPayEss+OQ44*BlendedProvPayPrem+OR44*BlendedProvPayElite,OM45*BlendedProvPayEss+ON45*BlendedProvPayPrem+OO45*BlendedProvPayElite+OP45*BlendedProvPayEss+OQ45*BlendedProvPayPrem+OR45*BlendedProvPayElite)</f>
        <v/>
      </c>
      <c r="PG45" s="12">
        <f>OY45*PaymentFee</f>
        <v/>
      </c>
      <c r="PH45" s="12">
        <f>OS45*OpsAI</f>
        <v/>
      </c>
      <c r="PI45" s="12">
        <f>MonthlyFixed</f>
        <v/>
      </c>
      <c r="PJ45" s="12">
        <f>OC45*ReferralReward</f>
        <v/>
      </c>
      <c r="PK45" s="12">
        <f>OA45</f>
        <v/>
      </c>
      <c r="PL45" s="9">
        <f>PB45-PF45-PG45-PH45-PI45-PJ45-PK45</f>
        <v/>
      </c>
      <c r="PM45" s="9">
        <f>PM44+OY45-(PF45+PG45+PH45+PI45+PJ45+PK45+PD45)</f>
        <v/>
      </c>
      <c r="PN45" s="12">
        <f>IF(OS45&gt;0,OT45/OS45,0)</f>
        <v/>
      </c>
      <c r="PO45" s="11">
        <f>IF(OS44&gt;0,MAX(0,(OS44+OD45-OS45)/OS44),0)</f>
        <v/>
      </c>
      <c r="PQ45" s="12" t="n">
        <v>41</v>
      </c>
      <c r="PR45" s="12">
        <f>MOD(PQ45-1+LaunchMonth-1,12)+1</f>
        <v/>
      </c>
      <c r="PS45" s="12">
        <f>INT((PQ45-1+LaunchMonth-1)/12)+1</f>
        <v/>
      </c>
      <c r="PT45" s="12">
        <f>VLOOKUP(PR45,SeasonTable,2,FALSE)</f>
        <v/>
      </c>
      <c r="PU45" s="12">
        <f>(1+InflationRate)^INT((PQ45-1)/12)</f>
        <v/>
      </c>
      <c r="PV45" s="11">
        <f>'Sens - Churn'!$A$19*VLOOKUP(PR45,ChurnSeasonTable,4,FALSE)</f>
        <v/>
      </c>
      <c r="PW45" s="12">
        <f>MIN(MAX(MktMin19plus,QU44*MktPct19plus),MAX(0,RI44-CashBuffer))</f>
        <v/>
      </c>
      <c r="PX45" s="12">
        <f>IF(PW45&gt;0,MAX(1,ROUND(PW45/CAC*PT45,0)),0)</f>
        <v/>
      </c>
      <c r="PY45" s="12">
        <f>IF(PX45&gt;0,ROUND(PX45*ReferralMix/(1-ReferralMix),0),0)</f>
        <v/>
      </c>
      <c r="PZ45" s="12">
        <f>PX45+PY45</f>
        <v/>
      </c>
      <c r="QA45" s="12">
        <f>ROUND(PZ45*(1-AnnualMix),0)</f>
        <v/>
      </c>
      <c r="QB45" s="12">
        <f>PZ45-QA45</f>
        <v/>
      </c>
      <c r="QC45" s="12">
        <f>ROUND(QA45*EssentialMix,0)</f>
        <v/>
      </c>
      <c r="QD45" s="12">
        <f>ROUND(QA45*PremiumMix,0)</f>
        <v/>
      </c>
      <c r="QE45" s="12">
        <f>QA45-QC45-QD45</f>
        <v/>
      </c>
      <c r="QF45" s="12">
        <f>ROUND(QB45*EssentialMix,0)</f>
        <v/>
      </c>
      <c r="QG45" s="12">
        <f>ROUND(QB45*PremiumMix,0)</f>
        <v/>
      </c>
      <c r="QH45" s="12">
        <f>QB45-QF45-QG45</f>
        <v/>
      </c>
      <c r="QI45" s="12">
        <f>QC45+QC44+QC43+MAX(0,QI44-QC44-QC43)*(1-PV45)</f>
        <v/>
      </c>
      <c r="QJ45" s="12">
        <f>QD45+QD44+QD43+MAX(0,QJ44-QD44-QD43)*(1-PV45)</f>
        <v/>
      </c>
      <c r="QK45" s="12">
        <f>QE45+QE44+QE43+MAX(0,QK44-QE44-QE43)*(1-PV45)</f>
        <v/>
      </c>
      <c r="QL45" s="12">
        <f>QL44+QF45-QF33*(AnnualChurn*VLOOKUP(PR45,ChurnSeasonTable,4,FALSE))*POWER(1-(AnnualChurn*VLOOKUP(PR45,ChurnSeasonTable,4,FALSE)),0)+QF21*(AnnualChurn*VLOOKUP(PR45,ChurnSeasonTable,4,FALSE))*POWER(1-(AnnualChurn*VLOOKUP(PR45,ChurnSeasonTable,4,FALSE)),1)+QF9*(AnnualChurn*VLOOKUP(PR45,ChurnSeasonTable,4,FALSE))*POWER(1-(AnnualChurn*VLOOKUP(PR45,ChurnSeasonTable,4,FALSE)),2)</f>
        <v/>
      </c>
      <c r="QM45" s="12">
        <f>QM44+QG45-QG33*(AnnualChurn*VLOOKUP(PR45,ChurnSeasonTable,4,FALSE))*POWER(1-(AnnualChurn*VLOOKUP(PR45,ChurnSeasonTable,4,FALSE)),0)+QG21*(AnnualChurn*VLOOKUP(PR45,ChurnSeasonTable,4,FALSE))*POWER(1-(AnnualChurn*VLOOKUP(PR45,ChurnSeasonTable,4,FALSE)),1)+QG9*(AnnualChurn*VLOOKUP(PR45,ChurnSeasonTable,4,FALSE))*POWER(1-(AnnualChurn*VLOOKUP(PR45,ChurnSeasonTable,4,FALSE)),2)</f>
        <v/>
      </c>
      <c r="QN45" s="12">
        <f>QN44+QH45-QH33*(AnnualChurn*VLOOKUP(PR45,ChurnSeasonTable,4,FALSE))*POWER(1-(AnnualChurn*VLOOKUP(PR45,ChurnSeasonTable,4,FALSE)),0)+QH21*(AnnualChurn*VLOOKUP(PR45,ChurnSeasonTable,4,FALSE))*POWER(1-(AnnualChurn*VLOOKUP(PR45,ChurnSeasonTable,4,FALSE)),1)+QH9*(AnnualChurn*VLOOKUP(PR45,ChurnSeasonTable,4,FALSE))*POWER(1-(AnnualChurn*VLOOKUP(PR45,ChurnSeasonTable,4,FALSE)),2)</f>
        <v/>
      </c>
      <c r="QO45" s="12">
        <f>QI45+QJ45+QK45+QL45+QM45+QN45</f>
        <v/>
      </c>
      <c r="QP45" s="9">
        <f>QI45*BlendedPriceEssMonthly*PU45+QJ45*BlendedPricePremMonthly*PU45+QK45*BlendedPriceEliteMonthly*PU45+QL45*BlendedPriceEssAnnual*PU45/12+QM45*BlendedPricePremAnnual*PU45/12+QN45*BlendedPriceEliteAnnual*PU45/12</f>
        <v/>
      </c>
      <c r="QQ45" s="9">
        <f>QP45*12</f>
        <v/>
      </c>
      <c r="QR45" s="12">
        <f>QI45*BlendedPriceEssMonthly*PU45+QJ45*BlendedPricePremMonthly*PU45+QK45*BlendedPriceEliteMonthly*PU45</f>
        <v/>
      </c>
      <c r="QS45" s="12">
        <f>QF45*BlendedPriceEssAnnual*PU45+QG45*BlendedPricePremAnnual*PU45+QH45*BlendedPriceEliteAnnual*PU45</f>
        <v/>
      </c>
      <c r="QT45" s="12">
        <f>QF33*POWER(1-(AnnualChurn*VLOOKUP(PR45,ChurnSeasonTable,4,FALSE)),1)*BlendedPriceEssAnnual*PU45+QF21*POWER(1-(AnnualChurn*VLOOKUP(PR45,ChurnSeasonTable,4,FALSE)),2)*BlendedPriceEssAnnual*PU45+QF9*POWER(1-(AnnualChurn*VLOOKUP(PR45,ChurnSeasonTable,4,FALSE)),3)*BlendedPriceEssAnnual*PU45+QG33*POWER(1-(AnnualChurn*VLOOKUP(PR45,ChurnSeasonTable,4,FALSE)),1)*BlendedPricePremAnnual*PU45+QG21*POWER(1-(AnnualChurn*VLOOKUP(PR45,ChurnSeasonTable,4,FALSE)),2)*BlendedPricePremAnnual*PU45+QG9*POWER(1-(AnnualChurn*VLOOKUP(PR45,ChurnSeasonTable,4,FALSE)),3)*BlendedPricePremAnnual*PU45+QH33*POWER(1-(AnnualChurn*VLOOKUP(PR45,ChurnSeasonTable,4,FALSE)),1)*BlendedPriceEliteAnnual*PU45+QH21*POWER(1-(AnnualChurn*VLOOKUP(PR45,ChurnSeasonTable,4,FALSE)),2)*BlendedPriceEliteAnnual*PU45+QH9*POWER(1-(AnnualChurn*VLOOKUP(PR45,ChurnSeasonTable,4,FALSE)),3)*BlendedPriceEliteAnnual*PU45</f>
        <v/>
      </c>
      <c r="QU45" s="9">
        <f>QR45+QS45+QT45</f>
        <v/>
      </c>
      <c r="QV45" s="12">
        <f>SUM(QU34:QU45)</f>
        <v/>
      </c>
      <c r="QW45" s="12">
        <f>OR(QW44,IF(VATAgentMode,SUM($QU34:$QU45)-SUM($RB34:$RB45)&gt;=VATThreshold,SUM($QU34:$QU45)&gt;=VATThreshold))</f>
        <v/>
      </c>
      <c r="QX45" s="9">
        <f>IF(QW45,IF(VATAgentMode,QU45-((QU45-RB45)-(QU45-RB45)/(1+VATRate)),QU45/(1+VATRate)),QU45)</f>
        <v/>
      </c>
      <c r="QY45" s="12">
        <f>QU45-QX45</f>
        <v/>
      </c>
      <c r="QZ45" s="12">
        <f>IF(QW45=0,0,IF(PR45=1,SUMPRODUCT(--(($PS$5:$PS45=$PS45-1)*($PR$5:$PR45&gt;=10)*($PR$5:$PR45&lt;=12)),$QY$5:$QY45),IF(PR45=4,SUMPRODUCT(--(($PS$5:$PS45=$PS45)*($PR$5:$PR45&gt;=1)*($PR$5:$PR45&lt;=3)),$QY$5:$QY45),IF(PR45=7,SUMPRODUCT(--(($PS$5:$PS45=$PS45)*($PR$5:$PR45&gt;=4)*($PR$5:$PR45&lt;=6)),$QY$5:$QY45),IF(PR45=10,SUMPRODUCT(--(($PS$5:$PS45=$PS45)*($PR$5:$PR45&gt;=7)*($PR$5:$PR45&lt;=9)),$QY$5:$QY45),0)))))</f>
        <v/>
      </c>
      <c r="RA45" s="12">
        <f>RA44+QY45-QZ45</f>
        <v/>
      </c>
      <c r="RB45" s="12">
        <f>IF(ProviderDelay&gt;=1,QI44*BlendedProvPayEss+QJ44*BlendedProvPayPrem+QK44*BlendedProvPayElite+QL44*BlendedProvPayEss+QM44*BlendedProvPayPrem+QN44*BlendedProvPayElite,QI45*BlendedProvPayEss+QJ45*BlendedProvPayPrem+QK45*BlendedProvPayElite+QL45*BlendedProvPayEss+QM45*BlendedProvPayPrem+QN45*BlendedProvPayElite)</f>
        <v/>
      </c>
      <c r="RC45" s="12">
        <f>QU45*PaymentFee</f>
        <v/>
      </c>
      <c r="RD45" s="12">
        <f>QO45*OpsAI</f>
        <v/>
      </c>
      <c r="RE45" s="12">
        <f>MonthlyFixed</f>
        <v/>
      </c>
      <c r="RF45" s="12">
        <f>PY45*ReferralReward</f>
        <v/>
      </c>
      <c r="RG45" s="12">
        <f>PW45</f>
        <v/>
      </c>
      <c r="RH45" s="9">
        <f>QX45-RB45-RC45-RD45-RE45-RF45-RG45</f>
        <v/>
      </c>
      <c r="RI45" s="9">
        <f>RI44+QU45-(RB45+RC45+RD45+RE45+RF45+RG45+QZ45)</f>
        <v/>
      </c>
      <c r="RJ45" s="12">
        <f>IF(QO45&gt;0,QP45/QO45,0)</f>
        <v/>
      </c>
      <c r="RK45" s="11">
        <f>IF(QO44&gt;0,MAX(0,(QO44+PZ45-QO45)/QO44),0)</f>
        <v/>
      </c>
      <c r="RM45" s="12" t="n">
        <v>41</v>
      </c>
      <c r="RN45" s="12">
        <f>MOD(RM45-1+LaunchMonth-1,12)+1</f>
        <v/>
      </c>
      <c r="RO45" s="12">
        <f>INT((RM45-1+LaunchMonth-1)/12)+1</f>
        <v/>
      </c>
      <c r="RP45" s="12">
        <f>VLOOKUP(RN45,SeasonTable,2,FALSE)</f>
        <v/>
      </c>
      <c r="RQ45" s="12">
        <f>(1+InflationRate)^INT((RM45-1)/12)</f>
        <v/>
      </c>
      <c r="RR45" s="11">
        <f>'Sens - Churn'!$A$20*VLOOKUP(RN45,ChurnSeasonTable,4,FALSE)</f>
        <v/>
      </c>
      <c r="RS45" s="12">
        <f>MIN(MAX(MktMin19plus,SQ44*MktPct19plus),MAX(0,TE44-CashBuffer))</f>
        <v/>
      </c>
      <c r="RT45" s="12">
        <f>IF(RS45&gt;0,MAX(1,ROUND(RS45/CAC*RP45,0)),0)</f>
        <v/>
      </c>
      <c r="RU45" s="12">
        <f>IF(RT45&gt;0,ROUND(RT45*ReferralMix/(1-ReferralMix),0),0)</f>
        <v/>
      </c>
      <c r="RV45" s="12">
        <f>RT45+RU45</f>
        <v/>
      </c>
      <c r="RW45" s="12">
        <f>ROUND(RV45*(1-AnnualMix),0)</f>
        <v/>
      </c>
      <c r="RX45" s="12">
        <f>RV45-RW45</f>
        <v/>
      </c>
      <c r="RY45" s="12">
        <f>ROUND(RW45*EssentialMix,0)</f>
        <v/>
      </c>
      <c r="RZ45" s="12">
        <f>ROUND(RW45*PremiumMix,0)</f>
        <v/>
      </c>
      <c r="SA45" s="12">
        <f>RW45-RY45-RZ45</f>
        <v/>
      </c>
      <c r="SB45" s="12">
        <f>ROUND(RX45*EssentialMix,0)</f>
        <v/>
      </c>
      <c r="SC45" s="12">
        <f>ROUND(RX45*PremiumMix,0)</f>
        <v/>
      </c>
      <c r="SD45" s="12">
        <f>RX45-SB45-SC45</f>
        <v/>
      </c>
      <c r="SE45" s="12">
        <f>RY45+RY44+RY43+MAX(0,SE44-RY44-RY43)*(1-RR45)</f>
        <v/>
      </c>
      <c r="SF45" s="12">
        <f>RZ45+RZ44+RZ43+MAX(0,SF44-RZ44-RZ43)*(1-RR45)</f>
        <v/>
      </c>
      <c r="SG45" s="12">
        <f>SA45+SA44+SA43+MAX(0,SG44-SA44-SA43)*(1-RR45)</f>
        <v/>
      </c>
      <c r="SH45" s="12">
        <f>SH44+SB45-SB33*(AnnualChurn*VLOOKUP(RN45,ChurnSeasonTable,4,FALSE))*POWER(1-(AnnualChurn*VLOOKUP(RN45,ChurnSeasonTable,4,FALSE)),0)+SB21*(AnnualChurn*VLOOKUP(RN45,ChurnSeasonTable,4,FALSE))*POWER(1-(AnnualChurn*VLOOKUP(RN45,ChurnSeasonTable,4,FALSE)),1)+SB9*(AnnualChurn*VLOOKUP(RN45,ChurnSeasonTable,4,FALSE))*POWER(1-(AnnualChurn*VLOOKUP(RN45,ChurnSeasonTable,4,FALSE)),2)</f>
        <v/>
      </c>
      <c r="SI45" s="12">
        <f>SI44+SC45-SC33*(AnnualChurn*VLOOKUP(RN45,ChurnSeasonTable,4,FALSE))*POWER(1-(AnnualChurn*VLOOKUP(RN45,ChurnSeasonTable,4,FALSE)),0)+SC21*(AnnualChurn*VLOOKUP(RN45,ChurnSeasonTable,4,FALSE))*POWER(1-(AnnualChurn*VLOOKUP(RN45,ChurnSeasonTable,4,FALSE)),1)+SC9*(AnnualChurn*VLOOKUP(RN45,ChurnSeasonTable,4,FALSE))*POWER(1-(AnnualChurn*VLOOKUP(RN45,ChurnSeasonTable,4,FALSE)),2)</f>
        <v/>
      </c>
      <c r="SJ45" s="12">
        <f>SJ44+SD45-SD33*(AnnualChurn*VLOOKUP(RN45,ChurnSeasonTable,4,FALSE))*POWER(1-(AnnualChurn*VLOOKUP(RN45,ChurnSeasonTable,4,FALSE)),0)+SD21*(AnnualChurn*VLOOKUP(RN45,ChurnSeasonTable,4,FALSE))*POWER(1-(AnnualChurn*VLOOKUP(RN45,ChurnSeasonTable,4,FALSE)),1)+SD9*(AnnualChurn*VLOOKUP(RN45,ChurnSeasonTable,4,FALSE))*POWER(1-(AnnualChurn*VLOOKUP(RN45,ChurnSeasonTable,4,FALSE)),2)</f>
        <v/>
      </c>
      <c r="SK45" s="12">
        <f>SE45+SF45+SG45+SH45+SI45+SJ45</f>
        <v/>
      </c>
      <c r="SL45" s="9">
        <f>SE45*BlendedPriceEssMonthly*RQ45+SF45*BlendedPricePremMonthly*RQ45+SG45*BlendedPriceEliteMonthly*RQ45+SH45*BlendedPriceEssAnnual*RQ45/12+SI45*BlendedPricePremAnnual*RQ45/12+SJ45*BlendedPriceEliteAnnual*RQ45/12</f>
        <v/>
      </c>
      <c r="SM45" s="9">
        <f>SL45*12</f>
        <v/>
      </c>
      <c r="SN45" s="12">
        <f>SE45*BlendedPriceEssMonthly*RQ45+SF45*BlendedPricePremMonthly*RQ45+SG45*BlendedPriceEliteMonthly*RQ45</f>
        <v/>
      </c>
      <c r="SO45" s="12">
        <f>SB45*BlendedPriceEssAnnual*RQ45+SC45*BlendedPricePremAnnual*RQ45+SD45*BlendedPriceEliteAnnual*RQ45</f>
        <v/>
      </c>
      <c r="SP45" s="12">
        <f>SB33*POWER(1-(AnnualChurn*VLOOKUP(RN45,ChurnSeasonTable,4,FALSE)),1)*BlendedPriceEssAnnual*RQ45+SB21*POWER(1-(AnnualChurn*VLOOKUP(RN45,ChurnSeasonTable,4,FALSE)),2)*BlendedPriceEssAnnual*RQ45+SB9*POWER(1-(AnnualChurn*VLOOKUP(RN45,ChurnSeasonTable,4,FALSE)),3)*BlendedPriceEssAnnual*RQ45+SC33*POWER(1-(AnnualChurn*VLOOKUP(RN45,ChurnSeasonTable,4,FALSE)),1)*BlendedPricePremAnnual*RQ45+SC21*POWER(1-(AnnualChurn*VLOOKUP(RN45,ChurnSeasonTable,4,FALSE)),2)*BlendedPricePremAnnual*RQ45+SC9*POWER(1-(AnnualChurn*VLOOKUP(RN45,ChurnSeasonTable,4,FALSE)),3)*BlendedPricePremAnnual*RQ45+SD33*POWER(1-(AnnualChurn*VLOOKUP(RN45,ChurnSeasonTable,4,FALSE)),1)*BlendedPriceEliteAnnual*RQ45+SD21*POWER(1-(AnnualChurn*VLOOKUP(RN45,ChurnSeasonTable,4,FALSE)),2)*BlendedPriceEliteAnnual*RQ45+SD9*POWER(1-(AnnualChurn*VLOOKUP(RN45,ChurnSeasonTable,4,FALSE)),3)*BlendedPriceEliteAnnual*RQ45</f>
        <v/>
      </c>
      <c r="SQ45" s="9">
        <f>SN45+SO45+SP45</f>
        <v/>
      </c>
      <c r="SR45" s="12">
        <f>SUM(SQ34:SQ45)</f>
        <v/>
      </c>
      <c r="SS45" s="12">
        <f>OR(SS44,IF(VATAgentMode,SUM($SQ34:$SQ45)-SUM($SX34:$SX45)&gt;=VATThreshold,SUM($SQ34:$SQ45)&gt;=VATThreshold))</f>
        <v/>
      </c>
      <c r="ST45" s="9">
        <f>IF(SS45,IF(VATAgentMode,SQ45-((SQ45-SX45)-(SQ45-SX45)/(1+VATRate)),SQ45/(1+VATRate)),SQ45)</f>
        <v/>
      </c>
      <c r="SU45" s="12">
        <f>SQ45-ST45</f>
        <v/>
      </c>
      <c r="SV45" s="12">
        <f>IF(SS45=0,0,IF(RN45=1,SUMPRODUCT(--(($RO$5:$RO45=$RO45-1)*($RN$5:$RN45&gt;=10)*($RN$5:$RN45&lt;=12)),$SU$5:$SU45),IF(RN45=4,SUMPRODUCT(--(($RO$5:$RO45=$RO45)*($RN$5:$RN45&gt;=1)*($RN$5:$RN45&lt;=3)),$SU$5:$SU45),IF(RN45=7,SUMPRODUCT(--(($RO$5:$RO45=$RO45)*($RN$5:$RN45&gt;=4)*($RN$5:$RN45&lt;=6)),$SU$5:$SU45),IF(RN45=10,SUMPRODUCT(--(($RO$5:$RO45=$RO45)*($RN$5:$RN45&gt;=7)*($RN$5:$RN45&lt;=9)),$SU$5:$SU45),0)))))</f>
        <v/>
      </c>
      <c r="SW45" s="12">
        <f>SW44+SU45-SV45</f>
        <v/>
      </c>
      <c r="SX45" s="12">
        <f>IF(ProviderDelay&gt;=1,SE44*BlendedProvPayEss+SF44*BlendedProvPayPrem+SG44*BlendedProvPayElite+SH44*BlendedProvPayEss+SI44*BlendedProvPayPrem+SJ44*BlendedProvPayElite,SE45*BlendedProvPayEss+SF45*BlendedProvPayPrem+SG45*BlendedProvPayElite+SH45*BlendedProvPayEss+SI45*BlendedProvPayPrem+SJ45*BlendedProvPayElite)</f>
        <v/>
      </c>
      <c r="SY45" s="12">
        <f>SQ45*PaymentFee</f>
        <v/>
      </c>
      <c r="SZ45" s="12">
        <f>SK45*OpsAI</f>
        <v/>
      </c>
      <c r="TA45" s="12">
        <f>MonthlyFixed</f>
        <v/>
      </c>
      <c r="TB45" s="12">
        <f>RU45*ReferralReward</f>
        <v/>
      </c>
      <c r="TC45" s="12">
        <f>RS45</f>
        <v/>
      </c>
      <c r="TD45" s="9">
        <f>ST45-SX45-SY45-SZ45-TA45-TB45-TC45</f>
        <v/>
      </c>
      <c r="TE45" s="9">
        <f>TE44+SQ45-(SX45+SY45+SZ45+TA45+TB45+TC45+SV45)</f>
        <v/>
      </c>
      <c r="TF45" s="12">
        <f>IF(SK45&gt;0,SL45/SK45,0)</f>
        <v/>
      </c>
      <c r="TG45" s="11">
        <f>IF(SK44&gt;0,MAX(0,(SK44+RV45-SK45)/SK44),0)</f>
        <v/>
      </c>
      <c r="TI45" s="12" t="n">
        <v>41</v>
      </c>
      <c r="TJ45" s="12">
        <f>MOD(TI45-1+LaunchMonth-1,12)+1</f>
        <v/>
      </c>
      <c r="TK45" s="12">
        <f>INT((TI45-1+LaunchMonth-1)/12)+1</f>
        <v/>
      </c>
      <c r="TL45" s="12">
        <f>VLOOKUP(TJ45,SeasonTable,2,FALSE)</f>
        <v/>
      </c>
      <c r="TM45" s="12">
        <f>(1+InflationRate)^INT((TI45-1)/12)</f>
        <v/>
      </c>
      <c r="TN45" s="11">
        <f>'Sens - Churn'!$A$21*VLOOKUP(TJ45,ChurnSeasonTable,4,FALSE)</f>
        <v/>
      </c>
      <c r="TO45" s="12">
        <f>MIN(MAX(MktMin19plus,UM44*MktPct19plus),MAX(0,VA44-CashBuffer))</f>
        <v/>
      </c>
      <c r="TP45" s="12">
        <f>IF(TO45&gt;0,MAX(1,ROUND(TO45/CAC*TL45,0)),0)</f>
        <v/>
      </c>
      <c r="TQ45" s="12">
        <f>IF(TP45&gt;0,ROUND(TP45*ReferralMix/(1-ReferralMix),0),0)</f>
        <v/>
      </c>
      <c r="TR45" s="12">
        <f>TP45+TQ45</f>
        <v/>
      </c>
      <c r="TS45" s="12">
        <f>ROUND(TR45*(1-AnnualMix),0)</f>
        <v/>
      </c>
      <c r="TT45" s="12">
        <f>TR45-TS45</f>
        <v/>
      </c>
      <c r="TU45" s="12">
        <f>ROUND(TS45*EssentialMix,0)</f>
        <v/>
      </c>
      <c r="TV45" s="12">
        <f>ROUND(TS45*PremiumMix,0)</f>
        <v/>
      </c>
      <c r="TW45" s="12">
        <f>TS45-TU45-TV45</f>
        <v/>
      </c>
      <c r="TX45" s="12">
        <f>ROUND(TT45*EssentialMix,0)</f>
        <v/>
      </c>
      <c r="TY45" s="12">
        <f>ROUND(TT45*PremiumMix,0)</f>
        <v/>
      </c>
      <c r="TZ45" s="12">
        <f>TT45-TX45-TY45</f>
        <v/>
      </c>
      <c r="UA45" s="12">
        <f>TU45+TU44+TU43+MAX(0,UA44-TU44-TU43)*(1-TN45)</f>
        <v/>
      </c>
      <c r="UB45" s="12">
        <f>TV45+TV44+TV43+MAX(0,UB44-TV44-TV43)*(1-TN45)</f>
        <v/>
      </c>
      <c r="UC45" s="12">
        <f>TW45+TW44+TW43+MAX(0,UC44-TW44-TW43)*(1-TN45)</f>
        <v/>
      </c>
      <c r="UD45" s="12">
        <f>UD44+TX45-TX33*(AnnualChurn*VLOOKUP(TJ45,ChurnSeasonTable,4,FALSE))*POWER(1-(AnnualChurn*VLOOKUP(TJ45,ChurnSeasonTable,4,FALSE)),0)+TX21*(AnnualChurn*VLOOKUP(TJ45,ChurnSeasonTable,4,FALSE))*POWER(1-(AnnualChurn*VLOOKUP(TJ45,ChurnSeasonTable,4,FALSE)),1)+TX9*(AnnualChurn*VLOOKUP(TJ45,ChurnSeasonTable,4,FALSE))*POWER(1-(AnnualChurn*VLOOKUP(TJ45,ChurnSeasonTable,4,FALSE)),2)</f>
        <v/>
      </c>
      <c r="UE45" s="12">
        <f>UE44+TY45-TY33*(AnnualChurn*VLOOKUP(TJ45,ChurnSeasonTable,4,FALSE))*POWER(1-(AnnualChurn*VLOOKUP(TJ45,ChurnSeasonTable,4,FALSE)),0)+TY21*(AnnualChurn*VLOOKUP(TJ45,ChurnSeasonTable,4,FALSE))*POWER(1-(AnnualChurn*VLOOKUP(TJ45,ChurnSeasonTable,4,FALSE)),1)+TY9*(AnnualChurn*VLOOKUP(TJ45,ChurnSeasonTable,4,FALSE))*POWER(1-(AnnualChurn*VLOOKUP(TJ45,ChurnSeasonTable,4,FALSE)),2)</f>
        <v/>
      </c>
      <c r="UF45" s="12">
        <f>UF44+TZ45-TZ33*(AnnualChurn*VLOOKUP(TJ45,ChurnSeasonTable,4,FALSE))*POWER(1-(AnnualChurn*VLOOKUP(TJ45,ChurnSeasonTable,4,FALSE)),0)+TZ21*(AnnualChurn*VLOOKUP(TJ45,ChurnSeasonTable,4,FALSE))*POWER(1-(AnnualChurn*VLOOKUP(TJ45,ChurnSeasonTable,4,FALSE)),1)+TZ9*(AnnualChurn*VLOOKUP(TJ45,ChurnSeasonTable,4,FALSE))*POWER(1-(AnnualChurn*VLOOKUP(TJ45,ChurnSeasonTable,4,FALSE)),2)</f>
        <v/>
      </c>
      <c r="UG45" s="12">
        <f>UA45+UB45+UC45+UD45+UE45+UF45</f>
        <v/>
      </c>
      <c r="UH45" s="9">
        <f>UA45*BlendedPriceEssMonthly*TM45+UB45*BlendedPricePremMonthly*TM45+UC45*BlendedPriceEliteMonthly*TM45+UD45*BlendedPriceEssAnnual*TM45/12+UE45*BlendedPricePremAnnual*TM45/12+UF45*BlendedPriceEliteAnnual*TM45/12</f>
        <v/>
      </c>
      <c r="UI45" s="9">
        <f>UH45*12</f>
        <v/>
      </c>
      <c r="UJ45" s="12">
        <f>UA45*BlendedPriceEssMonthly*TM45+UB45*BlendedPricePremMonthly*TM45+UC45*BlendedPriceEliteMonthly*TM45</f>
        <v/>
      </c>
      <c r="UK45" s="12">
        <f>TX45*BlendedPriceEssAnnual*TM45+TY45*BlendedPricePremAnnual*TM45+TZ45*BlendedPriceEliteAnnual*TM45</f>
        <v/>
      </c>
      <c r="UL45" s="12">
        <f>TX33*POWER(1-(AnnualChurn*VLOOKUP(TJ45,ChurnSeasonTable,4,FALSE)),1)*BlendedPriceEssAnnual*TM45+TX21*POWER(1-(AnnualChurn*VLOOKUP(TJ45,ChurnSeasonTable,4,FALSE)),2)*BlendedPriceEssAnnual*TM45+TX9*POWER(1-(AnnualChurn*VLOOKUP(TJ45,ChurnSeasonTable,4,FALSE)),3)*BlendedPriceEssAnnual*TM45+TY33*POWER(1-(AnnualChurn*VLOOKUP(TJ45,ChurnSeasonTable,4,FALSE)),1)*BlendedPricePremAnnual*TM45+TY21*POWER(1-(AnnualChurn*VLOOKUP(TJ45,ChurnSeasonTable,4,FALSE)),2)*BlendedPricePremAnnual*TM45+TY9*POWER(1-(AnnualChurn*VLOOKUP(TJ45,ChurnSeasonTable,4,FALSE)),3)*BlendedPricePremAnnual*TM45+TZ33*POWER(1-(AnnualChurn*VLOOKUP(TJ45,ChurnSeasonTable,4,FALSE)),1)*BlendedPriceEliteAnnual*TM45+TZ21*POWER(1-(AnnualChurn*VLOOKUP(TJ45,ChurnSeasonTable,4,FALSE)),2)*BlendedPriceEliteAnnual*TM45+TZ9*POWER(1-(AnnualChurn*VLOOKUP(TJ45,ChurnSeasonTable,4,FALSE)),3)*BlendedPriceEliteAnnual*TM45</f>
        <v/>
      </c>
      <c r="UM45" s="9">
        <f>UJ45+UK45+UL45</f>
        <v/>
      </c>
      <c r="UN45" s="12">
        <f>SUM(UM34:UM45)</f>
        <v/>
      </c>
      <c r="UO45" s="12">
        <f>OR(UO44,IF(VATAgentMode,SUM($UM34:$UM45)-SUM($UT34:$UT45)&gt;=VATThreshold,SUM($UM34:$UM45)&gt;=VATThreshold))</f>
        <v/>
      </c>
      <c r="UP45" s="9">
        <f>IF(UO45,IF(VATAgentMode,UM45-((UM45-UT45)-(UM45-UT45)/(1+VATRate)),UM45/(1+VATRate)),UM45)</f>
        <v/>
      </c>
      <c r="UQ45" s="12">
        <f>UM45-UP45</f>
        <v/>
      </c>
      <c r="UR45" s="12">
        <f>IF(UO45=0,0,IF(TJ45=1,SUMPRODUCT(--(($TK$5:$TK45=$TK45-1)*($TJ$5:$TJ45&gt;=10)*($TJ$5:$TJ45&lt;=12)),$UQ$5:$UQ45),IF(TJ45=4,SUMPRODUCT(--(($TK$5:$TK45=$TK45)*($TJ$5:$TJ45&gt;=1)*($TJ$5:$TJ45&lt;=3)),$UQ$5:$UQ45),IF(TJ45=7,SUMPRODUCT(--(($TK$5:$TK45=$TK45)*($TJ$5:$TJ45&gt;=4)*($TJ$5:$TJ45&lt;=6)),$UQ$5:$UQ45),IF(TJ45=10,SUMPRODUCT(--(($TK$5:$TK45=$TK45)*($TJ$5:$TJ45&gt;=7)*($TJ$5:$TJ45&lt;=9)),$UQ$5:$UQ45),0)))))</f>
        <v/>
      </c>
      <c r="US45" s="12">
        <f>US44+UQ45-UR45</f>
        <v/>
      </c>
      <c r="UT45" s="12">
        <f>IF(ProviderDelay&gt;=1,UA44*BlendedProvPayEss+UB44*BlendedProvPayPrem+UC44*BlendedProvPayElite+UD44*BlendedProvPayEss+UE44*BlendedProvPayPrem+UF44*BlendedProvPayElite,UA45*BlendedProvPayEss+UB45*BlendedProvPayPrem+UC45*BlendedProvPayElite+UD45*BlendedProvPayEss+UE45*BlendedProvPayPrem+UF45*BlendedProvPayElite)</f>
        <v/>
      </c>
      <c r="UU45" s="12">
        <f>UM45*PaymentFee</f>
        <v/>
      </c>
      <c r="UV45" s="12">
        <f>UG45*OpsAI</f>
        <v/>
      </c>
      <c r="UW45" s="12">
        <f>MonthlyFixed</f>
        <v/>
      </c>
      <c r="UX45" s="12">
        <f>TQ45*ReferralReward</f>
        <v/>
      </c>
      <c r="UY45" s="12">
        <f>TO45</f>
        <v/>
      </c>
      <c r="UZ45" s="9">
        <f>UP45-UT45-UU45-UV45-UW45-UX45-UY45</f>
        <v/>
      </c>
      <c r="VA45" s="9">
        <f>VA44+UM45-(UT45+UU45+UV45+UW45+UX45+UY45+UR45)</f>
        <v/>
      </c>
      <c r="VB45" s="12">
        <f>IF(UG45&gt;0,UH45/UG45,0)</f>
        <v/>
      </c>
      <c r="VC45" s="11">
        <f>IF(UG44&gt;0,MAX(0,(UG44+TR45-UG45)/UG44),0)</f>
        <v/>
      </c>
      <c r="VE45" s="12" t="n">
        <v>41</v>
      </c>
      <c r="VF45" s="12">
        <f>MOD(VE45-1+LaunchMonth-1,12)+1</f>
        <v/>
      </c>
      <c r="VG45" s="12">
        <f>INT((VE45-1+LaunchMonth-1)/12)+1</f>
        <v/>
      </c>
      <c r="VH45" s="12">
        <f>VLOOKUP(VF45,SeasonTable,2,FALSE)</f>
        <v/>
      </c>
      <c r="VI45" s="12">
        <f>(1+InflationRate)^INT((VE45-1)/12)</f>
        <v/>
      </c>
      <c r="VJ45" s="11">
        <f>MonthlyChurn*VLOOKUP(VF45,ChurnSeasonTable,4,FALSE)</f>
        <v/>
      </c>
      <c r="VK45" s="12">
        <f>MIN(MAX(MktMin19plus,WI44*MktPct19plus),MAX(0,WW44-CashBuffer))</f>
        <v/>
      </c>
      <c r="VL45" s="12">
        <f>IF(VK45&gt;0,MAX(1,ROUND(VK45/CAC*VH45,0)),0)</f>
        <v/>
      </c>
      <c r="VM45" s="12">
        <f>IF(VL45&gt;0,ROUND(VL45*ReferralMix/(1-ReferralMix),0),0)</f>
        <v/>
      </c>
      <c r="VN45" s="12">
        <f>VL45+VM45</f>
        <v/>
      </c>
      <c r="VO45" s="12">
        <f>ROUND(VN45*(1-'Sens - Annual Mix'!$A$9),0)</f>
        <v/>
      </c>
      <c r="VP45" s="12">
        <f>VN45-VO45</f>
        <v/>
      </c>
      <c r="VQ45" s="12">
        <f>ROUND(VO45*EssentialMix,0)</f>
        <v/>
      </c>
      <c r="VR45" s="12">
        <f>ROUND(VO45*PremiumMix,0)</f>
        <v/>
      </c>
      <c r="VS45" s="12">
        <f>VO45-VQ45-VR45</f>
        <v/>
      </c>
      <c r="VT45" s="12">
        <f>ROUND(VP45*EssentialMix,0)</f>
        <v/>
      </c>
      <c r="VU45" s="12">
        <f>ROUND(VP45*PremiumMix,0)</f>
        <v/>
      </c>
      <c r="VV45" s="12">
        <f>VP45-VT45-VU45</f>
        <v/>
      </c>
      <c r="VW45" s="12">
        <f>VQ45+VQ44+VQ43+MAX(0,VW44-VQ44-VQ43)*(1-VJ45)</f>
        <v/>
      </c>
      <c r="VX45" s="12">
        <f>VR45+VR44+VR43+MAX(0,VX44-VR44-VR43)*(1-VJ45)</f>
        <v/>
      </c>
      <c r="VY45" s="12">
        <f>VS45+VS44+VS43+MAX(0,VY44-VS44-VS43)*(1-VJ45)</f>
        <v/>
      </c>
      <c r="VZ45" s="12">
        <f>VZ44+VT45-VT33*(AnnualChurn*VLOOKUP(VF45,ChurnSeasonTable,4,FALSE))*POWER(1-(AnnualChurn*VLOOKUP(VF45,ChurnSeasonTable,4,FALSE)),0)+VT21*(AnnualChurn*VLOOKUP(VF45,ChurnSeasonTable,4,FALSE))*POWER(1-(AnnualChurn*VLOOKUP(VF45,ChurnSeasonTable,4,FALSE)),1)+VT9*(AnnualChurn*VLOOKUP(VF45,ChurnSeasonTable,4,FALSE))*POWER(1-(AnnualChurn*VLOOKUP(VF45,ChurnSeasonTable,4,FALSE)),2)</f>
        <v/>
      </c>
      <c r="WA45" s="12">
        <f>WA44+VU45-VU33*(AnnualChurn*VLOOKUP(VF45,ChurnSeasonTable,4,FALSE))*POWER(1-(AnnualChurn*VLOOKUP(VF45,ChurnSeasonTable,4,FALSE)),0)+VU21*(AnnualChurn*VLOOKUP(VF45,ChurnSeasonTable,4,FALSE))*POWER(1-(AnnualChurn*VLOOKUP(VF45,ChurnSeasonTable,4,FALSE)),1)+VU9*(AnnualChurn*VLOOKUP(VF45,ChurnSeasonTable,4,FALSE))*POWER(1-(AnnualChurn*VLOOKUP(VF45,ChurnSeasonTable,4,FALSE)),2)</f>
        <v/>
      </c>
      <c r="WB45" s="12">
        <f>WB44+VV45-VV33*(AnnualChurn*VLOOKUP(VF45,ChurnSeasonTable,4,FALSE))*POWER(1-(AnnualChurn*VLOOKUP(VF45,ChurnSeasonTable,4,FALSE)),0)+VV21*(AnnualChurn*VLOOKUP(VF45,ChurnSeasonTable,4,FALSE))*POWER(1-(AnnualChurn*VLOOKUP(VF45,ChurnSeasonTable,4,FALSE)),1)+VV9*(AnnualChurn*VLOOKUP(VF45,ChurnSeasonTable,4,FALSE))*POWER(1-(AnnualChurn*VLOOKUP(VF45,ChurnSeasonTable,4,FALSE)),2)</f>
        <v/>
      </c>
      <c r="WC45" s="12">
        <f>VW45+VX45+VY45+VZ45+WA45+WB45</f>
        <v/>
      </c>
      <c r="WD45" s="9">
        <f>VW45*BlendedPriceEssMonthly*VI45+VX45*BlendedPricePremMonthly*VI45+VY45*BlendedPriceEliteMonthly*VI45+VZ45*BlendedPriceEssAnnual*VI45/12+WA45*BlendedPricePremAnnual*VI45/12+WB45*BlendedPriceEliteAnnual*VI45/12</f>
        <v/>
      </c>
      <c r="WE45" s="9">
        <f>WD45*12</f>
        <v/>
      </c>
      <c r="WF45" s="12">
        <f>VW45*BlendedPriceEssMonthly*VI45+VX45*BlendedPricePremMonthly*VI45+VY45*BlendedPriceEliteMonthly*VI45</f>
        <v/>
      </c>
      <c r="WG45" s="12">
        <f>VT45*BlendedPriceEssAnnual*VI45+VU45*BlendedPricePremAnnual*VI45+VV45*BlendedPriceEliteAnnual*VI45</f>
        <v/>
      </c>
      <c r="WH45" s="12">
        <f>VT33*POWER(1-(AnnualChurn*VLOOKUP(VF45,ChurnSeasonTable,4,FALSE)),1)*BlendedPriceEssAnnual*VI45+VT21*POWER(1-(AnnualChurn*VLOOKUP(VF45,ChurnSeasonTable,4,FALSE)),2)*BlendedPriceEssAnnual*VI45+VT9*POWER(1-(AnnualChurn*VLOOKUP(VF45,ChurnSeasonTable,4,FALSE)),3)*BlendedPriceEssAnnual*VI45+VU33*POWER(1-(AnnualChurn*VLOOKUP(VF45,ChurnSeasonTable,4,FALSE)),1)*BlendedPricePremAnnual*VI45+VU21*POWER(1-(AnnualChurn*VLOOKUP(VF45,ChurnSeasonTable,4,FALSE)),2)*BlendedPricePremAnnual*VI45+VU9*POWER(1-(AnnualChurn*VLOOKUP(VF45,ChurnSeasonTable,4,FALSE)),3)*BlendedPricePremAnnual*VI45+VV33*POWER(1-(AnnualChurn*VLOOKUP(VF45,ChurnSeasonTable,4,FALSE)),1)*BlendedPriceEliteAnnual*VI45+VV21*POWER(1-(AnnualChurn*VLOOKUP(VF45,ChurnSeasonTable,4,FALSE)),2)*BlendedPriceEliteAnnual*VI45+VV9*POWER(1-(AnnualChurn*VLOOKUP(VF45,ChurnSeasonTable,4,FALSE)),3)*BlendedPriceEliteAnnual*VI45</f>
        <v/>
      </c>
      <c r="WI45" s="9">
        <f>WF45+WG45+WH45</f>
        <v/>
      </c>
      <c r="WJ45" s="12">
        <f>SUM(WI34:WI45)</f>
        <v/>
      </c>
      <c r="WK45" s="12">
        <f>OR(WK44,IF(VATAgentMode,SUM($WI34:$WI45)-SUM($WP34:$WP45)&gt;=VATThreshold,SUM($WI34:$WI45)&gt;=VATThreshold))</f>
        <v/>
      </c>
      <c r="WL45" s="9">
        <f>IF(WK45,IF(VATAgentMode,WI45-((WI45-WP45)-(WI45-WP45)/(1+VATRate)),WI45/(1+VATRate)),WI45)</f>
        <v/>
      </c>
      <c r="WM45" s="12">
        <f>WI45-WL45</f>
        <v/>
      </c>
      <c r="WN45" s="12">
        <f>IF(WK45=0,0,IF(VF45=1,SUMPRODUCT(--(($VG$5:$VG45=$VG45-1)*($VF$5:$VF45&gt;=10)*($VF$5:$VF45&lt;=12)),$WM$5:$WM45),IF(VF45=4,SUMPRODUCT(--(($VG$5:$VG45=$VG45)*($VF$5:$VF45&gt;=1)*($VF$5:$VF45&lt;=3)),$WM$5:$WM45),IF(VF45=7,SUMPRODUCT(--(($VG$5:$VG45=$VG45)*($VF$5:$VF45&gt;=4)*($VF$5:$VF45&lt;=6)),$WM$5:$WM45),IF(VF45=10,SUMPRODUCT(--(($VG$5:$VG45=$VG45)*($VF$5:$VF45&gt;=7)*($VF$5:$VF45&lt;=9)),$WM$5:$WM45),0)))))</f>
        <v/>
      </c>
      <c r="WO45" s="12">
        <f>WO44+WM45-WN45</f>
        <v/>
      </c>
      <c r="WP45" s="12">
        <f>IF(ProviderDelay&gt;=1,VW44*BlendedProvPayEss+VX44*BlendedProvPayPrem+VY44*BlendedProvPayElite+VZ44*BlendedProvPayEss+WA44*BlendedProvPayPrem+WB44*BlendedProvPayElite,VW45*BlendedProvPayEss+VX45*BlendedProvPayPrem+VY45*BlendedProvPayElite+VZ45*BlendedProvPayEss+WA45*BlendedProvPayPrem+WB45*BlendedProvPayElite)</f>
        <v/>
      </c>
      <c r="WQ45" s="12">
        <f>WI45*PaymentFee</f>
        <v/>
      </c>
      <c r="WR45" s="12">
        <f>WC45*OpsAI</f>
        <v/>
      </c>
      <c r="WS45" s="12">
        <f>MonthlyFixed</f>
        <v/>
      </c>
      <c r="WT45" s="12">
        <f>VM45*ReferralReward</f>
        <v/>
      </c>
      <c r="WU45" s="12">
        <f>VK45</f>
        <v/>
      </c>
      <c r="WV45" s="9">
        <f>WL45-WP45-WQ45-WR45-WS45-WT45-WU45</f>
        <v/>
      </c>
      <c r="WW45" s="9">
        <f>WW44+WI45-(WP45+WQ45+WR45+WS45+WT45+WU45+WN45)</f>
        <v/>
      </c>
      <c r="WX45" s="12">
        <f>IF(WC45&gt;0,WD45/WC45,0)</f>
        <v/>
      </c>
      <c r="WY45" s="11">
        <f>IF(WC44&gt;0,MAX(0,(WC44+VN45-WC45)/WC44),0)</f>
        <v/>
      </c>
      <c r="XA45" s="12" t="n">
        <v>41</v>
      </c>
      <c r="XB45" s="12">
        <f>MOD(XA45-1+LaunchMonth-1,12)+1</f>
        <v/>
      </c>
      <c r="XC45" s="12">
        <f>INT((XA45-1+LaunchMonth-1)/12)+1</f>
        <v/>
      </c>
      <c r="XD45" s="12">
        <f>VLOOKUP(XB45,SeasonTable,2,FALSE)</f>
        <v/>
      </c>
      <c r="XE45" s="12">
        <f>(1+InflationRate)^INT((XA45-1)/12)</f>
        <v/>
      </c>
      <c r="XF45" s="11">
        <f>MonthlyChurn*VLOOKUP(XB45,ChurnSeasonTable,4,FALSE)</f>
        <v/>
      </c>
      <c r="XG45" s="12">
        <f>MIN(MAX(MktMin19plus,YE44*MktPct19plus),MAX(0,YS44-CashBuffer))</f>
        <v/>
      </c>
      <c r="XH45" s="12">
        <f>IF(XG45&gt;0,MAX(1,ROUND(XG45/CAC*XD45,0)),0)</f>
        <v/>
      </c>
      <c r="XI45" s="12">
        <f>IF(XH45&gt;0,ROUND(XH45*ReferralMix/(1-ReferralMix),0),0)</f>
        <v/>
      </c>
      <c r="XJ45" s="12">
        <f>XH45+XI45</f>
        <v/>
      </c>
      <c r="XK45" s="12">
        <f>ROUND(XJ45*(1-'Sens - Annual Mix'!$A$10),0)</f>
        <v/>
      </c>
      <c r="XL45" s="12">
        <f>XJ45-XK45</f>
        <v/>
      </c>
      <c r="XM45" s="12">
        <f>ROUND(XK45*EssentialMix,0)</f>
        <v/>
      </c>
      <c r="XN45" s="12">
        <f>ROUND(XK45*PremiumMix,0)</f>
        <v/>
      </c>
      <c r="XO45" s="12">
        <f>XK45-XM45-XN45</f>
        <v/>
      </c>
      <c r="XP45" s="12">
        <f>ROUND(XL45*EssentialMix,0)</f>
        <v/>
      </c>
      <c r="XQ45" s="12">
        <f>ROUND(XL45*PremiumMix,0)</f>
        <v/>
      </c>
      <c r="XR45" s="12">
        <f>XL45-XP45-XQ45</f>
        <v/>
      </c>
      <c r="XS45" s="12">
        <f>XM45+XM44+XM43+MAX(0,XS44-XM44-XM43)*(1-XF45)</f>
        <v/>
      </c>
      <c r="XT45" s="12">
        <f>XN45+XN44+XN43+MAX(0,XT44-XN44-XN43)*(1-XF45)</f>
        <v/>
      </c>
      <c r="XU45" s="12">
        <f>XO45+XO44+XO43+MAX(0,XU44-XO44-XO43)*(1-XF45)</f>
        <v/>
      </c>
      <c r="XV45" s="12">
        <f>XV44+XP45-XP33*(AnnualChurn*VLOOKUP(XB45,ChurnSeasonTable,4,FALSE))*POWER(1-(AnnualChurn*VLOOKUP(XB45,ChurnSeasonTable,4,FALSE)),0)+XP21*(AnnualChurn*VLOOKUP(XB45,ChurnSeasonTable,4,FALSE))*POWER(1-(AnnualChurn*VLOOKUP(XB45,ChurnSeasonTable,4,FALSE)),1)+XP9*(AnnualChurn*VLOOKUP(XB45,ChurnSeasonTable,4,FALSE))*POWER(1-(AnnualChurn*VLOOKUP(XB45,ChurnSeasonTable,4,FALSE)),2)</f>
        <v/>
      </c>
      <c r="XW45" s="12">
        <f>XW44+XQ45-XQ33*(AnnualChurn*VLOOKUP(XB45,ChurnSeasonTable,4,FALSE))*POWER(1-(AnnualChurn*VLOOKUP(XB45,ChurnSeasonTable,4,FALSE)),0)+XQ21*(AnnualChurn*VLOOKUP(XB45,ChurnSeasonTable,4,FALSE))*POWER(1-(AnnualChurn*VLOOKUP(XB45,ChurnSeasonTable,4,FALSE)),1)+XQ9*(AnnualChurn*VLOOKUP(XB45,ChurnSeasonTable,4,FALSE))*POWER(1-(AnnualChurn*VLOOKUP(XB45,ChurnSeasonTable,4,FALSE)),2)</f>
        <v/>
      </c>
      <c r="XX45" s="12">
        <f>XX44+XR45-XR33*(AnnualChurn*VLOOKUP(XB45,ChurnSeasonTable,4,FALSE))*POWER(1-(AnnualChurn*VLOOKUP(XB45,ChurnSeasonTable,4,FALSE)),0)+XR21*(AnnualChurn*VLOOKUP(XB45,ChurnSeasonTable,4,FALSE))*POWER(1-(AnnualChurn*VLOOKUP(XB45,ChurnSeasonTable,4,FALSE)),1)+XR9*(AnnualChurn*VLOOKUP(XB45,ChurnSeasonTable,4,FALSE))*POWER(1-(AnnualChurn*VLOOKUP(XB45,ChurnSeasonTable,4,FALSE)),2)</f>
        <v/>
      </c>
      <c r="XY45" s="12">
        <f>XS45+XT45+XU45+XV45+XW45+XX45</f>
        <v/>
      </c>
      <c r="XZ45" s="9">
        <f>XS45*BlendedPriceEssMonthly*XE45+XT45*BlendedPricePremMonthly*XE45+XU45*BlendedPriceEliteMonthly*XE45+XV45*BlendedPriceEssAnnual*XE45/12+XW45*BlendedPricePremAnnual*XE45/12+XX45*BlendedPriceEliteAnnual*XE45/12</f>
        <v/>
      </c>
      <c r="YA45" s="9">
        <f>XZ45*12</f>
        <v/>
      </c>
      <c r="YB45" s="12">
        <f>XS45*BlendedPriceEssMonthly*XE45+XT45*BlendedPricePremMonthly*XE45+XU45*BlendedPriceEliteMonthly*XE45</f>
        <v/>
      </c>
      <c r="YC45" s="12">
        <f>XP45*BlendedPriceEssAnnual*XE45+XQ45*BlendedPricePremAnnual*XE45+XR45*BlendedPriceEliteAnnual*XE45</f>
        <v/>
      </c>
      <c r="YD45" s="12">
        <f>XP33*POWER(1-(AnnualChurn*VLOOKUP(XB45,ChurnSeasonTable,4,FALSE)),1)*BlendedPriceEssAnnual*XE45+XP21*POWER(1-(AnnualChurn*VLOOKUP(XB45,ChurnSeasonTable,4,FALSE)),2)*BlendedPriceEssAnnual*XE45+XP9*POWER(1-(AnnualChurn*VLOOKUP(XB45,ChurnSeasonTable,4,FALSE)),3)*BlendedPriceEssAnnual*XE45+XQ33*POWER(1-(AnnualChurn*VLOOKUP(XB45,ChurnSeasonTable,4,FALSE)),1)*BlendedPricePremAnnual*XE45+XQ21*POWER(1-(AnnualChurn*VLOOKUP(XB45,ChurnSeasonTable,4,FALSE)),2)*BlendedPricePremAnnual*XE45+XQ9*POWER(1-(AnnualChurn*VLOOKUP(XB45,ChurnSeasonTable,4,FALSE)),3)*BlendedPricePremAnnual*XE45+XR33*POWER(1-(AnnualChurn*VLOOKUP(XB45,ChurnSeasonTable,4,FALSE)),1)*BlendedPriceEliteAnnual*XE45+XR21*POWER(1-(AnnualChurn*VLOOKUP(XB45,ChurnSeasonTable,4,FALSE)),2)*BlendedPriceEliteAnnual*XE45+XR9*POWER(1-(AnnualChurn*VLOOKUP(XB45,ChurnSeasonTable,4,FALSE)),3)*BlendedPriceEliteAnnual*XE45</f>
        <v/>
      </c>
      <c r="YE45" s="9">
        <f>YB45+YC45+YD45</f>
        <v/>
      </c>
      <c r="YF45" s="12">
        <f>SUM(YE34:YE45)</f>
        <v/>
      </c>
      <c r="YG45" s="12">
        <f>OR(YG44,IF(VATAgentMode,SUM($YE34:$YE45)-SUM($YL34:$YL45)&gt;=VATThreshold,SUM($YE34:$YE45)&gt;=VATThreshold))</f>
        <v/>
      </c>
      <c r="YH45" s="9">
        <f>IF(YG45,IF(VATAgentMode,YE45-((YE45-YL45)-(YE45-YL45)/(1+VATRate)),YE45/(1+VATRate)),YE45)</f>
        <v/>
      </c>
      <c r="YI45" s="12">
        <f>YE45-YH45</f>
        <v/>
      </c>
      <c r="YJ45" s="12">
        <f>IF(YG45=0,0,IF(XB45=1,SUMPRODUCT(--(($XC$5:$XC45=$XC45-1)*($XB$5:$XB45&gt;=10)*($XB$5:$XB45&lt;=12)),$YI$5:$YI45),IF(XB45=4,SUMPRODUCT(--(($XC$5:$XC45=$XC45)*($XB$5:$XB45&gt;=1)*($XB$5:$XB45&lt;=3)),$YI$5:$YI45),IF(XB45=7,SUMPRODUCT(--(($XC$5:$XC45=$XC45)*($XB$5:$XB45&gt;=4)*($XB$5:$XB45&lt;=6)),$YI$5:$YI45),IF(XB45=10,SUMPRODUCT(--(($XC$5:$XC45=$XC45)*($XB$5:$XB45&gt;=7)*($XB$5:$XB45&lt;=9)),$YI$5:$YI45),0)))))</f>
        <v/>
      </c>
      <c r="YK45" s="12">
        <f>YK44+YI45-YJ45</f>
        <v/>
      </c>
      <c r="YL45" s="12">
        <f>IF(ProviderDelay&gt;=1,XS44*BlendedProvPayEss+XT44*BlendedProvPayPrem+XU44*BlendedProvPayElite+XV44*BlendedProvPayEss+XW44*BlendedProvPayPrem+XX44*BlendedProvPayElite,XS45*BlendedProvPayEss+XT45*BlendedProvPayPrem+XU45*BlendedProvPayElite+XV45*BlendedProvPayEss+XW45*BlendedProvPayPrem+XX45*BlendedProvPayElite)</f>
        <v/>
      </c>
      <c r="YM45" s="12">
        <f>YE45*PaymentFee</f>
        <v/>
      </c>
      <c r="YN45" s="12">
        <f>XY45*OpsAI</f>
        <v/>
      </c>
      <c r="YO45" s="12">
        <f>MonthlyFixed</f>
        <v/>
      </c>
      <c r="YP45" s="12">
        <f>XI45*ReferralReward</f>
        <v/>
      </c>
      <c r="YQ45" s="12">
        <f>XG45</f>
        <v/>
      </c>
      <c r="YR45" s="9">
        <f>YH45-YL45-YM45-YN45-YO45-YP45-YQ45</f>
        <v/>
      </c>
      <c r="YS45" s="9">
        <f>YS44+YE45-(YL45+YM45+YN45+YO45+YP45+YQ45+YJ45)</f>
        <v/>
      </c>
      <c r="YT45" s="12">
        <f>IF(XY45&gt;0,XZ45/XY45,0)</f>
        <v/>
      </c>
      <c r="YU45" s="11">
        <f>IF(XY44&gt;0,MAX(0,(XY44+XJ45-XY45)/XY44),0)</f>
        <v/>
      </c>
      <c r="YW45" s="12" t="n">
        <v>41</v>
      </c>
      <c r="YX45" s="12">
        <f>MOD(YW45-1+LaunchMonth-1,12)+1</f>
        <v/>
      </c>
      <c r="YY45" s="12">
        <f>INT((YW45-1+LaunchMonth-1)/12)+1</f>
        <v/>
      </c>
      <c r="YZ45" s="12">
        <f>VLOOKUP(YX45,SeasonTable,2,FALSE)</f>
        <v/>
      </c>
      <c r="ZA45" s="12">
        <f>(1+InflationRate)^INT((YW45-1)/12)</f>
        <v/>
      </c>
      <c r="ZB45" s="11">
        <f>MonthlyChurn*VLOOKUP(YX45,ChurnSeasonTable,4,FALSE)</f>
        <v/>
      </c>
      <c r="ZC45" s="12">
        <f>MIN(MAX(MktMin19plus,AAA44*MktPct19plus),MAX(0,AAO44-CashBuffer))</f>
        <v/>
      </c>
      <c r="ZD45" s="12">
        <f>IF(ZC45&gt;0,MAX(1,ROUND(ZC45/CAC*YZ45,0)),0)</f>
        <v/>
      </c>
      <c r="ZE45" s="12">
        <f>IF(ZD45&gt;0,ROUND(ZD45*ReferralMix/(1-ReferralMix),0),0)</f>
        <v/>
      </c>
      <c r="ZF45" s="12">
        <f>ZD45+ZE45</f>
        <v/>
      </c>
      <c r="ZG45" s="12">
        <f>ROUND(ZF45*(1-'Sens - Annual Mix'!$A$11),0)</f>
        <v/>
      </c>
      <c r="ZH45" s="12">
        <f>ZF45-ZG45</f>
        <v/>
      </c>
      <c r="ZI45" s="12">
        <f>ROUND(ZG45*EssentialMix,0)</f>
        <v/>
      </c>
      <c r="ZJ45" s="12">
        <f>ROUND(ZG45*PremiumMix,0)</f>
        <v/>
      </c>
      <c r="ZK45" s="12">
        <f>ZG45-ZI45-ZJ45</f>
        <v/>
      </c>
      <c r="ZL45" s="12">
        <f>ROUND(ZH45*EssentialMix,0)</f>
        <v/>
      </c>
      <c r="ZM45" s="12">
        <f>ROUND(ZH45*PremiumMix,0)</f>
        <v/>
      </c>
      <c r="ZN45" s="12">
        <f>ZH45-ZL45-ZM45</f>
        <v/>
      </c>
      <c r="ZO45" s="12">
        <f>ZI45+ZI44+ZI43+MAX(0,ZO44-ZI44-ZI43)*(1-ZB45)</f>
        <v/>
      </c>
      <c r="ZP45" s="12">
        <f>ZJ45+ZJ44+ZJ43+MAX(0,ZP44-ZJ44-ZJ43)*(1-ZB45)</f>
        <v/>
      </c>
      <c r="ZQ45" s="12">
        <f>ZK45+ZK44+ZK43+MAX(0,ZQ44-ZK44-ZK43)*(1-ZB45)</f>
        <v/>
      </c>
      <c r="ZR45" s="12">
        <f>ZR44+ZL45-ZL33*(AnnualChurn*VLOOKUP(YX45,ChurnSeasonTable,4,FALSE))*POWER(1-(AnnualChurn*VLOOKUP(YX45,ChurnSeasonTable,4,FALSE)),0)+ZL21*(AnnualChurn*VLOOKUP(YX45,ChurnSeasonTable,4,FALSE))*POWER(1-(AnnualChurn*VLOOKUP(YX45,ChurnSeasonTable,4,FALSE)),1)+ZL9*(AnnualChurn*VLOOKUP(YX45,ChurnSeasonTable,4,FALSE))*POWER(1-(AnnualChurn*VLOOKUP(YX45,ChurnSeasonTable,4,FALSE)),2)</f>
        <v/>
      </c>
      <c r="ZS45" s="12">
        <f>ZS44+ZM45-ZM33*(AnnualChurn*VLOOKUP(YX45,ChurnSeasonTable,4,FALSE))*POWER(1-(AnnualChurn*VLOOKUP(YX45,ChurnSeasonTable,4,FALSE)),0)+ZM21*(AnnualChurn*VLOOKUP(YX45,ChurnSeasonTable,4,FALSE))*POWER(1-(AnnualChurn*VLOOKUP(YX45,ChurnSeasonTable,4,FALSE)),1)+ZM9*(AnnualChurn*VLOOKUP(YX45,ChurnSeasonTable,4,FALSE))*POWER(1-(AnnualChurn*VLOOKUP(YX45,ChurnSeasonTable,4,FALSE)),2)</f>
        <v/>
      </c>
      <c r="ZT45" s="12">
        <f>ZT44+ZN45-ZN33*(AnnualChurn*VLOOKUP(YX45,ChurnSeasonTable,4,FALSE))*POWER(1-(AnnualChurn*VLOOKUP(YX45,ChurnSeasonTable,4,FALSE)),0)+ZN21*(AnnualChurn*VLOOKUP(YX45,ChurnSeasonTable,4,FALSE))*POWER(1-(AnnualChurn*VLOOKUP(YX45,ChurnSeasonTable,4,FALSE)),1)+ZN9*(AnnualChurn*VLOOKUP(YX45,ChurnSeasonTable,4,FALSE))*POWER(1-(AnnualChurn*VLOOKUP(YX45,ChurnSeasonTable,4,FALSE)),2)</f>
        <v/>
      </c>
      <c r="ZU45" s="12">
        <f>ZO45+ZP45+ZQ45+ZR45+ZS45+ZT45</f>
        <v/>
      </c>
      <c r="ZV45" s="9">
        <f>ZO45*BlendedPriceEssMonthly*ZA45+ZP45*BlendedPricePremMonthly*ZA45+ZQ45*BlendedPriceEliteMonthly*ZA45+ZR45*BlendedPriceEssAnnual*ZA45/12+ZS45*BlendedPricePremAnnual*ZA45/12+ZT45*BlendedPriceEliteAnnual*ZA45/12</f>
        <v/>
      </c>
      <c r="ZW45" s="9">
        <f>ZV45*12</f>
        <v/>
      </c>
      <c r="ZX45" s="12">
        <f>ZO45*BlendedPriceEssMonthly*ZA45+ZP45*BlendedPricePremMonthly*ZA45+ZQ45*BlendedPriceEliteMonthly*ZA45</f>
        <v/>
      </c>
      <c r="ZY45" s="12">
        <f>ZL45*BlendedPriceEssAnnual*ZA45+ZM45*BlendedPricePremAnnual*ZA45+ZN45*BlendedPriceEliteAnnual*ZA45</f>
        <v/>
      </c>
      <c r="ZZ45" s="12">
        <f>ZL33*POWER(1-(AnnualChurn*VLOOKUP(YX45,ChurnSeasonTable,4,FALSE)),1)*BlendedPriceEssAnnual*ZA45+ZL21*POWER(1-(AnnualChurn*VLOOKUP(YX45,ChurnSeasonTable,4,FALSE)),2)*BlendedPriceEssAnnual*ZA45+ZL9*POWER(1-(AnnualChurn*VLOOKUP(YX45,ChurnSeasonTable,4,FALSE)),3)*BlendedPriceEssAnnual*ZA45+ZM33*POWER(1-(AnnualChurn*VLOOKUP(YX45,ChurnSeasonTable,4,FALSE)),1)*BlendedPricePremAnnual*ZA45+ZM21*POWER(1-(AnnualChurn*VLOOKUP(YX45,ChurnSeasonTable,4,FALSE)),2)*BlendedPricePremAnnual*ZA45+ZM9*POWER(1-(AnnualChurn*VLOOKUP(YX45,ChurnSeasonTable,4,FALSE)),3)*BlendedPricePremAnnual*ZA45+ZN33*POWER(1-(AnnualChurn*VLOOKUP(YX45,ChurnSeasonTable,4,FALSE)),1)*BlendedPriceEliteAnnual*ZA45+ZN21*POWER(1-(AnnualChurn*VLOOKUP(YX45,ChurnSeasonTable,4,FALSE)),2)*BlendedPriceEliteAnnual*ZA45+ZN9*POWER(1-(AnnualChurn*VLOOKUP(YX45,ChurnSeasonTable,4,FALSE)),3)*BlendedPriceEliteAnnual*ZA45</f>
        <v/>
      </c>
      <c r="AAA45" s="9">
        <f>ZX45+ZY45+ZZ45</f>
        <v/>
      </c>
      <c r="AAB45" s="12">
        <f>SUM(AAA34:AAA45)</f>
        <v/>
      </c>
      <c r="AAC45" s="12">
        <f>OR(AAC44,IF(VATAgentMode,SUM($AAA34:$AAA45)-SUM($AAH34:$AAH45)&gt;=VATThreshold,SUM($AAA34:$AAA45)&gt;=VATThreshold))</f>
        <v/>
      </c>
      <c r="AAD45" s="9">
        <f>IF(AAC45,IF(VATAgentMode,AAA45-((AAA45-AAH45)-(AAA45-AAH45)/(1+VATRate)),AAA45/(1+VATRate)),AAA45)</f>
        <v/>
      </c>
      <c r="AAE45" s="12">
        <f>AAA45-AAD45</f>
        <v/>
      </c>
      <c r="AAF45" s="12">
        <f>IF(AAC45=0,0,IF(YX45=1,SUMPRODUCT(--(($YY$5:$YY45=$YY45-1)*($YX$5:$YX45&gt;=10)*($YX$5:$YX45&lt;=12)),$AAE$5:$AAE45),IF(YX45=4,SUMPRODUCT(--(($YY$5:$YY45=$YY45)*($YX$5:$YX45&gt;=1)*($YX$5:$YX45&lt;=3)),$AAE$5:$AAE45),IF(YX45=7,SUMPRODUCT(--(($YY$5:$YY45=$YY45)*($YX$5:$YX45&gt;=4)*($YX$5:$YX45&lt;=6)),$AAE$5:$AAE45),IF(YX45=10,SUMPRODUCT(--(($YY$5:$YY45=$YY45)*($YX$5:$YX45&gt;=7)*($YX$5:$YX45&lt;=9)),$AAE$5:$AAE45),0)))))</f>
        <v/>
      </c>
      <c r="AAG45" s="12">
        <f>AAG44+AAE45-AAF45</f>
        <v/>
      </c>
      <c r="AAH45" s="12">
        <f>IF(ProviderDelay&gt;=1,ZO44*BlendedProvPayEss+ZP44*BlendedProvPayPrem+ZQ44*BlendedProvPayElite+ZR44*BlendedProvPayEss+ZS44*BlendedProvPayPrem+ZT44*BlendedProvPayElite,ZO45*BlendedProvPayEss+ZP45*BlendedProvPayPrem+ZQ45*BlendedProvPayElite+ZR45*BlendedProvPayEss+ZS45*BlendedProvPayPrem+ZT45*BlendedProvPayElite)</f>
        <v/>
      </c>
      <c r="AAI45" s="12">
        <f>AAA45*PaymentFee</f>
        <v/>
      </c>
      <c r="AAJ45" s="12">
        <f>ZU45*OpsAI</f>
        <v/>
      </c>
      <c r="AAK45" s="12">
        <f>MonthlyFixed</f>
        <v/>
      </c>
      <c r="AAL45" s="12">
        <f>ZE45*ReferralReward</f>
        <v/>
      </c>
      <c r="AAM45" s="12">
        <f>ZC45</f>
        <v/>
      </c>
      <c r="AAN45" s="9">
        <f>AAD45-AAH45-AAI45-AAJ45-AAK45-AAL45-AAM45</f>
        <v/>
      </c>
      <c r="AAO45" s="9">
        <f>AAO44+AAA45-(AAH45+AAI45+AAJ45+AAK45+AAL45+AAM45+AAF45)</f>
        <v/>
      </c>
      <c r="AAP45" s="12">
        <f>IF(ZU45&gt;0,ZV45/ZU45,0)</f>
        <v/>
      </c>
      <c r="AAQ45" s="11">
        <f>IF(ZU44&gt;0,MAX(0,(ZU44+ZF45-ZU45)/ZU44),0)</f>
        <v/>
      </c>
      <c r="AAS45" s="12" t="n">
        <v>41</v>
      </c>
      <c r="AAT45" s="12">
        <f>MOD(AAS45-1+LaunchMonth-1,12)+1</f>
        <v/>
      </c>
      <c r="AAU45" s="12">
        <f>INT((AAS45-1+LaunchMonth-1)/12)+1</f>
        <v/>
      </c>
      <c r="AAV45" s="12">
        <f>VLOOKUP(AAT45,SeasonTable,2,FALSE)</f>
        <v/>
      </c>
      <c r="AAW45" s="12">
        <f>(1+InflationRate)^INT((AAS45-1)/12)</f>
        <v/>
      </c>
      <c r="AAX45" s="11">
        <f>MonthlyChurn*VLOOKUP(AAT45,ChurnSeasonTable,4,FALSE)</f>
        <v/>
      </c>
      <c r="AAY45" s="12">
        <f>MIN(MAX(MktMin19plus,ABW44*MktPct19plus),MAX(0,ACK44-CashBuffer))</f>
        <v/>
      </c>
      <c r="AAZ45" s="12">
        <f>IF(AAY45&gt;0,MAX(1,ROUND(AAY45/CAC*AAV45,0)),0)</f>
        <v/>
      </c>
      <c r="ABA45" s="12">
        <f>IF(AAZ45&gt;0,ROUND(AAZ45*ReferralMix/(1-ReferralMix),0),0)</f>
        <v/>
      </c>
      <c r="ABB45" s="12">
        <f>AAZ45+ABA45</f>
        <v/>
      </c>
      <c r="ABC45" s="12">
        <f>ROUND(ABB45*(1-'Sens - Annual Mix'!$A$12),0)</f>
        <v/>
      </c>
      <c r="ABD45" s="12">
        <f>ABB45-ABC45</f>
        <v/>
      </c>
      <c r="ABE45" s="12">
        <f>ROUND(ABC45*EssentialMix,0)</f>
        <v/>
      </c>
      <c r="ABF45" s="12">
        <f>ROUND(ABC45*PremiumMix,0)</f>
        <v/>
      </c>
      <c r="ABG45" s="12">
        <f>ABC45-ABE45-ABF45</f>
        <v/>
      </c>
      <c r="ABH45" s="12">
        <f>ROUND(ABD45*EssentialMix,0)</f>
        <v/>
      </c>
      <c r="ABI45" s="12">
        <f>ROUND(ABD45*PremiumMix,0)</f>
        <v/>
      </c>
      <c r="ABJ45" s="12">
        <f>ABD45-ABH45-ABI45</f>
        <v/>
      </c>
      <c r="ABK45" s="12">
        <f>ABE45+ABE44+ABE43+MAX(0,ABK44-ABE44-ABE43)*(1-AAX45)</f>
        <v/>
      </c>
      <c r="ABL45" s="12">
        <f>ABF45+ABF44+ABF43+MAX(0,ABL44-ABF44-ABF43)*(1-AAX45)</f>
        <v/>
      </c>
      <c r="ABM45" s="12">
        <f>ABG45+ABG44+ABG43+MAX(0,ABM44-ABG44-ABG43)*(1-AAX45)</f>
        <v/>
      </c>
      <c r="ABN45" s="12">
        <f>ABN44+ABH45-ABH33*(AnnualChurn*VLOOKUP(AAT45,ChurnSeasonTable,4,FALSE))*POWER(1-(AnnualChurn*VLOOKUP(AAT45,ChurnSeasonTable,4,FALSE)),0)+ABH21*(AnnualChurn*VLOOKUP(AAT45,ChurnSeasonTable,4,FALSE))*POWER(1-(AnnualChurn*VLOOKUP(AAT45,ChurnSeasonTable,4,FALSE)),1)+ABH9*(AnnualChurn*VLOOKUP(AAT45,ChurnSeasonTable,4,FALSE))*POWER(1-(AnnualChurn*VLOOKUP(AAT45,ChurnSeasonTable,4,FALSE)),2)</f>
        <v/>
      </c>
      <c r="ABO45" s="12">
        <f>ABO44+ABI45-ABI33*(AnnualChurn*VLOOKUP(AAT45,ChurnSeasonTable,4,FALSE))*POWER(1-(AnnualChurn*VLOOKUP(AAT45,ChurnSeasonTable,4,FALSE)),0)+ABI21*(AnnualChurn*VLOOKUP(AAT45,ChurnSeasonTable,4,FALSE))*POWER(1-(AnnualChurn*VLOOKUP(AAT45,ChurnSeasonTable,4,FALSE)),1)+ABI9*(AnnualChurn*VLOOKUP(AAT45,ChurnSeasonTable,4,FALSE))*POWER(1-(AnnualChurn*VLOOKUP(AAT45,ChurnSeasonTable,4,FALSE)),2)</f>
        <v/>
      </c>
      <c r="ABP45" s="12">
        <f>ABP44+ABJ45-ABJ33*(AnnualChurn*VLOOKUP(AAT45,ChurnSeasonTable,4,FALSE))*POWER(1-(AnnualChurn*VLOOKUP(AAT45,ChurnSeasonTable,4,FALSE)),0)+ABJ21*(AnnualChurn*VLOOKUP(AAT45,ChurnSeasonTable,4,FALSE))*POWER(1-(AnnualChurn*VLOOKUP(AAT45,ChurnSeasonTable,4,FALSE)),1)+ABJ9*(AnnualChurn*VLOOKUP(AAT45,ChurnSeasonTable,4,FALSE))*POWER(1-(AnnualChurn*VLOOKUP(AAT45,ChurnSeasonTable,4,FALSE)),2)</f>
        <v/>
      </c>
      <c r="ABQ45" s="12">
        <f>ABK45+ABL45+ABM45+ABN45+ABO45+ABP45</f>
        <v/>
      </c>
      <c r="ABR45" s="9">
        <f>ABK45*BlendedPriceEssMonthly*AAW45+ABL45*BlendedPricePremMonthly*AAW45+ABM45*BlendedPriceEliteMonthly*AAW45+ABN45*BlendedPriceEssAnnual*AAW45/12+ABO45*BlendedPricePremAnnual*AAW45/12+ABP45*BlendedPriceEliteAnnual*AAW45/12</f>
        <v/>
      </c>
      <c r="ABS45" s="9">
        <f>ABR45*12</f>
        <v/>
      </c>
      <c r="ABT45" s="12">
        <f>ABK45*BlendedPriceEssMonthly*AAW45+ABL45*BlendedPricePremMonthly*AAW45+ABM45*BlendedPriceEliteMonthly*AAW45</f>
        <v/>
      </c>
      <c r="ABU45" s="12">
        <f>ABH45*BlendedPriceEssAnnual*AAW45+ABI45*BlendedPricePremAnnual*AAW45+ABJ45*BlendedPriceEliteAnnual*AAW45</f>
        <v/>
      </c>
      <c r="ABV45" s="12">
        <f>ABH33*POWER(1-(AnnualChurn*VLOOKUP(AAT45,ChurnSeasonTable,4,FALSE)),1)*BlendedPriceEssAnnual*AAW45+ABH21*POWER(1-(AnnualChurn*VLOOKUP(AAT45,ChurnSeasonTable,4,FALSE)),2)*BlendedPriceEssAnnual*AAW45+ABH9*POWER(1-(AnnualChurn*VLOOKUP(AAT45,ChurnSeasonTable,4,FALSE)),3)*BlendedPriceEssAnnual*AAW45+ABI33*POWER(1-(AnnualChurn*VLOOKUP(AAT45,ChurnSeasonTable,4,FALSE)),1)*BlendedPricePremAnnual*AAW45+ABI21*POWER(1-(AnnualChurn*VLOOKUP(AAT45,ChurnSeasonTable,4,FALSE)),2)*BlendedPricePremAnnual*AAW45+ABI9*POWER(1-(AnnualChurn*VLOOKUP(AAT45,ChurnSeasonTable,4,FALSE)),3)*BlendedPricePremAnnual*AAW45+ABJ33*POWER(1-(AnnualChurn*VLOOKUP(AAT45,ChurnSeasonTable,4,FALSE)),1)*BlendedPriceEliteAnnual*AAW45+ABJ21*POWER(1-(AnnualChurn*VLOOKUP(AAT45,ChurnSeasonTable,4,FALSE)),2)*BlendedPriceEliteAnnual*AAW45+ABJ9*POWER(1-(AnnualChurn*VLOOKUP(AAT45,ChurnSeasonTable,4,FALSE)),3)*BlendedPriceEliteAnnual*AAW45</f>
        <v/>
      </c>
      <c r="ABW45" s="9">
        <f>ABT45+ABU45+ABV45</f>
        <v/>
      </c>
      <c r="ABX45" s="12">
        <f>SUM(ABW34:ABW45)</f>
        <v/>
      </c>
      <c r="ABY45" s="12">
        <f>OR(ABY44,IF(VATAgentMode,SUM($ABW34:$ABW45)-SUM($ACD34:$ACD45)&gt;=VATThreshold,SUM($ABW34:$ABW45)&gt;=VATThreshold))</f>
        <v/>
      </c>
      <c r="ABZ45" s="9">
        <f>IF(ABY45,IF(VATAgentMode,ABW45-((ABW45-ACD45)-(ABW45-ACD45)/(1+VATRate)),ABW45/(1+VATRate)),ABW45)</f>
        <v/>
      </c>
      <c r="ACA45" s="12">
        <f>ABW45-ABZ45</f>
        <v/>
      </c>
      <c r="ACB45" s="12">
        <f>IF(ABY45=0,0,IF(AAT45=1,SUMPRODUCT(--(($AAU$5:$AAU45=$AAU45-1)*($AAT$5:$AAT45&gt;=10)*($AAT$5:$AAT45&lt;=12)),$ACA$5:$ACA45),IF(AAT45=4,SUMPRODUCT(--(($AAU$5:$AAU45=$AAU45)*($AAT$5:$AAT45&gt;=1)*($AAT$5:$AAT45&lt;=3)),$ACA$5:$ACA45),IF(AAT45=7,SUMPRODUCT(--(($AAU$5:$AAU45=$AAU45)*($AAT$5:$AAT45&gt;=4)*($AAT$5:$AAT45&lt;=6)),$ACA$5:$ACA45),IF(AAT45=10,SUMPRODUCT(--(($AAU$5:$AAU45=$AAU45)*($AAT$5:$AAT45&gt;=7)*($AAT$5:$AAT45&lt;=9)),$ACA$5:$ACA45),0)))))</f>
        <v/>
      </c>
      <c r="ACC45" s="12">
        <f>ACC44+ACA45-ACB45</f>
        <v/>
      </c>
      <c r="ACD45" s="12">
        <f>IF(ProviderDelay&gt;=1,ABK44*BlendedProvPayEss+ABL44*BlendedProvPayPrem+ABM44*BlendedProvPayElite+ABN44*BlendedProvPayEss+ABO44*BlendedProvPayPrem+ABP44*BlendedProvPayElite,ABK45*BlendedProvPayEss+ABL45*BlendedProvPayPrem+ABM45*BlendedProvPayElite+ABN45*BlendedProvPayEss+ABO45*BlendedProvPayPrem+ABP45*BlendedProvPayElite)</f>
        <v/>
      </c>
      <c r="ACE45" s="12">
        <f>ABW45*PaymentFee</f>
        <v/>
      </c>
      <c r="ACF45" s="12">
        <f>ABQ45*OpsAI</f>
        <v/>
      </c>
      <c r="ACG45" s="12">
        <f>MonthlyFixed</f>
        <v/>
      </c>
      <c r="ACH45" s="12">
        <f>ABA45*ReferralReward</f>
        <v/>
      </c>
      <c r="ACI45" s="12">
        <f>AAY45</f>
        <v/>
      </c>
      <c r="ACJ45" s="9">
        <f>ABZ45-ACD45-ACE45-ACF45-ACG45-ACH45-ACI45</f>
        <v/>
      </c>
      <c r="ACK45" s="9">
        <f>ACK44+ABW45-(ACD45+ACE45+ACF45+ACG45+ACH45+ACI45+ACB45)</f>
        <v/>
      </c>
      <c r="ACL45" s="12">
        <f>IF(ABQ45&gt;0,ABR45/ABQ45,0)</f>
        <v/>
      </c>
      <c r="ACM45" s="11">
        <f>IF(ABQ44&gt;0,MAX(0,(ABQ44+ABB45-ABQ45)/ABQ44),0)</f>
        <v/>
      </c>
      <c r="ACO45" s="12" t="n">
        <v>41</v>
      </c>
      <c r="ACP45" s="12">
        <f>MOD(ACO45-1+LaunchMonth-1,12)+1</f>
        <v/>
      </c>
      <c r="ACQ45" s="12">
        <f>INT((ACO45-1+LaunchMonth-1)/12)+1</f>
        <v/>
      </c>
      <c r="ACR45" s="12">
        <f>VLOOKUP(ACP45,SeasonTable,2,FALSE)</f>
        <v/>
      </c>
      <c r="ACS45" s="12">
        <f>(1+InflationRate)^INT((ACO45-1)/12)</f>
        <v/>
      </c>
      <c r="ACT45" s="11">
        <f>MonthlyChurn*VLOOKUP(ACP45,ChurnSeasonTable,4,FALSE)</f>
        <v/>
      </c>
      <c r="ACU45" s="12">
        <f>MIN(MAX(MktMin19plus,ADS44*MktPct19plus),MAX(0,AEG44-CashBuffer))</f>
        <v/>
      </c>
      <c r="ACV45" s="12">
        <f>IF(ACU45&gt;0,MAX(1,ROUND(ACU45/CAC*ACR45,0)),0)</f>
        <v/>
      </c>
      <c r="ACW45" s="12">
        <f>IF(ACV45&gt;0,ROUND(ACV45*ReferralMix/(1-ReferralMix),0),0)</f>
        <v/>
      </c>
      <c r="ACX45" s="12">
        <f>ACV45+ACW45</f>
        <v/>
      </c>
      <c r="ACY45" s="12">
        <f>ROUND(ACX45*(1-'Sens - Annual Mix'!$A$13),0)</f>
        <v/>
      </c>
      <c r="ACZ45" s="12">
        <f>ACX45-ACY45</f>
        <v/>
      </c>
      <c r="ADA45" s="12">
        <f>ROUND(ACY45*EssentialMix,0)</f>
        <v/>
      </c>
      <c r="ADB45" s="12">
        <f>ROUND(ACY45*PremiumMix,0)</f>
        <v/>
      </c>
      <c r="ADC45" s="12">
        <f>ACY45-ADA45-ADB45</f>
        <v/>
      </c>
      <c r="ADD45" s="12">
        <f>ROUND(ACZ45*EssentialMix,0)</f>
        <v/>
      </c>
      <c r="ADE45" s="12">
        <f>ROUND(ACZ45*PremiumMix,0)</f>
        <v/>
      </c>
      <c r="ADF45" s="12">
        <f>ACZ45-ADD45-ADE45</f>
        <v/>
      </c>
      <c r="ADG45" s="12">
        <f>ADA45+ADA44+ADA43+MAX(0,ADG44-ADA44-ADA43)*(1-ACT45)</f>
        <v/>
      </c>
      <c r="ADH45" s="12">
        <f>ADB45+ADB44+ADB43+MAX(0,ADH44-ADB44-ADB43)*(1-ACT45)</f>
        <v/>
      </c>
      <c r="ADI45" s="12">
        <f>ADC45+ADC44+ADC43+MAX(0,ADI44-ADC44-ADC43)*(1-ACT45)</f>
        <v/>
      </c>
      <c r="ADJ45" s="12">
        <f>ADJ44+ADD45-ADD33*(AnnualChurn*VLOOKUP(ACP45,ChurnSeasonTable,4,FALSE))*POWER(1-(AnnualChurn*VLOOKUP(ACP45,ChurnSeasonTable,4,FALSE)),0)+ADD21*(AnnualChurn*VLOOKUP(ACP45,ChurnSeasonTable,4,FALSE))*POWER(1-(AnnualChurn*VLOOKUP(ACP45,ChurnSeasonTable,4,FALSE)),1)+ADD9*(AnnualChurn*VLOOKUP(ACP45,ChurnSeasonTable,4,FALSE))*POWER(1-(AnnualChurn*VLOOKUP(ACP45,ChurnSeasonTable,4,FALSE)),2)</f>
        <v/>
      </c>
      <c r="ADK45" s="12">
        <f>ADK44+ADE45-ADE33*(AnnualChurn*VLOOKUP(ACP45,ChurnSeasonTable,4,FALSE))*POWER(1-(AnnualChurn*VLOOKUP(ACP45,ChurnSeasonTable,4,FALSE)),0)+ADE21*(AnnualChurn*VLOOKUP(ACP45,ChurnSeasonTable,4,FALSE))*POWER(1-(AnnualChurn*VLOOKUP(ACP45,ChurnSeasonTable,4,FALSE)),1)+ADE9*(AnnualChurn*VLOOKUP(ACP45,ChurnSeasonTable,4,FALSE))*POWER(1-(AnnualChurn*VLOOKUP(ACP45,ChurnSeasonTable,4,FALSE)),2)</f>
        <v/>
      </c>
      <c r="ADL45" s="12">
        <f>ADL44+ADF45-ADF33*(AnnualChurn*VLOOKUP(ACP45,ChurnSeasonTable,4,FALSE))*POWER(1-(AnnualChurn*VLOOKUP(ACP45,ChurnSeasonTable,4,FALSE)),0)+ADF21*(AnnualChurn*VLOOKUP(ACP45,ChurnSeasonTable,4,FALSE))*POWER(1-(AnnualChurn*VLOOKUP(ACP45,ChurnSeasonTable,4,FALSE)),1)+ADF9*(AnnualChurn*VLOOKUP(ACP45,ChurnSeasonTable,4,FALSE))*POWER(1-(AnnualChurn*VLOOKUP(ACP45,ChurnSeasonTable,4,FALSE)),2)</f>
        <v/>
      </c>
      <c r="ADM45" s="12">
        <f>ADG45+ADH45+ADI45+ADJ45+ADK45+ADL45</f>
        <v/>
      </c>
      <c r="ADN45" s="9">
        <f>ADG45*BlendedPriceEssMonthly*ACS45+ADH45*BlendedPricePremMonthly*ACS45+ADI45*BlendedPriceEliteMonthly*ACS45+ADJ45*BlendedPriceEssAnnual*ACS45/12+ADK45*BlendedPricePremAnnual*ACS45/12+ADL45*BlendedPriceEliteAnnual*ACS45/12</f>
        <v/>
      </c>
      <c r="ADO45" s="9">
        <f>ADN45*12</f>
        <v/>
      </c>
      <c r="ADP45" s="12">
        <f>ADG45*BlendedPriceEssMonthly*ACS45+ADH45*BlendedPricePremMonthly*ACS45+ADI45*BlendedPriceEliteMonthly*ACS45</f>
        <v/>
      </c>
      <c r="ADQ45" s="12">
        <f>ADD45*BlendedPriceEssAnnual*ACS45+ADE45*BlendedPricePremAnnual*ACS45+ADF45*BlendedPriceEliteAnnual*ACS45</f>
        <v/>
      </c>
      <c r="ADR45" s="12">
        <f>ADD33*POWER(1-(AnnualChurn*VLOOKUP(ACP45,ChurnSeasonTable,4,FALSE)),1)*BlendedPriceEssAnnual*ACS45+ADD21*POWER(1-(AnnualChurn*VLOOKUP(ACP45,ChurnSeasonTable,4,FALSE)),2)*BlendedPriceEssAnnual*ACS45+ADD9*POWER(1-(AnnualChurn*VLOOKUP(ACP45,ChurnSeasonTable,4,FALSE)),3)*BlendedPriceEssAnnual*ACS45+ADE33*POWER(1-(AnnualChurn*VLOOKUP(ACP45,ChurnSeasonTable,4,FALSE)),1)*BlendedPricePremAnnual*ACS45+ADE21*POWER(1-(AnnualChurn*VLOOKUP(ACP45,ChurnSeasonTable,4,FALSE)),2)*BlendedPricePremAnnual*ACS45+ADE9*POWER(1-(AnnualChurn*VLOOKUP(ACP45,ChurnSeasonTable,4,FALSE)),3)*BlendedPricePremAnnual*ACS45+ADF33*POWER(1-(AnnualChurn*VLOOKUP(ACP45,ChurnSeasonTable,4,FALSE)),1)*BlendedPriceEliteAnnual*ACS45+ADF21*POWER(1-(AnnualChurn*VLOOKUP(ACP45,ChurnSeasonTable,4,FALSE)),2)*BlendedPriceEliteAnnual*ACS45+ADF9*POWER(1-(AnnualChurn*VLOOKUP(ACP45,ChurnSeasonTable,4,FALSE)),3)*BlendedPriceEliteAnnual*ACS45</f>
        <v/>
      </c>
      <c r="ADS45" s="9">
        <f>ADP45+ADQ45+ADR45</f>
        <v/>
      </c>
      <c r="ADT45" s="12">
        <f>SUM(ADS34:ADS45)</f>
        <v/>
      </c>
      <c r="ADU45" s="12">
        <f>OR(ADU44,IF(VATAgentMode,SUM($ADS34:$ADS45)-SUM($ADZ34:$ADZ45)&gt;=VATThreshold,SUM($ADS34:$ADS45)&gt;=VATThreshold))</f>
        <v/>
      </c>
      <c r="ADV45" s="9">
        <f>IF(ADU45,IF(VATAgentMode,ADS45-((ADS45-ADZ45)-(ADS45-ADZ45)/(1+VATRate)),ADS45/(1+VATRate)),ADS45)</f>
        <v/>
      </c>
      <c r="ADW45" s="12">
        <f>ADS45-ADV45</f>
        <v/>
      </c>
      <c r="ADX45" s="12">
        <f>IF(ADU45=0,0,IF(ACP45=1,SUMPRODUCT(--(($ACQ$5:$ACQ45=$ACQ45-1)*($ACP$5:$ACP45&gt;=10)*($ACP$5:$ACP45&lt;=12)),$ADW$5:$ADW45),IF(ACP45=4,SUMPRODUCT(--(($ACQ$5:$ACQ45=$ACQ45)*($ACP$5:$ACP45&gt;=1)*($ACP$5:$ACP45&lt;=3)),$ADW$5:$ADW45),IF(ACP45=7,SUMPRODUCT(--(($ACQ$5:$ACQ45=$ACQ45)*($ACP$5:$ACP45&gt;=4)*($ACP$5:$ACP45&lt;=6)),$ADW$5:$ADW45),IF(ACP45=10,SUMPRODUCT(--(($ACQ$5:$ACQ45=$ACQ45)*($ACP$5:$ACP45&gt;=7)*($ACP$5:$ACP45&lt;=9)),$ADW$5:$ADW45),0)))))</f>
        <v/>
      </c>
      <c r="ADY45" s="12">
        <f>ADY44+ADW45-ADX45</f>
        <v/>
      </c>
      <c r="ADZ45" s="12">
        <f>IF(ProviderDelay&gt;=1,ADG44*BlendedProvPayEss+ADH44*BlendedProvPayPrem+ADI44*BlendedProvPayElite+ADJ44*BlendedProvPayEss+ADK44*BlendedProvPayPrem+ADL44*BlendedProvPayElite,ADG45*BlendedProvPayEss+ADH45*BlendedProvPayPrem+ADI45*BlendedProvPayElite+ADJ45*BlendedProvPayEss+ADK45*BlendedProvPayPrem+ADL45*BlendedProvPayElite)</f>
        <v/>
      </c>
      <c r="AEA45" s="12">
        <f>ADS45*PaymentFee</f>
        <v/>
      </c>
      <c r="AEB45" s="12">
        <f>ADM45*OpsAI</f>
        <v/>
      </c>
      <c r="AEC45" s="12">
        <f>MonthlyFixed</f>
        <v/>
      </c>
      <c r="AED45" s="12">
        <f>ACW45*ReferralReward</f>
        <v/>
      </c>
      <c r="AEE45" s="12">
        <f>ACU45</f>
        <v/>
      </c>
      <c r="AEF45" s="9">
        <f>ADV45-ADZ45-AEA45-AEB45-AEC45-AED45-AEE45</f>
        <v/>
      </c>
      <c r="AEG45" s="9">
        <f>AEG44+ADS45-(ADZ45+AEA45+AEB45+AEC45+AED45+AEE45+ADX45)</f>
        <v/>
      </c>
      <c r="AEH45" s="12">
        <f>IF(ADM45&gt;0,ADN45/ADM45,0)</f>
        <v/>
      </c>
      <c r="AEI45" s="11">
        <f>IF(ADM44&gt;0,MAX(0,(ADM44+ACX45-ADM45)/ADM44),0)</f>
        <v/>
      </c>
      <c r="AEK45" s="12" t="n">
        <v>41</v>
      </c>
      <c r="AEL45" s="12">
        <f>MOD(AEK45-1+LaunchMonth-1,12)+1</f>
        <v/>
      </c>
      <c r="AEM45" s="12">
        <f>INT((AEK45-1+LaunchMonth-1)/12)+1</f>
        <v/>
      </c>
      <c r="AEN45" s="12">
        <f>VLOOKUP(AEL45,SeasonTable,2,FALSE)</f>
        <v/>
      </c>
      <c r="AEO45" s="12">
        <f>(1+InflationRate)^INT((AEK45-1)/12)</f>
        <v/>
      </c>
      <c r="AEP45" s="11">
        <f>MonthlyChurn*VLOOKUP(AEL45,ChurnSeasonTable,4,FALSE)</f>
        <v/>
      </c>
      <c r="AEQ45" s="12">
        <f>MIN(MAX(MktMin19plus,AFO44*MktPct19plus),MAX(0,AGC44-CashBuffer))</f>
        <v/>
      </c>
      <c r="AER45" s="12">
        <f>IF(AEQ45&gt;0,MAX(1,ROUND(AEQ45/CAC*AEN45,0)),0)</f>
        <v/>
      </c>
      <c r="AES45" s="12">
        <f>IF(AER45&gt;0,ROUND(AER45*ReferralMix/(1-ReferralMix),0),0)</f>
        <v/>
      </c>
      <c r="AET45" s="12">
        <f>AER45+AES45</f>
        <v/>
      </c>
      <c r="AEU45" s="12">
        <f>ROUND(AET45*(1-'Sens - Annual Mix'!$A$14),0)</f>
        <v/>
      </c>
      <c r="AEV45" s="12">
        <f>AET45-AEU45</f>
        <v/>
      </c>
      <c r="AEW45" s="12">
        <f>ROUND(AEU45*EssentialMix,0)</f>
        <v/>
      </c>
      <c r="AEX45" s="12">
        <f>ROUND(AEU45*PremiumMix,0)</f>
        <v/>
      </c>
      <c r="AEY45" s="12">
        <f>AEU45-AEW45-AEX45</f>
        <v/>
      </c>
      <c r="AEZ45" s="12">
        <f>ROUND(AEV45*EssentialMix,0)</f>
        <v/>
      </c>
      <c r="AFA45" s="12">
        <f>ROUND(AEV45*PremiumMix,0)</f>
        <v/>
      </c>
      <c r="AFB45" s="12">
        <f>AEV45-AEZ45-AFA45</f>
        <v/>
      </c>
      <c r="AFC45" s="12">
        <f>AEW45+AEW44+AEW43+MAX(0,AFC44-AEW44-AEW43)*(1-AEP45)</f>
        <v/>
      </c>
      <c r="AFD45" s="12">
        <f>AEX45+AEX44+AEX43+MAX(0,AFD44-AEX44-AEX43)*(1-AEP45)</f>
        <v/>
      </c>
      <c r="AFE45" s="12">
        <f>AEY45+AEY44+AEY43+MAX(0,AFE44-AEY44-AEY43)*(1-AEP45)</f>
        <v/>
      </c>
      <c r="AFF45" s="12">
        <f>AFF44+AEZ45-AEZ33*(AnnualChurn*VLOOKUP(AEL45,ChurnSeasonTable,4,FALSE))*POWER(1-(AnnualChurn*VLOOKUP(AEL45,ChurnSeasonTable,4,FALSE)),0)+AEZ21*(AnnualChurn*VLOOKUP(AEL45,ChurnSeasonTable,4,FALSE))*POWER(1-(AnnualChurn*VLOOKUP(AEL45,ChurnSeasonTable,4,FALSE)),1)+AEZ9*(AnnualChurn*VLOOKUP(AEL45,ChurnSeasonTable,4,FALSE))*POWER(1-(AnnualChurn*VLOOKUP(AEL45,ChurnSeasonTable,4,FALSE)),2)</f>
        <v/>
      </c>
      <c r="AFG45" s="12">
        <f>AFG44+AFA45-AFA33*(AnnualChurn*VLOOKUP(AEL45,ChurnSeasonTable,4,FALSE))*POWER(1-(AnnualChurn*VLOOKUP(AEL45,ChurnSeasonTable,4,FALSE)),0)+AFA21*(AnnualChurn*VLOOKUP(AEL45,ChurnSeasonTable,4,FALSE))*POWER(1-(AnnualChurn*VLOOKUP(AEL45,ChurnSeasonTable,4,FALSE)),1)+AFA9*(AnnualChurn*VLOOKUP(AEL45,ChurnSeasonTable,4,FALSE))*POWER(1-(AnnualChurn*VLOOKUP(AEL45,ChurnSeasonTable,4,FALSE)),2)</f>
        <v/>
      </c>
      <c r="AFH45" s="12">
        <f>AFH44+AFB45-AFB33*(AnnualChurn*VLOOKUP(AEL45,ChurnSeasonTable,4,FALSE))*POWER(1-(AnnualChurn*VLOOKUP(AEL45,ChurnSeasonTable,4,FALSE)),0)+AFB21*(AnnualChurn*VLOOKUP(AEL45,ChurnSeasonTable,4,FALSE))*POWER(1-(AnnualChurn*VLOOKUP(AEL45,ChurnSeasonTable,4,FALSE)),1)+AFB9*(AnnualChurn*VLOOKUP(AEL45,ChurnSeasonTable,4,FALSE))*POWER(1-(AnnualChurn*VLOOKUP(AEL45,ChurnSeasonTable,4,FALSE)),2)</f>
        <v/>
      </c>
      <c r="AFI45" s="12">
        <f>AFC45+AFD45+AFE45+AFF45+AFG45+AFH45</f>
        <v/>
      </c>
      <c r="AFJ45" s="9">
        <f>AFC45*BlendedPriceEssMonthly*AEO45+AFD45*BlendedPricePremMonthly*AEO45+AFE45*BlendedPriceEliteMonthly*AEO45+AFF45*BlendedPriceEssAnnual*AEO45/12+AFG45*BlendedPricePremAnnual*AEO45/12+AFH45*BlendedPriceEliteAnnual*AEO45/12</f>
        <v/>
      </c>
      <c r="AFK45" s="9">
        <f>AFJ45*12</f>
        <v/>
      </c>
      <c r="AFL45" s="12">
        <f>AFC45*BlendedPriceEssMonthly*AEO45+AFD45*BlendedPricePremMonthly*AEO45+AFE45*BlendedPriceEliteMonthly*AEO45</f>
        <v/>
      </c>
      <c r="AFM45" s="12">
        <f>AEZ45*BlendedPriceEssAnnual*AEO45+AFA45*BlendedPricePremAnnual*AEO45+AFB45*BlendedPriceEliteAnnual*AEO45</f>
        <v/>
      </c>
      <c r="AFN45" s="12">
        <f>AEZ33*POWER(1-(AnnualChurn*VLOOKUP(AEL45,ChurnSeasonTable,4,FALSE)),1)*BlendedPriceEssAnnual*AEO45+AEZ21*POWER(1-(AnnualChurn*VLOOKUP(AEL45,ChurnSeasonTable,4,FALSE)),2)*BlendedPriceEssAnnual*AEO45+AEZ9*POWER(1-(AnnualChurn*VLOOKUP(AEL45,ChurnSeasonTable,4,FALSE)),3)*BlendedPriceEssAnnual*AEO45+AFA33*POWER(1-(AnnualChurn*VLOOKUP(AEL45,ChurnSeasonTable,4,FALSE)),1)*BlendedPricePremAnnual*AEO45+AFA21*POWER(1-(AnnualChurn*VLOOKUP(AEL45,ChurnSeasonTable,4,FALSE)),2)*BlendedPricePremAnnual*AEO45+AFA9*POWER(1-(AnnualChurn*VLOOKUP(AEL45,ChurnSeasonTable,4,FALSE)),3)*BlendedPricePremAnnual*AEO45+AFB33*POWER(1-(AnnualChurn*VLOOKUP(AEL45,ChurnSeasonTable,4,FALSE)),1)*BlendedPriceEliteAnnual*AEO45+AFB21*POWER(1-(AnnualChurn*VLOOKUP(AEL45,ChurnSeasonTable,4,FALSE)),2)*BlendedPriceEliteAnnual*AEO45+AFB9*POWER(1-(AnnualChurn*VLOOKUP(AEL45,ChurnSeasonTable,4,FALSE)),3)*BlendedPriceEliteAnnual*AEO45</f>
        <v/>
      </c>
      <c r="AFO45" s="9">
        <f>AFL45+AFM45+AFN45</f>
        <v/>
      </c>
      <c r="AFP45" s="12">
        <f>SUM(AFO34:AFO45)</f>
        <v/>
      </c>
      <c r="AFQ45" s="12">
        <f>OR(AFQ44,IF(VATAgentMode,SUM($AFO34:$AFO45)-SUM($AFV34:$AFV45)&gt;=VATThreshold,SUM($AFO34:$AFO45)&gt;=VATThreshold))</f>
        <v/>
      </c>
      <c r="AFR45" s="9">
        <f>IF(AFQ45,IF(VATAgentMode,AFO45-((AFO45-AFV45)-(AFO45-AFV45)/(1+VATRate)),AFO45/(1+VATRate)),AFO45)</f>
        <v/>
      </c>
      <c r="AFS45" s="12">
        <f>AFO45-AFR45</f>
        <v/>
      </c>
      <c r="AFT45" s="12">
        <f>IF(AFQ45=0,0,IF(AEL45=1,SUMPRODUCT(--(($AEM$5:$AEM45=$AEM45-1)*($AEL$5:$AEL45&gt;=10)*($AEL$5:$AEL45&lt;=12)),$AFS$5:$AFS45),IF(AEL45=4,SUMPRODUCT(--(($AEM$5:$AEM45=$AEM45)*($AEL$5:$AEL45&gt;=1)*($AEL$5:$AEL45&lt;=3)),$AFS$5:$AFS45),IF(AEL45=7,SUMPRODUCT(--(($AEM$5:$AEM45=$AEM45)*($AEL$5:$AEL45&gt;=4)*($AEL$5:$AEL45&lt;=6)),$AFS$5:$AFS45),IF(AEL45=10,SUMPRODUCT(--(($AEM$5:$AEM45=$AEM45)*($AEL$5:$AEL45&gt;=7)*($AEL$5:$AEL45&lt;=9)),$AFS$5:$AFS45),0)))))</f>
        <v/>
      </c>
      <c r="AFU45" s="12">
        <f>AFU44+AFS45-AFT45</f>
        <v/>
      </c>
      <c r="AFV45" s="12">
        <f>IF(ProviderDelay&gt;=1,AFC44*BlendedProvPayEss+AFD44*BlendedProvPayPrem+AFE44*BlendedProvPayElite+AFF44*BlendedProvPayEss+AFG44*BlendedProvPayPrem+AFH44*BlendedProvPayElite,AFC45*BlendedProvPayEss+AFD45*BlendedProvPayPrem+AFE45*BlendedProvPayElite+AFF45*BlendedProvPayEss+AFG45*BlendedProvPayPrem+AFH45*BlendedProvPayElite)</f>
        <v/>
      </c>
      <c r="AFW45" s="12">
        <f>AFO45*PaymentFee</f>
        <v/>
      </c>
      <c r="AFX45" s="12">
        <f>AFI45*OpsAI</f>
        <v/>
      </c>
      <c r="AFY45" s="12">
        <f>MonthlyFixed</f>
        <v/>
      </c>
      <c r="AFZ45" s="12">
        <f>AES45*ReferralReward</f>
        <v/>
      </c>
      <c r="AGA45" s="12">
        <f>AEQ45</f>
        <v/>
      </c>
      <c r="AGB45" s="9">
        <f>AFR45-AFV45-AFW45-AFX45-AFY45-AFZ45-AGA45</f>
        <v/>
      </c>
      <c r="AGC45" s="9">
        <f>AGC44+AFO45-(AFV45+AFW45+AFX45+AFY45+AFZ45+AGA45+AFT45)</f>
        <v/>
      </c>
      <c r="AGD45" s="12">
        <f>IF(AFI45&gt;0,AFJ45/AFI45,0)</f>
        <v/>
      </c>
      <c r="AGE45" s="11">
        <f>IF(AFI44&gt;0,MAX(0,(AFI44+AET45-AFI45)/AFI44),0)</f>
        <v/>
      </c>
      <c r="AGG45" s="12" t="n">
        <v>41</v>
      </c>
      <c r="AGH45" s="12">
        <f>MOD(AGG45-1+LaunchMonth-1,12)+1</f>
        <v/>
      </c>
      <c r="AGI45" s="12">
        <f>INT((AGG45-1+LaunchMonth-1)/12)+1</f>
        <v/>
      </c>
      <c r="AGJ45" s="12">
        <f>VLOOKUP(AGH45,SeasonTable,2,FALSE)</f>
        <v/>
      </c>
      <c r="AGK45" s="12">
        <f>(1+InflationRate)^INT((AGG45-1)/12)</f>
        <v/>
      </c>
      <c r="AGL45" s="11">
        <f>MonthlyChurn*VLOOKUP(AGH45,ChurnSeasonTable,4,FALSE)</f>
        <v/>
      </c>
      <c r="AGM45" s="12">
        <f>MIN(MAX(MktMin19plus,AHK44*MktPct19plus),MAX(0,AHY44-CashBuffer))</f>
        <v/>
      </c>
      <c r="AGN45" s="12">
        <f>IF(AGM45&gt;0,MAX(1,ROUND(AGM45/CAC*AGJ45,0)),0)</f>
        <v/>
      </c>
      <c r="AGO45" s="12">
        <f>IF(AGN45&gt;0,ROUND(AGN45*ReferralMix/(1-ReferralMix),0),0)</f>
        <v/>
      </c>
      <c r="AGP45" s="12">
        <f>AGN45+AGO45</f>
        <v/>
      </c>
      <c r="AGQ45" s="12">
        <f>ROUND(AGP45*(1-'Sens - Annual Mix'!$A$15),0)</f>
        <v/>
      </c>
      <c r="AGR45" s="12">
        <f>AGP45-AGQ45</f>
        <v/>
      </c>
      <c r="AGS45" s="12">
        <f>ROUND(AGQ45*EssentialMix,0)</f>
        <v/>
      </c>
      <c r="AGT45" s="12">
        <f>ROUND(AGQ45*PremiumMix,0)</f>
        <v/>
      </c>
      <c r="AGU45" s="12">
        <f>AGQ45-AGS45-AGT45</f>
        <v/>
      </c>
      <c r="AGV45" s="12">
        <f>ROUND(AGR45*EssentialMix,0)</f>
        <v/>
      </c>
      <c r="AGW45" s="12">
        <f>ROUND(AGR45*PremiumMix,0)</f>
        <v/>
      </c>
      <c r="AGX45" s="12">
        <f>AGR45-AGV45-AGW45</f>
        <v/>
      </c>
      <c r="AGY45" s="12">
        <f>AGS45+AGS44+AGS43+MAX(0,AGY44-AGS44-AGS43)*(1-AGL45)</f>
        <v/>
      </c>
      <c r="AGZ45" s="12">
        <f>AGT45+AGT44+AGT43+MAX(0,AGZ44-AGT44-AGT43)*(1-AGL45)</f>
        <v/>
      </c>
      <c r="AHA45" s="12">
        <f>AGU45+AGU44+AGU43+MAX(0,AHA44-AGU44-AGU43)*(1-AGL45)</f>
        <v/>
      </c>
      <c r="AHB45" s="12">
        <f>AHB44+AGV45-AGV33*(AnnualChurn*VLOOKUP(AGH45,ChurnSeasonTable,4,FALSE))*POWER(1-(AnnualChurn*VLOOKUP(AGH45,ChurnSeasonTable,4,FALSE)),0)+AGV21*(AnnualChurn*VLOOKUP(AGH45,ChurnSeasonTable,4,FALSE))*POWER(1-(AnnualChurn*VLOOKUP(AGH45,ChurnSeasonTable,4,FALSE)),1)+AGV9*(AnnualChurn*VLOOKUP(AGH45,ChurnSeasonTable,4,FALSE))*POWER(1-(AnnualChurn*VLOOKUP(AGH45,ChurnSeasonTable,4,FALSE)),2)</f>
        <v/>
      </c>
      <c r="AHC45" s="12">
        <f>AHC44+AGW45-AGW33*(AnnualChurn*VLOOKUP(AGH45,ChurnSeasonTable,4,FALSE))*POWER(1-(AnnualChurn*VLOOKUP(AGH45,ChurnSeasonTable,4,FALSE)),0)+AGW21*(AnnualChurn*VLOOKUP(AGH45,ChurnSeasonTable,4,FALSE))*POWER(1-(AnnualChurn*VLOOKUP(AGH45,ChurnSeasonTable,4,FALSE)),1)+AGW9*(AnnualChurn*VLOOKUP(AGH45,ChurnSeasonTable,4,FALSE))*POWER(1-(AnnualChurn*VLOOKUP(AGH45,ChurnSeasonTable,4,FALSE)),2)</f>
        <v/>
      </c>
      <c r="AHD45" s="12">
        <f>AHD44+AGX45-AGX33*(AnnualChurn*VLOOKUP(AGH45,ChurnSeasonTable,4,FALSE))*POWER(1-(AnnualChurn*VLOOKUP(AGH45,ChurnSeasonTable,4,FALSE)),0)+AGX21*(AnnualChurn*VLOOKUP(AGH45,ChurnSeasonTable,4,FALSE))*POWER(1-(AnnualChurn*VLOOKUP(AGH45,ChurnSeasonTable,4,FALSE)),1)+AGX9*(AnnualChurn*VLOOKUP(AGH45,ChurnSeasonTable,4,FALSE))*POWER(1-(AnnualChurn*VLOOKUP(AGH45,ChurnSeasonTable,4,FALSE)),2)</f>
        <v/>
      </c>
      <c r="AHE45" s="12">
        <f>AGY45+AGZ45+AHA45+AHB45+AHC45+AHD45</f>
        <v/>
      </c>
      <c r="AHF45" s="9">
        <f>AGY45*BlendedPriceEssMonthly*AGK45+AGZ45*BlendedPricePremMonthly*AGK45+AHA45*BlendedPriceEliteMonthly*AGK45+AHB45*BlendedPriceEssAnnual*AGK45/12+AHC45*BlendedPricePremAnnual*AGK45/12+AHD45*BlendedPriceEliteAnnual*AGK45/12</f>
        <v/>
      </c>
      <c r="AHG45" s="9">
        <f>AHF45*12</f>
        <v/>
      </c>
      <c r="AHH45" s="12">
        <f>AGY45*BlendedPriceEssMonthly*AGK45+AGZ45*BlendedPricePremMonthly*AGK45+AHA45*BlendedPriceEliteMonthly*AGK45</f>
        <v/>
      </c>
      <c r="AHI45" s="12">
        <f>AGV45*BlendedPriceEssAnnual*AGK45+AGW45*BlendedPricePremAnnual*AGK45+AGX45*BlendedPriceEliteAnnual*AGK45</f>
        <v/>
      </c>
      <c r="AHJ45" s="12">
        <f>AGV33*POWER(1-(AnnualChurn*VLOOKUP(AGH45,ChurnSeasonTable,4,FALSE)),1)*BlendedPriceEssAnnual*AGK45+AGV21*POWER(1-(AnnualChurn*VLOOKUP(AGH45,ChurnSeasonTable,4,FALSE)),2)*BlendedPriceEssAnnual*AGK45+AGV9*POWER(1-(AnnualChurn*VLOOKUP(AGH45,ChurnSeasonTable,4,FALSE)),3)*BlendedPriceEssAnnual*AGK45+AGW33*POWER(1-(AnnualChurn*VLOOKUP(AGH45,ChurnSeasonTable,4,FALSE)),1)*BlendedPricePremAnnual*AGK45+AGW21*POWER(1-(AnnualChurn*VLOOKUP(AGH45,ChurnSeasonTable,4,FALSE)),2)*BlendedPricePremAnnual*AGK45+AGW9*POWER(1-(AnnualChurn*VLOOKUP(AGH45,ChurnSeasonTable,4,FALSE)),3)*BlendedPricePremAnnual*AGK45+AGX33*POWER(1-(AnnualChurn*VLOOKUP(AGH45,ChurnSeasonTable,4,FALSE)),1)*BlendedPriceEliteAnnual*AGK45+AGX21*POWER(1-(AnnualChurn*VLOOKUP(AGH45,ChurnSeasonTable,4,FALSE)),2)*BlendedPriceEliteAnnual*AGK45+AGX9*POWER(1-(AnnualChurn*VLOOKUP(AGH45,ChurnSeasonTable,4,FALSE)),3)*BlendedPriceEliteAnnual*AGK45</f>
        <v/>
      </c>
      <c r="AHK45" s="9">
        <f>AHH45+AHI45+AHJ45</f>
        <v/>
      </c>
      <c r="AHL45" s="12">
        <f>SUM(AHK34:AHK45)</f>
        <v/>
      </c>
      <c r="AHM45" s="12">
        <f>OR(AHM44,IF(VATAgentMode,SUM($AHK34:$AHK45)-SUM($AHR34:$AHR45)&gt;=VATThreshold,SUM($AHK34:$AHK45)&gt;=VATThreshold))</f>
        <v/>
      </c>
      <c r="AHN45" s="9">
        <f>IF(AHM45,IF(VATAgentMode,AHK45-((AHK45-AHR45)-(AHK45-AHR45)/(1+VATRate)),AHK45/(1+VATRate)),AHK45)</f>
        <v/>
      </c>
      <c r="AHO45" s="12">
        <f>AHK45-AHN45</f>
        <v/>
      </c>
      <c r="AHP45" s="12">
        <f>IF(AHM45=0,0,IF(AGH45=1,SUMPRODUCT(--(($AGI$5:$AGI45=$AGI45-1)*($AGH$5:$AGH45&gt;=10)*($AGH$5:$AGH45&lt;=12)),$AHO$5:$AHO45),IF(AGH45=4,SUMPRODUCT(--(($AGI$5:$AGI45=$AGI45)*($AGH$5:$AGH45&gt;=1)*($AGH$5:$AGH45&lt;=3)),$AHO$5:$AHO45),IF(AGH45=7,SUMPRODUCT(--(($AGI$5:$AGI45=$AGI45)*($AGH$5:$AGH45&gt;=4)*($AGH$5:$AGH45&lt;=6)),$AHO$5:$AHO45),IF(AGH45=10,SUMPRODUCT(--(($AGI$5:$AGI45=$AGI45)*($AGH$5:$AGH45&gt;=7)*($AGH$5:$AGH45&lt;=9)),$AHO$5:$AHO45),0)))))</f>
        <v/>
      </c>
      <c r="AHQ45" s="12">
        <f>AHQ44+AHO45-AHP45</f>
        <v/>
      </c>
      <c r="AHR45" s="12">
        <f>IF(ProviderDelay&gt;=1,AGY44*BlendedProvPayEss+AGZ44*BlendedProvPayPrem+AHA44*BlendedProvPayElite+AHB44*BlendedProvPayEss+AHC44*BlendedProvPayPrem+AHD44*BlendedProvPayElite,AGY45*BlendedProvPayEss+AGZ45*BlendedProvPayPrem+AHA45*BlendedProvPayElite+AHB45*BlendedProvPayEss+AHC45*BlendedProvPayPrem+AHD45*BlendedProvPayElite)</f>
        <v/>
      </c>
      <c r="AHS45" s="12">
        <f>AHK45*PaymentFee</f>
        <v/>
      </c>
      <c r="AHT45" s="12">
        <f>AHE45*OpsAI</f>
        <v/>
      </c>
      <c r="AHU45" s="12">
        <f>MonthlyFixed</f>
        <v/>
      </c>
      <c r="AHV45" s="12">
        <f>AGO45*ReferralReward</f>
        <v/>
      </c>
      <c r="AHW45" s="12">
        <f>AGM45</f>
        <v/>
      </c>
      <c r="AHX45" s="9">
        <f>AHN45-AHR45-AHS45-AHT45-AHU45-AHV45-AHW45</f>
        <v/>
      </c>
      <c r="AHY45" s="9">
        <f>AHY44+AHK45-(AHR45+AHS45+AHT45+AHU45+AHV45+AHW45+AHP45)</f>
        <v/>
      </c>
      <c r="AHZ45" s="12">
        <f>IF(AHE45&gt;0,AHF45/AHE45,0)</f>
        <v/>
      </c>
      <c r="AIA45" s="11">
        <f>IF(AHE44&gt;0,MAX(0,(AHE44+AGP45-AHE45)/AHE44),0)</f>
        <v/>
      </c>
      <c r="AIC45" s="12" t="n">
        <v>41</v>
      </c>
      <c r="AID45" s="12">
        <f>MOD(AIC45-1+LaunchMonth-1,12)+1</f>
        <v/>
      </c>
      <c r="AIE45" s="12">
        <f>INT((AIC45-1+LaunchMonth-1)/12)+1</f>
        <v/>
      </c>
      <c r="AIF45" s="12">
        <f>VLOOKUP(AID45,SeasonTable,2,FALSE)</f>
        <v/>
      </c>
      <c r="AIG45" s="12">
        <f>(1+InflationRate)^INT((AIC45-1)/12)</f>
        <v/>
      </c>
      <c r="AIH45" s="11">
        <f>MonthlyChurn*VLOOKUP(AID45,ChurnSeasonTable,4,FALSE)</f>
        <v/>
      </c>
      <c r="AII45" s="12">
        <f>MIN(MAX(MktMin19plus,AJG44*MktPct19plus),MAX(0,AJU44-CashBuffer))</f>
        <v/>
      </c>
      <c r="AIJ45" s="12">
        <f>IF(AII45&gt;0,MAX(1,ROUND(AII45/'Sens - CAC &amp; Marketing'!$A$9*AIF45,0)),0)</f>
        <v/>
      </c>
      <c r="AIK45" s="12">
        <f>IF(AIJ45&gt;0,ROUND(AIJ45*ReferralMix/(1-ReferralMix),0),0)</f>
        <v/>
      </c>
      <c r="AIL45" s="12">
        <f>AIJ45+AIK45</f>
        <v/>
      </c>
      <c r="AIM45" s="12">
        <f>ROUND(AIL45*(1-AnnualMix),0)</f>
        <v/>
      </c>
      <c r="AIN45" s="12">
        <f>AIL45-AIM45</f>
        <v/>
      </c>
      <c r="AIO45" s="12">
        <f>ROUND(AIM45*EssentialMix,0)</f>
        <v/>
      </c>
      <c r="AIP45" s="12">
        <f>ROUND(AIM45*PremiumMix,0)</f>
        <v/>
      </c>
      <c r="AIQ45" s="12">
        <f>AIM45-AIO45-AIP45</f>
        <v/>
      </c>
      <c r="AIR45" s="12">
        <f>ROUND(AIN45*EssentialMix,0)</f>
        <v/>
      </c>
      <c r="AIS45" s="12">
        <f>ROUND(AIN45*PremiumMix,0)</f>
        <v/>
      </c>
      <c r="AIT45" s="12">
        <f>AIN45-AIR45-AIS45</f>
        <v/>
      </c>
      <c r="AIU45" s="12">
        <f>AIO45+AIO44+AIO43+MAX(0,AIU44-AIO44-AIO43)*(1-AIH45)</f>
        <v/>
      </c>
      <c r="AIV45" s="12">
        <f>AIP45+AIP44+AIP43+MAX(0,AIV44-AIP44-AIP43)*(1-AIH45)</f>
        <v/>
      </c>
      <c r="AIW45" s="12">
        <f>AIQ45+AIQ44+AIQ43+MAX(0,AIW44-AIQ44-AIQ43)*(1-AIH45)</f>
        <v/>
      </c>
      <c r="AIX45" s="12">
        <f>AIX44+AIR45-AIR33*(AnnualChurn*VLOOKUP(AID45,ChurnSeasonTable,4,FALSE))*POWER(1-(AnnualChurn*VLOOKUP(AID45,ChurnSeasonTable,4,FALSE)),0)+AIR21*(AnnualChurn*VLOOKUP(AID45,ChurnSeasonTable,4,FALSE))*POWER(1-(AnnualChurn*VLOOKUP(AID45,ChurnSeasonTable,4,FALSE)),1)+AIR9*(AnnualChurn*VLOOKUP(AID45,ChurnSeasonTable,4,FALSE))*POWER(1-(AnnualChurn*VLOOKUP(AID45,ChurnSeasonTable,4,FALSE)),2)</f>
        <v/>
      </c>
      <c r="AIY45" s="12">
        <f>AIY44+AIS45-AIS33*(AnnualChurn*VLOOKUP(AID45,ChurnSeasonTable,4,FALSE))*POWER(1-(AnnualChurn*VLOOKUP(AID45,ChurnSeasonTable,4,FALSE)),0)+AIS21*(AnnualChurn*VLOOKUP(AID45,ChurnSeasonTable,4,FALSE))*POWER(1-(AnnualChurn*VLOOKUP(AID45,ChurnSeasonTable,4,FALSE)),1)+AIS9*(AnnualChurn*VLOOKUP(AID45,ChurnSeasonTable,4,FALSE))*POWER(1-(AnnualChurn*VLOOKUP(AID45,ChurnSeasonTable,4,FALSE)),2)</f>
        <v/>
      </c>
      <c r="AIZ45" s="12">
        <f>AIZ44+AIT45-AIT33*(AnnualChurn*VLOOKUP(AID45,ChurnSeasonTable,4,FALSE))*POWER(1-(AnnualChurn*VLOOKUP(AID45,ChurnSeasonTable,4,FALSE)),0)+AIT21*(AnnualChurn*VLOOKUP(AID45,ChurnSeasonTable,4,FALSE))*POWER(1-(AnnualChurn*VLOOKUP(AID45,ChurnSeasonTable,4,FALSE)),1)+AIT9*(AnnualChurn*VLOOKUP(AID45,ChurnSeasonTable,4,FALSE))*POWER(1-(AnnualChurn*VLOOKUP(AID45,ChurnSeasonTable,4,FALSE)),2)</f>
        <v/>
      </c>
      <c r="AJA45" s="12">
        <f>AIU45+AIV45+AIW45+AIX45+AIY45+AIZ45</f>
        <v/>
      </c>
      <c r="AJB45" s="9">
        <f>AIU45*BlendedPriceEssMonthly*AIG45+AIV45*BlendedPricePremMonthly*AIG45+AIW45*BlendedPriceEliteMonthly*AIG45+AIX45*BlendedPriceEssAnnual*AIG45/12+AIY45*BlendedPricePremAnnual*AIG45/12+AIZ45*BlendedPriceEliteAnnual*AIG45/12</f>
        <v/>
      </c>
      <c r="AJC45" s="9">
        <f>AJB45*12</f>
        <v/>
      </c>
      <c r="AJD45" s="12">
        <f>AIU45*BlendedPriceEssMonthly*AIG45+AIV45*BlendedPricePremMonthly*AIG45+AIW45*BlendedPriceEliteMonthly*AIG45</f>
        <v/>
      </c>
      <c r="AJE45" s="12">
        <f>AIR45*BlendedPriceEssAnnual*AIG45+AIS45*BlendedPricePremAnnual*AIG45+AIT45*BlendedPriceEliteAnnual*AIG45</f>
        <v/>
      </c>
      <c r="AJF45" s="12">
        <f>AIR33*POWER(1-(AnnualChurn*VLOOKUP(AID45,ChurnSeasonTable,4,FALSE)),1)*BlendedPriceEssAnnual*AIG45+AIR21*POWER(1-(AnnualChurn*VLOOKUP(AID45,ChurnSeasonTable,4,FALSE)),2)*BlendedPriceEssAnnual*AIG45+AIR9*POWER(1-(AnnualChurn*VLOOKUP(AID45,ChurnSeasonTable,4,FALSE)),3)*BlendedPriceEssAnnual*AIG45+AIS33*POWER(1-(AnnualChurn*VLOOKUP(AID45,ChurnSeasonTable,4,FALSE)),1)*BlendedPricePremAnnual*AIG45+AIS21*POWER(1-(AnnualChurn*VLOOKUP(AID45,ChurnSeasonTable,4,FALSE)),2)*BlendedPricePremAnnual*AIG45+AIS9*POWER(1-(AnnualChurn*VLOOKUP(AID45,ChurnSeasonTable,4,FALSE)),3)*BlendedPricePremAnnual*AIG45+AIT33*POWER(1-(AnnualChurn*VLOOKUP(AID45,ChurnSeasonTable,4,FALSE)),1)*BlendedPriceEliteAnnual*AIG45+AIT21*POWER(1-(AnnualChurn*VLOOKUP(AID45,ChurnSeasonTable,4,FALSE)),2)*BlendedPriceEliteAnnual*AIG45+AIT9*POWER(1-(AnnualChurn*VLOOKUP(AID45,ChurnSeasonTable,4,FALSE)),3)*BlendedPriceEliteAnnual*AIG45</f>
        <v/>
      </c>
      <c r="AJG45" s="9">
        <f>AJD45+AJE45+AJF45</f>
        <v/>
      </c>
      <c r="AJH45" s="12">
        <f>SUM(AJG34:AJG45)</f>
        <v/>
      </c>
      <c r="AJI45" s="12">
        <f>OR(AJI44,IF(VATAgentMode,SUM($AJG34:$AJG45)-SUM($AJN34:$AJN45)&gt;=VATThreshold,SUM($AJG34:$AJG45)&gt;=VATThreshold))</f>
        <v/>
      </c>
      <c r="AJJ45" s="9">
        <f>IF(AJI45,IF(VATAgentMode,AJG45-((AJG45-AJN45)-(AJG45-AJN45)/(1+VATRate)),AJG45/(1+VATRate)),AJG45)</f>
        <v/>
      </c>
      <c r="AJK45" s="12">
        <f>AJG45-AJJ45</f>
        <v/>
      </c>
      <c r="AJL45" s="12">
        <f>IF(AJI45=0,0,IF(AID45=1,SUMPRODUCT(--(($AIE$5:$AIE45=$AIE45-1)*($AID$5:$AID45&gt;=10)*($AID$5:$AID45&lt;=12)),$AJK$5:$AJK45),IF(AID45=4,SUMPRODUCT(--(($AIE$5:$AIE45=$AIE45)*($AID$5:$AID45&gt;=1)*($AID$5:$AID45&lt;=3)),$AJK$5:$AJK45),IF(AID45=7,SUMPRODUCT(--(($AIE$5:$AIE45=$AIE45)*($AID$5:$AID45&gt;=4)*($AID$5:$AID45&lt;=6)),$AJK$5:$AJK45),IF(AID45=10,SUMPRODUCT(--(($AIE$5:$AIE45=$AIE45)*($AID$5:$AID45&gt;=7)*($AID$5:$AID45&lt;=9)),$AJK$5:$AJK45),0)))))</f>
        <v/>
      </c>
      <c r="AJM45" s="12">
        <f>AJM44+AJK45-AJL45</f>
        <v/>
      </c>
      <c r="AJN45" s="12">
        <f>IF(ProviderDelay&gt;=1,AIU44*BlendedProvPayEss+AIV44*BlendedProvPayPrem+AIW44*BlendedProvPayElite+AIX44*BlendedProvPayEss+AIY44*BlendedProvPayPrem+AIZ44*BlendedProvPayElite,AIU45*BlendedProvPayEss+AIV45*BlendedProvPayPrem+AIW45*BlendedProvPayElite+AIX45*BlendedProvPayEss+AIY45*BlendedProvPayPrem+AIZ45*BlendedProvPayElite)</f>
        <v/>
      </c>
      <c r="AJO45" s="12">
        <f>AJG45*PaymentFee</f>
        <v/>
      </c>
      <c r="AJP45" s="12">
        <f>AJA45*OpsAI</f>
        <v/>
      </c>
      <c r="AJQ45" s="12">
        <f>MonthlyFixed</f>
        <v/>
      </c>
      <c r="AJR45" s="12">
        <f>AIK45*ReferralReward</f>
        <v/>
      </c>
      <c r="AJS45" s="12">
        <f>AII45</f>
        <v/>
      </c>
      <c r="AJT45" s="9">
        <f>AJJ45-AJN45-AJO45-AJP45-AJQ45-AJR45-AJS45</f>
        <v/>
      </c>
      <c r="AJU45" s="9">
        <f>AJU44+AJG45-(AJN45+AJO45+AJP45+AJQ45+AJR45+AJS45+AJL45)</f>
        <v/>
      </c>
      <c r="AJV45" s="12">
        <f>IF(AJA45&gt;0,AJB45/AJA45,0)</f>
        <v/>
      </c>
      <c r="AJW45" s="11">
        <f>IF(AJA44&gt;0,MAX(0,(AJA44+AIL45-AJA45)/AJA44),0)</f>
        <v/>
      </c>
      <c r="AJY45" s="12" t="n">
        <v>41</v>
      </c>
      <c r="AJZ45" s="12">
        <f>MOD(AJY45-1+LaunchMonth-1,12)+1</f>
        <v/>
      </c>
      <c r="AKA45" s="12">
        <f>INT((AJY45-1+LaunchMonth-1)/12)+1</f>
        <v/>
      </c>
      <c r="AKB45" s="12">
        <f>VLOOKUP(AJZ45,SeasonTable,2,FALSE)</f>
        <v/>
      </c>
      <c r="AKC45" s="12">
        <f>(1+InflationRate)^INT((AJY45-1)/12)</f>
        <v/>
      </c>
      <c r="AKD45" s="11">
        <f>MonthlyChurn*VLOOKUP(AJZ45,ChurnSeasonTable,4,FALSE)</f>
        <v/>
      </c>
      <c r="AKE45" s="12">
        <f>MIN(MAX(MktMin19plus,ALC44*MktPct19plus),MAX(0,ALQ44-CashBuffer))</f>
        <v/>
      </c>
      <c r="AKF45" s="12">
        <f>IF(AKE45&gt;0,MAX(1,ROUND(AKE45/'Sens - CAC &amp; Marketing'!$A$10*AKB45,0)),0)</f>
        <v/>
      </c>
      <c r="AKG45" s="12">
        <f>IF(AKF45&gt;0,ROUND(AKF45*ReferralMix/(1-ReferralMix),0),0)</f>
        <v/>
      </c>
      <c r="AKH45" s="12">
        <f>AKF45+AKG45</f>
        <v/>
      </c>
      <c r="AKI45" s="12">
        <f>ROUND(AKH45*(1-AnnualMix),0)</f>
        <v/>
      </c>
      <c r="AKJ45" s="12">
        <f>AKH45-AKI45</f>
        <v/>
      </c>
      <c r="AKK45" s="12">
        <f>ROUND(AKI45*EssentialMix,0)</f>
        <v/>
      </c>
      <c r="AKL45" s="12">
        <f>ROUND(AKI45*PremiumMix,0)</f>
        <v/>
      </c>
      <c r="AKM45" s="12">
        <f>AKI45-AKK45-AKL45</f>
        <v/>
      </c>
      <c r="AKN45" s="12">
        <f>ROUND(AKJ45*EssentialMix,0)</f>
        <v/>
      </c>
      <c r="AKO45" s="12">
        <f>ROUND(AKJ45*PremiumMix,0)</f>
        <v/>
      </c>
      <c r="AKP45" s="12">
        <f>AKJ45-AKN45-AKO45</f>
        <v/>
      </c>
      <c r="AKQ45" s="12">
        <f>AKK45+AKK44+AKK43+MAX(0,AKQ44-AKK44-AKK43)*(1-AKD45)</f>
        <v/>
      </c>
      <c r="AKR45" s="12">
        <f>AKL45+AKL44+AKL43+MAX(0,AKR44-AKL44-AKL43)*(1-AKD45)</f>
        <v/>
      </c>
      <c r="AKS45" s="12">
        <f>AKM45+AKM44+AKM43+MAX(0,AKS44-AKM44-AKM43)*(1-AKD45)</f>
        <v/>
      </c>
      <c r="AKT45" s="12">
        <f>AKT44+AKN45-AKN33*(AnnualChurn*VLOOKUP(AJZ45,ChurnSeasonTable,4,FALSE))*POWER(1-(AnnualChurn*VLOOKUP(AJZ45,ChurnSeasonTable,4,FALSE)),0)+AKN21*(AnnualChurn*VLOOKUP(AJZ45,ChurnSeasonTable,4,FALSE))*POWER(1-(AnnualChurn*VLOOKUP(AJZ45,ChurnSeasonTable,4,FALSE)),1)+AKN9*(AnnualChurn*VLOOKUP(AJZ45,ChurnSeasonTable,4,FALSE))*POWER(1-(AnnualChurn*VLOOKUP(AJZ45,ChurnSeasonTable,4,FALSE)),2)</f>
        <v/>
      </c>
      <c r="AKU45" s="12">
        <f>AKU44+AKO45-AKO33*(AnnualChurn*VLOOKUP(AJZ45,ChurnSeasonTable,4,FALSE))*POWER(1-(AnnualChurn*VLOOKUP(AJZ45,ChurnSeasonTable,4,FALSE)),0)+AKO21*(AnnualChurn*VLOOKUP(AJZ45,ChurnSeasonTable,4,FALSE))*POWER(1-(AnnualChurn*VLOOKUP(AJZ45,ChurnSeasonTable,4,FALSE)),1)+AKO9*(AnnualChurn*VLOOKUP(AJZ45,ChurnSeasonTable,4,FALSE))*POWER(1-(AnnualChurn*VLOOKUP(AJZ45,ChurnSeasonTable,4,FALSE)),2)</f>
        <v/>
      </c>
      <c r="AKV45" s="12">
        <f>AKV44+AKP45-AKP33*(AnnualChurn*VLOOKUP(AJZ45,ChurnSeasonTable,4,FALSE))*POWER(1-(AnnualChurn*VLOOKUP(AJZ45,ChurnSeasonTable,4,FALSE)),0)+AKP21*(AnnualChurn*VLOOKUP(AJZ45,ChurnSeasonTable,4,FALSE))*POWER(1-(AnnualChurn*VLOOKUP(AJZ45,ChurnSeasonTable,4,FALSE)),1)+AKP9*(AnnualChurn*VLOOKUP(AJZ45,ChurnSeasonTable,4,FALSE))*POWER(1-(AnnualChurn*VLOOKUP(AJZ45,ChurnSeasonTable,4,FALSE)),2)</f>
        <v/>
      </c>
      <c r="AKW45" s="12">
        <f>AKQ45+AKR45+AKS45+AKT45+AKU45+AKV45</f>
        <v/>
      </c>
      <c r="AKX45" s="9">
        <f>AKQ45*BlendedPriceEssMonthly*AKC45+AKR45*BlendedPricePremMonthly*AKC45+AKS45*BlendedPriceEliteMonthly*AKC45+AKT45*BlendedPriceEssAnnual*AKC45/12+AKU45*BlendedPricePremAnnual*AKC45/12+AKV45*BlendedPriceEliteAnnual*AKC45/12</f>
        <v/>
      </c>
      <c r="AKY45" s="9">
        <f>AKX45*12</f>
        <v/>
      </c>
      <c r="AKZ45" s="12">
        <f>AKQ45*BlendedPriceEssMonthly*AKC45+AKR45*BlendedPricePremMonthly*AKC45+AKS45*BlendedPriceEliteMonthly*AKC45</f>
        <v/>
      </c>
      <c r="ALA45" s="12">
        <f>AKN45*BlendedPriceEssAnnual*AKC45+AKO45*BlendedPricePremAnnual*AKC45+AKP45*BlendedPriceEliteAnnual*AKC45</f>
        <v/>
      </c>
      <c r="ALB45" s="12">
        <f>AKN33*POWER(1-(AnnualChurn*VLOOKUP(AJZ45,ChurnSeasonTable,4,FALSE)),1)*BlendedPriceEssAnnual*AKC45+AKN21*POWER(1-(AnnualChurn*VLOOKUP(AJZ45,ChurnSeasonTable,4,FALSE)),2)*BlendedPriceEssAnnual*AKC45+AKN9*POWER(1-(AnnualChurn*VLOOKUP(AJZ45,ChurnSeasonTable,4,FALSE)),3)*BlendedPriceEssAnnual*AKC45+AKO33*POWER(1-(AnnualChurn*VLOOKUP(AJZ45,ChurnSeasonTable,4,FALSE)),1)*BlendedPricePremAnnual*AKC45+AKO21*POWER(1-(AnnualChurn*VLOOKUP(AJZ45,ChurnSeasonTable,4,FALSE)),2)*BlendedPricePremAnnual*AKC45+AKO9*POWER(1-(AnnualChurn*VLOOKUP(AJZ45,ChurnSeasonTable,4,FALSE)),3)*BlendedPricePremAnnual*AKC45+AKP33*POWER(1-(AnnualChurn*VLOOKUP(AJZ45,ChurnSeasonTable,4,FALSE)),1)*BlendedPriceEliteAnnual*AKC45+AKP21*POWER(1-(AnnualChurn*VLOOKUP(AJZ45,ChurnSeasonTable,4,FALSE)),2)*BlendedPriceEliteAnnual*AKC45+AKP9*POWER(1-(AnnualChurn*VLOOKUP(AJZ45,ChurnSeasonTable,4,FALSE)),3)*BlendedPriceEliteAnnual*AKC45</f>
        <v/>
      </c>
      <c r="ALC45" s="9">
        <f>AKZ45+ALA45+ALB45</f>
        <v/>
      </c>
      <c r="ALD45" s="12">
        <f>SUM(ALC34:ALC45)</f>
        <v/>
      </c>
      <c r="ALE45" s="12">
        <f>OR(ALE44,IF(VATAgentMode,SUM($ALC34:$ALC45)-SUM($ALJ34:$ALJ45)&gt;=VATThreshold,SUM($ALC34:$ALC45)&gt;=VATThreshold))</f>
        <v/>
      </c>
      <c r="ALF45" s="9">
        <f>IF(ALE45,IF(VATAgentMode,ALC45-((ALC45-ALJ45)-(ALC45-ALJ45)/(1+VATRate)),ALC45/(1+VATRate)),ALC45)</f>
        <v/>
      </c>
      <c r="ALG45" s="12">
        <f>ALC45-ALF45</f>
        <v/>
      </c>
      <c r="ALH45" s="12">
        <f>IF(ALE45=0,0,IF(AJZ45=1,SUMPRODUCT(--(($AKA$5:$AKA45=$AKA45-1)*($AJZ$5:$AJZ45&gt;=10)*($AJZ$5:$AJZ45&lt;=12)),$ALG$5:$ALG45),IF(AJZ45=4,SUMPRODUCT(--(($AKA$5:$AKA45=$AKA45)*($AJZ$5:$AJZ45&gt;=1)*($AJZ$5:$AJZ45&lt;=3)),$ALG$5:$ALG45),IF(AJZ45=7,SUMPRODUCT(--(($AKA$5:$AKA45=$AKA45)*($AJZ$5:$AJZ45&gt;=4)*($AJZ$5:$AJZ45&lt;=6)),$ALG$5:$ALG45),IF(AJZ45=10,SUMPRODUCT(--(($AKA$5:$AKA45=$AKA45)*($AJZ$5:$AJZ45&gt;=7)*($AJZ$5:$AJZ45&lt;=9)),$ALG$5:$ALG45),0)))))</f>
        <v/>
      </c>
      <c r="ALI45" s="12">
        <f>ALI44+ALG45-ALH45</f>
        <v/>
      </c>
      <c r="ALJ45" s="12">
        <f>IF(ProviderDelay&gt;=1,AKQ44*BlendedProvPayEss+AKR44*BlendedProvPayPrem+AKS44*BlendedProvPayElite+AKT44*BlendedProvPayEss+AKU44*BlendedProvPayPrem+AKV44*BlendedProvPayElite,AKQ45*BlendedProvPayEss+AKR45*BlendedProvPayPrem+AKS45*BlendedProvPayElite+AKT45*BlendedProvPayEss+AKU45*BlendedProvPayPrem+AKV45*BlendedProvPayElite)</f>
        <v/>
      </c>
      <c r="ALK45" s="12">
        <f>ALC45*PaymentFee</f>
        <v/>
      </c>
      <c r="ALL45" s="12">
        <f>AKW45*OpsAI</f>
        <v/>
      </c>
      <c r="ALM45" s="12">
        <f>MonthlyFixed</f>
        <v/>
      </c>
      <c r="ALN45" s="12">
        <f>AKG45*ReferralReward</f>
        <v/>
      </c>
      <c r="ALO45" s="12">
        <f>AKE45</f>
        <v/>
      </c>
      <c r="ALP45" s="9">
        <f>ALF45-ALJ45-ALK45-ALL45-ALM45-ALN45-ALO45</f>
        <v/>
      </c>
      <c r="ALQ45" s="9">
        <f>ALQ44+ALC45-(ALJ45+ALK45+ALL45+ALM45+ALN45+ALO45+ALH45)</f>
        <v/>
      </c>
      <c r="ALR45" s="12">
        <f>IF(AKW45&gt;0,AKX45/AKW45,0)</f>
        <v/>
      </c>
      <c r="ALS45" s="11">
        <f>IF(AKW44&gt;0,MAX(0,(AKW44+AKH45-AKW45)/AKW44),0)</f>
        <v/>
      </c>
      <c r="ALU45" s="12" t="n">
        <v>41</v>
      </c>
      <c r="ALV45" s="12">
        <f>MOD(ALU45-1+LaunchMonth-1,12)+1</f>
        <v/>
      </c>
      <c r="ALW45" s="12">
        <f>INT((ALU45-1+LaunchMonth-1)/12)+1</f>
        <v/>
      </c>
      <c r="ALX45" s="12">
        <f>VLOOKUP(ALV45,SeasonTable,2,FALSE)</f>
        <v/>
      </c>
      <c r="ALY45" s="12">
        <f>(1+InflationRate)^INT((ALU45-1)/12)</f>
        <v/>
      </c>
      <c r="ALZ45" s="11">
        <f>MonthlyChurn*VLOOKUP(ALV45,ChurnSeasonTable,4,FALSE)</f>
        <v/>
      </c>
      <c r="AMA45" s="12">
        <f>MIN(MAX(MktMin19plus,AMY44*MktPct19plus),MAX(0,ANM44-CashBuffer))</f>
        <v/>
      </c>
      <c r="AMB45" s="12">
        <f>IF(AMA45&gt;0,MAX(1,ROUND(AMA45/'Sens - CAC &amp; Marketing'!$A$11*ALX45,0)),0)</f>
        <v/>
      </c>
      <c r="AMC45" s="12">
        <f>IF(AMB45&gt;0,ROUND(AMB45*ReferralMix/(1-ReferralMix),0),0)</f>
        <v/>
      </c>
      <c r="AMD45" s="12">
        <f>AMB45+AMC45</f>
        <v/>
      </c>
      <c r="AME45" s="12">
        <f>ROUND(AMD45*(1-AnnualMix),0)</f>
        <v/>
      </c>
      <c r="AMF45" s="12">
        <f>AMD45-AME45</f>
        <v/>
      </c>
      <c r="AMG45" s="12">
        <f>ROUND(AME45*EssentialMix,0)</f>
        <v/>
      </c>
      <c r="AMH45" s="12">
        <f>ROUND(AME45*PremiumMix,0)</f>
        <v/>
      </c>
      <c r="AMI45" s="12">
        <f>AME45-AMG45-AMH45</f>
        <v/>
      </c>
      <c r="AMJ45" s="12">
        <f>ROUND(AMF45*EssentialMix,0)</f>
        <v/>
      </c>
      <c r="AMK45" s="12">
        <f>ROUND(AMF45*PremiumMix,0)</f>
        <v/>
      </c>
      <c r="AML45" s="12">
        <f>AMF45-AMJ45-AMK45</f>
        <v/>
      </c>
      <c r="AMM45" s="12">
        <f>AMG45+AMG44+AMG43+MAX(0,AMM44-AMG44-AMG43)*(1-ALZ45)</f>
        <v/>
      </c>
      <c r="AMN45" s="12">
        <f>AMH45+AMH44+AMH43+MAX(0,AMN44-AMH44-AMH43)*(1-ALZ45)</f>
        <v/>
      </c>
      <c r="AMO45" s="12">
        <f>AMI45+AMI44+AMI43+MAX(0,AMO44-AMI44-AMI43)*(1-ALZ45)</f>
        <v/>
      </c>
      <c r="AMP45" s="12">
        <f>AMP44+AMJ45-AMJ33*(AnnualChurn*VLOOKUP(ALV45,ChurnSeasonTable,4,FALSE))*POWER(1-(AnnualChurn*VLOOKUP(ALV45,ChurnSeasonTable,4,FALSE)),0)+AMJ21*(AnnualChurn*VLOOKUP(ALV45,ChurnSeasonTable,4,FALSE))*POWER(1-(AnnualChurn*VLOOKUP(ALV45,ChurnSeasonTable,4,FALSE)),1)+AMJ9*(AnnualChurn*VLOOKUP(ALV45,ChurnSeasonTable,4,FALSE))*POWER(1-(AnnualChurn*VLOOKUP(ALV45,ChurnSeasonTable,4,FALSE)),2)</f>
        <v/>
      </c>
      <c r="AMQ45" s="12">
        <f>AMQ44+AMK45-AMK33*(AnnualChurn*VLOOKUP(ALV45,ChurnSeasonTable,4,FALSE))*POWER(1-(AnnualChurn*VLOOKUP(ALV45,ChurnSeasonTable,4,FALSE)),0)+AMK21*(AnnualChurn*VLOOKUP(ALV45,ChurnSeasonTable,4,FALSE))*POWER(1-(AnnualChurn*VLOOKUP(ALV45,ChurnSeasonTable,4,FALSE)),1)+AMK9*(AnnualChurn*VLOOKUP(ALV45,ChurnSeasonTable,4,FALSE))*POWER(1-(AnnualChurn*VLOOKUP(ALV45,ChurnSeasonTable,4,FALSE)),2)</f>
        <v/>
      </c>
      <c r="AMR45" s="12">
        <f>AMR44+AML45-AML33*(AnnualChurn*VLOOKUP(ALV45,ChurnSeasonTable,4,FALSE))*POWER(1-(AnnualChurn*VLOOKUP(ALV45,ChurnSeasonTable,4,FALSE)),0)+AML21*(AnnualChurn*VLOOKUP(ALV45,ChurnSeasonTable,4,FALSE))*POWER(1-(AnnualChurn*VLOOKUP(ALV45,ChurnSeasonTable,4,FALSE)),1)+AML9*(AnnualChurn*VLOOKUP(ALV45,ChurnSeasonTable,4,FALSE))*POWER(1-(AnnualChurn*VLOOKUP(ALV45,ChurnSeasonTable,4,FALSE)),2)</f>
        <v/>
      </c>
      <c r="AMS45" s="12">
        <f>AMM45+AMN45+AMO45+AMP45+AMQ45+AMR45</f>
        <v/>
      </c>
      <c r="AMT45" s="9">
        <f>AMM45*BlendedPriceEssMonthly*ALY45+AMN45*BlendedPricePremMonthly*ALY45+AMO45*BlendedPriceEliteMonthly*ALY45+AMP45*BlendedPriceEssAnnual*ALY45/12+AMQ45*BlendedPricePremAnnual*ALY45/12+AMR45*BlendedPriceEliteAnnual*ALY45/12</f>
        <v/>
      </c>
      <c r="AMU45" s="9">
        <f>AMT45*12</f>
        <v/>
      </c>
      <c r="AMV45" s="12">
        <f>AMM45*BlendedPriceEssMonthly*ALY45+AMN45*BlendedPricePremMonthly*ALY45+AMO45*BlendedPriceEliteMonthly*ALY45</f>
        <v/>
      </c>
      <c r="AMW45" s="12">
        <f>AMJ45*BlendedPriceEssAnnual*ALY45+AMK45*BlendedPricePremAnnual*ALY45+AML45*BlendedPriceEliteAnnual*ALY45</f>
        <v/>
      </c>
      <c r="AMX45" s="12">
        <f>AMJ33*POWER(1-(AnnualChurn*VLOOKUP(ALV45,ChurnSeasonTable,4,FALSE)),1)*BlendedPriceEssAnnual*ALY45+AMJ21*POWER(1-(AnnualChurn*VLOOKUP(ALV45,ChurnSeasonTable,4,FALSE)),2)*BlendedPriceEssAnnual*ALY45+AMJ9*POWER(1-(AnnualChurn*VLOOKUP(ALV45,ChurnSeasonTable,4,FALSE)),3)*BlendedPriceEssAnnual*ALY45+AMK33*POWER(1-(AnnualChurn*VLOOKUP(ALV45,ChurnSeasonTable,4,FALSE)),1)*BlendedPricePremAnnual*ALY45+AMK21*POWER(1-(AnnualChurn*VLOOKUP(ALV45,ChurnSeasonTable,4,FALSE)),2)*BlendedPricePremAnnual*ALY45+AMK9*POWER(1-(AnnualChurn*VLOOKUP(ALV45,ChurnSeasonTable,4,FALSE)),3)*BlendedPricePremAnnual*ALY45+AML33*POWER(1-(AnnualChurn*VLOOKUP(ALV45,ChurnSeasonTable,4,FALSE)),1)*BlendedPriceEliteAnnual*ALY45+AML21*POWER(1-(AnnualChurn*VLOOKUP(ALV45,ChurnSeasonTable,4,FALSE)),2)*BlendedPriceEliteAnnual*ALY45+AML9*POWER(1-(AnnualChurn*VLOOKUP(ALV45,ChurnSeasonTable,4,FALSE)),3)*BlendedPriceEliteAnnual*ALY45</f>
        <v/>
      </c>
      <c r="AMY45" s="9">
        <f>AMV45+AMW45+AMX45</f>
        <v/>
      </c>
      <c r="AMZ45" s="12">
        <f>SUM(AMY34:AMY45)</f>
        <v/>
      </c>
      <c r="ANA45" s="12">
        <f>OR(ANA44,IF(VATAgentMode,SUM($AMY34:$AMY45)-SUM($ANF34:$ANF45)&gt;=VATThreshold,SUM($AMY34:$AMY45)&gt;=VATThreshold))</f>
        <v/>
      </c>
      <c r="ANB45" s="9">
        <f>IF(ANA45,IF(VATAgentMode,AMY45-((AMY45-ANF45)-(AMY45-ANF45)/(1+VATRate)),AMY45/(1+VATRate)),AMY45)</f>
        <v/>
      </c>
      <c r="ANC45" s="12">
        <f>AMY45-ANB45</f>
        <v/>
      </c>
      <c r="AND45" s="12">
        <f>IF(ANA45=0,0,IF(ALV45=1,SUMPRODUCT(--(($ALW$5:$ALW45=$ALW45-1)*($ALV$5:$ALV45&gt;=10)*($ALV$5:$ALV45&lt;=12)),$ANC$5:$ANC45),IF(ALV45=4,SUMPRODUCT(--(($ALW$5:$ALW45=$ALW45)*($ALV$5:$ALV45&gt;=1)*($ALV$5:$ALV45&lt;=3)),$ANC$5:$ANC45),IF(ALV45=7,SUMPRODUCT(--(($ALW$5:$ALW45=$ALW45)*($ALV$5:$ALV45&gt;=4)*($ALV$5:$ALV45&lt;=6)),$ANC$5:$ANC45),IF(ALV45=10,SUMPRODUCT(--(($ALW$5:$ALW45=$ALW45)*($ALV$5:$ALV45&gt;=7)*($ALV$5:$ALV45&lt;=9)),$ANC$5:$ANC45),0)))))</f>
        <v/>
      </c>
      <c r="ANE45" s="12">
        <f>ANE44+ANC45-AND45</f>
        <v/>
      </c>
      <c r="ANF45" s="12">
        <f>IF(ProviderDelay&gt;=1,AMM44*BlendedProvPayEss+AMN44*BlendedProvPayPrem+AMO44*BlendedProvPayElite+AMP44*BlendedProvPayEss+AMQ44*BlendedProvPayPrem+AMR44*BlendedProvPayElite,AMM45*BlendedProvPayEss+AMN45*BlendedProvPayPrem+AMO45*BlendedProvPayElite+AMP45*BlendedProvPayEss+AMQ45*BlendedProvPayPrem+AMR45*BlendedProvPayElite)</f>
        <v/>
      </c>
      <c r="ANG45" s="12">
        <f>AMY45*PaymentFee</f>
        <v/>
      </c>
      <c r="ANH45" s="12">
        <f>AMS45*OpsAI</f>
        <v/>
      </c>
      <c r="ANI45" s="12">
        <f>MonthlyFixed</f>
        <v/>
      </c>
      <c r="ANJ45" s="12">
        <f>AMC45*ReferralReward</f>
        <v/>
      </c>
      <c r="ANK45" s="12">
        <f>AMA45</f>
        <v/>
      </c>
      <c r="ANL45" s="9">
        <f>ANB45-ANF45-ANG45-ANH45-ANI45-ANJ45-ANK45</f>
        <v/>
      </c>
      <c r="ANM45" s="9">
        <f>ANM44+AMY45-(ANF45+ANG45+ANH45+ANI45+ANJ45+ANK45+AND45)</f>
        <v/>
      </c>
      <c r="ANN45" s="12">
        <f>IF(AMS45&gt;0,AMT45/AMS45,0)</f>
        <v/>
      </c>
      <c r="ANO45" s="11">
        <f>IF(AMS44&gt;0,MAX(0,(AMS44+AMD45-AMS45)/AMS44),0)</f>
        <v/>
      </c>
      <c r="ANQ45" s="12" t="n">
        <v>41</v>
      </c>
      <c r="ANR45" s="12">
        <f>MOD(ANQ45-1+LaunchMonth-1,12)+1</f>
        <v/>
      </c>
      <c r="ANS45" s="12">
        <f>INT((ANQ45-1+LaunchMonth-1)/12)+1</f>
        <v/>
      </c>
      <c r="ANT45" s="12">
        <f>VLOOKUP(ANR45,SeasonTable,2,FALSE)</f>
        <v/>
      </c>
      <c r="ANU45" s="12">
        <f>(1+InflationRate)^INT((ANQ45-1)/12)</f>
        <v/>
      </c>
      <c r="ANV45" s="11">
        <f>MonthlyChurn*VLOOKUP(ANR45,ChurnSeasonTable,4,FALSE)</f>
        <v/>
      </c>
      <c r="ANW45" s="12">
        <f>MIN(MAX(MktMin19plus,AOU44*MktPct19plus),MAX(0,API44-CashBuffer))</f>
        <v/>
      </c>
      <c r="ANX45" s="12">
        <f>IF(ANW45&gt;0,MAX(1,ROUND(ANW45/'Sens - CAC &amp; Marketing'!$A$12*ANT45,0)),0)</f>
        <v/>
      </c>
      <c r="ANY45" s="12">
        <f>IF(ANX45&gt;0,ROUND(ANX45*ReferralMix/(1-ReferralMix),0),0)</f>
        <v/>
      </c>
      <c r="ANZ45" s="12">
        <f>ANX45+ANY45</f>
        <v/>
      </c>
      <c r="AOA45" s="12">
        <f>ROUND(ANZ45*(1-AnnualMix),0)</f>
        <v/>
      </c>
      <c r="AOB45" s="12">
        <f>ANZ45-AOA45</f>
        <v/>
      </c>
      <c r="AOC45" s="12">
        <f>ROUND(AOA45*EssentialMix,0)</f>
        <v/>
      </c>
      <c r="AOD45" s="12">
        <f>ROUND(AOA45*PremiumMix,0)</f>
        <v/>
      </c>
      <c r="AOE45" s="12">
        <f>AOA45-AOC45-AOD45</f>
        <v/>
      </c>
      <c r="AOF45" s="12">
        <f>ROUND(AOB45*EssentialMix,0)</f>
        <v/>
      </c>
      <c r="AOG45" s="12">
        <f>ROUND(AOB45*PremiumMix,0)</f>
        <v/>
      </c>
      <c r="AOH45" s="12">
        <f>AOB45-AOF45-AOG45</f>
        <v/>
      </c>
      <c r="AOI45" s="12">
        <f>AOC45+AOC44+AOC43+MAX(0,AOI44-AOC44-AOC43)*(1-ANV45)</f>
        <v/>
      </c>
      <c r="AOJ45" s="12">
        <f>AOD45+AOD44+AOD43+MAX(0,AOJ44-AOD44-AOD43)*(1-ANV45)</f>
        <v/>
      </c>
      <c r="AOK45" s="12">
        <f>AOE45+AOE44+AOE43+MAX(0,AOK44-AOE44-AOE43)*(1-ANV45)</f>
        <v/>
      </c>
      <c r="AOL45" s="12">
        <f>AOL44+AOF45-AOF33*(AnnualChurn*VLOOKUP(ANR45,ChurnSeasonTable,4,FALSE))*POWER(1-(AnnualChurn*VLOOKUP(ANR45,ChurnSeasonTable,4,FALSE)),0)+AOF21*(AnnualChurn*VLOOKUP(ANR45,ChurnSeasonTable,4,FALSE))*POWER(1-(AnnualChurn*VLOOKUP(ANR45,ChurnSeasonTable,4,FALSE)),1)+AOF9*(AnnualChurn*VLOOKUP(ANR45,ChurnSeasonTable,4,FALSE))*POWER(1-(AnnualChurn*VLOOKUP(ANR45,ChurnSeasonTable,4,FALSE)),2)</f>
        <v/>
      </c>
      <c r="AOM45" s="12">
        <f>AOM44+AOG45-AOG33*(AnnualChurn*VLOOKUP(ANR45,ChurnSeasonTable,4,FALSE))*POWER(1-(AnnualChurn*VLOOKUP(ANR45,ChurnSeasonTable,4,FALSE)),0)+AOG21*(AnnualChurn*VLOOKUP(ANR45,ChurnSeasonTable,4,FALSE))*POWER(1-(AnnualChurn*VLOOKUP(ANR45,ChurnSeasonTable,4,FALSE)),1)+AOG9*(AnnualChurn*VLOOKUP(ANR45,ChurnSeasonTable,4,FALSE))*POWER(1-(AnnualChurn*VLOOKUP(ANR45,ChurnSeasonTable,4,FALSE)),2)</f>
        <v/>
      </c>
      <c r="AON45" s="12">
        <f>AON44+AOH45-AOH33*(AnnualChurn*VLOOKUP(ANR45,ChurnSeasonTable,4,FALSE))*POWER(1-(AnnualChurn*VLOOKUP(ANR45,ChurnSeasonTable,4,FALSE)),0)+AOH21*(AnnualChurn*VLOOKUP(ANR45,ChurnSeasonTable,4,FALSE))*POWER(1-(AnnualChurn*VLOOKUP(ANR45,ChurnSeasonTable,4,FALSE)),1)+AOH9*(AnnualChurn*VLOOKUP(ANR45,ChurnSeasonTable,4,FALSE))*POWER(1-(AnnualChurn*VLOOKUP(ANR45,ChurnSeasonTable,4,FALSE)),2)</f>
        <v/>
      </c>
      <c r="AOO45" s="12">
        <f>AOI45+AOJ45+AOK45+AOL45+AOM45+AON45</f>
        <v/>
      </c>
      <c r="AOP45" s="9">
        <f>AOI45*BlendedPriceEssMonthly*ANU45+AOJ45*BlendedPricePremMonthly*ANU45+AOK45*BlendedPriceEliteMonthly*ANU45+AOL45*BlendedPriceEssAnnual*ANU45/12+AOM45*BlendedPricePremAnnual*ANU45/12+AON45*BlendedPriceEliteAnnual*ANU45/12</f>
        <v/>
      </c>
      <c r="AOQ45" s="9">
        <f>AOP45*12</f>
        <v/>
      </c>
      <c r="AOR45" s="12">
        <f>AOI45*BlendedPriceEssMonthly*ANU45+AOJ45*BlendedPricePremMonthly*ANU45+AOK45*BlendedPriceEliteMonthly*ANU45</f>
        <v/>
      </c>
      <c r="AOS45" s="12">
        <f>AOF45*BlendedPriceEssAnnual*ANU45+AOG45*BlendedPricePremAnnual*ANU45+AOH45*BlendedPriceEliteAnnual*ANU45</f>
        <v/>
      </c>
      <c r="AOT45" s="12">
        <f>AOF33*POWER(1-(AnnualChurn*VLOOKUP(ANR45,ChurnSeasonTable,4,FALSE)),1)*BlendedPriceEssAnnual*ANU45+AOF21*POWER(1-(AnnualChurn*VLOOKUP(ANR45,ChurnSeasonTable,4,FALSE)),2)*BlendedPriceEssAnnual*ANU45+AOF9*POWER(1-(AnnualChurn*VLOOKUP(ANR45,ChurnSeasonTable,4,FALSE)),3)*BlendedPriceEssAnnual*ANU45+AOG33*POWER(1-(AnnualChurn*VLOOKUP(ANR45,ChurnSeasonTable,4,FALSE)),1)*BlendedPricePremAnnual*ANU45+AOG21*POWER(1-(AnnualChurn*VLOOKUP(ANR45,ChurnSeasonTable,4,FALSE)),2)*BlendedPricePremAnnual*ANU45+AOG9*POWER(1-(AnnualChurn*VLOOKUP(ANR45,ChurnSeasonTable,4,FALSE)),3)*BlendedPricePremAnnual*ANU45+AOH33*POWER(1-(AnnualChurn*VLOOKUP(ANR45,ChurnSeasonTable,4,FALSE)),1)*BlendedPriceEliteAnnual*ANU45+AOH21*POWER(1-(AnnualChurn*VLOOKUP(ANR45,ChurnSeasonTable,4,FALSE)),2)*BlendedPriceEliteAnnual*ANU45+AOH9*POWER(1-(AnnualChurn*VLOOKUP(ANR45,ChurnSeasonTable,4,FALSE)),3)*BlendedPriceEliteAnnual*ANU45</f>
        <v/>
      </c>
      <c r="AOU45" s="9">
        <f>AOR45+AOS45+AOT45</f>
        <v/>
      </c>
      <c r="AOV45" s="12">
        <f>SUM(AOU34:AOU45)</f>
        <v/>
      </c>
      <c r="AOW45" s="12">
        <f>OR(AOW44,IF(VATAgentMode,SUM($AOU34:$AOU45)-SUM($APB34:$APB45)&gt;=VATThreshold,SUM($AOU34:$AOU45)&gt;=VATThreshold))</f>
        <v/>
      </c>
      <c r="AOX45" s="9">
        <f>IF(AOW45,IF(VATAgentMode,AOU45-((AOU45-APB45)-(AOU45-APB45)/(1+VATRate)),AOU45/(1+VATRate)),AOU45)</f>
        <v/>
      </c>
      <c r="AOY45" s="12">
        <f>AOU45-AOX45</f>
        <v/>
      </c>
      <c r="AOZ45" s="12">
        <f>IF(AOW45=0,0,IF(ANR45=1,SUMPRODUCT(--(($ANS$5:$ANS45=$ANS45-1)*($ANR$5:$ANR45&gt;=10)*($ANR$5:$ANR45&lt;=12)),$AOY$5:$AOY45),IF(ANR45=4,SUMPRODUCT(--(($ANS$5:$ANS45=$ANS45)*($ANR$5:$ANR45&gt;=1)*($ANR$5:$ANR45&lt;=3)),$AOY$5:$AOY45),IF(ANR45=7,SUMPRODUCT(--(($ANS$5:$ANS45=$ANS45)*($ANR$5:$ANR45&gt;=4)*($ANR$5:$ANR45&lt;=6)),$AOY$5:$AOY45),IF(ANR45=10,SUMPRODUCT(--(($ANS$5:$ANS45=$ANS45)*($ANR$5:$ANR45&gt;=7)*($ANR$5:$ANR45&lt;=9)),$AOY$5:$AOY45),0)))))</f>
        <v/>
      </c>
      <c r="APA45" s="12">
        <f>APA44+AOY45-AOZ45</f>
        <v/>
      </c>
      <c r="APB45" s="12">
        <f>IF(ProviderDelay&gt;=1,AOI44*BlendedProvPayEss+AOJ44*BlendedProvPayPrem+AOK44*BlendedProvPayElite+AOL44*BlendedProvPayEss+AOM44*BlendedProvPayPrem+AON44*BlendedProvPayElite,AOI45*BlendedProvPayEss+AOJ45*BlendedProvPayPrem+AOK45*BlendedProvPayElite+AOL45*BlendedProvPayEss+AOM45*BlendedProvPayPrem+AON45*BlendedProvPayElite)</f>
        <v/>
      </c>
      <c r="APC45" s="12">
        <f>AOU45*PaymentFee</f>
        <v/>
      </c>
      <c r="APD45" s="12">
        <f>AOO45*OpsAI</f>
        <v/>
      </c>
      <c r="APE45" s="12">
        <f>MonthlyFixed</f>
        <v/>
      </c>
      <c r="APF45" s="12">
        <f>ANY45*ReferralReward</f>
        <v/>
      </c>
      <c r="APG45" s="12">
        <f>ANW45</f>
        <v/>
      </c>
      <c r="APH45" s="9">
        <f>AOX45-APB45-APC45-APD45-APE45-APF45-APG45</f>
        <v/>
      </c>
      <c r="API45" s="9">
        <f>API44+AOU45-(APB45+APC45+APD45+APE45+APF45+APG45+AOZ45)</f>
        <v/>
      </c>
      <c r="APJ45" s="12">
        <f>IF(AOO45&gt;0,AOP45/AOO45,0)</f>
        <v/>
      </c>
      <c r="APK45" s="11">
        <f>IF(AOO44&gt;0,MAX(0,(AOO44+ANZ45-AOO45)/AOO44),0)</f>
        <v/>
      </c>
      <c r="APM45" s="12" t="n">
        <v>41</v>
      </c>
      <c r="APN45" s="12">
        <f>MOD(APM45-1+LaunchMonth-1,12)+1</f>
        <v/>
      </c>
      <c r="APO45" s="12">
        <f>INT((APM45-1+LaunchMonth-1)/12)+1</f>
        <v/>
      </c>
      <c r="APP45" s="12">
        <f>VLOOKUP(APN45,SeasonTable,2,FALSE)</f>
        <v/>
      </c>
      <c r="APQ45" s="12">
        <f>(1+InflationRate)^INT((APM45-1)/12)</f>
        <v/>
      </c>
      <c r="APR45" s="11">
        <f>MonthlyChurn*VLOOKUP(APN45,ChurnSeasonTable,4,FALSE)</f>
        <v/>
      </c>
      <c r="APS45" s="12">
        <f>MIN(MAX(MktMin19plus,AQQ44*MktPct19plus),MAX(0,ARE44-CashBuffer))</f>
        <v/>
      </c>
      <c r="APT45" s="12">
        <f>IF(APS45&gt;0,MAX(1,ROUND(APS45/'Sens - CAC &amp; Marketing'!$A$13*APP45,0)),0)</f>
        <v/>
      </c>
      <c r="APU45" s="12">
        <f>IF(APT45&gt;0,ROUND(APT45*ReferralMix/(1-ReferralMix),0),0)</f>
        <v/>
      </c>
      <c r="APV45" s="12">
        <f>APT45+APU45</f>
        <v/>
      </c>
      <c r="APW45" s="12">
        <f>ROUND(APV45*(1-AnnualMix),0)</f>
        <v/>
      </c>
      <c r="APX45" s="12">
        <f>APV45-APW45</f>
        <v/>
      </c>
      <c r="APY45" s="12">
        <f>ROUND(APW45*EssentialMix,0)</f>
        <v/>
      </c>
      <c r="APZ45" s="12">
        <f>ROUND(APW45*PremiumMix,0)</f>
        <v/>
      </c>
      <c r="AQA45" s="12">
        <f>APW45-APY45-APZ45</f>
        <v/>
      </c>
      <c r="AQB45" s="12">
        <f>ROUND(APX45*EssentialMix,0)</f>
        <v/>
      </c>
      <c r="AQC45" s="12">
        <f>ROUND(APX45*PremiumMix,0)</f>
        <v/>
      </c>
      <c r="AQD45" s="12">
        <f>APX45-AQB45-AQC45</f>
        <v/>
      </c>
      <c r="AQE45" s="12">
        <f>APY45+APY44+APY43+MAX(0,AQE44-APY44-APY43)*(1-APR45)</f>
        <v/>
      </c>
      <c r="AQF45" s="12">
        <f>APZ45+APZ44+APZ43+MAX(0,AQF44-APZ44-APZ43)*(1-APR45)</f>
        <v/>
      </c>
      <c r="AQG45" s="12">
        <f>AQA45+AQA44+AQA43+MAX(0,AQG44-AQA44-AQA43)*(1-APR45)</f>
        <v/>
      </c>
      <c r="AQH45" s="12">
        <f>AQH44+AQB45-AQB33*(AnnualChurn*VLOOKUP(APN45,ChurnSeasonTable,4,FALSE))*POWER(1-(AnnualChurn*VLOOKUP(APN45,ChurnSeasonTable,4,FALSE)),0)+AQB21*(AnnualChurn*VLOOKUP(APN45,ChurnSeasonTable,4,FALSE))*POWER(1-(AnnualChurn*VLOOKUP(APN45,ChurnSeasonTable,4,FALSE)),1)+AQB9*(AnnualChurn*VLOOKUP(APN45,ChurnSeasonTable,4,FALSE))*POWER(1-(AnnualChurn*VLOOKUP(APN45,ChurnSeasonTable,4,FALSE)),2)</f>
        <v/>
      </c>
      <c r="AQI45" s="12">
        <f>AQI44+AQC45-AQC33*(AnnualChurn*VLOOKUP(APN45,ChurnSeasonTable,4,FALSE))*POWER(1-(AnnualChurn*VLOOKUP(APN45,ChurnSeasonTable,4,FALSE)),0)+AQC21*(AnnualChurn*VLOOKUP(APN45,ChurnSeasonTable,4,FALSE))*POWER(1-(AnnualChurn*VLOOKUP(APN45,ChurnSeasonTable,4,FALSE)),1)+AQC9*(AnnualChurn*VLOOKUP(APN45,ChurnSeasonTable,4,FALSE))*POWER(1-(AnnualChurn*VLOOKUP(APN45,ChurnSeasonTable,4,FALSE)),2)</f>
        <v/>
      </c>
      <c r="AQJ45" s="12">
        <f>AQJ44+AQD45-AQD33*(AnnualChurn*VLOOKUP(APN45,ChurnSeasonTable,4,FALSE))*POWER(1-(AnnualChurn*VLOOKUP(APN45,ChurnSeasonTable,4,FALSE)),0)+AQD21*(AnnualChurn*VLOOKUP(APN45,ChurnSeasonTable,4,FALSE))*POWER(1-(AnnualChurn*VLOOKUP(APN45,ChurnSeasonTable,4,FALSE)),1)+AQD9*(AnnualChurn*VLOOKUP(APN45,ChurnSeasonTable,4,FALSE))*POWER(1-(AnnualChurn*VLOOKUP(APN45,ChurnSeasonTable,4,FALSE)),2)</f>
        <v/>
      </c>
      <c r="AQK45" s="12">
        <f>AQE45+AQF45+AQG45+AQH45+AQI45+AQJ45</f>
        <v/>
      </c>
      <c r="AQL45" s="9">
        <f>AQE45*BlendedPriceEssMonthly*APQ45+AQF45*BlendedPricePremMonthly*APQ45+AQG45*BlendedPriceEliteMonthly*APQ45+AQH45*BlendedPriceEssAnnual*APQ45/12+AQI45*BlendedPricePremAnnual*APQ45/12+AQJ45*BlendedPriceEliteAnnual*APQ45/12</f>
        <v/>
      </c>
      <c r="AQM45" s="9">
        <f>AQL45*12</f>
        <v/>
      </c>
      <c r="AQN45" s="12">
        <f>AQE45*BlendedPriceEssMonthly*APQ45+AQF45*BlendedPricePremMonthly*APQ45+AQG45*BlendedPriceEliteMonthly*APQ45</f>
        <v/>
      </c>
      <c r="AQO45" s="12">
        <f>AQB45*BlendedPriceEssAnnual*APQ45+AQC45*BlendedPricePremAnnual*APQ45+AQD45*BlendedPriceEliteAnnual*APQ45</f>
        <v/>
      </c>
      <c r="AQP45" s="12">
        <f>AQB33*POWER(1-(AnnualChurn*VLOOKUP(APN45,ChurnSeasonTable,4,FALSE)),1)*BlendedPriceEssAnnual*APQ45+AQB21*POWER(1-(AnnualChurn*VLOOKUP(APN45,ChurnSeasonTable,4,FALSE)),2)*BlendedPriceEssAnnual*APQ45+AQB9*POWER(1-(AnnualChurn*VLOOKUP(APN45,ChurnSeasonTable,4,FALSE)),3)*BlendedPriceEssAnnual*APQ45+AQC33*POWER(1-(AnnualChurn*VLOOKUP(APN45,ChurnSeasonTable,4,FALSE)),1)*BlendedPricePremAnnual*APQ45+AQC21*POWER(1-(AnnualChurn*VLOOKUP(APN45,ChurnSeasonTable,4,FALSE)),2)*BlendedPricePremAnnual*APQ45+AQC9*POWER(1-(AnnualChurn*VLOOKUP(APN45,ChurnSeasonTable,4,FALSE)),3)*BlendedPricePremAnnual*APQ45+AQD33*POWER(1-(AnnualChurn*VLOOKUP(APN45,ChurnSeasonTable,4,FALSE)),1)*BlendedPriceEliteAnnual*APQ45+AQD21*POWER(1-(AnnualChurn*VLOOKUP(APN45,ChurnSeasonTable,4,FALSE)),2)*BlendedPriceEliteAnnual*APQ45+AQD9*POWER(1-(AnnualChurn*VLOOKUP(APN45,ChurnSeasonTable,4,FALSE)),3)*BlendedPriceEliteAnnual*APQ45</f>
        <v/>
      </c>
      <c r="AQQ45" s="9">
        <f>AQN45+AQO45+AQP45</f>
        <v/>
      </c>
      <c r="AQR45" s="12">
        <f>SUM(AQQ34:AQQ45)</f>
        <v/>
      </c>
      <c r="AQS45" s="12">
        <f>OR(AQS44,IF(VATAgentMode,SUM($AQQ34:$AQQ45)-SUM($AQX34:$AQX45)&gt;=VATThreshold,SUM($AQQ34:$AQQ45)&gt;=VATThreshold))</f>
        <v/>
      </c>
      <c r="AQT45" s="9">
        <f>IF(AQS45,IF(VATAgentMode,AQQ45-((AQQ45-AQX45)-(AQQ45-AQX45)/(1+VATRate)),AQQ45/(1+VATRate)),AQQ45)</f>
        <v/>
      </c>
      <c r="AQU45" s="12">
        <f>AQQ45-AQT45</f>
        <v/>
      </c>
      <c r="AQV45" s="12">
        <f>IF(AQS45=0,0,IF(APN45=1,SUMPRODUCT(--(($APO$5:$APO45=$APO45-1)*($APN$5:$APN45&gt;=10)*($APN$5:$APN45&lt;=12)),$AQU$5:$AQU45),IF(APN45=4,SUMPRODUCT(--(($APO$5:$APO45=$APO45)*($APN$5:$APN45&gt;=1)*($APN$5:$APN45&lt;=3)),$AQU$5:$AQU45),IF(APN45=7,SUMPRODUCT(--(($APO$5:$APO45=$APO45)*($APN$5:$APN45&gt;=4)*($APN$5:$APN45&lt;=6)),$AQU$5:$AQU45),IF(APN45=10,SUMPRODUCT(--(($APO$5:$APO45=$APO45)*($APN$5:$APN45&gt;=7)*($APN$5:$APN45&lt;=9)),$AQU$5:$AQU45),0)))))</f>
        <v/>
      </c>
      <c r="AQW45" s="12">
        <f>AQW44+AQU45-AQV45</f>
        <v/>
      </c>
      <c r="AQX45" s="12">
        <f>IF(ProviderDelay&gt;=1,AQE44*BlendedProvPayEss+AQF44*BlendedProvPayPrem+AQG44*BlendedProvPayElite+AQH44*BlendedProvPayEss+AQI44*BlendedProvPayPrem+AQJ44*BlendedProvPayElite,AQE45*BlendedProvPayEss+AQF45*BlendedProvPayPrem+AQG45*BlendedProvPayElite+AQH45*BlendedProvPayEss+AQI45*BlendedProvPayPrem+AQJ45*BlendedProvPayElite)</f>
        <v/>
      </c>
      <c r="AQY45" s="12">
        <f>AQQ45*PaymentFee</f>
        <v/>
      </c>
      <c r="AQZ45" s="12">
        <f>AQK45*OpsAI</f>
        <v/>
      </c>
      <c r="ARA45" s="12">
        <f>MonthlyFixed</f>
        <v/>
      </c>
      <c r="ARB45" s="12">
        <f>APU45*ReferralReward</f>
        <v/>
      </c>
      <c r="ARC45" s="12">
        <f>APS45</f>
        <v/>
      </c>
      <c r="ARD45" s="9">
        <f>AQT45-AQX45-AQY45-AQZ45-ARA45-ARB45-ARC45</f>
        <v/>
      </c>
      <c r="ARE45" s="9">
        <f>ARE44+AQQ45-(AQX45+AQY45+AQZ45+ARA45+ARB45+ARC45+AQV45)</f>
        <v/>
      </c>
      <c r="ARF45" s="12">
        <f>IF(AQK45&gt;0,AQL45/AQK45,0)</f>
        <v/>
      </c>
      <c r="ARG45" s="11">
        <f>IF(AQK44&gt;0,MAX(0,(AQK44+APV45-AQK45)/AQK44),0)</f>
        <v/>
      </c>
      <c r="ARI45" s="12" t="n">
        <v>41</v>
      </c>
      <c r="ARJ45" s="12">
        <f>MOD(ARI45-1+LaunchMonth-1,12)+1</f>
        <v/>
      </c>
      <c r="ARK45" s="12">
        <f>INT((ARI45-1+LaunchMonth-1)/12)+1</f>
        <v/>
      </c>
      <c r="ARL45" s="12">
        <f>VLOOKUP(ARJ45,SeasonTable,2,FALSE)</f>
        <v/>
      </c>
      <c r="ARM45" s="12">
        <f>(1+InflationRate)^INT((ARI45-1)/12)</f>
        <v/>
      </c>
      <c r="ARN45" s="11">
        <f>MonthlyChurn*VLOOKUP(ARJ45,ChurnSeasonTable,4,FALSE)</f>
        <v/>
      </c>
      <c r="ARO45" s="12">
        <f>MIN(MAX(MktMin19plus,ASM44*MktPct19plus),MAX(0,ATA44-CashBuffer))</f>
        <v/>
      </c>
      <c r="ARP45" s="12">
        <f>IF(ARO45&gt;0,MAX(1,ROUND(ARO45/'Sens - CAC &amp; Marketing'!$A$14*ARL45,0)),0)</f>
        <v/>
      </c>
      <c r="ARQ45" s="12">
        <f>IF(ARP45&gt;0,ROUND(ARP45*ReferralMix/(1-ReferralMix),0),0)</f>
        <v/>
      </c>
      <c r="ARR45" s="12">
        <f>ARP45+ARQ45</f>
        <v/>
      </c>
      <c r="ARS45" s="12">
        <f>ROUND(ARR45*(1-AnnualMix),0)</f>
        <v/>
      </c>
      <c r="ART45" s="12">
        <f>ARR45-ARS45</f>
        <v/>
      </c>
      <c r="ARU45" s="12">
        <f>ROUND(ARS45*EssentialMix,0)</f>
        <v/>
      </c>
      <c r="ARV45" s="12">
        <f>ROUND(ARS45*PremiumMix,0)</f>
        <v/>
      </c>
      <c r="ARW45" s="12">
        <f>ARS45-ARU45-ARV45</f>
        <v/>
      </c>
      <c r="ARX45" s="12">
        <f>ROUND(ART45*EssentialMix,0)</f>
        <v/>
      </c>
      <c r="ARY45" s="12">
        <f>ROUND(ART45*PremiumMix,0)</f>
        <v/>
      </c>
      <c r="ARZ45" s="12">
        <f>ART45-ARX45-ARY45</f>
        <v/>
      </c>
      <c r="ASA45" s="12">
        <f>ARU45+ARU44+ARU43+MAX(0,ASA44-ARU44-ARU43)*(1-ARN45)</f>
        <v/>
      </c>
      <c r="ASB45" s="12">
        <f>ARV45+ARV44+ARV43+MAX(0,ASB44-ARV44-ARV43)*(1-ARN45)</f>
        <v/>
      </c>
      <c r="ASC45" s="12">
        <f>ARW45+ARW44+ARW43+MAX(0,ASC44-ARW44-ARW43)*(1-ARN45)</f>
        <v/>
      </c>
      <c r="ASD45" s="12">
        <f>ASD44+ARX45-ARX33*(AnnualChurn*VLOOKUP(ARJ45,ChurnSeasonTable,4,FALSE))*POWER(1-(AnnualChurn*VLOOKUP(ARJ45,ChurnSeasonTable,4,FALSE)),0)+ARX21*(AnnualChurn*VLOOKUP(ARJ45,ChurnSeasonTable,4,FALSE))*POWER(1-(AnnualChurn*VLOOKUP(ARJ45,ChurnSeasonTable,4,FALSE)),1)+ARX9*(AnnualChurn*VLOOKUP(ARJ45,ChurnSeasonTable,4,FALSE))*POWER(1-(AnnualChurn*VLOOKUP(ARJ45,ChurnSeasonTable,4,FALSE)),2)</f>
        <v/>
      </c>
      <c r="ASE45" s="12">
        <f>ASE44+ARY45-ARY33*(AnnualChurn*VLOOKUP(ARJ45,ChurnSeasonTable,4,FALSE))*POWER(1-(AnnualChurn*VLOOKUP(ARJ45,ChurnSeasonTable,4,FALSE)),0)+ARY21*(AnnualChurn*VLOOKUP(ARJ45,ChurnSeasonTable,4,FALSE))*POWER(1-(AnnualChurn*VLOOKUP(ARJ45,ChurnSeasonTable,4,FALSE)),1)+ARY9*(AnnualChurn*VLOOKUP(ARJ45,ChurnSeasonTable,4,FALSE))*POWER(1-(AnnualChurn*VLOOKUP(ARJ45,ChurnSeasonTable,4,FALSE)),2)</f>
        <v/>
      </c>
      <c r="ASF45" s="12">
        <f>ASF44+ARZ45-ARZ33*(AnnualChurn*VLOOKUP(ARJ45,ChurnSeasonTable,4,FALSE))*POWER(1-(AnnualChurn*VLOOKUP(ARJ45,ChurnSeasonTable,4,FALSE)),0)+ARZ21*(AnnualChurn*VLOOKUP(ARJ45,ChurnSeasonTable,4,FALSE))*POWER(1-(AnnualChurn*VLOOKUP(ARJ45,ChurnSeasonTable,4,FALSE)),1)+ARZ9*(AnnualChurn*VLOOKUP(ARJ45,ChurnSeasonTable,4,FALSE))*POWER(1-(AnnualChurn*VLOOKUP(ARJ45,ChurnSeasonTable,4,FALSE)),2)</f>
        <v/>
      </c>
      <c r="ASG45" s="12">
        <f>ASA45+ASB45+ASC45+ASD45+ASE45+ASF45</f>
        <v/>
      </c>
      <c r="ASH45" s="9">
        <f>ASA45*BlendedPriceEssMonthly*ARM45+ASB45*BlendedPricePremMonthly*ARM45+ASC45*BlendedPriceEliteMonthly*ARM45+ASD45*BlendedPriceEssAnnual*ARM45/12+ASE45*BlendedPricePremAnnual*ARM45/12+ASF45*BlendedPriceEliteAnnual*ARM45/12</f>
        <v/>
      </c>
      <c r="ASI45" s="9">
        <f>ASH45*12</f>
        <v/>
      </c>
      <c r="ASJ45" s="12">
        <f>ASA45*BlendedPriceEssMonthly*ARM45+ASB45*BlendedPricePremMonthly*ARM45+ASC45*BlendedPriceEliteMonthly*ARM45</f>
        <v/>
      </c>
      <c r="ASK45" s="12">
        <f>ARX45*BlendedPriceEssAnnual*ARM45+ARY45*BlendedPricePremAnnual*ARM45+ARZ45*BlendedPriceEliteAnnual*ARM45</f>
        <v/>
      </c>
      <c r="ASL45" s="12">
        <f>ARX33*POWER(1-(AnnualChurn*VLOOKUP(ARJ45,ChurnSeasonTable,4,FALSE)),1)*BlendedPriceEssAnnual*ARM45+ARX21*POWER(1-(AnnualChurn*VLOOKUP(ARJ45,ChurnSeasonTable,4,FALSE)),2)*BlendedPriceEssAnnual*ARM45+ARX9*POWER(1-(AnnualChurn*VLOOKUP(ARJ45,ChurnSeasonTable,4,FALSE)),3)*BlendedPriceEssAnnual*ARM45+ARY33*POWER(1-(AnnualChurn*VLOOKUP(ARJ45,ChurnSeasonTable,4,FALSE)),1)*BlendedPricePremAnnual*ARM45+ARY21*POWER(1-(AnnualChurn*VLOOKUP(ARJ45,ChurnSeasonTable,4,FALSE)),2)*BlendedPricePremAnnual*ARM45+ARY9*POWER(1-(AnnualChurn*VLOOKUP(ARJ45,ChurnSeasonTable,4,FALSE)),3)*BlendedPricePremAnnual*ARM45+ARZ33*POWER(1-(AnnualChurn*VLOOKUP(ARJ45,ChurnSeasonTable,4,FALSE)),1)*BlendedPriceEliteAnnual*ARM45+ARZ21*POWER(1-(AnnualChurn*VLOOKUP(ARJ45,ChurnSeasonTable,4,FALSE)),2)*BlendedPriceEliteAnnual*ARM45+ARZ9*POWER(1-(AnnualChurn*VLOOKUP(ARJ45,ChurnSeasonTable,4,FALSE)),3)*BlendedPriceEliteAnnual*ARM45</f>
        <v/>
      </c>
      <c r="ASM45" s="9">
        <f>ASJ45+ASK45+ASL45</f>
        <v/>
      </c>
      <c r="ASN45" s="12">
        <f>SUM(ASM34:ASM45)</f>
        <v/>
      </c>
      <c r="ASO45" s="12">
        <f>OR(ASO44,IF(VATAgentMode,SUM($ASM34:$ASM45)-SUM($AST34:$AST45)&gt;=VATThreshold,SUM($ASM34:$ASM45)&gt;=VATThreshold))</f>
        <v/>
      </c>
      <c r="ASP45" s="9">
        <f>IF(ASO45,IF(VATAgentMode,ASM45-((ASM45-AST45)-(ASM45-AST45)/(1+VATRate)),ASM45/(1+VATRate)),ASM45)</f>
        <v/>
      </c>
      <c r="ASQ45" s="12">
        <f>ASM45-ASP45</f>
        <v/>
      </c>
      <c r="ASR45" s="12">
        <f>IF(ASO45=0,0,IF(ARJ45=1,SUMPRODUCT(--(($ARK$5:$ARK45=$ARK45-1)*($ARJ$5:$ARJ45&gt;=10)*($ARJ$5:$ARJ45&lt;=12)),$ASQ$5:$ASQ45),IF(ARJ45=4,SUMPRODUCT(--(($ARK$5:$ARK45=$ARK45)*($ARJ$5:$ARJ45&gt;=1)*($ARJ$5:$ARJ45&lt;=3)),$ASQ$5:$ASQ45),IF(ARJ45=7,SUMPRODUCT(--(($ARK$5:$ARK45=$ARK45)*($ARJ$5:$ARJ45&gt;=4)*($ARJ$5:$ARJ45&lt;=6)),$ASQ$5:$ASQ45),IF(ARJ45=10,SUMPRODUCT(--(($ARK$5:$ARK45=$ARK45)*($ARJ$5:$ARJ45&gt;=7)*($ARJ$5:$ARJ45&lt;=9)),$ASQ$5:$ASQ45),0)))))</f>
        <v/>
      </c>
      <c r="ASS45" s="12">
        <f>ASS44+ASQ45-ASR45</f>
        <v/>
      </c>
      <c r="AST45" s="12">
        <f>IF(ProviderDelay&gt;=1,ASA44*BlendedProvPayEss+ASB44*BlendedProvPayPrem+ASC44*BlendedProvPayElite+ASD44*BlendedProvPayEss+ASE44*BlendedProvPayPrem+ASF44*BlendedProvPayElite,ASA45*BlendedProvPayEss+ASB45*BlendedProvPayPrem+ASC45*BlendedProvPayElite+ASD45*BlendedProvPayEss+ASE45*BlendedProvPayPrem+ASF45*BlendedProvPayElite)</f>
        <v/>
      </c>
      <c r="ASU45" s="12">
        <f>ASM45*PaymentFee</f>
        <v/>
      </c>
      <c r="ASV45" s="12">
        <f>ASG45*OpsAI</f>
        <v/>
      </c>
      <c r="ASW45" s="12">
        <f>MonthlyFixed</f>
        <v/>
      </c>
      <c r="ASX45" s="12">
        <f>ARQ45*ReferralReward</f>
        <v/>
      </c>
      <c r="ASY45" s="12">
        <f>ARO45</f>
        <v/>
      </c>
      <c r="ASZ45" s="9">
        <f>ASP45-AST45-ASU45-ASV45-ASW45-ASX45-ASY45</f>
        <v/>
      </c>
      <c r="ATA45" s="9">
        <f>ATA44+ASM45-(AST45+ASU45+ASV45+ASW45+ASX45+ASY45+ASR45)</f>
        <v/>
      </c>
      <c r="ATB45" s="12">
        <f>IF(ASG45&gt;0,ASH45/ASG45,0)</f>
        <v/>
      </c>
      <c r="ATC45" s="11">
        <f>IF(ASG44&gt;0,MAX(0,(ASG44+ARR45-ASG45)/ASG44),0)</f>
        <v/>
      </c>
      <c r="ATE45" s="12" t="n">
        <v>41</v>
      </c>
      <c r="ATF45" s="12">
        <f>MOD(ATE45-1+LaunchMonth-1,12)+1</f>
        <v/>
      </c>
      <c r="ATG45" s="12">
        <f>INT((ATE45-1+LaunchMonth-1)/12)+1</f>
        <v/>
      </c>
      <c r="ATH45" s="12">
        <f>VLOOKUP(ATF45,SeasonTable,2,FALSE)</f>
        <v/>
      </c>
      <c r="ATI45" s="12">
        <f>(1+InflationRate)^INT((ATE45-1)/12)</f>
        <v/>
      </c>
      <c r="ATJ45" s="11">
        <f>MonthlyChurn*VLOOKUP(ATF45,ChurnSeasonTable,4,FALSE)</f>
        <v/>
      </c>
      <c r="ATK45" s="12">
        <f>MIN(MAX(MktMin19plus,AUI44*MktPct19plus),MAX(0,AUW44-CashBuffer))</f>
        <v/>
      </c>
      <c r="ATL45" s="12">
        <f>IF(ATK45&gt;0,MAX(1,ROUND(ATK45/'Sens - CAC &amp; Marketing'!$A$15*ATH45,0)),0)</f>
        <v/>
      </c>
      <c r="ATM45" s="12">
        <f>IF(ATL45&gt;0,ROUND(ATL45*ReferralMix/(1-ReferralMix),0),0)</f>
        <v/>
      </c>
      <c r="ATN45" s="12">
        <f>ATL45+ATM45</f>
        <v/>
      </c>
      <c r="ATO45" s="12">
        <f>ROUND(ATN45*(1-AnnualMix),0)</f>
        <v/>
      </c>
      <c r="ATP45" s="12">
        <f>ATN45-ATO45</f>
        <v/>
      </c>
      <c r="ATQ45" s="12">
        <f>ROUND(ATO45*EssentialMix,0)</f>
        <v/>
      </c>
      <c r="ATR45" s="12">
        <f>ROUND(ATO45*PremiumMix,0)</f>
        <v/>
      </c>
      <c r="ATS45" s="12">
        <f>ATO45-ATQ45-ATR45</f>
        <v/>
      </c>
      <c r="ATT45" s="12">
        <f>ROUND(ATP45*EssentialMix,0)</f>
        <v/>
      </c>
      <c r="ATU45" s="12">
        <f>ROUND(ATP45*PremiumMix,0)</f>
        <v/>
      </c>
      <c r="ATV45" s="12">
        <f>ATP45-ATT45-ATU45</f>
        <v/>
      </c>
      <c r="ATW45" s="12">
        <f>ATQ45+ATQ44+ATQ43+MAX(0,ATW44-ATQ44-ATQ43)*(1-ATJ45)</f>
        <v/>
      </c>
      <c r="ATX45" s="12">
        <f>ATR45+ATR44+ATR43+MAX(0,ATX44-ATR44-ATR43)*(1-ATJ45)</f>
        <v/>
      </c>
      <c r="ATY45" s="12">
        <f>ATS45+ATS44+ATS43+MAX(0,ATY44-ATS44-ATS43)*(1-ATJ45)</f>
        <v/>
      </c>
      <c r="ATZ45" s="12">
        <f>ATZ44+ATT45-ATT33*(AnnualChurn*VLOOKUP(ATF45,ChurnSeasonTable,4,FALSE))*POWER(1-(AnnualChurn*VLOOKUP(ATF45,ChurnSeasonTable,4,FALSE)),0)+ATT21*(AnnualChurn*VLOOKUP(ATF45,ChurnSeasonTable,4,FALSE))*POWER(1-(AnnualChurn*VLOOKUP(ATF45,ChurnSeasonTable,4,FALSE)),1)+ATT9*(AnnualChurn*VLOOKUP(ATF45,ChurnSeasonTable,4,FALSE))*POWER(1-(AnnualChurn*VLOOKUP(ATF45,ChurnSeasonTable,4,FALSE)),2)</f>
        <v/>
      </c>
      <c r="AUA45" s="12">
        <f>AUA44+ATU45-ATU33*(AnnualChurn*VLOOKUP(ATF45,ChurnSeasonTable,4,FALSE))*POWER(1-(AnnualChurn*VLOOKUP(ATF45,ChurnSeasonTable,4,FALSE)),0)+ATU21*(AnnualChurn*VLOOKUP(ATF45,ChurnSeasonTable,4,FALSE))*POWER(1-(AnnualChurn*VLOOKUP(ATF45,ChurnSeasonTable,4,FALSE)),1)+ATU9*(AnnualChurn*VLOOKUP(ATF45,ChurnSeasonTable,4,FALSE))*POWER(1-(AnnualChurn*VLOOKUP(ATF45,ChurnSeasonTable,4,FALSE)),2)</f>
        <v/>
      </c>
      <c r="AUB45" s="12">
        <f>AUB44+ATV45-ATV33*(AnnualChurn*VLOOKUP(ATF45,ChurnSeasonTable,4,FALSE))*POWER(1-(AnnualChurn*VLOOKUP(ATF45,ChurnSeasonTable,4,FALSE)),0)+ATV21*(AnnualChurn*VLOOKUP(ATF45,ChurnSeasonTable,4,FALSE))*POWER(1-(AnnualChurn*VLOOKUP(ATF45,ChurnSeasonTable,4,FALSE)),1)+ATV9*(AnnualChurn*VLOOKUP(ATF45,ChurnSeasonTable,4,FALSE))*POWER(1-(AnnualChurn*VLOOKUP(ATF45,ChurnSeasonTable,4,FALSE)),2)</f>
        <v/>
      </c>
      <c r="AUC45" s="12">
        <f>ATW45+ATX45+ATY45+ATZ45+AUA45+AUB45</f>
        <v/>
      </c>
      <c r="AUD45" s="9">
        <f>ATW45*BlendedPriceEssMonthly*ATI45+ATX45*BlendedPricePremMonthly*ATI45+ATY45*BlendedPriceEliteMonthly*ATI45+ATZ45*BlendedPriceEssAnnual*ATI45/12+AUA45*BlendedPricePremAnnual*ATI45/12+AUB45*BlendedPriceEliteAnnual*ATI45/12</f>
        <v/>
      </c>
      <c r="AUE45" s="9">
        <f>AUD45*12</f>
        <v/>
      </c>
      <c r="AUF45" s="12">
        <f>ATW45*BlendedPriceEssMonthly*ATI45+ATX45*BlendedPricePremMonthly*ATI45+ATY45*BlendedPriceEliteMonthly*ATI45</f>
        <v/>
      </c>
      <c r="AUG45" s="12">
        <f>ATT45*BlendedPriceEssAnnual*ATI45+ATU45*BlendedPricePremAnnual*ATI45+ATV45*BlendedPriceEliteAnnual*ATI45</f>
        <v/>
      </c>
      <c r="AUH45" s="12">
        <f>ATT33*POWER(1-(AnnualChurn*VLOOKUP(ATF45,ChurnSeasonTable,4,FALSE)),1)*BlendedPriceEssAnnual*ATI45+ATT21*POWER(1-(AnnualChurn*VLOOKUP(ATF45,ChurnSeasonTable,4,FALSE)),2)*BlendedPriceEssAnnual*ATI45+ATT9*POWER(1-(AnnualChurn*VLOOKUP(ATF45,ChurnSeasonTable,4,FALSE)),3)*BlendedPriceEssAnnual*ATI45+ATU33*POWER(1-(AnnualChurn*VLOOKUP(ATF45,ChurnSeasonTable,4,FALSE)),1)*BlendedPricePremAnnual*ATI45+ATU21*POWER(1-(AnnualChurn*VLOOKUP(ATF45,ChurnSeasonTable,4,FALSE)),2)*BlendedPricePremAnnual*ATI45+ATU9*POWER(1-(AnnualChurn*VLOOKUP(ATF45,ChurnSeasonTable,4,FALSE)),3)*BlendedPricePremAnnual*ATI45+ATV33*POWER(1-(AnnualChurn*VLOOKUP(ATF45,ChurnSeasonTable,4,FALSE)),1)*BlendedPriceEliteAnnual*ATI45+ATV21*POWER(1-(AnnualChurn*VLOOKUP(ATF45,ChurnSeasonTable,4,FALSE)),2)*BlendedPriceEliteAnnual*ATI45+ATV9*POWER(1-(AnnualChurn*VLOOKUP(ATF45,ChurnSeasonTable,4,FALSE)),3)*BlendedPriceEliteAnnual*ATI45</f>
        <v/>
      </c>
      <c r="AUI45" s="9">
        <f>AUF45+AUG45+AUH45</f>
        <v/>
      </c>
      <c r="AUJ45" s="12">
        <f>SUM(AUI34:AUI45)</f>
        <v/>
      </c>
      <c r="AUK45" s="12">
        <f>OR(AUK44,IF(VATAgentMode,SUM($AUI34:$AUI45)-SUM($AUP34:$AUP45)&gt;=VATThreshold,SUM($AUI34:$AUI45)&gt;=VATThreshold))</f>
        <v/>
      </c>
      <c r="AUL45" s="9">
        <f>IF(AUK45,IF(VATAgentMode,AUI45-((AUI45-AUP45)-(AUI45-AUP45)/(1+VATRate)),AUI45/(1+VATRate)),AUI45)</f>
        <v/>
      </c>
      <c r="AUM45" s="12">
        <f>AUI45-AUL45</f>
        <v/>
      </c>
      <c r="AUN45" s="12">
        <f>IF(AUK45=0,0,IF(ATF45=1,SUMPRODUCT(--(($ATG$5:$ATG45=$ATG45-1)*($ATF$5:$ATF45&gt;=10)*($ATF$5:$ATF45&lt;=12)),$AUM$5:$AUM45),IF(ATF45=4,SUMPRODUCT(--(($ATG$5:$ATG45=$ATG45)*($ATF$5:$ATF45&gt;=1)*($ATF$5:$ATF45&lt;=3)),$AUM$5:$AUM45),IF(ATF45=7,SUMPRODUCT(--(($ATG$5:$ATG45=$ATG45)*($ATF$5:$ATF45&gt;=4)*($ATF$5:$ATF45&lt;=6)),$AUM$5:$AUM45),IF(ATF45=10,SUMPRODUCT(--(($ATG$5:$ATG45=$ATG45)*($ATF$5:$ATF45&gt;=7)*($ATF$5:$ATF45&lt;=9)),$AUM$5:$AUM45),0)))))</f>
        <v/>
      </c>
      <c r="AUO45" s="12">
        <f>AUO44+AUM45-AUN45</f>
        <v/>
      </c>
      <c r="AUP45" s="12">
        <f>IF(ProviderDelay&gt;=1,ATW44*BlendedProvPayEss+ATX44*BlendedProvPayPrem+ATY44*BlendedProvPayElite+ATZ44*BlendedProvPayEss+AUA44*BlendedProvPayPrem+AUB44*BlendedProvPayElite,ATW45*BlendedProvPayEss+ATX45*BlendedProvPayPrem+ATY45*BlendedProvPayElite+ATZ45*BlendedProvPayEss+AUA45*BlendedProvPayPrem+AUB45*BlendedProvPayElite)</f>
        <v/>
      </c>
      <c r="AUQ45" s="12">
        <f>AUI45*PaymentFee</f>
        <v/>
      </c>
      <c r="AUR45" s="12">
        <f>AUC45*OpsAI</f>
        <v/>
      </c>
      <c r="AUS45" s="12">
        <f>MonthlyFixed</f>
        <v/>
      </c>
      <c r="AUT45" s="12">
        <f>ATM45*ReferralReward</f>
        <v/>
      </c>
      <c r="AUU45" s="12">
        <f>ATK45</f>
        <v/>
      </c>
      <c r="AUV45" s="9">
        <f>AUL45-AUP45-AUQ45-AUR45-AUS45-AUT45-AUU45</f>
        <v/>
      </c>
      <c r="AUW45" s="9">
        <f>AUW44+AUI45-(AUP45+AUQ45+AUR45+AUS45+AUT45+AUU45+AUN45)</f>
        <v/>
      </c>
      <c r="AUX45" s="12">
        <f>IF(AUC45&gt;0,AUD45/AUC45,0)</f>
        <v/>
      </c>
      <c r="AUY45" s="11">
        <f>IF(AUC44&gt;0,MAX(0,(AUC44+ATN45-AUC45)/AUC44),0)</f>
        <v/>
      </c>
      <c r="AVA45" s="12" t="n">
        <v>41</v>
      </c>
      <c r="AVB45" s="12">
        <f>MOD(AVA45-1+LaunchMonth-1,12)+1</f>
        <v/>
      </c>
      <c r="AVC45" s="12">
        <f>INT((AVA45-1+LaunchMonth-1)/12)+1</f>
        <v/>
      </c>
      <c r="AVD45" s="12">
        <f>VLOOKUP(AVB45,WinterPivotSeasonTable,5,FALSE)</f>
        <v/>
      </c>
      <c r="AVE45" s="12">
        <f>(1+InflationRate)^INT((AVA45-1)/12)</f>
        <v/>
      </c>
      <c r="AVF45" s="11">
        <f>MonthlyChurn*VLOOKUP(AVB45,WinterPivotChurnTable,6,FALSE)</f>
        <v/>
      </c>
      <c r="AVG45" s="12">
        <f>MIN(MAX(MktMin19plus,AWE44*MktPct19plus),MAX(0,AWS44-CashBuffer))</f>
        <v/>
      </c>
      <c r="AVH45" s="12">
        <f>IF(AVG45&gt;0,MAX(1,ROUND(AVG45/CAC*AVD45,0)),0)</f>
        <v/>
      </c>
      <c r="AVI45" s="12">
        <f>IF(AVH45&gt;0,ROUND(AVH45*ReferralMix/(1-ReferralMix),0),0)</f>
        <v/>
      </c>
      <c r="AVJ45" s="12">
        <f>AVH45+AVI45</f>
        <v/>
      </c>
      <c r="AVK45" s="12">
        <f>ROUND(AVJ45*(1-AnnualMix),0)</f>
        <v/>
      </c>
      <c r="AVL45" s="12">
        <f>AVJ45-AVK45</f>
        <v/>
      </c>
      <c r="AVM45" s="12">
        <f>ROUND(AVK45*'Sens - Winter Pivot'!$B$6,0)</f>
        <v/>
      </c>
      <c r="AVN45" s="12">
        <f>ROUND(AVK45*PremiumMix,0)</f>
        <v/>
      </c>
      <c r="AVO45" s="12">
        <f>AVK45-AVM45-AVN45</f>
        <v/>
      </c>
      <c r="AVP45" s="12">
        <f>ROUND(AVL45*'Sens - Winter Pivot'!$B$6,0)</f>
        <v/>
      </c>
      <c r="AVQ45" s="12">
        <f>ROUND(AVL45*PremiumMix,0)</f>
        <v/>
      </c>
      <c r="AVR45" s="12">
        <f>AVL45-AVP45-AVQ45</f>
        <v/>
      </c>
      <c r="AVS45" s="12">
        <f>AVM45+AVM44+AVM43+MAX(0,AVS44-AVM44-AVM43)*(1-AVF45)</f>
        <v/>
      </c>
      <c r="AVT45" s="12">
        <f>AVN45+AVN44+AVN43+MAX(0,AVT44-AVN44-AVN43)*(1-AVF45)</f>
        <v/>
      </c>
      <c r="AVU45" s="12">
        <f>AVO45+AVO44+AVO43+MAX(0,AVU44-AVO44-AVO43)*(1-AVF45)</f>
        <v/>
      </c>
      <c r="AVV45" s="12">
        <f>AVV44+AVP45-AVP33*(AnnualChurn*VLOOKUP(AVB45,ChurnSeasonTable,4,FALSE))*POWER(1-(AnnualChurn*VLOOKUP(AVB45,ChurnSeasonTable,4,FALSE)),0)+AVP21*(AnnualChurn*VLOOKUP(AVB45,ChurnSeasonTable,4,FALSE))*POWER(1-(AnnualChurn*VLOOKUP(AVB45,ChurnSeasonTable,4,FALSE)),1)+AVP9*(AnnualChurn*VLOOKUP(AVB45,ChurnSeasonTable,4,FALSE))*POWER(1-(AnnualChurn*VLOOKUP(AVB45,ChurnSeasonTable,4,FALSE)),2)</f>
        <v/>
      </c>
      <c r="AVW45" s="12">
        <f>AVW44+AVQ45-AVQ33*(AnnualChurn*VLOOKUP(AVB45,ChurnSeasonTable,4,FALSE))*POWER(1-(AnnualChurn*VLOOKUP(AVB45,ChurnSeasonTable,4,FALSE)),0)+AVQ21*(AnnualChurn*VLOOKUP(AVB45,ChurnSeasonTable,4,FALSE))*POWER(1-(AnnualChurn*VLOOKUP(AVB45,ChurnSeasonTable,4,FALSE)),1)+AVQ9*(AnnualChurn*VLOOKUP(AVB45,ChurnSeasonTable,4,FALSE))*POWER(1-(AnnualChurn*VLOOKUP(AVB45,ChurnSeasonTable,4,FALSE)),2)</f>
        <v/>
      </c>
      <c r="AVX45" s="12">
        <f>AVX44+AVR45-AVR33*(AnnualChurn*VLOOKUP(AVB45,ChurnSeasonTable,4,FALSE))*POWER(1-(AnnualChurn*VLOOKUP(AVB45,ChurnSeasonTable,4,FALSE)),0)+AVR21*(AnnualChurn*VLOOKUP(AVB45,ChurnSeasonTable,4,FALSE))*POWER(1-(AnnualChurn*VLOOKUP(AVB45,ChurnSeasonTable,4,FALSE)),1)+AVR9*(AnnualChurn*VLOOKUP(AVB45,ChurnSeasonTable,4,FALSE))*POWER(1-(AnnualChurn*VLOOKUP(AVB45,ChurnSeasonTable,4,FALSE)),2)</f>
        <v/>
      </c>
      <c r="AVY45" s="12">
        <f>AVS45+AVT45+AVU45+AVV45+AVW45+AVX45</f>
        <v/>
      </c>
      <c r="AVZ45" s="9">
        <f>AVS45*BlendedPriceEssMonthly*AVE45+AVT45*(BlendedPricePremMonthly+'Sens - Winter Pivot'!$B$7)*AVE45+AVU45*BlendedPriceEliteMonthly*AVE45+AVV45*BlendedPriceEssAnnual*AVE45/12+AVW45*(BlendedPricePremAnnual+'Sens - Winter Pivot'!$B$7*12)*AVE45/12+AVX45*BlendedPriceEliteAnnual*AVE45/12</f>
        <v/>
      </c>
      <c r="AWA45" s="9">
        <f>AVZ45*12</f>
        <v/>
      </c>
      <c r="AWB45" s="12">
        <f>AVS45*BlendedPriceEssMonthly*AVE45+AVT45*(BlendedPricePremMonthly+'Sens - Winter Pivot'!$B$7)*AVE45+AVU45*BlendedPriceEliteMonthly*AVE45</f>
        <v/>
      </c>
      <c r="AWC45" s="12">
        <f>AVP45*BlendedPriceEssAnnual*AVE45+AVQ45*(BlendedPricePremAnnual+'Sens - Winter Pivot'!$B$7*12)*AVE45+AVR45*BlendedPriceEliteAnnual*AVE45</f>
        <v/>
      </c>
      <c r="AWD45" s="12">
        <f>AVP33*POWER(1-(AnnualChurn*VLOOKUP(AVB45,ChurnSeasonTable,4,FALSE)),1)*BlendedPriceEssAnnual*AVE45+AVP21*POWER(1-(AnnualChurn*VLOOKUP(AVB45,ChurnSeasonTable,4,FALSE)),2)*BlendedPriceEssAnnual*AVE45+AVP9*POWER(1-(AnnualChurn*VLOOKUP(AVB45,ChurnSeasonTable,4,FALSE)),3)*BlendedPriceEssAnnual*AVE45+AVQ33*POWER(1-(AnnualChurn*VLOOKUP(AVB45,ChurnSeasonTable,4,FALSE)),1)*BlendedPricePremAnnual*AVE45+AVQ21*POWER(1-(AnnualChurn*VLOOKUP(AVB45,ChurnSeasonTable,4,FALSE)),2)*BlendedPricePremAnnual*AVE45+AVQ9*POWER(1-(AnnualChurn*VLOOKUP(AVB45,ChurnSeasonTable,4,FALSE)),3)*BlendedPricePremAnnual*AVE45+AVR33*POWER(1-(AnnualChurn*VLOOKUP(AVB45,ChurnSeasonTable,4,FALSE)),1)*BlendedPriceEliteAnnual*AVE45+AVR21*POWER(1-(AnnualChurn*VLOOKUP(AVB45,ChurnSeasonTable,4,FALSE)),2)*BlendedPriceEliteAnnual*AVE45+AVR9*POWER(1-(AnnualChurn*VLOOKUP(AVB45,ChurnSeasonTable,4,FALSE)),3)*BlendedPriceEliteAnnual*AVE45</f>
        <v/>
      </c>
      <c r="AWE45" s="9">
        <f>AWB45+AWC45+AWD45</f>
        <v/>
      </c>
      <c r="AWF45" s="12">
        <f>SUM(AWE34:AWE45)</f>
        <v/>
      </c>
      <c r="AWG45" s="12">
        <f>OR(AWG44,IF(VATAgentMode,SUM($AWE34:$AWE45)-SUM($AWL34:$AWL45)&gt;=VATThreshold,SUM($AWE34:$AWE45)&gt;=VATThreshold))</f>
        <v/>
      </c>
      <c r="AWH45" s="9">
        <f>IF(AWG45,IF(VATAgentMode,AWE45-((AWE45-AWL45)-(AWE45-AWL45)/(1+VATRate)),AWE45/(1+VATRate)),AWE45)</f>
        <v/>
      </c>
      <c r="AWI45" s="12">
        <f>AWE45-AWH45</f>
        <v/>
      </c>
      <c r="AWJ45" s="12">
        <f>IF(AWG45=0,0,IF(AVB45=1,SUMPRODUCT(--(($AVC$5:$AVC45=$AVC45-1)*($AVB$5:$AVB45&gt;=10)*($AVB$5:$AVB45&lt;=12)),$AWI$5:$AWI45),IF(AVB45=4,SUMPRODUCT(--(($AVC$5:$AVC45=$AVC45)*($AVB$5:$AVB45&gt;=1)*($AVB$5:$AVB45&lt;=3)),$AWI$5:$AWI45),IF(AVB45=7,SUMPRODUCT(--(($AVC$5:$AVC45=$AVC45)*($AVB$5:$AVB45&gt;=4)*($AVB$5:$AVB45&lt;=6)),$AWI$5:$AWI45),IF(AVB45=10,SUMPRODUCT(--(($AVC$5:$AVC45=$AVC45)*($AVB$5:$AVB45&gt;=7)*($AVB$5:$AVB45&lt;=9)),$AWI$5:$AWI45),0)))))</f>
        <v/>
      </c>
      <c r="AWK45" s="12">
        <f>AWK44+AWI45-AWJ45</f>
        <v/>
      </c>
      <c r="AWL45" s="12">
        <f>IF(ProviderDelay&gt;=1,AVS44*BlendedProvPayEss+AVT44*BlendedProvPayPrem+AVU44*BlendedProvPayElite+AVV44*BlendedProvPayEss+AVW44*BlendedProvPayPrem+AVX44*BlendedProvPayElite,AVS45*BlendedProvPayEss+AVT45*BlendedProvPayPrem+AVU45*BlendedProvPayElite+AVV45*BlendedProvPayEss+AVW45*BlendedProvPayPrem+AVX45*BlendedProvPayElite)</f>
        <v/>
      </c>
      <c r="AWM45" s="12">
        <f>AWE45*PaymentFee</f>
        <v/>
      </c>
      <c r="AWN45" s="12">
        <f>AVY45*OpsAI</f>
        <v/>
      </c>
      <c r="AWO45" s="12">
        <f>MonthlyFixed</f>
        <v/>
      </c>
      <c r="AWP45" s="12">
        <f>AVI45*ReferralReward</f>
        <v/>
      </c>
      <c r="AWQ45" s="12">
        <f>AVG45</f>
        <v/>
      </c>
      <c r="AWR45" s="9">
        <f>AWH45-AWL45-AWM45-AWN45-AWO45-AWP45-AWQ45</f>
        <v/>
      </c>
      <c r="AWS45" s="9">
        <f>AWS44+AWE45-(AWL45+AWM45+AWN45+AWO45+AWP45+AWQ45+AWJ45)</f>
        <v/>
      </c>
      <c r="AWT45" s="12">
        <f>IF(AVY45&gt;0,AVZ45/AVY45,0)</f>
        <v/>
      </c>
      <c r="AWU45" s="11">
        <f>IF(AVY44&gt;0,MAX(0,(AVY44+AVJ45-AVY45)/AVY44),0)</f>
        <v/>
      </c>
    </row>
    <row r="46">
      <c r="A46" s="12" t="n">
        <v>42</v>
      </c>
      <c r="B46" s="12">
        <f>MOD(A46-1+LaunchMonth-1,12)+1</f>
        <v/>
      </c>
      <c r="C46" s="12">
        <f>INT((A46-1+LaunchMonth-1)/12)+1</f>
        <v/>
      </c>
      <c r="D46" s="12">
        <f>VLOOKUP(B46,SeasonTable,2,FALSE)</f>
        <v/>
      </c>
      <c r="E46" s="12">
        <f>(1+InflationRate)^INT((A46-1)/12)</f>
        <v/>
      </c>
      <c r="F46" s="11">
        <f>'Sens - Scenarios'!$B$5*VLOOKUP(B46,ChurnSeasonTable,4,FALSE)</f>
        <v/>
      </c>
      <c r="G46" s="12">
        <f>MIN(MAX(MktMin19plus,AE45*MktPct19plus),MAX(0,AS45-CashBuffer))</f>
        <v/>
      </c>
      <c r="H46" s="12">
        <f>IF(G46&gt;0,MAX(1,ROUND(G46/'Sens - Scenarios'!$B$8*D46,0)),0)</f>
        <v/>
      </c>
      <c r="I46" s="12">
        <f>IF(H46&gt;0,ROUND(H46*ReferralMix/(1-ReferralMix),0),0)</f>
        <v/>
      </c>
      <c r="J46" s="12">
        <f>H46+I46</f>
        <v/>
      </c>
      <c r="K46" s="12">
        <f>ROUND(J46*(1-'Sens - Scenarios'!$B$7),0)</f>
        <v/>
      </c>
      <c r="L46" s="12">
        <f>J46-K46</f>
        <v/>
      </c>
      <c r="M46" s="12">
        <f>ROUND(K46*EssentialMix,0)</f>
        <v/>
      </c>
      <c r="N46" s="12">
        <f>ROUND(K46*PremiumMix,0)</f>
        <v/>
      </c>
      <c r="O46" s="12">
        <f>K46-M46-N46</f>
        <v/>
      </c>
      <c r="P46" s="12">
        <f>ROUND(L46*EssentialMix,0)</f>
        <v/>
      </c>
      <c r="Q46" s="12">
        <f>ROUND(L46*PremiumMix,0)</f>
        <v/>
      </c>
      <c r="R46" s="12">
        <f>L46-P46-Q46</f>
        <v/>
      </c>
      <c r="S46" s="12">
        <f>M46+M45+M44+MAX(0,S45-M45-M44)*(1-F46)</f>
        <v/>
      </c>
      <c r="T46" s="12">
        <f>N46+N45+N44+MAX(0,T45-N45-N44)*(1-F46)</f>
        <v/>
      </c>
      <c r="U46" s="12">
        <f>O46+O45+O44+MAX(0,U45-O45-O44)*(1-F46)</f>
        <v/>
      </c>
      <c r="V46" s="12">
        <f>V45+P46-P34*('Sens - Scenarios'!$B$6*VLOOKUP(B46,ChurnSeasonTable,4,FALSE))*POWER(1-('Sens - Scenarios'!$B$6*VLOOKUP(B46,ChurnSeasonTable,4,FALSE)),0)+P22*('Sens - Scenarios'!$B$6*VLOOKUP(B46,ChurnSeasonTable,4,FALSE))*POWER(1-('Sens - Scenarios'!$B$6*VLOOKUP(B46,ChurnSeasonTable,4,FALSE)),1)+P10*('Sens - Scenarios'!$B$6*VLOOKUP(B46,ChurnSeasonTable,4,FALSE))*POWER(1-('Sens - Scenarios'!$B$6*VLOOKUP(B46,ChurnSeasonTable,4,FALSE)),2)</f>
        <v/>
      </c>
      <c r="W46" s="12">
        <f>W45+Q46-Q34*('Sens - Scenarios'!$B$6*VLOOKUP(B46,ChurnSeasonTable,4,FALSE))*POWER(1-('Sens - Scenarios'!$B$6*VLOOKUP(B46,ChurnSeasonTable,4,FALSE)),0)+Q22*('Sens - Scenarios'!$B$6*VLOOKUP(B46,ChurnSeasonTable,4,FALSE))*POWER(1-('Sens - Scenarios'!$B$6*VLOOKUP(B46,ChurnSeasonTable,4,FALSE)),1)+Q10*('Sens - Scenarios'!$B$6*VLOOKUP(B46,ChurnSeasonTable,4,FALSE))*POWER(1-('Sens - Scenarios'!$B$6*VLOOKUP(B46,ChurnSeasonTable,4,FALSE)),2)</f>
        <v/>
      </c>
      <c r="X46" s="12">
        <f>X45+R46-R34*('Sens - Scenarios'!$B$6*VLOOKUP(B46,ChurnSeasonTable,4,FALSE))*POWER(1-('Sens - Scenarios'!$B$6*VLOOKUP(B46,ChurnSeasonTable,4,FALSE)),0)+R22*('Sens - Scenarios'!$B$6*VLOOKUP(B46,ChurnSeasonTable,4,FALSE))*POWER(1-('Sens - Scenarios'!$B$6*VLOOKUP(B46,ChurnSeasonTable,4,FALSE)),1)+R10*('Sens - Scenarios'!$B$6*VLOOKUP(B46,ChurnSeasonTable,4,FALSE))*POWER(1-('Sens - Scenarios'!$B$6*VLOOKUP(B46,ChurnSeasonTable,4,FALSE)),2)</f>
        <v/>
      </c>
      <c r="Y46" s="12">
        <f>S46+T46+U46+V46+W46+X46</f>
        <v/>
      </c>
      <c r="Z46" s="9">
        <f>S46*BlendedPriceEssMonthly*E46+T46*BlendedPricePremMonthly*E46+U46*BlendedPriceEliteMonthly*E46+V46*BlendedPriceEssAnnual*E46/12+W46*BlendedPricePremAnnual*E46/12+X46*BlendedPriceEliteAnnual*E46/12</f>
        <v/>
      </c>
      <c r="AA46" s="9">
        <f>Z46*12</f>
        <v/>
      </c>
      <c r="AB46" s="12">
        <f>S46*BlendedPriceEssMonthly*E46+T46*BlendedPricePremMonthly*E46+U46*BlendedPriceEliteMonthly*E46</f>
        <v/>
      </c>
      <c r="AC46" s="12">
        <f>P46*BlendedPriceEssAnnual*E46+Q46*BlendedPricePremAnnual*E46+R46*BlendedPriceEliteAnnual*E46</f>
        <v/>
      </c>
      <c r="AD46" s="12">
        <f>P34*POWER(1-('Sens - Scenarios'!$B$6*VLOOKUP(B46,ChurnSeasonTable,4,FALSE)),1)*BlendedPriceEssAnnual*E46+P22*POWER(1-('Sens - Scenarios'!$B$6*VLOOKUP(B46,ChurnSeasonTable,4,FALSE)),2)*BlendedPriceEssAnnual*E46+P10*POWER(1-('Sens - Scenarios'!$B$6*VLOOKUP(B46,ChurnSeasonTable,4,FALSE)),3)*BlendedPriceEssAnnual*E46+Q34*POWER(1-('Sens - Scenarios'!$B$6*VLOOKUP(B46,ChurnSeasonTable,4,FALSE)),1)*BlendedPricePremAnnual*E46+Q22*POWER(1-('Sens - Scenarios'!$B$6*VLOOKUP(B46,ChurnSeasonTable,4,FALSE)),2)*BlendedPricePremAnnual*E46+Q10*POWER(1-('Sens - Scenarios'!$B$6*VLOOKUP(B46,ChurnSeasonTable,4,FALSE)),3)*BlendedPricePremAnnual*E46+R34*POWER(1-('Sens - Scenarios'!$B$6*VLOOKUP(B46,ChurnSeasonTable,4,FALSE)),1)*BlendedPriceEliteAnnual*E46+R22*POWER(1-('Sens - Scenarios'!$B$6*VLOOKUP(B46,ChurnSeasonTable,4,FALSE)),2)*BlendedPriceEliteAnnual*E46+R10*POWER(1-('Sens - Scenarios'!$B$6*VLOOKUP(B46,ChurnSeasonTable,4,FALSE)),3)*BlendedPriceEliteAnnual*E46</f>
        <v/>
      </c>
      <c r="AE46" s="9">
        <f>AB46+AC46+AD46</f>
        <v/>
      </c>
      <c r="AF46" s="12">
        <f>SUM(AE35:AE46)</f>
        <v/>
      </c>
      <c r="AG46" s="12">
        <f>OR(AG45,IF(VATAgentMode,SUM($AE35:$AE46)-SUM($AL35:$AL46)&gt;=VATThreshold,SUM($AE35:$AE46)&gt;=VATThreshold))</f>
        <v/>
      </c>
      <c r="AH46" s="9">
        <f>IF(AG46,IF(VATAgentMode,AE46-((AE46-AL46)-(AE46-AL46)/(1+VATRate)),AE46/(1+VATRate)),AE46)</f>
        <v/>
      </c>
      <c r="AI46" s="12">
        <f>AE46-AH46</f>
        <v/>
      </c>
      <c r="AJ46" s="12">
        <f>IF(AG46=0,0,IF(B46=1,SUMPRODUCT(--(($C$5:$C46=$C46-1)*($B$5:$B46&gt;=10)*($B$5:$B46&lt;=12)),$AI$5:$AI46),IF(B46=4,SUMPRODUCT(--(($C$5:$C46=$C46)*($B$5:$B46&gt;=1)*($B$5:$B46&lt;=3)),$AI$5:$AI46),IF(B46=7,SUMPRODUCT(--(($C$5:$C46=$C46)*($B$5:$B46&gt;=4)*($B$5:$B46&lt;=6)),$AI$5:$AI46),IF(B46=10,SUMPRODUCT(--(($C$5:$C46=$C46)*($B$5:$B46&gt;=7)*($B$5:$B46&lt;=9)),$AI$5:$AI46),0)))))</f>
        <v/>
      </c>
      <c r="AK46" s="12">
        <f>AK45+AI46-AJ46</f>
        <v/>
      </c>
      <c r="AL46" s="12">
        <f>IF(ProviderDelay&gt;=1,S45*BlendedProvPayEss+T45*BlendedProvPayPrem+U45*BlendedProvPayElite+V45*BlendedProvPayEss+W45*BlendedProvPayPrem+X45*BlendedProvPayElite,S46*BlendedProvPayEss+T46*BlendedProvPayPrem+U46*BlendedProvPayElite+V46*BlendedProvPayEss+W46*BlendedProvPayPrem+X46*BlendedProvPayElite)</f>
        <v/>
      </c>
      <c r="AM46" s="12">
        <f>AE46*PaymentFee</f>
        <v/>
      </c>
      <c r="AN46" s="12">
        <f>Y46*OpsAI</f>
        <v/>
      </c>
      <c r="AO46" s="12">
        <f>MonthlyFixed</f>
        <v/>
      </c>
      <c r="AP46" s="12">
        <f>I46*ReferralReward</f>
        <v/>
      </c>
      <c r="AQ46" s="12">
        <f>G46</f>
        <v/>
      </c>
      <c r="AR46" s="9">
        <f>AH46-AL46-AM46-AN46-AO46-AP46-AQ46</f>
        <v/>
      </c>
      <c r="AS46" s="9">
        <f>AS45+AE46-(AL46+AM46+AN46+AO46+AP46+AQ46+AJ46)</f>
        <v/>
      </c>
      <c r="AT46" s="12">
        <f>IF(Y46&gt;0,Z46/Y46,0)</f>
        <v/>
      </c>
      <c r="AU46" s="11">
        <f>IF(Y45&gt;0,MAX(0,(Y45+J46-Y46)/Y45),0)</f>
        <v/>
      </c>
      <c r="AW46" s="12" t="n">
        <v>42</v>
      </c>
      <c r="AX46" s="12">
        <f>MOD(AW46-1+LaunchMonth-1,12)+1</f>
        <v/>
      </c>
      <c r="AY46" s="12">
        <f>INT((AW46-1+LaunchMonth-1)/12)+1</f>
        <v/>
      </c>
      <c r="AZ46" s="12">
        <f>VLOOKUP(AX46,SeasonTable,2,FALSE)</f>
        <v/>
      </c>
      <c r="BA46" s="12">
        <f>(1+InflationRate)^INT((AW46-1)/12)</f>
        <v/>
      </c>
      <c r="BB46" s="11">
        <f>MonthlyChurn*VLOOKUP(AX46,ChurnSeasonTable,4,FALSE)</f>
        <v/>
      </c>
      <c r="BC46" s="12">
        <f>MIN(MAX(MktMin19plus,CA45*MktPct19plus),MAX(0,CO45-CashBuffer))</f>
        <v/>
      </c>
      <c r="BD46" s="12">
        <f>IF(BC46&gt;0,MAX(1,ROUND(BC46/CAC*AZ46,0)),0)</f>
        <v/>
      </c>
      <c r="BE46" s="12">
        <f>IF(BD46&gt;0,ROUND(BD46*ReferralMix/(1-ReferralMix),0),0)</f>
        <v/>
      </c>
      <c r="BF46" s="12">
        <f>BD46+BE46</f>
        <v/>
      </c>
      <c r="BG46" s="12">
        <f>ROUND(BF46*(1-AnnualMix),0)</f>
        <v/>
      </c>
      <c r="BH46" s="12">
        <f>BF46-BG46</f>
        <v/>
      </c>
      <c r="BI46" s="12">
        <f>ROUND(BG46*EssentialMix,0)</f>
        <v/>
      </c>
      <c r="BJ46" s="12">
        <f>ROUND(BG46*PremiumMix,0)</f>
        <v/>
      </c>
      <c r="BK46" s="12">
        <f>BG46-BI46-BJ46</f>
        <v/>
      </c>
      <c r="BL46" s="12">
        <f>ROUND(BH46*EssentialMix,0)</f>
        <v/>
      </c>
      <c r="BM46" s="12">
        <f>ROUND(BH46*PremiumMix,0)</f>
        <v/>
      </c>
      <c r="BN46" s="12">
        <f>BH46-BL46-BM46</f>
        <v/>
      </c>
      <c r="BO46" s="12">
        <f>BI46+BI45+BI44+MAX(0,BO45-BI45-BI44)*(1-BB46)</f>
        <v/>
      </c>
      <c r="BP46" s="12">
        <f>BJ46+BJ45+BJ44+MAX(0,BP45-BJ45-BJ44)*(1-BB46)</f>
        <v/>
      </c>
      <c r="BQ46" s="12">
        <f>BK46+BK45+BK44+MAX(0,BQ45-BK45-BK44)*(1-BB46)</f>
        <v/>
      </c>
      <c r="BR46" s="12">
        <f>BR45+BL46-BL34*(AnnualChurn*VLOOKUP(AX46,ChurnSeasonTable,4,FALSE))*POWER(1-(AnnualChurn*VLOOKUP(AX46,ChurnSeasonTable,4,FALSE)),0)+BL22*(AnnualChurn*VLOOKUP(AX46,ChurnSeasonTable,4,FALSE))*POWER(1-(AnnualChurn*VLOOKUP(AX46,ChurnSeasonTable,4,FALSE)),1)+BL10*(AnnualChurn*VLOOKUP(AX46,ChurnSeasonTable,4,FALSE))*POWER(1-(AnnualChurn*VLOOKUP(AX46,ChurnSeasonTable,4,FALSE)),2)</f>
        <v/>
      </c>
      <c r="BS46" s="12">
        <f>BS45+BM46-BM34*(AnnualChurn*VLOOKUP(AX46,ChurnSeasonTable,4,FALSE))*POWER(1-(AnnualChurn*VLOOKUP(AX46,ChurnSeasonTable,4,FALSE)),0)+BM22*(AnnualChurn*VLOOKUP(AX46,ChurnSeasonTable,4,FALSE))*POWER(1-(AnnualChurn*VLOOKUP(AX46,ChurnSeasonTable,4,FALSE)),1)+BM10*(AnnualChurn*VLOOKUP(AX46,ChurnSeasonTable,4,FALSE))*POWER(1-(AnnualChurn*VLOOKUP(AX46,ChurnSeasonTable,4,FALSE)),2)</f>
        <v/>
      </c>
      <c r="BT46" s="12">
        <f>BT45+BN46-BN34*(AnnualChurn*VLOOKUP(AX46,ChurnSeasonTable,4,FALSE))*POWER(1-(AnnualChurn*VLOOKUP(AX46,ChurnSeasonTable,4,FALSE)),0)+BN22*(AnnualChurn*VLOOKUP(AX46,ChurnSeasonTable,4,FALSE))*POWER(1-(AnnualChurn*VLOOKUP(AX46,ChurnSeasonTable,4,FALSE)),1)+BN10*(AnnualChurn*VLOOKUP(AX46,ChurnSeasonTable,4,FALSE))*POWER(1-(AnnualChurn*VLOOKUP(AX46,ChurnSeasonTable,4,FALSE)),2)</f>
        <v/>
      </c>
      <c r="BU46" s="12">
        <f>BO46+BP46+BQ46+BR46+BS46+BT46</f>
        <v/>
      </c>
      <c r="BV46" s="9">
        <f>BO46*BlendedPriceEssMonthly*BA46+BP46*BlendedPricePremMonthly*BA46+BQ46*BlendedPriceEliteMonthly*BA46+BR46*BlendedPriceEssAnnual*BA46/12+BS46*BlendedPricePremAnnual*BA46/12+BT46*BlendedPriceEliteAnnual*BA46/12</f>
        <v/>
      </c>
      <c r="BW46" s="9">
        <f>BV46*12</f>
        <v/>
      </c>
      <c r="BX46" s="12">
        <f>BO46*BlendedPriceEssMonthly*BA46+BP46*BlendedPricePremMonthly*BA46+BQ46*BlendedPriceEliteMonthly*BA46</f>
        <v/>
      </c>
      <c r="BY46" s="12">
        <f>BL46*BlendedPriceEssAnnual*BA46+BM46*BlendedPricePremAnnual*BA46+BN46*BlendedPriceEliteAnnual*BA46</f>
        <v/>
      </c>
      <c r="BZ46" s="12">
        <f>BL34*POWER(1-(AnnualChurn*VLOOKUP(AX46,ChurnSeasonTable,4,FALSE)),1)*BlendedPriceEssAnnual*BA46+BL22*POWER(1-(AnnualChurn*VLOOKUP(AX46,ChurnSeasonTable,4,FALSE)),2)*BlendedPriceEssAnnual*BA46+BL10*POWER(1-(AnnualChurn*VLOOKUP(AX46,ChurnSeasonTable,4,FALSE)),3)*BlendedPriceEssAnnual*BA46+BM34*POWER(1-(AnnualChurn*VLOOKUP(AX46,ChurnSeasonTable,4,FALSE)),1)*BlendedPricePremAnnual*BA46+BM22*POWER(1-(AnnualChurn*VLOOKUP(AX46,ChurnSeasonTable,4,FALSE)),2)*BlendedPricePremAnnual*BA46+BM10*POWER(1-(AnnualChurn*VLOOKUP(AX46,ChurnSeasonTable,4,FALSE)),3)*BlendedPricePremAnnual*BA46+BN34*POWER(1-(AnnualChurn*VLOOKUP(AX46,ChurnSeasonTable,4,FALSE)),1)*BlendedPriceEliteAnnual*BA46+BN22*POWER(1-(AnnualChurn*VLOOKUP(AX46,ChurnSeasonTable,4,FALSE)),2)*BlendedPriceEliteAnnual*BA46+BN10*POWER(1-(AnnualChurn*VLOOKUP(AX46,ChurnSeasonTable,4,FALSE)),3)*BlendedPriceEliteAnnual*BA46</f>
        <v/>
      </c>
      <c r="CA46" s="9">
        <f>BX46+BY46+BZ46</f>
        <v/>
      </c>
      <c r="CB46" s="12">
        <f>SUM(CA35:CA46)</f>
        <v/>
      </c>
      <c r="CC46" s="12">
        <f>OR(CC45,IF(VATAgentMode,SUM($CA35:$CA46)-SUM($CH35:$CH46)&gt;=VATThreshold,SUM($CA35:$CA46)&gt;=VATThreshold))</f>
        <v/>
      </c>
      <c r="CD46" s="9">
        <f>IF(CC46,IF(VATAgentMode,CA46-((CA46-CH46)-(CA46-CH46)/(1+VATRate)),CA46/(1+VATRate)),CA46)</f>
        <v/>
      </c>
      <c r="CE46" s="12">
        <f>CA46-CD46</f>
        <v/>
      </c>
      <c r="CF46" s="12">
        <f>IF(CC46=0,0,IF(AX46=1,SUMPRODUCT(--(($AY$5:$AY46=$AY46-1)*($AX$5:$AX46&gt;=10)*($AX$5:$AX46&lt;=12)),$CE$5:$CE46),IF(AX46=4,SUMPRODUCT(--(($AY$5:$AY46=$AY46)*($AX$5:$AX46&gt;=1)*($AX$5:$AX46&lt;=3)),$CE$5:$CE46),IF(AX46=7,SUMPRODUCT(--(($AY$5:$AY46=$AY46)*($AX$5:$AX46&gt;=4)*($AX$5:$AX46&lt;=6)),$CE$5:$CE46),IF(AX46=10,SUMPRODUCT(--(($AY$5:$AY46=$AY46)*($AX$5:$AX46&gt;=7)*($AX$5:$AX46&lt;=9)),$CE$5:$CE46),0)))))</f>
        <v/>
      </c>
      <c r="CG46" s="12">
        <f>CG45+CE46-CF46</f>
        <v/>
      </c>
      <c r="CH46" s="12">
        <f>IF(ProviderDelay&gt;=1,BO45*BlendedProvPayEss+BP45*BlendedProvPayPrem+BQ45*BlendedProvPayElite+BR45*BlendedProvPayEss+BS45*BlendedProvPayPrem+BT45*BlendedProvPayElite,BO46*BlendedProvPayEss+BP46*BlendedProvPayPrem+BQ46*BlendedProvPayElite+BR46*BlendedProvPayEss+BS46*BlendedProvPayPrem+BT46*BlendedProvPayElite)</f>
        <v/>
      </c>
      <c r="CI46" s="12">
        <f>CA46*PaymentFee</f>
        <v/>
      </c>
      <c r="CJ46" s="12">
        <f>BU46*OpsAI</f>
        <v/>
      </c>
      <c r="CK46" s="12">
        <f>MonthlyFixed</f>
        <v/>
      </c>
      <c r="CL46" s="12">
        <f>BE46*ReferralReward</f>
        <v/>
      </c>
      <c r="CM46" s="12">
        <f>BC46</f>
        <v/>
      </c>
      <c r="CN46" s="9">
        <f>CD46-CH46-CI46-CJ46-CK46-CL46-CM46</f>
        <v/>
      </c>
      <c r="CO46" s="9">
        <f>CO45+CA46-(CH46+CI46+CJ46+CK46+CL46+CM46+CF46)</f>
        <v/>
      </c>
      <c r="CP46" s="12">
        <f>IF(BU46&gt;0,BV46/BU46,0)</f>
        <v/>
      </c>
      <c r="CQ46" s="11">
        <f>IF(BU45&gt;0,MAX(0,(BU45+BF46-BU46)/BU45),0)</f>
        <v/>
      </c>
      <c r="CS46" s="12" t="n">
        <v>42</v>
      </c>
      <c r="CT46" s="12">
        <f>MOD(CS46-1+LaunchMonth-1,12)+1</f>
        <v/>
      </c>
      <c r="CU46" s="12">
        <f>INT((CS46-1+LaunchMonth-1)/12)+1</f>
        <v/>
      </c>
      <c r="CV46" s="12">
        <f>VLOOKUP(CT46,SeasonTable,2,FALSE)</f>
        <v/>
      </c>
      <c r="CW46" s="12">
        <f>(1+InflationRate)^INT((CS46-1)/12)</f>
        <v/>
      </c>
      <c r="CX46" s="11">
        <f>'Sens - Scenarios'!$D$5*VLOOKUP(CT46,ChurnSeasonTable,4,FALSE)</f>
        <v/>
      </c>
      <c r="CY46" s="12">
        <f>MIN(MAX(MktMin19plus,DW45*MktPct19plus),MAX(0,EK45-CashBuffer))</f>
        <v/>
      </c>
      <c r="CZ46" s="12">
        <f>IF(CY46&gt;0,MAX(1,ROUND(CY46/'Sens - Scenarios'!$D$8*CV46,0)),0)</f>
        <v/>
      </c>
      <c r="DA46" s="12">
        <f>IF(CZ46&gt;0,ROUND(CZ46*ReferralMix/(1-ReferralMix),0),0)</f>
        <v/>
      </c>
      <c r="DB46" s="12">
        <f>CZ46+DA46</f>
        <v/>
      </c>
      <c r="DC46" s="12">
        <f>ROUND(DB46*(1-'Sens - Scenarios'!$D$7),0)</f>
        <v/>
      </c>
      <c r="DD46" s="12">
        <f>DB46-DC46</f>
        <v/>
      </c>
      <c r="DE46" s="12">
        <f>ROUND(DC46*EssentialMix,0)</f>
        <v/>
      </c>
      <c r="DF46" s="12">
        <f>ROUND(DC46*PremiumMix,0)</f>
        <v/>
      </c>
      <c r="DG46" s="12">
        <f>DC46-DE46-DF46</f>
        <v/>
      </c>
      <c r="DH46" s="12">
        <f>ROUND(DD46*EssentialMix,0)</f>
        <v/>
      </c>
      <c r="DI46" s="12">
        <f>ROUND(DD46*PremiumMix,0)</f>
        <v/>
      </c>
      <c r="DJ46" s="12">
        <f>DD46-DH46-DI46</f>
        <v/>
      </c>
      <c r="DK46" s="12">
        <f>DE46+DE45+DE44+MAX(0,DK45-DE45-DE44)*(1-CX46)</f>
        <v/>
      </c>
      <c r="DL46" s="12">
        <f>DF46+DF45+DF44+MAX(0,DL45-DF45-DF44)*(1-CX46)</f>
        <v/>
      </c>
      <c r="DM46" s="12">
        <f>DG46+DG45+DG44+MAX(0,DM45-DG45-DG44)*(1-CX46)</f>
        <v/>
      </c>
      <c r="DN46" s="12">
        <f>DN45+DH46-DH34*('Sens - Scenarios'!$D$6*VLOOKUP(CT46,ChurnSeasonTable,4,FALSE))*POWER(1-('Sens - Scenarios'!$D$6*VLOOKUP(CT46,ChurnSeasonTable,4,FALSE)),0)+DH22*('Sens - Scenarios'!$D$6*VLOOKUP(CT46,ChurnSeasonTable,4,FALSE))*POWER(1-('Sens - Scenarios'!$D$6*VLOOKUP(CT46,ChurnSeasonTable,4,FALSE)),1)+DH10*('Sens - Scenarios'!$D$6*VLOOKUP(CT46,ChurnSeasonTable,4,FALSE))*POWER(1-('Sens - Scenarios'!$D$6*VLOOKUP(CT46,ChurnSeasonTable,4,FALSE)),2)</f>
        <v/>
      </c>
      <c r="DO46" s="12">
        <f>DO45+DI46-DI34*('Sens - Scenarios'!$D$6*VLOOKUP(CT46,ChurnSeasonTable,4,FALSE))*POWER(1-('Sens - Scenarios'!$D$6*VLOOKUP(CT46,ChurnSeasonTable,4,FALSE)),0)+DI22*('Sens - Scenarios'!$D$6*VLOOKUP(CT46,ChurnSeasonTable,4,FALSE))*POWER(1-('Sens - Scenarios'!$D$6*VLOOKUP(CT46,ChurnSeasonTable,4,FALSE)),1)+DI10*('Sens - Scenarios'!$D$6*VLOOKUP(CT46,ChurnSeasonTable,4,FALSE))*POWER(1-('Sens - Scenarios'!$D$6*VLOOKUP(CT46,ChurnSeasonTable,4,FALSE)),2)</f>
        <v/>
      </c>
      <c r="DP46" s="12">
        <f>DP45+DJ46-DJ34*('Sens - Scenarios'!$D$6*VLOOKUP(CT46,ChurnSeasonTable,4,FALSE))*POWER(1-('Sens - Scenarios'!$D$6*VLOOKUP(CT46,ChurnSeasonTable,4,FALSE)),0)+DJ22*('Sens - Scenarios'!$D$6*VLOOKUP(CT46,ChurnSeasonTable,4,FALSE))*POWER(1-('Sens - Scenarios'!$D$6*VLOOKUP(CT46,ChurnSeasonTable,4,FALSE)),1)+DJ10*('Sens - Scenarios'!$D$6*VLOOKUP(CT46,ChurnSeasonTable,4,FALSE))*POWER(1-('Sens - Scenarios'!$D$6*VLOOKUP(CT46,ChurnSeasonTable,4,FALSE)),2)</f>
        <v/>
      </c>
      <c r="DQ46" s="12">
        <f>DK46+DL46+DM46+DN46+DO46+DP46</f>
        <v/>
      </c>
      <c r="DR46" s="9">
        <f>DK46*BlendedPriceEssMonthly*CW46+DL46*BlendedPricePremMonthly*CW46+DM46*BlendedPriceEliteMonthly*CW46+DN46*BlendedPriceEssAnnual*CW46/12+DO46*BlendedPricePremAnnual*CW46/12+DP46*BlendedPriceEliteAnnual*CW46/12</f>
        <v/>
      </c>
      <c r="DS46" s="9">
        <f>DR46*12</f>
        <v/>
      </c>
      <c r="DT46" s="12">
        <f>DK46*BlendedPriceEssMonthly*CW46+DL46*BlendedPricePremMonthly*CW46+DM46*BlendedPriceEliteMonthly*CW46</f>
        <v/>
      </c>
      <c r="DU46" s="12">
        <f>DH46*BlendedPriceEssAnnual*CW46+DI46*BlendedPricePremAnnual*CW46+DJ46*BlendedPriceEliteAnnual*CW46</f>
        <v/>
      </c>
      <c r="DV46" s="12">
        <f>DH34*POWER(1-('Sens - Scenarios'!$D$6*VLOOKUP(CT46,ChurnSeasonTable,4,FALSE)),1)*BlendedPriceEssAnnual*CW46+DH22*POWER(1-('Sens - Scenarios'!$D$6*VLOOKUP(CT46,ChurnSeasonTable,4,FALSE)),2)*BlendedPriceEssAnnual*CW46+DH10*POWER(1-('Sens - Scenarios'!$D$6*VLOOKUP(CT46,ChurnSeasonTable,4,FALSE)),3)*BlendedPriceEssAnnual*CW46+DI34*POWER(1-('Sens - Scenarios'!$D$6*VLOOKUP(CT46,ChurnSeasonTable,4,FALSE)),1)*BlendedPricePremAnnual*CW46+DI22*POWER(1-('Sens - Scenarios'!$D$6*VLOOKUP(CT46,ChurnSeasonTable,4,FALSE)),2)*BlendedPricePremAnnual*CW46+DI10*POWER(1-('Sens - Scenarios'!$D$6*VLOOKUP(CT46,ChurnSeasonTable,4,FALSE)),3)*BlendedPricePremAnnual*CW46+DJ34*POWER(1-('Sens - Scenarios'!$D$6*VLOOKUP(CT46,ChurnSeasonTable,4,FALSE)),1)*BlendedPriceEliteAnnual*CW46+DJ22*POWER(1-('Sens - Scenarios'!$D$6*VLOOKUP(CT46,ChurnSeasonTable,4,FALSE)),2)*BlendedPriceEliteAnnual*CW46+DJ10*POWER(1-('Sens - Scenarios'!$D$6*VLOOKUP(CT46,ChurnSeasonTable,4,FALSE)),3)*BlendedPriceEliteAnnual*CW46</f>
        <v/>
      </c>
      <c r="DW46" s="9">
        <f>DT46+DU46+DV46</f>
        <v/>
      </c>
      <c r="DX46" s="12">
        <f>SUM(DW35:DW46)</f>
        <v/>
      </c>
      <c r="DY46" s="12">
        <f>OR(DY45,IF(VATAgentMode,SUM($DW35:$DW46)-SUM($ED35:$ED46)&gt;=VATThreshold,SUM($DW35:$DW46)&gt;=VATThreshold))</f>
        <v/>
      </c>
      <c r="DZ46" s="9">
        <f>IF(DY46,IF(VATAgentMode,DW46-((DW46-ED46)-(DW46-ED46)/(1+VATRate)),DW46/(1+VATRate)),DW46)</f>
        <v/>
      </c>
      <c r="EA46" s="12">
        <f>DW46-DZ46</f>
        <v/>
      </c>
      <c r="EB46" s="12">
        <f>IF(DY46=0,0,IF(CT46=1,SUMPRODUCT(--(($CU$5:$CU46=$CU46-1)*($CT$5:$CT46&gt;=10)*($CT$5:$CT46&lt;=12)),$EA$5:$EA46),IF(CT46=4,SUMPRODUCT(--(($CU$5:$CU46=$CU46)*($CT$5:$CT46&gt;=1)*($CT$5:$CT46&lt;=3)),$EA$5:$EA46),IF(CT46=7,SUMPRODUCT(--(($CU$5:$CU46=$CU46)*($CT$5:$CT46&gt;=4)*($CT$5:$CT46&lt;=6)),$EA$5:$EA46),IF(CT46=10,SUMPRODUCT(--(($CU$5:$CU46=$CU46)*($CT$5:$CT46&gt;=7)*($CT$5:$CT46&lt;=9)),$EA$5:$EA46),0)))))</f>
        <v/>
      </c>
      <c r="EC46" s="12">
        <f>EC45+EA46-EB46</f>
        <v/>
      </c>
      <c r="ED46" s="12">
        <f>IF(ProviderDelay&gt;=1,DK45*BlendedProvPayEss+DL45*BlendedProvPayPrem+DM45*BlendedProvPayElite+DN45*BlendedProvPayEss+DO45*BlendedProvPayPrem+DP45*BlendedProvPayElite,DK46*BlendedProvPayEss+DL46*BlendedProvPayPrem+DM46*BlendedProvPayElite+DN46*BlendedProvPayEss+DO46*BlendedProvPayPrem+DP46*BlendedProvPayElite)</f>
        <v/>
      </c>
      <c r="EE46" s="12">
        <f>DW46*PaymentFee</f>
        <v/>
      </c>
      <c r="EF46" s="12">
        <f>DQ46*OpsAI</f>
        <v/>
      </c>
      <c r="EG46" s="12">
        <f>MonthlyFixed</f>
        <v/>
      </c>
      <c r="EH46" s="12">
        <f>DA46*ReferralReward</f>
        <v/>
      </c>
      <c r="EI46" s="12">
        <f>CY46</f>
        <v/>
      </c>
      <c r="EJ46" s="9">
        <f>DZ46-ED46-EE46-EF46-EG46-EH46-EI46</f>
        <v/>
      </c>
      <c r="EK46" s="9">
        <f>EK45+DW46-(ED46+EE46+EF46+EG46+EH46+EI46+EB46)</f>
        <v/>
      </c>
      <c r="EL46" s="12">
        <f>IF(DQ46&gt;0,DR46/DQ46,0)</f>
        <v/>
      </c>
      <c r="EM46" s="11">
        <f>IF(DQ45&gt;0,MAX(0,(DQ45+DB46-DQ46)/DQ45),0)</f>
        <v/>
      </c>
      <c r="EO46" s="12" t="n">
        <v>42</v>
      </c>
      <c r="EP46" s="12">
        <f>MOD(EO46-1+LaunchMonth-1,12)+1</f>
        <v/>
      </c>
      <c r="EQ46" s="12">
        <f>INT((EO46-1+LaunchMonth-1)/12)+1</f>
        <v/>
      </c>
      <c r="ER46" s="12">
        <f>VLOOKUP(EP46,SeasonTable,2,FALSE)</f>
        <v/>
      </c>
      <c r="ES46" s="12">
        <f>(1+InflationRate)^INT((EO46-1)/12)</f>
        <v/>
      </c>
      <c r="ET46" s="11">
        <f>'Sens - Churn'!$A$13*VLOOKUP(EP46,ChurnSeasonTable,4,FALSE)</f>
        <v/>
      </c>
      <c r="EU46" s="12">
        <f>MIN(MAX(MktMin19plus,FS45*MktPct19plus),MAX(0,GG45-CashBuffer))</f>
        <v/>
      </c>
      <c r="EV46" s="12">
        <f>IF(EU46&gt;0,MAX(1,ROUND(EU46/CAC*ER46,0)),0)</f>
        <v/>
      </c>
      <c r="EW46" s="12">
        <f>IF(EV46&gt;0,ROUND(EV46*ReferralMix/(1-ReferralMix),0),0)</f>
        <v/>
      </c>
      <c r="EX46" s="12">
        <f>EV46+EW46</f>
        <v/>
      </c>
      <c r="EY46" s="12">
        <f>ROUND(EX46*(1-AnnualMix),0)</f>
        <v/>
      </c>
      <c r="EZ46" s="12">
        <f>EX46-EY46</f>
        <v/>
      </c>
      <c r="FA46" s="12">
        <f>ROUND(EY46*EssentialMix,0)</f>
        <v/>
      </c>
      <c r="FB46" s="12">
        <f>ROUND(EY46*PremiumMix,0)</f>
        <v/>
      </c>
      <c r="FC46" s="12">
        <f>EY46-FA46-FB46</f>
        <v/>
      </c>
      <c r="FD46" s="12">
        <f>ROUND(EZ46*EssentialMix,0)</f>
        <v/>
      </c>
      <c r="FE46" s="12">
        <f>ROUND(EZ46*PremiumMix,0)</f>
        <v/>
      </c>
      <c r="FF46" s="12">
        <f>EZ46-FD46-FE46</f>
        <v/>
      </c>
      <c r="FG46" s="12">
        <f>FA46+FA45+FA44+MAX(0,FG45-FA45-FA44)*(1-ET46)</f>
        <v/>
      </c>
      <c r="FH46" s="12">
        <f>FB46+FB45+FB44+MAX(0,FH45-FB45-FB44)*(1-ET46)</f>
        <v/>
      </c>
      <c r="FI46" s="12">
        <f>FC46+FC45+FC44+MAX(0,FI45-FC45-FC44)*(1-ET46)</f>
        <v/>
      </c>
      <c r="FJ46" s="12">
        <f>FJ45+FD46-FD34*(AnnualChurn*VLOOKUP(EP46,ChurnSeasonTable,4,FALSE))*POWER(1-(AnnualChurn*VLOOKUP(EP46,ChurnSeasonTable,4,FALSE)),0)+FD22*(AnnualChurn*VLOOKUP(EP46,ChurnSeasonTable,4,FALSE))*POWER(1-(AnnualChurn*VLOOKUP(EP46,ChurnSeasonTable,4,FALSE)),1)+FD10*(AnnualChurn*VLOOKUP(EP46,ChurnSeasonTable,4,FALSE))*POWER(1-(AnnualChurn*VLOOKUP(EP46,ChurnSeasonTable,4,FALSE)),2)</f>
        <v/>
      </c>
      <c r="FK46" s="12">
        <f>FK45+FE46-FE34*(AnnualChurn*VLOOKUP(EP46,ChurnSeasonTable,4,FALSE))*POWER(1-(AnnualChurn*VLOOKUP(EP46,ChurnSeasonTable,4,FALSE)),0)+FE22*(AnnualChurn*VLOOKUP(EP46,ChurnSeasonTable,4,FALSE))*POWER(1-(AnnualChurn*VLOOKUP(EP46,ChurnSeasonTable,4,FALSE)),1)+FE10*(AnnualChurn*VLOOKUP(EP46,ChurnSeasonTable,4,FALSE))*POWER(1-(AnnualChurn*VLOOKUP(EP46,ChurnSeasonTable,4,FALSE)),2)</f>
        <v/>
      </c>
      <c r="FL46" s="12">
        <f>FL45+FF46-FF34*(AnnualChurn*VLOOKUP(EP46,ChurnSeasonTable,4,FALSE))*POWER(1-(AnnualChurn*VLOOKUP(EP46,ChurnSeasonTable,4,FALSE)),0)+FF22*(AnnualChurn*VLOOKUP(EP46,ChurnSeasonTable,4,FALSE))*POWER(1-(AnnualChurn*VLOOKUP(EP46,ChurnSeasonTable,4,FALSE)),1)+FF10*(AnnualChurn*VLOOKUP(EP46,ChurnSeasonTable,4,FALSE))*POWER(1-(AnnualChurn*VLOOKUP(EP46,ChurnSeasonTable,4,FALSE)),2)</f>
        <v/>
      </c>
      <c r="FM46" s="12">
        <f>FG46+FH46+FI46+FJ46+FK46+FL46</f>
        <v/>
      </c>
      <c r="FN46" s="9">
        <f>FG46*BlendedPriceEssMonthly*ES46+FH46*BlendedPricePremMonthly*ES46+FI46*BlendedPriceEliteMonthly*ES46+FJ46*BlendedPriceEssAnnual*ES46/12+FK46*BlendedPricePremAnnual*ES46/12+FL46*BlendedPriceEliteAnnual*ES46/12</f>
        <v/>
      </c>
      <c r="FO46" s="9">
        <f>FN46*12</f>
        <v/>
      </c>
      <c r="FP46" s="12">
        <f>FG46*BlendedPriceEssMonthly*ES46+FH46*BlendedPricePremMonthly*ES46+FI46*BlendedPriceEliteMonthly*ES46</f>
        <v/>
      </c>
      <c r="FQ46" s="12">
        <f>FD46*BlendedPriceEssAnnual*ES46+FE46*BlendedPricePremAnnual*ES46+FF46*BlendedPriceEliteAnnual*ES46</f>
        <v/>
      </c>
      <c r="FR46" s="12">
        <f>FD34*POWER(1-(AnnualChurn*VLOOKUP(EP46,ChurnSeasonTable,4,FALSE)),1)*BlendedPriceEssAnnual*ES46+FD22*POWER(1-(AnnualChurn*VLOOKUP(EP46,ChurnSeasonTable,4,FALSE)),2)*BlendedPriceEssAnnual*ES46+FD10*POWER(1-(AnnualChurn*VLOOKUP(EP46,ChurnSeasonTable,4,FALSE)),3)*BlendedPriceEssAnnual*ES46+FE34*POWER(1-(AnnualChurn*VLOOKUP(EP46,ChurnSeasonTable,4,FALSE)),1)*BlendedPricePremAnnual*ES46+FE22*POWER(1-(AnnualChurn*VLOOKUP(EP46,ChurnSeasonTable,4,FALSE)),2)*BlendedPricePremAnnual*ES46+FE10*POWER(1-(AnnualChurn*VLOOKUP(EP46,ChurnSeasonTable,4,FALSE)),3)*BlendedPricePremAnnual*ES46+FF34*POWER(1-(AnnualChurn*VLOOKUP(EP46,ChurnSeasonTable,4,FALSE)),1)*BlendedPriceEliteAnnual*ES46+FF22*POWER(1-(AnnualChurn*VLOOKUP(EP46,ChurnSeasonTable,4,FALSE)),2)*BlendedPriceEliteAnnual*ES46+FF10*POWER(1-(AnnualChurn*VLOOKUP(EP46,ChurnSeasonTable,4,FALSE)),3)*BlendedPriceEliteAnnual*ES46</f>
        <v/>
      </c>
      <c r="FS46" s="9">
        <f>FP46+FQ46+FR46</f>
        <v/>
      </c>
      <c r="FT46" s="12">
        <f>SUM(FS35:FS46)</f>
        <v/>
      </c>
      <c r="FU46" s="12">
        <f>OR(FU45,IF(VATAgentMode,SUM($FS35:$FS46)-SUM($FZ35:$FZ46)&gt;=VATThreshold,SUM($FS35:$FS46)&gt;=VATThreshold))</f>
        <v/>
      </c>
      <c r="FV46" s="9">
        <f>IF(FU46,IF(VATAgentMode,FS46-((FS46-FZ46)-(FS46-FZ46)/(1+VATRate)),FS46/(1+VATRate)),FS46)</f>
        <v/>
      </c>
      <c r="FW46" s="12">
        <f>FS46-FV46</f>
        <v/>
      </c>
      <c r="FX46" s="12">
        <f>IF(FU46=0,0,IF(EP46=1,SUMPRODUCT(--(($EQ$5:$EQ46=$EQ46-1)*($EP$5:$EP46&gt;=10)*($EP$5:$EP46&lt;=12)),$FW$5:$FW46),IF(EP46=4,SUMPRODUCT(--(($EQ$5:$EQ46=$EQ46)*($EP$5:$EP46&gt;=1)*($EP$5:$EP46&lt;=3)),$FW$5:$FW46),IF(EP46=7,SUMPRODUCT(--(($EQ$5:$EQ46=$EQ46)*($EP$5:$EP46&gt;=4)*($EP$5:$EP46&lt;=6)),$FW$5:$FW46),IF(EP46=10,SUMPRODUCT(--(($EQ$5:$EQ46=$EQ46)*($EP$5:$EP46&gt;=7)*($EP$5:$EP46&lt;=9)),$FW$5:$FW46),0)))))</f>
        <v/>
      </c>
      <c r="FY46" s="12">
        <f>FY45+FW46-FX46</f>
        <v/>
      </c>
      <c r="FZ46" s="12">
        <f>IF(ProviderDelay&gt;=1,FG45*BlendedProvPayEss+FH45*BlendedProvPayPrem+FI45*BlendedProvPayElite+FJ45*BlendedProvPayEss+FK45*BlendedProvPayPrem+FL45*BlendedProvPayElite,FG46*BlendedProvPayEss+FH46*BlendedProvPayPrem+FI46*BlendedProvPayElite+FJ46*BlendedProvPayEss+FK46*BlendedProvPayPrem+FL46*BlendedProvPayElite)</f>
        <v/>
      </c>
      <c r="GA46" s="12">
        <f>FS46*PaymentFee</f>
        <v/>
      </c>
      <c r="GB46" s="12">
        <f>FM46*OpsAI</f>
        <v/>
      </c>
      <c r="GC46" s="12">
        <f>MonthlyFixed</f>
        <v/>
      </c>
      <c r="GD46" s="12">
        <f>EW46*ReferralReward</f>
        <v/>
      </c>
      <c r="GE46" s="12">
        <f>EU46</f>
        <v/>
      </c>
      <c r="GF46" s="9">
        <f>FV46-FZ46-GA46-GB46-GC46-GD46-GE46</f>
        <v/>
      </c>
      <c r="GG46" s="9">
        <f>GG45+FS46-(FZ46+GA46+GB46+GC46+GD46+GE46+FX46)</f>
        <v/>
      </c>
      <c r="GH46" s="12">
        <f>IF(FM46&gt;0,FN46/FM46,0)</f>
        <v/>
      </c>
      <c r="GI46" s="11">
        <f>IF(FM45&gt;0,MAX(0,(FM45+EX46-FM46)/FM45),0)</f>
        <v/>
      </c>
      <c r="GK46" s="12" t="n">
        <v>42</v>
      </c>
      <c r="GL46" s="12">
        <f>MOD(GK46-1+LaunchMonth-1,12)+1</f>
        <v/>
      </c>
      <c r="GM46" s="12">
        <f>INT((GK46-1+LaunchMonth-1)/12)+1</f>
        <v/>
      </c>
      <c r="GN46" s="12">
        <f>VLOOKUP(GL46,SeasonTable,2,FALSE)</f>
        <v/>
      </c>
      <c r="GO46" s="12">
        <f>(1+InflationRate)^INT((GK46-1)/12)</f>
        <v/>
      </c>
      <c r="GP46" s="11">
        <f>'Sens - Churn'!$A$14*VLOOKUP(GL46,ChurnSeasonTable,4,FALSE)</f>
        <v/>
      </c>
      <c r="GQ46" s="12">
        <f>MIN(MAX(MktMin19plus,HO45*MktPct19plus),MAX(0,IC45-CashBuffer))</f>
        <v/>
      </c>
      <c r="GR46" s="12">
        <f>IF(GQ46&gt;0,MAX(1,ROUND(GQ46/CAC*GN46,0)),0)</f>
        <v/>
      </c>
      <c r="GS46" s="12">
        <f>IF(GR46&gt;0,ROUND(GR46*ReferralMix/(1-ReferralMix),0),0)</f>
        <v/>
      </c>
      <c r="GT46" s="12">
        <f>GR46+GS46</f>
        <v/>
      </c>
      <c r="GU46" s="12">
        <f>ROUND(GT46*(1-AnnualMix),0)</f>
        <v/>
      </c>
      <c r="GV46" s="12">
        <f>GT46-GU46</f>
        <v/>
      </c>
      <c r="GW46" s="12">
        <f>ROUND(GU46*EssentialMix,0)</f>
        <v/>
      </c>
      <c r="GX46" s="12">
        <f>ROUND(GU46*PremiumMix,0)</f>
        <v/>
      </c>
      <c r="GY46" s="12">
        <f>GU46-GW46-GX46</f>
        <v/>
      </c>
      <c r="GZ46" s="12">
        <f>ROUND(GV46*EssentialMix,0)</f>
        <v/>
      </c>
      <c r="HA46" s="12">
        <f>ROUND(GV46*PremiumMix,0)</f>
        <v/>
      </c>
      <c r="HB46" s="12">
        <f>GV46-GZ46-HA46</f>
        <v/>
      </c>
      <c r="HC46" s="12">
        <f>GW46+GW45+GW44+MAX(0,HC45-GW45-GW44)*(1-GP46)</f>
        <v/>
      </c>
      <c r="HD46" s="12">
        <f>GX46+GX45+GX44+MAX(0,HD45-GX45-GX44)*(1-GP46)</f>
        <v/>
      </c>
      <c r="HE46" s="12">
        <f>GY46+GY45+GY44+MAX(0,HE45-GY45-GY44)*(1-GP46)</f>
        <v/>
      </c>
      <c r="HF46" s="12">
        <f>HF45+GZ46-GZ34*(AnnualChurn*VLOOKUP(GL46,ChurnSeasonTable,4,FALSE))*POWER(1-(AnnualChurn*VLOOKUP(GL46,ChurnSeasonTable,4,FALSE)),0)+GZ22*(AnnualChurn*VLOOKUP(GL46,ChurnSeasonTable,4,FALSE))*POWER(1-(AnnualChurn*VLOOKUP(GL46,ChurnSeasonTable,4,FALSE)),1)+GZ10*(AnnualChurn*VLOOKUP(GL46,ChurnSeasonTable,4,FALSE))*POWER(1-(AnnualChurn*VLOOKUP(GL46,ChurnSeasonTable,4,FALSE)),2)</f>
        <v/>
      </c>
      <c r="HG46" s="12">
        <f>HG45+HA46-HA34*(AnnualChurn*VLOOKUP(GL46,ChurnSeasonTable,4,FALSE))*POWER(1-(AnnualChurn*VLOOKUP(GL46,ChurnSeasonTable,4,FALSE)),0)+HA22*(AnnualChurn*VLOOKUP(GL46,ChurnSeasonTable,4,FALSE))*POWER(1-(AnnualChurn*VLOOKUP(GL46,ChurnSeasonTable,4,FALSE)),1)+HA10*(AnnualChurn*VLOOKUP(GL46,ChurnSeasonTable,4,FALSE))*POWER(1-(AnnualChurn*VLOOKUP(GL46,ChurnSeasonTable,4,FALSE)),2)</f>
        <v/>
      </c>
      <c r="HH46" s="12">
        <f>HH45+HB46-HB34*(AnnualChurn*VLOOKUP(GL46,ChurnSeasonTable,4,FALSE))*POWER(1-(AnnualChurn*VLOOKUP(GL46,ChurnSeasonTable,4,FALSE)),0)+HB22*(AnnualChurn*VLOOKUP(GL46,ChurnSeasonTable,4,FALSE))*POWER(1-(AnnualChurn*VLOOKUP(GL46,ChurnSeasonTable,4,FALSE)),1)+HB10*(AnnualChurn*VLOOKUP(GL46,ChurnSeasonTable,4,FALSE))*POWER(1-(AnnualChurn*VLOOKUP(GL46,ChurnSeasonTable,4,FALSE)),2)</f>
        <v/>
      </c>
      <c r="HI46" s="12">
        <f>HC46+HD46+HE46+HF46+HG46+HH46</f>
        <v/>
      </c>
      <c r="HJ46" s="9">
        <f>HC46*BlendedPriceEssMonthly*GO46+HD46*BlendedPricePremMonthly*GO46+HE46*BlendedPriceEliteMonthly*GO46+HF46*BlendedPriceEssAnnual*GO46/12+HG46*BlendedPricePremAnnual*GO46/12+HH46*BlendedPriceEliteAnnual*GO46/12</f>
        <v/>
      </c>
      <c r="HK46" s="9">
        <f>HJ46*12</f>
        <v/>
      </c>
      <c r="HL46" s="12">
        <f>HC46*BlendedPriceEssMonthly*GO46+HD46*BlendedPricePremMonthly*GO46+HE46*BlendedPriceEliteMonthly*GO46</f>
        <v/>
      </c>
      <c r="HM46" s="12">
        <f>GZ46*BlendedPriceEssAnnual*GO46+HA46*BlendedPricePremAnnual*GO46+HB46*BlendedPriceEliteAnnual*GO46</f>
        <v/>
      </c>
      <c r="HN46" s="12">
        <f>GZ34*POWER(1-(AnnualChurn*VLOOKUP(GL46,ChurnSeasonTable,4,FALSE)),1)*BlendedPriceEssAnnual*GO46+GZ22*POWER(1-(AnnualChurn*VLOOKUP(GL46,ChurnSeasonTable,4,FALSE)),2)*BlendedPriceEssAnnual*GO46+GZ10*POWER(1-(AnnualChurn*VLOOKUP(GL46,ChurnSeasonTable,4,FALSE)),3)*BlendedPriceEssAnnual*GO46+HA34*POWER(1-(AnnualChurn*VLOOKUP(GL46,ChurnSeasonTable,4,FALSE)),1)*BlendedPricePremAnnual*GO46+HA22*POWER(1-(AnnualChurn*VLOOKUP(GL46,ChurnSeasonTable,4,FALSE)),2)*BlendedPricePremAnnual*GO46+HA10*POWER(1-(AnnualChurn*VLOOKUP(GL46,ChurnSeasonTable,4,FALSE)),3)*BlendedPricePremAnnual*GO46+HB34*POWER(1-(AnnualChurn*VLOOKUP(GL46,ChurnSeasonTable,4,FALSE)),1)*BlendedPriceEliteAnnual*GO46+HB22*POWER(1-(AnnualChurn*VLOOKUP(GL46,ChurnSeasonTable,4,FALSE)),2)*BlendedPriceEliteAnnual*GO46+HB10*POWER(1-(AnnualChurn*VLOOKUP(GL46,ChurnSeasonTable,4,FALSE)),3)*BlendedPriceEliteAnnual*GO46</f>
        <v/>
      </c>
      <c r="HO46" s="9">
        <f>HL46+HM46+HN46</f>
        <v/>
      </c>
      <c r="HP46" s="12">
        <f>SUM(HO35:HO46)</f>
        <v/>
      </c>
      <c r="HQ46" s="12">
        <f>OR(HQ45,IF(VATAgentMode,SUM($HO35:$HO46)-SUM($HV35:$HV46)&gt;=VATThreshold,SUM($HO35:$HO46)&gt;=VATThreshold))</f>
        <v/>
      </c>
      <c r="HR46" s="9">
        <f>IF(HQ46,IF(VATAgentMode,HO46-((HO46-HV46)-(HO46-HV46)/(1+VATRate)),HO46/(1+VATRate)),HO46)</f>
        <v/>
      </c>
      <c r="HS46" s="12">
        <f>HO46-HR46</f>
        <v/>
      </c>
      <c r="HT46" s="12">
        <f>IF(HQ46=0,0,IF(GL46=1,SUMPRODUCT(--(($GM$5:$GM46=$GM46-1)*($GL$5:$GL46&gt;=10)*($GL$5:$GL46&lt;=12)),$HS$5:$HS46),IF(GL46=4,SUMPRODUCT(--(($GM$5:$GM46=$GM46)*($GL$5:$GL46&gt;=1)*($GL$5:$GL46&lt;=3)),$HS$5:$HS46),IF(GL46=7,SUMPRODUCT(--(($GM$5:$GM46=$GM46)*($GL$5:$GL46&gt;=4)*($GL$5:$GL46&lt;=6)),$HS$5:$HS46),IF(GL46=10,SUMPRODUCT(--(($GM$5:$GM46=$GM46)*($GL$5:$GL46&gt;=7)*($GL$5:$GL46&lt;=9)),$HS$5:$HS46),0)))))</f>
        <v/>
      </c>
      <c r="HU46" s="12">
        <f>HU45+HS46-HT46</f>
        <v/>
      </c>
      <c r="HV46" s="12">
        <f>IF(ProviderDelay&gt;=1,HC45*BlendedProvPayEss+HD45*BlendedProvPayPrem+HE45*BlendedProvPayElite+HF45*BlendedProvPayEss+HG45*BlendedProvPayPrem+HH45*BlendedProvPayElite,HC46*BlendedProvPayEss+HD46*BlendedProvPayPrem+HE46*BlendedProvPayElite+HF46*BlendedProvPayEss+HG46*BlendedProvPayPrem+HH46*BlendedProvPayElite)</f>
        <v/>
      </c>
      <c r="HW46" s="12">
        <f>HO46*PaymentFee</f>
        <v/>
      </c>
      <c r="HX46" s="12">
        <f>HI46*OpsAI</f>
        <v/>
      </c>
      <c r="HY46" s="12">
        <f>MonthlyFixed</f>
        <v/>
      </c>
      <c r="HZ46" s="12">
        <f>GS46*ReferralReward</f>
        <v/>
      </c>
      <c r="IA46" s="12">
        <f>GQ46</f>
        <v/>
      </c>
      <c r="IB46" s="9">
        <f>HR46-HV46-HW46-HX46-HY46-HZ46-IA46</f>
        <v/>
      </c>
      <c r="IC46" s="9">
        <f>IC45+HO46-(HV46+HW46+HX46+HY46+HZ46+IA46+HT46)</f>
        <v/>
      </c>
      <c r="ID46" s="12">
        <f>IF(HI46&gt;0,HJ46/HI46,0)</f>
        <v/>
      </c>
      <c r="IE46" s="11">
        <f>IF(HI45&gt;0,MAX(0,(HI45+GT46-HI46)/HI45),0)</f>
        <v/>
      </c>
      <c r="IG46" s="12" t="n">
        <v>42</v>
      </c>
      <c r="IH46" s="12">
        <f>MOD(IG46-1+LaunchMonth-1,12)+1</f>
        <v/>
      </c>
      <c r="II46" s="12">
        <f>INT((IG46-1+LaunchMonth-1)/12)+1</f>
        <v/>
      </c>
      <c r="IJ46" s="12">
        <f>VLOOKUP(IH46,SeasonTable,2,FALSE)</f>
        <v/>
      </c>
      <c r="IK46" s="12">
        <f>(1+InflationRate)^INT((IG46-1)/12)</f>
        <v/>
      </c>
      <c r="IL46" s="11">
        <f>'Sens - Churn'!$A$15*VLOOKUP(IH46,ChurnSeasonTable,4,FALSE)</f>
        <v/>
      </c>
      <c r="IM46" s="12">
        <f>MIN(MAX(MktMin19plus,JK45*MktPct19plus),MAX(0,JY45-CashBuffer))</f>
        <v/>
      </c>
      <c r="IN46" s="12">
        <f>IF(IM46&gt;0,MAX(1,ROUND(IM46/CAC*IJ46,0)),0)</f>
        <v/>
      </c>
      <c r="IO46" s="12">
        <f>IF(IN46&gt;0,ROUND(IN46*ReferralMix/(1-ReferralMix),0),0)</f>
        <v/>
      </c>
      <c r="IP46" s="12">
        <f>IN46+IO46</f>
        <v/>
      </c>
      <c r="IQ46" s="12">
        <f>ROUND(IP46*(1-AnnualMix),0)</f>
        <v/>
      </c>
      <c r="IR46" s="12">
        <f>IP46-IQ46</f>
        <v/>
      </c>
      <c r="IS46" s="12">
        <f>ROUND(IQ46*EssentialMix,0)</f>
        <v/>
      </c>
      <c r="IT46" s="12">
        <f>ROUND(IQ46*PremiumMix,0)</f>
        <v/>
      </c>
      <c r="IU46" s="12">
        <f>IQ46-IS46-IT46</f>
        <v/>
      </c>
      <c r="IV46" s="12">
        <f>ROUND(IR46*EssentialMix,0)</f>
        <v/>
      </c>
      <c r="IW46" s="12">
        <f>ROUND(IR46*PremiumMix,0)</f>
        <v/>
      </c>
      <c r="IX46" s="12">
        <f>IR46-IV46-IW46</f>
        <v/>
      </c>
      <c r="IY46" s="12">
        <f>IS46+IS45+IS44+MAX(0,IY45-IS45-IS44)*(1-IL46)</f>
        <v/>
      </c>
      <c r="IZ46" s="12">
        <f>IT46+IT45+IT44+MAX(0,IZ45-IT45-IT44)*(1-IL46)</f>
        <v/>
      </c>
      <c r="JA46" s="12">
        <f>IU46+IU45+IU44+MAX(0,JA45-IU45-IU44)*(1-IL46)</f>
        <v/>
      </c>
      <c r="JB46" s="12">
        <f>JB45+IV46-IV34*(AnnualChurn*VLOOKUP(IH46,ChurnSeasonTable,4,FALSE))*POWER(1-(AnnualChurn*VLOOKUP(IH46,ChurnSeasonTable,4,FALSE)),0)+IV22*(AnnualChurn*VLOOKUP(IH46,ChurnSeasonTable,4,FALSE))*POWER(1-(AnnualChurn*VLOOKUP(IH46,ChurnSeasonTable,4,FALSE)),1)+IV10*(AnnualChurn*VLOOKUP(IH46,ChurnSeasonTable,4,FALSE))*POWER(1-(AnnualChurn*VLOOKUP(IH46,ChurnSeasonTable,4,FALSE)),2)</f>
        <v/>
      </c>
      <c r="JC46" s="12">
        <f>JC45+IW46-IW34*(AnnualChurn*VLOOKUP(IH46,ChurnSeasonTable,4,FALSE))*POWER(1-(AnnualChurn*VLOOKUP(IH46,ChurnSeasonTable,4,FALSE)),0)+IW22*(AnnualChurn*VLOOKUP(IH46,ChurnSeasonTable,4,FALSE))*POWER(1-(AnnualChurn*VLOOKUP(IH46,ChurnSeasonTable,4,FALSE)),1)+IW10*(AnnualChurn*VLOOKUP(IH46,ChurnSeasonTable,4,FALSE))*POWER(1-(AnnualChurn*VLOOKUP(IH46,ChurnSeasonTable,4,FALSE)),2)</f>
        <v/>
      </c>
      <c r="JD46" s="12">
        <f>JD45+IX46-IX34*(AnnualChurn*VLOOKUP(IH46,ChurnSeasonTable,4,FALSE))*POWER(1-(AnnualChurn*VLOOKUP(IH46,ChurnSeasonTable,4,FALSE)),0)+IX22*(AnnualChurn*VLOOKUP(IH46,ChurnSeasonTable,4,FALSE))*POWER(1-(AnnualChurn*VLOOKUP(IH46,ChurnSeasonTable,4,FALSE)),1)+IX10*(AnnualChurn*VLOOKUP(IH46,ChurnSeasonTable,4,FALSE))*POWER(1-(AnnualChurn*VLOOKUP(IH46,ChurnSeasonTable,4,FALSE)),2)</f>
        <v/>
      </c>
      <c r="JE46" s="12">
        <f>IY46+IZ46+JA46+JB46+JC46+JD46</f>
        <v/>
      </c>
      <c r="JF46" s="9">
        <f>IY46*BlendedPriceEssMonthly*IK46+IZ46*BlendedPricePremMonthly*IK46+JA46*BlendedPriceEliteMonthly*IK46+JB46*BlendedPriceEssAnnual*IK46/12+JC46*BlendedPricePremAnnual*IK46/12+JD46*BlendedPriceEliteAnnual*IK46/12</f>
        <v/>
      </c>
      <c r="JG46" s="9">
        <f>JF46*12</f>
        <v/>
      </c>
      <c r="JH46" s="12">
        <f>IY46*BlendedPriceEssMonthly*IK46+IZ46*BlendedPricePremMonthly*IK46+JA46*BlendedPriceEliteMonthly*IK46</f>
        <v/>
      </c>
      <c r="JI46" s="12">
        <f>IV46*BlendedPriceEssAnnual*IK46+IW46*BlendedPricePremAnnual*IK46+IX46*BlendedPriceEliteAnnual*IK46</f>
        <v/>
      </c>
      <c r="JJ46" s="12">
        <f>IV34*POWER(1-(AnnualChurn*VLOOKUP(IH46,ChurnSeasonTable,4,FALSE)),1)*BlendedPriceEssAnnual*IK46+IV22*POWER(1-(AnnualChurn*VLOOKUP(IH46,ChurnSeasonTable,4,FALSE)),2)*BlendedPriceEssAnnual*IK46+IV10*POWER(1-(AnnualChurn*VLOOKUP(IH46,ChurnSeasonTable,4,FALSE)),3)*BlendedPriceEssAnnual*IK46+IW34*POWER(1-(AnnualChurn*VLOOKUP(IH46,ChurnSeasonTable,4,FALSE)),1)*BlendedPricePremAnnual*IK46+IW22*POWER(1-(AnnualChurn*VLOOKUP(IH46,ChurnSeasonTable,4,FALSE)),2)*BlendedPricePremAnnual*IK46+IW10*POWER(1-(AnnualChurn*VLOOKUP(IH46,ChurnSeasonTable,4,FALSE)),3)*BlendedPricePremAnnual*IK46+IX34*POWER(1-(AnnualChurn*VLOOKUP(IH46,ChurnSeasonTable,4,FALSE)),1)*BlendedPriceEliteAnnual*IK46+IX22*POWER(1-(AnnualChurn*VLOOKUP(IH46,ChurnSeasonTable,4,FALSE)),2)*BlendedPriceEliteAnnual*IK46+IX10*POWER(1-(AnnualChurn*VLOOKUP(IH46,ChurnSeasonTable,4,FALSE)),3)*BlendedPriceEliteAnnual*IK46</f>
        <v/>
      </c>
      <c r="JK46" s="9">
        <f>JH46+JI46+JJ46</f>
        <v/>
      </c>
      <c r="JL46" s="12">
        <f>SUM(JK35:JK46)</f>
        <v/>
      </c>
      <c r="JM46" s="12">
        <f>OR(JM45,IF(VATAgentMode,SUM($JK35:$JK46)-SUM($JR35:$JR46)&gt;=VATThreshold,SUM($JK35:$JK46)&gt;=VATThreshold))</f>
        <v/>
      </c>
      <c r="JN46" s="9">
        <f>IF(JM46,IF(VATAgentMode,JK46-((JK46-JR46)-(JK46-JR46)/(1+VATRate)),JK46/(1+VATRate)),JK46)</f>
        <v/>
      </c>
      <c r="JO46" s="12">
        <f>JK46-JN46</f>
        <v/>
      </c>
      <c r="JP46" s="12">
        <f>IF(JM46=0,0,IF(IH46=1,SUMPRODUCT(--(($II$5:$II46=$II46-1)*($IH$5:$IH46&gt;=10)*($IH$5:$IH46&lt;=12)),$JO$5:$JO46),IF(IH46=4,SUMPRODUCT(--(($II$5:$II46=$II46)*($IH$5:$IH46&gt;=1)*($IH$5:$IH46&lt;=3)),$JO$5:$JO46),IF(IH46=7,SUMPRODUCT(--(($II$5:$II46=$II46)*($IH$5:$IH46&gt;=4)*($IH$5:$IH46&lt;=6)),$JO$5:$JO46),IF(IH46=10,SUMPRODUCT(--(($II$5:$II46=$II46)*($IH$5:$IH46&gt;=7)*($IH$5:$IH46&lt;=9)),$JO$5:$JO46),0)))))</f>
        <v/>
      </c>
      <c r="JQ46" s="12">
        <f>JQ45+JO46-JP46</f>
        <v/>
      </c>
      <c r="JR46" s="12">
        <f>IF(ProviderDelay&gt;=1,IY45*BlendedProvPayEss+IZ45*BlendedProvPayPrem+JA45*BlendedProvPayElite+JB45*BlendedProvPayEss+JC45*BlendedProvPayPrem+JD45*BlendedProvPayElite,IY46*BlendedProvPayEss+IZ46*BlendedProvPayPrem+JA46*BlendedProvPayElite+JB46*BlendedProvPayEss+JC46*BlendedProvPayPrem+JD46*BlendedProvPayElite)</f>
        <v/>
      </c>
      <c r="JS46" s="12">
        <f>JK46*PaymentFee</f>
        <v/>
      </c>
      <c r="JT46" s="12">
        <f>JE46*OpsAI</f>
        <v/>
      </c>
      <c r="JU46" s="12">
        <f>MonthlyFixed</f>
        <v/>
      </c>
      <c r="JV46" s="12">
        <f>IO46*ReferralReward</f>
        <v/>
      </c>
      <c r="JW46" s="12">
        <f>IM46</f>
        <v/>
      </c>
      <c r="JX46" s="9">
        <f>JN46-JR46-JS46-JT46-JU46-JV46-JW46</f>
        <v/>
      </c>
      <c r="JY46" s="9">
        <f>JY45+JK46-(JR46+JS46+JT46+JU46+JV46+JW46+JP46)</f>
        <v/>
      </c>
      <c r="JZ46" s="12">
        <f>IF(JE46&gt;0,JF46/JE46,0)</f>
        <v/>
      </c>
      <c r="KA46" s="11">
        <f>IF(JE45&gt;0,MAX(0,(JE45+IP46-JE46)/JE45),0)</f>
        <v/>
      </c>
      <c r="KC46" s="12" t="n">
        <v>42</v>
      </c>
      <c r="KD46" s="12">
        <f>MOD(KC46-1+LaunchMonth-1,12)+1</f>
        <v/>
      </c>
      <c r="KE46" s="12">
        <f>INT((KC46-1+LaunchMonth-1)/12)+1</f>
        <v/>
      </c>
      <c r="KF46" s="12">
        <f>VLOOKUP(KD46,SeasonTable,2,FALSE)</f>
        <v/>
      </c>
      <c r="KG46" s="12">
        <f>(1+InflationRate)^INT((KC46-1)/12)</f>
        <v/>
      </c>
      <c r="KH46" s="11">
        <f>'Sens - Churn'!$A$16*VLOOKUP(KD46,ChurnSeasonTable,4,FALSE)</f>
        <v/>
      </c>
      <c r="KI46" s="12">
        <f>MIN(MAX(MktMin19plus,LG45*MktPct19plus),MAX(0,LU45-CashBuffer))</f>
        <v/>
      </c>
      <c r="KJ46" s="12">
        <f>IF(KI46&gt;0,MAX(1,ROUND(KI46/CAC*KF46,0)),0)</f>
        <v/>
      </c>
      <c r="KK46" s="12">
        <f>IF(KJ46&gt;0,ROUND(KJ46*ReferralMix/(1-ReferralMix),0),0)</f>
        <v/>
      </c>
      <c r="KL46" s="12">
        <f>KJ46+KK46</f>
        <v/>
      </c>
      <c r="KM46" s="12">
        <f>ROUND(KL46*(1-AnnualMix),0)</f>
        <v/>
      </c>
      <c r="KN46" s="12">
        <f>KL46-KM46</f>
        <v/>
      </c>
      <c r="KO46" s="12">
        <f>ROUND(KM46*EssentialMix,0)</f>
        <v/>
      </c>
      <c r="KP46" s="12">
        <f>ROUND(KM46*PremiumMix,0)</f>
        <v/>
      </c>
      <c r="KQ46" s="12">
        <f>KM46-KO46-KP46</f>
        <v/>
      </c>
      <c r="KR46" s="12">
        <f>ROUND(KN46*EssentialMix,0)</f>
        <v/>
      </c>
      <c r="KS46" s="12">
        <f>ROUND(KN46*PremiumMix,0)</f>
        <v/>
      </c>
      <c r="KT46" s="12">
        <f>KN46-KR46-KS46</f>
        <v/>
      </c>
      <c r="KU46" s="12">
        <f>KO46+KO45+KO44+MAX(0,KU45-KO45-KO44)*(1-KH46)</f>
        <v/>
      </c>
      <c r="KV46" s="12">
        <f>KP46+KP45+KP44+MAX(0,KV45-KP45-KP44)*(1-KH46)</f>
        <v/>
      </c>
      <c r="KW46" s="12">
        <f>KQ46+KQ45+KQ44+MAX(0,KW45-KQ45-KQ44)*(1-KH46)</f>
        <v/>
      </c>
      <c r="KX46" s="12">
        <f>KX45+KR46-KR34*(AnnualChurn*VLOOKUP(KD46,ChurnSeasonTable,4,FALSE))*POWER(1-(AnnualChurn*VLOOKUP(KD46,ChurnSeasonTable,4,FALSE)),0)+KR22*(AnnualChurn*VLOOKUP(KD46,ChurnSeasonTable,4,FALSE))*POWER(1-(AnnualChurn*VLOOKUP(KD46,ChurnSeasonTable,4,FALSE)),1)+KR10*(AnnualChurn*VLOOKUP(KD46,ChurnSeasonTable,4,FALSE))*POWER(1-(AnnualChurn*VLOOKUP(KD46,ChurnSeasonTable,4,FALSE)),2)</f>
        <v/>
      </c>
      <c r="KY46" s="12">
        <f>KY45+KS46-KS34*(AnnualChurn*VLOOKUP(KD46,ChurnSeasonTable,4,FALSE))*POWER(1-(AnnualChurn*VLOOKUP(KD46,ChurnSeasonTable,4,FALSE)),0)+KS22*(AnnualChurn*VLOOKUP(KD46,ChurnSeasonTable,4,FALSE))*POWER(1-(AnnualChurn*VLOOKUP(KD46,ChurnSeasonTable,4,FALSE)),1)+KS10*(AnnualChurn*VLOOKUP(KD46,ChurnSeasonTable,4,FALSE))*POWER(1-(AnnualChurn*VLOOKUP(KD46,ChurnSeasonTable,4,FALSE)),2)</f>
        <v/>
      </c>
      <c r="KZ46" s="12">
        <f>KZ45+KT46-KT34*(AnnualChurn*VLOOKUP(KD46,ChurnSeasonTable,4,FALSE))*POWER(1-(AnnualChurn*VLOOKUP(KD46,ChurnSeasonTable,4,FALSE)),0)+KT22*(AnnualChurn*VLOOKUP(KD46,ChurnSeasonTable,4,FALSE))*POWER(1-(AnnualChurn*VLOOKUP(KD46,ChurnSeasonTable,4,FALSE)),1)+KT10*(AnnualChurn*VLOOKUP(KD46,ChurnSeasonTable,4,FALSE))*POWER(1-(AnnualChurn*VLOOKUP(KD46,ChurnSeasonTable,4,FALSE)),2)</f>
        <v/>
      </c>
      <c r="LA46" s="12">
        <f>KU46+KV46+KW46+KX46+KY46+KZ46</f>
        <v/>
      </c>
      <c r="LB46" s="9">
        <f>KU46*BlendedPriceEssMonthly*KG46+KV46*BlendedPricePremMonthly*KG46+KW46*BlendedPriceEliteMonthly*KG46+KX46*BlendedPriceEssAnnual*KG46/12+KY46*BlendedPricePremAnnual*KG46/12+KZ46*BlendedPriceEliteAnnual*KG46/12</f>
        <v/>
      </c>
      <c r="LC46" s="9">
        <f>LB46*12</f>
        <v/>
      </c>
      <c r="LD46" s="12">
        <f>KU46*BlendedPriceEssMonthly*KG46+KV46*BlendedPricePremMonthly*KG46+KW46*BlendedPriceEliteMonthly*KG46</f>
        <v/>
      </c>
      <c r="LE46" s="12">
        <f>KR46*BlendedPriceEssAnnual*KG46+KS46*BlendedPricePremAnnual*KG46+KT46*BlendedPriceEliteAnnual*KG46</f>
        <v/>
      </c>
      <c r="LF46" s="12">
        <f>KR34*POWER(1-(AnnualChurn*VLOOKUP(KD46,ChurnSeasonTable,4,FALSE)),1)*BlendedPriceEssAnnual*KG46+KR22*POWER(1-(AnnualChurn*VLOOKUP(KD46,ChurnSeasonTable,4,FALSE)),2)*BlendedPriceEssAnnual*KG46+KR10*POWER(1-(AnnualChurn*VLOOKUP(KD46,ChurnSeasonTable,4,FALSE)),3)*BlendedPriceEssAnnual*KG46+KS34*POWER(1-(AnnualChurn*VLOOKUP(KD46,ChurnSeasonTable,4,FALSE)),1)*BlendedPricePremAnnual*KG46+KS22*POWER(1-(AnnualChurn*VLOOKUP(KD46,ChurnSeasonTable,4,FALSE)),2)*BlendedPricePremAnnual*KG46+KS10*POWER(1-(AnnualChurn*VLOOKUP(KD46,ChurnSeasonTable,4,FALSE)),3)*BlendedPricePremAnnual*KG46+KT34*POWER(1-(AnnualChurn*VLOOKUP(KD46,ChurnSeasonTable,4,FALSE)),1)*BlendedPriceEliteAnnual*KG46+KT22*POWER(1-(AnnualChurn*VLOOKUP(KD46,ChurnSeasonTable,4,FALSE)),2)*BlendedPriceEliteAnnual*KG46+KT10*POWER(1-(AnnualChurn*VLOOKUP(KD46,ChurnSeasonTable,4,FALSE)),3)*BlendedPriceEliteAnnual*KG46</f>
        <v/>
      </c>
      <c r="LG46" s="9">
        <f>LD46+LE46+LF46</f>
        <v/>
      </c>
      <c r="LH46" s="12">
        <f>SUM(LG35:LG46)</f>
        <v/>
      </c>
      <c r="LI46" s="12">
        <f>OR(LI45,IF(VATAgentMode,SUM($LG35:$LG46)-SUM($LN35:$LN46)&gt;=VATThreshold,SUM($LG35:$LG46)&gt;=VATThreshold))</f>
        <v/>
      </c>
      <c r="LJ46" s="9">
        <f>IF(LI46,IF(VATAgentMode,LG46-((LG46-LN46)-(LG46-LN46)/(1+VATRate)),LG46/(1+VATRate)),LG46)</f>
        <v/>
      </c>
      <c r="LK46" s="12">
        <f>LG46-LJ46</f>
        <v/>
      </c>
      <c r="LL46" s="12">
        <f>IF(LI46=0,0,IF(KD46=1,SUMPRODUCT(--(($KE$5:$KE46=$KE46-1)*($KD$5:$KD46&gt;=10)*($KD$5:$KD46&lt;=12)),$LK$5:$LK46),IF(KD46=4,SUMPRODUCT(--(($KE$5:$KE46=$KE46)*($KD$5:$KD46&gt;=1)*($KD$5:$KD46&lt;=3)),$LK$5:$LK46),IF(KD46=7,SUMPRODUCT(--(($KE$5:$KE46=$KE46)*($KD$5:$KD46&gt;=4)*($KD$5:$KD46&lt;=6)),$LK$5:$LK46),IF(KD46=10,SUMPRODUCT(--(($KE$5:$KE46=$KE46)*($KD$5:$KD46&gt;=7)*($KD$5:$KD46&lt;=9)),$LK$5:$LK46),0)))))</f>
        <v/>
      </c>
      <c r="LM46" s="12">
        <f>LM45+LK46-LL46</f>
        <v/>
      </c>
      <c r="LN46" s="12">
        <f>IF(ProviderDelay&gt;=1,KU45*BlendedProvPayEss+KV45*BlendedProvPayPrem+KW45*BlendedProvPayElite+KX45*BlendedProvPayEss+KY45*BlendedProvPayPrem+KZ45*BlendedProvPayElite,KU46*BlendedProvPayEss+KV46*BlendedProvPayPrem+KW46*BlendedProvPayElite+KX46*BlendedProvPayEss+KY46*BlendedProvPayPrem+KZ46*BlendedProvPayElite)</f>
        <v/>
      </c>
      <c r="LO46" s="12">
        <f>LG46*PaymentFee</f>
        <v/>
      </c>
      <c r="LP46" s="12">
        <f>LA46*OpsAI</f>
        <v/>
      </c>
      <c r="LQ46" s="12">
        <f>MonthlyFixed</f>
        <v/>
      </c>
      <c r="LR46" s="12">
        <f>KK46*ReferralReward</f>
        <v/>
      </c>
      <c r="LS46" s="12">
        <f>KI46</f>
        <v/>
      </c>
      <c r="LT46" s="9">
        <f>LJ46-LN46-LO46-LP46-LQ46-LR46-LS46</f>
        <v/>
      </c>
      <c r="LU46" s="9">
        <f>LU45+LG46-(LN46+LO46+LP46+LQ46+LR46+LS46+LL46)</f>
        <v/>
      </c>
      <c r="LV46" s="12">
        <f>IF(LA46&gt;0,LB46/LA46,0)</f>
        <v/>
      </c>
      <c r="LW46" s="11">
        <f>IF(LA45&gt;0,MAX(0,(LA45+KL46-LA46)/LA45),0)</f>
        <v/>
      </c>
      <c r="LY46" s="12" t="n">
        <v>42</v>
      </c>
      <c r="LZ46" s="12">
        <f>MOD(LY46-1+LaunchMonth-1,12)+1</f>
        <v/>
      </c>
      <c r="MA46" s="12">
        <f>INT((LY46-1+LaunchMonth-1)/12)+1</f>
        <v/>
      </c>
      <c r="MB46" s="12">
        <f>VLOOKUP(LZ46,SeasonTable,2,FALSE)</f>
        <v/>
      </c>
      <c r="MC46" s="12">
        <f>(1+InflationRate)^INT((LY46-1)/12)</f>
        <v/>
      </c>
      <c r="MD46" s="11">
        <f>'Sens - Churn'!$A$17*VLOOKUP(LZ46,ChurnSeasonTable,4,FALSE)</f>
        <v/>
      </c>
      <c r="ME46" s="12">
        <f>MIN(MAX(MktMin19plus,NC45*MktPct19plus),MAX(0,NQ45-CashBuffer))</f>
        <v/>
      </c>
      <c r="MF46" s="12">
        <f>IF(ME46&gt;0,MAX(1,ROUND(ME46/CAC*MB46,0)),0)</f>
        <v/>
      </c>
      <c r="MG46" s="12">
        <f>IF(MF46&gt;0,ROUND(MF46*ReferralMix/(1-ReferralMix),0),0)</f>
        <v/>
      </c>
      <c r="MH46" s="12">
        <f>MF46+MG46</f>
        <v/>
      </c>
      <c r="MI46" s="12">
        <f>ROUND(MH46*(1-AnnualMix),0)</f>
        <v/>
      </c>
      <c r="MJ46" s="12">
        <f>MH46-MI46</f>
        <v/>
      </c>
      <c r="MK46" s="12">
        <f>ROUND(MI46*EssentialMix,0)</f>
        <v/>
      </c>
      <c r="ML46" s="12">
        <f>ROUND(MI46*PremiumMix,0)</f>
        <v/>
      </c>
      <c r="MM46" s="12">
        <f>MI46-MK46-ML46</f>
        <v/>
      </c>
      <c r="MN46" s="12">
        <f>ROUND(MJ46*EssentialMix,0)</f>
        <v/>
      </c>
      <c r="MO46" s="12">
        <f>ROUND(MJ46*PremiumMix,0)</f>
        <v/>
      </c>
      <c r="MP46" s="12">
        <f>MJ46-MN46-MO46</f>
        <v/>
      </c>
      <c r="MQ46" s="12">
        <f>MK46+MK45+MK44+MAX(0,MQ45-MK45-MK44)*(1-MD46)</f>
        <v/>
      </c>
      <c r="MR46" s="12">
        <f>ML46+ML45+ML44+MAX(0,MR45-ML45-ML44)*(1-MD46)</f>
        <v/>
      </c>
      <c r="MS46" s="12">
        <f>MM46+MM45+MM44+MAX(0,MS45-MM45-MM44)*(1-MD46)</f>
        <v/>
      </c>
      <c r="MT46" s="12">
        <f>MT45+MN46-MN34*(AnnualChurn*VLOOKUP(LZ46,ChurnSeasonTable,4,FALSE))*POWER(1-(AnnualChurn*VLOOKUP(LZ46,ChurnSeasonTable,4,FALSE)),0)+MN22*(AnnualChurn*VLOOKUP(LZ46,ChurnSeasonTable,4,FALSE))*POWER(1-(AnnualChurn*VLOOKUP(LZ46,ChurnSeasonTable,4,FALSE)),1)+MN10*(AnnualChurn*VLOOKUP(LZ46,ChurnSeasonTable,4,FALSE))*POWER(1-(AnnualChurn*VLOOKUP(LZ46,ChurnSeasonTable,4,FALSE)),2)</f>
        <v/>
      </c>
      <c r="MU46" s="12">
        <f>MU45+MO46-MO34*(AnnualChurn*VLOOKUP(LZ46,ChurnSeasonTable,4,FALSE))*POWER(1-(AnnualChurn*VLOOKUP(LZ46,ChurnSeasonTable,4,FALSE)),0)+MO22*(AnnualChurn*VLOOKUP(LZ46,ChurnSeasonTable,4,FALSE))*POWER(1-(AnnualChurn*VLOOKUP(LZ46,ChurnSeasonTable,4,FALSE)),1)+MO10*(AnnualChurn*VLOOKUP(LZ46,ChurnSeasonTable,4,FALSE))*POWER(1-(AnnualChurn*VLOOKUP(LZ46,ChurnSeasonTable,4,FALSE)),2)</f>
        <v/>
      </c>
      <c r="MV46" s="12">
        <f>MV45+MP46-MP34*(AnnualChurn*VLOOKUP(LZ46,ChurnSeasonTable,4,FALSE))*POWER(1-(AnnualChurn*VLOOKUP(LZ46,ChurnSeasonTable,4,FALSE)),0)+MP22*(AnnualChurn*VLOOKUP(LZ46,ChurnSeasonTable,4,FALSE))*POWER(1-(AnnualChurn*VLOOKUP(LZ46,ChurnSeasonTable,4,FALSE)),1)+MP10*(AnnualChurn*VLOOKUP(LZ46,ChurnSeasonTable,4,FALSE))*POWER(1-(AnnualChurn*VLOOKUP(LZ46,ChurnSeasonTable,4,FALSE)),2)</f>
        <v/>
      </c>
      <c r="MW46" s="12">
        <f>MQ46+MR46+MS46+MT46+MU46+MV46</f>
        <v/>
      </c>
      <c r="MX46" s="9">
        <f>MQ46*BlendedPriceEssMonthly*MC46+MR46*BlendedPricePremMonthly*MC46+MS46*BlendedPriceEliteMonthly*MC46+MT46*BlendedPriceEssAnnual*MC46/12+MU46*BlendedPricePremAnnual*MC46/12+MV46*BlendedPriceEliteAnnual*MC46/12</f>
        <v/>
      </c>
      <c r="MY46" s="9">
        <f>MX46*12</f>
        <v/>
      </c>
      <c r="MZ46" s="12">
        <f>MQ46*BlendedPriceEssMonthly*MC46+MR46*BlendedPricePremMonthly*MC46+MS46*BlendedPriceEliteMonthly*MC46</f>
        <v/>
      </c>
      <c r="NA46" s="12">
        <f>MN46*BlendedPriceEssAnnual*MC46+MO46*BlendedPricePremAnnual*MC46+MP46*BlendedPriceEliteAnnual*MC46</f>
        <v/>
      </c>
      <c r="NB46" s="12">
        <f>MN34*POWER(1-(AnnualChurn*VLOOKUP(LZ46,ChurnSeasonTable,4,FALSE)),1)*BlendedPriceEssAnnual*MC46+MN22*POWER(1-(AnnualChurn*VLOOKUP(LZ46,ChurnSeasonTable,4,FALSE)),2)*BlendedPriceEssAnnual*MC46+MN10*POWER(1-(AnnualChurn*VLOOKUP(LZ46,ChurnSeasonTable,4,FALSE)),3)*BlendedPriceEssAnnual*MC46+MO34*POWER(1-(AnnualChurn*VLOOKUP(LZ46,ChurnSeasonTable,4,FALSE)),1)*BlendedPricePremAnnual*MC46+MO22*POWER(1-(AnnualChurn*VLOOKUP(LZ46,ChurnSeasonTable,4,FALSE)),2)*BlendedPricePremAnnual*MC46+MO10*POWER(1-(AnnualChurn*VLOOKUP(LZ46,ChurnSeasonTable,4,FALSE)),3)*BlendedPricePremAnnual*MC46+MP34*POWER(1-(AnnualChurn*VLOOKUP(LZ46,ChurnSeasonTable,4,FALSE)),1)*BlendedPriceEliteAnnual*MC46+MP22*POWER(1-(AnnualChurn*VLOOKUP(LZ46,ChurnSeasonTable,4,FALSE)),2)*BlendedPriceEliteAnnual*MC46+MP10*POWER(1-(AnnualChurn*VLOOKUP(LZ46,ChurnSeasonTable,4,FALSE)),3)*BlendedPriceEliteAnnual*MC46</f>
        <v/>
      </c>
      <c r="NC46" s="9">
        <f>MZ46+NA46+NB46</f>
        <v/>
      </c>
      <c r="ND46" s="12">
        <f>SUM(NC35:NC46)</f>
        <v/>
      </c>
      <c r="NE46" s="12">
        <f>OR(NE45,IF(VATAgentMode,SUM($NC35:$NC46)-SUM($NJ35:$NJ46)&gt;=VATThreshold,SUM($NC35:$NC46)&gt;=VATThreshold))</f>
        <v/>
      </c>
      <c r="NF46" s="9">
        <f>IF(NE46,IF(VATAgentMode,NC46-((NC46-NJ46)-(NC46-NJ46)/(1+VATRate)),NC46/(1+VATRate)),NC46)</f>
        <v/>
      </c>
      <c r="NG46" s="12">
        <f>NC46-NF46</f>
        <v/>
      </c>
      <c r="NH46" s="12">
        <f>IF(NE46=0,0,IF(LZ46=1,SUMPRODUCT(--(($MA$5:$MA46=$MA46-1)*($LZ$5:$LZ46&gt;=10)*($LZ$5:$LZ46&lt;=12)),$NG$5:$NG46),IF(LZ46=4,SUMPRODUCT(--(($MA$5:$MA46=$MA46)*($LZ$5:$LZ46&gt;=1)*($LZ$5:$LZ46&lt;=3)),$NG$5:$NG46),IF(LZ46=7,SUMPRODUCT(--(($MA$5:$MA46=$MA46)*($LZ$5:$LZ46&gt;=4)*($LZ$5:$LZ46&lt;=6)),$NG$5:$NG46),IF(LZ46=10,SUMPRODUCT(--(($MA$5:$MA46=$MA46)*($LZ$5:$LZ46&gt;=7)*($LZ$5:$LZ46&lt;=9)),$NG$5:$NG46),0)))))</f>
        <v/>
      </c>
      <c r="NI46" s="12">
        <f>NI45+NG46-NH46</f>
        <v/>
      </c>
      <c r="NJ46" s="12">
        <f>IF(ProviderDelay&gt;=1,MQ45*BlendedProvPayEss+MR45*BlendedProvPayPrem+MS45*BlendedProvPayElite+MT45*BlendedProvPayEss+MU45*BlendedProvPayPrem+MV45*BlendedProvPayElite,MQ46*BlendedProvPayEss+MR46*BlendedProvPayPrem+MS46*BlendedProvPayElite+MT46*BlendedProvPayEss+MU46*BlendedProvPayPrem+MV46*BlendedProvPayElite)</f>
        <v/>
      </c>
      <c r="NK46" s="12">
        <f>NC46*PaymentFee</f>
        <v/>
      </c>
      <c r="NL46" s="12">
        <f>MW46*OpsAI</f>
        <v/>
      </c>
      <c r="NM46" s="12">
        <f>MonthlyFixed</f>
        <v/>
      </c>
      <c r="NN46" s="12">
        <f>MG46*ReferralReward</f>
        <v/>
      </c>
      <c r="NO46" s="12">
        <f>ME46</f>
        <v/>
      </c>
      <c r="NP46" s="9">
        <f>NF46-NJ46-NK46-NL46-NM46-NN46-NO46</f>
        <v/>
      </c>
      <c r="NQ46" s="9">
        <f>NQ45+NC46-(NJ46+NK46+NL46+NM46+NN46+NO46+NH46)</f>
        <v/>
      </c>
      <c r="NR46" s="12">
        <f>IF(MW46&gt;0,MX46/MW46,0)</f>
        <v/>
      </c>
      <c r="NS46" s="11">
        <f>IF(MW45&gt;0,MAX(0,(MW45+MH46-MW46)/MW45),0)</f>
        <v/>
      </c>
      <c r="NU46" s="12" t="n">
        <v>42</v>
      </c>
      <c r="NV46" s="12">
        <f>MOD(NU46-1+LaunchMonth-1,12)+1</f>
        <v/>
      </c>
      <c r="NW46" s="12">
        <f>INT((NU46-1+LaunchMonth-1)/12)+1</f>
        <v/>
      </c>
      <c r="NX46" s="12">
        <f>VLOOKUP(NV46,SeasonTable,2,FALSE)</f>
        <v/>
      </c>
      <c r="NY46" s="12">
        <f>(1+InflationRate)^INT((NU46-1)/12)</f>
        <v/>
      </c>
      <c r="NZ46" s="11">
        <f>'Sens - Churn'!$A$18*VLOOKUP(NV46,ChurnSeasonTable,4,FALSE)</f>
        <v/>
      </c>
      <c r="OA46" s="12">
        <f>MIN(MAX(MktMin19plus,OY45*MktPct19plus),MAX(0,PM45-CashBuffer))</f>
        <v/>
      </c>
      <c r="OB46" s="12">
        <f>IF(OA46&gt;0,MAX(1,ROUND(OA46/CAC*NX46,0)),0)</f>
        <v/>
      </c>
      <c r="OC46" s="12">
        <f>IF(OB46&gt;0,ROUND(OB46*ReferralMix/(1-ReferralMix),0),0)</f>
        <v/>
      </c>
      <c r="OD46" s="12">
        <f>OB46+OC46</f>
        <v/>
      </c>
      <c r="OE46" s="12">
        <f>ROUND(OD46*(1-AnnualMix),0)</f>
        <v/>
      </c>
      <c r="OF46" s="12">
        <f>OD46-OE46</f>
        <v/>
      </c>
      <c r="OG46" s="12">
        <f>ROUND(OE46*EssentialMix,0)</f>
        <v/>
      </c>
      <c r="OH46" s="12">
        <f>ROUND(OE46*PremiumMix,0)</f>
        <v/>
      </c>
      <c r="OI46" s="12">
        <f>OE46-OG46-OH46</f>
        <v/>
      </c>
      <c r="OJ46" s="12">
        <f>ROUND(OF46*EssentialMix,0)</f>
        <v/>
      </c>
      <c r="OK46" s="12">
        <f>ROUND(OF46*PremiumMix,0)</f>
        <v/>
      </c>
      <c r="OL46" s="12">
        <f>OF46-OJ46-OK46</f>
        <v/>
      </c>
      <c r="OM46" s="12">
        <f>OG46+OG45+OG44+MAX(0,OM45-OG45-OG44)*(1-NZ46)</f>
        <v/>
      </c>
      <c r="ON46" s="12">
        <f>OH46+OH45+OH44+MAX(0,ON45-OH45-OH44)*(1-NZ46)</f>
        <v/>
      </c>
      <c r="OO46" s="12">
        <f>OI46+OI45+OI44+MAX(0,OO45-OI45-OI44)*(1-NZ46)</f>
        <v/>
      </c>
      <c r="OP46" s="12">
        <f>OP45+OJ46-OJ34*(AnnualChurn*VLOOKUP(NV46,ChurnSeasonTable,4,FALSE))*POWER(1-(AnnualChurn*VLOOKUP(NV46,ChurnSeasonTable,4,FALSE)),0)+OJ22*(AnnualChurn*VLOOKUP(NV46,ChurnSeasonTable,4,FALSE))*POWER(1-(AnnualChurn*VLOOKUP(NV46,ChurnSeasonTable,4,FALSE)),1)+OJ10*(AnnualChurn*VLOOKUP(NV46,ChurnSeasonTable,4,FALSE))*POWER(1-(AnnualChurn*VLOOKUP(NV46,ChurnSeasonTable,4,FALSE)),2)</f>
        <v/>
      </c>
      <c r="OQ46" s="12">
        <f>OQ45+OK46-OK34*(AnnualChurn*VLOOKUP(NV46,ChurnSeasonTable,4,FALSE))*POWER(1-(AnnualChurn*VLOOKUP(NV46,ChurnSeasonTable,4,FALSE)),0)+OK22*(AnnualChurn*VLOOKUP(NV46,ChurnSeasonTable,4,FALSE))*POWER(1-(AnnualChurn*VLOOKUP(NV46,ChurnSeasonTable,4,FALSE)),1)+OK10*(AnnualChurn*VLOOKUP(NV46,ChurnSeasonTable,4,FALSE))*POWER(1-(AnnualChurn*VLOOKUP(NV46,ChurnSeasonTable,4,FALSE)),2)</f>
        <v/>
      </c>
      <c r="OR46" s="12">
        <f>OR45+OL46-OL34*(AnnualChurn*VLOOKUP(NV46,ChurnSeasonTable,4,FALSE))*POWER(1-(AnnualChurn*VLOOKUP(NV46,ChurnSeasonTable,4,FALSE)),0)+OL22*(AnnualChurn*VLOOKUP(NV46,ChurnSeasonTable,4,FALSE))*POWER(1-(AnnualChurn*VLOOKUP(NV46,ChurnSeasonTable,4,FALSE)),1)+OL10*(AnnualChurn*VLOOKUP(NV46,ChurnSeasonTable,4,FALSE))*POWER(1-(AnnualChurn*VLOOKUP(NV46,ChurnSeasonTable,4,FALSE)),2)</f>
        <v/>
      </c>
      <c r="OS46" s="12">
        <f>OM46+ON46+OO46+OP46+OQ46+OR46</f>
        <v/>
      </c>
      <c r="OT46" s="9">
        <f>OM46*BlendedPriceEssMonthly*NY46+ON46*BlendedPricePremMonthly*NY46+OO46*BlendedPriceEliteMonthly*NY46+OP46*BlendedPriceEssAnnual*NY46/12+OQ46*BlendedPricePremAnnual*NY46/12+OR46*BlendedPriceEliteAnnual*NY46/12</f>
        <v/>
      </c>
      <c r="OU46" s="9">
        <f>OT46*12</f>
        <v/>
      </c>
      <c r="OV46" s="12">
        <f>OM46*BlendedPriceEssMonthly*NY46+ON46*BlendedPricePremMonthly*NY46+OO46*BlendedPriceEliteMonthly*NY46</f>
        <v/>
      </c>
      <c r="OW46" s="12">
        <f>OJ46*BlendedPriceEssAnnual*NY46+OK46*BlendedPricePremAnnual*NY46+OL46*BlendedPriceEliteAnnual*NY46</f>
        <v/>
      </c>
      <c r="OX46" s="12">
        <f>OJ34*POWER(1-(AnnualChurn*VLOOKUP(NV46,ChurnSeasonTable,4,FALSE)),1)*BlendedPriceEssAnnual*NY46+OJ22*POWER(1-(AnnualChurn*VLOOKUP(NV46,ChurnSeasonTable,4,FALSE)),2)*BlendedPriceEssAnnual*NY46+OJ10*POWER(1-(AnnualChurn*VLOOKUP(NV46,ChurnSeasonTable,4,FALSE)),3)*BlendedPriceEssAnnual*NY46+OK34*POWER(1-(AnnualChurn*VLOOKUP(NV46,ChurnSeasonTable,4,FALSE)),1)*BlendedPricePremAnnual*NY46+OK22*POWER(1-(AnnualChurn*VLOOKUP(NV46,ChurnSeasonTable,4,FALSE)),2)*BlendedPricePremAnnual*NY46+OK10*POWER(1-(AnnualChurn*VLOOKUP(NV46,ChurnSeasonTable,4,FALSE)),3)*BlendedPricePremAnnual*NY46+OL34*POWER(1-(AnnualChurn*VLOOKUP(NV46,ChurnSeasonTable,4,FALSE)),1)*BlendedPriceEliteAnnual*NY46+OL22*POWER(1-(AnnualChurn*VLOOKUP(NV46,ChurnSeasonTable,4,FALSE)),2)*BlendedPriceEliteAnnual*NY46+OL10*POWER(1-(AnnualChurn*VLOOKUP(NV46,ChurnSeasonTable,4,FALSE)),3)*BlendedPriceEliteAnnual*NY46</f>
        <v/>
      </c>
      <c r="OY46" s="9">
        <f>OV46+OW46+OX46</f>
        <v/>
      </c>
      <c r="OZ46" s="12">
        <f>SUM(OY35:OY46)</f>
        <v/>
      </c>
      <c r="PA46" s="12">
        <f>OR(PA45,IF(VATAgentMode,SUM($OY35:$OY46)-SUM($PF35:$PF46)&gt;=VATThreshold,SUM($OY35:$OY46)&gt;=VATThreshold))</f>
        <v/>
      </c>
      <c r="PB46" s="9">
        <f>IF(PA46,IF(VATAgentMode,OY46-((OY46-PF46)-(OY46-PF46)/(1+VATRate)),OY46/(1+VATRate)),OY46)</f>
        <v/>
      </c>
      <c r="PC46" s="12">
        <f>OY46-PB46</f>
        <v/>
      </c>
      <c r="PD46" s="12">
        <f>IF(PA46=0,0,IF(NV46=1,SUMPRODUCT(--(($NW$5:$NW46=$NW46-1)*($NV$5:$NV46&gt;=10)*($NV$5:$NV46&lt;=12)),$PC$5:$PC46),IF(NV46=4,SUMPRODUCT(--(($NW$5:$NW46=$NW46)*($NV$5:$NV46&gt;=1)*($NV$5:$NV46&lt;=3)),$PC$5:$PC46),IF(NV46=7,SUMPRODUCT(--(($NW$5:$NW46=$NW46)*($NV$5:$NV46&gt;=4)*($NV$5:$NV46&lt;=6)),$PC$5:$PC46),IF(NV46=10,SUMPRODUCT(--(($NW$5:$NW46=$NW46)*($NV$5:$NV46&gt;=7)*($NV$5:$NV46&lt;=9)),$PC$5:$PC46),0)))))</f>
        <v/>
      </c>
      <c r="PE46" s="12">
        <f>PE45+PC46-PD46</f>
        <v/>
      </c>
      <c r="PF46" s="12">
        <f>IF(ProviderDelay&gt;=1,OM45*BlendedProvPayEss+ON45*BlendedProvPayPrem+OO45*BlendedProvPayElite+OP45*BlendedProvPayEss+OQ45*BlendedProvPayPrem+OR45*BlendedProvPayElite,OM46*BlendedProvPayEss+ON46*BlendedProvPayPrem+OO46*BlendedProvPayElite+OP46*BlendedProvPayEss+OQ46*BlendedProvPayPrem+OR46*BlendedProvPayElite)</f>
        <v/>
      </c>
      <c r="PG46" s="12">
        <f>OY46*PaymentFee</f>
        <v/>
      </c>
      <c r="PH46" s="12">
        <f>OS46*OpsAI</f>
        <v/>
      </c>
      <c r="PI46" s="12">
        <f>MonthlyFixed</f>
        <v/>
      </c>
      <c r="PJ46" s="12">
        <f>OC46*ReferralReward</f>
        <v/>
      </c>
      <c r="PK46" s="12">
        <f>OA46</f>
        <v/>
      </c>
      <c r="PL46" s="9">
        <f>PB46-PF46-PG46-PH46-PI46-PJ46-PK46</f>
        <v/>
      </c>
      <c r="PM46" s="9">
        <f>PM45+OY46-(PF46+PG46+PH46+PI46+PJ46+PK46+PD46)</f>
        <v/>
      </c>
      <c r="PN46" s="12">
        <f>IF(OS46&gt;0,OT46/OS46,0)</f>
        <v/>
      </c>
      <c r="PO46" s="11">
        <f>IF(OS45&gt;0,MAX(0,(OS45+OD46-OS46)/OS45),0)</f>
        <v/>
      </c>
      <c r="PQ46" s="12" t="n">
        <v>42</v>
      </c>
      <c r="PR46" s="12">
        <f>MOD(PQ46-1+LaunchMonth-1,12)+1</f>
        <v/>
      </c>
      <c r="PS46" s="12">
        <f>INT((PQ46-1+LaunchMonth-1)/12)+1</f>
        <v/>
      </c>
      <c r="PT46" s="12">
        <f>VLOOKUP(PR46,SeasonTable,2,FALSE)</f>
        <v/>
      </c>
      <c r="PU46" s="12">
        <f>(1+InflationRate)^INT((PQ46-1)/12)</f>
        <v/>
      </c>
      <c r="PV46" s="11">
        <f>'Sens - Churn'!$A$19*VLOOKUP(PR46,ChurnSeasonTable,4,FALSE)</f>
        <v/>
      </c>
      <c r="PW46" s="12">
        <f>MIN(MAX(MktMin19plus,QU45*MktPct19plus),MAX(0,RI45-CashBuffer))</f>
        <v/>
      </c>
      <c r="PX46" s="12">
        <f>IF(PW46&gt;0,MAX(1,ROUND(PW46/CAC*PT46,0)),0)</f>
        <v/>
      </c>
      <c r="PY46" s="12">
        <f>IF(PX46&gt;0,ROUND(PX46*ReferralMix/(1-ReferralMix),0),0)</f>
        <v/>
      </c>
      <c r="PZ46" s="12">
        <f>PX46+PY46</f>
        <v/>
      </c>
      <c r="QA46" s="12">
        <f>ROUND(PZ46*(1-AnnualMix),0)</f>
        <v/>
      </c>
      <c r="QB46" s="12">
        <f>PZ46-QA46</f>
        <v/>
      </c>
      <c r="QC46" s="12">
        <f>ROUND(QA46*EssentialMix,0)</f>
        <v/>
      </c>
      <c r="QD46" s="12">
        <f>ROUND(QA46*PremiumMix,0)</f>
        <v/>
      </c>
      <c r="QE46" s="12">
        <f>QA46-QC46-QD46</f>
        <v/>
      </c>
      <c r="QF46" s="12">
        <f>ROUND(QB46*EssentialMix,0)</f>
        <v/>
      </c>
      <c r="QG46" s="12">
        <f>ROUND(QB46*PremiumMix,0)</f>
        <v/>
      </c>
      <c r="QH46" s="12">
        <f>QB46-QF46-QG46</f>
        <v/>
      </c>
      <c r="QI46" s="12">
        <f>QC46+QC45+QC44+MAX(0,QI45-QC45-QC44)*(1-PV46)</f>
        <v/>
      </c>
      <c r="QJ46" s="12">
        <f>QD46+QD45+QD44+MAX(0,QJ45-QD45-QD44)*(1-PV46)</f>
        <v/>
      </c>
      <c r="QK46" s="12">
        <f>QE46+QE45+QE44+MAX(0,QK45-QE45-QE44)*(1-PV46)</f>
        <v/>
      </c>
      <c r="QL46" s="12">
        <f>QL45+QF46-QF34*(AnnualChurn*VLOOKUP(PR46,ChurnSeasonTable,4,FALSE))*POWER(1-(AnnualChurn*VLOOKUP(PR46,ChurnSeasonTable,4,FALSE)),0)+QF22*(AnnualChurn*VLOOKUP(PR46,ChurnSeasonTable,4,FALSE))*POWER(1-(AnnualChurn*VLOOKUP(PR46,ChurnSeasonTable,4,FALSE)),1)+QF10*(AnnualChurn*VLOOKUP(PR46,ChurnSeasonTable,4,FALSE))*POWER(1-(AnnualChurn*VLOOKUP(PR46,ChurnSeasonTable,4,FALSE)),2)</f>
        <v/>
      </c>
      <c r="QM46" s="12">
        <f>QM45+QG46-QG34*(AnnualChurn*VLOOKUP(PR46,ChurnSeasonTable,4,FALSE))*POWER(1-(AnnualChurn*VLOOKUP(PR46,ChurnSeasonTable,4,FALSE)),0)+QG22*(AnnualChurn*VLOOKUP(PR46,ChurnSeasonTable,4,FALSE))*POWER(1-(AnnualChurn*VLOOKUP(PR46,ChurnSeasonTable,4,FALSE)),1)+QG10*(AnnualChurn*VLOOKUP(PR46,ChurnSeasonTable,4,FALSE))*POWER(1-(AnnualChurn*VLOOKUP(PR46,ChurnSeasonTable,4,FALSE)),2)</f>
        <v/>
      </c>
      <c r="QN46" s="12">
        <f>QN45+QH46-QH34*(AnnualChurn*VLOOKUP(PR46,ChurnSeasonTable,4,FALSE))*POWER(1-(AnnualChurn*VLOOKUP(PR46,ChurnSeasonTable,4,FALSE)),0)+QH22*(AnnualChurn*VLOOKUP(PR46,ChurnSeasonTable,4,FALSE))*POWER(1-(AnnualChurn*VLOOKUP(PR46,ChurnSeasonTable,4,FALSE)),1)+QH10*(AnnualChurn*VLOOKUP(PR46,ChurnSeasonTable,4,FALSE))*POWER(1-(AnnualChurn*VLOOKUP(PR46,ChurnSeasonTable,4,FALSE)),2)</f>
        <v/>
      </c>
      <c r="QO46" s="12">
        <f>QI46+QJ46+QK46+QL46+QM46+QN46</f>
        <v/>
      </c>
      <c r="QP46" s="9">
        <f>QI46*BlendedPriceEssMonthly*PU46+QJ46*BlendedPricePremMonthly*PU46+QK46*BlendedPriceEliteMonthly*PU46+QL46*BlendedPriceEssAnnual*PU46/12+QM46*BlendedPricePremAnnual*PU46/12+QN46*BlendedPriceEliteAnnual*PU46/12</f>
        <v/>
      </c>
      <c r="QQ46" s="9">
        <f>QP46*12</f>
        <v/>
      </c>
      <c r="QR46" s="12">
        <f>QI46*BlendedPriceEssMonthly*PU46+QJ46*BlendedPricePremMonthly*PU46+QK46*BlendedPriceEliteMonthly*PU46</f>
        <v/>
      </c>
      <c r="QS46" s="12">
        <f>QF46*BlendedPriceEssAnnual*PU46+QG46*BlendedPricePremAnnual*PU46+QH46*BlendedPriceEliteAnnual*PU46</f>
        <v/>
      </c>
      <c r="QT46" s="12">
        <f>QF34*POWER(1-(AnnualChurn*VLOOKUP(PR46,ChurnSeasonTable,4,FALSE)),1)*BlendedPriceEssAnnual*PU46+QF22*POWER(1-(AnnualChurn*VLOOKUP(PR46,ChurnSeasonTable,4,FALSE)),2)*BlendedPriceEssAnnual*PU46+QF10*POWER(1-(AnnualChurn*VLOOKUP(PR46,ChurnSeasonTable,4,FALSE)),3)*BlendedPriceEssAnnual*PU46+QG34*POWER(1-(AnnualChurn*VLOOKUP(PR46,ChurnSeasonTable,4,FALSE)),1)*BlendedPricePremAnnual*PU46+QG22*POWER(1-(AnnualChurn*VLOOKUP(PR46,ChurnSeasonTable,4,FALSE)),2)*BlendedPricePremAnnual*PU46+QG10*POWER(1-(AnnualChurn*VLOOKUP(PR46,ChurnSeasonTable,4,FALSE)),3)*BlendedPricePremAnnual*PU46+QH34*POWER(1-(AnnualChurn*VLOOKUP(PR46,ChurnSeasonTable,4,FALSE)),1)*BlendedPriceEliteAnnual*PU46+QH22*POWER(1-(AnnualChurn*VLOOKUP(PR46,ChurnSeasonTable,4,FALSE)),2)*BlendedPriceEliteAnnual*PU46+QH10*POWER(1-(AnnualChurn*VLOOKUP(PR46,ChurnSeasonTable,4,FALSE)),3)*BlendedPriceEliteAnnual*PU46</f>
        <v/>
      </c>
      <c r="QU46" s="9">
        <f>QR46+QS46+QT46</f>
        <v/>
      </c>
      <c r="QV46" s="12">
        <f>SUM(QU35:QU46)</f>
        <v/>
      </c>
      <c r="QW46" s="12">
        <f>OR(QW45,IF(VATAgentMode,SUM($QU35:$QU46)-SUM($RB35:$RB46)&gt;=VATThreshold,SUM($QU35:$QU46)&gt;=VATThreshold))</f>
        <v/>
      </c>
      <c r="QX46" s="9">
        <f>IF(QW46,IF(VATAgentMode,QU46-((QU46-RB46)-(QU46-RB46)/(1+VATRate)),QU46/(1+VATRate)),QU46)</f>
        <v/>
      </c>
      <c r="QY46" s="12">
        <f>QU46-QX46</f>
        <v/>
      </c>
      <c r="QZ46" s="12">
        <f>IF(QW46=0,0,IF(PR46=1,SUMPRODUCT(--(($PS$5:$PS46=$PS46-1)*($PR$5:$PR46&gt;=10)*($PR$5:$PR46&lt;=12)),$QY$5:$QY46),IF(PR46=4,SUMPRODUCT(--(($PS$5:$PS46=$PS46)*($PR$5:$PR46&gt;=1)*($PR$5:$PR46&lt;=3)),$QY$5:$QY46),IF(PR46=7,SUMPRODUCT(--(($PS$5:$PS46=$PS46)*($PR$5:$PR46&gt;=4)*($PR$5:$PR46&lt;=6)),$QY$5:$QY46),IF(PR46=10,SUMPRODUCT(--(($PS$5:$PS46=$PS46)*($PR$5:$PR46&gt;=7)*($PR$5:$PR46&lt;=9)),$QY$5:$QY46),0)))))</f>
        <v/>
      </c>
      <c r="RA46" s="12">
        <f>RA45+QY46-QZ46</f>
        <v/>
      </c>
      <c r="RB46" s="12">
        <f>IF(ProviderDelay&gt;=1,QI45*BlendedProvPayEss+QJ45*BlendedProvPayPrem+QK45*BlendedProvPayElite+QL45*BlendedProvPayEss+QM45*BlendedProvPayPrem+QN45*BlendedProvPayElite,QI46*BlendedProvPayEss+QJ46*BlendedProvPayPrem+QK46*BlendedProvPayElite+QL46*BlendedProvPayEss+QM46*BlendedProvPayPrem+QN46*BlendedProvPayElite)</f>
        <v/>
      </c>
      <c r="RC46" s="12">
        <f>QU46*PaymentFee</f>
        <v/>
      </c>
      <c r="RD46" s="12">
        <f>QO46*OpsAI</f>
        <v/>
      </c>
      <c r="RE46" s="12">
        <f>MonthlyFixed</f>
        <v/>
      </c>
      <c r="RF46" s="12">
        <f>PY46*ReferralReward</f>
        <v/>
      </c>
      <c r="RG46" s="12">
        <f>PW46</f>
        <v/>
      </c>
      <c r="RH46" s="9">
        <f>QX46-RB46-RC46-RD46-RE46-RF46-RG46</f>
        <v/>
      </c>
      <c r="RI46" s="9">
        <f>RI45+QU46-(RB46+RC46+RD46+RE46+RF46+RG46+QZ46)</f>
        <v/>
      </c>
      <c r="RJ46" s="12">
        <f>IF(QO46&gt;0,QP46/QO46,0)</f>
        <v/>
      </c>
      <c r="RK46" s="11">
        <f>IF(QO45&gt;0,MAX(0,(QO45+PZ46-QO46)/QO45),0)</f>
        <v/>
      </c>
      <c r="RM46" s="12" t="n">
        <v>42</v>
      </c>
      <c r="RN46" s="12">
        <f>MOD(RM46-1+LaunchMonth-1,12)+1</f>
        <v/>
      </c>
      <c r="RO46" s="12">
        <f>INT((RM46-1+LaunchMonth-1)/12)+1</f>
        <v/>
      </c>
      <c r="RP46" s="12">
        <f>VLOOKUP(RN46,SeasonTable,2,FALSE)</f>
        <v/>
      </c>
      <c r="RQ46" s="12">
        <f>(1+InflationRate)^INT((RM46-1)/12)</f>
        <v/>
      </c>
      <c r="RR46" s="11">
        <f>'Sens - Churn'!$A$20*VLOOKUP(RN46,ChurnSeasonTable,4,FALSE)</f>
        <v/>
      </c>
      <c r="RS46" s="12">
        <f>MIN(MAX(MktMin19plus,SQ45*MktPct19plus),MAX(0,TE45-CashBuffer))</f>
        <v/>
      </c>
      <c r="RT46" s="12">
        <f>IF(RS46&gt;0,MAX(1,ROUND(RS46/CAC*RP46,0)),0)</f>
        <v/>
      </c>
      <c r="RU46" s="12">
        <f>IF(RT46&gt;0,ROUND(RT46*ReferralMix/(1-ReferralMix),0),0)</f>
        <v/>
      </c>
      <c r="RV46" s="12">
        <f>RT46+RU46</f>
        <v/>
      </c>
      <c r="RW46" s="12">
        <f>ROUND(RV46*(1-AnnualMix),0)</f>
        <v/>
      </c>
      <c r="RX46" s="12">
        <f>RV46-RW46</f>
        <v/>
      </c>
      <c r="RY46" s="12">
        <f>ROUND(RW46*EssentialMix,0)</f>
        <v/>
      </c>
      <c r="RZ46" s="12">
        <f>ROUND(RW46*PremiumMix,0)</f>
        <v/>
      </c>
      <c r="SA46" s="12">
        <f>RW46-RY46-RZ46</f>
        <v/>
      </c>
      <c r="SB46" s="12">
        <f>ROUND(RX46*EssentialMix,0)</f>
        <v/>
      </c>
      <c r="SC46" s="12">
        <f>ROUND(RX46*PremiumMix,0)</f>
        <v/>
      </c>
      <c r="SD46" s="12">
        <f>RX46-SB46-SC46</f>
        <v/>
      </c>
      <c r="SE46" s="12">
        <f>RY46+RY45+RY44+MAX(0,SE45-RY45-RY44)*(1-RR46)</f>
        <v/>
      </c>
      <c r="SF46" s="12">
        <f>RZ46+RZ45+RZ44+MAX(0,SF45-RZ45-RZ44)*(1-RR46)</f>
        <v/>
      </c>
      <c r="SG46" s="12">
        <f>SA46+SA45+SA44+MAX(0,SG45-SA45-SA44)*(1-RR46)</f>
        <v/>
      </c>
      <c r="SH46" s="12">
        <f>SH45+SB46-SB34*(AnnualChurn*VLOOKUP(RN46,ChurnSeasonTable,4,FALSE))*POWER(1-(AnnualChurn*VLOOKUP(RN46,ChurnSeasonTable,4,FALSE)),0)+SB22*(AnnualChurn*VLOOKUP(RN46,ChurnSeasonTable,4,FALSE))*POWER(1-(AnnualChurn*VLOOKUP(RN46,ChurnSeasonTable,4,FALSE)),1)+SB10*(AnnualChurn*VLOOKUP(RN46,ChurnSeasonTable,4,FALSE))*POWER(1-(AnnualChurn*VLOOKUP(RN46,ChurnSeasonTable,4,FALSE)),2)</f>
        <v/>
      </c>
      <c r="SI46" s="12">
        <f>SI45+SC46-SC34*(AnnualChurn*VLOOKUP(RN46,ChurnSeasonTable,4,FALSE))*POWER(1-(AnnualChurn*VLOOKUP(RN46,ChurnSeasonTable,4,FALSE)),0)+SC22*(AnnualChurn*VLOOKUP(RN46,ChurnSeasonTable,4,FALSE))*POWER(1-(AnnualChurn*VLOOKUP(RN46,ChurnSeasonTable,4,FALSE)),1)+SC10*(AnnualChurn*VLOOKUP(RN46,ChurnSeasonTable,4,FALSE))*POWER(1-(AnnualChurn*VLOOKUP(RN46,ChurnSeasonTable,4,FALSE)),2)</f>
        <v/>
      </c>
      <c r="SJ46" s="12">
        <f>SJ45+SD46-SD34*(AnnualChurn*VLOOKUP(RN46,ChurnSeasonTable,4,FALSE))*POWER(1-(AnnualChurn*VLOOKUP(RN46,ChurnSeasonTable,4,FALSE)),0)+SD22*(AnnualChurn*VLOOKUP(RN46,ChurnSeasonTable,4,FALSE))*POWER(1-(AnnualChurn*VLOOKUP(RN46,ChurnSeasonTable,4,FALSE)),1)+SD10*(AnnualChurn*VLOOKUP(RN46,ChurnSeasonTable,4,FALSE))*POWER(1-(AnnualChurn*VLOOKUP(RN46,ChurnSeasonTable,4,FALSE)),2)</f>
        <v/>
      </c>
      <c r="SK46" s="12">
        <f>SE46+SF46+SG46+SH46+SI46+SJ46</f>
        <v/>
      </c>
      <c r="SL46" s="9">
        <f>SE46*BlendedPriceEssMonthly*RQ46+SF46*BlendedPricePremMonthly*RQ46+SG46*BlendedPriceEliteMonthly*RQ46+SH46*BlendedPriceEssAnnual*RQ46/12+SI46*BlendedPricePremAnnual*RQ46/12+SJ46*BlendedPriceEliteAnnual*RQ46/12</f>
        <v/>
      </c>
      <c r="SM46" s="9">
        <f>SL46*12</f>
        <v/>
      </c>
      <c r="SN46" s="12">
        <f>SE46*BlendedPriceEssMonthly*RQ46+SF46*BlendedPricePremMonthly*RQ46+SG46*BlendedPriceEliteMonthly*RQ46</f>
        <v/>
      </c>
      <c r="SO46" s="12">
        <f>SB46*BlendedPriceEssAnnual*RQ46+SC46*BlendedPricePremAnnual*RQ46+SD46*BlendedPriceEliteAnnual*RQ46</f>
        <v/>
      </c>
      <c r="SP46" s="12">
        <f>SB34*POWER(1-(AnnualChurn*VLOOKUP(RN46,ChurnSeasonTable,4,FALSE)),1)*BlendedPriceEssAnnual*RQ46+SB22*POWER(1-(AnnualChurn*VLOOKUP(RN46,ChurnSeasonTable,4,FALSE)),2)*BlendedPriceEssAnnual*RQ46+SB10*POWER(1-(AnnualChurn*VLOOKUP(RN46,ChurnSeasonTable,4,FALSE)),3)*BlendedPriceEssAnnual*RQ46+SC34*POWER(1-(AnnualChurn*VLOOKUP(RN46,ChurnSeasonTable,4,FALSE)),1)*BlendedPricePremAnnual*RQ46+SC22*POWER(1-(AnnualChurn*VLOOKUP(RN46,ChurnSeasonTable,4,FALSE)),2)*BlendedPricePremAnnual*RQ46+SC10*POWER(1-(AnnualChurn*VLOOKUP(RN46,ChurnSeasonTable,4,FALSE)),3)*BlendedPricePremAnnual*RQ46+SD34*POWER(1-(AnnualChurn*VLOOKUP(RN46,ChurnSeasonTable,4,FALSE)),1)*BlendedPriceEliteAnnual*RQ46+SD22*POWER(1-(AnnualChurn*VLOOKUP(RN46,ChurnSeasonTable,4,FALSE)),2)*BlendedPriceEliteAnnual*RQ46+SD10*POWER(1-(AnnualChurn*VLOOKUP(RN46,ChurnSeasonTable,4,FALSE)),3)*BlendedPriceEliteAnnual*RQ46</f>
        <v/>
      </c>
      <c r="SQ46" s="9">
        <f>SN46+SO46+SP46</f>
        <v/>
      </c>
      <c r="SR46" s="12">
        <f>SUM(SQ35:SQ46)</f>
        <v/>
      </c>
      <c r="SS46" s="12">
        <f>OR(SS45,IF(VATAgentMode,SUM($SQ35:$SQ46)-SUM($SX35:$SX46)&gt;=VATThreshold,SUM($SQ35:$SQ46)&gt;=VATThreshold))</f>
        <v/>
      </c>
      <c r="ST46" s="9">
        <f>IF(SS46,IF(VATAgentMode,SQ46-((SQ46-SX46)-(SQ46-SX46)/(1+VATRate)),SQ46/(1+VATRate)),SQ46)</f>
        <v/>
      </c>
      <c r="SU46" s="12">
        <f>SQ46-ST46</f>
        <v/>
      </c>
      <c r="SV46" s="12">
        <f>IF(SS46=0,0,IF(RN46=1,SUMPRODUCT(--(($RO$5:$RO46=$RO46-1)*($RN$5:$RN46&gt;=10)*($RN$5:$RN46&lt;=12)),$SU$5:$SU46),IF(RN46=4,SUMPRODUCT(--(($RO$5:$RO46=$RO46)*($RN$5:$RN46&gt;=1)*($RN$5:$RN46&lt;=3)),$SU$5:$SU46),IF(RN46=7,SUMPRODUCT(--(($RO$5:$RO46=$RO46)*($RN$5:$RN46&gt;=4)*($RN$5:$RN46&lt;=6)),$SU$5:$SU46),IF(RN46=10,SUMPRODUCT(--(($RO$5:$RO46=$RO46)*($RN$5:$RN46&gt;=7)*($RN$5:$RN46&lt;=9)),$SU$5:$SU46),0)))))</f>
        <v/>
      </c>
      <c r="SW46" s="12">
        <f>SW45+SU46-SV46</f>
        <v/>
      </c>
      <c r="SX46" s="12">
        <f>IF(ProviderDelay&gt;=1,SE45*BlendedProvPayEss+SF45*BlendedProvPayPrem+SG45*BlendedProvPayElite+SH45*BlendedProvPayEss+SI45*BlendedProvPayPrem+SJ45*BlendedProvPayElite,SE46*BlendedProvPayEss+SF46*BlendedProvPayPrem+SG46*BlendedProvPayElite+SH46*BlendedProvPayEss+SI46*BlendedProvPayPrem+SJ46*BlendedProvPayElite)</f>
        <v/>
      </c>
      <c r="SY46" s="12">
        <f>SQ46*PaymentFee</f>
        <v/>
      </c>
      <c r="SZ46" s="12">
        <f>SK46*OpsAI</f>
        <v/>
      </c>
      <c r="TA46" s="12">
        <f>MonthlyFixed</f>
        <v/>
      </c>
      <c r="TB46" s="12">
        <f>RU46*ReferralReward</f>
        <v/>
      </c>
      <c r="TC46" s="12">
        <f>RS46</f>
        <v/>
      </c>
      <c r="TD46" s="9">
        <f>ST46-SX46-SY46-SZ46-TA46-TB46-TC46</f>
        <v/>
      </c>
      <c r="TE46" s="9">
        <f>TE45+SQ46-(SX46+SY46+SZ46+TA46+TB46+TC46+SV46)</f>
        <v/>
      </c>
      <c r="TF46" s="12">
        <f>IF(SK46&gt;0,SL46/SK46,0)</f>
        <v/>
      </c>
      <c r="TG46" s="11">
        <f>IF(SK45&gt;0,MAX(0,(SK45+RV46-SK46)/SK45),0)</f>
        <v/>
      </c>
      <c r="TI46" s="12" t="n">
        <v>42</v>
      </c>
      <c r="TJ46" s="12">
        <f>MOD(TI46-1+LaunchMonth-1,12)+1</f>
        <v/>
      </c>
      <c r="TK46" s="12">
        <f>INT((TI46-1+LaunchMonth-1)/12)+1</f>
        <v/>
      </c>
      <c r="TL46" s="12">
        <f>VLOOKUP(TJ46,SeasonTable,2,FALSE)</f>
        <v/>
      </c>
      <c r="TM46" s="12">
        <f>(1+InflationRate)^INT((TI46-1)/12)</f>
        <v/>
      </c>
      <c r="TN46" s="11">
        <f>'Sens - Churn'!$A$21*VLOOKUP(TJ46,ChurnSeasonTable,4,FALSE)</f>
        <v/>
      </c>
      <c r="TO46" s="12">
        <f>MIN(MAX(MktMin19plus,UM45*MktPct19plus),MAX(0,VA45-CashBuffer))</f>
        <v/>
      </c>
      <c r="TP46" s="12">
        <f>IF(TO46&gt;0,MAX(1,ROUND(TO46/CAC*TL46,0)),0)</f>
        <v/>
      </c>
      <c r="TQ46" s="12">
        <f>IF(TP46&gt;0,ROUND(TP46*ReferralMix/(1-ReferralMix),0),0)</f>
        <v/>
      </c>
      <c r="TR46" s="12">
        <f>TP46+TQ46</f>
        <v/>
      </c>
      <c r="TS46" s="12">
        <f>ROUND(TR46*(1-AnnualMix),0)</f>
        <v/>
      </c>
      <c r="TT46" s="12">
        <f>TR46-TS46</f>
        <v/>
      </c>
      <c r="TU46" s="12">
        <f>ROUND(TS46*EssentialMix,0)</f>
        <v/>
      </c>
      <c r="TV46" s="12">
        <f>ROUND(TS46*PremiumMix,0)</f>
        <v/>
      </c>
      <c r="TW46" s="12">
        <f>TS46-TU46-TV46</f>
        <v/>
      </c>
      <c r="TX46" s="12">
        <f>ROUND(TT46*EssentialMix,0)</f>
        <v/>
      </c>
      <c r="TY46" s="12">
        <f>ROUND(TT46*PremiumMix,0)</f>
        <v/>
      </c>
      <c r="TZ46" s="12">
        <f>TT46-TX46-TY46</f>
        <v/>
      </c>
      <c r="UA46" s="12">
        <f>TU46+TU45+TU44+MAX(0,UA45-TU45-TU44)*(1-TN46)</f>
        <v/>
      </c>
      <c r="UB46" s="12">
        <f>TV46+TV45+TV44+MAX(0,UB45-TV45-TV44)*(1-TN46)</f>
        <v/>
      </c>
      <c r="UC46" s="12">
        <f>TW46+TW45+TW44+MAX(0,UC45-TW45-TW44)*(1-TN46)</f>
        <v/>
      </c>
      <c r="UD46" s="12">
        <f>UD45+TX46-TX34*(AnnualChurn*VLOOKUP(TJ46,ChurnSeasonTable,4,FALSE))*POWER(1-(AnnualChurn*VLOOKUP(TJ46,ChurnSeasonTable,4,FALSE)),0)+TX22*(AnnualChurn*VLOOKUP(TJ46,ChurnSeasonTable,4,FALSE))*POWER(1-(AnnualChurn*VLOOKUP(TJ46,ChurnSeasonTable,4,FALSE)),1)+TX10*(AnnualChurn*VLOOKUP(TJ46,ChurnSeasonTable,4,FALSE))*POWER(1-(AnnualChurn*VLOOKUP(TJ46,ChurnSeasonTable,4,FALSE)),2)</f>
        <v/>
      </c>
      <c r="UE46" s="12">
        <f>UE45+TY46-TY34*(AnnualChurn*VLOOKUP(TJ46,ChurnSeasonTable,4,FALSE))*POWER(1-(AnnualChurn*VLOOKUP(TJ46,ChurnSeasonTable,4,FALSE)),0)+TY22*(AnnualChurn*VLOOKUP(TJ46,ChurnSeasonTable,4,FALSE))*POWER(1-(AnnualChurn*VLOOKUP(TJ46,ChurnSeasonTable,4,FALSE)),1)+TY10*(AnnualChurn*VLOOKUP(TJ46,ChurnSeasonTable,4,FALSE))*POWER(1-(AnnualChurn*VLOOKUP(TJ46,ChurnSeasonTable,4,FALSE)),2)</f>
        <v/>
      </c>
      <c r="UF46" s="12">
        <f>UF45+TZ46-TZ34*(AnnualChurn*VLOOKUP(TJ46,ChurnSeasonTable,4,FALSE))*POWER(1-(AnnualChurn*VLOOKUP(TJ46,ChurnSeasonTable,4,FALSE)),0)+TZ22*(AnnualChurn*VLOOKUP(TJ46,ChurnSeasonTable,4,FALSE))*POWER(1-(AnnualChurn*VLOOKUP(TJ46,ChurnSeasonTable,4,FALSE)),1)+TZ10*(AnnualChurn*VLOOKUP(TJ46,ChurnSeasonTable,4,FALSE))*POWER(1-(AnnualChurn*VLOOKUP(TJ46,ChurnSeasonTable,4,FALSE)),2)</f>
        <v/>
      </c>
      <c r="UG46" s="12">
        <f>UA46+UB46+UC46+UD46+UE46+UF46</f>
        <v/>
      </c>
      <c r="UH46" s="9">
        <f>UA46*BlendedPriceEssMonthly*TM46+UB46*BlendedPricePremMonthly*TM46+UC46*BlendedPriceEliteMonthly*TM46+UD46*BlendedPriceEssAnnual*TM46/12+UE46*BlendedPricePremAnnual*TM46/12+UF46*BlendedPriceEliteAnnual*TM46/12</f>
        <v/>
      </c>
      <c r="UI46" s="9">
        <f>UH46*12</f>
        <v/>
      </c>
      <c r="UJ46" s="12">
        <f>UA46*BlendedPriceEssMonthly*TM46+UB46*BlendedPricePremMonthly*TM46+UC46*BlendedPriceEliteMonthly*TM46</f>
        <v/>
      </c>
      <c r="UK46" s="12">
        <f>TX46*BlendedPriceEssAnnual*TM46+TY46*BlendedPricePremAnnual*TM46+TZ46*BlendedPriceEliteAnnual*TM46</f>
        <v/>
      </c>
      <c r="UL46" s="12">
        <f>TX34*POWER(1-(AnnualChurn*VLOOKUP(TJ46,ChurnSeasonTable,4,FALSE)),1)*BlendedPriceEssAnnual*TM46+TX22*POWER(1-(AnnualChurn*VLOOKUP(TJ46,ChurnSeasonTable,4,FALSE)),2)*BlendedPriceEssAnnual*TM46+TX10*POWER(1-(AnnualChurn*VLOOKUP(TJ46,ChurnSeasonTable,4,FALSE)),3)*BlendedPriceEssAnnual*TM46+TY34*POWER(1-(AnnualChurn*VLOOKUP(TJ46,ChurnSeasonTable,4,FALSE)),1)*BlendedPricePremAnnual*TM46+TY22*POWER(1-(AnnualChurn*VLOOKUP(TJ46,ChurnSeasonTable,4,FALSE)),2)*BlendedPricePremAnnual*TM46+TY10*POWER(1-(AnnualChurn*VLOOKUP(TJ46,ChurnSeasonTable,4,FALSE)),3)*BlendedPricePremAnnual*TM46+TZ34*POWER(1-(AnnualChurn*VLOOKUP(TJ46,ChurnSeasonTable,4,FALSE)),1)*BlendedPriceEliteAnnual*TM46+TZ22*POWER(1-(AnnualChurn*VLOOKUP(TJ46,ChurnSeasonTable,4,FALSE)),2)*BlendedPriceEliteAnnual*TM46+TZ10*POWER(1-(AnnualChurn*VLOOKUP(TJ46,ChurnSeasonTable,4,FALSE)),3)*BlendedPriceEliteAnnual*TM46</f>
        <v/>
      </c>
      <c r="UM46" s="9">
        <f>UJ46+UK46+UL46</f>
        <v/>
      </c>
      <c r="UN46" s="12">
        <f>SUM(UM35:UM46)</f>
        <v/>
      </c>
      <c r="UO46" s="12">
        <f>OR(UO45,IF(VATAgentMode,SUM($UM35:$UM46)-SUM($UT35:$UT46)&gt;=VATThreshold,SUM($UM35:$UM46)&gt;=VATThreshold))</f>
        <v/>
      </c>
      <c r="UP46" s="9">
        <f>IF(UO46,IF(VATAgentMode,UM46-((UM46-UT46)-(UM46-UT46)/(1+VATRate)),UM46/(1+VATRate)),UM46)</f>
        <v/>
      </c>
      <c r="UQ46" s="12">
        <f>UM46-UP46</f>
        <v/>
      </c>
      <c r="UR46" s="12">
        <f>IF(UO46=0,0,IF(TJ46=1,SUMPRODUCT(--(($TK$5:$TK46=$TK46-1)*($TJ$5:$TJ46&gt;=10)*($TJ$5:$TJ46&lt;=12)),$UQ$5:$UQ46),IF(TJ46=4,SUMPRODUCT(--(($TK$5:$TK46=$TK46)*($TJ$5:$TJ46&gt;=1)*($TJ$5:$TJ46&lt;=3)),$UQ$5:$UQ46),IF(TJ46=7,SUMPRODUCT(--(($TK$5:$TK46=$TK46)*($TJ$5:$TJ46&gt;=4)*($TJ$5:$TJ46&lt;=6)),$UQ$5:$UQ46),IF(TJ46=10,SUMPRODUCT(--(($TK$5:$TK46=$TK46)*($TJ$5:$TJ46&gt;=7)*($TJ$5:$TJ46&lt;=9)),$UQ$5:$UQ46),0)))))</f>
        <v/>
      </c>
      <c r="US46" s="12">
        <f>US45+UQ46-UR46</f>
        <v/>
      </c>
      <c r="UT46" s="12">
        <f>IF(ProviderDelay&gt;=1,UA45*BlendedProvPayEss+UB45*BlendedProvPayPrem+UC45*BlendedProvPayElite+UD45*BlendedProvPayEss+UE45*BlendedProvPayPrem+UF45*BlendedProvPayElite,UA46*BlendedProvPayEss+UB46*BlendedProvPayPrem+UC46*BlendedProvPayElite+UD46*BlendedProvPayEss+UE46*BlendedProvPayPrem+UF46*BlendedProvPayElite)</f>
        <v/>
      </c>
      <c r="UU46" s="12">
        <f>UM46*PaymentFee</f>
        <v/>
      </c>
      <c r="UV46" s="12">
        <f>UG46*OpsAI</f>
        <v/>
      </c>
      <c r="UW46" s="12">
        <f>MonthlyFixed</f>
        <v/>
      </c>
      <c r="UX46" s="12">
        <f>TQ46*ReferralReward</f>
        <v/>
      </c>
      <c r="UY46" s="12">
        <f>TO46</f>
        <v/>
      </c>
      <c r="UZ46" s="9">
        <f>UP46-UT46-UU46-UV46-UW46-UX46-UY46</f>
        <v/>
      </c>
      <c r="VA46" s="9">
        <f>VA45+UM46-(UT46+UU46+UV46+UW46+UX46+UY46+UR46)</f>
        <v/>
      </c>
      <c r="VB46" s="12">
        <f>IF(UG46&gt;0,UH46/UG46,0)</f>
        <v/>
      </c>
      <c r="VC46" s="11">
        <f>IF(UG45&gt;0,MAX(0,(UG45+TR46-UG46)/UG45),0)</f>
        <v/>
      </c>
      <c r="VE46" s="12" t="n">
        <v>42</v>
      </c>
      <c r="VF46" s="12">
        <f>MOD(VE46-1+LaunchMonth-1,12)+1</f>
        <v/>
      </c>
      <c r="VG46" s="12">
        <f>INT((VE46-1+LaunchMonth-1)/12)+1</f>
        <v/>
      </c>
      <c r="VH46" s="12">
        <f>VLOOKUP(VF46,SeasonTable,2,FALSE)</f>
        <v/>
      </c>
      <c r="VI46" s="12">
        <f>(1+InflationRate)^INT((VE46-1)/12)</f>
        <v/>
      </c>
      <c r="VJ46" s="11">
        <f>MonthlyChurn*VLOOKUP(VF46,ChurnSeasonTable,4,FALSE)</f>
        <v/>
      </c>
      <c r="VK46" s="12">
        <f>MIN(MAX(MktMin19plus,WI45*MktPct19plus),MAX(0,WW45-CashBuffer))</f>
        <v/>
      </c>
      <c r="VL46" s="12">
        <f>IF(VK46&gt;0,MAX(1,ROUND(VK46/CAC*VH46,0)),0)</f>
        <v/>
      </c>
      <c r="VM46" s="12">
        <f>IF(VL46&gt;0,ROUND(VL46*ReferralMix/(1-ReferralMix),0),0)</f>
        <v/>
      </c>
      <c r="VN46" s="12">
        <f>VL46+VM46</f>
        <v/>
      </c>
      <c r="VO46" s="12">
        <f>ROUND(VN46*(1-'Sens - Annual Mix'!$A$9),0)</f>
        <v/>
      </c>
      <c r="VP46" s="12">
        <f>VN46-VO46</f>
        <v/>
      </c>
      <c r="VQ46" s="12">
        <f>ROUND(VO46*EssentialMix,0)</f>
        <v/>
      </c>
      <c r="VR46" s="12">
        <f>ROUND(VO46*PremiumMix,0)</f>
        <v/>
      </c>
      <c r="VS46" s="12">
        <f>VO46-VQ46-VR46</f>
        <v/>
      </c>
      <c r="VT46" s="12">
        <f>ROUND(VP46*EssentialMix,0)</f>
        <v/>
      </c>
      <c r="VU46" s="12">
        <f>ROUND(VP46*PremiumMix,0)</f>
        <v/>
      </c>
      <c r="VV46" s="12">
        <f>VP46-VT46-VU46</f>
        <v/>
      </c>
      <c r="VW46" s="12">
        <f>VQ46+VQ45+VQ44+MAX(0,VW45-VQ45-VQ44)*(1-VJ46)</f>
        <v/>
      </c>
      <c r="VX46" s="12">
        <f>VR46+VR45+VR44+MAX(0,VX45-VR45-VR44)*(1-VJ46)</f>
        <v/>
      </c>
      <c r="VY46" s="12">
        <f>VS46+VS45+VS44+MAX(0,VY45-VS45-VS44)*(1-VJ46)</f>
        <v/>
      </c>
      <c r="VZ46" s="12">
        <f>VZ45+VT46-VT34*(AnnualChurn*VLOOKUP(VF46,ChurnSeasonTable,4,FALSE))*POWER(1-(AnnualChurn*VLOOKUP(VF46,ChurnSeasonTable,4,FALSE)),0)+VT22*(AnnualChurn*VLOOKUP(VF46,ChurnSeasonTable,4,FALSE))*POWER(1-(AnnualChurn*VLOOKUP(VF46,ChurnSeasonTable,4,FALSE)),1)+VT10*(AnnualChurn*VLOOKUP(VF46,ChurnSeasonTable,4,FALSE))*POWER(1-(AnnualChurn*VLOOKUP(VF46,ChurnSeasonTable,4,FALSE)),2)</f>
        <v/>
      </c>
      <c r="WA46" s="12">
        <f>WA45+VU46-VU34*(AnnualChurn*VLOOKUP(VF46,ChurnSeasonTable,4,FALSE))*POWER(1-(AnnualChurn*VLOOKUP(VF46,ChurnSeasonTable,4,FALSE)),0)+VU22*(AnnualChurn*VLOOKUP(VF46,ChurnSeasonTable,4,FALSE))*POWER(1-(AnnualChurn*VLOOKUP(VF46,ChurnSeasonTable,4,FALSE)),1)+VU10*(AnnualChurn*VLOOKUP(VF46,ChurnSeasonTable,4,FALSE))*POWER(1-(AnnualChurn*VLOOKUP(VF46,ChurnSeasonTable,4,FALSE)),2)</f>
        <v/>
      </c>
      <c r="WB46" s="12">
        <f>WB45+VV46-VV34*(AnnualChurn*VLOOKUP(VF46,ChurnSeasonTable,4,FALSE))*POWER(1-(AnnualChurn*VLOOKUP(VF46,ChurnSeasonTable,4,FALSE)),0)+VV22*(AnnualChurn*VLOOKUP(VF46,ChurnSeasonTable,4,FALSE))*POWER(1-(AnnualChurn*VLOOKUP(VF46,ChurnSeasonTable,4,FALSE)),1)+VV10*(AnnualChurn*VLOOKUP(VF46,ChurnSeasonTable,4,FALSE))*POWER(1-(AnnualChurn*VLOOKUP(VF46,ChurnSeasonTable,4,FALSE)),2)</f>
        <v/>
      </c>
      <c r="WC46" s="12">
        <f>VW46+VX46+VY46+VZ46+WA46+WB46</f>
        <v/>
      </c>
      <c r="WD46" s="9">
        <f>VW46*BlendedPriceEssMonthly*VI46+VX46*BlendedPricePremMonthly*VI46+VY46*BlendedPriceEliteMonthly*VI46+VZ46*BlendedPriceEssAnnual*VI46/12+WA46*BlendedPricePremAnnual*VI46/12+WB46*BlendedPriceEliteAnnual*VI46/12</f>
        <v/>
      </c>
      <c r="WE46" s="9">
        <f>WD46*12</f>
        <v/>
      </c>
      <c r="WF46" s="12">
        <f>VW46*BlendedPriceEssMonthly*VI46+VX46*BlendedPricePremMonthly*VI46+VY46*BlendedPriceEliteMonthly*VI46</f>
        <v/>
      </c>
      <c r="WG46" s="12">
        <f>VT46*BlendedPriceEssAnnual*VI46+VU46*BlendedPricePremAnnual*VI46+VV46*BlendedPriceEliteAnnual*VI46</f>
        <v/>
      </c>
      <c r="WH46" s="12">
        <f>VT34*POWER(1-(AnnualChurn*VLOOKUP(VF46,ChurnSeasonTable,4,FALSE)),1)*BlendedPriceEssAnnual*VI46+VT22*POWER(1-(AnnualChurn*VLOOKUP(VF46,ChurnSeasonTable,4,FALSE)),2)*BlendedPriceEssAnnual*VI46+VT10*POWER(1-(AnnualChurn*VLOOKUP(VF46,ChurnSeasonTable,4,FALSE)),3)*BlendedPriceEssAnnual*VI46+VU34*POWER(1-(AnnualChurn*VLOOKUP(VF46,ChurnSeasonTable,4,FALSE)),1)*BlendedPricePremAnnual*VI46+VU22*POWER(1-(AnnualChurn*VLOOKUP(VF46,ChurnSeasonTable,4,FALSE)),2)*BlendedPricePremAnnual*VI46+VU10*POWER(1-(AnnualChurn*VLOOKUP(VF46,ChurnSeasonTable,4,FALSE)),3)*BlendedPricePremAnnual*VI46+VV34*POWER(1-(AnnualChurn*VLOOKUP(VF46,ChurnSeasonTable,4,FALSE)),1)*BlendedPriceEliteAnnual*VI46+VV22*POWER(1-(AnnualChurn*VLOOKUP(VF46,ChurnSeasonTable,4,FALSE)),2)*BlendedPriceEliteAnnual*VI46+VV10*POWER(1-(AnnualChurn*VLOOKUP(VF46,ChurnSeasonTable,4,FALSE)),3)*BlendedPriceEliteAnnual*VI46</f>
        <v/>
      </c>
      <c r="WI46" s="9">
        <f>WF46+WG46+WH46</f>
        <v/>
      </c>
      <c r="WJ46" s="12">
        <f>SUM(WI35:WI46)</f>
        <v/>
      </c>
      <c r="WK46" s="12">
        <f>OR(WK45,IF(VATAgentMode,SUM($WI35:$WI46)-SUM($WP35:$WP46)&gt;=VATThreshold,SUM($WI35:$WI46)&gt;=VATThreshold))</f>
        <v/>
      </c>
      <c r="WL46" s="9">
        <f>IF(WK46,IF(VATAgentMode,WI46-((WI46-WP46)-(WI46-WP46)/(1+VATRate)),WI46/(1+VATRate)),WI46)</f>
        <v/>
      </c>
      <c r="WM46" s="12">
        <f>WI46-WL46</f>
        <v/>
      </c>
      <c r="WN46" s="12">
        <f>IF(WK46=0,0,IF(VF46=1,SUMPRODUCT(--(($VG$5:$VG46=$VG46-1)*($VF$5:$VF46&gt;=10)*($VF$5:$VF46&lt;=12)),$WM$5:$WM46),IF(VF46=4,SUMPRODUCT(--(($VG$5:$VG46=$VG46)*($VF$5:$VF46&gt;=1)*($VF$5:$VF46&lt;=3)),$WM$5:$WM46),IF(VF46=7,SUMPRODUCT(--(($VG$5:$VG46=$VG46)*($VF$5:$VF46&gt;=4)*($VF$5:$VF46&lt;=6)),$WM$5:$WM46),IF(VF46=10,SUMPRODUCT(--(($VG$5:$VG46=$VG46)*($VF$5:$VF46&gt;=7)*($VF$5:$VF46&lt;=9)),$WM$5:$WM46),0)))))</f>
        <v/>
      </c>
      <c r="WO46" s="12">
        <f>WO45+WM46-WN46</f>
        <v/>
      </c>
      <c r="WP46" s="12">
        <f>IF(ProviderDelay&gt;=1,VW45*BlendedProvPayEss+VX45*BlendedProvPayPrem+VY45*BlendedProvPayElite+VZ45*BlendedProvPayEss+WA45*BlendedProvPayPrem+WB45*BlendedProvPayElite,VW46*BlendedProvPayEss+VX46*BlendedProvPayPrem+VY46*BlendedProvPayElite+VZ46*BlendedProvPayEss+WA46*BlendedProvPayPrem+WB46*BlendedProvPayElite)</f>
        <v/>
      </c>
      <c r="WQ46" s="12">
        <f>WI46*PaymentFee</f>
        <v/>
      </c>
      <c r="WR46" s="12">
        <f>WC46*OpsAI</f>
        <v/>
      </c>
      <c r="WS46" s="12">
        <f>MonthlyFixed</f>
        <v/>
      </c>
      <c r="WT46" s="12">
        <f>VM46*ReferralReward</f>
        <v/>
      </c>
      <c r="WU46" s="12">
        <f>VK46</f>
        <v/>
      </c>
      <c r="WV46" s="9">
        <f>WL46-WP46-WQ46-WR46-WS46-WT46-WU46</f>
        <v/>
      </c>
      <c r="WW46" s="9">
        <f>WW45+WI46-(WP46+WQ46+WR46+WS46+WT46+WU46+WN46)</f>
        <v/>
      </c>
      <c r="WX46" s="12">
        <f>IF(WC46&gt;0,WD46/WC46,0)</f>
        <v/>
      </c>
      <c r="WY46" s="11">
        <f>IF(WC45&gt;0,MAX(0,(WC45+VN46-WC46)/WC45),0)</f>
        <v/>
      </c>
      <c r="XA46" s="12" t="n">
        <v>42</v>
      </c>
      <c r="XB46" s="12">
        <f>MOD(XA46-1+LaunchMonth-1,12)+1</f>
        <v/>
      </c>
      <c r="XC46" s="12">
        <f>INT((XA46-1+LaunchMonth-1)/12)+1</f>
        <v/>
      </c>
      <c r="XD46" s="12">
        <f>VLOOKUP(XB46,SeasonTable,2,FALSE)</f>
        <v/>
      </c>
      <c r="XE46" s="12">
        <f>(1+InflationRate)^INT((XA46-1)/12)</f>
        <v/>
      </c>
      <c r="XF46" s="11">
        <f>MonthlyChurn*VLOOKUP(XB46,ChurnSeasonTable,4,FALSE)</f>
        <v/>
      </c>
      <c r="XG46" s="12">
        <f>MIN(MAX(MktMin19plus,YE45*MktPct19plus),MAX(0,YS45-CashBuffer))</f>
        <v/>
      </c>
      <c r="XH46" s="12">
        <f>IF(XG46&gt;0,MAX(1,ROUND(XG46/CAC*XD46,0)),0)</f>
        <v/>
      </c>
      <c r="XI46" s="12">
        <f>IF(XH46&gt;0,ROUND(XH46*ReferralMix/(1-ReferralMix),0),0)</f>
        <v/>
      </c>
      <c r="XJ46" s="12">
        <f>XH46+XI46</f>
        <v/>
      </c>
      <c r="XK46" s="12">
        <f>ROUND(XJ46*(1-'Sens - Annual Mix'!$A$10),0)</f>
        <v/>
      </c>
      <c r="XL46" s="12">
        <f>XJ46-XK46</f>
        <v/>
      </c>
      <c r="XM46" s="12">
        <f>ROUND(XK46*EssentialMix,0)</f>
        <v/>
      </c>
      <c r="XN46" s="12">
        <f>ROUND(XK46*PremiumMix,0)</f>
        <v/>
      </c>
      <c r="XO46" s="12">
        <f>XK46-XM46-XN46</f>
        <v/>
      </c>
      <c r="XP46" s="12">
        <f>ROUND(XL46*EssentialMix,0)</f>
        <v/>
      </c>
      <c r="XQ46" s="12">
        <f>ROUND(XL46*PremiumMix,0)</f>
        <v/>
      </c>
      <c r="XR46" s="12">
        <f>XL46-XP46-XQ46</f>
        <v/>
      </c>
      <c r="XS46" s="12">
        <f>XM46+XM45+XM44+MAX(0,XS45-XM45-XM44)*(1-XF46)</f>
        <v/>
      </c>
      <c r="XT46" s="12">
        <f>XN46+XN45+XN44+MAX(0,XT45-XN45-XN44)*(1-XF46)</f>
        <v/>
      </c>
      <c r="XU46" s="12">
        <f>XO46+XO45+XO44+MAX(0,XU45-XO45-XO44)*(1-XF46)</f>
        <v/>
      </c>
      <c r="XV46" s="12">
        <f>XV45+XP46-XP34*(AnnualChurn*VLOOKUP(XB46,ChurnSeasonTable,4,FALSE))*POWER(1-(AnnualChurn*VLOOKUP(XB46,ChurnSeasonTable,4,FALSE)),0)+XP22*(AnnualChurn*VLOOKUP(XB46,ChurnSeasonTable,4,FALSE))*POWER(1-(AnnualChurn*VLOOKUP(XB46,ChurnSeasonTable,4,FALSE)),1)+XP10*(AnnualChurn*VLOOKUP(XB46,ChurnSeasonTable,4,FALSE))*POWER(1-(AnnualChurn*VLOOKUP(XB46,ChurnSeasonTable,4,FALSE)),2)</f>
        <v/>
      </c>
      <c r="XW46" s="12">
        <f>XW45+XQ46-XQ34*(AnnualChurn*VLOOKUP(XB46,ChurnSeasonTable,4,FALSE))*POWER(1-(AnnualChurn*VLOOKUP(XB46,ChurnSeasonTable,4,FALSE)),0)+XQ22*(AnnualChurn*VLOOKUP(XB46,ChurnSeasonTable,4,FALSE))*POWER(1-(AnnualChurn*VLOOKUP(XB46,ChurnSeasonTable,4,FALSE)),1)+XQ10*(AnnualChurn*VLOOKUP(XB46,ChurnSeasonTable,4,FALSE))*POWER(1-(AnnualChurn*VLOOKUP(XB46,ChurnSeasonTable,4,FALSE)),2)</f>
        <v/>
      </c>
      <c r="XX46" s="12">
        <f>XX45+XR46-XR34*(AnnualChurn*VLOOKUP(XB46,ChurnSeasonTable,4,FALSE))*POWER(1-(AnnualChurn*VLOOKUP(XB46,ChurnSeasonTable,4,FALSE)),0)+XR22*(AnnualChurn*VLOOKUP(XB46,ChurnSeasonTable,4,FALSE))*POWER(1-(AnnualChurn*VLOOKUP(XB46,ChurnSeasonTable,4,FALSE)),1)+XR10*(AnnualChurn*VLOOKUP(XB46,ChurnSeasonTable,4,FALSE))*POWER(1-(AnnualChurn*VLOOKUP(XB46,ChurnSeasonTable,4,FALSE)),2)</f>
        <v/>
      </c>
      <c r="XY46" s="12">
        <f>XS46+XT46+XU46+XV46+XW46+XX46</f>
        <v/>
      </c>
      <c r="XZ46" s="9">
        <f>XS46*BlendedPriceEssMonthly*XE46+XT46*BlendedPricePremMonthly*XE46+XU46*BlendedPriceEliteMonthly*XE46+XV46*BlendedPriceEssAnnual*XE46/12+XW46*BlendedPricePremAnnual*XE46/12+XX46*BlendedPriceEliteAnnual*XE46/12</f>
        <v/>
      </c>
      <c r="YA46" s="9">
        <f>XZ46*12</f>
        <v/>
      </c>
      <c r="YB46" s="12">
        <f>XS46*BlendedPriceEssMonthly*XE46+XT46*BlendedPricePremMonthly*XE46+XU46*BlendedPriceEliteMonthly*XE46</f>
        <v/>
      </c>
      <c r="YC46" s="12">
        <f>XP46*BlendedPriceEssAnnual*XE46+XQ46*BlendedPricePremAnnual*XE46+XR46*BlendedPriceEliteAnnual*XE46</f>
        <v/>
      </c>
      <c r="YD46" s="12">
        <f>XP34*POWER(1-(AnnualChurn*VLOOKUP(XB46,ChurnSeasonTable,4,FALSE)),1)*BlendedPriceEssAnnual*XE46+XP22*POWER(1-(AnnualChurn*VLOOKUP(XB46,ChurnSeasonTable,4,FALSE)),2)*BlendedPriceEssAnnual*XE46+XP10*POWER(1-(AnnualChurn*VLOOKUP(XB46,ChurnSeasonTable,4,FALSE)),3)*BlendedPriceEssAnnual*XE46+XQ34*POWER(1-(AnnualChurn*VLOOKUP(XB46,ChurnSeasonTable,4,FALSE)),1)*BlendedPricePremAnnual*XE46+XQ22*POWER(1-(AnnualChurn*VLOOKUP(XB46,ChurnSeasonTable,4,FALSE)),2)*BlendedPricePremAnnual*XE46+XQ10*POWER(1-(AnnualChurn*VLOOKUP(XB46,ChurnSeasonTable,4,FALSE)),3)*BlendedPricePremAnnual*XE46+XR34*POWER(1-(AnnualChurn*VLOOKUP(XB46,ChurnSeasonTable,4,FALSE)),1)*BlendedPriceEliteAnnual*XE46+XR22*POWER(1-(AnnualChurn*VLOOKUP(XB46,ChurnSeasonTable,4,FALSE)),2)*BlendedPriceEliteAnnual*XE46+XR10*POWER(1-(AnnualChurn*VLOOKUP(XB46,ChurnSeasonTable,4,FALSE)),3)*BlendedPriceEliteAnnual*XE46</f>
        <v/>
      </c>
      <c r="YE46" s="9">
        <f>YB46+YC46+YD46</f>
        <v/>
      </c>
      <c r="YF46" s="12">
        <f>SUM(YE35:YE46)</f>
        <v/>
      </c>
      <c r="YG46" s="12">
        <f>OR(YG45,IF(VATAgentMode,SUM($YE35:$YE46)-SUM($YL35:$YL46)&gt;=VATThreshold,SUM($YE35:$YE46)&gt;=VATThreshold))</f>
        <v/>
      </c>
      <c r="YH46" s="9">
        <f>IF(YG46,IF(VATAgentMode,YE46-((YE46-YL46)-(YE46-YL46)/(1+VATRate)),YE46/(1+VATRate)),YE46)</f>
        <v/>
      </c>
      <c r="YI46" s="12">
        <f>YE46-YH46</f>
        <v/>
      </c>
      <c r="YJ46" s="12">
        <f>IF(YG46=0,0,IF(XB46=1,SUMPRODUCT(--(($XC$5:$XC46=$XC46-1)*($XB$5:$XB46&gt;=10)*($XB$5:$XB46&lt;=12)),$YI$5:$YI46),IF(XB46=4,SUMPRODUCT(--(($XC$5:$XC46=$XC46)*($XB$5:$XB46&gt;=1)*($XB$5:$XB46&lt;=3)),$YI$5:$YI46),IF(XB46=7,SUMPRODUCT(--(($XC$5:$XC46=$XC46)*($XB$5:$XB46&gt;=4)*($XB$5:$XB46&lt;=6)),$YI$5:$YI46),IF(XB46=10,SUMPRODUCT(--(($XC$5:$XC46=$XC46)*($XB$5:$XB46&gt;=7)*($XB$5:$XB46&lt;=9)),$YI$5:$YI46),0)))))</f>
        <v/>
      </c>
      <c r="YK46" s="12">
        <f>YK45+YI46-YJ46</f>
        <v/>
      </c>
      <c r="YL46" s="12">
        <f>IF(ProviderDelay&gt;=1,XS45*BlendedProvPayEss+XT45*BlendedProvPayPrem+XU45*BlendedProvPayElite+XV45*BlendedProvPayEss+XW45*BlendedProvPayPrem+XX45*BlendedProvPayElite,XS46*BlendedProvPayEss+XT46*BlendedProvPayPrem+XU46*BlendedProvPayElite+XV46*BlendedProvPayEss+XW46*BlendedProvPayPrem+XX46*BlendedProvPayElite)</f>
        <v/>
      </c>
      <c r="YM46" s="12">
        <f>YE46*PaymentFee</f>
        <v/>
      </c>
      <c r="YN46" s="12">
        <f>XY46*OpsAI</f>
        <v/>
      </c>
      <c r="YO46" s="12">
        <f>MonthlyFixed</f>
        <v/>
      </c>
      <c r="YP46" s="12">
        <f>XI46*ReferralReward</f>
        <v/>
      </c>
      <c r="YQ46" s="12">
        <f>XG46</f>
        <v/>
      </c>
      <c r="YR46" s="9">
        <f>YH46-YL46-YM46-YN46-YO46-YP46-YQ46</f>
        <v/>
      </c>
      <c r="YS46" s="9">
        <f>YS45+YE46-(YL46+YM46+YN46+YO46+YP46+YQ46+YJ46)</f>
        <v/>
      </c>
      <c r="YT46" s="12">
        <f>IF(XY46&gt;0,XZ46/XY46,0)</f>
        <v/>
      </c>
      <c r="YU46" s="11">
        <f>IF(XY45&gt;0,MAX(0,(XY45+XJ46-XY46)/XY45),0)</f>
        <v/>
      </c>
      <c r="YW46" s="12" t="n">
        <v>42</v>
      </c>
      <c r="YX46" s="12">
        <f>MOD(YW46-1+LaunchMonth-1,12)+1</f>
        <v/>
      </c>
      <c r="YY46" s="12">
        <f>INT((YW46-1+LaunchMonth-1)/12)+1</f>
        <v/>
      </c>
      <c r="YZ46" s="12">
        <f>VLOOKUP(YX46,SeasonTable,2,FALSE)</f>
        <v/>
      </c>
      <c r="ZA46" s="12">
        <f>(1+InflationRate)^INT((YW46-1)/12)</f>
        <v/>
      </c>
      <c r="ZB46" s="11">
        <f>MonthlyChurn*VLOOKUP(YX46,ChurnSeasonTable,4,FALSE)</f>
        <v/>
      </c>
      <c r="ZC46" s="12">
        <f>MIN(MAX(MktMin19plus,AAA45*MktPct19plus),MAX(0,AAO45-CashBuffer))</f>
        <v/>
      </c>
      <c r="ZD46" s="12">
        <f>IF(ZC46&gt;0,MAX(1,ROUND(ZC46/CAC*YZ46,0)),0)</f>
        <v/>
      </c>
      <c r="ZE46" s="12">
        <f>IF(ZD46&gt;0,ROUND(ZD46*ReferralMix/(1-ReferralMix),0),0)</f>
        <v/>
      </c>
      <c r="ZF46" s="12">
        <f>ZD46+ZE46</f>
        <v/>
      </c>
      <c r="ZG46" s="12">
        <f>ROUND(ZF46*(1-'Sens - Annual Mix'!$A$11),0)</f>
        <v/>
      </c>
      <c r="ZH46" s="12">
        <f>ZF46-ZG46</f>
        <v/>
      </c>
      <c r="ZI46" s="12">
        <f>ROUND(ZG46*EssentialMix,0)</f>
        <v/>
      </c>
      <c r="ZJ46" s="12">
        <f>ROUND(ZG46*PremiumMix,0)</f>
        <v/>
      </c>
      <c r="ZK46" s="12">
        <f>ZG46-ZI46-ZJ46</f>
        <v/>
      </c>
      <c r="ZL46" s="12">
        <f>ROUND(ZH46*EssentialMix,0)</f>
        <v/>
      </c>
      <c r="ZM46" s="12">
        <f>ROUND(ZH46*PremiumMix,0)</f>
        <v/>
      </c>
      <c r="ZN46" s="12">
        <f>ZH46-ZL46-ZM46</f>
        <v/>
      </c>
      <c r="ZO46" s="12">
        <f>ZI46+ZI45+ZI44+MAX(0,ZO45-ZI45-ZI44)*(1-ZB46)</f>
        <v/>
      </c>
      <c r="ZP46" s="12">
        <f>ZJ46+ZJ45+ZJ44+MAX(0,ZP45-ZJ45-ZJ44)*(1-ZB46)</f>
        <v/>
      </c>
      <c r="ZQ46" s="12">
        <f>ZK46+ZK45+ZK44+MAX(0,ZQ45-ZK45-ZK44)*(1-ZB46)</f>
        <v/>
      </c>
      <c r="ZR46" s="12">
        <f>ZR45+ZL46-ZL34*(AnnualChurn*VLOOKUP(YX46,ChurnSeasonTable,4,FALSE))*POWER(1-(AnnualChurn*VLOOKUP(YX46,ChurnSeasonTable,4,FALSE)),0)+ZL22*(AnnualChurn*VLOOKUP(YX46,ChurnSeasonTable,4,FALSE))*POWER(1-(AnnualChurn*VLOOKUP(YX46,ChurnSeasonTable,4,FALSE)),1)+ZL10*(AnnualChurn*VLOOKUP(YX46,ChurnSeasonTable,4,FALSE))*POWER(1-(AnnualChurn*VLOOKUP(YX46,ChurnSeasonTable,4,FALSE)),2)</f>
        <v/>
      </c>
      <c r="ZS46" s="12">
        <f>ZS45+ZM46-ZM34*(AnnualChurn*VLOOKUP(YX46,ChurnSeasonTable,4,FALSE))*POWER(1-(AnnualChurn*VLOOKUP(YX46,ChurnSeasonTable,4,FALSE)),0)+ZM22*(AnnualChurn*VLOOKUP(YX46,ChurnSeasonTable,4,FALSE))*POWER(1-(AnnualChurn*VLOOKUP(YX46,ChurnSeasonTable,4,FALSE)),1)+ZM10*(AnnualChurn*VLOOKUP(YX46,ChurnSeasonTable,4,FALSE))*POWER(1-(AnnualChurn*VLOOKUP(YX46,ChurnSeasonTable,4,FALSE)),2)</f>
        <v/>
      </c>
      <c r="ZT46" s="12">
        <f>ZT45+ZN46-ZN34*(AnnualChurn*VLOOKUP(YX46,ChurnSeasonTable,4,FALSE))*POWER(1-(AnnualChurn*VLOOKUP(YX46,ChurnSeasonTable,4,FALSE)),0)+ZN22*(AnnualChurn*VLOOKUP(YX46,ChurnSeasonTable,4,FALSE))*POWER(1-(AnnualChurn*VLOOKUP(YX46,ChurnSeasonTable,4,FALSE)),1)+ZN10*(AnnualChurn*VLOOKUP(YX46,ChurnSeasonTable,4,FALSE))*POWER(1-(AnnualChurn*VLOOKUP(YX46,ChurnSeasonTable,4,FALSE)),2)</f>
        <v/>
      </c>
      <c r="ZU46" s="12">
        <f>ZO46+ZP46+ZQ46+ZR46+ZS46+ZT46</f>
        <v/>
      </c>
      <c r="ZV46" s="9">
        <f>ZO46*BlendedPriceEssMonthly*ZA46+ZP46*BlendedPricePremMonthly*ZA46+ZQ46*BlendedPriceEliteMonthly*ZA46+ZR46*BlendedPriceEssAnnual*ZA46/12+ZS46*BlendedPricePremAnnual*ZA46/12+ZT46*BlendedPriceEliteAnnual*ZA46/12</f>
        <v/>
      </c>
      <c r="ZW46" s="9">
        <f>ZV46*12</f>
        <v/>
      </c>
      <c r="ZX46" s="12">
        <f>ZO46*BlendedPriceEssMonthly*ZA46+ZP46*BlendedPricePremMonthly*ZA46+ZQ46*BlendedPriceEliteMonthly*ZA46</f>
        <v/>
      </c>
      <c r="ZY46" s="12">
        <f>ZL46*BlendedPriceEssAnnual*ZA46+ZM46*BlendedPricePremAnnual*ZA46+ZN46*BlendedPriceEliteAnnual*ZA46</f>
        <v/>
      </c>
      <c r="ZZ46" s="12">
        <f>ZL34*POWER(1-(AnnualChurn*VLOOKUP(YX46,ChurnSeasonTable,4,FALSE)),1)*BlendedPriceEssAnnual*ZA46+ZL22*POWER(1-(AnnualChurn*VLOOKUP(YX46,ChurnSeasonTable,4,FALSE)),2)*BlendedPriceEssAnnual*ZA46+ZL10*POWER(1-(AnnualChurn*VLOOKUP(YX46,ChurnSeasonTable,4,FALSE)),3)*BlendedPriceEssAnnual*ZA46+ZM34*POWER(1-(AnnualChurn*VLOOKUP(YX46,ChurnSeasonTable,4,FALSE)),1)*BlendedPricePremAnnual*ZA46+ZM22*POWER(1-(AnnualChurn*VLOOKUP(YX46,ChurnSeasonTable,4,FALSE)),2)*BlendedPricePremAnnual*ZA46+ZM10*POWER(1-(AnnualChurn*VLOOKUP(YX46,ChurnSeasonTable,4,FALSE)),3)*BlendedPricePremAnnual*ZA46+ZN34*POWER(1-(AnnualChurn*VLOOKUP(YX46,ChurnSeasonTable,4,FALSE)),1)*BlendedPriceEliteAnnual*ZA46+ZN22*POWER(1-(AnnualChurn*VLOOKUP(YX46,ChurnSeasonTable,4,FALSE)),2)*BlendedPriceEliteAnnual*ZA46+ZN10*POWER(1-(AnnualChurn*VLOOKUP(YX46,ChurnSeasonTable,4,FALSE)),3)*BlendedPriceEliteAnnual*ZA46</f>
        <v/>
      </c>
      <c r="AAA46" s="9">
        <f>ZX46+ZY46+ZZ46</f>
        <v/>
      </c>
      <c r="AAB46" s="12">
        <f>SUM(AAA35:AAA46)</f>
        <v/>
      </c>
      <c r="AAC46" s="12">
        <f>OR(AAC45,IF(VATAgentMode,SUM($AAA35:$AAA46)-SUM($AAH35:$AAH46)&gt;=VATThreshold,SUM($AAA35:$AAA46)&gt;=VATThreshold))</f>
        <v/>
      </c>
      <c r="AAD46" s="9">
        <f>IF(AAC46,IF(VATAgentMode,AAA46-((AAA46-AAH46)-(AAA46-AAH46)/(1+VATRate)),AAA46/(1+VATRate)),AAA46)</f>
        <v/>
      </c>
      <c r="AAE46" s="12">
        <f>AAA46-AAD46</f>
        <v/>
      </c>
      <c r="AAF46" s="12">
        <f>IF(AAC46=0,0,IF(YX46=1,SUMPRODUCT(--(($YY$5:$YY46=$YY46-1)*($YX$5:$YX46&gt;=10)*($YX$5:$YX46&lt;=12)),$AAE$5:$AAE46),IF(YX46=4,SUMPRODUCT(--(($YY$5:$YY46=$YY46)*($YX$5:$YX46&gt;=1)*($YX$5:$YX46&lt;=3)),$AAE$5:$AAE46),IF(YX46=7,SUMPRODUCT(--(($YY$5:$YY46=$YY46)*($YX$5:$YX46&gt;=4)*($YX$5:$YX46&lt;=6)),$AAE$5:$AAE46),IF(YX46=10,SUMPRODUCT(--(($YY$5:$YY46=$YY46)*($YX$5:$YX46&gt;=7)*($YX$5:$YX46&lt;=9)),$AAE$5:$AAE46),0)))))</f>
        <v/>
      </c>
      <c r="AAG46" s="12">
        <f>AAG45+AAE46-AAF46</f>
        <v/>
      </c>
      <c r="AAH46" s="12">
        <f>IF(ProviderDelay&gt;=1,ZO45*BlendedProvPayEss+ZP45*BlendedProvPayPrem+ZQ45*BlendedProvPayElite+ZR45*BlendedProvPayEss+ZS45*BlendedProvPayPrem+ZT45*BlendedProvPayElite,ZO46*BlendedProvPayEss+ZP46*BlendedProvPayPrem+ZQ46*BlendedProvPayElite+ZR46*BlendedProvPayEss+ZS46*BlendedProvPayPrem+ZT46*BlendedProvPayElite)</f>
        <v/>
      </c>
      <c r="AAI46" s="12">
        <f>AAA46*PaymentFee</f>
        <v/>
      </c>
      <c r="AAJ46" s="12">
        <f>ZU46*OpsAI</f>
        <v/>
      </c>
      <c r="AAK46" s="12">
        <f>MonthlyFixed</f>
        <v/>
      </c>
      <c r="AAL46" s="12">
        <f>ZE46*ReferralReward</f>
        <v/>
      </c>
      <c r="AAM46" s="12">
        <f>ZC46</f>
        <v/>
      </c>
      <c r="AAN46" s="9">
        <f>AAD46-AAH46-AAI46-AAJ46-AAK46-AAL46-AAM46</f>
        <v/>
      </c>
      <c r="AAO46" s="9">
        <f>AAO45+AAA46-(AAH46+AAI46+AAJ46+AAK46+AAL46+AAM46+AAF46)</f>
        <v/>
      </c>
      <c r="AAP46" s="12">
        <f>IF(ZU46&gt;0,ZV46/ZU46,0)</f>
        <v/>
      </c>
      <c r="AAQ46" s="11">
        <f>IF(ZU45&gt;0,MAX(0,(ZU45+ZF46-ZU46)/ZU45),0)</f>
        <v/>
      </c>
      <c r="AAS46" s="12" t="n">
        <v>42</v>
      </c>
      <c r="AAT46" s="12">
        <f>MOD(AAS46-1+LaunchMonth-1,12)+1</f>
        <v/>
      </c>
      <c r="AAU46" s="12">
        <f>INT((AAS46-1+LaunchMonth-1)/12)+1</f>
        <v/>
      </c>
      <c r="AAV46" s="12">
        <f>VLOOKUP(AAT46,SeasonTable,2,FALSE)</f>
        <v/>
      </c>
      <c r="AAW46" s="12">
        <f>(1+InflationRate)^INT((AAS46-1)/12)</f>
        <v/>
      </c>
      <c r="AAX46" s="11">
        <f>MonthlyChurn*VLOOKUP(AAT46,ChurnSeasonTable,4,FALSE)</f>
        <v/>
      </c>
      <c r="AAY46" s="12">
        <f>MIN(MAX(MktMin19plus,ABW45*MktPct19plus),MAX(0,ACK45-CashBuffer))</f>
        <v/>
      </c>
      <c r="AAZ46" s="12">
        <f>IF(AAY46&gt;0,MAX(1,ROUND(AAY46/CAC*AAV46,0)),0)</f>
        <v/>
      </c>
      <c r="ABA46" s="12">
        <f>IF(AAZ46&gt;0,ROUND(AAZ46*ReferralMix/(1-ReferralMix),0),0)</f>
        <v/>
      </c>
      <c r="ABB46" s="12">
        <f>AAZ46+ABA46</f>
        <v/>
      </c>
      <c r="ABC46" s="12">
        <f>ROUND(ABB46*(1-'Sens - Annual Mix'!$A$12),0)</f>
        <v/>
      </c>
      <c r="ABD46" s="12">
        <f>ABB46-ABC46</f>
        <v/>
      </c>
      <c r="ABE46" s="12">
        <f>ROUND(ABC46*EssentialMix,0)</f>
        <v/>
      </c>
      <c r="ABF46" s="12">
        <f>ROUND(ABC46*PremiumMix,0)</f>
        <v/>
      </c>
      <c r="ABG46" s="12">
        <f>ABC46-ABE46-ABF46</f>
        <v/>
      </c>
      <c r="ABH46" s="12">
        <f>ROUND(ABD46*EssentialMix,0)</f>
        <v/>
      </c>
      <c r="ABI46" s="12">
        <f>ROUND(ABD46*PremiumMix,0)</f>
        <v/>
      </c>
      <c r="ABJ46" s="12">
        <f>ABD46-ABH46-ABI46</f>
        <v/>
      </c>
      <c r="ABK46" s="12">
        <f>ABE46+ABE45+ABE44+MAX(0,ABK45-ABE45-ABE44)*(1-AAX46)</f>
        <v/>
      </c>
      <c r="ABL46" s="12">
        <f>ABF46+ABF45+ABF44+MAX(0,ABL45-ABF45-ABF44)*(1-AAX46)</f>
        <v/>
      </c>
      <c r="ABM46" s="12">
        <f>ABG46+ABG45+ABG44+MAX(0,ABM45-ABG45-ABG44)*(1-AAX46)</f>
        <v/>
      </c>
      <c r="ABN46" s="12">
        <f>ABN45+ABH46-ABH34*(AnnualChurn*VLOOKUP(AAT46,ChurnSeasonTable,4,FALSE))*POWER(1-(AnnualChurn*VLOOKUP(AAT46,ChurnSeasonTable,4,FALSE)),0)+ABH22*(AnnualChurn*VLOOKUP(AAT46,ChurnSeasonTable,4,FALSE))*POWER(1-(AnnualChurn*VLOOKUP(AAT46,ChurnSeasonTable,4,FALSE)),1)+ABH10*(AnnualChurn*VLOOKUP(AAT46,ChurnSeasonTable,4,FALSE))*POWER(1-(AnnualChurn*VLOOKUP(AAT46,ChurnSeasonTable,4,FALSE)),2)</f>
        <v/>
      </c>
      <c r="ABO46" s="12">
        <f>ABO45+ABI46-ABI34*(AnnualChurn*VLOOKUP(AAT46,ChurnSeasonTable,4,FALSE))*POWER(1-(AnnualChurn*VLOOKUP(AAT46,ChurnSeasonTable,4,FALSE)),0)+ABI22*(AnnualChurn*VLOOKUP(AAT46,ChurnSeasonTable,4,FALSE))*POWER(1-(AnnualChurn*VLOOKUP(AAT46,ChurnSeasonTable,4,FALSE)),1)+ABI10*(AnnualChurn*VLOOKUP(AAT46,ChurnSeasonTable,4,FALSE))*POWER(1-(AnnualChurn*VLOOKUP(AAT46,ChurnSeasonTable,4,FALSE)),2)</f>
        <v/>
      </c>
      <c r="ABP46" s="12">
        <f>ABP45+ABJ46-ABJ34*(AnnualChurn*VLOOKUP(AAT46,ChurnSeasonTable,4,FALSE))*POWER(1-(AnnualChurn*VLOOKUP(AAT46,ChurnSeasonTable,4,FALSE)),0)+ABJ22*(AnnualChurn*VLOOKUP(AAT46,ChurnSeasonTable,4,FALSE))*POWER(1-(AnnualChurn*VLOOKUP(AAT46,ChurnSeasonTable,4,FALSE)),1)+ABJ10*(AnnualChurn*VLOOKUP(AAT46,ChurnSeasonTable,4,FALSE))*POWER(1-(AnnualChurn*VLOOKUP(AAT46,ChurnSeasonTable,4,FALSE)),2)</f>
        <v/>
      </c>
      <c r="ABQ46" s="12">
        <f>ABK46+ABL46+ABM46+ABN46+ABO46+ABP46</f>
        <v/>
      </c>
      <c r="ABR46" s="9">
        <f>ABK46*BlendedPriceEssMonthly*AAW46+ABL46*BlendedPricePremMonthly*AAW46+ABM46*BlendedPriceEliteMonthly*AAW46+ABN46*BlendedPriceEssAnnual*AAW46/12+ABO46*BlendedPricePremAnnual*AAW46/12+ABP46*BlendedPriceEliteAnnual*AAW46/12</f>
        <v/>
      </c>
      <c r="ABS46" s="9">
        <f>ABR46*12</f>
        <v/>
      </c>
      <c r="ABT46" s="12">
        <f>ABK46*BlendedPriceEssMonthly*AAW46+ABL46*BlendedPricePremMonthly*AAW46+ABM46*BlendedPriceEliteMonthly*AAW46</f>
        <v/>
      </c>
      <c r="ABU46" s="12">
        <f>ABH46*BlendedPriceEssAnnual*AAW46+ABI46*BlendedPricePremAnnual*AAW46+ABJ46*BlendedPriceEliteAnnual*AAW46</f>
        <v/>
      </c>
      <c r="ABV46" s="12">
        <f>ABH34*POWER(1-(AnnualChurn*VLOOKUP(AAT46,ChurnSeasonTable,4,FALSE)),1)*BlendedPriceEssAnnual*AAW46+ABH22*POWER(1-(AnnualChurn*VLOOKUP(AAT46,ChurnSeasonTable,4,FALSE)),2)*BlendedPriceEssAnnual*AAW46+ABH10*POWER(1-(AnnualChurn*VLOOKUP(AAT46,ChurnSeasonTable,4,FALSE)),3)*BlendedPriceEssAnnual*AAW46+ABI34*POWER(1-(AnnualChurn*VLOOKUP(AAT46,ChurnSeasonTable,4,FALSE)),1)*BlendedPricePremAnnual*AAW46+ABI22*POWER(1-(AnnualChurn*VLOOKUP(AAT46,ChurnSeasonTable,4,FALSE)),2)*BlendedPricePremAnnual*AAW46+ABI10*POWER(1-(AnnualChurn*VLOOKUP(AAT46,ChurnSeasonTable,4,FALSE)),3)*BlendedPricePremAnnual*AAW46+ABJ34*POWER(1-(AnnualChurn*VLOOKUP(AAT46,ChurnSeasonTable,4,FALSE)),1)*BlendedPriceEliteAnnual*AAW46+ABJ22*POWER(1-(AnnualChurn*VLOOKUP(AAT46,ChurnSeasonTable,4,FALSE)),2)*BlendedPriceEliteAnnual*AAW46+ABJ10*POWER(1-(AnnualChurn*VLOOKUP(AAT46,ChurnSeasonTable,4,FALSE)),3)*BlendedPriceEliteAnnual*AAW46</f>
        <v/>
      </c>
      <c r="ABW46" s="9">
        <f>ABT46+ABU46+ABV46</f>
        <v/>
      </c>
      <c r="ABX46" s="12">
        <f>SUM(ABW35:ABW46)</f>
        <v/>
      </c>
      <c r="ABY46" s="12">
        <f>OR(ABY45,IF(VATAgentMode,SUM($ABW35:$ABW46)-SUM($ACD35:$ACD46)&gt;=VATThreshold,SUM($ABW35:$ABW46)&gt;=VATThreshold))</f>
        <v/>
      </c>
      <c r="ABZ46" s="9">
        <f>IF(ABY46,IF(VATAgentMode,ABW46-((ABW46-ACD46)-(ABW46-ACD46)/(1+VATRate)),ABW46/(1+VATRate)),ABW46)</f>
        <v/>
      </c>
      <c r="ACA46" s="12">
        <f>ABW46-ABZ46</f>
        <v/>
      </c>
      <c r="ACB46" s="12">
        <f>IF(ABY46=0,0,IF(AAT46=1,SUMPRODUCT(--(($AAU$5:$AAU46=$AAU46-1)*($AAT$5:$AAT46&gt;=10)*($AAT$5:$AAT46&lt;=12)),$ACA$5:$ACA46),IF(AAT46=4,SUMPRODUCT(--(($AAU$5:$AAU46=$AAU46)*($AAT$5:$AAT46&gt;=1)*($AAT$5:$AAT46&lt;=3)),$ACA$5:$ACA46),IF(AAT46=7,SUMPRODUCT(--(($AAU$5:$AAU46=$AAU46)*($AAT$5:$AAT46&gt;=4)*($AAT$5:$AAT46&lt;=6)),$ACA$5:$ACA46),IF(AAT46=10,SUMPRODUCT(--(($AAU$5:$AAU46=$AAU46)*($AAT$5:$AAT46&gt;=7)*($AAT$5:$AAT46&lt;=9)),$ACA$5:$ACA46),0)))))</f>
        <v/>
      </c>
      <c r="ACC46" s="12">
        <f>ACC45+ACA46-ACB46</f>
        <v/>
      </c>
      <c r="ACD46" s="12">
        <f>IF(ProviderDelay&gt;=1,ABK45*BlendedProvPayEss+ABL45*BlendedProvPayPrem+ABM45*BlendedProvPayElite+ABN45*BlendedProvPayEss+ABO45*BlendedProvPayPrem+ABP45*BlendedProvPayElite,ABK46*BlendedProvPayEss+ABL46*BlendedProvPayPrem+ABM46*BlendedProvPayElite+ABN46*BlendedProvPayEss+ABO46*BlendedProvPayPrem+ABP46*BlendedProvPayElite)</f>
        <v/>
      </c>
      <c r="ACE46" s="12">
        <f>ABW46*PaymentFee</f>
        <v/>
      </c>
      <c r="ACF46" s="12">
        <f>ABQ46*OpsAI</f>
        <v/>
      </c>
      <c r="ACG46" s="12">
        <f>MonthlyFixed</f>
        <v/>
      </c>
      <c r="ACH46" s="12">
        <f>ABA46*ReferralReward</f>
        <v/>
      </c>
      <c r="ACI46" s="12">
        <f>AAY46</f>
        <v/>
      </c>
      <c r="ACJ46" s="9">
        <f>ABZ46-ACD46-ACE46-ACF46-ACG46-ACH46-ACI46</f>
        <v/>
      </c>
      <c r="ACK46" s="9">
        <f>ACK45+ABW46-(ACD46+ACE46+ACF46+ACG46+ACH46+ACI46+ACB46)</f>
        <v/>
      </c>
      <c r="ACL46" s="12">
        <f>IF(ABQ46&gt;0,ABR46/ABQ46,0)</f>
        <v/>
      </c>
      <c r="ACM46" s="11">
        <f>IF(ABQ45&gt;0,MAX(0,(ABQ45+ABB46-ABQ46)/ABQ45),0)</f>
        <v/>
      </c>
      <c r="ACO46" s="12" t="n">
        <v>42</v>
      </c>
      <c r="ACP46" s="12">
        <f>MOD(ACO46-1+LaunchMonth-1,12)+1</f>
        <v/>
      </c>
      <c r="ACQ46" s="12">
        <f>INT((ACO46-1+LaunchMonth-1)/12)+1</f>
        <v/>
      </c>
      <c r="ACR46" s="12">
        <f>VLOOKUP(ACP46,SeasonTable,2,FALSE)</f>
        <v/>
      </c>
      <c r="ACS46" s="12">
        <f>(1+InflationRate)^INT((ACO46-1)/12)</f>
        <v/>
      </c>
      <c r="ACT46" s="11">
        <f>MonthlyChurn*VLOOKUP(ACP46,ChurnSeasonTable,4,FALSE)</f>
        <v/>
      </c>
      <c r="ACU46" s="12">
        <f>MIN(MAX(MktMin19plus,ADS45*MktPct19plus),MAX(0,AEG45-CashBuffer))</f>
        <v/>
      </c>
      <c r="ACV46" s="12">
        <f>IF(ACU46&gt;0,MAX(1,ROUND(ACU46/CAC*ACR46,0)),0)</f>
        <v/>
      </c>
      <c r="ACW46" s="12">
        <f>IF(ACV46&gt;0,ROUND(ACV46*ReferralMix/(1-ReferralMix),0),0)</f>
        <v/>
      </c>
      <c r="ACX46" s="12">
        <f>ACV46+ACW46</f>
        <v/>
      </c>
      <c r="ACY46" s="12">
        <f>ROUND(ACX46*(1-'Sens - Annual Mix'!$A$13),0)</f>
        <v/>
      </c>
      <c r="ACZ46" s="12">
        <f>ACX46-ACY46</f>
        <v/>
      </c>
      <c r="ADA46" s="12">
        <f>ROUND(ACY46*EssentialMix,0)</f>
        <v/>
      </c>
      <c r="ADB46" s="12">
        <f>ROUND(ACY46*PremiumMix,0)</f>
        <v/>
      </c>
      <c r="ADC46" s="12">
        <f>ACY46-ADA46-ADB46</f>
        <v/>
      </c>
      <c r="ADD46" s="12">
        <f>ROUND(ACZ46*EssentialMix,0)</f>
        <v/>
      </c>
      <c r="ADE46" s="12">
        <f>ROUND(ACZ46*PremiumMix,0)</f>
        <v/>
      </c>
      <c r="ADF46" s="12">
        <f>ACZ46-ADD46-ADE46</f>
        <v/>
      </c>
      <c r="ADG46" s="12">
        <f>ADA46+ADA45+ADA44+MAX(0,ADG45-ADA45-ADA44)*(1-ACT46)</f>
        <v/>
      </c>
      <c r="ADH46" s="12">
        <f>ADB46+ADB45+ADB44+MAX(0,ADH45-ADB45-ADB44)*(1-ACT46)</f>
        <v/>
      </c>
      <c r="ADI46" s="12">
        <f>ADC46+ADC45+ADC44+MAX(0,ADI45-ADC45-ADC44)*(1-ACT46)</f>
        <v/>
      </c>
      <c r="ADJ46" s="12">
        <f>ADJ45+ADD46-ADD34*(AnnualChurn*VLOOKUP(ACP46,ChurnSeasonTable,4,FALSE))*POWER(1-(AnnualChurn*VLOOKUP(ACP46,ChurnSeasonTable,4,FALSE)),0)+ADD22*(AnnualChurn*VLOOKUP(ACP46,ChurnSeasonTable,4,FALSE))*POWER(1-(AnnualChurn*VLOOKUP(ACP46,ChurnSeasonTable,4,FALSE)),1)+ADD10*(AnnualChurn*VLOOKUP(ACP46,ChurnSeasonTable,4,FALSE))*POWER(1-(AnnualChurn*VLOOKUP(ACP46,ChurnSeasonTable,4,FALSE)),2)</f>
        <v/>
      </c>
      <c r="ADK46" s="12">
        <f>ADK45+ADE46-ADE34*(AnnualChurn*VLOOKUP(ACP46,ChurnSeasonTable,4,FALSE))*POWER(1-(AnnualChurn*VLOOKUP(ACP46,ChurnSeasonTable,4,FALSE)),0)+ADE22*(AnnualChurn*VLOOKUP(ACP46,ChurnSeasonTable,4,FALSE))*POWER(1-(AnnualChurn*VLOOKUP(ACP46,ChurnSeasonTable,4,FALSE)),1)+ADE10*(AnnualChurn*VLOOKUP(ACP46,ChurnSeasonTable,4,FALSE))*POWER(1-(AnnualChurn*VLOOKUP(ACP46,ChurnSeasonTable,4,FALSE)),2)</f>
        <v/>
      </c>
      <c r="ADL46" s="12">
        <f>ADL45+ADF46-ADF34*(AnnualChurn*VLOOKUP(ACP46,ChurnSeasonTable,4,FALSE))*POWER(1-(AnnualChurn*VLOOKUP(ACP46,ChurnSeasonTable,4,FALSE)),0)+ADF22*(AnnualChurn*VLOOKUP(ACP46,ChurnSeasonTable,4,FALSE))*POWER(1-(AnnualChurn*VLOOKUP(ACP46,ChurnSeasonTable,4,FALSE)),1)+ADF10*(AnnualChurn*VLOOKUP(ACP46,ChurnSeasonTable,4,FALSE))*POWER(1-(AnnualChurn*VLOOKUP(ACP46,ChurnSeasonTable,4,FALSE)),2)</f>
        <v/>
      </c>
      <c r="ADM46" s="12">
        <f>ADG46+ADH46+ADI46+ADJ46+ADK46+ADL46</f>
        <v/>
      </c>
      <c r="ADN46" s="9">
        <f>ADG46*BlendedPriceEssMonthly*ACS46+ADH46*BlendedPricePremMonthly*ACS46+ADI46*BlendedPriceEliteMonthly*ACS46+ADJ46*BlendedPriceEssAnnual*ACS46/12+ADK46*BlendedPricePremAnnual*ACS46/12+ADL46*BlendedPriceEliteAnnual*ACS46/12</f>
        <v/>
      </c>
      <c r="ADO46" s="9">
        <f>ADN46*12</f>
        <v/>
      </c>
      <c r="ADP46" s="12">
        <f>ADG46*BlendedPriceEssMonthly*ACS46+ADH46*BlendedPricePremMonthly*ACS46+ADI46*BlendedPriceEliteMonthly*ACS46</f>
        <v/>
      </c>
      <c r="ADQ46" s="12">
        <f>ADD46*BlendedPriceEssAnnual*ACS46+ADE46*BlendedPricePremAnnual*ACS46+ADF46*BlendedPriceEliteAnnual*ACS46</f>
        <v/>
      </c>
      <c r="ADR46" s="12">
        <f>ADD34*POWER(1-(AnnualChurn*VLOOKUP(ACP46,ChurnSeasonTable,4,FALSE)),1)*BlendedPriceEssAnnual*ACS46+ADD22*POWER(1-(AnnualChurn*VLOOKUP(ACP46,ChurnSeasonTable,4,FALSE)),2)*BlendedPriceEssAnnual*ACS46+ADD10*POWER(1-(AnnualChurn*VLOOKUP(ACP46,ChurnSeasonTable,4,FALSE)),3)*BlendedPriceEssAnnual*ACS46+ADE34*POWER(1-(AnnualChurn*VLOOKUP(ACP46,ChurnSeasonTable,4,FALSE)),1)*BlendedPricePremAnnual*ACS46+ADE22*POWER(1-(AnnualChurn*VLOOKUP(ACP46,ChurnSeasonTable,4,FALSE)),2)*BlendedPricePremAnnual*ACS46+ADE10*POWER(1-(AnnualChurn*VLOOKUP(ACP46,ChurnSeasonTable,4,FALSE)),3)*BlendedPricePremAnnual*ACS46+ADF34*POWER(1-(AnnualChurn*VLOOKUP(ACP46,ChurnSeasonTable,4,FALSE)),1)*BlendedPriceEliteAnnual*ACS46+ADF22*POWER(1-(AnnualChurn*VLOOKUP(ACP46,ChurnSeasonTable,4,FALSE)),2)*BlendedPriceEliteAnnual*ACS46+ADF10*POWER(1-(AnnualChurn*VLOOKUP(ACP46,ChurnSeasonTable,4,FALSE)),3)*BlendedPriceEliteAnnual*ACS46</f>
        <v/>
      </c>
      <c r="ADS46" s="9">
        <f>ADP46+ADQ46+ADR46</f>
        <v/>
      </c>
      <c r="ADT46" s="12">
        <f>SUM(ADS35:ADS46)</f>
        <v/>
      </c>
      <c r="ADU46" s="12">
        <f>OR(ADU45,IF(VATAgentMode,SUM($ADS35:$ADS46)-SUM($ADZ35:$ADZ46)&gt;=VATThreshold,SUM($ADS35:$ADS46)&gt;=VATThreshold))</f>
        <v/>
      </c>
      <c r="ADV46" s="9">
        <f>IF(ADU46,IF(VATAgentMode,ADS46-((ADS46-ADZ46)-(ADS46-ADZ46)/(1+VATRate)),ADS46/(1+VATRate)),ADS46)</f>
        <v/>
      </c>
      <c r="ADW46" s="12">
        <f>ADS46-ADV46</f>
        <v/>
      </c>
      <c r="ADX46" s="12">
        <f>IF(ADU46=0,0,IF(ACP46=1,SUMPRODUCT(--(($ACQ$5:$ACQ46=$ACQ46-1)*($ACP$5:$ACP46&gt;=10)*($ACP$5:$ACP46&lt;=12)),$ADW$5:$ADW46),IF(ACP46=4,SUMPRODUCT(--(($ACQ$5:$ACQ46=$ACQ46)*($ACP$5:$ACP46&gt;=1)*($ACP$5:$ACP46&lt;=3)),$ADW$5:$ADW46),IF(ACP46=7,SUMPRODUCT(--(($ACQ$5:$ACQ46=$ACQ46)*($ACP$5:$ACP46&gt;=4)*($ACP$5:$ACP46&lt;=6)),$ADW$5:$ADW46),IF(ACP46=10,SUMPRODUCT(--(($ACQ$5:$ACQ46=$ACQ46)*($ACP$5:$ACP46&gt;=7)*($ACP$5:$ACP46&lt;=9)),$ADW$5:$ADW46),0)))))</f>
        <v/>
      </c>
      <c r="ADY46" s="12">
        <f>ADY45+ADW46-ADX46</f>
        <v/>
      </c>
      <c r="ADZ46" s="12">
        <f>IF(ProviderDelay&gt;=1,ADG45*BlendedProvPayEss+ADH45*BlendedProvPayPrem+ADI45*BlendedProvPayElite+ADJ45*BlendedProvPayEss+ADK45*BlendedProvPayPrem+ADL45*BlendedProvPayElite,ADG46*BlendedProvPayEss+ADH46*BlendedProvPayPrem+ADI46*BlendedProvPayElite+ADJ46*BlendedProvPayEss+ADK46*BlendedProvPayPrem+ADL46*BlendedProvPayElite)</f>
        <v/>
      </c>
      <c r="AEA46" s="12">
        <f>ADS46*PaymentFee</f>
        <v/>
      </c>
      <c r="AEB46" s="12">
        <f>ADM46*OpsAI</f>
        <v/>
      </c>
      <c r="AEC46" s="12">
        <f>MonthlyFixed</f>
        <v/>
      </c>
      <c r="AED46" s="12">
        <f>ACW46*ReferralReward</f>
        <v/>
      </c>
      <c r="AEE46" s="12">
        <f>ACU46</f>
        <v/>
      </c>
      <c r="AEF46" s="9">
        <f>ADV46-ADZ46-AEA46-AEB46-AEC46-AED46-AEE46</f>
        <v/>
      </c>
      <c r="AEG46" s="9">
        <f>AEG45+ADS46-(ADZ46+AEA46+AEB46+AEC46+AED46+AEE46+ADX46)</f>
        <v/>
      </c>
      <c r="AEH46" s="12">
        <f>IF(ADM46&gt;0,ADN46/ADM46,0)</f>
        <v/>
      </c>
      <c r="AEI46" s="11">
        <f>IF(ADM45&gt;0,MAX(0,(ADM45+ACX46-ADM46)/ADM45),0)</f>
        <v/>
      </c>
      <c r="AEK46" s="12" t="n">
        <v>42</v>
      </c>
      <c r="AEL46" s="12">
        <f>MOD(AEK46-1+LaunchMonth-1,12)+1</f>
        <v/>
      </c>
      <c r="AEM46" s="12">
        <f>INT((AEK46-1+LaunchMonth-1)/12)+1</f>
        <v/>
      </c>
      <c r="AEN46" s="12">
        <f>VLOOKUP(AEL46,SeasonTable,2,FALSE)</f>
        <v/>
      </c>
      <c r="AEO46" s="12">
        <f>(1+InflationRate)^INT((AEK46-1)/12)</f>
        <v/>
      </c>
      <c r="AEP46" s="11">
        <f>MonthlyChurn*VLOOKUP(AEL46,ChurnSeasonTable,4,FALSE)</f>
        <v/>
      </c>
      <c r="AEQ46" s="12">
        <f>MIN(MAX(MktMin19plus,AFO45*MktPct19plus),MAX(0,AGC45-CashBuffer))</f>
        <v/>
      </c>
      <c r="AER46" s="12">
        <f>IF(AEQ46&gt;0,MAX(1,ROUND(AEQ46/CAC*AEN46,0)),0)</f>
        <v/>
      </c>
      <c r="AES46" s="12">
        <f>IF(AER46&gt;0,ROUND(AER46*ReferralMix/(1-ReferralMix),0),0)</f>
        <v/>
      </c>
      <c r="AET46" s="12">
        <f>AER46+AES46</f>
        <v/>
      </c>
      <c r="AEU46" s="12">
        <f>ROUND(AET46*(1-'Sens - Annual Mix'!$A$14),0)</f>
        <v/>
      </c>
      <c r="AEV46" s="12">
        <f>AET46-AEU46</f>
        <v/>
      </c>
      <c r="AEW46" s="12">
        <f>ROUND(AEU46*EssentialMix,0)</f>
        <v/>
      </c>
      <c r="AEX46" s="12">
        <f>ROUND(AEU46*PremiumMix,0)</f>
        <v/>
      </c>
      <c r="AEY46" s="12">
        <f>AEU46-AEW46-AEX46</f>
        <v/>
      </c>
      <c r="AEZ46" s="12">
        <f>ROUND(AEV46*EssentialMix,0)</f>
        <v/>
      </c>
      <c r="AFA46" s="12">
        <f>ROUND(AEV46*PremiumMix,0)</f>
        <v/>
      </c>
      <c r="AFB46" s="12">
        <f>AEV46-AEZ46-AFA46</f>
        <v/>
      </c>
      <c r="AFC46" s="12">
        <f>AEW46+AEW45+AEW44+MAX(0,AFC45-AEW45-AEW44)*(1-AEP46)</f>
        <v/>
      </c>
      <c r="AFD46" s="12">
        <f>AEX46+AEX45+AEX44+MAX(0,AFD45-AEX45-AEX44)*(1-AEP46)</f>
        <v/>
      </c>
      <c r="AFE46" s="12">
        <f>AEY46+AEY45+AEY44+MAX(0,AFE45-AEY45-AEY44)*(1-AEP46)</f>
        <v/>
      </c>
      <c r="AFF46" s="12">
        <f>AFF45+AEZ46-AEZ34*(AnnualChurn*VLOOKUP(AEL46,ChurnSeasonTable,4,FALSE))*POWER(1-(AnnualChurn*VLOOKUP(AEL46,ChurnSeasonTable,4,FALSE)),0)+AEZ22*(AnnualChurn*VLOOKUP(AEL46,ChurnSeasonTable,4,FALSE))*POWER(1-(AnnualChurn*VLOOKUP(AEL46,ChurnSeasonTable,4,FALSE)),1)+AEZ10*(AnnualChurn*VLOOKUP(AEL46,ChurnSeasonTable,4,FALSE))*POWER(1-(AnnualChurn*VLOOKUP(AEL46,ChurnSeasonTable,4,FALSE)),2)</f>
        <v/>
      </c>
      <c r="AFG46" s="12">
        <f>AFG45+AFA46-AFA34*(AnnualChurn*VLOOKUP(AEL46,ChurnSeasonTable,4,FALSE))*POWER(1-(AnnualChurn*VLOOKUP(AEL46,ChurnSeasonTable,4,FALSE)),0)+AFA22*(AnnualChurn*VLOOKUP(AEL46,ChurnSeasonTable,4,FALSE))*POWER(1-(AnnualChurn*VLOOKUP(AEL46,ChurnSeasonTable,4,FALSE)),1)+AFA10*(AnnualChurn*VLOOKUP(AEL46,ChurnSeasonTable,4,FALSE))*POWER(1-(AnnualChurn*VLOOKUP(AEL46,ChurnSeasonTable,4,FALSE)),2)</f>
        <v/>
      </c>
      <c r="AFH46" s="12">
        <f>AFH45+AFB46-AFB34*(AnnualChurn*VLOOKUP(AEL46,ChurnSeasonTable,4,FALSE))*POWER(1-(AnnualChurn*VLOOKUP(AEL46,ChurnSeasonTable,4,FALSE)),0)+AFB22*(AnnualChurn*VLOOKUP(AEL46,ChurnSeasonTable,4,FALSE))*POWER(1-(AnnualChurn*VLOOKUP(AEL46,ChurnSeasonTable,4,FALSE)),1)+AFB10*(AnnualChurn*VLOOKUP(AEL46,ChurnSeasonTable,4,FALSE))*POWER(1-(AnnualChurn*VLOOKUP(AEL46,ChurnSeasonTable,4,FALSE)),2)</f>
        <v/>
      </c>
      <c r="AFI46" s="12">
        <f>AFC46+AFD46+AFE46+AFF46+AFG46+AFH46</f>
        <v/>
      </c>
      <c r="AFJ46" s="9">
        <f>AFC46*BlendedPriceEssMonthly*AEO46+AFD46*BlendedPricePremMonthly*AEO46+AFE46*BlendedPriceEliteMonthly*AEO46+AFF46*BlendedPriceEssAnnual*AEO46/12+AFG46*BlendedPricePremAnnual*AEO46/12+AFH46*BlendedPriceEliteAnnual*AEO46/12</f>
        <v/>
      </c>
      <c r="AFK46" s="9">
        <f>AFJ46*12</f>
        <v/>
      </c>
      <c r="AFL46" s="12">
        <f>AFC46*BlendedPriceEssMonthly*AEO46+AFD46*BlendedPricePremMonthly*AEO46+AFE46*BlendedPriceEliteMonthly*AEO46</f>
        <v/>
      </c>
      <c r="AFM46" s="12">
        <f>AEZ46*BlendedPriceEssAnnual*AEO46+AFA46*BlendedPricePremAnnual*AEO46+AFB46*BlendedPriceEliteAnnual*AEO46</f>
        <v/>
      </c>
      <c r="AFN46" s="12">
        <f>AEZ34*POWER(1-(AnnualChurn*VLOOKUP(AEL46,ChurnSeasonTable,4,FALSE)),1)*BlendedPriceEssAnnual*AEO46+AEZ22*POWER(1-(AnnualChurn*VLOOKUP(AEL46,ChurnSeasonTable,4,FALSE)),2)*BlendedPriceEssAnnual*AEO46+AEZ10*POWER(1-(AnnualChurn*VLOOKUP(AEL46,ChurnSeasonTable,4,FALSE)),3)*BlendedPriceEssAnnual*AEO46+AFA34*POWER(1-(AnnualChurn*VLOOKUP(AEL46,ChurnSeasonTable,4,FALSE)),1)*BlendedPricePremAnnual*AEO46+AFA22*POWER(1-(AnnualChurn*VLOOKUP(AEL46,ChurnSeasonTable,4,FALSE)),2)*BlendedPricePremAnnual*AEO46+AFA10*POWER(1-(AnnualChurn*VLOOKUP(AEL46,ChurnSeasonTable,4,FALSE)),3)*BlendedPricePremAnnual*AEO46+AFB34*POWER(1-(AnnualChurn*VLOOKUP(AEL46,ChurnSeasonTable,4,FALSE)),1)*BlendedPriceEliteAnnual*AEO46+AFB22*POWER(1-(AnnualChurn*VLOOKUP(AEL46,ChurnSeasonTable,4,FALSE)),2)*BlendedPriceEliteAnnual*AEO46+AFB10*POWER(1-(AnnualChurn*VLOOKUP(AEL46,ChurnSeasonTable,4,FALSE)),3)*BlendedPriceEliteAnnual*AEO46</f>
        <v/>
      </c>
      <c r="AFO46" s="9">
        <f>AFL46+AFM46+AFN46</f>
        <v/>
      </c>
      <c r="AFP46" s="12">
        <f>SUM(AFO35:AFO46)</f>
        <v/>
      </c>
      <c r="AFQ46" s="12">
        <f>OR(AFQ45,IF(VATAgentMode,SUM($AFO35:$AFO46)-SUM($AFV35:$AFV46)&gt;=VATThreshold,SUM($AFO35:$AFO46)&gt;=VATThreshold))</f>
        <v/>
      </c>
      <c r="AFR46" s="9">
        <f>IF(AFQ46,IF(VATAgentMode,AFO46-((AFO46-AFV46)-(AFO46-AFV46)/(1+VATRate)),AFO46/(1+VATRate)),AFO46)</f>
        <v/>
      </c>
      <c r="AFS46" s="12">
        <f>AFO46-AFR46</f>
        <v/>
      </c>
      <c r="AFT46" s="12">
        <f>IF(AFQ46=0,0,IF(AEL46=1,SUMPRODUCT(--(($AEM$5:$AEM46=$AEM46-1)*($AEL$5:$AEL46&gt;=10)*($AEL$5:$AEL46&lt;=12)),$AFS$5:$AFS46),IF(AEL46=4,SUMPRODUCT(--(($AEM$5:$AEM46=$AEM46)*($AEL$5:$AEL46&gt;=1)*($AEL$5:$AEL46&lt;=3)),$AFS$5:$AFS46),IF(AEL46=7,SUMPRODUCT(--(($AEM$5:$AEM46=$AEM46)*($AEL$5:$AEL46&gt;=4)*($AEL$5:$AEL46&lt;=6)),$AFS$5:$AFS46),IF(AEL46=10,SUMPRODUCT(--(($AEM$5:$AEM46=$AEM46)*($AEL$5:$AEL46&gt;=7)*($AEL$5:$AEL46&lt;=9)),$AFS$5:$AFS46),0)))))</f>
        <v/>
      </c>
      <c r="AFU46" s="12">
        <f>AFU45+AFS46-AFT46</f>
        <v/>
      </c>
      <c r="AFV46" s="12">
        <f>IF(ProviderDelay&gt;=1,AFC45*BlendedProvPayEss+AFD45*BlendedProvPayPrem+AFE45*BlendedProvPayElite+AFF45*BlendedProvPayEss+AFG45*BlendedProvPayPrem+AFH45*BlendedProvPayElite,AFC46*BlendedProvPayEss+AFD46*BlendedProvPayPrem+AFE46*BlendedProvPayElite+AFF46*BlendedProvPayEss+AFG46*BlendedProvPayPrem+AFH46*BlendedProvPayElite)</f>
        <v/>
      </c>
      <c r="AFW46" s="12">
        <f>AFO46*PaymentFee</f>
        <v/>
      </c>
      <c r="AFX46" s="12">
        <f>AFI46*OpsAI</f>
        <v/>
      </c>
      <c r="AFY46" s="12">
        <f>MonthlyFixed</f>
        <v/>
      </c>
      <c r="AFZ46" s="12">
        <f>AES46*ReferralReward</f>
        <v/>
      </c>
      <c r="AGA46" s="12">
        <f>AEQ46</f>
        <v/>
      </c>
      <c r="AGB46" s="9">
        <f>AFR46-AFV46-AFW46-AFX46-AFY46-AFZ46-AGA46</f>
        <v/>
      </c>
      <c r="AGC46" s="9">
        <f>AGC45+AFO46-(AFV46+AFW46+AFX46+AFY46+AFZ46+AGA46+AFT46)</f>
        <v/>
      </c>
      <c r="AGD46" s="12">
        <f>IF(AFI46&gt;0,AFJ46/AFI46,0)</f>
        <v/>
      </c>
      <c r="AGE46" s="11">
        <f>IF(AFI45&gt;0,MAX(0,(AFI45+AET46-AFI46)/AFI45),0)</f>
        <v/>
      </c>
      <c r="AGG46" s="12" t="n">
        <v>42</v>
      </c>
      <c r="AGH46" s="12">
        <f>MOD(AGG46-1+LaunchMonth-1,12)+1</f>
        <v/>
      </c>
      <c r="AGI46" s="12">
        <f>INT((AGG46-1+LaunchMonth-1)/12)+1</f>
        <v/>
      </c>
      <c r="AGJ46" s="12">
        <f>VLOOKUP(AGH46,SeasonTable,2,FALSE)</f>
        <v/>
      </c>
      <c r="AGK46" s="12">
        <f>(1+InflationRate)^INT((AGG46-1)/12)</f>
        <v/>
      </c>
      <c r="AGL46" s="11">
        <f>MonthlyChurn*VLOOKUP(AGH46,ChurnSeasonTable,4,FALSE)</f>
        <v/>
      </c>
      <c r="AGM46" s="12">
        <f>MIN(MAX(MktMin19plus,AHK45*MktPct19plus),MAX(0,AHY45-CashBuffer))</f>
        <v/>
      </c>
      <c r="AGN46" s="12">
        <f>IF(AGM46&gt;0,MAX(1,ROUND(AGM46/CAC*AGJ46,0)),0)</f>
        <v/>
      </c>
      <c r="AGO46" s="12">
        <f>IF(AGN46&gt;0,ROUND(AGN46*ReferralMix/(1-ReferralMix),0),0)</f>
        <v/>
      </c>
      <c r="AGP46" s="12">
        <f>AGN46+AGO46</f>
        <v/>
      </c>
      <c r="AGQ46" s="12">
        <f>ROUND(AGP46*(1-'Sens - Annual Mix'!$A$15),0)</f>
        <v/>
      </c>
      <c r="AGR46" s="12">
        <f>AGP46-AGQ46</f>
        <v/>
      </c>
      <c r="AGS46" s="12">
        <f>ROUND(AGQ46*EssentialMix,0)</f>
        <v/>
      </c>
      <c r="AGT46" s="12">
        <f>ROUND(AGQ46*PremiumMix,0)</f>
        <v/>
      </c>
      <c r="AGU46" s="12">
        <f>AGQ46-AGS46-AGT46</f>
        <v/>
      </c>
      <c r="AGV46" s="12">
        <f>ROUND(AGR46*EssentialMix,0)</f>
        <v/>
      </c>
      <c r="AGW46" s="12">
        <f>ROUND(AGR46*PremiumMix,0)</f>
        <v/>
      </c>
      <c r="AGX46" s="12">
        <f>AGR46-AGV46-AGW46</f>
        <v/>
      </c>
      <c r="AGY46" s="12">
        <f>AGS46+AGS45+AGS44+MAX(0,AGY45-AGS45-AGS44)*(1-AGL46)</f>
        <v/>
      </c>
      <c r="AGZ46" s="12">
        <f>AGT46+AGT45+AGT44+MAX(0,AGZ45-AGT45-AGT44)*(1-AGL46)</f>
        <v/>
      </c>
      <c r="AHA46" s="12">
        <f>AGU46+AGU45+AGU44+MAX(0,AHA45-AGU45-AGU44)*(1-AGL46)</f>
        <v/>
      </c>
      <c r="AHB46" s="12">
        <f>AHB45+AGV46-AGV34*(AnnualChurn*VLOOKUP(AGH46,ChurnSeasonTable,4,FALSE))*POWER(1-(AnnualChurn*VLOOKUP(AGH46,ChurnSeasonTable,4,FALSE)),0)+AGV22*(AnnualChurn*VLOOKUP(AGH46,ChurnSeasonTable,4,FALSE))*POWER(1-(AnnualChurn*VLOOKUP(AGH46,ChurnSeasonTable,4,FALSE)),1)+AGV10*(AnnualChurn*VLOOKUP(AGH46,ChurnSeasonTable,4,FALSE))*POWER(1-(AnnualChurn*VLOOKUP(AGH46,ChurnSeasonTable,4,FALSE)),2)</f>
        <v/>
      </c>
      <c r="AHC46" s="12">
        <f>AHC45+AGW46-AGW34*(AnnualChurn*VLOOKUP(AGH46,ChurnSeasonTable,4,FALSE))*POWER(1-(AnnualChurn*VLOOKUP(AGH46,ChurnSeasonTable,4,FALSE)),0)+AGW22*(AnnualChurn*VLOOKUP(AGH46,ChurnSeasonTable,4,FALSE))*POWER(1-(AnnualChurn*VLOOKUP(AGH46,ChurnSeasonTable,4,FALSE)),1)+AGW10*(AnnualChurn*VLOOKUP(AGH46,ChurnSeasonTable,4,FALSE))*POWER(1-(AnnualChurn*VLOOKUP(AGH46,ChurnSeasonTable,4,FALSE)),2)</f>
        <v/>
      </c>
      <c r="AHD46" s="12">
        <f>AHD45+AGX46-AGX34*(AnnualChurn*VLOOKUP(AGH46,ChurnSeasonTable,4,FALSE))*POWER(1-(AnnualChurn*VLOOKUP(AGH46,ChurnSeasonTable,4,FALSE)),0)+AGX22*(AnnualChurn*VLOOKUP(AGH46,ChurnSeasonTable,4,FALSE))*POWER(1-(AnnualChurn*VLOOKUP(AGH46,ChurnSeasonTable,4,FALSE)),1)+AGX10*(AnnualChurn*VLOOKUP(AGH46,ChurnSeasonTable,4,FALSE))*POWER(1-(AnnualChurn*VLOOKUP(AGH46,ChurnSeasonTable,4,FALSE)),2)</f>
        <v/>
      </c>
      <c r="AHE46" s="12">
        <f>AGY46+AGZ46+AHA46+AHB46+AHC46+AHD46</f>
        <v/>
      </c>
      <c r="AHF46" s="9">
        <f>AGY46*BlendedPriceEssMonthly*AGK46+AGZ46*BlendedPricePremMonthly*AGK46+AHA46*BlendedPriceEliteMonthly*AGK46+AHB46*BlendedPriceEssAnnual*AGK46/12+AHC46*BlendedPricePremAnnual*AGK46/12+AHD46*BlendedPriceEliteAnnual*AGK46/12</f>
        <v/>
      </c>
      <c r="AHG46" s="9">
        <f>AHF46*12</f>
        <v/>
      </c>
      <c r="AHH46" s="12">
        <f>AGY46*BlendedPriceEssMonthly*AGK46+AGZ46*BlendedPricePremMonthly*AGK46+AHA46*BlendedPriceEliteMonthly*AGK46</f>
        <v/>
      </c>
      <c r="AHI46" s="12">
        <f>AGV46*BlendedPriceEssAnnual*AGK46+AGW46*BlendedPricePremAnnual*AGK46+AGX46*BlendedPriceEliteAnnual*AGK46</f>
        <v/>
      </c>
      <c r="AHJ46" s="12">
        <f>AGV34*POWER(1-(AnnualChurn*VLOOKUP(AGH46,ChurnSeasonTable,4,FALSE)),1)*BlendedPriceEssAnnual*AGK46+AGV22*POWER(1-(AnnualChurn*VLOOKUP(AGH46,ChurnSeasonTable,4,FALSE)),2)*BlendedPriceEssAnnual*AGK46+AGV10*POWER(1-(AnnualChurn*VLOOKUP(AGH46,ChurnSeasonTable,4,FALSE)),3)*BlendedPriceEssAnnual*AGK46+AGW34*POWER(1-(AnnualChurn*VLOOKUP(AGH46,ChurnSeasonTable,4,FALSE)),1)*BlendedPricePremAnnual*AGK46+AGW22*POWER(1-(AnnualChurn*VLOOKUP(AGH46,ChurnSeasonTable,4,FALSE)),2)*BlendedPricePremAnnual*AGK46+AGW10*POWER(1-(AnnualChurn*VLOOKUP(AGH46,ChurnSeasonTable,4,FALSE)),3)*BlendedPricePremAnnual*AGK46+AGX34*POWER(1-(AnnualChurn*VLOOKUP(AGH46,ChurnSeasonTable,4,FALSE)),1)*BlendedPriceEliteAnnual*AGK46+AGX22*POWER(1-(AnnualChurn*VLOOKUP(AGH46,ChurnSeasonTable,4,FALSE)),2)*BlendedPriceEliteAnnual*AGK46+AGX10*POWER(1-(AnnualChurn*VLOOKUP(AGH46,ChurnSeasonTable,4,FALSE)),3)*BlendedPriceEliteAnnual*AGK46</f>
        <v/>
      </c>
      <c r="AHK46" s="9">
        <f>AHH46+AHI46+AHJ46</f>
        <v/>
      </c>
      <c r="AHL46" s="12">
        <f>SUM(AHK35:AHK46)</f>
        <v/>
      </c>
      <c r="AHM46" s="12">
        <f>OR(AHM45,IF(VATAgentMode,SUM($AHK35:$AHK46)-SUM($AHR35:$AHR46)&gt;=VATThreshold,SUM($AHK35:$AHK46)&gt;=VATThreshold))</f>
        <v/>
      </c>
      <c r="AHN46" s="9">
        <f>IF(AHM46,IF(VATAgentMode,AHK46-((AHK46-AHR46)-(AHK46-AHR46)/(1+VATRate)),AHK46/(1+VATRate)),AHK46)</f>
        <v/>
      </c>
      <c r="AHO46" s="12">
        <f>AHK46-AHN46</f>
        <v/>
      </c>
      <c r="AHP46" s="12">
        <f>IF(AHM46=0,0,IF(AGH46=1,SUMPRODUCT(--(($AGI$5:$AGI46=$AGI46-1)*($AGH$5:$AGH46&gt;=10)*($AGH$5:$AGH46&lt;=12)),$AHO$5:$AHO46),IF(AGH46=4,SUMPRODUCT(--(($AGI$5:$AGI46=$AGI46)*($AGH$5:$AGH46&gt;=1)*($AGH$5:$AGH46&lt;=3)),$AHO$5:$AHO46),IF(AGH46=7,SUMPRODUCT(--(($AGI$5:$AGI46=$AGI46)*($AGH$5:$AGH46&gt;=4)*($AGH$5:$AGH46&lt;=6)),$AHO$5:$AHO46),IF(AGH46=10,SUMPRODUCT(--(($AGI$5:$AGI46=$AGI46)*($AGH$5:$AGH46&gt;=7)*($AGH$5:$AGH46&lt;=9)),$AHO$5:$AHO46),0)))))</f>
        <v/>
      </c>
      <c r="AHQ46" s="12">
        <f>AHQ45+AHO46-AHP46</f>
        <v/>
      </c>
      <c r="AHR46" s="12">
        <f>IF(ProviderDelay&gt;=1,AGY45*BlendedProvPayEss+AGZ45*BlendedProvPayPrem+AHA45*BlendedProvPayElite+AHB45*BlendedProvPayEss+AHC45*BlendedProvPayPrem+AHD45*BlendedProvPayElite,AGY46*BlendedProvPayEss+AGZ46*BlendedProvPayPrem+AHA46*BlendedProvPayElite+AHB46*BlendedProvPayEss+AHC46*BlendedProvPayPrem+AHD46*BlendedProvPayElite)</f>
        <v/>
      </c>
      <c r="AHS46" s="12">
        <f>AHK46*PaymentFee</f>
        <v/>
      </c>
      <c r="AHT46" s="12">
        <f>AHE46*OpsAI</f>
        <v/>
      </c>
      <c r="AHU46" s="12">
        <f>MonthlyFixed</f>
        <v/>
      </c>
      <c r="AHV46" s="12">
        <f>AGO46*ReferralReward</f>
        <v/>
      </c>
      <c r="AHW46" s="12">
        <f>AGM46</f>
        <v/>
      </c>
      <c r="AHX46" s="9">
        <f>AHN46-AHR46-AHS46-AHT46-AHU46-AHV46-AHW46</f>
        <v/>
      </c>
      <c r="AHY46" s="9">
        <f>AHY45+AHK46-(AHR46+AHS46+AHT46+AHU46+AHV46+AHW46+AHP46)</f>
        <v/>
      </c>
      <c r="AHZ46" s="12">
        <f>IF(AHE46&gt;0,AHF46/AHE46,0)</f>
        <v/>
      </c>
      <c r="AIA46" s="11">
        <f>IF(AHE45&gt;0,MAX(0,(AHE45+AGP46-AHE46)/AHE45),0)</f>
        <v/>
      </c>
      <c r="AIC46" s="12" t="n">
        <v>42</v>
      </c>
      <c r="AID46" s="12">
        <f>MOD(AIC46-1+LaunchMonth-1,12)+1</f>
        <v/>
      </c>
      <c r="AIE46" s="12">
        <f>INT((AIC46-1+LaunchMonth-1)/12)+1</f>
        <v/>
      </c>
      <c r="AIF46" s="12">
        <f>VLOOKUP(AID46,SeasonTable,2,FALSE)</f>
        <v/>
      </c>
      <c r="AIG46" s="12">
        <f>(1+InflationRate)^INT((AIC46-1)/12)</f>
        <v/>
      </c>
      <c r="AIH46" s="11">
        <f>MonthlyChurn*VLOOKUP(AID46,ChurnSeasonTable,4,FALSE)</f>
        <v/>
      </c>
      <c r="AII46" s="12">
        <f>MIN(MAX(MktMin19plus,AJG45*MktPct19plus),MAX(0,AJU45-CashBuffer))</f>
        <v/>
      </c>
      <c r="AIJ46" s="12">
        <f>IF(AII46&gt;0,MAX(1,ROUND(AII46/'Sens - CAC &amp; Marketing'!$A$9*AIF46,0)),0)</f>
        <v/>
      </c>
      <c r="AIK46" s="12">
        <f>IF(AIJ46&gt;0,ROUND(AIJ46*ReferralMix/(1-ReferralMix),0),0)</f>
        <v/>
      </c>
      <c r="AIL46" s="12">
        <f>AIJ46+AIK46</f>
        <v/>
      </c>
      <c r="AIM46" s="12">
        <f>ROUND(AIL46*(1-AnnualMix),0)</f>
        <v/>
      </c>
      <c r="AIN46" s="12">
        <f>AIL46-AIM46</f>
        <v/>
      </c>
      <c r="AIO46" s="12">
        <f>ROUND(AIM46*EssentialMix,0)</f>
        <v/>
      </c>
      <c r="AIP46" s="12">
        <f>ROUND(AIM46*PremiumMix,0)</f>
        <v/>
      </c>
      <c r="AIQ46" s="12">
        <f>AIM46-AIO46-AIP46</f>
        <v/>
      </c>
      <c r="AIR46" s="12">
        <f>ROUND(AIN46*EssentialMix,0)</f>
        <v/>
      </c>
      <c r="AIS46" s="12">
        <f>ROUND(AIN46*PremiumMix,0)</f>
        <v/>
      </c>
      <c r="AIT46" s="12">
        <f>AIN46-AIR46-AIS46</f>
        <v/>
      </c>
      <c r="AIU46" s="12">
        <f>AIO46+AIO45+AIO44+MAX(0,AIU45-AIO45-AIO44)*(1-AIH46)</f>
        <v/>
      </c>
      <c r="AIV46" s="12">
        <f>AIP46+AIP45+AIP44+MAX(0,AIV45-AIP45-AIP44)*(1-AIH46)</f>
        <v/>
      </c>
      <c r="AIW46" s="12">
        <f>AIQ46+AIQ45+AIQ44+MAX(0,AIW45-AIQ45-AIQ44)*(1-AIH46)</f>
        <v/>
      </c>
      <c r="AIX46" s="12">
        <f>AIX45+AIR46-AIR34*(AnnualChurn*VLOOKUP(AID46,ChurnSeasonTable,4,FALSE))*POWER(1-(AnnualChurn*VLOOKUP(AID46,ChurnSeasonTable,4,FALSE)),0)+AIR22*(AnnualChurn*VLOOKUP(AID46,ChurnSeasonTable,4,FALSE))*POWER(1-(AnnualChurn*VLOOKUP(AID46,ChurnSeasonTable,4,FALSE)),1)+AIR10*(AnnualChurn*VLOOKUP(AID46,ChurnSeasonTable,4,FALSE))*POWER(1-(AnnualChurn*VLOOKUP(AID46,ChurnSeasonTable,4,FALSE)),2)</f>
        <v/>
      </c>
      <c r="AIY46" s="12">
        <f>AIY45+AIS46-AIS34*(AnnualChurn*VLOOKUP(AID46,ChurnSeasonTable,4,FALSE))*POWER(1-(AnnualChurn*VLOOKUP(AID46,ChurnSeasonTable,4,FALSE)),0)+AIS22*(AnnualChurn*VLOOKUP(AID46,ChurnSeasonTable,4,FALSE))*POWER(1-(AnnualChurn*VLOOKUP(AID46,ChurnSeasonTable,4,FALSE)),1)+AIS10*(AnnualChurn*VLOOKUP(AID46,ChurnSeasonTable,4,FALSE))*POWER(1-(AnnualChurn*VLOOKUP(AID46,ChurnSeasonTable,4,FALSE)),2)</f>
        <v/>
      </c>
      <c r="AIZ46" s="12">
        <f>AIZ45+AIT46-AIT34*(AnnualChurn*VLOOKUP(AID46,ChurnSeasonTable,4,FALSE))*POWER(1-(AnnualChurn*VLOOKUP(AID46,ChurnSeasonTable,4,FALSE)),0)+AIT22*(AnnualChurn*VLOOKUP(AID46,ChurnSeasonTable,4,FALSE))*POWER(1-(AnnualChurn*VLOOKUP(AID46,ChurnSeasonTable,4,FALSE)),1)+AIT10*(AnnualChurn*VLOOKUP(AID46,ChurnSeasonTable,4,FALSE))*POWER(1-(AnnualChurn*VLOOKUP(AID46,ChurnSeasonTable,4,FALSE)),2)</f>
        <v/>
      </c>
      <c r="AJA46" s="12">
        <f>AIU46+AIV46+AIW46+AIX46+AIY46+AIZ46</f>
        <v/>
      </c>
      <c r="AJB46" s="9">
        <f>AIU46*BlendedPriceEssMonthly*AIG46+AIV46*BlendedPricePremMonthly*AIG46+AIW46*BlendedPriceEliteMonthly*AIG46+AIX46*BlendedPriceEssAnnual*AIG46/12+AIY46*BlendedPricePremAnnual*AIG46/12+AIZ46*BlendedPriceEliteAnnual*AIG46/12</f>
        <v/>
      </c>
      <c r="AJC46" s="9">
        <f>AJB46*12</f>
        <v/>
      </c>
      <c r="AJD46" s="12">
        <f>AIU46*BlendedPriceEssMonthly*AIG46+AIV46*BlendedPricePremMonthly*AIG46+AIW46*BlendedPriceEliteMonthly*AIG46</f>
        <v/>
      </c>
      <c r="AJE46" s="12">
        <f>AIR46*BlendedPriceEssAnnual*AIG46+AIS46*BlendedPricePremAnnual*AIG46+AIT46*BlendedPriceEliteAnnual*AIG46</f>
        <v/>
      </c>
      <c r="AJF46" s="12">
        <f>AIR34*POWER(1-(AnnualChurn*VLOOKUP(AID46,ChurnSeasonTable,4,FALSE)),1)*BlendedPriceEssAnnual*AIG46+AIR22*POWER(1-(AnnualChurn*VLOOKUP(AID46,ChurnSeasonTable,4,FALSE)),2)*BlendedPriceEssAnnual*AIG46+AIR10*POWER(1-(AnnualChurn*VLOOKUP(AID46,ChurnSeasonTable,4,FALSE)),3)*BlendedPriceEssAnnual*AIG46+AIS34*POWER(1-(AnnualChurn*VLOOKUP(AID46,ChurnSeasonTable,4,FALSE)),1)*BlendedPricePremAnnual*AIG46+AIS22*POWER(1-(AnnualChurn*VLOOKUP(AID46,ChurnSeasonTable,4,FALSE)),2)*BlendedPricePremAnnual*AIG46+AIS10*POWER(1-(AnnualChurn*VLOOKUP(AID46,ChurnSeasonTable,4,FALSE)),3)*BlendedPricePremAnnual*AIG46+AIT34*POWER(1-(AnnualChurn*VLOOKUP(AID46,ChurnSeasonTable,4,FALSE)),1)*BlendedPriceEliteAnnual*AIG46+AIT22*POWER(1-(AnnualChurn*VLOOKUP(AID46,ChurnSeasonTable,4,FALSE)),2)*BlendedPriceEliteAnnual*AIG46+AIT10*POWER(1-(AnnualChurn*VLOOKUP(AID46,ChurnSeasonTable,4,FALSE)),3)*BlendedPriceEliteAnnual*AIG46</f>
        <v/>
      </c>
      <c r="AJG46" s="9">
        <f>AJD46+AJE46+AJF46</f>
        <v/>
      </c>
      <c r="AJH46" s="12">
        <f>SUM(AJG35:AJG46)</f>
        <v/>
      </c>
      <c r="AJI46" s="12">
        <f>OR(AJI45,IF(VATAgentMode,SUM($AJG35:$AJG46)-SUM($AJN35:$AJN46)&gt;=VATThreshold,SUM($AJG35:$AJG46)&gt;=VATThreshold))</f>
        <v/>
      </c>
      <c r="AJJ46" s="9">
        <f>IF(AJI46,IF(VATAgentMode,AJG46-((AJG46-AJN46)-(AJG46-AJN46)/(1+VATRate)),AJG46/(1+VATRate)),AJG46)</f>
        <v/>
      </c>
      <c r="AJK46" s="12">
        <f>AJG46-AJJ46</f>
        <v/>
      </c>
      <c r="AJL46" s="12">
        <f>IF(AJI46=0,0,IF(AID46=1,SUMPRODUCT(--(($AIE$5:$AIE46=$AIE46-1)*($AID$5:$AID46&gt;=10)*($AID$5:$AID46&lt;=12)),$AJK$5:$AJK46),IF(AID46=4,SUMPRODUCT(--(($AIE$5:$AIE46=$AIE46)*($AID$5:$AID46&gt;=1)*($AID$5:$AID46&lt;=3)),$AJK$5:$AJK46),IF(AID46=7,SUMPRODUCT(--(($AIE$5:$AIE46=$AIE46)*($AID$5:$AID46&gt;=4)*($AID$5:$AID46&lt;=6)),$AJK$5:$AJK46),IF(AID46=10,SUMPRODUCT(--(($AIE$5:$AIE46=$AIE46)*($AID$5:$AID46&gt;=7)*($AID$5:$AID46&lt;=9)),$AJK$5:$AJK46),0)))))</f>
        <v/>
      </c>
      <c r="AJM46" s="12">
        <f>AJM45+AJK46-AJL46</f>
        <v/>
      </c>
      <c r="AJN46" s="12">
        <f>IF(ProviderDelay&gt;=1,AIU45*BlendedProvPayEss+AIV45*BlendedProvPayPrem+AIW45*BlendedProvPayElite+AIX45*BlendedProvPayEss+AIY45*BlendedProvPayPrem+AIZ45*BlendedProvPayElite,AIU46*BlendedProvPayEss+AIV46*BlendedProvPayPrem+AIW46*BlendedProvPayElite+AIX46*BlendedProvPayEss+AIY46*BlendedProvPayPrem+AIZ46*BlendedProvPayElite)</f>
        <v/>
      </c>
      <c r="AJO46" s="12">
        <f>AJG46*PaymentFee</f>
        <v/>
      </c>
      <c r="AJP46" s="12">
        <f>AJA46*OpsAI</f>
        <v/>
      </c>
      <c r="AJQ46" s="12">
        <f>MonthlyFixed</f>
        <v/>
      </c>
      <c r="AJR46" s="12">
        <f>AIK46*ReferralReward</f>
        <v/>
      </c>
      <c r="AJS46" s="12">
        <f>AII46</f>
        <v/>
      </c>
      <c r="AJT46" s="9">
        <f>AJJ46-AJN46-AJO46-AJP46-AJQ46-AJR46-AJS46</f>
        <v/>
      </c>
      <c r="AJU46" s="9">
        <f>AJU45+AJG46-(AJN46+AJO46+AJP46+AJQ46+AJR46+AJS46+AJL46)</f>
        <v/>
      </c>
      <c r="AJV46" s="12">
        <f>IF(AJA46&gt;0,AJB46/AJA46,0)</f>
        <v/>
      </c>
      <c r="AJW46" s="11">
        <f>IF(AJA45&gt;0,MAX(0,(AJA45+AIL46-AJA46)/AJA45),0)</f>
        <v/>
      </c>
      <c r="AJY46" s="12" t="n">
        <v>42</v>
      </c>
      <c r="AJZ46" s="12">
        <f>MOD(AJY46-1+LaunchMonth-1,12)+1</f>
        <v/>
      </c>
      <c r="AKA46" s="12">
        <f>INT((AJY46-1+LaunchMonth-1)/12)+1</f>
        <v/>
      </c>
      <c r="AKB46" s="12">
        <f>VLOOKUP(AJZ46,SeasonTable,2,FALSE)</f>
        <v/>
      </c>
      <c r="AKC46" s="12">
        <f>(1+InflationRate)^INT((AJY46-1)/12)</f>
        <v/>
      </c>
      <c r="AKD46" s="11">
        <f>MonthlyChurn*VLOOKUP(AJZ46,ChurnSeasonTable,4,FALSE)</f>
        <v/>
      </c>
      <c r="AKE46" s="12">
        <f>MIN(MAX(MktMin19plus,ALC45*MktPct19plus),MAX(0,ALQ45-CashBuffer))</f>
        <v/>
      </c>
      <c r="AKF46" s="12">
        <f>IF(AKE46&gt;0,MAX(1,ROUND(AKE46/'Sens - CAC &amp; Marketing'!$A$10*AKB46,0)),0)</f>
        <v/>
      </c>
      <c r="AKG46" s="12">
        <f>IF(AKF46&gt;0,ROUND(AKF46*ReferralMix/(1-ReferralMix),0),0)</f>
        <v/>
      </c>
      <c r="AKH46" s="12">
        <f>AKF46+AKG46</f>
        <v/>
      </c>
      <c r="AKI46" s="12">
        <f>ROUND(AKH46*(1-AnnualMix),0)</f>
        <v/>
      </c>
      <c r="AKJ46" s="12">
        <f>AKH46-AKI46</f>
        <v/>
      </c>
      <c r="AKK46" s="12">
        <f>ROUND(AKI46*EssentialMix,0)</f>
        <v/>
      </c>
      <c r="AKL46" s="12">
        <f>ROUND(AKI46*PremiumMix,0)</f>
        <v/>
      </c>
      <c r="AKM46" s="12">
        <f>AKI46-AKK46-AKL46</f>
        <v/>
      </c>
      <c r="AKN46" s="12">
        <f>ROUND(AKJ46*EssentialMix,0)</f>
        <v/>
      </c>
      <c r="AKO46" s="12">
        <f>ROUND(AKJ46*PremiumMix,0)</f>
        <v/>
      </c>
      <c r="AKP46" s="12">
        <f>AKJ46-AKN46-AKO46</f>
        <v/>
      </c>
      <c r="AKQ46" s="12">
        <f>AKK46+AKK45+AKK44+MAX(0,AKQ45-AKK45-AKK44)*(1-AKD46)</f>
        <v/>
      </c>
      <c r="AKR46" s="12">
        <f>AKL46+AKL45+AKL44+MAX(0,AKR45-AKL45-AKL44)*(1-AKD46)</f>
        <v/>
      </c>
      <c r="AKS46" s="12">
        <f>AKM46+AKM45+AKM44+MAX(0,AKS45-AKM45-AKM44)*(1-AKD46)</f>
        <v/>
      </c>
      <c r="AKT46" s="12">
        <f>AKT45+AKN46-AKN34*(AnnualChurn*VLOOKUP(AJZ46,ChurnSeasonTable,4,FALSE))*POWER(1-(AnnualChurn*VLOOKUP(AJZ46,ChurnSeasonTable,4,FALSE)),0)+AKN22*(AnnualChurn*VLOOKUP(AJZ46,ChurnSeasonTable,4,FALSE))*POWER(1-(AnnualChurn*VLOOKUP(AJZ46,ChurnSeasonTable,4,FALSE)),1)+AKN10*(AnnualChurn*VLOOKUP(AJZ46,ChurnSeasonTable,4,FALSE))*POWER(1-(AnnualChurn*VLOOKUP(AJZ46,ChurnSeasonTable,4,FALSE)),2)</f>
        <v/>
      </c>
      <c r="AKU46" s="12">
        <f>AKU45+AKO46-AKO34*(AnnualChurn*VLOOKUP(AJZ46,ChurnSeasonTable,4,FALSE))*POWER(1-(AnnualChurn*VLOOKUP(AJZ46,ChurnSeasonTable,4,FALSE)),0)+AKO22*(AnnualChurn*VLOOKUP(AJZ46,ChurnSeasonTable,4,FALSE))*POWER(1-(AnnualChurn*VLOOKUP(AJZ46,ChurnSeasonTable,4,FALSE)),1)+AKO10*(AnnualChurn*VLOOKUP(AJZ46,ChurnSeasonTable,4,FALSE))*POWER(1-(AnnualChurn*VLOOKUP(AJZ46,ChurnSeasonTable,4,FALSE)),2)</f>
        <v/>
      </c>
      <c r="AKV46" s="12">
        <f>AKV45+AKP46-AKP34*(AnnualChurn*VLOOKUP(AJZ46,ChurnSeasonTable,4,FALSE))*POWER(1-(AnnualChurn*VLOOKUP(AJZ46,ChurnSeasonTable,4,FALSE)),0)+AKP22*(AnnualChurn*VLOOKUP(AJZ46,ChurnSeasonTable,4,FALSE))*POWER(1-(AnnualChurn*VLOOKUP(AJZ46,ChurnSeasonTable,4,FALSE)),1)+AKP10*(AnnualChurn*VLOOKUP(AJZ46,ChurnSeasonTable,4,FALSE))*POWER(1-(AnnualChurn*VLOOKUP(AJZ46,ChurnSeasonTable,4,FALSE)),2)</f>
        <v/>
      </c>
      <c r="AKW46" s="12">
        <f>AKQ46+AKR46+AKS46+AKT46+AKU46+AKV46</f>
        <v/>
      </c>
      <c r="AKX46" s="9">
        <f>AKQ46*BlendedPriceEssMonthly*AKC46+AKR46*BlendedPricePremMonthly*AKC46+AKS46*BlendedPriceEliteMonthly*AKC46+AKT46*BlendedPriceEssAnnual*AKC46/12+AKU46*BlendedPricePremAnnual*AKC46/12+AKV46*BlendedPriceEliteAnnual*AKC46/12</f>
        <v/>
      </c>
      <c r="AKY46" s="9">
        <f>AKX46*12</f>
        <v/>
      </c>
      <c r="AKZ46" s="12">
        <f>AKQ46*BlendedPriceEssMonthly*AKC46+AKR46*BlendedPricePremMonthly*AKC46+AKS46*BlendedPriceEliteMonthly*AKC46</f>
        <v/>
      </c>
      <c r="ALA46" s="12">
        <f>AKN46*BlendedPriceEssAnnual*AKC46+AKO46*BlendedPricePremAnnual*AKC46+AKP46*BlendedPriceEliteAnnual*AKC46</f>
        <v/>
      </c>
      <c r="ALB46" s="12">
        <f>AKN34*POWER(1-(AnnualChurn*VLOOKUP(AJZ46,ChurnSeasonTable,4,FALSE)),1)*BlendedPriceEssAnnual*AKC46+AKN22*POWER(1-(AnnualChurn*VLOOKUP(AJZ46,ChurnSeasonTable,4,FALSE)),2)*BlendedPriceEssAnnual*AKC46+AKN10*POWER(1-(AnnualChurn*VLOOKUP(AJZ46,ChurnSeasonTable,4,FALSE)),3)*BlendedPriceEssAnnual*AKC46+AKO34*POWER(1-(AnnualChurn*VLOOKUP(AJZ46,ChurnSeasonTable,4,FALSE)),1)*BlendedPricePremAnnual*AKC46+AKO22*POWER(1-(AnnualChurn*VLOOKUP(AJZ46,ChurnSeasonTable,4,FALSE)),2)*BlendedPricePremAnnual*AKC46+AKO10*POWER(1-(AnnualChurn*VLOOKUP(AJZ46,ChurnSeasonTable,4,FALSE)),3)*BlendedPricePremAnnual*AKC46+AKP34*POWER(1-(AnnualChurn*VLOOKUP(AJZ46,ChurnSeasonTable,4,FALSE)),1)*BlendedPriceEliteAnnual*AKC46+AKP22*POWER(1-(AnnualChurn*VLOOKUP(AJZ46,ChurnSeasonTable,4,FALSE)),2)*BlendedPriceEliteAnnual*AKC46+AKP10*POWER(1-(AnnualChurn*VLOOKUP(AJZ46,ChurnSeasonTable,4,FALSE)),3)*BlendedPriceEliteAnnual*AKC46</f>
        <v/>
      </c>
      <c r="ALC46" s="9">
        <f>AKZ46+ALA46+ALB46</f>
        <v/>
      </c>
      <c r="ALD46" s="12">
        <f>SUM(ALC35:ALC46)</f>
        <v/>
      </c>
      <c r="ALE46" s="12">
        <f>OR(ALE45,IF(VATAgentMode,SUM($ALC35:$ALC46)-SUM($ALJ35:$ALJ46)&gt;=VATThreshold,SUM($ALC35:$ALC46)&gt;=VATThreshold))</f>
        <v/>
      </c>
      <c r="ALF46" s="9">
        <f>IF(ALE46,IF(VATAgentMode,ALC46-((ALC46-ALJ46)-(ALC46-ALJ46)/(1+VATRate)),ALC46/(1+VATRate)),ALC46)</f>
        <v/>
      </c>
      <c r="ALG46" s="12">
        <f>ALC46-ALF46</f>
        <v/>
      </c>
      <c r="ALH46" s="12">
        <f>IF(ALE46=0,0,IF(AJZ46=1,SUMPRODUCT(--(($AKA$5:$AKA46=$AKA46-1)*($AJZ$5:$AJZ46&gt;=10)*($AJZ$5:$AJZ46&lt;=12)),$ALG$5:$ALG46),IF(AJZ46=4,SUMPRODUCT(--(($AKA$5:$AKA46=$AKA46)*($AJZ$5:$AJZ46&gt;=1)*($AJZ$5:$AJZ46&lt;=3)),$ALG$5:$ALG46),IF(AJZ46=7,SUMPRODUCT(--(($AKA$5:$AKA46=$AKA46)*($AJZ$5:$AJZ46&gt;=4)*($AJZ$5:$AJZ46&lt;=6)),$ALG$5:$ALG46),IF(AJZ46=10,SUMPRODUCT(--(($AKA$5:$AKA46=$AKA46)*($AJZ$5:$AJZ46&gt;=7)*($AJZ$5:$AJZ46&lt;=9)),$ALG$5:$ALG46),0)))))</f>
        <v/>
      </c>
      <c r="ALI46" s="12">
        <f>ALI45+ALG46-ALH46</f>
        <v/>
      </c>
      <c r="ALJ46" s="12">
        <f>IF(ProviderDelay&gt;=1,AKQ45*BlendedProvPayEss+AKR45*BlendedProvPayPrem+AKS45*BlendedProvPayElite+AKT45*BlendedProvPayEss+AKU45*BlendedProvPayPrem+AKV45*BlendedProvPayElite,AKQ46*BlendedProvPayEss+AKR46*BlendedProvPayPrem+AKS46*BlendedProvPayElite+AKT46*BlendedProvPayEss+AKU46*BlendedProvPayPrem+AKV46*BlendedProvPayElite)</f>
        <v/>
      </c>
      <c r="ALK46" s="12">
        <f>ALC46*PaymentFee</f>
        <v/>
      </c>
      <c r="ALL46" s="12">
        <f>AKW46*OpsAI</f>
        <v/>
      </c>
      <c r="ALM46" s="12">
        <f>MonthlyFixed</f>
        <v/>
      </c>
      <c r="ALN46" s="12">
        <f>AKG46*ReferralReward</f>
        <v/>
      </c>
      <c r="ALO46" s="12">
        <f>AKE46</f>
        <v/>
      </c>
      <c r="ALP46" s="9">
        <f>ALF46-ALJ46-ALK46-ALL46-ALM46-ALN46-ALO46</f>
        <v/>
      </c>
      <c r="ALQ46" s="9">
        <f>ALQ45+ALC46-(ALJ46+ALK46+ALL46+ALM46+ALN46+ALO46+ALH46)</f>
        <v/>
      </c>
      <c r="ALR46" s="12">
        <f>IF(AKW46&gt;0,AKX46/AKW46,0)</f>
        <v/>
      </c>
      <c r="ALS46" s="11">
        <f>IF(AKW45&gt;0,MAX(0,(AKW45+AKH46-AKW46)/AKW45),0)</f>
        <v/>
      </c>
      <c r="ALU46" s="12" t="n">
        <v>42</v>
      </c>
      <c r="ALV46" s="12">
        <f>MOD(ALU46-1+LaunchMonth-1,12)+1</f>
        <v/>
      </c>
      <c r="ALW46" s="12">
        <f>INT((ALU46-1+LaunchMonth-1)/12)+1</f>
        <v/>
      </c>
      <c r="ALX46" s="12">
        <f>VLOOKUP(ALV46,SeasonTable,2,FALSE)</f>
        <v/>
      </c>
      <c r="ALY46" s="12">
        <f>(1+InflationRate)^INT((ALU46-1)/12)</f>
        <v/>
      </c>
      <c r="ALZ46" s="11">
        <f>MonthlyChurn*VLOOKUP(ALV46,ChurnSeasonTable,4,FALSE)</f>
        <v/>
      </c>
      <c r="AMA46" s="12">
        <f>MIN(MAX(MktMin19plus,AMY45*MktPct19plus),MAX(0,ANM45-CashBuffer))</f>
        <v/>
      </c>
      <c r="AMB46" s="12">
        <f>IF(AMA46&gt;0,MAX(1,ROUND(AMA46/'Sens - CAC &amp; Marketing'!$A$11*ALX46,0)),0)</f>
        <v/>
      </c>
      <c r="AMC46" s="12">
        <f>IF(AMB46&gt;0,ROUND(AMB46*ReferralMix/(1-ReferralMix),0),0)</f>
        <v/>
      </c>
      <c r="AMD46" s="12">
        <f>AMB46+AMC46</f>
        <v/>
      </c>
      <c r="AME46" s="12">
        <f>ROUND(AMD46*(1-AnnualMix),0)</f>
        <v/>
      </c>
      <c r="AMF46" s="12">
        <f>AMD46-AME46</f>
        <v/>
      </c>
      <c r="AMG46" s="12">
        <f>ROUND(AME46*EssentialMix,0)</f>
        <v/>
      </c>
      <c r="AMH46" s="12">
        <f>ROUND(AME46*PremiumMix,0)</f>
        <v/>
      </c>
      <c r="AMI46" s="12">
        <f>AME46-AMG46-AMH46</f>
        <v/>
      </c>
      <c r="AMJ46" s="12">
        <f>ROUND(AMF46*EssentialMix,0)</f>
        <v/>
      </c>
      <c r="AMK46" s="12">
        <f>ROUND(AMF46*PremiumMix,0)</f>
        <v/>
      </c>
      <c r="AML46" s="12">
        <f>AMF46-AMJ46-AMK46</f>
        <v/>
      </c>
      <c r="AMM46" s="12">
        <f>AMG46+AMG45+AMG44+MAX(0,AMM45-AMG45-AMG44)*(1-ALZ46)</f>
        <v/>
      </c>
      <c r="AMN46" s="12">
        <f>AMH46+AMH45+AMH44+MAX(0,AMN45-AMH45-AMH44)*(1-ALZ46)</f>
        <v/>
      </c>
      <c r="AMO46" s="12">
        <f>AMI46+AMI45+AMI44+MAX(0,AMO45-AMI45-AMI44)*(1-ALZ46)</f>
        <v/>
      </c>
      <c r="AMP46" s="12">
        <f>AMP45+AMJ46-AMJ34*(AnnualChurn*VLOOKUP(ALV46,ChurnSeasonTable,4,FALSE))*POWER(1-(AnnualChurn*VLOOKUP(ALV46,ChurnSeasonTable,4,FALSE)),0)+AMJ22*(AnnualChurn*VLOOKUP(ALV46,ChurnSeasonTable,4,FALSE))*POWER(1-(AnnualChurn*VLOOKUP(ALV46,ChurnSeasonTable,4,FALSE)),1)+AMJ10*(AnnualChurn*VLOOKUP(ALV46,ChurnSeasonTable,4,FALSE))*POWER(1-(AnnualChurn*VLOOKUP(ALV46,ChurnSeasonTable,4,FALSE)),2)</f>
        <v/>
      </c>
      <c r="AMQ46" s="12">
        <f>AMQ45+AMK46-AMK34*(AnnualChurn*VLOOKUP(ALV46,ChurnSeasonTable,4,FALSE))*POWER(1-(AnnualChurn*VLOOKUP(ALV46,ChurnSeasonTable,4,FALSE)),0)+AMK22*(AnnualChurn*VLOOKUP(ALV46,ChurnSeasonTable,4,FALSE))*POWER(1-(AnnualChurn*VLOOKUP(ALV46,ChurnSeasonTable,4,FALSE)),1)+AMK10*(AnnualChurn*VLOOKUP(ALV46,ChurnSeasonTable,4,FALSE))*POWER(1-(AnnualChurn*VLOOKUP(ALV46,ChurnSeasonTable,4,FALSE)),2)</f>
        <v/>
      </c>
      <c r="AMR46" s="12">
        <f>AMR45+AML46-AML34*(AnnualChurn*VLOOKUP(ALV46,ChurnSeasonTable,4,FALSE))*POWER(1-(AnnualChurn*VLOOKUP(ALV46,ChurnSeasonTable,4,FALSE)),0)+AML22*(AnnualChurn*VLOOKUP(ALV46,ChurnSeasonTable,4,FALSE))*POWER(1-(AnnualChurn*VLOOKUP(ALV46,ChurnSeasonTable,4,FALSE)),1)+AML10*(AnnualChurn*VLOOKUP(ALV46,ChurnSeasonTable,4,FALSE))*POWER(1-(AnnualChurn*VLOOKUP(ALV46,ChurnSeasonTable,4,FALSE)),2)</f>
        <v/>
      </c>
      <c r="AMS46" s="12">
        <f>AMM46+AMN46+AMO46+AMP46+AMQ46+AMR46</f>
        <v/>
      </c>
      <c r="AMT46" s="9">
        <f>AMM46*BlendedPriceEssMonthly*ALY46+AMN46*BlendedPricePremMonthly*ALY46+AMO46*BlendedPriceEliteMonthly*ALY46+AMP46*BlendedPriceEssAnnual*ALY46/12+AMQ46*BlendedPricePremAnnual*ALY46/12+AMR46*BlendedPriceEliteAnnual*ALY46/12</f>
        <v/>
      </c>
      <c r="AMU46" s="9">
        <f>AMT46*12</f>
        <v/>
      </c>
      <c r="AMV46" s="12">
        <f>AMM46*BlendedPriceEssMonthly*ALY46+AMN46*BlendedPricePremMonthly*ALY46+AMO46*BlendedPriceEliteMonthly*ALY46</f>
        <v/>
      </c>
      <c r="AMW46" s="12">
        <f>AMJ46*BlendedPriceEssAnnual*ALY46+AMK46*BlendedPricePremAnnual*ALY46+AML46*BlendedPriceEliteAnnual*ALY46</f>
        <v/>
      </c>
      <c r="AMX46" s="12">
        <f>AMJ34*POWER(1-(AnnualChurn*VLOOKUP(ALV46,ChurnSeasonTable,4,FALSE)),1)*BlendedPriceEssAnnual*ALY46+AMJ22*POWER(1-(AnnualChurn*VLOOKUP(ALV46,ChurnSeasonTable,4,FALSE)),2)*BlendedPriceEssAnnual*ALY46+AMJ10*POWER(1-(AnnualChurn*VLOOKUP(ALV46,ChurnSeasonTable,4,FALSE)),3)*BlendedPriceEssAnnual*ALY46+AMK34*POWER(1-(AnnualChurn*VLOOKUP(ALV46,ChurnSeasonTable,4,FALSE)),1)*BlendedPricePremAnnual*ALY46+AMK22*POWER(1-(AnnualChurn*VLOOKUP(ALV46,ChurnSeasonTable,4,FALSE)),2)*BlendedPricePremAnnual*ALY46+AMK10*POWER(1-(AnnualChurn*VLOOKUP(ALV46,ChurnSeasonTable,4,FALSE)),3)*BlendedPricePremAnnual*ALY46+AML34*POWER(1-(AnnualChurn*VLOOKUP(ALV46,ChurnSeasonTable,4,FALSE)),1)*BlendedPriceEliteAnnual*ALY46+AML22*POWER(1-(AnnualChurn*VLOOKUP(ALV46,ChurnSeasonTable,4,FALSE)),2)*BlendedPriceEliteAnnual*ALY46+AML10*POWER(1-(AnnualChurn*VLOOKUP(ALV46,ChurnSeasonTable,4,FALSE)),3)*BlendedPriceEliteAnnual*ALY46</f>
        <v/>
      </c>
      <c r="AMY46" s="9">
        <f>AMV46+AMW46+AMX46</f>
        <v/>
      </c>
      <c r="AMZ46" s="12">
        <f>SUM(AMY35:AMY46)</f>
        <v/>
      </c>
      <c r="ANA46" s="12">
        <f>OR(ANA45,IF(VATAgentMode,SUM($AMY35:$AMY46)-SUM($ANF35:$ANF46)&gt;=VATThreshold,SUM($AMY35:$AMY46)&gt;=VATThreshold))</f>
        <v/>
      </c>
      <c r="ANB46" s="9">
        <f>IF(ANA46,IF(VATAgentMode,AMY46-((AMY46-ANF46)-(AMY46-ANF46)/(1+VATRate)),AMY46/(1+VATRate)),AMY46)</f>
        <v/>
      </c>
      <c r="ANC46" s="12">
        <f>AMY46-ANB46</f>
        <v/>
      </c>
      <c r="AND46" s="12">
        <f>IF(ANA46=0,0,IF(ALV46=1,SUMPRODUCT(--(($ALW$5:$ALW46=$ALW46-1)*($ALV$5:$ALV46&gt;=10)*($ALV$5:$ALV46&lt;=12)),$ANC$5:$ANC46),IF(ALV46=4,SUMPRODUCT(--(($ALW$5:$ALW46=$ALW46)*($ALV$5:$ALV46&gt;=1)*($ALV$5:$ALV46&lt;=3)),$ANC$5:$ANC46),IF(ALV46=7,SUMPRODUCT(--(($ALW$5:$ALW46=$ALW46)*($ALV$5:$ALV46&gt;=4)*($ALV$5:$ALV46&lt;=6)),$ANC$5:$ANC46),IF(ALV46=10,SUMPRODUCT(--(($ALW$5:$ALW46=$ALW46)*($ALV$5:$ALV46&gt;=7)*($ALV$5:$ALV46&lt;=9)),$ANC$5:$ANC46),0)))))</f>
        <v/>
      </c>
      <c r="ANE46" s="12">
        <f>ANE45+ANC46-AND46</f>
        <v/>
      </c>
      <c r="ANF46" s="12">
        <f>IF(ProviderDelay&gt;=1,AMM45*BlendedProvPayEss+AMN45*BlendedProvPayPrem+AMO45*BlendedProvPayElite+AMP45*BlendedProvPayEss+AMQ45*BlendedProvPayPrem+AMR45*BlendedProvPayElite,AMM46*BlendedProvPayEss+AMN46*BlendedProvPayPrem+AMO46*BlendedProvPayElite+AMP46*BlendedProvPayEss+AMQ46*BlendedProvPayPrem+AMR46*BlendedProvPayElite)</f>
        <v/>
      </c>
      <c r="ANG46" s="12">
        <f>AMY46*PaymentFee</f>
        <v/>
      </c>
      <c r="ANH46" s="12">
        <f>AMS46*OpsAI</f>
        <v/>
      </c>
      <c r="ANI46" s="12">
        <f>MonthlyFixed</f>
        <v/>
      </c>
      <c r="ANJ46" s="12">
        <f>AMC46*ReferralReward</f>
        <v/>
      </c>
      <c r="ANK46" s="12">
        <f>AMA46</f>
        <v/>
      </c>
      <c r="ANL46" s="9">
        <f>ANB46-ANF46-ANG46-ANH46-ANI46-ANJ46-ANK46</f>
        <v/>
      </c>
      <c r="ANM46" s="9">
        <f>ANM45+AMY46-(ANF46+ANG46+ANH46+ANI46+ANJ46+ANK46+AND46)</f>
        <v/>
      </c>
      <c r="ANN46" s="12">
        <f>IF(AMS46&gt;0,AMT46/AMS46,0)</f>
        <v/>
      </c>
      <c r="ANO46" s="11">
        <f>IF(AMS45&gt;0,MAX(0,(AMS45+AMD46-AMS46)/AMS45),0)</f>
        <v/>
      </c>
      <c r="ANQ46" s="12" t="n">
        <v>42</v>
      </c>
      <c r="ANR46" s="12">
        <f>MOD(ANQ46-1+LaunchMonth-1,12)+1</f>
        <v/>
      </c>
      <c r="ANS46" s="12">
        <f>INT((ANQ46-1+LaunchMonth-1)/12)+1</f>
        <v/>
      </c>
      <c r="ANT46" s="12">
        <f>VLOOKUP(ANR46,SeasonTable,2,FALSE)</f>
        <v/>
      </c>
      <c r="ANU46" s="12">
        <f>(1+InflationRate)^INT((ANQ46-1)/12)</f>
        <v/>
      </c>
      <c r="ANV46" s="11">
        <f>MonthlyChurn*VLOOKUP(ANR46,ChurnSeasonTable,4,FALSE)</f>
        <v/>
      </c>
      <c r="ANW46" s="12">
        <f>MIN(MAX(MktMin19plus,AOU45*MktPct19plus),MAX(0,API45-CashBuffer))</f>
        <v/>
      </c>
      <c r="ANX46" s="12">
        <f>IF(ANW46&gt;0,MAX(1,ROUND(ANW46/'Sens - CAC &amp; Marketing'!$A$12*ANT46,0)),0)</f>
        <v/>
      </c>
      <c r="ANY46" s="12">
        <f>IF(ANX46&gt;0,ROUND(ANX46*ReferralMix/(1-ReferralMix),0),0)</f>
        <v/>
      </c>
      <c r="ANZ46" s="12">
        <f>ANX46+ANY46</f>
        <v/>
      </c>
      <c r="AOA46" s="12">
        <f>ROUND(ANZ46*(1-AnnualMix),0)</f>
        <v/>
      </c>
      <c r="AOB46" s="12">
        <f>ANZ46-AOA46</f>
        <v/>
      </c>
      <c r="AOC46" s="12">
        <f>ROUND(AOA46*EssentialMix,0)</f>
        <v/>
      </c>
      <c r="AOD46" s="12">
        <f>ROUND(AOA46*PremiumMix,0)</f>
        <v/>
      </c>
      <c r="AOE46" s="12">
        <f>AOA46-AOC46-AOD46</f>
        <v/>
      </c>
      <c r="AOF46" s="12">
        <f>ROUND(AOB46*EssentialMix,0)</f>
        <v/>
      </c>
      <c r="AOG46" s="12">
        <f>ROUND(AOB46*PremiumMix,0)</f>
        <v/>
      </c>
      <c r="AOH46" s="12">
        <f>AOB46-AOF46-AOG46</f>
        <v/>
      </c>
      <c r="AOI46" s="12">
        <f>AOC46+AOC45+AOC44+MAX(0,AOI45-AOC45-AOC44)*(1-ANV46)</f>
        <v/>
      </c>
      <c r="AOJ46" s="12">
        <f>AOD46+AOD45+AOD44+MAX(0,AOJ45-AOD45-AOD44)*(1-ANV46)</f>
        <v/>
      </c>
      <c r="AOK46" s="12">
        <f>AOE46+AOE45+AOE44+MAX(0,AOK45-AOE45-AOE44)*(1-ANV46)</f>
        <v/>
      </c>
      <c r="AOL46" s="12">
        <f>AOL45+AOF46-AOF34*(AnnualChurn*VLOOKUP(ANR46,ChurnSeasonTable,4,FALSE))*POWER(1-(AnnualChurn*VLOOKUP(ANR46,ChurnSeasonTable,4,FALSE)),0)+AOF22*(AnnualChurn*VLOOKUP(ANR46,ChurnSeasonTable,4,FALSE))*POWER(1-(AnnualChurn*VLOOKUP(ANR46,ChurnSeasonTable,4,FALSE)),1)+AOF10*(AnnualChurn*VLOOKUP(ANR46,ChurnSeasonTable,4,FALSE))*POWER(1-(AnnualChurn*VLOOKUP(ANR46,ChurnSeasonTable,4,FALSE)),2)</f>
        <v/>
      </c>
      <c r="AOM46" s="12">
        <f>AOM45+AOG46-AOG34*(AnnualChurn*VLOOKUP(ANR46,ChurnSeasonTable,4,FALSE))*POWER(1-(AnnualChurn*VLOOKUP(ANR46,ChurnSeasonTable,4,FALSE)),0)+AOG22*(AnnualChurn*VLOOKUP(ANR46,ChurnSeasonTable,4,FALSE))*POWER(1-(AnnualChurn*VLOOKUP(ANR46,ChurnSeasonTable,4,FALSE)),1)+AOG10*(AnnualChurn*VLOOKUP(ANR46,ChurnSeasonTable,4,FALSE))*POWER(1-(AnnualChurn*VLOOKUP(ANR46,ChurnSeasonTable,4,FALSE)),2)</f>
        <v/>
      </c>
      <c r="AON46" s="12">
        <f>AON45+AOH46-AOH34*(AnnualChurn*VLOOKUP(ANR46,ChurnSeasonTable,4,FALSE))*POWER(1-(AnnualChurn*VLOOKUP(ANR46,ChurnSeasonTable,4,FALSE)),0)+AOH22*(AnnualChurn*VLOOKUP(ANR46,ChurnSeasonTable,4,FALSE))*POWER(1-(AnnualChurn*VLOOKUP(ANR46,ChurnSeasonTable,4,FALSE)),1)+AOH10*(AnnualChurn*VLOOKUP(ANR46,ChurnSeasonTable,4,FALSE))*POWER(1-(AnnualChurn*VLOOKUP(ANR46,ChurnSeasonTable,4,FALSE)),2)</f>
        <v/>
      </c>
      <c r="AOO46" s="12">
        <f>AOI46+AOJ46+AOK46+AOL46+AOM46+AON46</f>
        <v/>
      </c>
      <c r="AOP46" s="9">
        <f>AOI46*BlendedPriceEssMonthly*ANU46+AOJ46*BlendedPricePremMonthly*ANU46+AOK46*BlendedPriceEliteMonthly*ANU46+AOL46*BlendedPriceEssAnnual*ANU46/12+AOM46*BlendedPricePremAnnual*ANU46/12+AON46*BlendedPriceEliteAnnual*ANU46/12</f>
        <v/>
      </c>
      <c r="AOQ46" s="9">
        <f>AOP46*12</f>
        <v/>
      </c>
      <c r="AOR46" s="12">
        <f>AOI46*BlendedPriceEssMonthly*ANU46+AOJ46*BlendedPricePremMonthly*ANU46+AOK46*BlendedPriceEliteMonthly*ANU46</f>
        <v/>
      </c>
      <c r="AOS46" s="12">
        <f>AOF46*BlendedPriceEssAnnual*ANU46+AOG46*BlendedPricePremAnnual*ANU46+AOH46*BlendedPriceEliteAnnual*ANU46</f>
        <v/>
      </c>
      <c r="AOT46" s="12">
        <f>AOF34*POWER(1-(AnnualChurn*VLOOKUP(ANR46,ChurnSeasonTable,4,FALSE)),1)*BlendedPriceEssAnnual*ANU46+AOF22*POWER(1-(AnnualChurn*VLOOKUP(ANR46,ChurnSeasonTable,4,FALSE)),2)*BlendedPriceEssAnnual*ANU46+AOF10*POWER(1-(AnnualChurn*VLOOKUP(ANR46,ChurnSeasonTable,4,FALSE)),3)*BlendedPriceEssAnnual*ANU46+AOG34*POWER(1-(AnnualChurn*VLOOKUP(ANR46,ChurnSeasonTable,4,FALSE)),1)*BlendedPricePremAnnual*ANU46+AOG22*POWER(1-(AnnualChurn*VLOOKUP(ANR46,ChurnSeasonTable,4,FALSE)),2)*BlendedPricePremAnnual*ANU46+AOG10*POWER(1-(AnnualChurn*VLOOKUP(ANR46,ChurnSeasonTable,4,FALSE)),3)*BlendedPricePremAnnual*ANU46+AOH34*POWER(1-(AnnualChurn*VLOOKUP(ANR46,ChurnSeasonTable,4,FALSE)),1)*BlendedPriceEliteAnnual*ANU46+AOH22*POWER(1-(AnnualChurn*VLOOKUP(ANR46,ChurnSeasonTable,4,FALSE)),2)*BlendedPriceEliteAnnual*ANU46+AOH10*POWER(1-(AnnualChurn*VLOOKUP(ANR46,ChurnSeasonTable,4,FALSE)),3)*BlendedPriceEliteAnnual*ANU46</f>
        <v/>
      </c>
      <c r="AOU46" s="9">
        <f>AOR46+AOS46+AOT46</f>
        <v/>
      </c>
      <c r="AOV46" s="12">
        <f>SUM(AOU35:AOU46)</f>
        <v/>
      </c>
      <c r="AOW46" s="12">
        <f>OR(AOW45,IF(VATAgentMode,SUM($AOU35:$AOU46)-SUM($APB35:$APB46)&gt;=VATThreshold,SUM($AOU35:$AOU46)&gt;=VATThreshold))</f>
        <v/>
      </c>
      <c r="AOX46" s="9">
        <f>IF(AOW46,IF(VATAgentMode,AOU46-((AOU46-APB46)-(AOU46-APB46)/(1+VATRate)),AOU46/(1+VATRate)),AOU46)</f>
        <v/>
      </c>
      <c r="AOY46" s="12">
        <f>AOU46-AOX46</f>
        <v/>
      </c>
      <c r="AOZ46" s="12">
        <f>IF(AOW46=0,0,IF(ANR46=1,SUMPRODUCT(--(($ANS$5:$ANS46=$ANS46-1)*($ANR$5:$ANR46&gt;=10)*($ANR$5:$ANR46&lt;=12)),$AOY$5:$AOY46),IF(ANR46=4,SUMPRODUCT(--(($ANS$5:$ANS46=$ANS46)*($ANR$5:$ANR46&gt;=1)*($ANR$5:$ANR46&lt;=3)),$AOY$5:$AOY46),IF(ANR46=7,SUMPRODUCT(--(($ANS$5:$ANS46=$ANS46)*($ANR$5:$ANR46&gt;=4)*($ANR$5:$ANR46&lt;=6)),$AOY$5:$AOY46),IF(ANR46=10,SUMPRODUCT(--(($ANS$5:$ANS46=$ANS46)*($ANR$5:$ANR46&gt;=7)*($ANR$5:$ANR46&lt;=9)),$AOY$5:$AOY46),0)))))</f>
        <v/>
      </c>
      <c r="APA46" s="12">
        <f>APA45+AOY46-AOZ46</f>
        <v/>
      </c>
      <c r="APB46" s="12">
        <f>IF(ProviderDelay&gt;=1,AOI45*BlendedProvPayEss+AOJ45*BlendedProvPayPrem+AOK45*BlendedProvPayElite+AOL45*BlendedProvPayEss+AOM45*BlendedProvPayPrem+AON45*BlendedProvPayElite,AOI46*BlendedProvPayEss+AOJ46*BlendedProvPayPrem+AOK46*BlendedProvPayElite+AOL46*BlendedProvPayEss+AOM46*BlendedProvPayPrem+AON46*BlendedProvPayElite)</f>
        <v/>
      </c>
      <c r="APC46" s="12">
        <f>AOU46*PaymentFee</f>
        <v/>
      </c>
      <c r="APD46" s="12">
        <f>AOO46*OpsAI</f>
        <v/>
      </c>
      <c r="APE46" s="12">
        <f>MonthlyFixed</f>
        <v/>
      </c>
      <c r="APF46" s="12">
        <f>ANY46*ReferralReward</f>
        <v/>
      </c>
      <c r="APG46" s="12">
        <f>ANW46</f>
        <v/>
      </c>
      <c r="APH46" s="9">
        <f>AOX46-APB46-APC46-APD46-APE46-APF46-APG46</f>
        <v/>
      </c>
      <c r="API46" s="9">
        <f>API45+AOU46-(APB46+APC46+APD46+APE46+APF46+APG46+AOZ46)</f>
        <v/>
      </c>
      <c r="APJ46" s="12">
        <f>IF(AOO46&gt;0,AOP46/AOO46,0)</f>
        <v/>
      </c>
      <c r="APK46" s="11">
        <f>IF(AOO45&gt;0,MAX(0,(AOO45+ANZ46-AOO46)/AOO45),0)</f>
        <v/>
      </c>
      <c r="APM46" s="12" t="n">
        <v>42</v>
      </c>
      <c r="APN46" s="12">
        <f>MOD(APM46-1+LaunchMonth-1,12)+1</f>
        <v/>
      </c>
      <c r="APO46" s="12">
        <f>INT((APM46-1+LaunchMonth-1)/12)+1</f>
        <v/>
      </c>
      <c r="APP46" s="12">
        <f>VLOOKUP(APN46,SeasonTable,2,FALSE)</f>
        <v/>
      </c>
      <c r="APQ46" s="12">
        <f>(1+InflationRate)^INT((APM46-1)/12)</f>
        <v/>
      </c>
      <c r="APR46" s="11">
        <f>MonthlyChurn*VLOOKUP(APN46,ChurnSeasonTable,4,FALSE)</f>
        <v/>
      </c>
      <c r="APS46" s="12">
        <f>MIN(MAX(MktMin19plus,AQQ45*MktPct19plus),MAX(0,ARE45-CashBuffer))</f>
        <v/>
      </c>
      <c r="APT46" s="12">
        <f>IF(APS46&gt;0,MAX(1,ROUND(APS46/'Sens - CAC &amp; Marketing'!$A$13*APP46,0)),0)</f>
        <v/>
      </c>
      <c r="APU46" s="12">
        <f>IF(APT46&gt;0,ROUND(APT46*ReferralMix/(1-ReferralMix),0),0)</f>
        <v/>
      </c>
      <c r="APV46" s="12">
        <f>APT46+APU46</f>
        <v/>
      </c>
      <c r="APW46" s="12">
        <f>ROUND(APV46*(1-AnnualMix),0)</f>
        <v/>
      </c>
      <c r="APX46" s="12">
        <f>APV46-APW46</f>
        <v/>
      </c>
      <c r="APY46" s="12">
        <f>ROUND(APW46*EssentialMix,0)</f>
        <v/>
      </c>
      <c r="APZ46" s="12">
        <f>ROUND(APW46*PremiumMix,0)</f>
        <v/>
      </c>
      <c r="AQA46" s="12">
        <f>APW46-APY46-APZ46</f>
        <v/>
      </c>
      <c r="AQB46" s="12">
        <f>ROUND(APX46*EssentialMix,0)</f>
        <v/>
      </c>
      <c r="AQC46" s="12">
        <f>ROUND(APX46*PremiumMix,0)</f>
        <v/>
      </c>
      <c r="AQD46" s="12">
        <f>APX46-AQB46-AQC46</f>
        <v/>
      </c>
      <c r="AQE46" s="12">
        <f>APY46+APY45+APY44+MAX(0,AQE45-APY45-APY44)*(1-APR46)</f>
        <v/>
      </c>
      <c r="AQF46" s="12">
        <f>APZ46+APZ45+APZ44+MAX(0,AQF45-APZ45-APZ44)*(1-APR46)</f>
        <v/>
      </c>
      <c r="AQG46" s="12">
        <f>AQA46+AQA45+AQA44+MAX(0,AQG45-AQA45-AQA44)*(1-APR46)</f>
        <v/>
      </c>
      <c r="AQH46" s="12">
        <f>AQH45+AQB46-AQB34*(AnnualChurn*VLOOKUP(APN46,ChurnSeasonTable,4,FALSE))*POWER(1-(AnnualChurn*VLOOKUP(APN46,ChurnSeasonTable,4,FALSE)),0)+AQB22*(AnnualChurn*VLOOKUP(APN46,ChurnSeasonTable,4,FALSE))*POWER(1-(AnnualChurn*VLOOKUP(APN46,ChurnSeasonTable,4,FALSE)),1)+AQB10*(AnnualChurn*VLOOKUP(APN46,ChurnSeasonTable,4,FALSE))*POWER(1-(AnnualChurn*VLOOKUP(APN46,ChurnSeasonTable,4,FALSE)),2)</f>
        <v/>
      </c>
      <c r="AQI46" s="12">
        <f>AQI45+AQC46-AQC34*(AnnualChurn*VLOOKUP(APN46,ChurnSeasonTable,4,FALSE))*POWER(1-(AnnualChurn*VLOOKUP(APN46,ChurnSeasonTable,4,FALSE)),0)+AQC22*(AnnualChurn*VLOOKUP(APN46,ChurnSeasonTable,4,FALSE))*POWER(1-(AnnualChurn*VLOOKUP(APN46,ChurnSeasonTable,4,FALSE)),1)+AQC10*(AnnualChurn*VLOOKUP(APN46,ChurnSeasonTable,4,FALSE))*POWER(1-(AnnualChurn*VLOOKUP(APN46,ChurnSeasonTable,4,FALSE)),2)</f>
        <v/>
      </c>
      <c r="AQJ46" s="12">
        <f>AQJ45+AQD46-AQD34*(AnnualChurn*VLOOKUP(APN46,ChurnSeasonTable,4,FALSE))*POWER(1-(AnnualChurn*VLOOKUP(APN46,ChurnSeasonTable,4,FALSE)),0)+AQD22*(AnnualChurn*VLOOKUP(APN46,ChurnSeasonTable,4,FALSE))*POWER(1-(AnnualChurn*VLOOKUP(APN46,ChurnSeasonTable,4,FALSE)),1)+AQD10*(AnnualChurn*VLOOKUP(APN46,ChurnSeasonTable,4,FALSE))*POWER(1-(AnnualChurn*VLOOKUP(APN46,ChurnSeasonTable,4,FALSE)),2)</f>
        <v/>
      </c>
      <c r="AQK46" s="12">
        <f>AQE46+AQF46+AQG46+AQH46+AQI46+AQJ46</f>
        <v/>
      </c>
      <c r="AQL46" s="9">
        <f>AQE46*BlendedPriceEssMonthly*APQ46+AQF46*BlendedPricePremMonthly*APQ46+AQG46*BlendedPriceEliteMonthly*APQ46+AQH46*BlendedPriceEssAnnual*APQ46/12+AQI46*BlendedPricePremAnnual*APQ46/12+AQJ46*BlendedPriceEliteAnnual*APQ46/12</f>
        <v/>
      </c>
      <c r="AQM46" s="9">
        <f>AQL46*12</f>
        <v/>
      </c>
      <c r="AQN46" s="12">
        <f>AQE46*BlendedPriceEssMonthly*APQ46+AQF46*BlendedPricePremMonthly*APQ46+AQG46*BlendedPriceEliteMonthly*APQ46</f>
        <v/>
      </c>
      <c r="AQO46" s="12">
        <f>AQB46*BlendedPriceEssAnnual*APQ46+AQC46*BlendedPricePremAnnual*APQ46+AQD46*BlendedPriceEliteAnnual*APQ46</f>
        <v/>
      </c>
      <c r="AQP46" s="12">
        <f>AQB34*POWER(1-(AnnualChurn*VLOOKUP(APN46,ChurnSeasonTable,4,FALSE)),1)*BlendedPriceEssAnnual*APQ46+AQB22*POWER(1-(AnnualChurn*VLOOKUP(APN46,ChurnSeasonTable,4,FALSE)),2)*BlendedPriceEssAnnual*APQ46+AQB10*POWER(1-(AnnualChurn*VLOOKUP(APN46,ChurnSeasonTable,4,FALSE)),3)*BlendedPriceEssAnnual*APQ46+AQC34*POWER(1-(AnnualChurn*VLOOKUP(APN46,ChurnSeasonTable,4,FALSE)),1)*BlendedPricePremAnnual*APQ46+AQC22*POWER(1-(AnnualChurn*VLOOKUP(APN46,ChurnSeasonTable,4,FALSE)),2)*BlendedPricePremAnnual*APQ46+AQC10*POWER(1-(AnnualChurn*VLOOKUP(APN46,ChurnSeasonTable,4,FALSE)),3)*BlendedPricePremAnnual*APQ46+AQD34*POWER(1-(AnnualChurn*VLOOKUP(APN46,ChurnSeasonTable,4,FALSE)),1)*BlendedPriceEliteAnnual*APQ46+AQD22*POWER(1-(AnnualChurn*VLOOKUP(APN46,ChurnSeasonTable,4,FALSE)),2)*BlendedPriceEliteAnnual*APQ46+AQD10*POWER(1-(AnnualChurn*VLOOKUP(APN46,ChurnSeasonTable,4,FALSE)),3)*BlendedPriceEliteAnnual*APQ46</f>
        <v/>
      </c>
      <c r="AQQ46" s="9">
        <f>AQN46+AQO46+AQP46</f>
        <v/>
      </c>
      <c r="AQR46" s="12">
        <f>SUM(AQQ35:AQQ46)</f>
        <v/>
      </c>
      <c r="AQS46" s="12">
        <f>OR(AQS45,IF(VATAgentMode,SUM($AQQ35:$AQQ46)-SUM($AQX35:$AQX46)&gt;=VATThreshold,SUM($AQQ35:$AQQ46)&gt;=VATThreshold))</f>
        <v/>
      </c>
      <c r="AQT46" s="9">
        <f>IF(AQS46,IF(VATAgentMode,AQQ46-((AQQ46-AQX46)-(AQQ46-AQX46)/(1+VATRate)),AQQ46/(1+VATRate)),AQQ46)</f>
        <v/>
      </c>
      <c r="AQU46" s="12">
        <f>AQQ46-AQT46</f>
        <v/>
      </c>
      <c r="AQV46" s="12">
        <f>IF(AQS46=0,0,IF(APN46=1,SUMPRODUCT(--(($APO$5:$APO46=$APO46-1)*($APN$5:$APN46&gt;=10)*($APN$5:$APN46&lt;=12)),$AQU$5:$AQU46),IF(APN46=4,SUMPRODUCT(--(($APO$5:$APO46=$APO46)*($APN$5:$APN46&gt;=1)*($APN$5:$APN46&lt;=3)),$AQU$5:$AQU46),IF(APN46=7,SUMPRODUCT(--(($APO$5:$APO46=$APO46)*($APN$5:$APN46&gt;=4)*($APN$5:$APN46&lt;=6)),$AQU$5:$AQU46),IF(APN46=10,SUMPRODUCT(--(($APO$5:$APO46=$APO46)*($APN$5:$APN46&gt;=7)*($APN$5:$APN46&lt;=9)),$AQU$5:$AQU46),0)))))</f>
        <v/>
      </c>
      <c r="AQW46" s="12">
        <f>AQW45+AQU46-AQV46</f>
        <v/>
      </c>
      <c r="AQX46" s="12">
        <f>IF(ProviderDelay&gt;=1,AQE45*BlendedProvPayEss+AQF45*BlendedProvPayPrem+AQG45*BlendedProvPayElite+AQH45*BlendedProvPayEss+AQI45*BlendedProvPayPrem+AQJ45*BlendedProvPayElite,AQE46*BlendedProvPayEss+AQF46*BlendedProvPayPrem+AQG46*BlendedProvPayElite+AQH46*BlendedProvPayEss+AQI46*BlendedProvPayPrem+AQJ46*BlendedProvPayElite)</f>
        <v/>
      </c>
      <c r="AQY46" s="12">
        <f>AQQ46*PaymentFee</f>
        <v/>
      </c>
      <c r="AQZ46" s="12">
        <f>AQK46*OpsAI</f>
        <v/>
      </c>
      <c r="ARA46" s="12">
        <f>MonthlyFixed</f>
        <v/>
      </c>
      <c r="ARB46" s="12">
        <f>APU46*ReferralReward</f>
        <v/>
      </c>
      <c r="ARC46" s="12">
        <f>APS46</f>
        <v/>
      </c>
      <c r="ARD46" s="9">
        <f>AQT46-AQX46-AQY46-AQZ46-ARA46-ARB46-ARC46</f>
        <v/>
      </c>
      <c r="ARE46" s="9">
        <f>ARE45+AQQ46-(AQX46+AQY46+AQZ46+ARA46+ARB46+ARC46+AQV46)</f>
        <v/>
      </c>
      <c r="ARF46" s="12">
        <f>IF(AQK46&gt;0,AQL46/AQK46,0)</f>
        <v/>
      </c>
      <c r="ARG46" s="11">
        <f>IF(AQK45&gt;0,MAX(0,(AQK45+APV46-AQK46)/AQK45),0)</f>
        <v/>
      </c>
      <c r="ARI46" s="12" t="n">
        <v>42</v>
      </c>
      <c r="ARJ46" s="12">
        <f>MOD(ARI46-1+LaunchMonth-1,12)+1</f>
        <v/>
      </c>
      <c r="ARK46" s="12">
        <f>INT((ARI46-1+LaunchMonth-1)/12)+1</f>
        <v/>
      </c>
      <c r="ARL46" s="12">
        <f>VLOOKUP(ARJ46,SeasonTable,2,FALSE)</f>
        <v/>
      </c>
      <c r="ARM46" s="12">
        <f>(1+InflationRate)^INT((ARI46-1)/12)</f>
        <v/>
      </c>
      <c r="ARN46" s="11">
        <f>MonthlyChurn*VLOOKUP(ARJ46,ChurnSeasonTable,4,FALSE)</f>
        <v/>
      </c>
      <c r="ARO46" s="12">
        <f>MIN(MAX(MktMin19plus,ASM45*MktPct19plus),MAX(0,ATA45-CashBuffer))</f>
        <v/>
      </c>
      <c r="ARP46" s="12">
        <f>IF(ARO46&gt;0,MAX(1,ROUND(ARO46/'Sens - CAC &amp; Marketing'!$A$14*ARL46,0)),0)</f>
        <v/>
      </c>
      <c r="ARQ46" s="12">
        <f>IF(ARP46&gt;0,ROUND(ARP46*ReferralMix/(1-ReferralMix),0),0)</f>
        <v/>
      </c>
      <c r="ARR46" s="12">
        <f>ARP46+ARQ46</f>
        <v/>
      </c>
      <c r="ARS46" s="12">
        <f>ROUND(ARR46*(1-AnnualMix),0)</f>
        <v/>
      </c>
      <c r="ART46" s="12">
        <f>ARR46-ARS46</f>
        <v/>
      </c>
      <c r="ARU46" s="12">
        <f>ROUND(ARS46*EssentialMix,0)</f>
        <v/>
      </c>
      <c r="ARV46" s="12">
        <f>ROUND(ARS46*PremiumMix,0)</f>
        <v/>
      </c>
      <c r="ARW46" s="12">
        <f>ARS46-ARU46-ARV46</f>
        <v/>
      </c>
      <c r="ARX46" s="12">
        <f>ROUND(ART46*EssentialMix,0)</f>
        <v/>
      </c>
      <c r="ARY46" s="12">
        <f>ROUND(ART46*PremiumMix,0)</f>
        <v/>
      </c>
      <c r="ARZ46" s="12">
        <f>ART46-ARX46-ARY46</f>
        <v/>
      </c>
      <c r="ASA46" s="12">
        <f>ARU46+ARU45+ARU44+MAX(0,ASA45-ARU45-ARU44)*(1-ARN46)</f>
        <v/>
      </c>
      <c r="ASB46" s="12">
        <f>ARV46+ARV45+ARV44+MAX(0,ASB45-ARV45-ARV44)*(1-ARN46)</f>
        <v/>
      </c>
      <c r="ASC46" s="12">
        <f>ARW46+ARW45+ARW44+MAX(0,ASC45-ARW45-ARW44)*(1-ARN46)</f>
        <v/>
      </c>
      <c r="ASD46" s="12">
        <f>ASD45+ARX46-ARX34*(AnnualChurn*VLOOKUP(ARJ46,ChurnSeasonTable,4,FALSE))*POWER(1-(AnnualChurn*VLOOKUP(ARJ46,ChurnSeasonTable,4,FALSE)),0)+ARX22*(AnnualChurn*VLOOKUP(ARJ46,ChurnSeasonTable,4,FALSE))*POWER(1-(AnnualChurn*VLOOKUP(ARJ46,ChurnSeasonTable,4,FALSE)),1)+ARX10*(AnnualChurn*VLOOKUP(ARJ46,ChurnSeasonTable,4,FALSE))*POWER(1-(AnnualChurn*VLOOKUP(ARJ46,ChurnSeasonTable,4,FALSE)),2)</f>
        <v/>
      </c>
      <c r="ASE46" s="12">
        <f>ASE45+ARY46-ARY34*(AnnualChurn*VLOOKUP(ARJ46,ChurnSeasonTable,4,FALSE))*POWER(1-(AnnualChurn*VLOOKUP(ARJ46,ChurnSeasonTable,4,FALSE)),0)+ARY22*(AnnualChurn*VLOOKUP(ARJ46,ChurnSeasonTable,4,FALSE))*POWER(1-(AnnualChurn*VLOOKUP(ARJ46,ChurnSeasonTable,4,FALSE)),1)+ARY10*(AnnualChurn*VLOOKUP(ARJ46,ChurnSeasonTable,4,FALSE))*POWER(1-(AnnualChurn*VLOOKUP(ARJ46,ChurnSeasonTable,4,FALSE)),2)</f>
        <v/>
      </c>
      <c r="ASF46" s="12">
        <f>ASF45+ARZ46-ARZ34*(AnnualChurn*VLOOKUP(ARJ46,ChurnSeasonTable,4,FALSE))*POWER(1-(AnnualChurn*VLOOKUP(ARJ46,ChurnSeasonTable,4,FALSE)),0)+ARZ22*(AnnualChurn*VLOOKUP(ARJ46,ChurnSeasonTable,4,FALSE))*POWER(1-(AnnualChurn*VLOOKUP(ARJ46,ChurnSeasonTable,4,FALSE)),1)+ARZ10*(AnnualChurn*VLOOKUP(ARJ46,ChurnSeasonTable,4,FALSE))*POWER(1-(AnnualChurn*VLOOKUP(ARJ46,ChurnSeasonTable,4,FALSE)),2)</f>
        <v/>
      </c>
      <c r="ASG46" s="12">
        <f>ASA46+ASB46+ASC46+ASD46+ASE46+ASF46</f>
        <v/>
      </c>
      <c r="ASH46" s="9">
        <f>ASA46*BlendedPriceEssMonthly*ARM46+ASB46*BlendedPricePremMonthly*ARM46+ASC46*BlendedPriceEliteMonthly*ARM46+ASD46*BlendedPriceEssAnnual*ARM46/12+ASE46*BlendedPricePremAnnual*ARM46/12+ASF46*BlendedPriceEliteAnnual*ARM46/12</f>
        <v/>
      </c>
      <c r="ASI46" s="9">
        <f>ASH46*12</f>
        <v/>
      </c>
      <c r="ASJ46" s="12">
        <f>ASA46*BlendedPriceEssMonthly*ARM46+ASB46*BlendedPricePremMonthly*ARM46+ASC46*BlendedPriceEliteMonthly*ARM46</f>
        <v/>
      </c>
      <c r="ASK46" s="12">
        <f>ARX46*BlendedPriceEssAnnual*ARM46+ARY46*BlendedPricePremAnnual*ARM46+ARZ46*BlendedPriceEliteAnnual*ARM46</f>
        <v/>
      </c>
      <c r="ASL46" s="12">
        <f>ARX34*POWER(1-(AnnualChurn*VLOOKUP(ARJ46,ChurnSeasonTable,4,FALSE)),1)*BlendedPriceEssAnnual*ARM46+ARX22*POWER(1-(AnnualChurn*VLOOKUP(ARJ46,ChurnSeasonTable,4,FALSE)),2)*BlendedPriceEssAnnual*ARM46+ARX10*POWER(1-(AnnualChurn*VLOOKUP(ARJ46,ChurnSeasonTable,4,FALSE)),3)*BlendedPriceEssAnnual*ARM46+ARY34*POWER(1-(AnnualChurn*VLOOKUP(ARJ46,ChurnSeasonTable,4,FALSE)),1)*BlendedPricePremAnnual*ARM46+ARY22*POWER(1-(AnnualChurn*VLOOKUP(ARJ46,ChurnSeasonTable,4,FALSE)),2)*BlendedPricePremAnnual*ARM46+ARY10*POWER(1-(AnnualChurn*VLOOKUP(ARJ46,ChurnSeasonTable,4,FALSE)),3)*BlendedPricePremAnnual*ARM46+ARZ34*POWER(1-(AnnualChurn*VLOOKUP(ARJ46,ChurnSeasonTable,4,FALSE)),1)*BlendedPriceEliteAnnual*ARM46+ARZ22*POWER(1-(AnnualChurn*VLOOKUP(ARJ46,ChurnSeasonTable,4,FALSE)),2)*BlendedPriceEliteAnnual*ARM46+ARZ10*POWER(1-(AnnualChurn*VLOOKUP(ARJ46,ChurnSeasonTable,4,FALSE)),3)*BlendedPriceEliteAnnual*ARM46</f>
        <v/>
      </c>
      <c r="ASM46" s="9">
        <f>ASJ46+ASK46+ASL46</f>
        <v/>
      </c>
      <c r="ASN46" s="12">
        <f>SUM(ASM35:ASM46)</f>
        <v/>
      </c>
      <c r="ASO46" s="12">
        <f>OR(ASO45,IF(VATAgentMode,SUM($ASM35:$ASM46)-SUM($AST35:$AST46)&gt;=VATThreshold,SUM($ASM35:$ASM46)&gt;=VATThreshold))</f>
        <v/>
      </c>
      <c r="ASP46" s="9">
        <f>IF(ASO46,IF(VATAgentMode,ASM46-((ASM46-AST46)-(ASM46-AST46)/(1+VATRate)),ASM46/(1+VATRate)),ASM46)</f>
        <v/>
      </c>
      <c r="ASQ46" s="12">
        <f>ASM46-ASP46</f>
        <v/>
      </c>
      <c r="ASR46" s="12">
        <f>IF(ASO46=0,0,IF(ARJ46=1,SUMPRODUCT(--(($ARK$5:$ARK46=$ARK46-1)*($ARJ$5:$ARJ46&gt;=10)*($ARJ$5:$ARJ46&lt;=12)),$ASQ$5:$ASQ46),IF(ARJ46=4,SUMPRODUCT(--(($ARK$5:$ARK46=$ARK46)*($ARJ$5:$ARJ46&gt;=1)*($ARJ$5:$ARJ46&lt;=3)),$ASQ$5:$ASQ46),IF(ARJ46=7,SUMPRODUCT(--(($ARK$5:$ARK46=$ARK46)*($ARJ$5:$ARJ46&gt;=4)*($ARJ$5:$ARJ46&lt;=6)),$ASQ$5:$ASQ46),IF(ARJ46=10,SUMPRODUCT(--(($ARK$5:$ARK46=$ARK46)*($ARJ$5:$ARJ46&gt;=7)*($ARJ$5:$ARJ46&lt;=9)),$ASQ$5:$ASQ46),0)))))</f>
        <v/>
      </c>
      <c r="ASS46" s="12">
        <f>ASS45+ASQ46-ASR46</f>
        <v/>
      </c>
      <c r="AST46" s="12">
        <f>IF(ProviderDelay&gt;=1,ASA45*BlendedProvPayEss+ASB45*BlendedProvPayPrem+ASC45*BlendedProvPayElite+ASD45*BlendedProvPayEss+ASE45*BlendedProvPayPrem+ASF45*BlendedProvPayElite,ASA46*BlendedProvPayEss+ASB46*BlendedProvPayPrem+ASC46*BlendedProvPayElite+ASD46*BlendedProvPayEss+ASE46*BlendedProvPayPrem+ASF46*BlendedProvPayElite)</f>
        <v/>
      </c>
      <c r="ASU46" s="12">
        <f>ASM46*PaymentFee</f>
        <v/>
      </c>
      <c r="ASV46" s="12">
        <f>ASG46*OpsAI</f>
        <v/>
      </c>
      <c r="ASW46" s="12">
        <f>MonthlyFixed</f>
        <v/>
      </c>
      <c r="ASX46" s="12">
        <f>ARQ46*ReferralReward</f>
        <v/>
      </c>
      <c r="ASY46" s="12">
        <f>ARO46</f>
        <v/>
      </c>
      <c r="ASZ46" s="9">
        <f>ASP46-AST46-ASU46-ASV46-ASW46-ASX46-ASY46</f>
        <v/>
      </c>
      <c r="ATA46" s="9">
        <f>ATA45+ASM46-(AST46+ASU46+ASV46+ASW46+ASX46+ASY46+ASR46)</f>
        <v/>
      </c>
      <c r="ATB46" s="12">
        <f>IF(ASG46&gt;0,ASH46/ASG46,0)</f>
        <v/>
      </c>
      <c r="ATC46" s="11">
        <f>IF(ASG45&gt;0,MAX(0,(ASG45+ARR46-ASG46)/ASG45),0)</f>
        <v/>
      </c>
      <c r="ATE46" s="12" t="n">
        <v>42</v>
      </c>
      <c r="ATF46" s="12">
        <f>MOD(ATE46-1+LaunchMonth-1,12)+1</f>
        <v/>
      </c>
      <c r="ATG46" s="12">
        <f>INT((ATE46-1+LaunchMonth-1)/12)+1</f>
        <v/>
      </c>
      <c r="ATH46" s="12">
        <f>VLOOKUP(ATF46,SeasonTable,2,FALSE)</f>
        <v/>
      </c>
      <c r="ATI46" s="12">
        <f>(1+InflationRate)^INT((ATE46-1)/12)</f>
        <v/>
      </c>
      <c r="ATJ46" s="11">
        <f>MonthlyChurn*VLOOKUP(ATF46,ChurnSeasonTable,4,FALSE)</f>
        <v/>
      </c>
      <c r="ATK46" s="12">
        <f>MIN(MAX(MktMin19plus,AUI45*MktPct19plus),MAX(0,AUW45-CashBuffer))</f>
        <v/>
      </c>
      <c r="ATL46" s="12">
        <f>IF(ATK46&gt;0,MAX(1,ROUND(ATK46/'Sens - CAC &amp; Marketing'!$A$15*ATH46,0)),0)</f>
        <v/>
      </c>
      <c r="ATM46" s="12">
        <f>IF(ATL46&gt;0,ROUND(ATL46*ReferralMix/(1-ReferralMix),0),0)</f>
        <v/>
      </c>
      <c r="ATN46" s="12">
        <f>ATL46+ATM46</f>
        <v/>
      </c>
      <c r="ATO46" s="12">
        <f>ROUND(ATN46*(1-AnnualMix),0)</f>
        <v/>
      </c>
      <c r="ATP46" s="12">
        <f>ATN46-ATO46</f>
        <v/>
      </c>
      <c r="ATQ46" s="12">
        <f>ROUND(ATO46*EssentialMix,0)</f>
        <v/>
      </c>
      <c r="ATR46" s="12">
        <f>ROUND(ATO46*PremiumMix,0)</f>
        <v/>
      </c>
      <c r="ATS46" s="12">
        <f>ATO46-ATQ46-ATR46</f>
        <v/>
      </c>
      <c r="ATT46" s="12">
        <f>ROUND(ATP46*EssentialMix,0)</f>
        <v/>
      </c>
      <c r="ATU46" s="12">
        <f>ROUND(ATP46*PremiumMix,0)</f>
        <v/>
      </c>
      <c r="ATV46" s="12">
        <f>ATP46-ATT46-ATU46</f>
        <v/>
      </c>
      <c r="ATW46" s="12">
        <f>ATQ46+ATQ45+ATQ44+MAX(0,ATW45-ATQ45-ATQ44)*(1-ATJ46)</f>
        <v/>
      </c>
      <c r="ATX46" s="12">
        <f>ATR46+ATR45+ATR44+MAX(0,ATX45-ATR45-ATR44)*(1-ATJ46)</f>
        <v/>
      </c>
      <c r="ATY46" s="12">
        <f>ATS46+ATS45+ATS44+MAX(0,ATY45-ATS45-ATS44)*(1-ATJ46)</f>
        <v/>
      </c>
      <c r="ATZ46" s="12">
        <f>ATZ45+ATT46-ATT34*(AnnualChurn*VLOOKUP(ATF46,ChurnSeasonTable,4,FALSE))*POWER(1-(AnnualChurn*VLOOKUP(ATF46,ChurnSeasonTable,4,FALSE)),0)+ATT22*(AnnualChurn*VLOOKUP(ATF46,ChurnSeasonTable,4,FALSE))*POWER(1-(AnnualChurn*VLOOKUP(ATF46,ChurnSeasonTable,4,FALSE)),1)+ATT10*(AnnualChurn*VLOOKUP(ATF46,ChurnSeasonTable,4,FALSE))*POWER(1-(AnnualChurn*VLOOKUP(ATF46,ChurnSeasonTable,4,FALSE)),2)</f>
        <v/>
      </c>
      <c r="AUA46" s="12">
        <f>AUA45+ATU46-ATU34*(AnnualChurn*VLOOKUP(ATF46,ChurnSeasonTable,4,FALSE))*POWER(1-(AnnualChurn*VLOOKUP(ATF46,ChurnSeasonTable,4,FALSE)),0)+ATU22*(AnnualChurn*VLOOKUP(ATF46,ChurnSeasonTable,4,FALSE))*POWER(1-(AnnualChurn*VLOOKUP(ATF46,ChurnSeasonTable,4,FALSE)),1)+ATU10*(AnnualChurn*VLOOKUP(ATF46,ChurnSeasonTable,4,FALSE))*POWER(1-(AnnualChurn*VLOOKUP(ATF46,ChurnSeasonTable,4,FALSE)),2)</f>
        <v/>
      </c>
      <c r="AUB46" s="12">
        <f>AUB45+ATV46-ATV34*(AnnualChurn*VLOOKUP(ATF46,ChurnSeasonTable,4,FALSE))*POWER(1-(AnnualChurn*VLOOKUP(ATF46,ChurnSeasonTable,4,FALSE)),0)+ATV22*(AnnualChurn*VLOOKUP(ATF46,ChurnSeasonTable,4,FALSE))*POWER(1-(AnnualChurn*VLOOKUP(ATF46,ChurnSeasonTable,4,FALSE)),1)+ATV10*(AnnualChurn*VLOOKUP(ATF46,ChurnSeasonTable,4,FALSE))*POWER(1-(AnnualChurn*VLOOKUP(ATF46,ChurnSeasonTable,4,FALSE)),2)</f>
        <v/>
      </c>
      <c r="AUC46" s="12">
        <f>ATW46+ATX46+ATY46+ATZ46+AUA46+AUB46</f>
        <v/>
      </c>
      <c r="AUD46" s="9">
        <f>ATW46*BlendedPriceEssMonthly*ATI46+ATX46*BlendedPricePremMonthly*ATI46+ATY46*BlendedPriceEliteMonthly*ATI46+ATZ46*BlendedPriceEssAnnual*ATI46/12+AUA46*BlendedPricePremAnnual*ATI46/12+AUB46*BlendedPriceEliteAnnual*ATI46/12</f>
        <v/>
      </c>
      <c r="AUE46" s="9">
        <f>AUD46*12</f>
        <v/>
      </c>
      <c r="AUF46" s="12">
        <f>ATW46*BlendedPriceEssMonthly*ATI46+ATX46*BlendedPricePremMonthly*ATI46+ATY46*BlendedPriceEliteMonthly*ATI46</f>
        <v/>
      </c>
      <c r="AUG46" s="12">
        <f>ATT46*BlendedPriceEssAnnual*ATI46+ATU46*BlendedPricePremAnnual*ATI46+ATV46*BlendedPriceEliteAnnual*ATI46</f>
        <v/>
      </c>
      <c r="AUH46" s="12">
        <f>ATT34*POWER(1-(AnnualChurn*VLOOKUP(ATF46,ChurnSeasonTable,4,FALSE)),1)*BlendedPriceEssAnnual*ATI46+ATT22*POWER(1-(AnnualChurn*VLOOKUP(ATF46,ChurnSeasonTable,4,FALSE)),2)*BlendedPriceEssAnnual*ATI46+ATT10*POWER(1-(AnnualChurn*VLOOKUP(ATF46,ChurnSeasonTable,4,FALSE)),3)*BlendedPriceEssAnnual*ATI46+ATU34*POWER(1-(AnnualChurn*VLOOKUP(ATF46,ChurnSeasonTable,4,FALSE)),1)*BlendedPricePremAnnual*ATI46+ATU22*POWER(1-(AnnualChurn*VLOOKUP(ATF46,ChurnSeasonTable,4,FALSE)),2)*BlendedPricePremAnnual*ATI46+ATU10*POWER(1-(AnnualChurn*VLOOKUP(ATF46,ChurnSeasonTable,4,FALSE)),3)*BlendedPricePremAnnual*ATI46+ATV34*POWER(1-(AnnualChurn*VLOOKUP(ATF46,ChurnSeasonTable,4,FALSE)),1)*BlendedPriceEliteAnnual*ATI46+ATV22*POWER(1-(AnnualChurn*VLOOKUP(ATF46,ChurnSeasonTable,4,FALSE)),2)*BlendedPriceEliteAnnual*ATI46+ATV10*POWER(1-(AnnualChurn*VLOOKUP(ATF46,ChurnSeasonTable,4,FALSE)),3)*BlendedPriceEliteAnnual*ATI46</f>
        <v/>
      </c>
      <c r="AUI46" s="9">
        <f>AUF46+AUG46+AUH46</f>
        <v/>
      </c>
      <c r="AUJ46" s="12">
        <f>SUM(AUI35:AUI46)</f>
        <v/>
      </c>
      <c r="AUK46" s="12">
        <f>OR(AUK45,IF(VATAgentMode,SUM($AUI35:$AUI46)-SUM($AUP35:$AUP46)&gt;=VATThreshold,SUM($AUI35:$AUI46)&gt;=VATThreshold))</f>
        <v/>
      </c>
      <c r="AUL46" s="9">
        <f>IF(AUK46,IF(VATAgentMode,AUI46-((AUI46-AUP46)-(AUI46-AUP46)/(1+VATRate)),AUI46/(1+VATRate)),AUI46)</f>
        <v/>
      </c>
      <c r="AUM46" s="12">
        <f>AUI46-AUL46</f>
        <v/>
      </c>
      <c r="AUN46" s="12">
        <f>IF(AUK46=0,0,IF(ATF46=1,SUMPRODUCT(--(($ATG$5:$ATG46=$ATG46-1)*($ATF$5:$ATF46&gt;=10)*($ATF$5:$ATF46&lt;=12)),$AUM$5:$AUM46),IF(ATF46=4,SUMPRODUCT(--(($ATG$5:$ATG46=$ATG46)*($ATF$5:$ATF46&gt;=1)*($ATF$5:$ATF46&lt;=3)),$AUM$5:$AUM46),IF(ATF46=7,SUMPRODUCT(--(($ATG$5:$ATG46=$ATG46)*($ATF$5:$ATF46&gt;=4)*($ATF$5:$ATF46&lt;=6)),$AUM$5:$AUM46),IF(ATF46=10,SUMPRODUCT(--(($ATG$5:$ATG46=$ATG46)*($ATF$5:$ATF46&gt;=7)*($ATF$5:$ATF46&lt;=9)),$AUM$5:$AUM46),0)))))</f>
        <v/>
      </c>
      <c r="AUO46" s="12">
        <f>AUO45+AUM46-AUN46</f>
        <v/>
      </c>
      <c r="AUP46" s="12">
        <f>IF(ProviderDelay&gt;=1,ATW45*BlendedProvPayEss+ATX45*BlendedProvPayPrem+ATY45*BlendedProvPayElite+ATZ45*BlendedProvPayEss+AUA45*BlendedProvPayPrem+AUB45*BlendedProvPayElite,ATW46*BlendedProvPayEss+ATX46*BlendedProvPayPrem+ATY46*BlendedProvPayElite+ATZ46*BlendedProvPayEss+AUA46*BlendedProvPayPrem+AUB46*BlendedProvPayElite)</f>
        <v/>
      </c>
      <c r="AUQ46" s="12">
        <f>AUI46*PaymentFee</f>
        <v/>
      </c>
      <c r="AUR46" s="12">
        <f>AUC46*OpsAI</f>
        <v/>
      </c>
      <c r="AUS46" s="12">
        <f>MonthlyFixed</f>
        <v/>
      </c>
      <c r="AUT46" s="12">
        <f>ATM46*ReferralReward</f>
        <v/>
      </c>
      <c r="AUU46" s="12">
        <f>ATK46</f>
        <v/>
      </c>
      <c r="AUV46" s="9">
        <f>AUL46-AUP46-AUQ46-AUR46-AUS46-AUT46-AUU46</f>
        <v/>
      </c>
      <c r="AUW46" s="9">
        <f>AUW45+AUI46-(AUP46+AUQ46+AUR46+AUS46+AUT46+AUU46+AUN46)</f>
        <v/>
      </c>
      <c r="AUX46" s="12">
        <f>IF(AUC46&gt;0,AUD46/AUC46,0)</f>
        <v/>
      </c>
      <c r="AUY46" s="11">
        <f>IF(AUC45&gt;0,MAX(0,(AUC45+ATN46-AUC46)/AUC45),0)</f>
        <v/>
      </c>
      <c r="AVA46" s="12" t="n">
        <v>42</v>
      </c>
      <c r="AVB46" s="12">
        <f>MOD(AVA46-1+LaunchMonth-1,12)+1</f>
        <v/>
      </c>
      <c r="AVC46" s="12">
        <f>INT((AVA46-1+LaunchMonth-1)/12)+1</f>
        <v/>
      </c>
      <c r="AVD46" s="12">
        <f>VLOOKUP(AVB46,WinterPivotSeasonTable,5,FALSE)</f>
        <v/>
      </c>
      <c r="AVE46" s="12">
        <f>(1+InflationRate)^INT((AVA46-1)/12)</f>
        <v/>
      </c>
      <c r="AVF46" s="11">
        <f>MonthlyChurn*VLOOKUP(AVB46,WinterPivotChurnTable,6,FALSE)</f>
        <v/>
      </c>
      <c r="AVG46" s="12">
        <f>MIN(MAX(MktMin19plus,AWE45*MktPct19plus),MAX(0,AWS45-CashBuffer))</f>
        <v/>
      </c>
      <c r="AVH46" s="12">
        <f>IF(AVG46&gt;0,MAX(1,ROUND(AVG46/CAC*AVD46,0)),0)</f>
        <v/>
      </c>
      <c r="AVI46" s="12">
        <f>IF(AVH46&gt;0,ROUND(AVH46*ReferralMix/(1-ReferralMix),0),0)</f>
        <v/>
      </c>
      <c r="AVJ46" s="12">
        <f>AVH46+AVI46</f>
        <v/>
      </c>
      <c r="AVK46" s="12">
        <f>ROUND(AVJ46*(1-AnnualMix),0)</f>
        <v/>
      </c>
      <c r="AVL46" s="12">
        <f>AVJ46-AVK46</f>
        <v/>
      </c>
      <c r="AVM46" s="12">
        <f>ROUND(AVK46*'Sens - Winter Pivot'!$B$6,0)</f>
        <v/>
      </c>
      <c r="AVN46" s="12">
        <f>ROUND(AVK46*PremiumMix,0)</f>
        <v/>
      </c>
      <c r="AVO46" s="12">
        <f>AVK46-AVM46-AVN46</f>
        <v/>
      </c>
      <c r="AVP46" s="12">
        <f>ROUND(AVL46*'Sens - Winter Pivot'!$B$6,0)</f>
        <v/>
      </c>
      <c r="AVQ46" s="12">
        <f>ROUND(AVL46*PremiumMix,0)</f>
        <v/>
      </c>
      <c r="AVR46" s="12">
        <f>AVL46-AVP46-AVQ46</f>
        <v/>
      </c>
      <c r="AVS46" s="12">
        <f>AVM46+AVM45+AVM44+MAX(0,AVS45-AVM45-AVM44)*(1-AVF46)</f>
        <v/>
      </c>
      <c r="AVT46" s="12">
        <f>AVN46+AVN45+AVN44+MAX(0,AVT45-AVN45-AVN44)*(1-AVF46)</f>
        <v/>
      </c>
      <c r="AVU46" s="12">
        <f>AVO46+AVO45+AVO44+MAX(0,AVU45-AVO45-AVO44)*(1-AVF46)</f>
        <v/>
      </c>
      <c r="AVV46" s="12">
        <f>AVV45+AVP46-AVP34*(AnnualChurn*VLOOKUP(AVB46,ChurnSeasonTable,4,FALSE))*POWER(1-(AnnualChurn*VLOOKUP(AVB46,ChurnSeasonTable,4,FALSE)),0)+AVP22*(AnnualChurn*VLOOKUP(AVB46,ChurnSeasonTable,4,FALSE))*POWER(1-(AnnualChurn*VLOOKUP(AVB46,ChurnSeasonTable,4,FALSE)),1)+AVP10*(AnnualChurn*VLOOKUP(AVB46,ChurnSeasonTable,4,FALSE))*POWER(1-(AnnualChurn*VLOOKUP(AVB46,ChurnSeasonTable,4,FALSE)),2)</f>
        <v/>
      </c>
      <c r="AVW46" s="12">
        <f>AVW45+AVQ46-AVQ34*(AnnualChurn*VLOOKUP(AVB46,ChurnSeasonTable,4,FALSE))*POWER(1-(AnnualChurn*VLOOKUP(AVB46,ChurnSeasonTable,4,FALSE)),0)+AVQ22*(AnnualChurn*VLOOKUP(AVB46,ChurnSeasonTable,4,FALSE))*POWER(1-(AnnualChurn*VLOOKUP(AVB46,ChurnSeasonTable,4,FALSE)),1)+AVQ10*(AnnualChurn*VLOOKUP(AVB46,ChurnSeasonTable,4,FALSE))*POWER(1-(AnnualChurn*VLOOKUP(AVB46,ChurnSeasonTable,4,FALSE)),2)</f>
        <v/>
      </c>
      <c r="AVX46" s="12">
        <f>AVX45+AVR46-AVR34*(AnnualChurn*VLOOKUP(AVB46,ChurnSeasonTable,4,FALSE))*POWER(1-(AnnualChurn*VLOOKUP(AVB46,ChurnSeasonTable,4,FALSE)),0)+AVR22*(AnnualChurn*VLOOKUP(AVB46,ChurnSeasonTable,4,FALSE))*POWER(1-(AnnualChurn*VLOOKUP(AVB46,ChurnSeasonTable,4,FALSE)),1)+AVR10*(AnnualChurn*VLOOKUP(AVB46,ChurnSeasonTable,4,FALSE))*POWER(1-(AnnualChurn*VLOOKUP(AVB46,ChurnSeasonTable,4,FALSE)),2)</f>
        <v/>
      </c>
      <c r="AVY46" s="12">
        <f>AVS46+AVT46+AVU46+AVV46+AVW46+AVX46</f>
        <v/>
      </c>
      <c r="AVZ46" s="9">
        <f>AVS46*BlendedPriceEssMonthly*AVE46+AVT46*(BlendedPricePremMonthly+'Sens - Winter Pivot'!$B$7)*AVE46+AVU46*BlendedPriceEliteMonthly*AVE46+AVV46*BlendedPriceEssAnnual*AVE46/12+AVW46*(BlendedPricePremAnnual+'Sens - Winter Pivot'!$B$7*12)*AVE46/12+AVX46*BlendedPriceEliteAnnual*AVE46/12</f>
        <v/>
      </c>
      <c r="AWA46" s="9">
        <f>AVZ46*12</f>
        <v/>
      </c>
      <c r="AWB46" s="12">
        <f>AVS46*BlendedPriceEssMonthly*AVE46+AVT46*(BlendedPricePremMonthly+'Sens - Winter Pivot'!$B$7)*AVE46+AVU46*BlendedPriceEliteMonthly*AVE46</f>
        <v/>
      </c>
      <c r="AWC46" s="12">
        <f>AVP46*BlendedPriceEssAnnual*AVE46+AVQ46*(BlendedPricePremAnnual+'Sens - Winter Pivot'!$B$7*12)*AVE46+AVR46*BlendedPriceEliteAnnual*AVE46</f>
        <v/>
      </c>
      <c r="AWD46" s="12">
        <f>AVP34*POWER(1-(AnnualChurn*VLOOKUP(AVB46,ChurnSeasonTable,4,FALSE)),1)*BlendedPriceEssAnnual*AVE46+AVP22*POWER(1-(AnnualChurn*VLOOKUP(AVB46,ChurnSeasonTable,4,FALSE)),2)*BlendedPriceEssAnnual*AVE46+AVP10*POWER(1-(AnnualChurn*VLOOKUP(AVB46,ChurnSeasonTable,4,FALSE)),3)*BlendedPriceEssAnnual*AVE46+AVQ34*POWER(1-(AnnualChurn*VLOOKUP(AVB46,ChurnSeasonTable,4,FALSE)),1)*BlendedPricePremAnnual*AVE46+AVQ22*POWER(1-(AnnualChurn*VLOOKUP(AVB46,ChurnSeasonTable,4,FALSE)),2)*BlendedPricePremAnnual*AVE46+AVQ10*POWER(1-(AnnualChurn*VLOOKUP(AVB46,ChurnSeasonTable,4,FALSE)),3)*BlendedPricePremAnnual*AVE46+AVR34*POWER(1-(AnnualChurn*VLOOKUP(AVB46,ChurnSeasonTable,4,FALSE)),1)*BlendedPriceEliteAnnual*AVE46+AVR22*POWER(1-(AnnualChurn*VLOOKUP(AVB46,ChurnSeasonTable,4,FALSE)),2)*BlendedPriceEliteAnnual*AVE46+AVR10*POWER(1-(AnnualChurn*VLOOKUP(AVB46,ChurnSeasonTable,4,FALSE)),3)*BlendedPriceEliteAnnual*AVE46</f>
        <v/>
      </c>
      <c r="AWE46" s="9">
        <f>AWB46+AWC46+AWD46</f>
        <v/>
      </c>
      <c r="AWF46" s="12">
        <f>SUM(AWE35:AWE46)</f>
        <v/>
      </c>
      <c r="AWG46" s="12">
        <f>OR(AWG45,IF(VATAgentMode,SUM($AWE35:$AWE46)-SUM($AWL35:$AWL46)&gt;=VATThreshold,SUM($AWE35:$AWE46)&gt;=VATThreshold))</f>
        <v/>
      </c>
      <c r="AWH46" s="9">
        <f>IF(AWG46,IF(VATAgentMode,AWE46-((AWE46-AWL46)-(AWE46-AWL46)/(1+VATRate)),AWE46/(1+VATRate)),AWE46)</f>
        <v/>
      </c>
      <c r="AWI46" s="12">
        <f>AWE46-AWH46</f>
        <v/>
      </c>
      <c r="AWJ46" s="12">
        <f>IF(AWG46=0,0,IF(AVB46=1,SUMPRODUCT(--(($AVC$5:$AVC46=$AVC46-1)*($AVB$5:$AVB46&gt;=10)*($AVB$5:$AVB46&lt;=12)),$AWI$5:$AWI46),IF(AVB46=4,SUMPRODUCT(--(($AVC$5:$AVC46=$AVC46)*($AVB$5:$AVB46&gt;=1)*($AVB$5:$AVB46&lt;=3)),$AWI$5:$AWI46),IF(AVB46=7,SUMPRODUCT(--(($AVC$5:$AVC46=$AVC46)*($AVB$5:$AVB46&gt;=4)*($AVB$5:$AVB46&lt;=6)),$AWI$5:$AWI46),IF(AVB46=10,SUMPRODUCT(--(($AVC$5:$AVC46=$AVC46)*($AVB$5:$AVB46&gt;=7)*($AVB$5:$AVB46&lt;=9)),$AWI$5:$AWI46),0)))))</f>
        <v/>
      </c>
      <c r="AWK46" s="12">
        <f>AWK45+AWI46-AWJ46</f>
        <v/>
      </c>
      <c r="AWL46" s="12">
        <f>IF(ProviderDelay&gt;=1,AVS45*BlendedProvPayEss+AVT45*BlendedProvPayPrem+AVU45*BlendedProvPayElite+AVV45*BlendedProvPayEss+AVW45*BlendedProvPayPrem+AVX45*BlendedProvPayElite,AVS46*BlendedProvPayEss+AVT46*BlendedProvPayPrem+AVU46*BlendedProvPayElite+AVV46*BlendedProvPayEss+AVW46*BlendedProvPayPrem+AVX46*BlendedProvPayElite)</f>
        <v/>
      </c>
      <c r="AWM46" s="12">
        <f>AWE46*PaymentFee</f>
        <v/>
      </c>
      <c r="AWN46" s="12">
        <f>AVY46*OpsAI</f>
        <v/>
      </c>
      <c r="AWO46" s="12">
        <f>MonthlyFixed</f>
        <v/>
      </c>
      <c r="AWP46" s="12">
        <f>AVI46*ReferralReward</f>
        <v/>
      </c>
      <c r="AWQ46" s="12">
        <f>AVG46</f>
        <v/>
      </c>
      <c r="AWR46" s="9">
        <f>AWH46-AWL46-AWM46-AWN46-AWO46-AWP46-AWQ46</f>
        <v/>
      </c>
      <c r="AWS46" s="9">
        <f>AWS45+AWE46-(AWL46+AWM46+AWN46+AWO46+AWP46+AWQ46+AWJ46)</f>
        <v/>
      </c>
      <c r="AWT46" s="12">
        <f>IF(AVY46&gt;0,AVZ46/AVY46,0)</f>
        <v/>
      </c>
      <c r="AWU46" s="11">
        <f>IF(AVY45&gt;0,MAX(0,(AVY45+AVJ46-AVY46)/AVY45),0)</f>
        <v/>
      </c>
    </row>
    <row r="47">
      <c r="A47" s="12" t="n">
        <v>43</v>
      </c>
      <c r="B47" s="12">
        <f>MOD(A47-1+LaunchMonth-1,12)+1</f>
        <v/>
      </c>
      <c r="C47" s="12">
        <f>INT((A47-1+LaunchMonth-1)/12)+1</f>
        <v/>
      </c>
      <c r="D47" s="12">
        <f>VLOOKUP(B47,SeasonTable,2,FALSE)</f>
        <v/>
      </c>
      <c r="E47" s="12">
        <f>(1+InflationRate)^INT((A47-1)/12)</f>
        <v/>
      </c>
      <c r="F47" s="11">
        <f>'Sens - Scenarios'!$B$5*VLOOKUP(B47,ChurnSeasonTable,4,FALSE)</f>
        <v/>
      </c>
      <c r="G47" s="12">
        <f>MIN(MAX(MktMin19plus,AE46*MktPct19plus),MAX(0,AS46-CashBuffer))</f>
        <v/>
      </c>
      <c r="H47" s="12">
        <f>IF(G47&gt;0,MAX(1,ROUND(G47/'Sens - Scenarios'!$B$8*D47,0)),0)</f>
        <v/>
      </c>
      <c r="I47" s="12">
        <f>IF(H47&gt;0,ROUND(H47*ReferralMix/(1-ReferralMix),0),0)</f>
        <v/>
      </c>
      <c r="J47" s="12">
        <f>H47+I47</f>
        <v/>
      </c>
      <c r="K47" s="12">
        <f>ROUND(J47*(1-'Sens - Scenarios'!$B$7),0)</f>
        <v/>
      </c>
      <c r="L47" s="12">
        <f>J47-K47</f>
        <v/>
      </c>
      <c r="M47" s="12">
        <f>ROUND(K47*EssentialMix,0)</f>
        <v/>
      </c>
      <c r="N47" s="12">
        <f>ROUND(K47*PremiumMix,0)</f>
        <v/>
      </c>
      <c r="O47" s="12">
        <f>K47-M47-N47</f>
        <v/>
      </c>
      <c r="P47" s="12">
        <f>ROUND(L47*EssentialMix,0)</f>
        <v/>
      </c>
      <c r="Q47" s="12">
        <f>ROUND(L47*PremiumMix,0)</f>
        <v/>
      </c>
      <c r="R47" s="12">
        <f>L47-P47-Q47</f>
        <v/>
      </c>
      <c r="S47" s="12">
        <f>M47+M46+M45+MAX(0,S46-M46-M45)*(1-F47)</f>
        <v/>
      </c>
      <c r="T47" s="12">
        <f>N47+N46+N45+MAX(0,T46-N46-N45)*(1-F47)</f>
        <v/>
      </c>
      <c r="U47" s="12">
        <f>O47+O46+O45+MAX(0,U46-O46-O45)*(1-F47)</f>
        <v/>
      </c>
      <c r="V47" s="12">
        <f>V46+P47-P35*('Sens - Scenarios'!$B$6*VLOOKUP(B47,ChurnSeasonTable,4,FALSE))*POWER(1-('Sens - Scenarios'!$B$6*VLOOKUP(B47,ChurnSeasonTable,4,FALSE)),0)+P23*('Sens - Scenarios'!$B$6*VLOOKUP(B47,ChurnSeasonTable,4,FALSE))*POWER(1-('Sens - Scenarios'!$B$6*VLOOKUP(B47,ChurnSeasonTable,4,FALSE)),1)+P11*('Sens - Scenarios'!$B$6*VLOOKUP(B47,ChurnSeasonTable,4,FALSE))*POWER(1-('Sens - Scenarios'!$B$6*VLOOKUP(B47,ChurnSeasonTable,4,FALSE)),2)</f>
        <v/>
      </c>
      <c r="W47" s="12">
        <f>W46+Q47-Q35*('Sens - Scenarios'!$B$6*VLOOKUP(B47,ChurnSeasonTable,4,FALSE))*POWER(1-('Sens - Scenarios'!$B$6*VLOOKUP(B47,ChurnSeasonTable,4,FALSE)),0)+Q23*('Sens - Scenarios'!$B$6*VLOOKUP(B47,ChurnSeasonTable,4,FALSE))*POWER(1-('Sens - Scenarios'!$B$6*VLOOKUP(B47,ChurnSeasonTable,4,FALSE)),1)+Q11*('Sens - Scenarios'!$B$6*VLOOKUP(B47,ChurnSeasonTable,4,FALSE))*POWER(1-('Sens - Scenarios'!$B$6*VLOOKUP(B47,ChurnSeasonTable,4,FALSE)),2)</f>
        <v/>
      </c>
      <c r="X47" s="12">
        <f>X46+R47-R35*('Sens - Scenarios'!$B$6*VLOOKUP(B47,ChurnSeasonTable,4,FALSE))*POWER(1-('Sens - Scenarios'!$B$6*VLOOKUP(B47,ChurnSeasonTable,4,FALSE)),0)+R23*('Sens - Scenarios'!$B$6*VLOOKUP(B47,ChurnSeasonTable,4,FALSE))*POWER(1-('Sens - Scenarios'!$B$6*VLOOKUP(B47,ChurnSeasonTable,4,FALSE)),1)+R11*('Sens - Scenarios'!$B$6*VLOOKUP(B47,ChurnSeasonTable,4,FALSE))*POWER(1-('Sens - Scenarios'!$B$6*VLOOKUP(B47,ChurnSeasonTable,4,FALSE)),2)</f>
        <v/>
      </c>
      <c r="Y47" s="12">
        <f>S47+T47+U47+V47+W47+X47</f>
        <v/>
      </c>
      <c r="Z47" s="9">
        <f>S47*BlendedPriceEssMonthly*E47+T47*BlendedPricePremMonthly*E47+U47*BlendedPriceEliteMonthly*E47+V47*BlendedPriceEssAnnual*E47/12+W47*BlendedPricePremAnnual*E47/12+X47*BlendedPriceEliteAnnual*E47/12</f>
        <v/>
      </c>
      <c r="AA47" s="9">
        <f>Z47*12</f>
        <v/>
      </c>
      <c r="AB47" s="12">
        <f>S47*BlendedPriceEssMonthly*E47+T47*BlendedPricePremMonthly*E47+U47*BlendedPriceEliteMonthly*E47</f>
        <v/>
      </c>
      <c r="AC47" s="12">
        <f>P47*BlendedPriceEssAnnual*E47+Q47*BlendedPricePremAnnual*E47+R47*BlendedPriceEliteAnnual*E47</f>
        <v/>
      </c>
      <c r="AD47" s="12">
        <f>P35*POWER(1-('Sens - Scenarios'!$B$6*VLOOKUP(B47,ChurnSeasonTable,4,FALSE)),1)*BlendedPriceEssAnnual*E47+P23*POWER(1-('Sens - Scenarios'!$B$6*VLOOKUP(B47,ChurnSeasonTable,4,FALSE)),2)*BlendedPriceEssAnnual*E47+P11*POWER(1-('Sens - Scenarios'!$B$6*VLOOKUP(B47,ChurnSeasonTable,4,FALSE)),3)*BlendedPriceEssAnnual*E47+Q35*POWER(1-('Sens - Scenarios'!$B$6*VLOOKUP(B47,ChurnSeasonTable,4,FALSE)),1)*BlendedPricePremAnnual*E47+Q23*POWER(1-('Sens - Scenarios'!$B$6*VLOOKUP(B47,ChurnSeasonTable,4,FALSE)),2)*BlendedPricePremAnnual*E47+Q11*POWER(1-('Sens - Scenarios'!$B$6*VLOOKUP(B47,ChurnSeasonTable,4,FALSE)),3)*BlendedPricePremAnnual*E47+R35*POWER(1-('Sens - Scenarios'!$B$6*VLOOKUP(B47,ChurnSeasonTable,4,FALSE)),1)*BlendedPriceEliteAnnual*E47+R23*POWER(1-('Sens - Scenarios'!$B$6*VLOOKUP(B47,ChurnSeasonTable,4,FALSE)),2)*BlendedPriceEliteAnnual*E47+R11*POWER(1-('Sens - Scenarios'!$B$6*VLOOKUP(B47,ChurnSeasonTable,4,FALSE)),3)*BlendedPriceEliteAnnual*E47</f>
        <v/>
      </c>
      <c r="AE47" s="9">
        <f>AB47+AC47+AD47</f>
        <v/>
      </c>
      <c r="AF47" s="12">
        <f>SUM(AE36:AE47)</f>
        <v/>
      </c>
      <c r="AG47" s="12">
        <f>OR(AG46,IF(VATAgentMode,SUM($AE36:$AE47)-SUM($AL36:$AL47)&gt;=VATThreshold,SUM($AE36:$AE47)&gt;=VATThreshold))</f>
        <v/>
      </c>
      <c r="AH47" s="9">
        <f>IF(AG47,IF(VATAgentMode,AE47-((AE47-AL47)-(AE47-AL47)/(1+VATRate)),AE47/(1+VATRate)),AE47)</f>
        <v/>
      </c>
      <c r="AI47" s="12">
        <f>AE47-AH47</f>
        <v/>
      </c>
      <c r="AJ47" s="12">
        <f>IF(AG47=0,0,IF(B47=1,SUMPRODUCT(--(($C$5:$C47=$C47-1)*($B$5:$B47&gt;=10)*($B$5:$B47&lt;=12)),$AI$5:$AI47),IF(B47=4,SUMPRODUCT(--(($C$5:$C47=$C47)*($B$5:$B47&gt;=1)*($B$5:$B47&lt;=3)),$AI$5:$AI47),IF(B47=7,SUMPRODUCT(--(($C$5:$C47=$C47)*($B$5:$B47&gt;=4)*($B$5:$B47&lt;=6)),$AI$5:$AI47),IF(B47=10,SUMPRODUCT(--(($C$5:$C47=$C47)*($B$5:$B47&gt;=7)*($B$5:$B47&lt;=9)),$AI$5:$AI47),0)))))</f>
        <v/>
      </c>
      <c r="AK47" s="12">
        <f>AK46+AI47-AJ47</f>
        <v/>
      </c>
      <c r="AL47" s="12">
        <f>IF(ProviderDelay&gt;=1,S46*BlendedProvPayEss+T46*BlendedProvPayPrem+U46*BlendedProvPayElite+V46*BlendedProvPayEss+W46*BlendedProvPayPrem+X46*BlendedProvPayElite,S47*BlendedProvPayEss+T47*BlendedProvPayPrem+U47*BlendedProvPayElite+V47*BlendedProvPayEss+W47*BlendedProvPayPrem+X47*BlendedProvPayElite)</f>
        <v/>
      </c>
      <c r="AM47" s="12">
        <f>AE47*PaymentFee</f>
        <v/>
      </c>
      <c r="AN47" s="12">
        <f>Y47*OpsAI</f>
        <v/>
      </c>
      <c r="AO47" s="12">
        <f>MonthlyFixed</f>
        <v/>
      </c>
      <c r="AP47" s="12">
        <f>I47*ReferralReward</f>
        <v/>
      </c>
      <c r="AQ47" s="12">
        <f>G47</f>
        <v/>
      </c>
      <c r="AR47" s="9">
        <f>AH47-AL47-AM47-AN47-AO47-AP47-AQ47</f>
        <v/>
      </c>
      <c r="AS47" s="9">
        <f>AS46+AE47-(AL47+AM47+AN47+AO47+AP47+AQ47+AJ47)</f>
        <v/>
      </c>
      <c r="AT47" s="12">
        <f>IF(Y47&gt;0,Z47/Y47,0)</f>
        <v/>
      </c>
      <c r="AU47" s="11">
        <f>IF(Y46&gt;0,MAX(0,(Y46+J47-Y47)/Y46),0)</f>
        <v/>
      </c>
      <c r="AW47" s="12" t="n">
        <v>43</v>
      </c>
      <c r="AX47" s="12">
        <f>MOD(AW47-1+LaunchMonth-1,12)+1</f>
        <v/>
      </c>
      <c r="AY47" s="12">
        <f>INT((AW47-1+LaunchMonth-1)/12)+1</f>
        <v/>
      </c>
      <c r="AZ47" s="12">
        <f>VLOOKUP(AX47,SeasonTable,2,FALSE)</f>
        <v/>
      </c>
      <c r="BA47" s="12">
        <f>(1+InflationRate)^INT((AW47-1)/12)</f>
        <v/>
      </c>
      <c r="BB47" s="11">
        <f>MonthlyChurn*VLOOKUP(AX47,ChurnSeasonTable,4,FALSE)</f>
        <v/>
      </c>
      <c r="BC47" s="12">
        <f>MIN(MAX(MktMin19plus,CA46*MktPct19plus),MAX(0,CO46-CashBuffer))</f>
        <v/>
      </c>
      <c r="BD47" s="12">
        <f>IF(BC47&gt;0,MAX(1,ROUND(BC47/CAC*AZ47,0)),0)</f>
        <v/>
      </c>
      <c r="BE47" s="12">
        <f>IF(BD47&gt;0,ROUND(BD47*ReferralMix/(1-ReferralMix),0),0)</f>
        <v/>
      </c>
      <c r="BF47" s="12">
        <f>BD47+BE47</f>
        <v/>
      </c>
      <c r="BG47" s="12">
        <f>ROUND(BF47*(1-AnnualMix),0)</f>
        <v/>
      </c>
      <c r="BH47" s="12">
        <f>BF47-BG47</f>
        <v/>
      </c>
      <c r="BI47" s="12">
        <f>ROUND(BG47*EssentialMix,0)</f>
        <v/>
      </c>
      <c r="BJ47" s="12">
        <f>ROUND(BG47*PremiumMix,0)</f>
        <v/>
      </c>
      <c r="BK47" s="12">
        <f>BG47-BI47-BJ47</f>
        <v/>
      </c>
      <c r="BL47" s="12">
        <f>ROUND(BH47*EssentialMix,0)</f>
        <v/>
      </c>
      <c r="BM47" s="12">
        <f>ROUND(BH47*PremiumMix,0)</f>
        <v/>
      </c>
      <c r="BN47" s="12">
        <f>BH47-BL47-BM47</f>
        <v/>
      </c>
      <c r="BO47" s="12">
        <f>BI47+BI46+BI45+MAX(0,BO46-BI46-BI45)*(1-BB47)</f>
        <v/>
      </c>
      <c r="BP47" s="12">
        <f>BJ47+BJ46+BJ45+MAX(0,BP46-BJ46-BJ45)*(1-BB47)</f>
        <v/>
      </c>
      <c r="BQ47" s="12">
        <f>BK47+BK46+BK45+MAX(0,BQ46-BK46-BK45)*(1-BB47)</f>
        <v/>
      </c>
      <c r="BR47" s="12">
        <f>BR46+BL47-BL35*(AnnualChurn*VLOOKUP(AX47,ChurnSeasonTable,4,FALSE))*POWER(1-(AnnualChurn*VLOOKUP(AX47,ChurnSeasonTable,4,FALSE)),0)+BL23*(AnnualChurn*VLOOKUP(AX47,ChurnSeasonTable,4,FALSE))*POWER(1-(AnnualChurn*VLOOKUP(AX47,ChurnSeasonTable,4,FALSE)),1)+BL11*(AnnualChurn*VLOOKUP(AX47,ChurnSeasonTable,4,FALSE))*POWER(1-(AnnualChurn*VLOOKUP(AX47,ChurnSeasonTable,4,FALSE)),2)</f>
        <v/>
      </c>
      <c r="BS47" s="12">
        <f>BS46+BM47-BM35*(AnnualChurn*VLOOKUP(AX47,ChurnSeasonTable,4,FALSE))*POWER(1-(AnnualChurn*VLOOKUP(AX47,ChurnSeasonTable,4,FALSE)),0)+BM23*(AnnualChurn*VLOOKUP(AX47,ChurnSeasonTable,4,FALSE))*POWER(1-(AnnualChurn*VLOOKUP(AX47,ChurnSeasonTable,4,FALSE)),1)+BM11*(AnnualChurn*VLOOKUP(AX47,ChurnSeasonTable,4,FALSE))*POWER(1-(AnnualChurn*VLOOKUP(AX47,ChurnSeasonTable,4,FALSE)),2)</f>
        <v/>
      </c>
      <c r="BT47" s="12">
        <f>BT46+BN47-BN35*(AnnualChurn*VLOOKUP(AX47,ChurnSeasonTable,4,FALSE))*POWER(1-(AnnualChurn*VLOOKUP(AX47,ChurnSeasonTable,4,FALSE)),0)+BN23*(AnnualChurn*VLOOKUP(AX47,ChurnSeasonTable,4,FALSE))*POWER(1-(AnnualChurn*VLOOKUP(AX47,ChurnSeasonTable,4,FALSE)),1)+BN11*(AnnualChurn*VLOOKUP(AX47,ChurnSeasonTable,4,FALSE))*POWER(1-(AnnualChurn*VLOOKUP(AX47,ChurnSeasonTable,4,FALSE)),2)</f>
        <v/>
      </c>
      <c r="BU47" s="12">
        <f>BO47+BP47+BQ47+BR47+BS47+BT47</f>
        <v/>
      </c>
      <c r="BV47" s="9">
        <f>BO47*BlendedPriceEssMonthly*BA47+BP47*BlendedPricePremMonthly*BA47+BQ47*BlendedPriceEliteMonthly*BA47+BR47*BlendedPriceEssAnnual*BA47/12+BS47*BlendedPricePremAnnual*BA47/12+BT47*BlendedPriceEliteAnnual*BA47/12</f>
        <v/>
      </c>
      <c r="BW47" s="9">
        <f>BV47*12</f>
        <v/>
      </c>
      <c r="BX47" s="12">
        <f>BO47*BlendedPriceEssMonthly*BA47+BP47*BlendedPricePremMonthly*BA47+BQ47*BlendedPriceEliteMonthly*BA47</f>
        <v/>
      </c>
      <c r="BY47" s="12">
        <f>BL47*BlendedPriceEssAnnual*BA47+BM47*BlendedPricePremAnnual*BA47+BN47*BlendedPriceEliteAnnual*BA47</f>
        <v/>
      </c>
      <c r="BZ47" s="12">
        <f>BL35*POWER(1-(AnnualChurn*VLOOKUP(AX47,ChurnSeasonTable,4,FALSE)),1)*BlendedPriceEssAnnual*BA47+BL23*POWER(1-(AnnualChurn*VLOOKUP(AX47,ChurnSeasonTable,4,FALSE)),2)*BlendedPriceEssAnnual*BA47+BL11*POWER(1-(AnnualChurn*VLOOKUP(AX47,ChurnSeasonTable,4,FALSE)),3)*BlendedPriceEssAnnual*BA47+BM35*POWER(1-(AnnualChurn*VLOOKUP(AX47,ChurnSeasonTable,4,FALSE)),1)*BlendedPricePremAnnual*BA47+BM23*POWER(1-(AnnualChurn*VLOOKUP(AX47,ChurnSeasonTable,4,FALSE)),2)*BlendedPricePremAnnual*BA47+BM11*POWER(1-(AnnualChurn*VLOOKUP(AX47,ChurnSeasonTable,4,FALSE)),3)*BlendedPricePremAnnual*BA47+BN35*POWER(1-(AnnualChurn*VLOOKUP(AX47,ChurnSeasonTable,4,FALSE)),1)*BlendedPriceEliteAnnual*BA47+BN23*POWER(1-(AnnualChurn*VLOOKUP(AX47,ChurnSeasonTable,4,FALSE)),2)*BlendedPriceEliteAnnual*BA47+BN11*POWER(1-(AnnualChurn*VLOOKUP(AX47,ChurnSeasonTable,4,FALSE)),3)*BlendedPriceEliteAnnual*BA47</f>
        <v/>
      </c>
      <c r="CA47" s="9">
        <f>BX47+BY47+BZ47</f>
        <v/>
      </c>
      <c r="CB47" s="12">
        <f>SUM(CA36:CA47)</f>
        <v/>
      </c>
      <c r="CC47" s="12">
        <f>OR(CC46,IF(VATAgentMode,SUM($CA36:$CA47)-SUM($CH36:$CH47)&gt;=VATThreshold,SUM($CA36:$CA47)&gt;=VATThreshold))</f>
        <v/>
      </c>
      <c r="CD47" s="9">
        <f>IF(CC47,IF(VATAgentMode,CA47-((CA47-CH47)-(CA47-CH47)/(1+VATRate)),CA47/(1+VATRate)),CA47)</f>
        <v/>
      </c>
      <c r="CE47" s="12">
        <f>CA47-CD47</f>
        <v/>
      </c>
      <c r="CF47" s="12">
        <f>IF(CC47=0,0,IF(AX47=1,SUMPRODUCT(--(($AY$5:$AY47=$AY47-1)*($AX$5:$AX47&gt;=10)*($AX$5:$AX47&lt;=12)),$CE$5:$CE47),IF(AX47=4,SUMPRODUCT(--(($AY$5:$AY47=$AY47)*($AX$5:$AX47&gt;=1)*($AX$5:$AX47&lt;=3)),$CE$5:$CE47),IF(AX47=7,SUMPRODUCT(--(($AY$5:$AY47=$AY47)*($AX$5:$AX47&gt;=4)*($AX$5:$AX47&lt;=6)),$CE$5:$CE47),IF(AX47=10,SUMPRODUCT(--(($AY$5:$AY47=$AY47)*($AX$5:$AX47&gt;=7)*($AX$5:$AX47&lt;=9)),$CE$5:$CE47),0)))))</f>
        <v/>
      </c>
      <c r="CG47" s="12">
        <f>CG46+CE47-CF47</f>
        <v/>
      </c>
      <c r="CH47" s="12">
        <f>IF(ProviderDelay&gt;=1,BO46*BlendedProvPayEss+BP46*BlendedProvPayPrem+BQ46*BlendedProvPayElite+BR46*BlendedProvPayEss+BS46*BlendedProvPayPrem+BT46*BlendedProvPayElite,BO47*BlendedProvPayEss+BP47*BlendedProvPayPrem+BQ47*BlendedProvPayElite+BR47*BlendedProvPayEss+BS47*BlendedProvPayPrem+BT47*BlendedProvPayElite)</f>
        <v/>
      </c>
      <c r="CI47" s="12">
        <f>CA47*PaymentFee</f>
        <v/>
      </c>
      <c r="CJ47" s="12">
        <f>BU47*OpsAI</f>
        <v/>
      </c>
      <c r="CK47" s="12">
        <f>MonthlyFixed</f>
        <v/>
      </c>
      <c r="CL47" s="12">
        <f>BE47*ReferralReward</f>
        <v/>
      </c>
      <c r="CM47" s="12">
        <f>BC47</f>
        <v/>
      </c>
      <c r="CN47" s="9">
        <f>CD47-CH47-CI47-CJ47-CK47-CL47-CM47</f>
        <v/>
      </c>
      <c r="CO47" s="9">
        <f>CO46+CA47-(CH47+CI47+CJ47+CK47+CL47+CM47+CF47)</f>
        <v/>
      </c>
      <c r="CP47" s="12">
        <f>IF(BU47&gt;0,BV47/BU47,0)</f>
        <v/>
      </c>
      <c r="CQ47" s="11">
        <f>IF(BU46&gt;0,MAX(0,(BU46+BF47-BU47)/BU46),0)</f>
        <v/>
      </c>
      <c r="CS47" s="12" t="n">
        <v>43</v>
      </c>
      <c r="CT47" s="12">
        <f>MOD(CS47-1+LaunchMonth-1,12)+1</f>
        <v/>
      </c>
      <c r="CU47" s="12">
        <f>INT((CS47-1+LaunchMonth-1)/12)+1</f>
        <v/>
      </c>
      <c r="CV47" s="12">
        <f>VLOOKUP(CT47,SeasonTable,2,FALSE)</f>
        <v/>
      </c>
      <c r="CW47" s="12">
        <f>(1+InflationRate)^INT((CS47-1)/12)</f>
        <v/>
      </c>
      <c r="CX47" s="11">
        <f>'Sens - Scenarios'!$D$5*VLOOKUP(CT47,ChurnSeasonTable,4,FALSE)</f>
        <v/>
      </c>
      <c r="CY47" s="12">
        <f>MIN(MAX(MktMin19plus,DW46*MktPct19plus),MAX(0,EK46-CashBuffer))</f>
        <v/>
      </c>
      <c r="CZ47" s="12">
        <f>IF(CY47&gt;0,MAX(1,ROUND(CY47/'Sens - Scenarios'!$D$8*CV47,0)),0)</f>
        <v/>
      </c>
      <c r="DA47" s="12">
        <f>IF(CZ47&gt;0,ROUND(CZ47*ReferralMix/(1-ReferralMix),0),0)</f>
        <v/>
      </c>
      <c r="DB47" s="12">
        <f>CZ47+DA47</f>
        <v/>
      </c>
      <c r="DC47" s="12">
        <f>ROUND(DB47*(1-'Sens - Scenarios'!$D$7),0)</f>
        <v/>
      </c>
      <c r="DD47" s="12">
        <f>DB47-DC47</f>
        <v/>
      </c>
      <c r="DE47" s="12">
        <f>ROUND(DC47*EssentialMix,0)</f>
        <v/>
      </c>
      <c r="DF47" s="12">
        <f>ROUND(DC47*PremiumMix,0)</f>
        <v/>
      </c>
      <c r="DG47" s="12">
        <f>DC47-DE47-DF47</f>
        <v/>
      </c>
      <c r="DH47" s="12">
        <f>ROUND(DD47*EssentialMix,0)</f>
        <v/>
      </c>
      <c r="DI47" s="12">
        <f>ROUND(DD47*PremiumMix,0)</f>
        <v/>
      </c>
      <c r="DJ47" s="12">
        <f>DD47-DH47-DI47</f>
        <v/>
      </c>
      <c r="DK47" s="12">
        <f>DE47+DE46+DE45+MAX(0,DK46-DE46-DE45)*(1-CX47)</f>
        <v/>
      </c>
      <c r="DL47" s="12">
        <f>DF47+DF46+DF45+MAX(0,DL46-DF46-DF45)*(1-CX47)</f>
        <v/>
      </c>
      <c r="DM47" s="12">
        <f>DG47+DG46+DG45+MAX(0,DM46-DG46-DG45)*(1-CX47)</f>
        <v/>
      </c>
      <c r="DN47" s="12">
        <f>DN46+DH47-DH35*('Sens - Scenarios'!$D$6*VLOOKUP(CT47,ChurnSeasonTable,4,FALSE))*POWER(1-('Sens - Scenarios'!$D$6*VLOOKUP(CT47,ChurnSeasonTable,4,FALSE)),0)+DH23*('Sens - Scenarios'!$D$6*VLOOKUP(CT47,ChurnSeasonTable,4,FALSE))*POWER(1-('Sens - Scenarios'!$D$6*VLOOKUP(CT47,ChurnSeasonTable,4,FALSE)),1)+DH11*('Sens - Scenarios'!$D$6*VLOOKUP(CT47,ChurnSeasonTable,4,FALSE))*POWER(1-('Sens - Scenarios'!$D$6*VLOOKUP(CT47,ChurnSeasonTable,4,FALSE)),2)</f>
        <v/>
      </c>
      <c r="DO47" s="12">
        <f>DO46+DI47-DI35*('Sens - Scenarios'!$D$6*VLOOKUP(CT47,ChurnSeasonTable,4,FALSE))*POWER(1-('Sens - Scenarios'!$D$6*VLOOKUP(CT47,ChurnSeasonTable,4,FALSE)),0)+DI23*('Sens - Scenarios'!$D$6*VLOOKUP(CT47,ChurnSeasonTable,4,FALSE))*POWER(1-('Sens - Scenarios'!$D$6*VLOOKUP(CT47,ChurnSeasonTable,4,FALSE)),1)+DI11*('Sens - Scenarios'!$D$6*VLOOKUP(CT47,ChurnSeasonTable,4,FALSE))*POWER(1-('Sens - Scenarios'!$D$6*VLOOKUP(CT47,ChurnSeasonTable,4,FALSE)),2)</f>
        <v/>
      </c>
      <c r="DP47" s="12">
        <f>DP46+DJ47-DJ35*('Sens - Scenarios'!$D$6*VLOOKUP(CT47,ChurnSeasonTable,4,FALSE))*POWER(1-('Sens - Scenarios'!$D$6*VLOOKUP(CT47,ChurnSeasonTable,4,FALSE)),0)+DJ23*('Sens - Scenarios'!$D$6*VLOOKUP(CT47,ChurnSeasonTable,4,FALSE))*POWER(1-('Sens - Scenarios'!$D$6*VLOOKUP(CT47,ChurnSeasonTable,4,FALSE)),1)+DJ11*('Sens - Scenarios'!$D$6*VLOOKUP(CT47,ChurnSeasonTable,4,FALSE))*POWER(1-('Sens - Scenarios'!$D$6*VLOOKUP(CT47,ChurnSeasonTable,4,FALSE)),2)</f>
        <v/>
      </c>
      <c r="DQ47" s="12">
        <f>DK47+DL47+DM47+DN47+DO47+DP47</f>
        <v/>
      </c>
      <c r="DR47" s="9">
        <f>DK47*BlendedPriceEssMonthly*CW47+DL47*BlendedPricePremMonthly*CW47+DM47*BlendedPriceEliteMonthly*CW47+DN47*BlendedPriceEssAnnual*CW47/12+DO47*BlendedPricePremAnnual*CW47/12+DP47*BlendedPriceEliteAnnual*CW47/12</f>
        <v/>
      </c>
      <c r="DS47" s="9">
        <f>DR47*12</f>
        <v/>
      </c>
      <c r="DT47" s="12">
        <f>DK47*BlendedPriceEssMonthly*CW47+DL47*BlendedPricePremMonthly*CW47+DM47*BlendedPriceEliteMonthly*CW47</f>
        <v/>
      </c>
      <c r="DU47" s="12">
        <f>DH47*BlendedPriceEssAnnual*CW47+DI47*BlendedPricePremAnnual*CW47+DJ47*BlendedPriceEliteAnnual*CW47</f>
        <v/>
      </c>
      <c r="DV47" s="12">
        <f>DH35*POWER(1-('Sens - Scenarios'!$D$6*VLOOKUP(CT47,ChurnSeasonTable,4,FALSE)),1)*BlendedPriceEssAnnual*CW47+DH23*POWER(1-('Sens - Scenarios'!$D$6*VLOOKUP(CT47,ChurnSeasonTable,4,FALSE)),2)*BlendedPriceEssAnnual*CW47+DH11*POWER(1-('Sens - Scenarios'!$D$6*VLOOKUP(CT47,ChurnSeasonTable,4,FALSE)),3)*BlendedPriceEssAnnual*CW47+DI35*POWER(1-('Sens - Scenarios'!$D$6*VLOOKUP(CT47,ChurnSeasonTable,4,FALSE)),1)*BlendedPricePremAnnual*CW47+DI23*POWER(1-('Sens - Scenarios'!$D$6*VLOOKUP(CT47,ChurnSeasonTable,4,FALSE)),2)*BlendedPricePremAnnual*CW47+DI11*POWER(1-('Sens - Scenarios'!$D$6*VLOOKUP(CT47,ChurnSeasonTable,4,FALSE)),3)*BlendedPricePremAnnual*CW47+DJ35*POWER(1-('Sens - Scenarios'!$D$6*VLOOKUP(CT47,ChurnSeasonTable,4,FALSE)),1)*BlendedPriceEliteAnnual*CW47+DJ23*POWER(1-('Sens - Scenarios'!$D$6*VLOOKUP(CT47,ChurnSeasonTable,4,FALSE)),2)*BlendedPriceEliteAnnual*CW47+DJ11*POWER(1-('Sens - Scenarios'!$D$6*VLOOKUP(CT47,ChurnSeasonTable,4,FALSE)),3)*BlendedPriceEliteAnnual*CW47</f>
        <v/>
      </c>
      <c r="DW47" s="9">
        <f>DT47+DU47+DV47</f>
        <v/>
      </c>
      <c r="DX47" s="12">
        <f>SUM(DW36:DW47)</f>
        <v/>
      </c>
      <c r="DY47" s="12">
        <f>OR(DY46,IF(VATAgentMode,SUM($DW36:$DW47)-SUM($ED36:$ED47)&gt;=VATThreshold,SUM($DW36:$DW47)&gt;=VATThreshold))</f>
        <v/>
      </c>
      <c r="DZ47" s="9">
        <f>IF(DY47,IF(VATAgentMode,DW47-((DW47-ED47)-(DW47-ED47)/(1+VATRate)),DW47/(1+VATRate)),DW47)</f>
        <v/>
      </c>
      <c r="EA47" s="12">
        <f>DW47-DZ47</f>
        <v/>
      </c>
      <c r="EB47" s="12">
        <f>IF(DY47=0,0,IF(CT47=1,SUMPRODUCT(--(($CU$5:$CU47=$CU47-1)*($CT$5:$CT47&gt;=10)*($CT$5:$CT47&lt;=12)),$EA$5:$EA47),IF(CT47=4,SUMPRODUCT(--(($CU$5:$CU47=$CU47)*($CT$5:$CT47&gt;=1)*($CT$5:$CT47&lt;=3)),$EA$5:$EA47),IF(CT47=7,SUMPRODUCT(--(($CU$5:$CU47=$CU47)*($CT$5:$CT47&gt;=4)*($CT$5:$CT47&lt;=6)),$EA$5:$EA47),IF(CT47=10,SUMPRODUCT(--(($CU$5:$CU47=$CU47)*($CT$5:$CT47&gt;=7)*($CT$5:$CT47&lt;=9)),$EA$5:$EA47),0)))))</f>
        <v/>
      </c>
      <c r="EC47" s="12">
        <f>EC46+EA47-EB47</f>
        <v/>
      </c>
      <c r="ED47" s="12">
        <f>IF(ProviderDelay&gt;=1,DK46*BlendedProvPayEss+DL46*BlendedProvPayPrem+DM46*BlendedProvPayElite+DN46*BlendedProvPayEss+DO46*BlendedProvPayPrem+DP46*BlendedProvPayElite,DK47*BlendedProvPayEss+DL47*BlendedProvPayPrem+DM47*BlendedProvPayElite+DN47*BlendedProvPayEss+DO47*BlendedProvPayPrem+DP47*BlendedProvPayElite)</f>
        <v/>
      </c>
      <c r="EE47" s="12">
        <f>DW47*PaymentFee</f>
        <v/>
      </c>
      <c r="EF47" s="12">
        <f>DQ47*OpsAI</f>
        <v/>
      </c>
      <c r="EG47" s="12">
        <f>MonthlyFixed</f>
        <v/>
      </c>
      <c r="EH47" s="12">
        <f>DA47*ReferralReward</f>
        <v/>
      </c>
      <c r="EI47" s="12">
        <f>CY47</f>
        <v/>
      </c>
      <c r="EJ47" s="9">
        <f>DZ47-ED47-EE47-EF47-EG47-EH47-EI47</f>
        <v/>
      </c>
      <c r="EK47" s="9">
        <f>EK46+DW47-(ED47+EE47+EF47+EG47+EH47+EI47+EB47)</f>
        <v/>
      </c>
      <c r="EL47" s="12">
        <f>IF(DQ47&gt;0,DR47/DQ47,0)</f>
        <v/>
      </c>
      <c r="EM47" s="11">
        <f>IF(DQ46&gt;0,MAX(0,(DQ46+DB47-DQ47)/DQ46),0)</f>
        <v/>
      </c>
      <c r="EO47" s="12" t="n">
        <v>43</v>
      </c>
      <c r="EP47" s="12">
        <f>MOD(EO47-1+LaunchMonth-1,12)+1</f>
        <v/>
      </c>
      <c r="EQ47" s="12">
        <f>INT((EO47-1+LaunchMonth-1)/12)+1</f>
        <v/>
      </c>
      <c r="ER47" s="12">
        <f>VLOOKUP(EP47,SeasonTable,2,FALSE)</f>
        <v/>
      </c>
      <c r="ES47" s="12">
        <f>(1+InflationRate)^INT((EO47-1)/12)</f>
        <v/>
      </c>
      <c r="ET47" s="11">
        <f>'Sens - Churn'!$A$13*VLOOKUP(EP47,ChurnSeasonTable,4,FALSE)</f>
        <v/>
      </c>
      <c r="EU47" s="12">
        <f>MIN(MAX(MktMin19plus,FS46*MktPct19plus),MAX(0,GG46-CashBuffer))</f>
        <v/>
      </c>
      <c r="EV47" s="12">
        <f>IF(EU47&gt;0,MAX(1,ROUND(EU47/CAC*ER47,0)),0)</f>
        <v/>
      </c>
      <c r="EW47" s="12">
        <f>IF(EV47&gt;0,ROUND(EV47*ReferralMix/(1-ReferralMix),0),0)</f>
        <v/>
      </c>
      <c r="EX47" s="12">
        <f>EV47+EW47</f>
        <v/>
      </c>
      <c r="EY47" s="12">
        <f>ROUND(EX47*(1-AnnualMix),0)</f>
        <v/>
      </c>
      <c r="EZ47" s="12">
        <f>EX47-EY47</f>
        <v/>
      </c>
      <c r="FA47" s="12">
        <f>ROUND(EY47*EssentialMix,0)</f>
        <v/>
      </c>
      <c r="FB47" s="12">
        <f>ROUND(EY47*PremiumMix,0)</f>
        <v/>
      </c>
      <c r="FC47" s="12">
        <f>EY47-FA47-FB47</f>
        <v/>
      </c>
      <c r="FD47" s="12">
        <f>ROUND(EZ47*EssentialMix,0)</f>
        <v/>
      </c>
      <c r="FE47" s="12">
        <f>ROUND(EZ47*PremiumMix,0)</f>
        <v/>
      </c>
      <c r="FF47" s="12">
        <f>EZ47-FD47-FE47</f>
        <v/>
      </c>
      <c r="FG47" s="12">
        <f>FA47+FA46+FA45+MAX(0,FG46-FA46-FA45)*(1-ET47)</f>
        <v/>
      </c>
      <c r="FH47" s="12">
        <f>FB47+FB46+FB45+MAX(0,FH46-FB46-FB45)*(1-ET47)</f>
        <v/>
      </c>
      <c r="FI47" s="12">
        <f>FC47+FC46+FC45+MAX(0,FI46-FC46-FC45)*(1-ET47)</f>
        <v/>
      </c>
      <c r="FJ47" s="12">
        <f>FJ46+FD47-FD35*(AnnualChurn*VLOOKUP(EP47,ChurnSeasonTable,4,FALSE))*POWER(1-(AnnualChurn*VLOOKUP(EP47,ChurnSeasonTable,4,FALSE)),0)+FD23*(AnnualChurn*VLOOKUP(EP47,ChurnSeasonTable,4,FALSE))*POWER(1-(AnnualChurn*VLOOKUP(EP47,ChurnSeasonTable,4,FALSE)),1)+FD11*(AnnualChurn*VLOOKUP(EP47,ChurnSeasonTable,4,FALSE))*POWER(1-(AnnualChurn*VLOOKUP(EP47,ChurnSeasonTable,4,FALSE)),2)</f>
        <v/>
      </c>
      <c r="FK47" s="12">
        <f>FK46+FE47-FE35*(AnnualChurn*VLOOKUP(EP47,ChurnSeasonTable,4,FALSE))*POWER(1-(AnnualChurn*VLOOKUP(EP47,ChurnSeasonTable,4,FALSE)),0)+FE23*(AnnualChurn*VLOOKUP(EP47,ChurnSeasonTable,4,FALSE))*POWER(1-(AnnualChurn*VLOOKUP(EP47,ChurnSeasonTable,4,FALSE)),1)+FE11*(AnnualChurn*VLOOKUP(EP47,ChurnSeasonTable,4,FALSE))*POWER(1-(AnnualChurn*VLOOKUP(EP47,ChurnSeasonTable,4,FALSE)),2)</f>
        <v/>
      </c>
      <c r="FL47" s="12">
        <f>FL46+FF47-FF35*(AnnualChurn*VLOOKUP(EP47,ChurnSeasonTable,4,FALSE))*POWER(1-(AnnualChurn*VLOOKUP(EP47,ChurnSeasonTable,4,FALSE)),0)+FF23*(AnnualChurn*VLOOKUP(EP47,ChurnSeasonTable,4,FALSE))*POWER(1-(AnnualChurn*VLOOKUP(EP47,ChurnSeasonTable,4,FALSE)),1)+FF11*(AnnualChurn*VLOOKUP(EP47,ChurnSeasonTable,4,FALSE))*POWER(1-(AnnualChurn*VLOOKUP(EP47,ChurnSeasonTable,4,FALSE)),2)</f>
        <v/>
      </c>
      <c r="FM47" s="12">
        <f>FG47+FH47+FI47+FJ47+FK47+FL47</f>
        <v/>
      </c>
      <c r="FN47" s="9">
        <f>FG47*BlendedPriceEssMonthly*ES47+FH47*BlendedPricePremMonthly*ES47+FI47*BlendedPriceEliteMonthly*ES47+FJ47*BlendedPriceEssAnnual*ES47/12+FK47*BlendedPricePremAnnual*ES47/12+FL47*BlendedPriceEliteAnnual*ES47/12</f>
        <v/>
      </c>
      <c r="FO47" s="9">
        <f>FN47*12</f>
        <v/>
      </c>
      <c r="FP47" s="12">
        <f>FG47*BlendedPriceEssMonthly*ES47+FH47*BlendedPricePremMonthly*ES47+FI47*BlendedPriceEliteMonthly*ES47</f>
        <v/>
      </c>
      <c r="FQ47" s="12">
        <f>FD47*BlendedPriceEssAnnual*ES47+FE47*BlendedPricePremAnnual*ES47+FF47*BlendedPriceEliteAnnual*ES47</f>
        <v/>
      </c>
      <c r="FR47" s="12">
        <f>FD35*POWER(1-(AnnualChurn*VLOOKUP(EP47,ChurnSeasonTable,4,FALSE)),1)*BlendedPriceEssAnnual*ES47+FD23*POWER(1-(AnnualChurn*VLOOKUP(EP47,ChurnSeasonTable,4,FALSE)),2)*BlendedPriceEssAnnual*ES47+FD11*POWER(1-(AnnualChurn*VLOOKUP(EP47,ChurnSeasonTable,4,FALSE)),3)*BlendedPriceEssAnnual*ES47+FE35*POWER(1-(AnnualChurn*VLOOKUP(EP47,ChurnSeasonTable,4,FALSE)),1)*BlendedPricePremAnnual*ES47+FE23*POWER(1-(AnnualChurn*VLOOKUP(EP47,ChurnSeasonTable,4,FALSE)),2)*BlendedPricePremAnnual*ES47+FE11*POWER(1-(AnnualChurn*VLOOKUP(EP47,ChurnSeasonTable,4,FALSE)),3)*BlendedPricePremAnnual*ES47+FF35*POWER(1-(AnnualChurn*VLOOKUP(EP47,ChurnSeasonTable,4,FALSE)),1)*BlendedPriceEliteAnnual*ES47+FF23*POWER(1-(AnnualChurn*VLOOKUP(EP47,ChurnSeasonTable,4,FALSE)),2)*BlendedPriceEliteAnnual*ES47+FF11*POWER(1-(AnnualChurn*VLOOKUP(EP47,ChurnSeasonTable,4,FALSE)),3)*BlendedPriceEliteAnnual*ES47</f>
        <v/>
      </c>
      <c r="FS47" s="9">
        <f>FP47+FQ47+FR47</f>
        <v/>
      </c>
      <c r="FT47" s="12">
        <f>SUM(FS36:FS47)</f>
        <v/>
      </c>
      <c r="FU47" s="12">
        <f>OR(FU46,IF(VATAgentMode,SUM($FS36:$FS47)-SUM($FZ36:$FZ47)&gt;=VATThreshold,SUM($FS36:$FS47)&gt;=VATThreshold))</f>
        <v/>
      </c>
      <c r="FV47" s="9">
        <f>IF(FU47,IF(VATAgentMode,FS47-((FS47-FZ47)-(FS47-FZ47)/(1+VATRate)),FS47/(1+VATRate)),FS47)</f>
        <v/>
      </c>
      <c r="FW47" s="12">
        <f>FS47-FV47</f>
        <v/>
      </c>
      <c r="FX47" s="12">
        <f>IF(FU47=0,0,IF(EP47=1,SUMPRODUCT(--(($EQ$5:$EQ47=$EQ47-1)*($EP$5:$EP47&gt;=10)*($EP$5:$EP47&lt;=12)),$FW$5:$FW47),IF(EP47=4,SUMPRODUCT(--(($EQ$5:$EQ47=$EQ47)*($EP$5:$EP47&gt;=1)*($EP$5:$EP47&lt;=3)),$FW$5:$FW47),IF(EP47=7,SUMPRODUCT(--(($EQ$5:$EQ47=$EQ47)*($EP$5:$EP47&gt;=4)*($EP$5:$EP47&lt;=6)),$FW$5:$FW47),IF(EP47=10,SUMPRODUCT(--(($EQ$5:$EQ47=$EQ47)*($EP$5:$EP47&gt;=7)*($EP$5:$EP47&lt;=9)),$FW$5:$FW47),0)))))</f>
        <v/>
      </c>
      <c r="FY47" s="12">
        <f>FY46+FW47-FX47</f>
        <v/>
      </c>
      <c r="FZ47" s="12">
        <f>IF(ProviderDelay&gt;=1,FG46*BlendedProvPayEss+FH46*BlendedProvPayPrem+FI46*BlendedProvPayElite+FJ46*BlendedProvPayEss+FK46*BlendedProvPayPrem+FL46*BlendedProvPayElite,FG47*BlendedProvPayEss+FH47*BlendedProvPayPrem+FI47*BlendedProvPayElite+FJ47*BlendedProvPayEss+FK47*BlendedProvPayPrem+FL47*BlendedProvPayElite)</f>
        <v/>
      </c>
      <c r="GA47" s="12">
        <f>FS47*PaymentFee</f>
        <v/>
      </c>
      <c r="GB47" s="12">
        <f>FM47*OpsAI</f>
        <v/>
      </c>
      <c r="GC47" s="12">
        <f>MonthlyFixed</f>
        <v/>
      </c>
      <c r="GD47" s="12">
        <f>EW47*ReferralReward</f>
        <v/>
      </c>
      <c r="GE47" s="12">
        <f>EU47</f>
        <v/>
      </c>
      <c r="GF47" s="9">
        <f>FV47-FZ47-GA47-GB47-GC47-GD47-GE47</f>
        <v/>
      </c>
      <c r="GG47" s="9">
        <f>GG46+FS47-(FZ47+GA47+GB47+GC47+GD47+GE47+FX47)</f>
        <v/>
      </c>
      <c r="GH47" s="12">
        <f>IF(FM47&gt;0,FN47/FM47,0)</f>
        <v/>
      </c>
      <c r="GI47" s="11">
        <f>IF(FM46&gt;0,MAX(0,(FM46+EX47-FM47)/FM46),0)</f>
        <v/>
      </c>
      <c r="GK47" s="12" t="n">
        <v>43</v>
      </c>
      <c r="GL47" s="12">
        <f>MOD(GK47-1+LaunchMonth-1,12)+1</f>
        <v/>
      </c>
      <c r="GM47" s="12">
        <f>INT((GK47-1+LaunchMonth-1)/12)+1</f>
        <v/>
      </c>
      <c r="GN47" s="12">
        <f>VLOOKUP(GL47,SeasonTable,2,FALSE)</f>
        <v/>
      </c>
      <c r="GO47" s="12">
        <f>(1+InflationRate)^INT((GK47-1)/12)</f>
        <v/>
      </c>
      <c r="GP47" s="11">
        <f>'Sens - Churn'!$A$14*VLOOKUP(GL47,ChurnSeasonTable,4,FALSE)</f>
        <v/>
      </c>
      <c r="GQ47" s="12">
        <f>MIN(MAX(MktMin19plus,HO46*MktPct19plus),MAX(0,IC46-CashBuffer))</f>
        <v/>
      </c>
      <c r="GR47" s="12">
        <f>IF(GQ47&gt;0,MAX(1,ROUND(GQ47/CAC*GN47,0)),0)</f>
        <v/>
      </c>
      <c r="GS47" s="12">
        <f>IF(GR47&gt;0,ROUND(GR47*ReferralMix/(1-ReferralMix),0),0)</f>
        <v/>
      </c>
      <c r="GT47" s="12">
        <f>GR47+GS47</f>
        <v/>
      </c>
      <c r="GU47" s="12">
        <f>ROUND(GT47*(1-AnnualMix),0)</f>
        <v/>
      </c>
      <c r="GV47" s="12">
        <f>GT47-GU47</f>
        <v/>
      </c>
      <c r="GW47" s="12">
        <f>ROUND(GU47*EssentialMix,0)</f>
        <v/>
      </c>
      <c r="GX47" s="12">
        <f>ROUND(GU47*PremiumMix,0)</f>
        <v/>
      </c>
      <c r="GY47" s="12">
        <f>GU47-GW47-GX47</f>
        <v/>
      </c>
      <c r="GZ47" s="12">
        <f>ROUND(GV47*EssentialMix,0)</f>
        <v/>
      </c>
      <c r="HA47" s="12">
        <f>ROUND(GV47*PremiumMix,0)</f>
        <v/>
      </c>
      <c r="HB47" s="12">
        <f>GV47-GZ47-HA47</f>
        <v/>
      </c>
      <c r="HC47" s="12">
        <f>GW47+GW46+GW45+MAX(0,HC46-GW46-GW45)*(1-GP47)</f>
        <v/>
      </c>
      <c r="HD47" s="12">
        <f>GX47+GX46+GX45+MAX(0,HD46-GX46-GX45)*(1-GP47)</f>
        <v/>
      </c>
      <c r="HE47" s="12">
        <f>GY47+GY46+GY45+MAX(0,HE46-GY46-GY45)*(1-GP47)</f>
        <v/>
      </c>
      <c r="HF47" s="12">
        <f>HF46+GZ47-GZ35*(AnnualChurn*VLOOKUP(GL47,ChurnSeasonTable,4,FALSE))*POWER(1-(AnnualChurn*VLOOKUP(GL47,ChurnSeasonTable,4,FALSE)),0)+GZ23*(AnnualChurn*VLOOKUP(GL47,ChurnSeasonTable,4,FALSE))*POWER(1-(AnnualChurn*VLOOKUP(GL47,ChurnSeasonTable,4,FALSE)),1)+GZ11*(AnnualChurn*VLOOKUP(GL47,ChurnSeasonTable,4,FALSE))*POWER(1-(AnnualChurn*VLOOKUP(GL47,ChurnSeasonTable,4,FALSE)),2)</f>
        <v/>
      </c>
      <c r="HG47" s="12">
        <f>HG46+HA47-HA35*(AnnualChurn*VLOOKUP(GL47,ChurnSeasonTable,4,FALSE))*POWER(1-(AnnualChurn*VLOOKUP(GL47,ChurnSeasonTable,4,FALSE)),0)+HA23*(AnnualChurn*VLOOKUP(GL47,ChurnSeasonTable,4,FALSE))*POWER(1-(AnnualChurn*VLOOKUP(GL47,ChurnSeasonTable,4,FALSE)),1)+HA11*(AnnualChurn*VLOOKUP(GL47,ChurnSeasonTable,4,FALSE))*POWER(1-(AnnualChurn*VLOOKUP(GL47,ChurnSeasonTable,4,FALSE)),2)</f>
        <v/>
      </c>
      <c r="HH47" s="12">
        <f>HH46+HB47-HB35*(AnnualChurn*VLOOKUP(GL47,ChurnSeasonTable,4,FALSE))*POWER(1-(AnnualChurn*VLOOKUP(GL47,ChurnSeasonTable,4,FALSE)),0)+HB23*(AnnualChurn*VLOOKUP(GL47,ChurnSeasonTable,4,FALSE))*POWER(1-(AnnualChurn*VLOOKUP(GL47,ChurnSeasonTable,4,FALSE)),1)+HB11*(AnnualChurn*VLOOKUP(GL47,ChurnSeasonTable,4,FALSE))*POWER(1-(AnnualChurn*VLOOKUP(GL47,ChurnSeasonTable,4,FALSE)),2)</f>
        <v/>
      </c>
      <c r="HI47" s="12">
        <f>HC47+HD47+HE47+HF47+HG47+HH47</f>
        <v/>
      </c>
      <c r="HJ47" s="9">
        <f>HC47*BlendedPriceEssMonthly*GO47+HD47*BlendedPricePremMonthly*GO47+HE47*BlendedPriceEliteMonthly*GO47+HF47*BlendedPriceEssAnnual*GO47/12+HG47*BlendedPricePremAnnual*GO47/12+HH47*BlendedPriceEliteAnnual*GO47/12</f>
        <v/>
      </c>
      <c r="HK47" s="9">
        <f>HJ47*12</f>
        <v/>
      </c>
      <c r="HL47" s="12">
        <f>HC47*BlendedPriceEssMonthly*GO47+HD47*BlendedPricePremMonthly*GO47+HE47*BlendedPriceEliteMonthly*GO47</f>
        <v/>
      </c>
      <c r="HM47" s="12">
        <f>GZ47*BlendedPriceEssAnnual*GO47+HA47*BlendedPricePremAnnual*GO47+HB47*BlendedPriceEliteAnnual*GO47</f>
        <v/>
      </c>
      <c r="HN47" s="12">
        <f>GZ35*POWER(1-(AnnualChurn*VLOOKUP(GL47,ChurnSeasonTable,4,FALSE)),1)*BlendedPriceEssAnnual*GO47+GZ23*POWER(1-(AnnualChurn*VLOOKUP(GL47,ChurnSeasonTable,4,FALSE)),2)*BlendedPriceEssAnnual*GO47+GZ11*POWER(1-(AnnualChurn*VLOOKUP(GL47,ChurnSeasonTable,4,FALSE)),3)*BlendedPriceEssAnnual*GO47+HA35*POWER(1-(AnnualChurn*VLOOKUP(GL47,ChurnSeasonTable,4,FALSE)),1)*BlendedPricePremAnnual*GO47+HA23*POWER(1-(AnnualChurn*VLOOKUP(GL47,ChurnSeasonTable,4,FALSE)),2)*BlendedPricePremAnnual*GO47+HA11*POWER(1-(AnnualChurn*VLOOKUP(GL47,ChurnSeasonTable,4,FALSE)),3)*BlendedPricePremAnnual*GO47+HB35*POWER(1-(AnnualChurn*VLOOKUP(GL47,ChurnSeasonTable,4,FALSE)),1)*BlendedPriceEliteAnnual*GO47+HB23*POWER(1-(AnnualChurn*VLOOKUP(GL47,ChurnSeasonTable,4,FALSE)),2)*BlendedPriceEliteAnnual*GO47+HB11*POWER(1-(AnnualChurn*VLOOKUP(GL47,ChurnSeasonTable,4,FALSE)),3)*BlendedPriceEliteAnnual*GO47</f>
        <v/>
      </c>
      <c r="HO47" s="9">
        <f>HL47+HM47+HN47</f>
        <v/>
      </c>
      <c r="HP47" s="12">
        <f>SUM(HO36:HO47)</f>
        <v/>
      </c>
      <c r="HQ47" s="12">
        <f>OR(HQ46,IF(VATAgentMode,SUM($HO36:$HO47)-SUM($HV36:$HV47)&gt;=VATThreshold,SUM($HO36:$HO47)&gt;=VATThreshold))</f>
        <v/>
      </c>
      <c r="HR47" s="9">
        <f>IF(HQ47,IF(VATAgentMode,HO47-((HO47-HV47)-(HO47-HV47)/(1+VATRate)),HO47/(1+VATRate)),HO47)</f>
        <v/>
      </c>
      <c r="HS47" s="12">
        <f>HO47-HR47</f>
        <v/>
      </c>
      <c r="HT47" s="12">
        <f>IF(HQ47=0,0,IF(GL47=1,SUMPRODUCT(--(($GM$5:$GM47=$GM47-1)*($GL$5:$GL47&gt;=10)*($GL$5:$GL47&lt;=12)),$HS$5:$HS47),IF(GL47=4,SUMPRODUCT(--(($GM$5:$GM47=$GM47)*($GL$5:$GL47&gt;=1)*($GL$5:$GL47&lt;=3)),$HS$5:$HS47),IF(GL47=7,SUMPRODUCT(--(($GM$5:$GM47=$GM47)*($GL$5:$GL47&gt;=4)*($GL$5:$GL47&lt;=6)),$HS$5:$HS47),IF(GL47=10,SUMPRODUCT(--(($GM$5:$GM47=$GM47)*($GL$5:$GL47&gt;=7)*($GL$5:$GL47&lt;=9)),$HS$5:$HS47),0)))))</f>
        <v/>
      </c>
      <c r="HU47" s="12">
        <f>HU46+HS47-HT47</f>
        <v/>
      </c>
      <c r="HV47" s="12">
        <f>IF(ProviderDelay&gt;=1,HC46*BlendedProvPayEss+HD46*BlendedProvPayPrem+HE46*BlendedProvPayElite+HF46*BlendedProvPayEss+HG46*BlendedProvPayPrem+HH46*BlendedProvPayElite,HC47*BlendedProvPayEss+HD47*BlendedProvPayPrem+HE47*BlendedProvPayElite+HF47*BlendedProvPayEss+HG47*BlendedProvPayPrem+HH47*BlendedProvPayElite)</f>
        <v/>
      </c>
      <c r="HW47" s="12">
        <f>HO47*PaymentFee</f>
        <v/>
      </c>
      <c r="HX47" s="12">
        <f>HI47*OpsAI</f>
        <v/>
      </c>
      <c r="HY47" s="12">
        <f>MonthlyFixed</f>
        <v/>
      </c>
      <c r="HZ47" s="12">
        <f>GS47*ReferralReward</f>
        <v/>
      </c>
      <c r="IA47" s="12">
        <f>GQ47</f>
        <v/>
      </c>
      <c r="IB47" s="9">
        <f>HR47-HV47-HW47-HX47-HY47-HZ47-IA47</f>
        <v/>
      </c>
      <c r="IC47" s="9">
        <f>IC46+HO47-(HV47+HW47+HX47+HY47+HZ47+IA47+HT47)</f>
        <v/>
      </c>
      <c r="ID47" s="12">
        <f>IF(HI47&gt;0,HJ47/HI47,0)</f>
        <v/>
      </c>
      <c r="IE47" s="11">
        <f>IF(HI46&gt;0,MAX(0,(HI46+GT47-HI47)/HI46),0)</f>
        <v/>
      </c>
      <c r="IG47" s="12" t="n">
        <v>43</v>
      </c>
      <c r="IH47" s="12">
        <f>MOD(IG47-1+LaunchMonth-1,12)+1</f>
        <v/>
      </c>
      <c r="II47" s="12">
        <f>INT((IG47-1+LaunchMonth-1)/12)+1</f>
        <v/>
      </c>
      <c r="IJ47" s="12">
        <f>VLOOKUP(IH47,SeasonTable,2,FALSE)</f>
        <v/>
      </c>
      <c r="IK47" s="12">
        <f>(1+InflationRate)^INT((IG47-1)/12)</f>
        <v/>
      </c>
      <c r="IL47" s="11">
        <f>'Sens - Churn'!$A$15*VLOOKUP(IH47,ChurnSeasonTable,4,FALSE)</f>
        <v/>
      </c>
      <c r="IM47" s="12">
        <f>MIN(MAX(MktMin19plus,JK46*MktPct19plus),MAX(0,JY46-CashBuffer))</f>
        <v/>
      </c>
      <c r="IN47" s="12">
        <f>IF(IM47&gt;0,MAX(1,ROUND(IM47/CAC*IJ47,0)),0)</f>
        <v/>
      </c>
      <c r="IO47" s="12">
        <f>IF(IN47&gt;0,ROUND(IN47*ReferralMix/(1-ReferralMix),0),0)</f>
        <v/>
      </c>
      <c r="IP47" s="12">
        <f>IN47+IO47</f>
        <v/>
      </c>
      <c r="IQ47" s="12">
        <f>ROUND(IP47*(1-AnnualMix),0)</f>
        <v/>
      </c>
      <c r="IR47" s="12">
        <f>IP47-IQ47</f>
        <v/>
      </c>
      <c r="IS47" s="12">
        <f>ROUND(IQ47*EssentialMix,0)</f>
        <v/>
      </c>
      <c r="IT47" s="12">
        <f>ROUND(IQ47*PremiumMix,0)</f>
        <v/>
      </c>
      <c r="IU47" s="12">
        <f>IQ47-IS47-IT47</f>
        <v/>
      </c>
      <c r="IV47" s="12">
        <f>ROUND(IR47*EssentialMix,0)</f>
        <v/>
      </c>
      <c r="IW47" s="12">
        <f>ROUND(IR47*PremiumMix,0)</f>
        <v/>
      </c>
      <c r="IX47" s="12">
        <f>IR47-IV47-IW47</f>
        <v/>
      </c>
      <c r="IY47" s="12">
        <f>IS47+IS46+IS45+MAX(0,IY46-IS46-IS45)*(1-IL47)</f>
        <v/>
      </c>
      <c r="IZ47" s="12">
        <f>IT47+IT46+IT45+MAX(0,IZ46-IT46-IT45)*(1-IL47)</f>
        <v/>
      </c>
      <c r="JA47" s="12">
        <f>IU47+IU46+IU45+MAX(0,JA46-IU46-IU45)*(1-IL47)</f>
        <v/>
      </c>
      <c r="JB47" s="12">
        <f>JB46+IV47-IV35*(AnnualChurn*VLOOKUP(IH47,ChurnSeasonTable,4,FALSE))*POWER(1-(AnnualChurn*VLOOKUP(IH47,ChurnSeasonTable,4,FALSE)),0)+IV23*(AnnualChurn*VLOOKUP(IH47,ChurnSeasonTable,4,FALSE))*POWER(1-(AnnualChurn*VLOOKUP(IH47,ChurnSeasonTable,4,FALSE)),1)+IV11*(AnnualChurn*VLOOKUP(IH47,ChurnSeasonTable,4,FALSE))*POWER(1-(AnnualChurn*VLOOKUP(IH47,ChurnSeasonTable,4,FALSE)),2)</f>
        <v/>
      </c>
      <c r="JC47" s="12">
        <f>JC46+IW47-IW35*(AnnualChurn*VLOOKUP(IH47,ChurnSeasonTable,4,FALSE))*POWER(1-(AnnualChurn*VLOOKUP(IH47,ChurnSeasonTable,4,FALSE)),0)+IW23*(AnnualChurn*VLOOKUP(IH47,ChurnSeasonTable,4,FALSE))*POWER(1-(AnnualChurn*VLOOKUP(IH47,ChurnSeasonTable,4,FALSE)),1)+IW11*(AnnualChurn*VLOOKUP(IH47,ChurnSeasonTable,4,FALSE))*POWER(1-(AnnualChurn*VLOOKUP(IH47,ChurnSeasonTable,4,FALSE)),2)</f>
        <v/>
      </c>
      <c r="JD47" s="12">
        <f>JD46+IX47-IX35*(AnnualChurn*VLOOKUP(IH47,ChurnSeasonTable,4,FALSE))*POWER(1-(AnnualChurn*VLOOKUP(IH47,ChurnSeasonTable,4,FALSE)),0)+IX23*(AnnualChurn*VLOOKUP(IH47,ChurnSeasonTable,4,FALSE))*POWER(1-(AnnualChurn*VLOOKUP(IH47,ChurnSeasonTable,4,FALSE)),1)+IX11*(AnnualChurn*VLOOKUP(IH47,ChurnSeasonTable,4,FALSE))*POWER(1-(AnnualChurn*VLOOKUP(IH47,ChurnSeasonTable,4,FALSE)),2)</f>
        <v/>
      </c>
      <c r="JE47" s="12">
        <f>IY47+IZ47+JA47+JB47+JC47+JD47</f>
        <v/>
      </c>
      <c r="JF47" s="9">
        <f>IY47*BlendedPriceEssMonthly*IK47+IZ47*BlendedPricePremMonthly*IK47+JA47*BlendedPriceEliteMonthly*IK47+JB47*BlendedPriceEssAnnual*IK47/12+JC47*BlendedPricePremAnnual*IK47/12+JD47*BlendedPriceEliteAnnual*IK47/12</f>
        <v/>
      </c>
      <c r="JG47" s="9">
        <f>JF47*12</f>
        <v/>
      </c>
      <c r="JH47" s="12">
        <f>IY47*BlendedPriceEssMonthly*IK47+IZ47*BlendedPricePremMonthly*IK47+JA47*BlendedPriceEliteMonthly*IK47</f>
        <v/>
      </c>
      <c r="JI47" s="12">
        <f>IV47*BlendedPriceEssAnnual*IK47+IW47*BlendedPricePremAnnual*IK47+IX47*BlendedPriceEliteAnnual*IK47</f>
        <v/>
      </c>
      <c r="JJ47" s="12">
        <f>IV35*POWER(1-(AnnualChurn*VLOOKUP(IH47,ChurnSeasonTable,4,FALSE)),1)*BlendedPriceEssAnnual*IK47+IV23*POWER(1-(AnnualChurn*VLOOKUP(IH47,ChurnSeasonTable,4,FALSE)),2)*BlendedPriceEssAnnual*IK47+IV11*POWER(1-(AnnualChurn*VLOOKUP(IH47,ChurnSeasonTable,4,FALSE)),3)*BlendedPriceEssAnnual*IK47+IW35*POWER(1-(AnnualChurn*VLOOKUP(IH47,ChurnSeasonTable,4,FALSE)),1)*BlendedPricePremAnnual*IK47+IW23*POWER(1-(AnnualChurn*VLOOKUP(IH47,ChurnSeasonTable,4,FALSE)),2)*BlendedPricePremAnnual*IK47+IW11*POWER(1-(AnnualChurn*VLOOKUP(IH47,ChurnSeasonTable,4,FALSE)),3)*BlendedPricePremAnnual*IK47+IX35*POWER(1-(AnnualChurn*VLOOKUP(IH47,ChurnSeasonTable,4,FALSE)),1)*BlendedPriceEliteAnnual*IK47+IX23*POWER(1-(AnnualChurn*VLOOKUP(IH47,ChurnSeasonTable,4,FALSE)),2)*BlendedPriceEliteAnnual*IK47+IX11*POWER(1-(AnnualChurn*VLOOKUP(IH47,ChurnSeasonTable,4,FALSE)),3)*BlendedPriceEliteAnnual*IK47</f>
        <v/>
      </c>
      <c r="JK47" s="9">
        <f>JH47+JI47+JJ47</f>
        <v/>
      </c>
      <c r="JL47" s="12">
        <f>SUM(JK36:JK47)</f>
        <v/>
      </c>
      <c r="JM47" s="12">
        <f>OR(JM46,IF(VATAgentMode,SUM($JK36:$JK47)-SUM($JR36:$JR47)&gt;=VATThreshold,SUM($JK36:$JK47)&gt;=VATThreshold))</f>
        <v/>
      </c>
      <c r="JN47" s="9">
        <f>IF(JM47,IF(VATAgentMode,JK47-((JK47-JR47)-(JK47-JR47)/(1+VATRate)),JK47/(1+VATRate)),JK47)</f>
        <v/>
      </c>
      <c r="JO47" s="12">
        <f>JK47-JN47</f>
        <v/>
      </c>
      <c r="JP47" s="12">
        <f>IF(JM47=0,0,IF(IH47=1,SUMPRODUCT(--(($II$5:$II47=$II47-1)*($IH$5:$IH47&gt;=10)*($IH$5:$IH47&lt;=12)),$JO$5:$JO47),IF(IH47=4,SUMPRODUCT(--(($II$5:$II47=$II47)*($IH$5:$IH47&gt;=1)*($IH$5:$IH47&lt;=3)),$JO$5:$JO47),IF(IH47=7,SUMPRODUCT(--(($II$5:$II47=$II47)*($IH$5:$IH47&gt;=4)*($IH$5:$IH47&lt;=6)),$JO$5:$JO47),IF(IH47=10,SUMPRODUCT(--(($II$5:$II47=$II47)*($IH$5:$IH47&gt;=7)*($IH$5:$IH47&lt;=9)),$JO$5:$JO47),0)))))</f>
        <v/>
      </c>
      <c r="JQ47" s="12">
        <f>JQ46+JO47-JP47</f>
        <v/>
      </c>
      <c r="JR47" s="12">
        <f>IF(ProviderDelay&gt;=1,IY46*BlendedProvPayEss+IZ46*BlendedProvPayPrem+JA46*BlendedProvPayElite+JB46*BlendedProvPayEss+JC46*BlendedProvPayPrem+JD46*BlendedProvPayElite,IY47*BlendedProvPayEss+IZ47*BlendedProvPayPrem+JA47*BlendedProvPayElite+JB47*BlendedProvPayEss+JC47*BlendedProvPayPrem+JD47*BlendedProvPayElite)</f>
        <v/>
      </c>
      <c r="JS47" s="12">
        <f>JK47*PaymentFee</f>
        <v/>
      </c>
      <c r="JT47" s="12">
        <f>JE47*OpsAI</f>
        <v/>
      </c>
      <c r="JU47" s="12">
        <f>MonthlyFixed</f>
        <v/>
      </c>
      <c r="JV47" s="12">
        <f>IO47*ReferralReward</f>
        <v/>
      </c>
      <c r="JW47" s="12">
        <f>IM47</f>
        <v/>
      </c>
      <c r="JX47" s="9">
        <f>JN47-JR47-JS47-JT47-JU47-JV47-JW47</f>
        <v/>
      </c>
      <c r="JY47" s="9">
        <f>JY46+JK47-(JR47+JS47+JT47+JU47+JV47+JW47+JP47)</f>
        <v/>
      </c>
      <c r="JZ47" s="12">
        <f>IF(JE47&gt;0,JF47/JE47,0)</f>
        <v/>
      </c>
      <c r="KA47" s="11">
        <f>IF(JE46&gt;0,MAX(0,(JE46+IP47-JE47)/JE46),0)</f>
        <v/>
      </c>
      <c r="KC47" s="12" t="n">
        <v>43</v>
      </c>
      <c r="KD47" s="12">
        <f>MOD(KC47-1+LaunchMonth-1,12)+1</f>
        <v/>
      </c>
      <c r="KE47" s="12">
        <f>INT((KC47-1+LaunchMonth-1)/12)+1</f>
        <v/>
      </c>
      <c r="KF47" s="12">
        <f>VLOOKUP(KD47,SeasonTable,2,FALSE)</f>
        <v/>
      </c>
      <c r="KG47" s="12">
        <f>(1+InflationRate)^INT((KC47-1)/12)</f>
        <v/>
      </c>
      <c r="KH47" s="11">
        <f>'Sens - Churn'!$A$16*VLOOKUP(KD47,ChurnSeasonTable,4,FALSE)</f>
        <v/>
      </c>
      <c r="KI47" s="12">
        <f>MIN(MAX(MktMin19plus,LG46*MktPct19plus),MAX(0,LU46-CashBuffer))</f>
        <v/>
      </c>
      <c r="KJ47" s="12">
        <f>IF(KI47&gt;0,MAX(1,ROUND(KI47/CAC*KF47,0)),0)</f>
        <v/>
      </c>
      <c r="KK47" s="12">
        <f>IF(KJ47&gt;0,ROUND(KJ47*ReferralMix/(1-ReferralMix),0),0)</f>
        <v/>
      </c>
      <c r="KL47" s="12">
        <f>KJ47+KK47</f>
        <v/>
      </c>
      <c r="KM47" s="12">
        <f>ROUND(KL47*(1-AnnualMix),0)</f>
        <v/>
      </c>
      <c r="KN47" s="12">
        <f>KL47-KM47</f>
        <v/>
      </c>
      <c r="KO47" s="12">
        <f>ROUND(KM47*EssentialMix,0)</f>
        <v/>
      </c>
      <c r="KP47" s="12">
        <f>ROUND(KM47*PremiumMix,0)</f>
        <v/>
      </c>
      <c r="KQ47" s="12">
        <f>KM47-KO47-KP47</f>
        <v/>
      </c>
      <c r="KR47" s="12">
        <f>ROUND(KN47*EssentialMix,0)</f>
        <v/>
      </c>
      <c r="KS47" s="12">
        <f>ROUND(KN47*PremiumMix,0)</f>
        <v/>
      </c>
      <c r="KT47" s="12">
        <f>KN47-KR47-KS47</f>
        <v/>
      </c>
      <c r="KU47" s="12">
        <f>KO47+KO46+KO45+MAX(0,KU46-KO46-KO45)*(1-KH47)</f>
        <v/>
      </c>
      <c r="KV47" s="12">
        <f>KP47+KP46+KP45+MAX(0,KV46-KP46-KP45)*(1-KH47)</f>
        <v/>
      </c>
      <c r="KW47" s="12">
        <f>KQ47+KQ46+KQ45+MAX(0,KW46-KQ46-KQ45)*(1-KH47)</f>
        <v/>
      </c>
      <c r="KX47" s="12">
        <f>KX46+KR47-KR35*(AnnualChurn*VLOOKUP(KD47,ChurnSeasonTable,4,FALSE))*POWER(1-(AnnualChurn*VLOOKUP(KD47,ChurnSeasonTable,4,FALSE)),0)+KR23*(AnnualChurn*VLOOKUP(KD47,ChurnSeasonTable,4,FALSE))*POWER(1-(AnnualChurn*VLOOKUP(KD47,ChurnSeasonTable,4,FALSE)),1)+KR11*(AnnualChurn*VLOOKUP(KD47,ChurnSeasonTable,4,FALSE))*POWER(1-(AnnualChurn*VLOOKUP(KD47,ChurnSeasonTable,4,FALSE)),2)</f>
        <v/>
      </c>
      <c r="KY47" s="12">
        <f>KY46+KS47-KS35*(AnnualChurn*VLOOKUP(KD47,ChurnSeasonTable,4,FALSE))*POWER(1-(AnnualChurn*VLOOKUP(KD47,ChurnSeasonTable,4,FALSE)),0)+KS23*(AnnualChurn*VLOOKUP(KD47,ChurnSeasonTable,4,FALSE))*POWER(1-(AnnualChurn*VLOOKUP(KD47,ChurnSeasonTable,4,FALSE)),1)+KS11*(AnnualChurn*VLOOKUP(KD47,ChurnSeasonTable,4,FALSE))*POWER(1-(AnnualChurn*VLOOKUP(KD47,ChurnSeasonTable,4,FALSE)),2)</f>
        <v/>
      </c>
      <c r="KZ47" s="12">
        <f>KZ46+KT47-KT35*(AnnualChurn*VLOOKUP(KD47,ChurnSeasonTable,4,FALSE))*POWER(1-(AnnualChurn*VLOOKUP(KD47,ChurnSeasonTable,4,FALSE)),0)+KT23*(AnnualChurn*VLOOKUP(KD47,ChurnSeasonTable,4,FALSE))*POWER(1-(AnnualChurn*VLOOKUP(KD47,ChurnSeasonTable,4,FALSE)),1)+KT11*(AnnualChurn*VLOOKUP(KD47,ChurnSeasonTable,4,FALSE))*POWER(1-(AnnualChurn*VLOOKUP(KD47,ChurnSeasonTable,4,FALSE)),2)</f>
        <v/>
      </c>
      <c r="LA47" s="12">
        <f>KU47+KV47+KW47+KX47+KY47+KZ47</f>
        <v/>
      </c>
      <c r="LB47" s="9">
        <f>KU47*BlendedPriceEssMonthly*KG47+KV47*BlendedPricePremMonthly*KG47+KW47*BlendedPriceEliteMonthly*KG47+KX47*BlendedPriceEssAnnual*KG47/12+KY47*BlendedPricePremAnnual*KG47/12+KZ47*BlendedPriceEliteAnnual*KG47/12</f>
        <v/>
      </c>
      <c r="LC47" s="9">
        <f>LB47*12</f>
        <v/>
      </c>
      <c r="LD47" s="12">
        <f>KU47*BlendedPriceEssMonthly*KG47+KV47*BlendedPricePremMonthly*KG47+KW47*BlendedPriceEliteMonthly*KG47</f>
        <v/>
      </c>
      <c r="LE47" s="12">
        <f>KR47*BlendedPriceEssAnnual*KG47+KS47*BlendedPricePremAnnual*KG47+KT47*BlendedPriceEliteAnnual*KG47</f>
        <v/>
      </c>
      <c r="LF47" s="12">
        <f>KR35*POWER(1-(AnnualChurn*VLOOKUP(KD47,ChurnSeasonTable,4,FALSE)),1)*BlendedPriceEssAnnual*KG47+KR23*POWER(1-(AnnualChurn*VLOOKUP(KD47,ChurnSeasonTable,4,FALSE)),2)*BlendedPriceEssAnnual*KG47+KR11*POWER(1-(AnnualChurn*VLOOKUP(KD47,ChurnSeasonTable,4,FALSE)),3)*BlendedPriceEssAnnual*KG47+KS35*POWER(1-(AnnualChurn*VLOOKUP(KD47,ChurnSeasonTable,4,FALSE)),1)*BlendedPricePremAnnual*KG47+KS23*POWER(1-(AnnualChurn*VLOOKUP(KD47,ChurnSeasonTable,4,FALSE)),2)*BlendedPricePremAnnual*KG47+KS11*POWER(1-(AnnualChurn*VLOOKUP(KD47,ChurnSeasonTable,4,FALSE)),3)*BlendedPricePremAnnual*KG47+KT35*POWER(1-(AnnualChurn*VLOOKUP(KD47,ChurnSeasonTable,4,FALSE)),1)*BlendedPriceEliteAnnual*KG47+KT23*POWER(1-(AnnualChurn*VLOOKUP(KD47,ChurnSeasonTable,4,FALSE)),2)*BlendedPriceEliteAnnual*KG47+KT11*POWER(1-(AnnualChurn*VLOOKUP(KD47,ChurnSeasonTable,4,FALSE)),3)*BlendedPriceEliteAnnual*KG47</f>
        <v/>
      </c>
      <c r="LG47" s="9">
        <f>LD47+LE47+LF47</f>
        <v/>
      </c>
      <c r="LH47" s="12">
        <f>SUM(LG36:LG47)</f>
        <v/>
      </c>
      <c r="LI47" s="12">
        <f>OR(LI46,IF(VATAgentMode,SUM($LG36:$LG47)-SUM($LN36:$LN47)&gt;=VATThreshold,SUM($LG36:$LG47)&gt;=VATThreshold))</f>
        <v/>
      </c>
      <c r="LJ47" s="9">
        <f>IF(LI47,IF(VATAgentMode,LG47-((LG47-LN47)-(LG47-LN47)/(1+VATRate)),LG47/(1+VATRate)),LG47)</f>
        <v/>
      </c>
      <c r="LK47" s="12">
        <f>LG47-LJ47</f>
        <v/>
      </c>
      <c r="LL47" s="12">
        <f>IF(LI47=0,0,IF(KD47=1,SUMPRODUCT(--(($KE$5:$KE47=$KE47-1)*($KD$5:$KD47&gt;=10)*($KD$5:$KD47&lt;=12)),$LK$5:$LK47),IF(KD47=4,SUMPRODUCT(--(($KE$5:$KE47=$KE47)*($KD$5:$KD47&gt;=1)*($KD$5:$KD47&lt;=3)),$LK$5:$LK47),IF(KD47=7,SUMPRODUCT(--(($KE$5:$KE47=$KE47)*($KD$5:$KD47&gt;=4)*($KD$5:$KD47&lt;=6)),$LK$5:$LK47),IF(KD47=10,SUMPRODUCT(--(($KE$5:$KE47=$KE47)*($KD$5:$KD47&gt;=7)*($KD$5:$KD47&lt;=9)),$LK$5:$LK47),0)))))</f>
        <v/>
      </c>
      <c r="LM47" s="12">
        <f>LM46+LK47-LL47</f>
        <v/>
      </c>
      <c r="LN47" s="12">
        <f>IF(ProviderDelay&gt;=1,KU46*BlendedProvPayEss+KV46*BlendedProvPayPrem+KW46*BlendedProvPayElite+KX46*BlendedProvPayEss+KY46*BlendedProvPayPrem+KZ46*BlendedProvPayElite,KU47*BlendedProvPayEss+KV47*BlendedProvPayPrem+KW47*BlendedProvPayElite+KX47*BlendedProvPayEss+KY47*BlendedProvPayPrem+KZ47*BlendedProvPayElite)</f>
        <v/>
      </c>
      <c r="LO47" s="12">
        <f>LG47*PaymentFee</f>
        <v/>
      </c>
      <c r="LP47" s="12">
        <f>LA47*OpsAI</f>
        <v/>
      </c>
      <c r="LQ47" s="12">
        <f>MonthlyFixed</f>
        <v/>
      </c>
      <c r="LR47" s="12">
        <f>KK47*ReferralReward</f>
        <v/>
      </c>
      <c r="LS47" s="12">
        <f>KI47</f>
        <v/>
      </c>
      <c r="LT47" s="9">
        <f>LJ47-LN47-LO47-LP47-LQ47-LR47-LS47</f>
        <v/>
      </c>
      <c r="LU47" s="9">
        <f>LU46+LG47-(LN47+LO47+LP47+LQ47+LR47+LS47+LL47)</f>
        <v/>
      </c>
      <c r="LV47" s="12">
        <f>IF(LA47&gt;0,LB47/LA47,0)</f>
        <v/>
      </c>
      <c r="LW47" s="11">
        <f>IF(LA46&gt;0,MAX(0,(LA46+KL47-LA47)/LA46),0)</f>
        <v/>
      </c>
      <c r="LY47" s="12" t="n">
        <v>43</v>
      </c>
      <c r="LZ47" s="12">
        <f>MOD(LY47-1+LaunchMonth-1,12)+1</f>
        <v/>
      </c>
      <c r="MA47" s="12">
        <f>INT((LY47-1+LaunchMonth-1)/12)+1</f>
        <v/>
      </c>
      <c r="MB47" s="12">
        <f>VLOOKUP(LZ47,SeasonTable,2,FALSE)</f>
        <v/>
      </c>
      <c r="MC47" s="12">
        <f>(1+InflationRate)^INT((LY47-1)/12)</f>
        <v/>
      </c>
      <c r="MD47" s="11">
        <f>'Sens - Churn'!$A$17*VLOOKUP(LZ47,ChurnSeasonTable,4,FALSE)</f>
        <v/>
      </c>
      <c r="ME47" s="12">
        <f>MIN(MAX(MktMin19plus,NC46*MktPct19plus),MAX(0,NQ46-CashBuffer))</f>
        <v/>
      </c>
      <c r="MF47" s="12">
        <f>IF(ME47&gt;0,MAX(1,ROUND(ME47/CAC*MB47,0)),0)</f>
        <v/>
      </c>
      <c r="MG47" s="12">
        <f>IF(MF47&gt;0,ROUND(MF47*ReferralMix/(1-ReferralMix),0),0)</f>
        <v/>
      </c>
      <c r="MH47" s="12">
        <f>MF47+MG47</f>
        <v/>
      </c>
      <c r="MI47" s="12">
        <f>ROUND(MH47*(1-AnnualMix),0)</f>
        <v/>
      </c>
      <c r="MJ47" s="12">
        <f>MH47-MI47</f>
        <v/>
      </c>
      <c r="MK47" s="12">
        <f>ROUND(MI47*EssentialMix,0)</f>
        <v/>
      </c>
      <c r="ML47" s="12">
        <f>ROUND(MI47*PremiumMix,0)</f>
        <v/>
      </c>
      <c r="MM47" s="12">
        <f>MI47-MK47-ML47</f>
        <v/>
      </c>
      <c r="MN47" s="12">
        <f>ROUND(MJ47*EssentialMix,0)</f>
        <v/>
      </c>
      <c r="MO47" s="12">
        <f>ROUND(MJ47*PremiumMix,0)</f>
        <v/>
      </c>
      <c r="MP47" s="12">
        <f>MJ47-MN47-MO47</f>
        <v/>
      </c>
      <c r="MQ47" s="12">
        <f>MK47+MK46+MK45+MAX(0,MQ46-MK46-MK45)*(1-MD47)</f>
        <v/>
      </c>
      <c r="MR47" s="12">
        <f>ML47+ML46+ML45+MAX(0,MR46-ML46-ML45)*(1-MD47)</f>
        <v/>
      </c>
      <c r="MS47" s="12">
        <f>MM47+MM46+MM45+MAX(0,MS46-MM46-MM45)*(1-MD47)</f>
        <v/>
      </c>
      <c r="MT47" s="12">
        <f>MT46+MN47-MN35*(AnnualChurn*VLOOKUP(LZ47,ChurnSeasonTable,4,FALSE))*POWER(1-(AnnualChurn*VLOOKUP(LZ47,ChurnSeasonTable,4,FALSE)),0)+MN23*(AnnualChurn*VLOOKUP(LZ47,ChurnSeasonTable,4,FALSE))*POWER(1-(AnnualChurn*VLOOKUP(LZ47,ChurnSeasonTable,4,FALSE)),1)+MN11*(AnnualChurn*VLOOKUP(LZ47,ChurnSeasonTable,4,FALSE))*POWER(1-(AnnualChurn*VLOOKUP(LZ47,ChurnSeasonTable,4,FALSE)),2)</f>
        <v/>
      </c>
      <c r="MU47" s="12">
        <f>MU46+MO47-MO35*(AnnualChurn*VLOOKUP(LZ47,ChurnSeasonTable,4,FALSE))*POWER(1-(AnnualChurn*VLOOKUP(LZ47,ChurnSeasonTable,4,FALSE)),0)+MO23*(AnnualChurn*VLOOKUP(LZ47,ChurnSeasonTable,4,FALSE))*POWER(1-(AnnualChurn*VLOOKUP(LZ47,ChurnSeasonTable,4,FALSE)),1)+MO11*(AnnualChurn*VLOOKUP(LZ47,ChurnSeasonTable,4,FALSE))*POWER(1-(AnnualChurn*VLOOKUP(LZ47,ChurnSeasonTable,4,FALSE)),2)</f>
        <v/>
      </c>
      <c r="MV47" s="12">
        <f>MV46+MP47-MP35*(AnnualChurn*VLOOKUP(LZ47,ChurnSeasonTable,4,FALSE))*POWER(1-(AnnualChurn*VLOOKUP(LZ47,ChurnSeasonTable,4,FALSE)),0)+MP23*(AnnualChurn*VLOOKUP(LZ47,ChurnSeasonTable,4,FALSE))*POWER(1-(AnnualChurn*VLOOKUP(LZ47,ChurnSeasonTable,4,FALSE)),1)+MP11*(AnnualChurn*VLOOKUP(LZ47,ChurnSeasonTable,4,FALSE))*POWER(1-(AnnualChurn*VLOOKUP(LZ47,ChurnSeasonTable,4,FALSE)),2)</f>
        <v/>
      </c>
      <c r="MW47" s="12">
        <f>MQ47+MR47+MS47+MT47+MU47+MV47</f>
        <v/>
      </c>
      <c r="MX47" s="9">
        <f>MQ47*BlendedPriceEssMonthly*MC47+MR47*BlendedPricePremMonthly*MC47+MS47*BlendedPriceEliteMonthly*MC47+MT47*BlendedPriceEssAnnual*MC47/12+MU47*BlendedPricePremAnnual*MC47/12+MV47*BlendedPriceEliteAnnual*MC47/12</f>
        <v/>
      </c>
      <c r="MY47" s="9">
        <f>MX47*12</f>
        <v/>
      </c>
      <c r="MZ47" s="12">
        <f>MQ47*BlendedPriceEssMonthly*MC47+MR47*BlendedPricePremMonthly*MC47+MS47*BlendedPriceEliteMonthly*MC47</f>
        <v/>
      </c>
      <c r="NA47" s="12">
        <f>MN47*BlendedPriceEssAnnual*MC47+MO47*BlendedPricePremAnnual*MC47+MP47*BlendedPriceEliteAnnual*MC47</f>
        <v/>
      </c>
      <c r="NB47" s="12">
        <f>MN35*POWER(1-(AnnualChurn*VLOOKUP(LZ47,ChurnSeasonTable,4,FALSE)),1)*BlendedPriceEssAnnual*MC47+MN23*POWER(1-(AnnualChurn*VLOOKUP(LZ47,ChurnSeasonTable,4,FALSE)),2)*BlendedPriceEssAnnual*MC47+MN11*POWER(1-(AnnualChurn*VLOOKUP(LZ47,ChurnSeasonTable,4,FALSE)),3)*BlendedPriceEssAnnual*MC47+MO35*POWER(1-(AnnualChurn*VLOOKUP(LZ47,ChurnSeasonTable,4,FALSE)),1)*BlendedPricePremAnnual*MC47+MO23*POWER(1-(AnnualChurn*VLOOKUP(LZ47,ChurnSeasonTable,4,FALSE)),2)*BlendedPricePremAnnual*MC47+MO11*POWER(1-(AnnualChurn*VLOOKUP(LZ47,ChurnSeasonTable,4,FALSE)),3)*BlendedPricePremAnnual*MC47+MP35*POWER(1-(AnnualChurn*VLOOKUP(LZ47,ChurnSeasonTable,4,FALSE)),1)*BlendedPriceEliteAnnual*MC47+MP23*POWER(1-(AnnualChurn*VLOOKUP(LZ47,ChurnSeasonTable,4,FALSE)),2)*BlendedPriceEliteAnnual*MC47+MP11*POWER(1-(AnnualChurn*VLOOKUP(LZ47,ChurnSeasonTable,4,FALSE)),3)*BlendedPriceEliteAnnual*MC47</f>
        <v/>
      </c>
      <c r="NC47" s="9">
        <f>MZ47+NA47+NB47</f>
        <v/>
      </c>
      <c r="ND47" s="12">
        <f>SUM(NC36:NC47)</f>
        <v/>
      </c>
      <c r="NE47" s="12">
        <f>OR(NE46,IF(VATAgentMode,SUM($NC36:$NC47)-SUM($NJ36:$NJ47)&gt;=VATThreshold,SUM($NC36:$NC47)&gt;=VATThreshold))</f>
        <v/>
      </c>
      <c r="NF47" s="9">
        <f>IF(NE47,IF(VATAgentMode,NC47-((NC47-NJ47)-(NC47-NJ47)/(1+VATRate)),NC47/(1+VATRate)),NC47)</f>
        <v/>
      </c>
      <c r="NG47" s="12">
        <f>NC47-NF47</f>
        <v/>
      </c>
      <c r="NH47" s="12">
        <f>IF(NE47=0,0,IF(LZ47=1,SUMPRODUCT(--(($MA$5:$MA47=$MA47-1)*($LZ$5:$LZ47&gt;=10)*($LZ$5:$LZ47&lt;=12)),$NG$5:$NG47),IF(LZ47=4,SUMPRODUCT(--(($MA$5:$MA47=$MA47)*($LZ$5:$LZ47&gt;=1)*($LZ$5:$LZ47&lt;=3)),$NG$5:$NG47),IF(LZ47=7,SUMPRODUCT(--(($MA$5:$MA47=$MA47)*($LZ$5:$LZ47&gt;=4)*($LZ$5:$LZ47&lt;=6)),$NG$5:$NG47),IF(LZ47=10,SUMPRODUCT(--(($MA$5:$MA47=$MA47)*($LZ$5:$LZ47&gt;=7)*($LZ$5:$LZ47&lt;=9)),$NG$5:$NG47),0)))))</f>
        <v/>
      </c>
      <c r="NI47" s="12">
        <f>NI46+NG47-NH47</f>
        <v/>
      </c>
      <c r="NJ47" s="12">
        <f>IF(ProviderDelay&gt;=1,MQ46*BlendedProvPayEss+MR46*BlendedProvPayPrem+MS46*BlendedProvPayElite+MT46*BlendedProvPayEss+MU46*BlendedProvPayPrem+MV46*BlendedProvPayElite,MQ47*BlendedProvPayEss+MR47*BlendedProvPayPrem+MS47*BlendedProvPayElite+MT47*BlendedProvPayEss+MU47*BlendedProvPayPrem+MV47*BlendedProvPayElite)</f>
        <v/>
      </c>
      <c r="NK47" s="12">
        <f>NC47*PaymentFee</f>
        <v/>
      </c>
      <c r="NL47" s="12">
        <f>MW47*OpsAI</f>
        <v/>
      </c>
      <c r="NM47" s="12">
        <f>MonthlyFixed</f>
        <v/>
      </c>
      <c r="NN47" s="12">
        <f>MG47*ReferralReward</f>
        <v/>
      </c>
      <c r="NO47" s="12">
        <f>ME47</f>
        <v/>
      </c>
      <c r="NP47" s="9">
        <f>NF47-NJ47-NK47-NL47-NM47-NN47-NO47</f>
        <v/>
      </c>
      <c r="NQ47" s="9">
        <f>NQ46+NC47-(NJ47+NK47+NL47+NM47+NN47+NO47+NH47)</f>
        <v/>
      </c>
      <c r="NR47" s="12">
        <f>IF(MW47&gt;0,MX47/MW47,0)</f>
        <v/>
      </c>
      <c r="NS47" s="11">
        <f>IF(MW46&gt;0,MAX(0,(MW46+MH47-MW47)/MW46),0)</f>
        <v/>
      </c>
      <c r="NU47" s="12" t="n">
        <v>43</v>
      </c>
      <c r="NV47" s="12">
        <f>MOD(NU47-1+LaunchMonth-1,12)+1</f>
        <v/>
      </c>
      <c r="NW47" s="12">
        <f>INT((NU47-1+LaunchMonth-1)/12)+1</f>
        <v/>
      </c>
      <c r="NX47" s="12">
        <f>VLOOKUP(NV47,SeasonTable,2,FALSE)</f>
        <v/>
      </c>
      <c r="NY47" s="12">
        <f>(1+InflationRate)^INT((NU47-1)/12)</f>
        <v/>
      </c>
      <c r="NZ47" s="11">
        <f>'Sens - Churn'!$A$18*VLOOKUP(NV47,ChurnSeasonTable,4,FALSE)</f>
        <v/>
      </c>
      <c r="OA47" s="12">
        <f>MIN(MAX(MktMin19plus,OY46*MktPct19plus),MAX(0,PM46-CashBuffer))</f>
        <v/>
      </c>
      <c r="OB47" s="12">
        <f>IF(OA47&gt;0,MAX(1,ROUND(OA47/CAC*NX47,0)),0)</f>
        <v/>
      </c>
      <c r="OC47" s="12">
        <f>IF(OB47&gt;0,ROUND(OB47*ReferralMix/(1-ReferralMix),0),0)</f>
        <v/>
      </c>
      <c r="OD47" s="12">
        <f>OB47+OC47</f>
        <v/>
      </c>
      <c r="OE47" s="12">
        <f>ROUND(OD47*(1-AnnualMix),0)</f>
        <v/>
      </c>
      <c r="OF47" s="12">
        <f>OD47-OE47</f>
        <v/>
      </c>
      <c r="OG47" s="12">
        <f>ROUND(OE47*EssentialMix,0)</f>
        <v/>
      </c>
      <c r="OH47" s="12">
        <f>ROUND(OE47*PremiumMix,0)</f>
        <v/>
      </c>
      <c r="OI47" s="12">
        <f>OE47-OG47-OH47</f>
        <v/>
      </c>
      <c r="OJ47" s="12">
        <f>ROUND(OF47*EssentialMix,0)</f>
        <v/>
      </c>
      <c r="OK47" s="12">
        <f>ROUND(OF47*PremiumMix,0)</f>
        <v/>
      </c>
      <c r="OL47" s="12">
        <f>OF47-OJ47-OK47</f>
        <v/>
      </c>
      <c r="OM47" s="12">
        <f>OG47+OG46+OG45+MAX(0,OM46-OG46-OG45)*(1-NZ47)</f>
        <v/>
      </c>
      <c r="ON47" s="12">
        <f>OH47+OH46+OH45+MAX(0,ON46-OH46-OH45)*(1-NZ47)</f>
        <v/>
      </c>
      <c r="OO47" s="12">
        <f>OI47+OI46+OI45+MAX(0,OO46-OI46-OI45)*(1-NZ47)</f>
        <v/>
      </c>
      <c r="OP47" s="12">
        <f>OP46+OJ47-OJ35*(AnnualChurn*VLOOKUP(NV47,ChurnSeasonTable,4,FALSE))*POWER(1-(AnnualChurn*VLOOKUP(NV47,ChurnSeasonTable,4,FALSE)),0)+OJ23*(AnnualChurn*VLOOKUP(NV47,ChurnSeasonTable,4,FALSE))*POWER(1-(AnnualChurn*VLOOKUP(NV47,ChurnSeasonTable,4,FALSE)),1)+OJ11*(AnnualChurn*VLOOKUP(NV47,ChurnSeasonTable,4,FALSE))*POWER(1-(AnnualChurn*VLOOKUP(NV47,ChurnSeasonTable,4,FALSE)),2)</f>
        <v/>
      </c>
      <c r="OQ47" s="12">
        <f>OQ46+OK47-OK35*(AnnualChurn*VLOOKUP(NV47,ChurnSeasonTable,4,FALSE))*POWER(1-(AnnualChurn*VLOOKUP(NV47,ChurnSeasonTable,4,FALSE)),0)+OK23*(AnnualChurn*VLOOKUP(NV47,ChurnSeasonTable,4,FALSE))*POWER(1-(AnnualChurn*VLOOKUP(NV47,ChurnSeasonTable,4,FALSE)),1)+OK11*(AnnualChurn*VLOOKUP(NV47,ChurnSeasonTable,4,FALSE))*POWER(1-(AnnualChurn*VLOOKUP(NV47,ChurnSeasonTable,4,FALSE)),2)</f>
        <v/>
      </c>
      <c r="OR47" s="12">
        <f>OR46+OL47-OL35*(AnnualChurn*VLOOKUP(NV47,ChurnSeasonTable,4,FALSE))*POWER(1-(AnnualChurn*VLOOKUP(NV47,ChurnSeasonTable,4,FALSE)),0)+OL23*(AnnualChurn*VLOOKUP(NV47,ChurnSeasonTable,4,FALSE))*POWER(1-(AnnualChurn*VLOOKUP(NV47,ChurnSeasonTable,4,FALSE)),1)+OL11*(AnnualChurn*VLOOKUP(NV47,ChurnSeasonTable,4,FALSE))*POWER(1-(AnnualChurn*VLOOKUP(NV47,ChurnSeasonTable,4,FALSE)),2)</f>
        <v/>
      </c>
      <c r="OS47" s="12">
        <f>OM47+ON47+OO47+OP47+OQ47+OR47</f>
        <v/>
      </c>
      <c r="OT47" s="9">
        <f>OM47*BlendedPriceEssMonthly*NY47+ON47*BlendedPricePremMonthly*NY47+OO47*BlendedPriceEliteMonthly*NY47+OP47*BlendedPriceEssAnnual*NY47/12+OQ47*BlendedPricePremAnnual*NY47/12+OR47*BlendedPriceEliteAnnual*NY47/12</f>
        <v/>
      </c>
      <c r="OU47" s="9">
        <f>OT47*12</f>
        <v/>
      </c>
      <c r="OV47" s="12">
        <f>OM47*BlendedPriceEssMonthly*NY47+ON47*BlendedPricePremMonthly*NY47+OO47*BlendedPriceEliteMonthly*NY47</f>
        <v/>
      </c>
      <c r="OW47" s="12">
        <f>OJ47*BlendedPriceEssAnnual*NY47+OK47*BlendedPricePremAnnual*NY47+OL47*BlendedPriceEliteAnnual*NY47</f>
        <v/>
      </c>
      <c r="OX47" s="12">
        <f>OJ35*POWER(1-(AnnualChurn*VLOOKUP(NV47,ChurnSeasonTable,4,FALSE)),1)*BlendedPriceEssAnnual*NY47+OJ23*POWER(1-(AnnualChurn*VLOOKUP(NV47,ChurnSeasonTable,4,FALSE)),2)*BlendedPriceEssAnnual*NY47+OJ11*POWER(1-(AnnualChurn*VLOOKUP(NV47,ChurnSeasonTable,4,FALSE)),3)*BlendedPriceEssAnnual*NY47+OK35*POWER(1-(AnnualChurn*VLOOKUP(NV47,ChurnSeasonTable,4,FALSE)),1)*BlendedPricePremAnnual*NY47+OK23*POWER(1-(AnnualChurn*VLOOKUP(NV47,ChurnSeasonTable,4,FALSE)),2)*BlendedPricePremAnnual*NY47+OK11*POWER(1-(AnnualChurn*VLOOKUP(NV47,ChurnSeasonTable,4,FALSE)),3)*BlendedPricePremAnnual*NY47+OL35*POWER(1-(AnnualChurn*VLOOKUP(NV47,ChurnSeasonTable,4,FALSE)),1)*BlendedPriceEliteAnnual*NY47+OL23*POWER(1-(AnnualChurn*VLOOKUP(NV47,ChurnSeasonTable,4,FALSE)),2)*BlendedPriceEliteAnnual*NY47+OL11*POWER(1-(AnnualChurn*VLOOKUP(NV47,ChurnSeasonTable,4,FALSE)),3)*BlendedPriceEliteAnnual*NY47</f>
        <v/>
      </c>
      <c r="OY47" s="9">
        <f>OV47+OW47+OX47</f>
        <v/>
      </c>
      <c r="OZ47" s="12">
        <f>SUM(OY36:OY47)</f>
        <v/>
      </c>
      <c r="PA47" s="12">
        <f>OR(PA46,IF(VATAgentMode,SUM($OY36:$OY47)-SUM($PF36:$PF47)&gt;=VATThreshold,SUM($OY36:$OY47)&gt;=VATThreshold))</f>
        <v/>
      </c>
      <c r="PB47" s="9">
        <f>IF(PA47,IF(VATAgentMode,OY47-((OY47-PF47)-(OY47-PF47)/(1+VATRate)),OY47/(1+VATRate)),OY47)</f>
        <v/>
      </c>
      <c r="PC47" s="12">
        <f>OY47-PB47</f>
        <v/>
      </c>
      <c r="PD47" s="12">
        <f>IF(PA47=0,0,IF(NV47=1,SUMPRODUCT(--(($NW$5:$NW47=$NW47-1)*($NV$5:$NV47&gt;=10)*($NV$5:$NV47&lt;=12)),$PC$5:$PC47),IF(NV47=4,SUMPRODUCT(--(($NW$5:$NW47=$NW47)*($NV$5:$NV47&gt;=1)*($NV$5:$NV47&lt;=3)),$PC$5:$PC47),IF(NV47=7,SUMPRODUCT(--(($NW$5:$NW47=$NW47)*($NV$5:$NV47&gt;=4)*($NV$5:$NV47&lt;=6)),$PC$5:$PC47),IF(NV47=10,SUMPRODUCT(--(($NW$5:$NW47=$NW47)*($NV$5:$NV47&gt;=7)*($NV$5:$NV47&lt;=9)),$PC$5:$PC47),0)))))</f>
        <v/>
      </c>
      <c r="PE47" s="12">
        <f>PE46+PC47-PD47</f>
        <v/>
      </c>
      <c r="PF47" s="12">
        <f>IF(ProviderDelay&gt;=1,OM46*BlendedProvPayEss+ON46*BlendedProvPayPrem+OO46*BlendedProvPayElite+OP46*BlendedProvPayEss+OQ46*BlendedProvPayPrem+OR46*BlendedProvPayElite,OM47*BlendedProvPayEss+ON47*BlendedProvPayPrem+OO47*BlendedProvPayElite+OP47*BlendedProvPayEss+OQ47*BlendedProvPayPrem+OR47*BlendedProvPayElite)</f>
        <v/>
      </c>
      <c r="PG47" s="12">
        <f>OY47*PaymentFee</f>
        <v/>
      </c>
      <c r="PH47" s="12">
        <f>OS47*OpsAI</f>
        <v/>
      </c>
      <c r="PI47" s="12">
        <f>MonthlyFixed</f>
        <v/>
      </c>
      <c r="PJ47" s="12">
        <f>OC47*ReferralReward</f>
        <v/>
      </c>
      <c r="PK47" s="12">
        <f>OA47</f>
        <v/>
      </c>
      <c r="PL47" s="9">
        <f>PB47-PF47-PG47-PH47-PI47-PJ47-PK47</f>
        <v/>
      </c>
      <c r="PM47" s="9">
        <f>PM46+OY47-(PF47+PG47+PH47+PI47+PJ47+PK47+PD47)</f>
        <v/>
      </c>
      <c r="PN47" s="12">
        <f>IF(OS47&gt;0,OT47/OS47,0)</f>
        <v/>
      </c>
      <c r="PO47" s="11">
        <f>IF(OS46&gt;0,MAX(0,(OS46+OD47-OS47)/OS46),0)</f>
        <v/>
      </c>
      <c r="PQ47" s="12" t="n">
        <v>43</v>
      </c>
      <c r="PR47" s="12">
        <f>MOD(PQ47-1+LaunchMonth-1,12)+1</f>
        <v/>
      </c>
      <c r="PS47" s="12">
        <f>INT((PQ47-1+LaunchMonth-1)/12)+1</f>
        <v/>
      </c>
      <c r="PT47" s="12">
        <f>VLOOKUP(PR47,SeasonTable,2,FALSE)</f>
        <v/>
      </c>
      <c r="PU47" s="12">
        <f>(1+InflationRate)^INT((PQ47-1)/12)</f>
        <v/>
      </c>
      <c r="PV47" s="11">
        <f>'Sens - Churn'!$A$19*VLOOKUP(PR47,ChurnSeasonTable,4,FALSE)</f>
        <v/>
      </c>
      <c r="PW47" s="12">
        <f>MIN(MAX(MktMin19plus,QU46*MktPct19plus),MAX(0,RI46-CashBuffer))</f>
        <v/>
      </c>
      <c r="PX47" s="12">
        <f>IF(PW47&gt;0,MAX(1,ROUND(PW47/CAC*PT47,0)),0)</f>
        <v/>
      </c>
      <c r="PY47" s="12">
        <f>IF(PX47&gt;0,ROUND(PX47*ReferralMix/(1-ReferralMix),0),0)</f>
        <v/>
      </c>
      <c r="PZ47" s="12">
        <f>PX47+PY47</f>
        <v/>
      </c>
      <c r="QA47" s="12">
        <f>ROUND(PZ47*(1-AnnualMix),0)</f>
        <v/>
      </c>
      <c r="QB47" s="12">
        <f>PZ47-QA47</f>
        <v/>
      </c>
      <c r="QC47" s="12">
        <f>ROUND(QA47*EssentialMix,0)</f>
        <v/>
      </c>
      <c r="QD47" s="12">
        <f>ROUND(QA47*PremiumMix,0)</f>
        <v/>
      </c>
      <c r="QE47" s="12">
        <f>QA47-QC47-QD47</f>
        <v/>
      </c>
      <c r="QF47" s="12">
        <f>ROUND(QB47*EssentialMix,0)</f>
        <v/>
      </c>
      <c r="QG47" s="12">
        <f>ROUND(QB47*PremiumMix,0)</f>
        <v/>
      </c>
      <c r="QH47" s="12">
        <f>QB47-QF47-QG47</f>
        <v/>
      </c>
      <c r="QI47" s="12">
        <f>QC47+QC46+QC45+MAX(0,QI46-QC46-QC45)*(1-PV47)</f>
        <v/>
      </c>
      <c r="QJ47" s="12">
        <f>QD47+QD46+QD45+MAX(0,QJ46-QD46-QD45)*(1-PV47)</f>
        <v/>
      </c>
      <c r="QK47" s="12">
        <f>QE47+QE46+QE45+MAX(0,QK46-QE46-QE45)*(1-PV47)</f>
        <v/>
      </c>
      <c r="QL47" s="12">
        <f>QL46+QF47-QF35*(AnnualChurn*VLOOKUP(PR47,ChurnSeasonTable,4,FALSE))*POWER(1-(AnnualChurn*VLOOKUP(PR47,ChurnSeasonTable,4,FALSE)),0)+QF23*(AnnualChurn*VLOOKUP(PR47,ChurnSeasonTable,4,FALSE))*POWER(1-(AnnualChurn*VLOOKUP(PR47,ChurnSeasonTable,4,FALSE)),1)+QF11*(AnnualChurn*VLOOKUP(PR47,ChurnSeasonTable,4,FALSE))*POWER(1-(AnnualChurn*VLOOKUP(PR47,ChurnSeasonTable,4,FALSE)),2)</f>
        <v/>
      </c>
      <c r="QM47" s="12">
        <f>QM46+QG47-QG35*(AnnualChurn*VLOOKUP(PR47,ChurnSeasonTable,4,FALSE))*POWER(1-(AnnualChurn*VLOOKUP(PR47,ChurnSeasonTable,4,FALSE)),0)+QG23*(AnnualChurn*VLOOKUP(PR47,ChurnSeasonTable,4,FALSE))*POWER(1-(AnnualChurn*VLOOKUP(PR47,ChurnSeasonTable,4,FALSE)),1)+QG11*(AnnualChurn*VLOOKUP(PR47,ChurnSeasonTable,4,FALSE))*POWER(1-(AnnualChurn*VLOOKUP(PR47,ChurnSeasonTable,4,FALSE)),2)</f>
        <v/>
      </c>
      <c r="QN47" s="12">
        <f>QN46+QH47-QH35*(AnnualChurn*VLOOKUP(PR47,ChurnSeasonTable,4,FALSE))*POWER(1-(AnnualChurn*VLOOKUP(PR47,ChurnSeasonTable,4,FALSE)),0)+QH23*(AnnualChurn*VLOOKUP(PR47,ChurnSeasonTable,4,FALSE))*POWER(1-(AnnualChurn*VLOOKUP(PR47,ChurnSeasonTable,4,FALSE)),1)+QH11*(AnnualChurn*VLOOKUP(PR47,ChurnSeasonTable,4,FALSE))*POWER(1-(AnnualChurn*VLOOKUP(PR47,ChurnSeasonTable,4,FALSE)),2)</f>
        <v/>
      </c>
      <c r="QO47" s="12">
        <f>QI47+QJ47+QK47+QL47+QM47+QN47</f>
        <v/>
      </c>
      <c r="QP47" s="9">
        <f>QI47*BlendedPriceEssMonthly*PU47+QJ47*BlendedPricePremMonthly*PU47+QK47*BlendedPriceEliteMonthly*PU47+QL47*BlendedPriceEssAnnual*PU47/12+QM47*BlendedPricePremAnnual*PU47/12+QN47*BlendedPriceEliteAnnual*PU47/12</f>
        <v/>
      </c>
      <c r="QQ47" s="9">
        <f>QP47*12</f>
        <v/>
      </c>
      <c r="QR47" s="12">
        <f>QI47*BlendedPriceEssMonthly*PU47+QJ47*BlendedPricePremMonthly*PU47+QK47*BlendedPriceEliteMonthly*PU47</f>
        <v/>
      </c>
      <c r="QS47" s="12">
        <f>QF47*BlendedPriceEssAnnual*PU47+QG47*BlendedPricePremAnnual*PU47+QH47*BlendedPriceEliteAnnual*PU47</f>
        <v/>
      </c>
      <c r="QT47" s="12">
        <f>QF35*POWER(1-(AnnualChurn*VLOOKUP(PR47,ChurnSeasonTable,4,FALSE)),1)*BlendedPriceEssAnnual*PU47+QF23*POWER(1-(AnnualChurn*VLOOKUP(PR47,ChurnSeasonTable,4,FALSE)),2)*BlendedPriceEssAnnual*PU47+QF11*POWER(1-(AnnualChurn*VLOOKUP(PR47,ChurnSeasonTable,4,FALSE)),3)*BlendedPriceEssAnnual*PU47+QG35*POWER(1-(AnnualChurn*VLOOKUP(PR47,ChurnSeasonTable,4,FALSE)),1)*BlendedPricePremAnnual*PU47+QG23*POWER(1-(AnnualChurn*VLOOKUP(PR47,ChurnSeasonTable,4,FALSE)),2)*BlendedPricePremAnnual*PU47+QG11*POWER(1-(AnnualChurn*VLOOKUP(PR47,ChurnSeasonTable,4,FALSE)),3)*BlendedPricePremAnnual*PU47+QH35*POWER(1-(AnnualChurn*VLOOKUP(PR47,ChurnSeasonTable,4,FALSE)),1)*BlendedPriceEliteAnnual*PU47+QH23*POWER(1-(AnnualChurn*VLOOKUP(PR47,ChurnSeasonTable,4,FALSE)),2)*BlendedPriceEliteAnnual*PU47+QH11*POWER(1-(AnnualChurn*VLOOKUP(PR47,ChurnSeasonTable,4,FALSE)),3)*BlendedPriceEliteAnnual*PU47</f>
        <v/>
      </c>
      <c r="QU47" s="9">
        <f>QR47+QS47+QT47</f>
        <v/>
      </c>
      <c r="QV47" s="12">
        <f>SUM(QU36:QU47)</f>
        <v/>
      </c>
      <c r="QW47" s="12">
        <f>OR(QW46,IF(VATAgentMode,SUM($QU36:$QU47)-SUM($RB36:$RB47)&gt;=VATThreshold,SUM($QU36:$QU47)&gt;=VATThreshold))</f>
        <v/>
      </c>
      <c r="QX47" s="9">
        <f>IF(QW47,IF(VATAgentMode,QU47-((QU47-RB47)-(QU47-RB47)/(1+VATRate)),QU47/(1+VATRate)),QU47)</f>
        <v/>
      </c>
      <c r="QY47" s="12">
        <f>QU47-QX47</f>
        <v/>
      </c>
      <c r="QZ47" s="12">
        <f>IF(QW47=0,0,IF(PR47=1,SUMPRODUCT(--(($PS$5:$PS47=$PS47-1)*($PR$5:$PR47&gt;=10)*($PR$5:$PR47&lt;=12)),$QY$5:$QY47),IF(PR47=4,SUMPRODUCT(--(($PS$5:$PS47=$PS47)*($PR$5:$PR47&gt;=1)*($PR$5:$PR47&lt;=3)),$QY$5:$QY47),IF(PR47=7,SUMPRODUCT(--(($PS$5:$PS47=$PS47)*($PR$5:$PR47&gt;=4)*($PR$5:$PR47&lt;=6)),$QY$5:$QY47),IF(PR47=10,SUMPRODUCT(--(($PS$5:$PS47=$PS47)*($PR$5:$PR47&gt;=7)*($PR$5:$PR47&lt;=9)),$QY$5:$QY47),0)))))</f>
        <v/>
      </c>
      <c r="RA47" s="12">
        <f>RA46+QY47-QZ47</f>
        <v/>
      </c>
      <c r="RB47" s="12">
        <f>IF(ProviderDelay&gt;=1,QI46*BlendedProvPayEss+QJ46*BlendedProvPayPrem+QK46*BlendedProvPayElite+QL46*BlendedProvPayEss+QM46*BlendedProvPayPrem+QN46*BlendedProvPayElite,QI47*BlendedProvPayEss+QJ47*BlendedProvPayPrem+QK47*BlendedProvPayElite+QL47*BlendedProvPayEss+QM47*BlendedProvPayPrem+QN47*BlendedProvPayElite)</f>
        <v/>
      </c>
      <c r="RC47" s="12">
        <f>QU47*PaymentFee</f>
        <v/>
      </c>
      <c r="RD47" s="12">
        <f>QO47*OpsAI</f>
        <v/>
      </c>
      <c r="RE47" s="12">
        <f>MonthlyFixed</f>
        <v/>
      </c>
      <c r="RF47" s="12">
        <f>PY47*ReferralReward</f>
        <v/>
      </c>
      <c r="RG47" s="12">
        <f>PW47</f>
        <v/>
      </c>
      <c r="RH47" s="9">
        <f>QX47-RB47-RC47-RD47-RE47-RF47-RG47</f>
        <v/>
      </c>
      <c r="RI47" s="9">
        <f>RI46+QU47-(RB47+RC47+RD47+RE47+RF47+RG47+QZ47)</f>
        <v/>
      </c>
      <c r="RJ47" s="12">
        <f>IF(QO47&gt;0,QP47/QO47,0)</f>
        <v/>
      </c>
      <c r="RK47" s="11">
        <f>IF(QO46&gt;0,MAX(0,(QO46+PZ47-QO47)/QO46),0)</f>
        <v/>
      </c>
      <c r="RM47" s="12" t="n">
        <v>43</v>
      </c>
      <c r="RN47" s="12">
        <f>MOD(RM47-1+LaunchMonth-1,12)+1</f>
        <v/>
      </c>
      <c r="RO47" s="12">
        <f>INT((RM47-1+LaunchMonth-1)/12)+1</f>
        <v/>
      </c>
      <c r="RP47" s="12">
        <f>VLOOKUP(RN47,SeasonTable,2,FALSE)</f>
        <v/>
      </c>
      <c r="RQ47" s="12">
        <f>(1+InflationRate)^INT((RM47-1)/12)</f>
        <v/>
      </c>
      <c r="RR47" s="11">
        <f>'Sens - Churn'!$A$20*VLOOKUP(RN47,ChurnSeasonTable,4,FALSE)</f>
        <v/>
      </c>
      <c r="RS47" s="12">
        <f>MIN(MAX(MktMin19plus,SQ46*MktPct19plus),MAX(0,TE46-CashBuffer))</f>
        <v/>
      </c>
      <c r="RT47" s="12">
        <f>IF(RS47&gt;0,MAX(1,ROUND(RS47/CAC*RP47,0)),0)</f>
        <v/>
      </c>
      <c r="RU47" s="12">
        <f>IF(RT47&gt;0,ROUND(RT47*ReferralMix/(1-ReferralMix),0),0)</f>
        <v/>
      </c>
      <c r="RV47" s="12">
        <f>RT47+RU47</f>
        <v/>
      </c>
      <c r="RW47" s="12">
        <f>ROUND(RV47*(1-AnnualMix),0)</f>
        <v/>
      </c>
      <c r="RX47" s="12">
        <f>RV47-RW47</f>
        <v/>
      </c>
      <c r="RY47" s="12">
        <f>ROUND(RW47*EssentialMix,0)</f>
        <v/>
      </c>
      <c r="RZ47" s="12">
        <f>ROUND(RW47*PremiumMix,0)</f>
        <v/>
      </c>
      <c r="SA47" s="12">
        <f>RW47-RY47-RZ47</f>
        <v/>
      </c>
      <c r="SB47" s="12">
        <f>ROUND(RX47*EssentialMix,0)</f>
        <v/>
      </c>
      <c r="SC47" s="12">
        <f>ROUND(RX47*PremiumMix,0)</f>
        <v/>
      </c>
      <c r="SD47" s="12">
        <f>RX47-SB47-SC47</f>
        <v/>
      </c>
      <c r="SE47" s="12">
        <f>RY47+RY46+RY45+MAX(0,SE46-RY46-RY45)*(1-RR47)</f>
        <v/>
      </c>
      <c r="SF47" s="12">
        <f>RZ47+RZ46+RZ45+MAX(0,SF46-RZ46-RZ45)*(1-RR47)</f>
        <v/>
      </c>
      <c r="SG47" s="12">
        <f>SA47+SA46+SA45+MAX(0,SG46-SA46-SA45)*(1-RR47)</f>
        <v/>
      </c>
      <c r="SH47" s="12">
        <f>SH46+SB47-SB35*(AnnualChurn*VLOOKUP(RN47,ChurnSeasonTable,4,FALSE))*POWER(1-(AnnualChurn*VLOOKUP(RN47,ChurnSeasonTable,4,FALSE)),0)+SB23*(AnnualChurn*VLOOKUP(RN47,ChurnSeasonTable,4,FALSE))*POWER(1-(AnnualChurn*VLOOKUP(RN47,ChurnSeasonTable,4,FALSE)),1)+SB11*(AnnualChurn*VLOOKUP(RN47,ChurnSeasonTable,4,FALSE))*POWER(1-(AnnualChurn*VLOOKUP(RN47,ChurnSeasonTable,4,FALSE)),2)</f>
        <v/>
      </c>
      <c r="SI47" s="12">
        <f>SI46+SC47-SC35*(AnnualChurn*VLOOKUP(RN47,ChurnSeasonTable,4,FALSE))*POWER(1-(AnnualChurn*VLOOKUP(RN47,ChurnSeasonTable,4,FALSE)),0)+SC23*(AnnualChurn*VLOOKUP(RN47,ChurnSeasonTable,4,FALSE))*POWER(1-(AnnualChurn*VLOOKUP(RN47,ChurnSeasonTable,4,FALSE)),1)+SC11*(AnnualChurn*VLOOKUP(RN47,ChurnSeasonTable,4,FALSE))*POWER(1-(AnnualChurn*VLOOKUP(RN47,ChurnSeasonTable,4,FALSE)),2)</f>
        <v/>
      </c>
      <c r="SJ47" s="12">
        <f>SJ46+SD47-SD35*(AnnualChurn*VLOOKUP(RN47,ChurnSeasonTable,4,FALSE))*POWER(1-(AnnualChurn*VLOOKUP(RN47,ChurnSeasonTable,4,FALSE)),0)+SD23*(AnnualChurn*VLOOKUP(RN47,ChurnSeasonTable,4,FALSE))*POWER(1-(AnnualChurn*VLOOKUP(RN47,ChurnSeasonTable,4,FALSE)),1)+SD11*(AnnualChurn*VLOOKUP(RN47,ChurnSeasonTable,4,FALSE))*POWER(1-(AnnualChurn*VLOOKUP(RN47,ChurnSeasonTable,4,FALSE)),2)</f>
        <v/>
      </c>
      <c r="SK47" s="12">
        <f>SE47+SF47+SG47+SH47+SI47+SJ47</f>
        <v/>
      </c>
      <c r="SL47" s="9">
        <f>SE47*BlendedPriceEssMonthly*RQ47+SF47*BlendedPricePremMonthly*RQ47+SG47*BlendedPriceEliteMonthly*RQ47+SH47*BlendedPriceEssAnnual*RQ47/12+SI47*BlendedPricePremAnnual*RQ47/12+SJ47*BlendedPriceEliteAnnual*RQ47/12</f>
        <v/>
      </c>
      <c r="SM47" s="9">
        <f>SL47*12</f>
        <v/>
      </c>
      <c r="SN47" s="12">
        <f>SE47*BlendedPriceEssMonthly*RQ47+SF47*BlendedPricePremMonthly*RQ47+SG47*BlendedPriceEliteMonthly*RQ47</f>
        <v/>
      </c>
      <c r="SO47" s="12">
        <f>SB47*BlendedPriceEssAnnual*RQ47+SC47*BlendedPricePremAnnual*RQ47+SD47*BlendedPriceEliteAnnual*RQ47</f>
        <v/>
      </c>
      <c r="SP47" s="12">
        <f>SB35*POWER(1-(AnnualChurn*VLOOKUP(RN47,ChurnSeasonTable,4,FALSE)),1)*BlendedPriceEssAnnual*RQ47+SB23*POWER(1-(AnnualChurn*VLOOKUP(RN47,ChurnSeasonTable,4,FALSE)),2)*BlendedPriceEssAnnual*RQ47+SB11*POWER(1-(AnnualChurn*VLOOKUP(RN47,ChurnSeasonTable,4,FALSE)),3)*BlendedPriceEssAnnual*RQ47+SC35*POWER(1-(AnnualChurn*VLOOKUP(RN47,ChurnSeasonTable,4,FALSE)),1)*BlendedPricePremAnnual*RQ47+SC23*POWER(1-(AnnualChurn*VLOOKUP(RN47,ChurnSeasonTable,4,FALSE)),2)*BlendedPricePremAnnual*RQ47+SC11*POWER(1-(AnnualChurn*VLOOKUP(RN47,ChurnSeasonTable,4,FALSE)),3)*BlendedPricePremAnnual*RQ47+SD35*POWER(1-(AnnualChurn*VLOOKUP(RN47,ChurnSeasonTable,4,FALSE)),1)*BlendedPriceEliteAnnual*RQ47+SD23*POWER(1-(AnnualChurn*VLOOKUP(RN47,ChurnSeasonTable,4,FALSE)),2)*BlendedPriceEliteAnnual*RQ47+SD11*POWER(1-(AnnualChurn*VLOOKUP(RN47,ChurnSeasonTable,4,FALSE)),3)*BlendedPriceEliteAnnual*RQ47</f>
        <v/>
      </c>
      <c r="SQ47" s="9">
        <f>SN47+SO47+SP47</f>
        <v/>
      </c>
      <c r="SR47" s="12">
        <f>SUM(SQ36:SQ47)</f>
        <v/>
      </c>
      <c r="SS47" s="12">
        <f>OR(SS46,IF(VATAgentMode,SUM($SQ36:$SQ47)-SUM($SX36:$SX47)&gt;=VATThreshold,SUM($SQ36:$SQ47)&gt;=VATThreshold))</f>
        <v/>
      </c>
      <c r="ST47" s="9">
        <f>IF(SS47,IF(VATAgentMode,SQ47-((SQ47-SX47)-(SQ47-SX47)/(1+VATRate)),SQ47/(1+VATRate)),SQ47)</f>
        <v/>
      </c>
      <c r="SU47" s="12">
        <f>SQ47-ST47</f>
        <v/>
      </c>
      <c r="SV47" s="12">
        <f>IF(SS47=0,0,IF(RN47=1,SUMPRODUCT(--(($RO$5:$RO47=$RO47-1)*($RN$5:$RN47&gt;=10)*($RN$5:$RN47&lt;=12)),$SU$5:$SU47),IF(RN47=4,SUMPRODUCT(--(($RO$5:$RO47=$RO47)*($RN$5:$RN47&gt;=1)*($RN$5:$RN47&lt;=3)),$SU$5:$SU47),IF(RN47=7,SUMPRODUCT(--(($RO$5:$RO47=$RO47)*($RN$5:$RN47&gt;=4)*($RN$5:$RN47&lt;=6)),$SU$5:$SU47),IF(RN47=10,SUMPRODUCT(--(($RO$5:$RO47=$RO47)*($RN$5:$RN47&gt;=7)*($RN$5:$RN47&lt;=9)),$SU$5:$SU47),0)))))</f>
        <v/>
      </c>
      <c r="SW47" s="12">
        <f>SW46+SU47-SV47</f>
        <v/>
      </c>
      <c r="SX47" s="12">
        <f>IF(ProviderDelay&gt;=1,SE46*BlendedProvPayEss+SF46*BlendedProvPayPrem+SG46*BlendedProvPayElite+SH46*BlendedProvPayEss+SI46*BlendedProvPayPrem+SJ46*BlendedProvPayElite,SE47*BlendedProvPayEss+SF47*BlendedProvPayPrem+SG47*BlendedProvPayElite+SH47*BlendedProvPayEss+SI47*BlendedProvPayPrem+SJ47*BlendedProvPayElite)</f>
        <v/>
      </c>
      <c r="SY47" s="12">
        <f>SQ47*PaymentFee</f>
        <v/>
      </c>
      <c r="SZ47" s="12">
        <f>SK47*OpsAI</f>
        <v/>
      </c>
      <c r="TA47" s="12">
        <f>MonthlyFixed</f>
        <v/>
      </c>
      <c r="TB47" s="12">
        <f>RU47*ReferralReward</f>
        <v/>
      </c>
      <c r="TC47" s="12">
        <f>RS47</f>
        <v/>
      </c>
      <c r="TD47" s="9">
        <f>ST47-SX47-SY47-SZ47-TA47-TB47-TC47</f>
        <v/>
      </c>
      <c r="TE47" s="9">
        <f>TE46+SQ47-(SX47+SY47+SZ47+TA47+TB47+TC47+SV47)</f>
        <v/>
      </c>
      <c r="TF47" s="12">
        <f>IF(SK47&gt;0,SL47/SK47,0)</f>
        <v/>
      </c>
      <c r="TG47" s="11">
        <f>IF(SK46&gt;0,MAX(0,(SK46+RV47-SK47)/SK46),0)</f>
        <v/>
      </c>
      <c r="TI47" s="12" t="n">
        <v>43</v>
      </c>
      <c r="TJ47" s="12">
        <f>MOD(TI47-1+LaunchMonth-1,12)+1</f>
        <v/>
      </c>
      <c r="TK47" s="12">
        <f>INT((TI47-1+LaunchMonth-1)/12)+1</f>
        <v/>
      </c>
      <c r="TL47" s="12">
        <f>VLOOKUP(TJ47,SeasonTable,2,FALSE)</f>
        <v/>
      </c>
      <c r="TM47" s="12">
        <f>(1+InflationRate)^INT((TI47-1)/12)</f>
        <v/>
      </c>
      <c r="TN47" s="11">
        <f>'Sens - Churn'!$A$21*VLOOKUP(TJ47,ChurnSeasonTable,4,FALSE)</f>
        <v/>
      </c>
      <c r="TO47" s="12">
        <f>MIN(MAX(MktMin19plus,UM46*MktPct19plus),MAX(0,VA46-CashBuffer))</f>
        <v/>
      </c>
      <c r="TP47" s="12">
        <f>IF(TO47&gt;0,MAX(1,ROUND(TO47/CAC*TL47,0)),0)</f>
        <v/>
      </c>
      <c r="TQ47" s="12">
        <f>IF(TP47&gt;0,ROUND(TP47*ReferralMix/(1-ReferralMix),0),0)</f>
        <v/>
      </c>
      <c r="TR47" s="12">
        <f>TP47+TQ47</f>
        <v/>
      </c>
      <c r="TS47" s="12">
        <f>ROUND(TR47*(1-AnnualMix),0)</f>
        <v/>
      </c>
      <c r="TT47" s="12">
        <f>TR47-TS47</f>
        <v/>
      </c>
      <c r="TU47" s="12">
        <f>ROUND(TS47*EssentialMix,0)</f>
        <v/>
      </c>
      <c r="TV47" s="12">
        <f>ROUND(TS47*PremiumMix,0)</f>
        <v/>
      </c>
      <c r="TW47" s="12">
        <f>TS47-TU47-TV47</f>
        <v/>
      </c>
      <c r="TX47" s="12">
        <f>ROUND(TT47*EssentialMix,0)</f>
        <v/>
      </c>
      <c r="TY47" s="12">
        <f>ROUND(TT47*PremiumMix,0)</f>
        <v/>
      </c>
      <c r="TZ47" s="12">
        <f>TT47-TX47-TY47</f>
        <v/>
      </c>
      <c r="UA47" s="12">
        <f>TU47+TU46+TU45+MAX(0,UA46-TU46-TU45)*(1-TN47)</f>
        <v/>
      </c>
      <c r="UB47" s="12">
        <f>TV47+TV46+TV45+MAX(0,UB46-TV46-TV45)*(1-TN47)</f>
        <v/>
      </c>
      <c r="UC47" s="12">
        <f>TW47+TW46+TW45+MAX(0,UC46-TW46-TW45)*(1-TN47)</f>
        <v/>
      </c>
      <c r="UD47" s="12">
        <f>UD46+TX47-TX35*(AnnualChurn*VLOOKUP(TJ47,ChurnSeasonTable,4,FALSE))*POWER(1-(AnnualChurn*VLOOKUP(TJ47,ChurnSeasonTable,4,FALSE)),0)+TX23*(AnnualChurn*VLOOKUP(TJ47,ChurnSeasonTable,4,FALSE))*POWER(1-(AnnualChurn*VLOOKUP(TJ47,ChurnSeasonTable,4,FALSE)),1)+TX11*(AnnualChurn*VLOOKUP(TJ47,ChurnSeasonTable,4,FALSE))*POWER(1-(AnnualChurn*VLOOKUP(TJ47,ChurnSeasonTable,4,FALSE)),2)</f>
        <v/>
      </c>
      <c r="UE47" s="12">
        <f>UE46+TY47-TY35*(AnnualChurn*VLOOKUP(TJ47,ChurnSeasonTable,4,FALSE))*POWER(1-(AnnualChurn*VLOOKUP(TJ47,ChurnSeasonTable,4,FALSE)),0)+TY23*(AnnualChurn*VLOOKUP(TJ47,ChurnSeasonTable,4,FALSE))*POWER(1-(AnnualChurn*VLOOKUP(TJ47,ChurnSeasonTable,4,FALSE)),1)+TY11*(AnnualChurn*VLOOKUP(TJ47,ChurnSeasonTable,4,FALSE))*POWER(1-(AnnualChurn*VLOOKUP(TJ47,ChurnSeasonTable,4,FALSE)),2)</f>
        <v/>
      </c>
      <c r="UF47" s="12">
        <f>UF46+TZ47-TZ35*(AnnualChurn*VLOOKUP(TJ47,ChurnSeasonTable,4,FALSE))*POWER(1-(AnnualChurn*VLOOKUP(TJ47,ChurnSeasonTable,4,FALSE)),0)+TZ23*(AnnualChurn*VLOOKUP(TJ47,ChurnSeasonTable,4,FALSE))*POWER(1-(AnnualChurn*VLOOKUP(TJ47,ChurnSeasonTable,4,FALSE)),1)+TZ11*(AnnualChurn*VLOOKUP(TJ47,ChurnSeasonTable,4,FALSE))*POWER(1-(AnnualChurn*VLOOKUP(TJ47,ChurnSeasonTable,4,FALSE)),2)</f>
        <v/>
      </c>
      <c r="UG47" s="12">
        <f>UA47+UB47+UC47+UD47+UE47+UF47</f>
        <v/>
      </c>
      <c r="UH47" s="9">
        <f>UA47*BlendedPriceEssMonthly*TM47+UB47*BlendedPricePremMonthly*TM47+UC47*BlendedPriceEliteMonthly*TM47+UD47*BlendedPriceEssAnnual*TM47/12+UE47*BlendedPricePremAnnual*TM47/12+UF47*BlendedPriceEliteAnnual*TM47/12</f>
        <v/>
      </c>
      <c r="UI47" s="9">
        <f>UH47*12</f>
        <v/>
      </c>
      <c r="UJ47" s="12">
        <f>UA47*BlendedPriceEssMonthly*TM47+UB47*BlendedPricePremMonthly*TM47+UC47*BlendedPriceEliteMonthly*TM47</f>
        <v/>
      </c>
      <c r="UK47" s="12">
        <f>TX47*BlendedPriceEssAnnual*TM47+TY47*BlendedPricePremAnnual*TM47+TZ47*BlendedPriceEliteAnnual*TM47</f>
        <v/>
      </c>
      <c r="UL47" s="12">
        <f>TX35*POWER(1-(AnnualChurn*VLOOKUP(TJ47,ChurnSeasonTable,4,FALSE)),1)*BlendedPriceEssAnnual*TM47+TX23*POWER(1-(AnnualChurn*VLOOKUP(TJ47,ChurnSeasonTable,4,FALSE)),2)*BlendedPriceEssAnnual*TM47+TX11*POWER(1-(AnnualChurn*VLOOKUP(TJ47,ChurnSeasonTable,4,FALSE)),3)*BlendedPriceEssAnnual*TM47+TY35*POWER(1-(AnnualChurn*VLOOKUP(TJ47,ChurnSeasonTable,4,FALSE)),1)*BlendedPricePremAnnual*TM47+TY23*POWER(1-(AnnualChurn*VLOOKUP(TJ47,ChurnSeasonTable,4,FALSE)),2)*BlendedPricePremAnnual*TM47+TY11*POWER(1-(AnnualChurn*VLOOKUP(TJ47,ChurnSeasonTable,4,FALSE)),3)*BlendedPricePremAnnual*TM47+TZ35*POWER(1-(AnnualChurn*VLOOKUP(TJ47,ChurnSeasonTable,4,FALSE)),1)*BlendedPriceEliteAnnual*TM47+TZ23*POWER(1-(AnnualChurn*VLOOKUP(TJ47,ChurnSeasonTable,4,FALSE)),2)*BlendedPriceEliteAnnual*TM47+TZ11*POWER(1-(AnnualChurn*VLOOKUP(TJ47,ChurnSeasonTable,4,FALSE)),3)*BlendedPriceEliteAnnual*TM47</f>
        <v/>
      </c>
      <c r="UM47" s="9">
        <f>UJ47+UK47+UL47</f>
        <v/>
      </c>
      <c r="UN47" s="12">
        <f>SUM(UM36:UM47)</f>
        <v/>
      </c>
      <c r="UO47" s="12">
        <f>OR(UO46,IF(VATAgentMode,SUM($UM36:$UM47)-SUM($UT36:$UT47)&gt;=VATThreshold,SUM($UM36:$UM47)&gt;=VATThreshold))</f>
        <v/>
      </c>
      <c r="UP47" s="9">
        <f>IF(UO47,IF(VATAgentMode,UM47-((UM47-UT47)-(UM47-UT47)/(1+VATRate)),UM47/(1+VATRate)),UM47)</f>
        <v/>
      </c>
      <c r="UQ47" s="12">
        <f>UM47-UP47</f>
        <v/>
      </c>
      <c r="UR47" s="12">
        <f>IF(UO47=0,0,IF(TJ47=1,SUMPRODUCT(--(($TK$5:$TK47=$TK47-1)*($TJ$5:$TJ47&gt;=10)*($TJ$5:$TJ47&lt;=12)),$UQ$5:$UQ47),IF(TJ47=4,SUMPRODUCT(--(($TK$5:$TK47=$TK47)*($TJ$5:$TJ47&gt;=1)*($TJ$5:$TJ47&lt;=3)),$UQ$5:$UQ47),IF(TJ47=7,SUMPRODUCT(--(($TK$5:$TK47=$TK47)*($TJ$5:$TJ47&gt;=4)*($TJ$5:$TJ47&lt;=6)),$UQ$5:$UQ47),IF(TJ47=10,SUMPRODUCT(--(($TK$5:$TK47=$TK47)*($TJ$5:$TJ47&gt;=7)*($TJ$5:$TJ47&lt;=9)),$UQ$5:$UQ47),0)))))</f>
        <v/>
      </c>
      <c r="US47" s="12">
        <f>US46+UQ47-UR47</f>
        <v/>
      </c>
      <c r="UT47" s="12">
        <f>IF(ProviderDelay&gt;=1,UA46*BlendedProvPayEss+UB46*BlendedProvPayPrem+UC46*BlendedProvPayElite+UD46*BlendedProvPayEss+UE46*BlendedProvPayPrem+UF46*BlendedProvPayElite,UA47*BlendedProvPayEss+UB47*BlendedProvPayPrem+UC47*BlendedProvPayElite+UD47*BlendedProvPayEss+UE47*BlendedProvPayPrem+UF47*BlendedProvPayElite)</f>
        <v/>
      </c>
      <c r="UU47" s="12">
        <f>UM47*PaymentFee</f>
        <v/>
      </c>
      <c r="UV47" s="12">
        <f>UG47*OpsAI</f>
        <v/>
      </c>
      <c r="UW47" s="12">
        <f>MonthlyFixed</f>
        <v/>
      </c>
      <c r="UX47" s="12">
        <f>TQ47*ReferralReward</f>
        <v/>
      </c>
      <c r="UY47" s="12">
        <f>TO47</f>
        <v/>
      </c>
      <c r="UZ47" s="9">
        <f>UP47-UT47-UU47-UV47-UW47-UX47-UY47</f>
        <v/>
      </c>
      <c r="VA47" s="9">
        <f>VA46+UM47-(UT47+UU47+UV47+UW47+UX47+UY47+UR47)</f>
        <v/>
      </c>
      <c r="VB47" s="12">
        <f>IF(UG47&gt;0,UH47/UG47,0)</f>
        <v/>
      </c>
      <c r="VC47" s="11">
        <f>IF(UG46&gt;0,MAX(0,(UG46+TR47-UG47)/UG46),0)</f>
        <v/>
      </c>
      <c r="VE47" s="12" t="n">
        <v>43</v>
      </c>
      <c r="VF47" s="12">
        <f>MOD(VE47-1+LaunchMonth-1,12)+1</f>
        <v/>
      </c>
      <c r="VG47" s="12">
        <f>INT((VE47-1+LaunchMonth-1)/12)+1</f>
        <v/>
      </c>
      <c r="VH47" s="12">
        <f>VLOOKUP(VF47,SeasonTable,2,FALSE)</f>
        <v/>
      </c>
      <c r="VI47" s="12">
        <f>(1+InflationRate)^INT((VE47-1)/12)</f>
        <v/>
      </c>
      <c r="VJ47" s="11">
        <f>MonthlyChurn*VLOOKUP(VF47,ChurnSeasonTable,4,FALSE)</f>
        <v/>
      </c>
      <c r="VK47" s="12">
        <f>MIN(MAX(MktMin19plus,WI46*MktPct19plus),MAX(0,WW46-CashBuffer))</f>
        <v/>
      </c>
      <c r="VL47" s="12">
        <f>IF(VK47&gt;0,MAX(1,ROUND(VK47/CAC*VH47,0)),0)</f>
        <v/>
      </c>
      <c r="VM47" s="12">
        <f>IF(VL47&gt;0,ROUND(VL47*ReferralMix/(1-ReferralMix),0),0)</f>
        <v/>
      </c>
      <c r="VN47" s="12">
        <f>VL47+VM47</f>
        <v/>
      </c>
      <c r="VO47" s="12">
        <f>ROUND(VN47*(1-'Sens - Annual Mix'!$A$9),0)</f>
        <v/>
      </c>
      <c r="VP47" s="12">
        <f>VN47-VO47</f>
        <v/>
      </c>
      <c r="VQ47" s="12">
        <f>ROUND(VO47*EssentialMix,0)</f>
        <v/>
      </c>
      <c r="VR47" s="12">
        <f>ROUND(VO47*PremiumMix,0)</f>
        <v/>
      </c>
      <c r="VS47" s="12">
        <f>VO47-VQ47-VR47</f>
        <v/>
      </c>
      <c r="VT47" s="12">
        <f>ROUND(VP47*EssentialMix,0)</f>
        <v/>
      </c>
      <c r="VU47" s="12">
        <f>ROUND(VP47*PremiumMix,0)</f>
        <v/>
      </c>
      <c r="VV47" s="12">
        <f>VP47-VT47-VU47</f>
        <v/>
      </c>
      <c r="VW47" s="12">
        <f>VQ47+VQ46+VQ45+MAX(0,VW46-VQ46-VQ45)*(1-VJ47)</f>
        <v/>
      </c>
      <c r="VX47" s="12">
        <f>VR47+VR46+VR45+MAX(0,VX46-VR46-VR45)*(1-VJ47)</f>
        <v/>
      </c>
      <c r="VY47" s="12">
        <f>VS47+VS46+VS45+MAX(0,VY46-VS46-VS45)*(1-VJ47)</f>
        <v/>
      </c>
      <c r="VZ47" s="12">
        <f>VZ46+VT47-VT35*(AnnualChurn*VLOOKUP(VF47,ChurnSeasonTable,4,FALSE))*POWER(1-(AnnualChurn*VLOOKUP(VF47,ChurnSeasonTable,4,FALSE)),0)+VT23*(AnnualChurn*VLOOKUP(VF47,ChurnSeasonTable,4,FALSE))*POWER(1-(AnnualChurn*VLOOKUP(VF47,ChurnSeasonTable,4,FALSE)),1)+VT11*(AnnualChurn*VLOOKUP(VF47,ChurnSeasonTable,4,FALSE))*POWER(1-(AnnualChurn*VLOOKUP(VF47,ChurnSeasonTable,4,FALSE)),2)</f>
        <v/>
      </c>
      <c r="WA47" s="12">
        <f>WA46+VU47-VU35*(AnnualChurn*VLOOKUP(VF47,ChurnSeasonTable,4,FALSE))*POWER(1-(AnnualChurn*VLOOKUP(VF47,ChurnSeasonTable,4,FALSE)),0)+VU23*(AnnualChurn*VLOOKUP(VF47,ChurnSeasonTable,4,FALSE))*POWER(1-(AnnualChurn*VLOOKUP(VF47,ChurnSeasonTable,4,FALSE)),1)+VU11*(AnnualChurn*VLOOKUP(VF47,ChurnSeasonTable,4,FALSE))*POWER(1-(AnnualChurn*VLOOKUP(VF47,ChurnSeasonTable,4,FALSE)),2)</f>
        <v/>
      </c>
      <c r="WB47" s="12">
        <f>WB46+VV47-VV35*(AnnualChurn*VLOOKUP(VF47,ChurnSeasonTable,4,FALSE))*POWER(1-(AnnualChurn*VLOOKUP(VF47,ChurnSeasonTable,4,FALSE)),0)+VV23*(AnnualChurn*VLOOKUP(VF47,ChurnSeasonTable,4,FALSE))*POWER(1-(AnnualChurn*VLOOKUP(VF47,ChurnSeasonTable,4,FALSE)),1)+VV11*(AnnualChurn*VLOOKUP(VF47,ChurnSeasonTable,4,FALSE))*POWER(1-(AnnualChurn*VLOOKUP(VF47,ChurnSeasonTable,4,FALSE)),2)</f>
        <v/>
      </c>
      <c r="WC47" s="12">
        <f>VW47+VX47+VY47+VZ47+WA47+WB47</f>
        <v/>
      </c>
      <c r="WD47" s="9">
        <f>VW47*BlendedPriceEssMonthly*VI47+VX47*BlendedPricePremMonthly*VI47+VY47*BlendedPriceEliteMonthly*VI47+VZ47*BlendedPriceEssAnnual*VI47/12+WA47*BlendedPricePremAnnual*VI47/12+WB47*BlendedPriceEliteAnnual*VI47/12</f>
        <v/>
      </c>
      <c r="WE47" s="9">
        <f>WD47*12</f>
        <v/>
      </c>
      <c r="WF47" s="12">
        <f>VW47*BlendedPriceEssMonthly*VI47+VX47*BlendedPricePremMonthly*VI47+VY47*BlendedPriceEliteMonthly*VI47</f>
        <v/>
      </c>
      <c r="WG47" s="12">
        <f>VT47*BlendedPriceEssAnnual*VI47+VU47*BlendedPricePremAnnual*VI47+VV47*BlendedPriceEliteAnnual*VI47</f>
        <v/>
      </c>
      <c r="WH47" s="12">
        <f>VT35*POWER(1-(AnnualChurn*VLOOKUP(VF47,ChurnSeasonTable,4,FALSE)),1)*BlendedPriceEssAnnual*VI47+VT23*POWER(1-(AnnualChurn*VLOOKUP(VF47,ChurnSeasonTable,4,FALSE)),2)*BlendedPriceEssAnnual*VI47+VT11*POWER(1-(AnnualChurn*VLOOKUP(VF47,ChurnSeasonTable,4,FALSE)),3)*BlendedPriceEssAnnual*VI47+VU35*POWER(1-(AnnualChurn*VLOOKUP(VF47,ChurnSeasonTable,4,FALSE)),1)*BlendedPricePremAnnual*VI47+VU23*POWER(1-(AnnualChurn*VLOOKUP(VF47,ChurnSeasonTable,4,FALSE)),2)*BlendedPricePremAnnual*VI47+VU11*POWER(1-(AnnualChurn*VLOOKUP(VF47,ChurnSeasonTable,4,FALSE)),3)*BlendedPricePremAnnual*VI47+VV35*POWER(1-(AnnualChurn*VLOOKUP(VF47,ChurnSeasonTable,4,FALSE)),1)*BlendedPriceEliteAnnual*VI47+VV23*POWER(1-(AnnualChurn*VLOOKUP(VF47,ChurnSeasonTable,4,FALSE)),2)*BlendedPriceEliteAnnual*VI47+VV11*POWER(1-(AnnualChurn*VLOOKUP(VF47,ChurnSeasonTable,4,FALSE)),3)*BlendedPriceEliteAnnual*VI47</f>
        <v/>
      </c>
      <c r="WI47" s="9">
        <f>WF47+WG47+WH47</f>
        <v/>
      </c>
      <c r="WJ47" s="12">
        <f>SUM(WI36:WI47)</f>
        <v/>
      </c>
      <c r="WK47" s="12">
        <f>OR(WK46,IF(VATAgentMode,SUM($WI36:$WI47)-SUM($WP36:$WP47)&gt;=VATThreshold,SUM($WI36:$WI47)&gt;=VATThreshold))</f>
        <v/>
      </c>
      <c r="WL47" s="9">
        <f>IF(WK47,IF(VATAgentMode,WI47-((WI47-WP47)-(WI47-WP47)/(1+VATRate)),WI47/(1+VATRate)),WI47)</f>
        <v/>
      </c>
      <c r="WM47" s="12">
        <f>WI47-WL47</f>
        <v/>
      </c>
      <c r="WN47" s="12">
        <f>IF(WK47=0,0,IF(VF47=1,SUMPRODUCT(--(($VG$5:$VG47=$VG47-1)*($VF$5:$VF47&gt;=10)*($VF$5:$VF47&lt;=12)),$WM$5:$WM47),IF(VF47=4,SUMPRODUCT(--(($VG$5:$VG47=$VG47)*($VF$5:$VF47&gt;=1)*($VF$5:$VF47&lt;=3)),$WM$5:$WM47),IF(VF47=7,SUMPRODUCT(--(($VG$5:$VG47=$VG47)*($VF$5:$VF47&gt;=4)*($VF$5:$VF47&lt;=6)),$WM$5:$WM47),IF(VF47=10,SUMPRODUCT(--(($VG$5:$VG47=$VG47)*($VF$5:$VF47&gt;=7)*($VF$5:$VF47&lt;=9)),$WM$5:$WM47),0)))))</f>
        <v/>
      </c>
      <c r="WO47" s="12">
        <f>WO46+WM47-WN47</f>
        <v/>
      </c>
      <c r="WP47" s="12">
        <f>IF(ProviderDelay&gt;=1,VW46*BlendedProvPayEss+VX46*BlendedProvPayPrem+VY46*BlendedProvPayElite+VZ46*BlendedProvPayEss+WA46*BlendedProvPayPrem+WB46*BlendedProvPayElite,VW47*BlendedProvPayEss+VX47*BlendedProvPayPrem+VY47*BlendedProvPayElite+VZ47*BlendedProvPayEss+WA47*BlendedProvPayPrem+WB47*BlendedProvPayElite)</f>
        <v/>
      </c>
      <c r="WQ47" s="12">
        <f>WI47*PaymentFee</f>
        <v/>
      </c>
      <c r="WR47" s="12">
        <f>WC47*OpsAI</f>
        <v/>
      </c>
      <c r="WS47" s="12">
        <f>MonthlyFixed</f>
        <v/>
      </c>
      <c r="WT47" s="12">
        <f>VM47*ReferralReward</f>
        <v/>
      </c>
      <c r="WU47" s="12">
        <f>VK47</f>
        <v/>
      </c>
      <c r="WV47" s="9">
        <f>WL47-WP47-WQ47-WR47-WS47-WT47-WU47</f>
        <v/>
      </c>
      <c r="WW47" s="9">
        <f>WW46+WI47-(WP47+WQ47+WR47+WS47+WT47+WU47+WN47)</f>
        <v/>
      </c>
      <c r="WX47" s="12">
        <f>IF(WC47&gt;0,WD47/WC47,0)</f>
        <v/>
      </c>
      <c r="WY47" s="11">
        <f>IF(WC46&gt;0,MAX(0,(WC46+VN47-WC47)/WC46),0)</f>
        <v/>
      </c>
      <c r="XA47" s="12" t="n">
        <v>43</v>
      </c>
      <c r="XB47" s="12">
        <f>MOD(XA47-1+LaunchMonth-1,12)+1</f>
        <v/>
      </c>
      <c r="XC47" s="12">
        <f>INT((XA47-1+LaunchMonth-1)/12)+1</f>
        <v/>
      </c>
      <c r="XD47" s="12">
        <f>VLOOKUP(XB47,SeasonTable,2,FALSE)</f>
        <v/>
      </c>
      <c r="XE47" s="12">
        <f>(1+InflationRate)^INT((XA47-1)/12)</f>
        <v/>
      </c>
      <c r="XF47" s="11">
        <f>MonthlyChurn*VLOOKUP(XB47,ChurnSeasonTable,4,FALSE)</f>
        <v/>
      </c>
      <c r="XG47" s="12">
        <f>MIN(MAX(MktMin19plus,YE46*MktPct19plus),MAX(0,YS46-CashBuffer))</f>
        <v/>
      </c>
      <c r="XH47" s="12">
        <f>IF(XG47&gt;0,MAX(1,ROUND(XG47/CAC*XD47,0)),0)</f>
        <v/>
      </c>
      <c r="XI47" s="12">
        <f>IF(XH47&gt;0,ROUND(XH47*ReferralMix/(1-ReferralMix),0),0)</f>
        <v/>
      </c>
      <c r="XJ47" s="12">
        <f>XH47+XI47</f>
        <v/>
      </c>
      <c r="XK47" s="12">
        <f>ROUND(XJ47*(1-'Sens - Annual Mix'!$A$10),0)</f>
        <v/>
      </c>
      <c r="XL47" s="12">
        <f>XJ47-XK47</f>
        <v/>
      </c>
      <c r="XM47" s="12">
        <f>ROUND(XK47*EssentialMix,0)</f>
        <v/>
      </c>
      <c r="XN47" s="12">
        <f>ROUND(XK47*PremiumMix,0)</f>
        <v/>
      </c>
      <c r="XO47" s="12">
        <f>XK47-XM47-XN47</f>
        <v/>
      </c>
      <c r="XP47" s="12">
        <f>ROUND(XL47*EssentialMix,0)</f>
        <v/>
      </c>
      <c r="XQ47" s="12">
        <f>ROUND(XL47*PremiumMix,0)</f>
        <v/>
      </c>
      <c r="XR47" s="12">
        <f>XL47-XP47-XQ47</f>
        <v/>
      </c>
      <c r="XS47" s="12">
        <f>XM47+XM46+XM45+MAX(0,XS46-XM46-XM45)*(1-XF47)</f>
        <v/>
      </c>
      <c r="XT47" s="12">
        <f>XN47+XN46+XN45+MAX(0,XT46-XN46-XN45)*(1-XF47)</f>
        <v/>
      </c>
      <c r="XU47" s="12">
        <f>XO47+XO46+XO45+MAX(0,XU46-XO46-XO45)*(1-XF47)</f>
        <v/>
      </c>
      <c r="XV47" s="12">
        <f>XV46+XP47-XP35*(AnnualChurn*VLOOKUP(XB47,ChurnSeasonTable,4,FALSE))*POWER(1-(AnnualChurn*VLOOKUP(XB47,ChurnSeasonTable,4,FALSE)),0)+XP23*(AnnualChurn*VLOOKUP(XB47,ChurnSeasonTable,4,FALSE))*POWER(1-(AnnualChurn*VLOOKUP(XB47,ChurnSeasonTable,4,FALSE)),1)+XP11*(AnnualChurn*VLOOKUP(XB47,ChurnSeasonTable,4,FALSE))*POWER(1-(AnnualChurn*VLOOKUP(XB47,ChurnSeasonTable,4,FALSE)),2)</f>
        <v/>
      </c>
      <c r="XW47" s="12">
        <f>XW46+XQ47-XQ35*(AnnualChurn*VLOOKUP(XB47,ChurnSeasonTable,4,FALSE))*POWER(1-(AnnualChurn*VLOOKUP(XB47,ChurnSeasonTable,4,FALSE)),0)+XQ23*(AnnualChurn*VLOOKUP(XB47,ChurnSeasonTable,4,FALSE))*POWER(1-(AnnualChurn*VLOOKUP(XB47,ChurnSeasonTable,4,FALSE)),1)+XQ11*(AnnualChurn*VLOOKUP(XB47,ChurnSeasonTable,4,FALSE))*POWER(1-(AnnualChurn*VLOOKUP(XB47,ChurnSeasonTable,4,FALSE)),2)</f>
        <v/>
      </c>
      <c r="XX47" s="12">
        <f>XX46+XR47-XR35*(AnnualChurn*VLOOKUP(XB47,ChurnSeasonTable,4,FALSE))*POWER(1-(AnnualChurn*VLOOKUP(XB47,ChurnSeasonTable,4,FALSE)),0)+XR23*(AnnualChurn*VLOOKUP(XB47,ChurnSeasonTable,4,FALSE))*POWER(1-(AnnualChurn*VLOOKUP(XB47,ChurnSeasonTable,4,FALSE)),1)+XR11*(AnnualChurn*VLOOKUP(XB47,ChurnSeasonTable,4,FALSE))*POWER(1-(AnnualChurn*VLOOKUP(XB47,ChurnSeasonTable,4,FALSE)),2)</f>
        <v/>
      </c>
      <c r="XY47" s="12">
        <f>XS47+XT47+XU47+XV47+XW47+XX47</f>
        <v/>
      </c>
      <c r="XZ47" s="9">
        <f>XS47*BlendedPriceEssMonthly*XE47+XT47*BlendedPricePremMonthly*XE47+XU47*BlendedPriceEliteMonthly*XE47+XV47*BlendedPriceEssAnnual*XE47/12+XW47*BlendedPricePremAnnual*XE47/12+XX47*BlendedPriceEliteAnnual*XE47/12</f>
        <v/>
      </c>
      <c r="YA47" s="9">
        <f>XZ47*12</f>
        <v/>
      </c>
      <c r="YB47" s="12">
        <f>XS47*BlendedPriceEssMonthly*XE47+XT47*BlendedPricePremMonthly*XE47+XU47*BlendedPriceEliteMonthly*XE47</f>
        <v/>
      </c>
      <c r="YC47" s="12">
        <f>XP47*BlendedPriceEssAnnual*XE47+XQ47*BlendedPricePremAnnual*XE47+XR47*BlendedPriceEliteAnnual*XE47</f>
        <v/>
      </c>
      <c r="YD47" s="12">
        <f>XP35*POWER(1-(AnnualChurn*VLOOKUP(XB47,ChurnSeasonTable,4,FALSE)),1)*BlendedPriceEssAnnual*XE47+XP23*POWER(1-(AnnualChurn*VLOOKUP(XB47,ChurnSeasonTable,4,FALSE)),2)*BlendedPriceEssAnnual*XE47+XP11*POWER(1-(AnnualChurn*VLOOKUP(XB47,ChurnSeasonTable,4,FALSE)),3)*BlendedPriceEssAnnual*XE47+XQ35*POWER(1-(AnnualChurn*VLOOKUP(XB47,ChurnSeasonTable,4,FALSE)),1)*BlendedPricePremAnnual*XE47+XQ23*POWER(1-(AnnualChurn*VLOOKUP(XB47,ChurnSeasonTable,4,FALSE)),2)*BlendedPricePremAnnual*XE47+XQ11*POWER(1-(AnnualChurn*VLOOKUP(XB47,ChurnSeasonTable,4,FALSE)),3)*BlendedPricePremAnnual*XE47+XR35*POWER(1-(AnnualChurn*VLOOKUP(XB47,ChurnSeasonTable,4,FALSE)),1)*BlendedPriceEliteAnnual*XE47+XR23*POWER(1-(AnnualChurn*VLOOKUP(XB47,ChurnSeasonTable,4,FALSE)),2)*BlendedPriceEliteAnnual*XE47+XR11*POWER(1-(AnnualChurn*VLOOKUP(XB47,ChurnSeasonTable,4,FALSE)),3)*BlendedPriceEliteAnnual*XE47</f>
        <v/>
      </c>
      <c r="YE47" s="9">
        <f>YB47+YC47+YD47</f>
        <v/>
      </c>
      <c r="YF47" s="12">
        <f>SUM(YE36:YE47)</f>
        <v/>
      </c>
      <c r="YG47" s="12">
        <f>OR(YG46,IF(VATAgentMode,SUM($YE36:$YE47)-SUM($YL36:$YL47)&gt;=VATThreshold,SUM($YE36:$YE47)&gt;=VATThreshold))</f>
        <v/>
      </c>
      <c r="YH47" s="9">
        <f>IF(YG47,IF(VATAgentMode,YE47-((YE47-YL47)-(YE47-YL47)/(1+VATRate)),YE47/(1+VATRate)),YE47)</f>
        <v/>
      </c>
      <c r="YI47" s="12">
        <f>YE47-YH47</f>
        <v/>
      </c>
      <c r="YJ47" s="12">
        <f>IF(YG47=0,0,IF(XB47=1,SUMPRODUCT(--(($XC$5:$XC47=$XC47-1)*($XB$5:$XB47&gt;=10)*($XB$5:$XB47&lt;=12)),$YI$5:$YI47),IF(XB47=4,SUMPRODUCT(--(($XC$5:$XC47=$XC47)*($XB$5:$XB47&gt;=1)*($XB$5:$XB47&lt;=3)),$YI$5:$YI47),IF(XB47=7,SUMPRODUCT(--(($XC$5:$XC47=$XC47)*($XB$5:$XB47&gt;=4)*($XB$5:$XB47&lt;=6)),$YI$5:$YI47),IF(XB47=10,SUMPRODUCT(--(($XC$5:$XC47=$XC47)*($XB$5:$XB47&gt;=7)*($XB$5:$XB47&lt;=9)),$YI$5:$YI47),0)))))</f>
        <v/>
      </c>
      <c r="YK47" s="12">
        <f>YK46+YI47-YJ47</f>
        <v/>
      </c>
      <c r="YL47" s="12">
        <f>IF(ProviderDelay&gt;=1,XS46*BlendedProvPayEss+XT46*BlendedProvPayPrem+XU46*BlendedProvPayElite+XV46*BlendedProvPayEss+XW46*BlendedProvPayPrem+XX46*BlendedProvPayElite,XS47*BlendedProvPayEss+XT47*BlendedProvPayPrem+XU47*BlendedProvPayElite+XV47*BlendedProvPayEss+XW47*BlendedProvPayPrem+XX47*BlendedProvPayElite)</f>
        <v/>
      </c>
      <c r="YM47" s="12">
        <f>YE47*PaymentFee</f>
        <v/>
      </c>
      <c r="YN47" s="12">
        <f>XY47*OpsAI</f>
        <v/>
      </c>
      <c r="YO47" s="12">
        <f>MonthlyFixed</f>
        <v/>
      </c>
      <c r="YP47" s="12">
        <f>XI47*ReferralReward</f>
        <v/>
      </c>
      <c r="YQ47" s="12">
        <f>XG47</f>
        <v/>
      </c>
      <c r="YR47" s="9">
        <f>YH47-YL47-YM47-YN47-YO47-YP47-YQ47</f>
        <v/>
      </c>
      <c r="YS47" s="9">
        <f>YS46+YE47-(YL47+YM47+YN47+YO47+YP47+YQ47+YJ47)</f>
        <v/>
      </c>
      <c r="YT47" s="12">
        <f>IF(XY47&gt;0,XZ47/XY47,0)</f>
        <v/>
      </c>
      <c r="YU47" s="11">
        <f>IF(XY46&gt;0,MAX(0,(XY46+XJ47-XY47)/XY46),0)</f>
        <v/>
      </c>
      <c r="YW47" s="12" t="n">
        <v>43</v>
      </c>
      <c r="YX47" s="12">
        <f>MOD(YW47-1+LaunchMonth-1,12)+1</f>
        <v/>
      </c>
      <c r="YY47" s="12">
        <f>INT((YW47-1+LaunchMonth-1)/12)+1</f>
        <v/>
      </c>
      <c r="YZ47" s="12">
        <f>VLOOKUP(YX47,SeasonTable,2,FALSE)</f>
        <v/>
      </c>
      <c r="ZA47" s="12">
        <f>(1+InflationRate)^INT((YW47-1)/12)</f>
        <v/>
      </c>
      <c r="ZB47" s="11">
        <f>MonthlyChurn*VLOOKUP(YX47,ChurnSeasonTable,4,FALSE)</f>
        <v/>
      </c>
      <c r="ZC47" s="12">
        <f>MIN(MAX(MktMin19plus,AAA46*MktPct19plus),MAX(0,AAO46-CashBuffer))</f>
        <v/>
      </c>
      <c r="ZD47" s="12">
        <f>IF(ZC47&gt;0,MAX(1,ROUND(ZC47/CAC*YZ47,0)),0)</f>
        <v/>
      </c>
      <c r="ZE47" s="12">
        <f>IF(ZD47&gt;0,ROUND(ZD47*ReferralMix/(1-ReferralMix),0),0)</f>
        <v/>
      </c>
      <c r="ZF47" s="12">
        <f>ZD47+ZE47</f>
        <v/>
      </c>
      <c r="ZG47" s="12">
        <f>ROUND(ZF47*(1-'Sens - Annual Mix'!$A$11),0)</f>
        <v/>
      </c>
      <c r="ZH47" s="12">
        <f>ZF47-ZG47</f>
        <v/>
      </c>
      <c r="ZI47" s="12">
        <f>ROUND(ZG47*EssentialMix,0)</f>
        <v/>
      </c>
      <c r="ZJ47" s="12">
        <f>ROUND(ZG47*PremiumMix,0)</f>
        <v/>
      </c>
      <c r="ZK47" s="12">
        <f>ZG47-ZI47-ZJ47</f>
        <v/>
      </c>
      <c r="ZL47" s="12">
        <f>ROUND(ZH47*EssentialMix,0)</f>
        <v/>
      </c>
      <c r="ZM47" s="12">
        <f>ROUND(ZH47*PremiumMix,0)</f>
        <v/>
      </c>
      <c r="ZN47" s="12">
        <f>ZH47-ZL47-ZM47</f>
        <v/>
      </c>
      <c r="ZO47" s="12">
        <f>ZI47+ZI46+ZI45+MAX(0,ZO46-ZI46-ZI45)*(1-ZB47)</f>
        <v/>
      </c>
      <c r="ZP47" s="12">
        <f>ZJ47+ZJ46+ZJ45+MAX(0,ZP46-ZJ46-ZJ45)*(1-ZB47)</f>
        <v/>
      </c>
      <c r="ZQ47" s="12">
        <f>ZK47+ZK46+ZK45+MAX(0,ZQ46-ZK46-ZK45)*(1-ZB47)</f>
        <v/>
      </c>
      <c r="ZR47" s="12">
        <f>ZR46+ZL47-ZL35*(AnnualChurn*VLOOKUP(YX47,ChurnSeasonTable,4,FALSE))*POWER(1-(AnnualChurn*VLOOKUP(YX47,ChurnSeasonTable,4,FALSE)),0)+ZL23*(AnnualChurn*VLOOKUP(YX47,ChurnSeasonTable,4,FALSE))*POWER(1-(AnnualChurn*VLOOKUP(YX47,ChurnSeasonTable,4,FALSE)),1)+ZL11*(AnnualChurn*VLOOKUP(YX47,ChurnSeasonTable,4,FALSE))*POWER(1-(AnnualChurn*VLOOKUP(YX47,ChurnSeasonTable,4,FALSE)),2)</f>
        <v/>
      </c>
      <c r="ZS47" s="12">
        <f>ZS46+ZM47-ZM35*(AnnualChurn*VLOOKUP(YX47,ChurnSeasonTable,4,FALSE))*POWER(1-(AnnualChurn*VLOOKUP(YX47,ChurnSeasonTable,4,FALSE)),0)+ZM23*(AnnualChurn*VLOOKUP(YX47,ChurnSeasonTable,4,FALSE))*POWER(1-(AnnualChurn*VLOOKUP(YX47,ChurnSeasonTable,4,FALSE)),1)+ZM11*(AnnualChurn*VLOOKUP(YX47,ChurnSeasonTable,4,FALSE))*POWER(1-(AnnualChurn*VLOOKUP(YX47,ChurnSeasonTable,4,FALSE)),2)</f>
        <v/>
      </c>
      <c r="ZT47" s="12">
        <f>ZT46+ZN47-ZN35*(AnnualChurn*VLOOKUP(YX47,ChurnSeasonTable,4,FALSE))*POWER(1-(AnnualChurn*VLOOKUP(YX47,ChurnSeasonTable,4,FALSE)),0)+ZN23*(AnnualChurn*VLOOKUP(YX47,ChurnSeasonTable,4,FALSE))*POWER(1-(AnnualChurn*VLOOKUP(YX47,ChurnSeasonTable,4,FALSE)),1)+ZN11*(AnnualChurn*VLOOKUP(YX47,ChurnSeasonTable,4,FALSE))*POWER(1-(AnnualChurn*VLOOKUP(YX47,ChurnSeasonTable,4,FALSE)),2)</f>
        <v/>
      </c>
      <c r="ZU47" s="12">
        <f>ZO47+ZP47+ZQ47+ZR47+ZS47+ZT47</f>
        <v/>
      </c>
      <c r="ZV47" s="9">
        <f>ZO47*BlendedPriceEssMonthly*ZA47+ZP47*BlendedPricePremMonthly*ZA47+ZQ47*BlendedPriceEliteMonthly*ZA47+ZR47*BlendedPriceEssAnnual*ZA47/12+ZS47*BlendedPricePremAnnual*ZA47/12+ZT47*BlendedPriceEliteAnnual*ZA47/12</f>
        <v/>
      </c>
      <c r="ZW47" s="9">
        <f>ZV47*12</f>
        <v/>
      </c>
      <c r="ZX47" s="12">
        <f>ZO47*BlendedPriceEssMonthly*ZA47+ZP47*BlendedPricePremMonthly*ZA47+ZQ47*BlendedPriceEliteMonthly*ZA47</f>
        <v/>
      </c>
      <c r="ZY47" s="12">
        <f>ZL47*BlendedPriceEssAnnual*ZA47+ZM47*BlendedPricePremAnnual*ZA47+ZN47*BlendedPriceEliteAnnual*ZA47</f>
        <v/>
      </c>
      <c r="ZZ47" s="12">
        <f>ZL35*POWER(1-(AnnualChurn*VLOOKUP(YX47,ChurnSeasonTable,4,FALSE)),1)*BlendedPriceEssAnnual*ZA47+ZL23*POWER(1-(AnnualChurn*VLOOKUP(YX47,ChurnSeasonTable,4,FALSE)),2)*BlendedPriceEssAnnual*ZA47+ZL11*POWER(1-(AnnualChurn*VLOOKUP(YX47,ChurnSeasonTable,4,FALSE)),3)*BlendedPriceEssAnnual*ZA47+ZM35*POWER(1-(AnnualChurn*VLOOKUP(YX47,ChurnSeasonTable,4,FALSE)),1)*BlendedPricePremAnnual*ZA47+ZM23*POWER(1-(AnnualChurn*VLOOKUP(YX47,ChurnSeasonTable,4,FALSE)),2)*BlendedPricePremAnnual*ZA47+ZM11*POWER(1-(AnnualChurn*VLOOKUP(YX47,ChurnSeasonTable,4,FALSE)),3)*BlendedPricePremAnnual*ZA47+ZN35*POWER(1-(AnnualChurn*VLOOKUP(YX47,ChurnSeasonTable,4,FALSE)),1)*BlendedPriceEliteAnnual*ZA47+ZN23*POWER(1-(AnnualChurn*VLOOKUP(YX47,ChurnSeasonTable,4,FALSE)),2)*BlendedPriceEliteAnnual*ZA47+ZN11*POWER(1-(AnnualChurn*VLOOKUP(YX47,ChurnSeasonTable,4,FALSE)),3)*BlendedPriceEliteAnnual*ZA47</f>
        <v/>
      </c>
      <c r="AAA47" s="9">
        <f>ZX47+ZY47+ZZ47</f>
        <v/>
      </c>
      <c r="AAB47" s="12">
        <f>SUM(AAA36:AAA47)</f>
        <v/>
      </c>
      <c r="AAC47" s="12">
        <f>OR(AAC46,IF(VATAgentMode,SUM($AAA36:$AAA47)-SUM($AAH36:$AAH47)&gt;=VATThreshold,SUM($AAA36:$AAA47)&gt;=VATThreshold))</f>
        <v/>
      </c>
      <c r="AAD47" s="9">
        <f>IF(AAC47,IF(VATAgentMode,AAA47-((AAA47-AAH47)-(AAA47-AAH47)/(1+VATRate)),AAA47/(1+VATRate)),AAA47)</f>
        <v/>
      </c>
      <c r="AAE47" s="12">
        <f>AAA47-AAD47</f>
        <v/>
      </c>
      <c r="AAF47" s="12">
        <f>IF(AAC47=0,0,IF(YX47=1,SUMPRODUCT(--(($YY$5:$YY47=$YY47-1)*($YX$5:$YX47&gt;=10)*($YX$5:$YX47&lt;=12)),$AAE$5:$AAE47),IF(YX47=4,SUMPRODUCT(--(($YY$5:$YY47=$YY47)*($YX$5:$YX47&gt;=1)*($YX$5:$YX47&lt;=3)),$AAE$5:$AAE47),IF(YX47=7,SUMPRODUCT(--(($YY$5:$YY47=$YY47)*($YX$5:$YX47&gt;=4)*($YX$5:$YX47&lt;=6)),$AAE$5:$AAE47),IF(YX47=10,SUMPRODUCT(--(($YY$5:$YY47=$YY47)*($YX$5:$YX47&gt;=7)*($YX$5:$YX47&lt;=9)),$AAE$5:$AAE47),0)))))</f>
        <v/>
      </c>
      <c r="AAG47" s="12">
        <f>AAG46+AAE47-AAF47</f>
        <v/>
      </c>
      <c r="AAH47" s="12">
        <f>IF(ProviderDelay&gt;=1,ZO46*BlendedProvPayEss+ZP46*BlendedProvPayPrem+ZQ46*BlendedProvPayElite+ZR46*BlendedProvPayEss+ZS46*BlendedProvPayPrem+ZT46*BlendedProvPayElite,ZO47*BlendedProvPayEss+ZP47*BlendedProvPayPrem+ZQ47*BlendedProvPayElite+ZR47*BlendedProvPayEss+ZS47*BlendedProvPayPrem+ZT47*BlendedProvPayElite)</f>
        <v/>
      </c>
      <c r="AAI47" s="12">
        <f>AAA47*PaymentFee</f>
        <v/>
      </c>
      <c r="AAJ47" s="12">
        <f>ZU47*OpsAI</f>
        <v/>
      </c>
      <c r="AAK47" s="12">
        <f>MonthlyFixed</f>
        <v/>
      </c>
      <c r="AAL47" s="12">
        <f>ZE47*ReferralReward</f>
        <v/>
      </c>
      <c r="AAM47" s="12">
        <f>ZC47</f>
        <v/>
      </c>
      <c r="AAN47" s="9">
        <f>AAD47-AAH47-AAI47-AAJ47-AAK47-AAL47-AAM47</f>
        <v/>
      </c>
      <c r="AAO47" s="9">
        <f>AAO46+AAA47-(AAH47+AAI47+AAJ47+AAK47+AAL47+AAM47+AAF47)</f>
        <v/>
      </c>
      <c r="AAP47" s="12">
        <f>IF(ZU47&gt;0,ZV47/ZU47,0)</f>
        <v/>
      </c>
      <c r="AAQ47" s="11">
        <f>IF(ZU46&gt;0,MAX(0,(ZU46+ZF47-ZU47)/ZU46),0)</f>
        <v/>
      </c>
      <c r="AAS47" s="12" t="n">
        <v>43</v>
      </c>
      <c r="AAT47" s="12">
        <f>MOD(AAS47-1+LaunchMonth-1,12)+1</f>
        <v/>
      </c>
      <c r="AAU47" s="12">
        <f>INT((AAS47-1+LaunchMonth-1)/12)+1</f>
        <v/>
      </c>
      <c r="AAV47" s="12">
        <f>VLOOKUP(AAT47,SeasonTable,2,FALSE)</f>
        <v/>
      </c>
      <c r="AAW47" s="12">
        <f>(1+InflationRate)^INT((AAS47-1)/12)</f>
        <v/>
      </c>
      <c r="AAX47" s="11">
        <f>MonthlyChurn*VLOOKUP(AAT47,ChurnSeasonTable,4,FALSE)</f>
        <v/>
      </c>
      <c r="AAY47" s="12">
        <f>MIN(MAX(MktMin19plus,ABW46*MktPct19plus),MAX(0,ACK46-CashBuffer))</f>
        <v/>
      </c>
      <c r="AAZ47" s="12">
        <f>IF(AAY47&gt;0,MAX(1,ROUND(AAY47/CAC*AAV47,0)),0)</f>
        <v/>
      </c>
      <c r="ABA47" s="12">
        <f>IF(AAZ47&gt;0,ROUND(AAZ47*ReferralMix/(1-ReferralMix),0),0)</f>
        <v/>
      </c>
      <c r="ABB47" s="12">
        <f>AAZ47+ABA47</f>
        <v/>
      </c>
      <c r="ABC47" s="12">
        <f>ROUND(ABB47*(1-'Sens - Annual Mix'!$A$12),0)</f>
        <v/>
      </c>
      <c r="ABD47" s="12">
        <f>ABB47-ABC47</f>
        <v/>
      </c>
      <c r="ABE47" s="12">
        <f>ROUND(ABC47*EssentialMix,0)</f>
        <v/>
      </c>
      <c r="ABF47" s="12">
        <f>ROUND(ABC47*PremiumMix,0)</f>
        <v/>
      </c>
      <c r="ABG47" s="12">
        <f>ABC47-ABE47-ABF47</f>
        <v/>
      </c>
      <c r="ABH47" s="12">
        <f>ROUND(ABD47*EssentialMix,0)</f>
        <v/>
      </c>
      <c r="ABI47" s="12">
        <f>ROUND(ABD47*PremiumMix,0)</f>
        <v/>
      </c>
      <c r="ABJ47" s="12">
        <f>ABD47-ABH47-ABI47</f>
        <v/>
      </c>
      <c r="ABK47" s="12">
        <f>ABE47+ABE46+ABE45+MAX(0,ABK46-ABE46-ABE45)*(1-AAX47)</f>
        <v/>
      </c>
      <c r="ABL47" s="12">
        <f>ABF47+ABF46+ABF45+MAX(0,ABL46-ABF46-ABF45)*(1-AAX47)</f>
        <v/>
      </c>
      <c r="ABM47" s="12">
        <f>ABG47+ABG46+ABG45+MAX(0,ABM46-ABG46-ABG45)*(1-AAX47)</f>
        <v/>
      </c>
      <c r="ABN47" s="12">
        <f>ABN46+ABH47-ABH35*(AnnualChurn*VLOOKUP(AAT47,ChurnSeasonTable,4,FALSE))*POWER(1-(AnnualChurn*VLOOKUP(AAT47,ChurnSeasonTable,4,FALSE)),0)+ABH23*(AnnualChurn*VLOOKUP(AAT47,ChurnSeasonTable,4,FALSE))*POWER(1-(AnnualChurn*VLOOKUP(AAT47,ChurnSeasonTable,4,FALSE)),1)+ABH11*(AnnualChurn*VLOOKUP(AAT47,ChurnSeasonTable,4,FALSE))*POWER(1-(AnnualChurn*VLOOKUP(AAT47,ChurnSeasonTable,4,FALSE)),2)</f>
        <v/>
      </c>
      <c r="ABO47" s="12">
        <f>ABO46+ABI47-ABI35*(AnnualChurn*VLOOKUP(AAT47,ChurnSeasonTable,4,FALSE))*POWER(1-(AnnualChurn*VLOOKUP(AAT47,ChurnSeasonTable,4,FALSE)),0)+ABI23*(AnnualChurn*VLOOKUP(AAT47,ChurnSeasonTable,4,FALSE))*POWER(1-(AnnualChurn*VLOOKUP(AAT47,ChurnSeasonTable,4,FALSE)),1)+ABI11*(AnnualChurn*VLOOKUP(AAT47,ChurnSeasonTable,4,FALSE))*POWER(1-(AnnualChurn*VLOOKUP(AAT47,ChurnSeasonTable,4,FALSE)),2)</f>
        <v/>
      </c>
      <c r="ABP47" s="12">
        <f>ABP46+ABJ47-ABJ35*(AnnualChurn*VLOOKUP(AAT47,ChurnSeasonTable,4,FALSE))*POWER(1-(AnnualChurn*VLOOKUP(AAT47,ChurnSeasonTable,4,FALSE)),0)+ABJ23*(AnnualChurn*VLOOKUP(AAT47,ChurnSeasonTable,4,FALSE))*POWER(1-(AnnualChurn*VLOOKUP(AAT47,ChurnSeasonTable,4,FALSE)),1)+ABJ11*(AnnualChurn*VLOOKUP(AAT47,ChurnSeasonTable,4,FALSE))*POWER(1-(AnnualChurn*VLOOKUP(AAT47,ChurnSeasonTable,4,FALSE)),2)</f>
        <v/>
      </c>
      <c r="ABQ47" s="12">
        <f>ABK47+ABL47+ABM47+ABN47+ABO47+ABP47</f>
        <v/>
      </c>
      <c r="ABR47" s="9">
        <f>ABK47*BlendedPriceEssMonthly*AAW47+ABL47*BlendedPricePremMonthly*AAW47+ABM47*BlendedPriceEliteMonthly*AAW47+ABN47*BlendedPriceEssAnnual*AAW47/12+ABO47*BlendedPricePremAnnual*AAW47/12+ABP47*BlendedPriceEliteAnnual*AAW47/12</f>
        <v/>
      </c>
      <c r="ABS47" s="9">
        <f>ABR47*12</f>
        <v/>
      </c>
      <c r="ABT47" s="12">
        <f>ABK47*BlendedPriceEssMonthly*AAW47+ABL47*BlendedPricePremMonthly*AAW47+ABM47*BlendedPriceEliteMonthly*AAW47</f>
        <v/>
      </c>
      <c r="ABU47" s="12">
        <f>ABH47*BlendedPriceEssAnnual*AAW47+ABI47*BlendedPricePremAnnual*AAW47+ABJ47*BlendedPriceEliteAnnual*AAW47</f>
        <v/>
      </c>
      <c r="ABV47" s="12">
        <f>ABH35*POWER(1-(AnnualChurn*VLOOKUP(AAT47,ChurnSeasonTable,4,FALSE)),1)*BlendedPriceEssAnnual*AAW47+ABH23*POWER(1-(AnnualChurn*VLOOKUP(AAT47,ChurnSeasonTable,4,FALSE)),2)*BlendedPriceEssAnnual*AAW47+ABH11*POWER(1-(AnnualChurn*VLOOKUP(AAT47,ChurnSeasonTable,4,FALSE)),3)*BlendedPriceEssAnnual*AAW47+ABI35*POWER(1-(AnnualChurn*VLOOKUP(AAT47,ChurnSeasonTable,4,FALSE)),1)*BlendedPricePremAnnual*AAW47+ABI23*POWER(1-(AnnualChurn*VLOOKUP(AAT47,ChurnSeasonTable,4,FALSE)),2)*BlendedPricePremAnnual*AAW47+ABI11*POWER(1-(AnnualChurn*VLOOKUP(AAT47,ChurnSeasonTable,4,FALSE)),3)*BlendedPricePremAnnual*AAW47+ABJ35*POWER(1-(AnnualChurn*VLOOKUP(AAT47,ChurnSeasonTable,4,FALSE)),1)*BlendedPriceEliteAnnual*AAW47+ABJ23*POWER(1-(AnnualChurn*VLOOKUP(AAT47,ChurnSeasonTable,4,FALSE)),2)*BlendedPriceEliteAnnual*AAW47+ABJ11*POWER(1-(AnnualChurn*VLOOKUP(AAT47,ChurnSeasonTable,4,FALSE)),3)*BlendedPriceEliteAnnual*AAW47</f>
        <v/>
      </c>
      <c r="ABW47" s="9">
        <f>ABT47+ABU47+ABV47</f>
        <v/>
      </c>
      <c r="ABX47" s="12">
        <f>SUM(ABW36:ABW47)</f>
        <v/>
      </c>
      <c r="ABY47" s="12">
        <f>OR(ABY46,IF(VATAgentMode,SUM($ABW36:$ABW47)-SUM($ACD36:$ACD47)&gt;=VATThreshold,SUM($ABW36:$ABW47)&gt;=VATThreshold))</f>
        <v/>
      </c>
      <c r="ABZ47" s="9">
        <f>IF(ABY47,IF(VATAgentMode,ABW47-((ABW47-ACD47)-(ABW47-ACD47)/(1+VATRate)),ABW47/(1+VATRate)),ABW47)</f>
        <v/>
      </c>
      <c r="ACA47" s="12">
        <f>ABW47-ABZ47</f>
        <v/>
      </c>
      <c r="ACB47" s="12">
        <f>IF(ABY47=0,0,IF(AAT47=1,SUMPRODUCT(--(($AAU$5:$AAU47=$AAU47-1)*($AAT$5:$AAT47&gt;=10)*($AAT$5:$AAT47&lt;=12)),$ACA$5:$ACA47),IF(AAT47=4,SUMPRODUCT(--(($AAU$5:$AAU47=$AAU47)*($AAT$5:$AAT47&gt;=1)*($AAT$5:$AAT47&lt;=3)),$ACA$5:$ACA47),IF(AAT47=7,SUMPRODUCT(--(($AAU$5:$AAU47=$AAU47)*($AAT$5:$AAT47&gt;=4)*($AAT$5:$AAT47&lt;=6)),$ACA$5:$ACA47),IF(AAT47=10,SUMPRODUCT(--(($AAU$5:$AAU47=$AAU47)*($AAT$5:$AAT47&gt;=7)*($AAT$5:$AAT47&lt;=9)),$ACA$5:$ACA47),0)))))</f>
        <v/>
      </c>
      <c r="ACC47" s="12">
        <f>ACC46+ACA47-ACB47</f>
        <v/>
      </c>
      <c r="ACD47" s="12">
        <f>IF(ProviderDelay&gt;=1,ABK46*BlendedProvPayEss+ABL46*BlendedProvPayPrem+ABM46*BlendedProvPayElite+ABN46*BlendedProvPayEss+ABO46*BlendedProvPayPrem+ABP46*BlendedProvPayElite,ABK47*BlendedProvPayEss+ABL47*BlendedProvPayPrem+ABM47*BlendedProvPayElite+ABN47*BlendedProvPayEss+ABO47*BlendedProvPayPrem+ABP47*BlendedProvPayElite)</f>
        <v/>
      </c>
      <c r="ACE47" s="12">
        <f>ABW47*PaymentFee</f>
        <v/>
      </c>
      <c r="ACF47" s="12">
        <f>ABQ47*OpsAI</f>
        <v/>
      </c>
      <c r="ACG47" s="12">
        <f>MonthlyFixed</f>
        <v/>
      </c>
      <c r="ACH47" s="12">
        <f>ABA47*ReferralReward</f>
        <v/>
      </c>
      <c r="ACI47" s="12">
        <f>AAY47</f>
        <v/>
      </c>
      <c r="ACJ47" s="9">
        <f>ABZ47-ACD47-ACE47-ACF47-ACG47-ACH47-ACI47</f>
        <v/>
      </c>
      <c r="ACK47" s="9">
        <f>ACK46+ABW47-(ACD47+ACE47+ACF47+ACG47+ACH47+ACI47+ACB47)</f>
        <v/>
      </c>
      <c r="ACL47" s="12">
        <f>IF(ABQ47&gt;0,ABR47/ABQ47,0)</f>
        <v/>
      </c>
      <c r="ACM47" s="11">
        <f>IF(ABQ46&gt;0,MAX(0,(ABQ46+ABB47-ABQ47)/ABQ46),0)</f>
        <v/>
      </c>
      <c r="ACO47" s="12" t="n">
        <v>43</v>
      </c>
      <c r="ACP47" s="12">
        <f>MOD(ACO47-1+LaunchMonth-1,12)+1</f>
        <v/>
      </c>
      <c r="ACQ47" s="12">
        <f>INT((ACO47-1+LaunchMonth-1)/12)+1</f>
        <v/>
      </c>
      <c r="ACR47" s="12">
        <f>VLOOKUP(ACP47,SeasonTable,2,FALSE)</f>
        <v/>
      </c>
      <c r="ACS47" s="12">
        <f>(1+InflationRate)^INT((ACO47-1)/12)</f>
        <v/>
      </c>
      <c r="ACT47" s="11">
        <f>MonthlyChurn*VLOOKUP(ACP47,ChurnSeasonTable,4,FALSE)</f>
        <v/>
      </c>
      <c r="ACU47" s="12">
        <f>MIN(MAX(MktMin19plus,ADS46*MktPct19plus),MAX(0,AEG46-CashBuffer))</f>
        <v/>
      </c>
      <c r="ACV47" s="12">
        <f>IF(ACU47&gt;0,MAX(1,ROUND(ACU47/CAC*ACR47,0)),0)</f>
        <v/>
      </c>
      <c r="ACW47" s="12">
        <f>IF(ACV47&gt;0,ROUND(ACV47*ReferralMix/(1-ReferralMix),0),0)</f>
        <v/>
      </c>
      <c r="ACX47" s="12">
        <f>ACV47+ACW47</f>
        <v/>
      </c>
      <c r="ACY47" s="12">
        <f>ROUND(ACX47*(1-'Sens - Annual Mix'!$A$13),0)</f>
        <v/>
      </c>
      <c r="ACZ47" s="12">
        <f>ACX47-ACY47</f>
        <v/>
      </c>
      <c r="ADA47" s="12">
        <f>ROUND(ACY47*EssentialMix,0)</f>
        <v/>
      </c>
      <c r="ADB47" s="12">
        <f>ROUND(ACY47*PremiumMix,0)</f>
        <v/>
      </c>
      <c r="ADC47" s="12">
        <f>ACY47-ADA47-ADB47</f>
        <v/>
      </c>
      <c r="ADD47" s="12">
        <f>ROUND(ACZ47*EssentialMix,0)</f>
        <v/>
      </c>
      <c r="ADE47" s="12">
        <f>ROUND(ACZ47*PremiumMix,0)</f>
        <v/>
      </c>
      <c r="ADF47" s="12">
        <f>ACZ47-ADD47-ADE47</f>
        <v/>
      </c>
      <c r="ADG47" s="12">
        <f>ADA47+ADA46+ADA45+MAX(0,ADG46-ADA46-ADA45)*(1-ACT47)</f>
        <v/>
      </c>
      <c r="ADH47" s="12">
        <f>ADB47+ADB46+ADB45+MAX(0,ADH46-ADB46-ADB45)*(1-ACT47)</f>
        <v/>
      </c>
      <c r="ADI47" s="12">
        <f>ADC47+ADC46+ADC45+MAX(0,ADI46-ADC46-ADC45)*(1-ACT47)</f>
        <v/>
      </c>
      <c r="ADJ47" s="12">
        <f>ADJ46+ADD47-ADD35*(AnnualChurn*VLOOKUP(ACP47,ChurnSeasonTable,4,FALSE))*POWER(1-(AnnualChurn*VLOOKUP(ACP47,ChurnSeasonTable,4,FALSE)),0)+ADD23*(AnnualChurn*VLOOKUP(ACP47,ChurnSeasonTable,4,FALSE))*POWER(1-(AnnualChurn*VLOOKUP(ACP47,ChurnSeasonTable,4,FALSE)),1)+ADD11*(AnnualChurn*VLOOKUP(ACP47,ChurnSeasonTable,4,FALSE))*POWER(1-(AnnualChurn*VLOOKUP(ACP47,ChurnSeasonTable,4,FALSE)),2)</f>
        <v/>
      </c>
      <c r="ADK47" s="12">
        <f>ADK46+ADE47-ADE35*(AnnualChurn*VLOOKUP(ACP47,ChurnSeasonTable,4,FALSE))*POWER(1-(AnnualChurn*VLOOKUP(ACP47,ChurnSeasonTable,4,FALSE)),0)+ADE23*(AnnualChurn*VLOOKUP(ACP47,ChurnSeasonTable,4,FALSE))*POWER(1-(AnnualChurn*VLOOKUP(ACP47,ChurnSeasonTable,4,FALSE)),1)+ADE11*(AnnualChurn*VLOOKUP(ACP47,ChurnSeasonTable,4,FALSE))*POWER(1-(AnnualChurn*VLOOKUP(ACP47,ChurnSeasonTable,4,FALSE)),2)</f>
        <v/>
      </c>
      <c r="ADL47" s="12">
        <f>ADL46+ADF47-ADF35*(AnnualChurn*VLOOKUP(ACP47,ChurnSeasonTable,4,FALSE))*POWER(1-(AnnualChurn*VLOOKUP(ACP47,ChurnSeasonTable,4,FALSE)),0)+ADF23*(AnnualChurn*VLOOKUP(ACP47,ChurnSeasonTable,4,FALSE))*POWER(1-(AnnualChurn*VLOOKUP(ACP47,ChurnSeasonTable,4,FALSE)),1)+ADF11*(AnnualChurn*VLOOKUP(ACP47,ChurnSeasonTable,4,FALSE))*POWER(1-(AnnualChurn*VLOOKUP(ACP47,ChurnSeasonTable,4,FALSE)),2)</f>
        <v/>
      </c>
      <c r="ADM47" s="12">
        <f>ADG47+ADH47+ADI47+ADJ47+ADK47+ADL47</f>
        <v/>
      </c>
      <c r="ADN47" s="9">
        <f>ADG47*BlendedPriceEssMonthly*ACS47+ADH47*BlendedPricePremMonthly*ACS47+ADI47*BlendedPriceEliteMonthly*ACS47+ADJ47*BlendedPriceEssAnnual*ACS47/12+ADK47*BlendedPricePremAnnual*ACS47/12+ADL47*BlendedPriceEliteAnnual*ACS47/12</f>
        <v/>
      </c>
      <c r="ADO47" s="9">
        <f>ADN47*12</f>
        <v/>
      </c>
      <c r="ADP47" s="12">
        <f>ADG47*BlendedPriceEssMonthly*ACS47+ADH47*BlendedPricePremMonthly*ACS47+ADI47*BlendedPriceEliteMonthly*ACS47</f>
        <v/>
      </c>
      <c r="ADQ47" s="12">
        <f>ADD47*BlendedPriceEssAnnual*ACS47+ADE47*BlendedPricePremAnnual*ACS47+ADF47*BlendedPriceEliteAnnual*ACS47</f>
        <v/>
      </c>
      <c r="ADR47" s="12">
        <f>ADD35*POWER(1-(AnnualChurn*VLOOKUP(ACP47,ChurnSeasonTable,4,FALSE)),1)*BlendedPriceEssAnnual*ACS47+ADD23*POWER(1-(AnnualChurn*VLOOKUP(ACP47,ChurnSeasonTable,4,FALSE)),2)*BlendedPriceEssAnnual*ACS47+ADD11*POWER(1-(AnnualChurn*VLOOKUP(ACP47,ChurnSeasonTable,4,FALSE)),3)*BlendedPriceEssAnnual*ACS47+ADE35*POWER(1-(AnnualChurn*VLOOKUP(ACP47,ChurnSeasonTable,4,FALSE)),1)*BlendedPricePremAnnual*ACS47+ADE23*POWER(1-(AnnualChurn*VLOOKUP(ACP47,ChurnSeasonTable,4,FALSE)),2)*BlendedPricePremAnnual*ACS47+ADE11*POWER(1-(AnnualChurn*VLOOKUP(ACP47,ChurnSeasonTable,4,FALSE)),3)*BlendedPricePremAnnual*ACS47+ADF35*POWER(1-(AnnualChurn*VLOOKUP(ACP47,ChurnSeasonTable,4,FALSE)),1)*BlendedPriceEliteAnnual*ACS47+ADF23*POWER(1-(AnnualChurn*VLOOKUP(ACP47,ChurnSeasonTable,4,FALSE)),2)*BlendedPriceEliteAnnual*ACS47+ADF11*POWER(1-(AnnualChurn*VLOOKUP(ACP47,ChurnSeasonTable,4,FALSE)),3)*BlendedPriceEliteAnnual*ACS47</f>
        <v/>
      </c>
      <c r="ADS47" s="9">
        <f>ADP47+ADQ47+ADR47</f>
        <v/>
      </c>
      <c r="ADT47" s="12">
        <f>SUM(ADS36:ADS47)</f>
        <v/>
      </c>
      <c r="ADU47" s="12">
        <f>OR(ADU46,IF(VATAgentMode,SUM($ADS36:$ADS47)-SUM($ADZ36:$ADZ47)&gt;=VATThreshold,SUM($ADS36:$ADS47)&gt;=VATThreshold))</f>
        <v/>
      </c>
      <c r="ADV47" s="9">
        <f>IF(ADU47,IF(VATAgentMode,ADS47-((ADS47-ADZ47)-(ADS47-ADZ47)/(1+VATRate)),ADS47/(1+VATRate)),ADS47)</f>
        <v/>
      </c>
      <c r="ADW47" s="12">
        <f>ADS47-ADV47</f>
        <v/>
      </c>
      <c r="ADX47" s="12">
        <f>IF(ADU47=0,0,IF(ACP47=1,SUMPRODUCT(--(($ACQ$5:$ACQ47=$ACQ47-1)*($ACP$5:$ACP47&gt;=10)*($ACP$5:$ACP47&lt;=12)),$ADW$5:$ADW47),IF(ACP47=4,SUMPRODUCT(--(($ACQ$5:$ACQ47=$ACQ47)*($ACP$5:$ACP47&gt;=1)*($ACP$5:$ACP47&lt;=3)),$ADW$5:$ADW47),IF(ACP47=7,SUMPRODUCT(--(($ACQ$5:$ACQ47=$ACQ47)*($ACP$5:$ACP47&gt;=4)*($ACP$5:$ACP47&lt;=6)),$ADW$5:$ADW47),IF(ACP47=10,SUMPRODUCT(--(($ACQ$5:$ACQ47=$ACQ47)*($ACP$5:$ACP47&gt;=7)*($ACP$5:$ACP47&lt;=9)),$ADW$5:$ADW47),0)))))</f>
        <v/>
      </c>
      <c r="ADY47" s="12">
        <f>ADY46+ADW47-ADX47</f>
        <v/>
      </c>
      <c r="ADZ47" s="12">
        <f>IF(ProviderDelay&gt;=1,ADG46*BlendedProvPayEss+ADH46*BlendedProvPayPrem+ADI46*BlendedProvPayElite+ADJ46*BlendedProvPayEss+ADK46*BlendedProvPayPrem+ADL46*BlendedProvPayElite,ADG47*BlendedProvPayEss+ADH47*BlendedProvPayPrem+ADI47*BlendedProvPayElite+ADJ47*BlendedProvPayEss+ADK47*BlendedProvPayPrem+ADL47*BlendedProvPayElite)</f>
        <v/>
      </c>
      <c r="AEA47" s="12">
        <f>ADS47*PaymentFee</f>
        <v/>
      </c>
      <c r="AEB47" s="12">
        <f>ADM47*OpsAI</f>
        <v/>
      </c>
      <c r="AEC47" s="12">
        <f>MonthlyFixed</f>
        <v/>
      </c>
      <c r="AED47" s="12">
        <f>ACW47*ReferralReward</f>
        <v/>
      </c>
      <c r="AEE47" s="12">
        <f>ACU47</f>
        <v/>
      </c>
      <c r="AEF47" s="9">
        <f>ADV47-ADZ47-AEA47-AEB47-AEC47-AED47-AEE47</f>
        <v/>
      </c>
      <c r="AEG47" s="9">
        <f>AEG46+ADS47-(ADZ47+AEA47+AEB47+AEC47+AED47+AEE47+ADX47)</f>
        <v/>
      </c>
      <c r="AEH47" s="12">
        <f>IF(ADM47&gt;0,ADN47/ADM47,0)</f>
        <v/>
      </c>
      <c r="AEI47" s="11">
        <f>IF(ADM46&gt;0,MAX(0,(ADM46+ACX47-ADM47)/ADM46),0)</f>
        <v/>
      </c>
      <c r="AEK47" s="12" t="n">
        <v>43</v>
      </c>
      <c r="AEL47" s="12">
        <f>MOD(AEK47-1+LaunchMonth-1,12)+1</f>
        <v/>
      </c>
      <c r="AEM47" s="12">
        <f>INT((AEK47-1+LaunchMonth-1)/12)+1</f>
        <v/>
      </c>
      <c r="AEN47" s="12">
        <f>VLOOKUP(AEL47,SeasonTable,2,FALSE)</f>
        <v/>
      </c>
      <c r="AEO47" s="12">
        <f>(1+InflationRate)^INT((AEK47-1)/12)</f>
        <v/>
      </c>
      <c r="AEP47" s="11">
        <f>MonthlyChurn*VLOOKUP(AEL47,ChurnSeasonTable,4,FALSE)</f>
        <v/>
      </c>
      <c r="AEQ47" s="12">
        <f>MIN(MAX(MktMin19plus,AFO46*MktPct19plus),MAX(0,AGC46-CashBuffer))</f>
        <v/>
      </c>
      <c r="AER47" s="12">
        <f>IF(AEQ47&gt;0,MAX(1,ROUND(AEQ47/CAC*AEN47,0)),0)</f>
        <v/>
      </c>
      <c r="AES47" s="12">
        <f>IF(AER47&gt;0,ROUND(AER47*ReferralMix/(1-ReferralMix),0),0)</f>
        <v/>
      </c>
      <c r="AET47" s="12">
        <f>AER47+AES47</f>
        <v/>
      </c>
      <c r="AEU47" s="12">
        <f>ROUND(AET47*(1-'Sens - Annual Mix'!$A$14),0)</f>
        <v/>
      </c>
      <c r="AEV47" s="12">
        <f>AET47-AEU47</f>
        <v/>
      </c>
      <c r="AEW47" s="12">
        <f>ROUND(AEU47*EssentialMix,0)</f>
        <v/>
      </c>
      <c r="AEX47" s="12">
        <f>ROUND(AEU47*PremiumMix,0)</f>
        <v/>
      </c>
      <c r="AEY47" s="12">
        <f>AEU47-AEW47-AEX47</f>
        <v/>
      </c>
      <c r="AEZ47" s="12">
        <f>ROUND(AEV47*EssentialMix,0)</f>
        <v/>
      </c>
      <c r="AFA47" s="12">
        <f>ROUND(AEV47*PremiumMix,0)</f>
        <v/>
      </c>
      <c r="AFB47" s="12">
        <f>AEV47-AEZ47-AFA47</f>
        <v/>
      </c>
      <c r="AFC47" s="12">
        <f>AEW47+AEW46+AEW45+MAX(0,AFC46-AEW46-AEW45)*(1-AEP47)</f>
        <v/>
      </c>
      <c r="AFD47" s="12">
        <f>AEX47+AEX46+AEX45+MAX(0,AFD46-AEX46-AEX45)*(1-AEP47)</f>
        <v/>
      </c>
      <c r="AFE47" s="12">
        <f>AEY47+AEY46+AEY45+MAX(0,AFE46-AEY46-AEY45)*(1-AEP47)</f>
        <v/>
      </c>
      <c r="AFF47" s="12">
        <f>AFF46+AEZ47-AEZ35*(AnnualChurn*VLOOKUP(AEL47,ChurnSeasonTable,4,FALSE))*POWER(1-(AnnualChurn*VLOOKUP(AEL47,ChurnSeasonTable,4,FALSE)),0)+AEZ23*(AnnualChurn*VLOOKUP(AEL47,ChurnSeasonTable,4,FALSE))*POWER(1-(AnnualChurn*VLOOKUP(AEL47,ChurnSeasonTable,4,FALSE)),1)+AEZ11*(AnnualChurn*VLOOKUP(AEL47,ChurnSeasonTable,4,FALSE))*POWER(1-(AnnualChurn*VLOOKUP(AEL47,ChurnSeasonTable,4,FALSE)),2)</f>
        <v/>
      </c>
      <c r="AFG47" s="12">
        <f>AFG46+AFA47-AFA35*(AnnualChurn*VLOOKUP(AEL47,ChurnSeasonTable,4,FALSE))*POWER(1-(AnnualChurn*VLOOKUP(AEL47,ChurnSeasonTable,4,FALSE)),0)+AFA23*(AnnualChurn*VLOOKUP(AEL47,ChurnSeasonTable,4,FALSE))*POWER(1-(AnnualChurn*VLOOKUP(AEL47,ChurnSeasonTable,4,FALSE)),1)+AFA11*(AnnualChurn*VLOOKUP(AEL47,ChurnSeasonTable,4,FALSE))*POWER(1-(AnnualChurn*VLOOKUP(AEL47,ChurnSeasonTable,4,FALSE)),2)</f>
        <v/>
      </c>
      <c r="AFH47" s="12">
        <f>AFH46+AFB47-AFB35*(AnnualChurn*VLOOKUP(AEL47,ChurnSeasonTable,4,FALSE))*POWER(1-(AnnualChurn*VLOOKUP(AEL47,ChurnSeasonTable,4,FALSE)),0)+AFB23*(AnnualChurn*VLOOKUP(AEL47,ChurnSeasonTable,4,FALSE))*POWER(1-(AnnualChurn*VLOOKUP(AEL47,ChurnSeasonTable,4,FALSE)),1)+AFB11*(AnnualChurn*VLOOKUP(AEL47,ChurnSeasonTable,4,FALSE))*POWER(1-(AnnualChurn*VLOOKUP(AEL47,ChurnSeasonTable,4,FALSE)),2)</f>
        <v/>
      </c>
      <c r="AFI47" s="12">
        <f>AFC47+AFD47+AFE47+AFF47+AFG47+AFH47</f>
        <v/>
      </c>
      <c r="AFJ47" s="9">
        <f>AFC47*BlendedPriceEssMonthly*AEO47+AFD47*BlendedPricePremMonthly*AEO47+AFE47*BlendedPriceEliteMonthly*AEO47+AFF47*BlendedPriceEssAnnual*AEO47/12+AFG47*BlendedPricePremAnnual*AEO47/12+AFH47*BlendedPriceEliteAnnual*AEO47/12</f>
        <v/>
      </c>
      <c r="AFK47" s="9">
        <f>AFJ47*12</f>
        <v/>
      </c>
      <c r="AFL47" s="12">
        <f>AFC47*BlendedPriceEssMonthly*AEO47+AFD47*BlendedPricePremMonthly*AEO47+AFE47*BlendedPriceEliteMonthly*AEO47</f>
        <v/>
      </c>
      <c r="AFM47" s="12">
        <f>AEZ47*BlendedPriceEssAnnual*AEO47+AFA47*BlendedPricePremAnnual*AEO47+AFB47*BlendedPriceEliteAnnual*AEO47</f>
        <v/>
      </c>
      <c r="AFN47" s="12">
        <f>AEZ35*POWER(1-(AnnualChurn*VLOOKUP(AEL47,ChurnSeasonTable,4,FALSE)),1)*BlendedPriceEssAnnual*AEO47+AEZ23*POWER(1-(AnnualChurn*VLOOKUP(AEL47,ChurnSeasonTable,4,FALSE)),2)*BlendedPriceEssAnnual*AEO47+AEZ11*POWER(1-(AnnualChurn*VLOOKUP(AEL47,ChurnSeasonTable,4,FALSE)),3)*BlendedPriceEssAnnual*AEO47+AFA35*POWER(1-(AnnualChurn*VLOOKUP(AEL47,ChurnSeasonTable,4,FALSE)),1)*BlendedPricePremAnnual*AEO47+AFA23*POWER(1-(AnnualChurn*VLOOKUP(AEL47,ChurnSeasonTable,4,FALSE)),2)*BlendedPricePremAnnual*AEO47+AFA11*POWER(1-(AnnualChurn*VLOOKUP(AEL47,ChurnSeasonTable,4,FALSE)),3)*BlendedPricePremAnnual*AEO47+AFB35*POWER(1-(AnnualChurn*VLOOKUP(AEL47,ChurnSeasonTable,4,FALSE)),1)*BlendedPriceEliteAnnual*AEO47+AFB23*POWER(1-(AnnualChurn*VLOOKUP(AEL47,ChurnSeasonTable,4,FALSE)),2)*BlendedPriceEliteAnnual*AEO47+AFB11*POWER(1-(AnnualChurn*VLOOKUP(AEL47,ChurnSeasonTable,4,FALSE)),3)*BlendedPriceEliteAnnual*AEO47</f>
        <v/>
      </c>
      <c r="AFO47" s="9">
        <f>AFL47+AFM47+AFN47</f>
        <v/>
      </c>
      <c r="AFP47" s="12">
        <f>SUM(AFO36:AFO47)</f>
        <v/>
      </c>
      <c r="AFQ47" s="12">
        <f>OR(AFQ46,IF(VATAgentMode,SUM($AFO36:$AFO47)-SUM($AFV36:$AFV47)&gt;=VATThreshold,SUM($AFO36:$AFO47)&gt;=VATThreshold))</f>
        <v/>
      </c>
      <c r="AFR47" s="9">
        <f>IF(AFQ47,IF(VATAgentMode,AFO47-((AFO47-AFV47)-(AFO47-AFV47)/(1+VATRate)),AFO47/(1+VATRate)),AFO47)</f>
        <v/>
      </c>
      <c r="AFS47" s="12">
        <f>AFO47-AFR47</f>
        <v/>
      </c>
      <c r="AFT47" s="12">
        <f>IF(AFQ47=0,0,IF(AEL47=1,SUMPRODUCT(--(($AEM$5:$AEM47=$AEM47-1)*($AEL$5:$AEL47&gt;=10)*($AEL$5:$AEL47&lt;=12)),$AFS$5:$AFS47),IF(AEL47=4,SUMPRODUCT(--(($AEM$5:$AEM47=$AEM47)*($AEL$5:$AEL47&gt;=1)*($AEL$5:$AEL47&lt;=3)),$AFS$5:$AFS47),IF(AEL47=7,SUMPRODUCT(--(($AEM$5:$AEM47=$AEM47)*($AEL$5:$AEL47&gt;=4)*($AEL$5:$AEL47&lt;=6)),$AFS$5:$AFS47),IF(AEL47=10,SUMPRODUCT(--(($AEM$5:$AEM47=$AEM47)*($AEL$5:$AEL47&gt;=7)*($AEL$5:$AEL47&lt;=9)),$AFS$5:$AFS47),0)))))</f>
        <v/>
      </c>
      <c r="AFU47" s="12">
        <f>AFU46+AFS47-AFT47</f>
        <v/>
      </c>
      <c r="AFV47" s="12">
        <f>IF(ProviderDelay&gt;=1,AFC46*BlendedProvPayEss+AFD46*BlendedProvPayPrem+AFE46*BlendedProvPayElite+AFF46*BlendedProvPayEss+AFG46*BlendedProvPayPrem+AFH46*BlendedProvPayElite,AFC47*BlendedProvPayEss+AFD47*BlendedProvPayPrem+AFE47*BlendedProvPayElite+AFF47*BlendedProvPayEss+AFG47*BlendedProvPayPrem+AFH47*BlendedProvPayElite)</f>
        <v/>
      </c>
      <c r="AFW47" s="12">
        <f>AFO47*PaymentFee</f>
        <v/>
      </c>
      <c r="AFX47" s="12">
        <f>AFI47*OpsAI</f>
        <v/>
      </c>
      <c r="AFY47" s="12">
        <f>MonthlyFixed</f>
        <v/>
      </c>
      <c r="AFZ47" s="12">
        <f>AES47*ReferralReward</f>
        <v/>
      </c>
      <c r="AGA47" s="12">
        <f>AEQ47</f>
        <v/>
      </c>
      <c r="AGB47" s="9">
        <f>AFR47-AFV47-AFW47-AFX47-AFY47-AFZ47-AGA47</f>
        <v/>
      </c>
      <c r="AGC47" s="9">
        <f>AGC46+AFO47-(AFV47+AFW47+AFX47+AFY47+AFZ47+AGA47+AFT47)</f>
        <v/>
      </c>
      <c r="AGD47" s="12">
        <f>IF(AFI47&gt;0,AFJ47/AFI47,0)</f>
        <v/>
      </c>
      <c r="AGE47" s="11">
        <f>IF(AFI46&gt;0,MAX(0,(AFI46+AET47-AFI47)/AFI46),0)</f>
        <v/>
      </c>
      <c r="AGG47" s="12" t="n">
        <v>43</v>
      </c>
      <c r="AGH47" s="12">
        <f>MOD(AGG47-1+LaunchMonth-1,12)+1</f>
        <v/>
      </c>
      <c r="AGI47" s="12">
        <f>INT((AGG47-1+LaunchMonth-1)/12)+1</f>
        <v/>
      </c>
      <c r="AGJ47" s="12">
        <f>VLOOKUP(AGH47,SeasonTable,2,FALSE)</f>
        <v/>
      </c>
      <c r="AGK47" s="12">
        <f>(1+InflationRate)^INT((AGG47-1)/12)</f>
        <v/>
      </c>
      <c r="AGL47" s="11">
        <f>MonthlyChurn*VLOOKUP(AGH47,ChurnSeasonTable,4,FALSE)</f>
        <v/>
      </c>
      <c r="AGM47" s="12">
        <f>MIN(MAX(MktMin19plus,AHK46*MktPct19plus),MAX(0,AHY46-CashBuffer))</f>
        <v/>
      </c>
      <c r="AGN47" s="12">
        <f>IF(AGM47&gt;0,MAX(1,ROUND(AGM47/CAC*AGJ47,0)),0)</f>
        <v/>
      </c>
      <c r="AGO47" s="12">
        <f>IF(AGN47&gt;0,ROUND(AGN47*ReferralMix/(1-ReferralMix),0),0)</f>
        <v/>
      </c>
      <c r="AGP47" s="12">
        <f>AGN47+AGO47</f>
        <v/>
      </c>
      <c r="AGQ47" s="12">
        <f>ROUND(AGP47*(1-'Sens - Annual Mix'!$A$15),0)</f>
        <v/>
      </c>
      <c r="AGR47" s="12">
        <f>AGP47-AGQ47</f>
        <v/>
      </c>
      <c r="AGS47" s="12">
        <f>ROUND(AGQ47*EssentialMix,0)</f>
        <v/>
      </c>
      <c r="AGT47" s="12">
        <f>ROUND(AGQ47*PremiumMix,0)</f>
        <v/>
      </c>
      <c r="AGU47" s="12">
        <f>AGQ47-AGS47-AGT47</f>
        <v/>
      </c>
      <c r="AGV47" s="12">
        <f>ROUND(AGR47*EssentialMix,0)</f>
        <v/>
      </c>
      <c r="AGW47" s="12">
        <f>ROUND(AGR47*PremiumMix,0)</f>
        <v/>
      </c>
      <c r="AGX47" s="12">
        <f>AGR47-AGV47-AGW47</f>
        <v/>
      </c>
      <c r="AGY47" s="12">
        <f>AGS47+AGS46+AGS45+MAX(0,AGY46-AGS46-AGS45)*(1-AGL47)</f>
        <v/>
      </c>
      <c r="AGZ47" s="12">
        <f>AGT47+AGT46+AGT45+MAX(0,AGZ46-AGT46-AGT45)*(1-AGL47)</f>
        <v/>
      </c>
      <c r="AHA47" s="12">
        <f>AGU47+AGU46+AGU45+MAX(0,AHA46-AGU46-AGU45)*(1-AGL47)</f>
        <v/>
      </c>
      <c r="AHB47" s="12">
        <f>AHB46+AGV47-AGV35*(AnnualChurn*VLOOKUP(AGH47,ChurnSeasonTable,4,FALSE))*POWER(1-(AnnualChurn*VLOOKUP(AGH47,ChurnSeasonTable,4,FALSE)),0)+AGV23*(AnnualChurn*VLOOKUP(AGH47,ChurnSeasonTable,4,FALSE))*POWER(1-(AnnualChurn*VLOOKUP(AGH47,ChurnSeasonTable,4,FALSE)),1)+AGV11*(AnnualChurn*VLOOKUP(AGH47,ChurnSeasonTable,4,FALSE))*POWER(1-(AnnualChurn*VLOOKUP(AGH47,ChurnSeasonTable,4,FALSE)),2)</f>
        <v/>
      </c>
      <c r="AHC47" s="12">
        <f>AHC46+AGW47-AGW35*(AnnualChurn*VLOOKUP(AGH47,ChurnSeasonTable,4,FALSE))*POWER(1-(AnnualChurn*VLOOKUP(AGH47,ChurnSeasonTable,4,FALSE)),0)+AGW23*(AnnualChurn*VLOOKUP(AGH47,ChurnSeasonTable,4,FALSE))*POWER(1-(AnnualChurn*VLOOKUP(AGH47,ChurnSeasonTable,4,FALSE)),1)+AGW11*(AnnualChurn*VLOOKUP(AGH47,ChurnSeasonTable,4,FALSE))*POWER(1-(AnnualChurn*VLOOKUP(AGH47,ChurnSeasonTable,4,FALSE)),2)</f>
        <v/>
      </c>
      <c r="AHD47" s="12">
        <f>AHD46+AGX47-AGX35*(AnnualChurn*VLOOKUP(AGH47,ChurnSeasonTable,4,FALSE))*POWER(1-(AnnualChurn*VLOOKUP(AGH47,ChurnSeasonTable,4,FALSE)),0)+AGX23*(AnnualChurn*VLOOKUP(AGH47,ChurnSeasonTable,4,FALSE))*POWER(1-(AnnualChurn*VLOOKUP(AGH47,ChurnSeasonTable,4,FALSE)),1)+AGX11*(AnnualChurn*VLOOKUP(AGH47,ChurnSeasonTable,4,FALSE))*POWER(1-(AnnualChurn*VLOOKUP(AGH47,ChurnSeasonTable,4,FALSE)),2)</f>
        <v/>
      </c>
      <c r="AHE47" s="12">
        <f>AGY47+AGZ47+AHA47+AHB47+AHC47+AHD47</f>
        <v/>
      </c>
      <c r="AHF47" s="9">
        <f>AGY47*BlendedPriceEssMonthly*AGK47+AGZ47*BlendedPricePremMonthly*AGK47+AHA47*BlendedPriceEliteMonthly*AGK47+AHB47*BlendedPriceEssAnnual*AGK47/12+AHC47*BlendedPricePremAnnual*AGK47/12+AHD47*BlendedPriceEliteAnnual*AGK47/12</f>
        <v/>
      </c>
      <c r="AHG47" s="9">
        <f>AHF47*12</f>
        <v/>
      </c>
      <c r="AHH47" s="12">
        <f>AGY47*BlendedPriceEssMonthly*AGK47+AGZ47*BlendedPricePremMonthly*AGK47+AHA47*BlendedPriceEliteMonthly*AGK47</f>
        <v/>
      </c>
      <c r="AHI47" s="12">
        <f>AGV47*BlendedPriceEssAnnual*AGK47+AGW47*BlendedPricePremAnnual*AGK47+AGX47*BlendedPriceEliteAnnual*AGK47</f>
        <v/>
      </c>
      <c r="AHJ47" s="12">
        <f>AGV35*POWER(1-(AnnualChurn*VLOOKUP(AGH47,ChurnSeasonTable,4,FALSE)),1)*BlendedPriceEssAnnual*AGK47+AGV23*POWER(1-(AnnualChurn*VLOOKUP(AGH47,ChurnSeasonTable,4,FALSE)),2)*BlendedPriceEssAnnual*AGK47+AGV11*POWER(1-(AnnualChurn*VLOOKUP(AGH47,ChurnSeasonTable,4,FALSE)),3)*BlendedPriceEssAnnual*AGK47+AGW35*POWER(1-(AnnualChurn*VLOOKUP(AGH47,ChurnSeasonTable,4,FALSE)),1)*BlendedPricePremAnnual*AGK47+AGW23*POWER(1-(AnnualChurn*VLOOKUP(AGH47,ChurnSeasonTable,4,FALSE)),2)*BlendedPricePremAnnual*AGK47+AGW11*POWER(1-(AnnualChurn*VLOOKUP(AGH47,ChurnSeasonTable,4,FALSE)),3)*BlendedPricePremAnnual*AGK47+AGX35*POWER(1-(AnnualChurn*VLOOKUP(AGH47,ChurnSeasonTable,4,FALSE)),1)*BlendedPriceEliteAnnual*AGK47+AGX23*POWER(1-(AnnualChurn*VLOOKUP(AGH47,ChurnSeasonTable,4,FALSE)),2)*BlendedPriceEliteAnnual*AGK47+AGX11*POWER(1-(AnnualChurn*VLOOKUP(AGH47,ChurnSeasonTable,4,FALSE)),3)*BlendedPriceEliteAnnual*AGK47</f>
        <v/>
      </c>
      <c r="AHK47" s="9">
        <f>AHH47+AHI47+AHJ47</f>
        <v/>
      </c>
      <c r="AHL47" s="12">
        <f>SUM(AHK36:AHK47)</f>
        <v/>
      </c>
      <c r="AHM47" s="12">
        <f>OR(AHM46,IF(VATAgentMode,SUM($AHK36:$AHK47)-SUM($AHR36:$AHR47)&gt;=VATThreshold,SUM($AHK36:$AHK47)&gt;=VATThreshold))</f>
        <v/>
      </c>
      <c r="AHN47" s="9">
        <f>IF(AHM47,IF(VATAgentMode,AHK47-((AHK47-AHR47)-(AHK47-AHR47)/(1+VATRate)),AHK47/(1+VATRate)),AHK47)</f>
        <v/>
      </c>
      <c r="AHO47" s="12">
        <f>AHK47-AHN47</f>
        <v/>
      </c>
      <c r="AHP47" s="12">
        <f>IF(AHM47=0,0,IF(AGH47=1,SUMPRODUCT(--(($AGI$5:$AGI47=$AGI47-1)*($AGH$5:$AGH47&gt;=10)*($AGH$5:$AGH47&lt;=12)),$AHO$5:$AHO47),IF(AGH47=4,SUMPRODUCT(--(($AGI$5:$AGI47=$AGI47)*($AGH$5:$AGH47&gt;=1)*($AGH$5:$AGH47&lt;=3)),$AHO$5:$AHO47),IF(AGH47=7,SUMPRODUCT(--(($AGI$5:$AGI47=$AGI47)*($AGH$5:$AGH47&gt;=4)*($AGH$5:$AGH47&lt;=6)),$AHO$5:$AHO47),IF(AGH47=10,SUMPRODUCT(--(($AGI$5:$AGI47=$AGI47)*($AGH$5:$AGH47&gt;=7)*($AGH$5:$AGH47&lt;=9)),$AHO$5:$AHO47),0)))))</f>
        <v/>
      </c>
      <c r="AHQ47" s="12">
        <f>AHQ46+AHO47-AHP47</f>
        <v/>
      </c>
      <c r="AHR47" s="12">
        <f>IF(ProviderDelay&gt;=1,AGY46*BlendedProvPayEss+AGZ46*BlendedProvPayPrem+AHA46*BlendedProvPayElite+AHB46*BlendedProvPayEss+AHC46*BlendedProvPayPrem+AHD46*BlendedProvPayElite,AGY47*BlendedProvPayEss+AGZ47*BlendedProvPayPrem+AHA47*BlendedProvPayElite+AHB47*BlendedProvPayEss+AHC47*BlendedProvPayPrem+AHD47*BlendedProvPayElite)</f>
        <v/>
      </c>
      <c r="AHS47" s="12">
        <f>AHK47*PaymentFee</f>
        <v/>
      </c>
      <c r="AHT47" s="12">
        <f>AHE47*OpsAI</f>
        <v/>
      </c>
      <c r="AHU47" s="12">
        <f>MonthlyFixed</f>
        <v/>
      </c>
      <c r="AHV47" s="12">
        <f>AGO47*ReferralReward</f>
        <v/>
      </c>
      <c r="AHW47" s="12">
        <f>AGM47</f>
        <v/>
      </c>
      <c r="AHX47" s="9">
        <f>AHN47-AHR47-AHS47-AHT47-AHU47-AHV47-AHW47</f>
        <v/>
      </c>
      <c r="AHY47" s="9">
        <f>AHY46+AHK47-(AHR47+AHS47+AHT47+AHU47+AHV47+AHW47+AHP47)</f>
        <v/>
      </c>
      <c r="AHZ47" s="12">
        <f>IF(AHE47&gt;0,AHF47/AHE47,0)</f>
        <v/>
      </c>
      <c r="AIA47" s="11">
        <f>IF(AHE46&gt;0,MAX(0,(AHE46+AGP47-AHE47)/AHE46),0)</f>
        <v/>
      </c>
      <c r="AIC47" s="12" t="n">
        <v>43</v>
      </c>
      <c r="AID47" s="12">
        <f>MOD(AIC47-1+LaunchMonth-1,12)+1</f>
        <v/>
      </c>
      <c r="AIE47" s="12">
        <f>INT((AIC47-1+LaunchMonth-1)/12)+1</f>
        <v/>
      </c>
      <c r="AIF47" s="12">
        <f>VLOOKUP(AID47,SeasonTable,2,FALSE)</f>
        <v/>
      </c>
      <c r="AIG47" s="12">
        <f>(1+InflationRate)^INT((AIC47-1)/12)</f>
        <v/>
      </c>
      <c r="AIH47" s="11">
        <f>MonthlyChurn*VLOOKUP(AID47,ChurnSeasonTable,4,FALSE)</f>
        <v/>
      </c>
      <c r="AII47" s="12">
        <f>MIN(MAX(MktMin19plus,AJG46*MktPct19plus),MAX(0,AJU46-CashBuffer))</f>
        <v/>
      </c>
      <c r="AIJ47" s="12">
        <f>IF(AII47&gt;0,MAX(1,ROUND(AII47/'Sens - CAC &amp; Marketing'!$A$9*AIF47,0)),0)</f>
        <v/>
      </c>
      <c r="AIK47" s="12">
        <f>IF(AIJ47&gt;0,ROUND(AIJ47*ReferralMix/(1-ReferralMix),0),0)</f>
        <v/>
      </c>
      <c r="AIL47" s="12">
        <f>AIJ47+AIK47</f>
        <v/>
      </c>
      <c r="AIM47" s="12">
        <f>ROUND(AIL47*(1-AnnualMix),0)</f>
        <v/>
      </c>
      <c r="AIN47" s="12">
        <f>AIL47-AIM47</f>
        <v/>
      </c>
      <c r="AIO47" s="12">
        <f>ROUND(AIM47*EssentialMix,0)</f>
        <v/>
      </c>
      <c r="AIP47" s="12">
        <f>ROUND(AIM47*PremiumMix,0)</f>
        <v/>
      </c>
      <c r="AIQ47" s="12">
        <f>AIM47-AIO47-AIP47</f>
        <v/>
      </c>
      <c r="AIR47" s="12">
        <f>ROUND(AIN47*EssentialMix,0)</f>
        <v/>
      </c>
      <c r="AIS47" s="12">
        <f>ROUND(AIN47*PremiumMix,0)</f>
        <v/>
      </c>
      <c r="AIT47" s="12">
        <f>AIN47-AIR47-AIS47</f>
        <v/>
      </c>
      <c r="AIU47" s="12">
        <f>AIO47+AIO46+AIO45+MAX(0,AIU46-AIO46-AIO45)*(1-AIH47)</f>
        <v/>
      </c>
      <c r="AIV47" s="12">
        <f>AIP47+AIP46+AIP45+MAX(0,AIV46-AIP46-AIP45)*(1-AIH47)</f>
        <v/>
      </c>
      <c r="AIW47" s="12">
        <f>AIQ47+AIQ46+AIQ45+MAX(0,AIW46-AIQ46-AIQ45)*(1-AIH47)</f>
        <v/>
      </c>
      <c r="AIX47" s="12">
        <f>AIX46+AIR47-AIR35*(AnnualChurn*VLOOKUP(AID47,ChurnSeasonTable,4,FALSE))*POWER(1-(AnnualChurn*VLOOKUP(AID47,ChurnSeasonTable,4,FALSE)),0)+AIR23*(AnnualChurn*VLOOKUP(AID47,ChurnSeasonTable,4,FALSE))*POWER(1-(AnnualChurn*VLOOKUP(AID47,ChurnSeasonTable,4,FALSE)),1)+AIR11*(AnnualChurn*VLOOKUP(AID47,ChurnSeasonTable,4,FALSE))*POWER(1-(AnnualChurn*VLOOKUP(AID47,ChurnSeasonTable,4,FALSE)),2)</f>
        <v/>
      </c>
      <c r="AIY47" s="12">
        <f>AIY46+AIS47-AIS35*(AnnualChurn*VLOOKUP(AID47,ChurnSeasonTable,4,FALSE))*POWER(1-(AnnualChurn*VLOOKUP(AID47,ChurnSeasonTable,4,FALSE)),0)+AIS23*(AnnualChurn*VLOOKUP(AID47,ChurnSeasonTable,4,FALSE))*POWER(1-(AnnualChurn*VLOOKUP(AID47,ChurnSeasonTable,4,FALSE)),1)+AIS11*(AnnualChurn*VLOOKUP(AID47,ChurnSeasonTable,4,FALSE))*POWER(1-(AnnualChurn*VLOOKUP(AID47,ChurnSeasonTable,4,FALSE)),2)</f>
        <v/>
      </c>
      <c r="AIZ47" s="12">
        <f>AIZ46+AIT47-AIT35*(AnnualChurn*VLOOKUP(AID47,ChurnSeasonTable,4,FALSE))*POWER(1-(AnnualChurn*VLOOKUP(AID47,ChurnSeasonTable,4,FALSE)),0)+AIT23*(AnnualChurn*VLOOKUP(AID47,ChurnSeasonTable,4,FALSE))*POWER(1-(AnnualChurn*VLOOKUP(AID47,ChurnSeasonTable,4,FALSE)),1)+AIT11*(AnnualChurn*VLOOKUP(AID47,ChurnSeasonTable,4,FALSE))*POWER(1-(AnnualChurn*VLOOKUP(AID47,ChurnSeasonTable,4,FALSE)),2)</f>
        <v/>
      </c>
      <c r="AJA47" s="12">
        <f>AIU47+AIV47+AIW47+AIX47+AIY47+AIZ47</f>
        <v/>
      </c>
      <c r="AJB47" s="9">
        <f>AIU47*BlendedPriceEssMonthly*AIG47+AIV47*BlendedPricePremMonthly*AIG47+AIW47*BlendedPriceEliteMonthly*AIG47+AIX47*BlendedPriceEssAnnual*AIG47/12+AIY47*BlendedPricePremAnnual*AIG47/12+AIZ47*BlendedPriceEliteAnnual*AIG47/12</f>
        <v/>
      </c>
      <c r="AJC47" s="9">
        <f>AJB47*12</f>
        <v/>
      </c>
      <c r="AJD47" s="12">
        <f>AIU47*BlendedPriceEssMonthly*AIG47+AIV47*BlendedPricePremMonthly*AIG47+AIW47*BlendedPriceEliteMonthly*AIG47</f>
        <v/>
      </c>
      <c r="AJE47" s="12">
        <f>AIR47*BlendedPriceEssAnnual*AIG47+AIS47*BlendedPricePremAnnual*AIG47+AIT47*BlendedPriceEliteAnnual*AIG47</f>
        <v/>
      </c>
      <c r="AJF47" s="12">
        <f>AIR35*POWER(1-(AnnualChurn*VLOOKUP(AID47,ChurnSeasonTable,4,FALSE)),1)*BlendedPriceEssAnnual*AIG47+AIR23*POWER(1-(AnnualChurn*VLOOKUP(AID47,ChurnSeasonTable,4,FALSE)),2)*BlendedPriceEssAnnual*AIG47+AIR11*POWER(1-(AnnualChurn*VLOOKUP(AID47,ChurnSeasonTable,4,FALSE)),3)*BlendedPriceEssAnnual*AIG47+AIS35*POWER(1-(AnnualChurn*VLOOKUP(AID47,ChurnSeasonTable,4,FALSE)),1)*BlendedPricePremAnnual*AIG47+AIS23*POWER(1-(AnnualChurn*VLOOKUP(AID47,ChurnSeasonTable,4,FALSE)),2)*BlendedPricePremAnnual*AIG47+AIS11*POWER(1-(AnnualChurn*VLOOKUP(AID47,ChurnSeasonTable,4,FALSE)),3)*BlendedPricePremAnnual*AIG47+AIT35*POWER(1-(AnnualChurn*VLOOKUP(AID47,ChurnSeasonTable,4,FALSE)),1)*BlendedPriceEliteAnnual*AIG47+AIT23*POWER(1-(AnnualChurn*VLOOKUP(AID47,ChurnSeasonTable,4,FALSE)),2)*BlendedPriceEliteAnnual*AIG47+AIT11*POWER(1-(AnnualChurn*VLOOKUP(AID47,ChurnSeasonTable,4,FALSE)),3)*BlendedPriceEliteAnnual*AIG47</f>
        <v/>
      </c>
      <c r="AJG47" s="9">
        <f>AJD47+AJE47+AJF47</f>
        <v/>
      </c>
      <c r="AJH47" s="12">
        <f>SUM(AJG36:AJG47)</f>
        <v/>
      </c>
      <c r="AJI47" s="12">
        <f>OR(AJI46,IF(VATAgentMode,SUM($AJG36:$AJG47)-SUM($AJN36:$AJN47)&gt;=VATThreshold,SUM($AJG36:$AJG47)&gt;=VATThreshold))</f>
        <v/>
      </c>
      <c r="AJJ47" s="9">
        <f>IF(AJI47,IF(VATAgentMode,AJG47-((AJG47-AJN47)-(AJG47-AJN47)/(1+VATRate)),AJG47/(1+VATRate)),AJG47)</f>
        <v/>
      </c>
      <c r="AJK47" s="12">
        <f>AJG47-AJJ47</f>
        <v/>
      </c>
      <c r="AJL47" s="12">
        <f>IF(AJI47=0,0,IF(AID47=1,SUMPRODUCT(--(($AIE$5:$AIE47=$AIE47-1)*($AID$5:$AID47&gt;=10)*($AID$5:$AID47&lt;=12)),$AJK$5:$AJK47),IF(AID47=4,SUMPRODUCT(--(($AIE$5:$AIE47=$AIE47)*($AID$5:$AID47&gt;=1)*($AID$5:$AID47&lt;=3)),$AJK$5:$AJK47),IF(AID47=7,SUMPRODUCT(--(($AIE$5:$AIE47=$AIE47)*($AID$5:$AID47&gt;=4)*($AID$5:$AID47&lt;=6)),$AJK$5:$AJK47),IF(AID47=10,SUMPRODUCT(--(($AIE$5:$AIE47=$AIE47)*($AID$5:$AID47&gt;=7)*($AID$5:$AID47&lt;=9)),$AJK$5:$AJK47),0)))))</f>
        <v/>
      </c>
      <c r="AJM47" s="12">
        <f>AJM46+AJK47-AJL47</f>
        <v/>
      </c>
      <c r="AJN47" s="12">
        <f>IF(ProviderDelay&gt;=1,AIU46*BlendedProvPayEss+AIV46*BlendedProvPayPrem+AIW46*BlendedProvPayElite+AIX46*BlendedProvPayEss+AIY46*BlendedProvPayPrem+AIZ46*BlendedProvPayElite,AIU47*BlendedProvPayEss+AIV47*BlendedProvPayPrem+AIW47*BlendedProvPayElite+AIX47*BlendedProvPayEss+AIY47*BlendedProvPayPrem+AIZ47*BlendedProvPayElite)</f>
        <v/>
      </c>
      <c r="AJO47" s="12">
        <f>AJG47*PaymentFee</f>
        <v/>
      </c>
      <c r="AJP47" s="12">
        <f>AJA47*OpsAI</f>
        <v/>
      </c>
      <c r="AJQ47" s="12">
        <f>MonthlyFixed</f>
        <v/>
      </c>
      <c r="AJR47" s="12">
        <f>AIK47*ReferralReward</f>
        <v/>
      </c>
      <c r="AJS47" s="12">
        <f>AII47</f>
        <v/>
      </c>
      <c r="AJT47" s="9">
        <f>AJJ47-AJN47-AJO47-AJP47-AJQ47-AJR47-AJS47</f>
        <v/>
      </c>
      <c r="AJU47" s="9">
        <f>AJU46+AJG47-(AJN47+AJO47+AJP47+AJQ47+AJR47+AJS47+AJL47)</f>
        <v/>
      </c>
      <c r="AJV47" s="12">
        <f>IF(AJA47&gt;0,AJB47/AJA47,0)</f>
        <v/>
      </c>
      <c r="AJW47" s="11">
        <f>IF(AJA46&gt;0,MAX(0,(AJA46+AIL47-AJA47)/AJA46),0)</f>
        <v/>
      </c>
      <c r="AJY47" s="12" t="n">
        <v>43</v>
      </c>
      <c r="AJZ47" s="12">
        <f>MOD(AJY47-1+LaunchMonth-1,12)+1</f>
        <v/>
      </c>
      <c r="AKA47" s="12">
        <f>INT((AJY47-1+LaunchMonth-1)/12)+1</f>
        <v/>
      </c>
      <c r="AKB47" s="12">
        <f>VLOOKUP(AJZ47,SeasonTable,2,FALSE)</f>
        <v/>
      </c>
      <c r="AKC47" s="12">
        <f>(1+InflationRate)^INT((AJY47-1)/12)</f>
        <v/>
      </c>
      <c r="AKD47" s="11">
        <f>MonthlyChurn*VLOOKUP(AJZ47,ChurnSeasonTable,4,FALSE)</f>
        <v/>
      </c>
      <c r="AKE47" s="12">
        <f>MIN(MAX(MktMin19plus,ALC46*MktPct19plus),MAX(0,ALQ46-CashBuffer))</f>
        <v/>
      </c>
      <c r="AKF47" s="12">
        <f>IF(AKE47&gt;0,MAX(1,ROUND(AKE47/'Sens - CAC &amp; Marketing'!$A$10*AKB47,0)),0)</f>
        <v/>
      </c>
      <c r="AKG47" s="12">
        <f>IF(AKF47&gt;0,ROUND(AKF47*ReferralMix/(1-ReferralMix),0),0)</f>
        <v/>
      </c>
      <c r="AKH47" s="12">
        <f>AKF47+AKG47</f>
        <v/>
      </c>
      <c r="AKI47" s="12">
        <f>ROUND(AKH47*(1-AnnualMix),0)</f>
        <v/>
      </c>
      <c r="AKJ47" s="12">
        <f>AKH47-AKI47</f>
        <v/>
      </c>
      <c r="AKK47" s="12">
        <f>ROUND(AKI47*EssentialMix,0)</f>
        <v/>
      </c>
      <c r="AKL47" s="12">
        <f>ROUND(AKI47*PremiumMix,0)</f>
        <v/>
      </c>
      <c r="AKM47" s="12">
        <f>AKI47-AKK47-AKL47</f>
        <v/>
      </c>
      <c r="AKN47" s="12">
        <f>ROUND(AKJ47*EssentialMix,0)</f>
        <v/>
      </c>
      <c r="AKO47" s="12">
        <f>ROUND(AKJ47*PremiumMix,0)</f>
        <v/>
      </c>
      <c r="AKP47" s="12">
        <f>AKJ47-AKN47-AKO47</f>
        <v/>
      </c>
      <c r="AKQ47" s="12">
        <f>AKK47+AKK46+AKK45+MAX(0,AKQ46-AKK46-AKK45)*(1-AKD47)</f>
        <v/>
      </c>
      <c r="AKR47" s="12">
        <f>AKL47+AKL46+AKL45+MAX(0,AKR46-AKL46-AKL45)*(1-AKD47)</f>
        <v/>
      </c>
      <c r="AKS47" s="12">
        <f>AKM47+AKM46+AKM45+MAX(0,AKS46-AKM46-AKM45)*(1-AKD47)</f>
        <v/>
      </c>
      <c r="AKT47" s="12">
        <f>AKT46+AKN47-AKN35*(AnnualChurn*VLOOKUP(AJZ47,ChurnSeasonTable,4,FALSE))*POWER(1-(AnnualChurn*VLOOKUP(AJZ47,ChurnSeasonTable,4,FALSE)),0)+AKN23*(AnnualChurn*VLOOKUP(AJZ47,ChurnSeasonTable,4,FALSE))*POWER(1-(AnnualChurn*VLOOKUP(AJZ47,ChurnSeasonTable,4,FALSE)),1)+AKN11*(AnnualChurn*VLOOKUP(AJZ47,ChurnSeasonTable,4,FALSE))*POWER(1-(AnnualChurn*VLOOKUP(AJZ47,ChurnSeasonTable,4,FALSE)),2)</f>
        <v/>
      </c>
      <c r="AKU47" s="12">
        <f>AKU46+AKO47-AKO35*(AnnualChurn*VLOOKUP(AJZ47,ChurnSeasonTable,4,FALSE))*POWER(1-(AnnualChurn*VLOOKUP(AJZ47,ChurnSeasonTable,4,FALSE)),0)+AKO23*(AnnualChurn*VLOOKUP(AJZ47,ChurnSeasonTable,4,FALSE))*POWER(1-(AnnualChurn*VLOOKUP(AJZ47,ChurnSeasonTable,4,FALSE)),1)+AKO11*(AnnualChurn*VLOOKUP(AJZ47,ChurnSeasonTable,4,FALSE))*POWER(1-(AnnualChurn*VLOOKUP(AJZ47,ChurnSeasonTable,4,FALSE)),2)</f>
        <v/>
      </c>
      <c r="AKV47" s="12">
        <f>AKV46+AKP47-AKP35*(AnnualChurn*VLOOKUP(AJZ47,ChurnSeasonTable,4,FALSE))*POWER(1-(AnnualChurn*VLOOKUP(AJZ47,ChurnSeasonTable,4,FALSE)),0)+AKP23*(AnnualChurn*VLOOKUP(AJZ47,ChurnSeasonTable,4,FALSE))*POWER(1-(AnnualChurn*VLOOKUP(AJZ47,ChurnSeasonTable,4,FALSE)),1)+AKP11*(AnnualChurn*VLOOKUP(AJZ47,ChurnSeasonTable,4,FALSE))*POWER(1-(AnnualChurn*VLOOKUP(AJZ47,ChurnSeasonTable,4,FALSE)),2)</f>
        <v/>
      </c>
      <c r="AKW47" s="12">
        <f>AKQ47+AKR47+AKS47+AKT47+AKU47+AKV47</f>
        <v/>
      </c>
      <c r="AKX47" s="9">
        <f>AKQ47*BlendedPriceEssMonthly*AKC47+AKR47*BlendedPricePremMonthly*AKC47+AKS47*BlendedPriceEliteMonthly*AKC47+AKT47*BlendedPriceEssAnnual*AKC47/12+AKU47*BlendedPricePremAnnual*AKC47/12+AKV47*BlendedPriceEliteAnnual*AKC47/12</f>
        <v/>
      </c>
      <c r="AKY47" s="9">
        <f>AKX47*12</f>
        <v/>
      </c>
      <c r="AKZ47" s="12">
        <f>AKQ47*BlendedPriceEssMonthly*AKC47+AKR47*BlendedPricePremMonthly*AKC47+AKS47*BlendedPriceEliteMonthly*AKC47</f>
        <v/>
      </c>
      <c r="ALA47" s="12">
        <f>AKN47*BlendedPriceEssAnnual*AKC47+AKO47*BlendedPricePremAnnual*AKC47+AKP47*BlendedPriceEliteAnnual*AKC47</f>
        <v/>
      </c>
      <c r="ALB47" s="12">
        <f>AKN35*POWER(1-(AnnualChurn*VLOOKUP(AJZ47,ChurnSeasonTable,4,FALSE)),1)*BlendedPriceEssAnnual*AKC47+AKN23*POWER(1-(AnnualChurn*VLOOKUP(AJZ47,ChurnSeasonTable,4,FALSE)),2)*BlendedPriceEssAnnual*AKC47+AKN11*POWER(1-(AnnualChurn*VLOOKUP(AJZ47,ChurnSeasonTable,4,FALSE)),3)*BlendedPriceEssAnnual*AKC47+AKO35*POWER(1-(AnnualChurn*VLOOKUP(AJZ47,ChurnSeasonTable,4,FALSE)),1)*BlendedPricePremAnnual*AKC47+AKO23*POWER(1-(AnnualChurn*VLOOKUP(AJZ47,ChurnSeasonTable,4,FALSE)),2)*BlendedPricePremAnnual*AKC47+AKO11*POWER(1-(AnnualChurn*VLOOKUP(AJZ47,ChurnSeasonTable,4,FALSE)),3)*BlendedPricePremAnnual*AKC47+AKP35*POWER(1-(AnnualChurn*VLOOKUP(AJZ47,ChurnSeasonTable,4,FALSE)),1)*BlendedPriceEliteAnnual*AKC47+AKP23*POWER(1-(AnnualChurn*VLOOKUP(AJZ47,ChurnSeasonTable,4,FALSE)),2)*BlendedPriceEliteAnnual*AKC47+AKP11*POWER(1-(AnnualChurn*VLOOKUP(AJZ47,ChurnSeasonTable,4,FALSE)),3)*BlendedPriceEliteAnnual*AKC47</f>
        <v/>
      </c>
      <c r="ALC47" s="9">
        <f>AKZ47+ALA47+ALB47</f>
        <v/>
      </c>
      <c r="ALD47" s="12">
        <f>SUM(ALC36:ALC47)</f>
        <v/>
      </c>
      <c r="ALE47" s="12">
        <f>OR(ALE46,IF(VATAgentMode,SUM($ALC36:$ALC47)-SUM($ALJ36:$ALJ47)&gt;=VATThreshold,SUM($ALC36:$ALC47)&gt;=VATThreshold))</f>
        <v/>
      </c>
      <c r="ALF47" s="9">
        <f>IF(ALE47,IF(VATAgentMode,ALC47-((ALC47-ALJ47)-(ALC47-ALJ47)/(1+VATRate)),ALC47/(1+VATRate)),ALC47)</f>
        <v/>
      </c>
      <c r="ALG47" s="12">
        <f>ALC47-ALF47</f>
        <v/>
      </c>
      <c r="ALH47" s="12">
        <f>IF(ALE47=0,0,IF(AJZ47=1,SUMPRODUCT(--(($AKA$5:$AKA47=$AKA47-1)*($AJZ$5:$AJZ47&gt;=10)*($AJZ$5:$AJZ47&lt;=12)),$ALG$5:$ALG47),IF(AJZ47=4,SUMPRODUCT(--(($AKA$5:$AKA47=$AKA47)*($AJZ$5:$AJZ47&gt;=1)*($AJZ$5:$AJZ47&lt;=3)),$ALG$5:$ALG47),IF(AJZ47=7,SUMPRODUCT(--(($AKA$5:$AKA47=$AKA47)*($AJZ$5:$AJZ47&gt;=4)*($AJZ$5:$AJZ47&lt;=6)),$ALG$5:$ALG47),IF(AJZ47=10,SUMPRODUCT(--(($AKA$5:$AKA47=$AKA47)*($AJZ$5:$AJZ47&gt;=7)*($AJZ$5:$AJZ47&lt;=9)),$ALG$5:$ALG47),0)))))</f>
        <v/>
      </c>
      <c r="ALI47" s="12">
        <f>ALI46+ALG47-ALH47</f>
        <v/>
      </c>
      <c r="ALJ47" s="12">
        <f>IF(ProviderDelay&gt;=1,AKQ46*BlendedProvPayEss+AKR46*BlendedProvPayPrem+AKS46*BlendedProvPayElite+AKT46*BlendedProvPayEss+AKU46*BlendedProvPayPrem+AKV46*BlendedProvPayElite,AKQ47*BlendedProvPayEss+AKR47*BlendedProvPayPrem+AKS47*BlendedProvPayElite+AKT47*BlendedProvPayEss+AKU47*BlendedProvPayPrem+AKV47*BlendedProvPayElite)</f>
        <v/>
      </c>
      <c r="ALK47" s="12">
        <f>ALC47*PaymentFee</f>
        <v/>
      </c>
      <c r="ALL47" s="12">
        <f>AKW47*OpsAI</f>
        <v/>
      </c>
      <c r="ALM47" s="12">
        <f>MonthlyFixed</f>
        <v/>
      </c>
      <c r="ALN47" s="12">
        <f>AKG47*ReferralReward</f>
        <v/>
      </c>
      <c r="ALO47" s="12">
        <f>AKE47</f>
        <v/>
      </c>
      <c r="ALP47" s="9">
        <f>ALF47-ALJ47-ALK47-ALL47-ALM47-ALN47-ALO47</f>
        <v/>
      </c>
      <c r="ALQ47" s="9">
        <f>ALQ46+ALC47-(ALJ47+ALK47+ALL47+ALM47+ALN47+ALO47+ALH47)</f>
        <v/>
      </c>
      <c r="ALR47" s="12">
        <f>IF(AKW47&gt;0,AKX47/AKW47,0)</f>
        <v/>
      </c>
      <c r="ALS47" s="11">
        <f>IF(AKW46&gt;0,MAX(0,(AKW46+AKH47-AKW47)/AKW46),0)</f>
        <v/>
      </c>
      <c r="ALU47" s="12" t="n">
        <v>43</v>
      </c>
      <c r="ALV47" s="12">
        <f>MOD(ALU47-1+LaunchMonth-1,12)+1</f>
        <v/>
      </c>
      <c r="ALW47" s="12">
        <f>INT((ALU47-1+LaunchMonth-1)/12)+1</f>
        <v/>
      </c>
      <c r="ALX47" s="12">
        <f>VLOOKUP(ALV47,SeasonTable,2,FALSE)</f>
        <v/>
      </c>
      <c r="ALY47" s="12">
        <f>(1+InflationRate)^INT((ALU47-1)/12)</f>
        <v/>
      </c>
      <c r="ALZ47" s="11">
        <f>MonthlyChurn*VLOOKUP(ALV47,ChurnSeasonTable,4,FALSE)</f>
        <v/>
      </c>
      <c r="AMA47" s="12">
        <f>MIN(MAX(MktMin19plus,AMY46*MktPct19plus),MAX(0,ANM46-CashBuffer))</f>
        <v/>
      </c>
      <c r="AMB47" s="12">
        <f>IF(AMA47&gt;0,MAX(1,ROUND(AMA47/'Sens - CAC &amp; Marketing'!$A$11*ALX47,0)),0)</f>
        <v/>
      </c>
      <c r="AMC47" s="12">
        <f>IF(AMB47&gt;0,ROUND(AMB47*ReferralMix/(1-ReferralMix),0),0)</f>
        <v/>
      </c>
      <c r="AMD47" s="12">
        <f>AMB47+AMC47</f>
        <v/>
      </c>
      <c r="AME47" s="12">
        <f>ROUND(AMD47*(1-AnnualMix),0)</f>
        <v/>
      </c>
      <c r="AMF47" s="12">
        <f>AMD47-AME47</f>
        <v/>
      </c>
      <c r="AMG47" s="12">
        <f>ROUND(AME47*EssentialMix,0)</f>
        <v/>
      </c>
      <c r="AMH47" s="12">
        <f>ROUND(AME47*PremiumMix,0)</f>
        <v/>
      </c>
      <c r="AMI47" s="12">
        <f>AME47-AMG47-AMH47</f>
        <v/>
      </c>
      <c r="AMJ47" s="12">
        <f>ROUND(AMF47*EssentialMix,0)</f>
        <v/>
      </c>
      <c r="AMK47" s="12">
        <f>ROUND(AMF47*PremiumMix,0)</f>
        <v/>
      </c>
      <c r="AML47" s="12">
        <f>AMF47-AMJ47-AMK47</f>
        <v/>
      </c>
      <c r="AMM47" s="12">
        <f>AMG47+AMG46+AMG45+MAX(0,AMM46-AMG46-AMG45)*(1-ALZ47)</f>
        <v/>
      </c>
      <c r="AMN47" s="12">
        <f>AMH47+AMH46+AMH45+MAX(0,AMN46-AMH46-AMH45)*(1-ALZ47)</f>
        <v/>
      </c>
      <c r="AMO47" s="12">
        <f>AMI47+AMI46+AMI45+MAX(0,AMO46-AMI46-AMI45)*(1-ALZ47)</f>
        <v/>
      </c>
      <c r="AMP47" s="12">
        <f>AMP46+AMJ47-AMJ35*(AnnualChurn*VLOOKUP(ALV47,ChurnSeasonTable,4,FALSE))*POWER(1-(AnnualChurn*VLOOKUP(ALV47,ChurnSeasonTable,4,FALSE)),0)+AMJ23*(AnnualChurn*VLOOKUP(ALV47,ChurnSeasonTable,4,FALSE))*POWER(1-(AnnualChurn*VLOOKUP(ALV47,ChurnSeasonTable,4,FALSE)),1)+AMJ11*(AnnualChurn*VLOOKUP(ALV47,ChurnSeasonTable,4,FALSE))*POWER(1-(AnnualChurn*VLOOKUP(ALV47,ChurnSeasonTable,4,FALSE)),2)</f>
        <v/>
      </c>
      <c r="AMQ47" s="12">
        <f>AMQ46+AMK47-AMK35*(AnnualChurn*VLOOKUP(ALV47,ChurnSeasonTable,4,FALSE))*POWER(1-(AnnualChurn*VLOOKUP(ALV47,ChurnSeasonTable,4,FALSE)),0)+AMK23*(AnnualChurn*VLOOKUP(ALV47,ChurnSeasonTable,4,FALSE))*POWER(1-(AnnualChurn*VLOOKUP(ALV47,ChurnSeasonTable,4,FALSE)),1)+AMK11*(AnnualChurn*VLOOKUP(ALV47,ChurnSeasonTable,4,FALSE))*POWER(1-(AnnualChurn*VLOOKUP(ALV47,ChurnSeasonTable,4,FALSE)),2)</f>
        <v/>
      </c>
      <c r="AMR47" s="12">
        <f>AMR46+AML47-AML35*(AnnualChurn*VLOOKUP(ALV47,ChurnSeasonTable,4,FALSE))*POWER(1-(AnnualChurn*VLOOKUP(ALV47,ChurnSeasonTable,4,FALSE)),0)+AML23*(AnnualChurn*VLOOKUP(ALV47,ChurnSeasonTable,4,FALSE))*POWER(1-(AnnualChurn*VLOOKUP(ALV47,ChurnSeasonTable,4,FALSE)),1)+AML11*(AnnualChurn*VLOOKUP(ALV47,ChurnSeasonTable,4,FALSE))*POWER(1-(AnnualChurn*VLOOKUP(ALV47,ChurnSeasonTable,4,FALSE)),2)</f>
        <v/>
      </c>
      <c r="AMS47" s="12">
        <f>AMM47+AMN47+AMO47+AMP47+AMQ47+AMR47</f>
        <v/>
      </c>
      <c r="AMT47" s="9">
        <f>AMM47*BlendedPriceEssMonthly*ALY47+AMN47*BlendedPricePremMonthly*ALY47+AMO47*BlendedPriceEliteMonthly*ALY47+AMP47*BlendedPriceEssAnnual*ALY47/12+AMQ47*BlendedPricePremAnnual*ALY47/12+AMR47*BlendedPriceEliteAnnual*ALY47/12</f>
        <v/>
      </c>
      <c r="AMU47" s="9">
        <f>AMT47*12</f>
        <v/>
      </c>
      <c r="AMV47" s="12">
        <f>AMM47*BlendedPriceEssMonthly*ALY47+AMN47*BlendedPricePremMonthly*ALY47+AMO47*BlendedPriceEliteMonthly*ALY47</f>
        <v/>
      </c>
      <c r="AMW47" s="12">
        <f>AMJ47*BlendedPriceEssAnnual*ALY47+AMK47*BlendedPricePremAnnual*ALY47+AML47*BlendedPriceEliteAnnual*ALY47</f>
        <v/>
      </c>
      <c r="AMX47" s="12">
        <f>AMJ35*POWER(1-(AnnualChurn*VLOOKUP(ALV47,ChurnSeasonTable,4,FALSE)),1)*BlendedPriceEssAnnual*ALY47+AMJ23*POWER(1-(AnnualChurn*VLOOKUP(ALV47,ChurnSeasonTable,4,FALSE)),2)*BlendedPriceEssAnnual*ALY47+AMJ11*POWER(1-(AnnualChurn*VLOOKUP(ALV47,ChurnSeasonTable,4,FALSE)),3)*BlendedPriceEssAnnual*ALY47+AMK35*POWER(1-(AnnualChurn*VLOOKUP(ALV47,ChurnSeasonTable,4,FALSE)),1)*BlendedPricePremAnnual*ALY47+AMK23*POWER(1-(AnnualChurn*VLOOKUP(ALV47,ChurnSeasonTable,4,FALSE)),2)*BlendedPricePremAnnual*ALY47+AMK11*POWER(1-(AnnualChurn*VLOOKUP(ALV47,ChurnSeasonTable,4,FALSE)),3)*BlendedPricePremAnnual*ALY47+AML35*POWER(1-(AnnualChurn*VLOOKUP(ALV47,ChurnSeasonTable,4,FALSE)),1)*BlendedPriceEliteAnnual*ALY47+AML23*POWER(1-(AnnualChurn*VLOOKUP(ALV47,ChurnSeasonTable,4,FALSE)),2)*BlendedPriceEliteAnnual*ALY47+AML11*POWER(1-(AnnualChurn*VLOOKUP(ALV47,ChurnSeasonTable,4,FALSE)),3)*BlendedPriceEliteAnnual*ALY47</f>
        <v/>
      </c>
      <c r="AMY47" s="9">
        <f>AMV47+AMW47+AMX47</f>
        <v/>
      </c>
      <c r="AMZ47" s="12">
        <f>SUM(AMY36:AMY47)</f>
        <v/>
      </c>
      <c r="ANA47" s="12">
        <f>OR(ANA46,IF(VATAgentMode,SUM($AMY36:$AMY47)-SUM($ANF36:$ANF47)&gt;=VATThreshold,SUM($AMY36:$AMY47)&gt;=VATThreshold))</f>
        <v/>
      </c>
      <c r="ANB47" s="9">
        <f>IF(ANA47,IF(VATAgentMode,AMY47-((AMY47-ANF47)-(AMY47-ANF47)/(1+VATRate)),AMY47/(1+VATRate)),AMY47)</f>
        <v/>
      </c>
      <c r="ANC47" s="12">
        <f>AMY47-ANB47</f>
        <v/>
      </c>
      <c r="AND47" s="12">
        <f>IF(ANA47=0,0,IF(ALV47=1,SUMPRODUCT(--(($ALW$5:$ALW47=$ALW47-1)*($ALV$5:$ALV47&gt;=10)*($ALV$5:$ALV47&lt;=12)),$ANC$5:$ANC47),IF(ALV47=4,SUMPRODUCT(--(($ALW$5:$ALW47=$ALW47)*($ALV$5:$ALV47&gt;=1)*($ALV$5:$ALV47&lt;=3)),$ANC$5:$ANC47),IF(ALV47=7,SUMPRODUCT(--(($ALW$5:$ALW47=$ALW47)*($ALV$5:$ALV47&gt;=4)*($ALV$5:$ALV47&lt;=6)),$ANC$5:$ANC47),IF(ALV47=10,SUMPRODUCT(--(($ALW$5:$ALW47=$ALW47)*($ALV$5:$ALV47&gt;=7)*($ALV$5:$ALV47&lt;=9)),$ANC$5:$ANC47),0)))))</f>
        <v/>
      </c>
      <c r="ANE47" s="12">
        <f>ANE46+ANC47-AND47</f>
        <v/>
      </c>
      <c r="ANF47" s="12">
        <f>IF(ProviderDelay&gt;=1,AMM46*BlendedProvPayEss+AMN46*BlendedProvPayPrem+AMO46*BlendedProvPayElite+AMP46*BlendedProvPayEss+AMQ46*BlendedProvPayPrem+AMR46*BlendedProvPayElite,AMM47*BlendedProvPayEss+AMN47*BlendedProvPayPrem+AMO47*BlendedProvPayElite+AMP47*BlendedProvPayEss+AMQ47*BlendedProvPayPrem+AMR47*BlendedProvPayElite)</f>
        <v/>
      </c>
      <c r="ANG47" s="12">
        <f>AMY47*PaymentFee</f>
        <v/>
      </c>
      <c r="ANH47" s="12">
        <f>AMS47*OpsAI</f>
        <v/>
      </c>
      <c r="ANI47" s="12">
        <f>MonthlyFixed</f>
        <v/>
      </c>
      <c r="ANJ47" s="12">
        <f>AMC47*ReferralReward</f>
        <v/>
      </c>
      <c r="ANK47" s="12">
        <f>AMA47</f>
        <v/>
      </c>
      <c r="ANL47" s="9">
        <f>ANB47-ANF47-ANG47-ANH47-ANI47-ANJ47-ANK47</f>
        <v/>
      </c>
      <c r="ANM47" s="9">
        <f>ANM46+AMY47-(ANF47+ANG47+ANH47+ANI47+ANJ47+ANK47+AND47)</f>
        <v/>
      </c>
      <c r="ANN47" s="12">
        <f>IF(AMS47&gt;0,AMT47/AMS47,0)</f>
        <v/>
      </c>
      <c r="ANO47" s="11">
        <f>IF(AMS46&gt;0,MAX(0,(AMS46+AMD47-AMS47)/AMS46),0)</f>
        <v/>
      </c>
      <c r="ANQ47" s="12" t="n">
        <v>43</v>
      </c>
      <c r="ANR47" s="12">
        <f>MOD(ANQ47-1+LaunchMonth-1,12)+1</f>
        <v/>
      </c>
      <c r="ANS47" s="12">
        <f>INT((ANQ47-1+LaunchMonth-1)/12)+1</f>
        <v/>
      </c>
      <c r="ANT47" s="12">
        <f>VLOOKUP(ANR47,SeasonTable,2,FALSE)</f>
        <v/>
      </c>
      <c r="ANU47" s="12">
        <f>(1+InflationRate)^INT((ANQ47-1)/12)</f>
        <v/>
      </c>
      <c r="ANV47" s="11">
        <f>MonthlyChurn*VLOOKUP(ANR47,ChurnSeasonTable,4,FALSE)</f>
        <v/>
      </c>
      <c r="ANW47" s="12">
        <f>MIN(MAX(MktMin19plus,AOU46*MktPct19plus),MAX(0,API46-CashBuffer))</f>
        <v/>
      </c>
      <c r="ANX47" s="12">
        <f>IF(ANW47&gt;0,MAX(1,ROUND(ANW47/'Sens - CAC &amp; Marketing'!$A$12*ANT47,0)),0)</f>
        <v/>
      </c>
      <c r="ANY47" s="12">
        <f>IF(ANX47&gt;0,ROUND(ANX47*ReferralMix/(1-ReferralMix),0),0)</f>
        <v/>
      </c>
      <c r="ANZ47" s="12">
        <f>ANX47+ANY47</f>
        <v/>
      </c>
      <c r="AOA47" s="12">
        <f>ROUND(ANZ47*(1-AnnualMix),0)</f>
        <v/>
      </c>
      <c r="AOB47" s="12">
        <f>ANZ47-AOA47</f>
        <v/>
      </c>
      <c r="AOC47" s="12">
        <f>ROUND(AOA47*EssentialMix,0)</f>
        <v/>
      </c>
      <c r="AOD47" s="12">
        <f>ROUND(AOA47*PremiumMix,0)</f>
        <v/>
      </c>
      <c r="AOE47" s="12">
        <f>AOA47-AOC47-AOD47</f>
        <v/>
      </c>
      <c r="AOF47" s="12">
        <f>ROUND(AOB47*EssentialMix,0)</f>
        <v/>
      </c>
      <c r="AOG47" s="12">
        <f>ROUND(AOB47*PremiumMix,0)</f>
        <v/>
      </c>
      <c r="AOH47" s="12">
        <f>AOB47-AOF47-AOG47</f>
        <v/>
      </c>
      <c r="AOI47" s="12">
        <f>AOC47+AOC46+AOC45+MAX(0,AOI46-AOC46-AOC45)*(1-ANV47)</f>
        <v/>
      </c>
      <c r="AOJ47" s="12">
        <f>AOD47+AOD46+AOD45+MAX(0,AOJ46-AOD46-AOD45)*(1-ANV47)</f>
        <v/>
      </c>
      <c r="AOK47" s="12">
        <f>AOE47+AOE46+AOE45+MAX(0,AOK46-AOE46-AOE45)*(1-ANV47)</f>
        <v/>
      </c>
      <c r="AOL47" s="12">
        <f>AOL46+AOF47-AOF35*(AnnualChurn*VLOOKUP(ANR47,ChurnSeasonTable,4,FALSE))*POWER(1-(AnnualChurn*VLOOKUP(ANR47,ChurnSeasonTable,4,FALSE)),0)+AOF23*(AnnualChurn*VLOOKUP(ANR47,ChurnSeasonTable,4,FALSE))*POWER(1-(AnnualChurn*VLOOKUP(ANR47,ChurnSeasonTable,4,FALSE)),1)+AOF11*(AnnualChurn*VLOOKUP(ANR47,ChurnSeasonTable,4,FALSE))*POWER(1-(AnnualChurn*VLOOKUP(ANR47,ChurnSeasonTable,4,FALSE)),2)</f>
        <v/>
      </c>
      <c r="AOM47" s="12">
        <f>AOM46+AOG47-AOG35*(AnnualChurn*VLOOKUP(ANR47,ChurnSeasonTable,4,FALSE))*POWER(1-(AnnualChurn*VLOOKUP(ANR47,ChurnSeasonTable,4,FALSE)),0)+AOG23*(AnnualChurn*VLOOKUP(ANR47,ChurnSeasonTable,4,FALSE))*POWER(1-(AnnualChurn*VLOOKUP(ANR47,ChurnSeasonTable,4,FALSE)),1)+AOG11*(AnnualChurn*VLOOKUP(ANR47,ChurnSeasonTable,4,FALSE))*POWER(1-(AnnualChurn*VLOOKUP(ANR47,ChurnSeasonTable,4,FALSE)),2)</f>
        <v/>
      </c>
      <c r="AON47" s="12">
        <f>AON46+AOH47-AOH35*(AnnualChurn*VLOOKUP(ANR47,ChurnSeasonTable,4,FALSE))*POWER(1-(AnnualChurn*VLOOKUP(ANR47,ChurnSeasonTable,4,FALSE)),0)+AOH23*(AnnualChurn*VLOOKUP(ANR47,ChurnSeasonTable,4,FALSE))*POWER(1-(AnnualChurn*VLOOKUP(ANR47,ChurnSeasonTable,4,FALSE)),1)+AOH11*(AnnualChurn*VLOOKUP(ANR47,ChurnSeasonTable,4,FALSE))*POWER(1-(AnnualChurn*VLOOKUP(ANR47,ChurnSeasonTable,4,FALSE)),2)</f>
        <v/>
      </c>
      <c r="AOO47" s="12">
        <f>AOI47+AOJ47+AOK47+AOL47+AOM47+AON47</f>
        <v/>
      </c>
      <c r="AOP47" s="9">
        <f>AOI47*BlendedPriceEssMonthly*ANU47+AOJ47*BlendedPricePremMonthly*ANU47+AOK47*BlendedPriceEliteMonthly*ANU47+AOL47*BlendedPriceEssAnnual*ANU47/12+AOM47*BlendedPricePremAnnual*ANU47/12+AON47*BlendedPriceEliteAnnual*ANU47/12</f>
        <v/>
      </c>
      <c r="AOQ47" s="9">
        <f>AOP47*12</f>
        <v/>
      </c>
      <c r="AOR47" s="12">
        <f>AOI47*BlendedPriceEssMonthly*ANU47+AOJ47*BlendedPricePremMonthly*ANU47+AOK47*BlendedPriceEliteMonthly*ANU47</f>
        <v/>
      </c>
      <c r="AOS47" s="12">
        <f>AOF47*BlendedPriceEssAnnual*ANU47+AOG47*BlendedPricePremAnnual*ANU47+AOH47*BlendedPriceEliteAnnual*ANU47</f>
        <v/>
      </c>
      <c r="AOT47" s="12">
        <f>AOF35*POWER(1-(AnnualChurn*VLOOKUP(ANR47,ChurnSeasonTable,4,FALSE)),1)*BlendedPriceEssAnnual*ANU47+AOF23*POWER(1-(AnnualChurn*VLOOKUP(ANR47,ChurnSeasonTable,4,FALSE)),2)*BlendedPriceEssAnnual*ANU47+AOF11*POWER(1-(AnnualChurn*VLOOKUP(ANR47,ChurnSeasonTable,4,FALSE)),3)*BlendedPriceEssAnnual*ANU47+AOG35*POWER(1-(AnnualChurn*VLOOKUP(ANR47,ChurnSeasonTable,4,FALSE)),1)*BlendedPricePremAnnual*ANU47+AOG23*POWER(1-(AnnualChurn*VLOOKUP(ANR47,ChurnSeasonTable,4,FALSE)),2)*BlendedPricePremAnnual*ANU47+AOG11*POWER(1-(AnnualChurn*VLOOKUP(ANR47,ChurnSeasonTable,4,FALSE)),3)*BlendedPricePremAnnual*ANU47+AOH35*POWER(1-(AnnualChurn*VLOOKUP(ANR47,ChurnSeasonTable,4,FALSE)),1)*BlendedPriceEliteAnnual*ANU47+AOH23*POWER(1-(AnnualChurn*VLOOKUP(ANR47,ChurnSeasonTable,4,FALSE)),2)*BlendedPriceEliteAnnual*ANU47+AOH11*POWER(1-(AnnualChurn*VLOOKUP(ANR47,ChurnSeasonTable,4,FALSE)),3)*BlendedPriceEliteAnnual*ANU47</f>
        <v/>
      </c>
      <c r="AOU47" s="9">
        <f>AOR47+AOS47+AOT47</f>
        <v/>
      </c>
      <c r="AOV47" s="12">
        <f>SUM(AOU36:AOU47)</f>
        <v/>
      </c>
      <c r="AOW47" s="12">
        <f>OR(AOW46,IF(VATAgentMode,SUM($AOU36:$AOU47)-SUM($APB36:$APB47)&gt;=VATThreshold,SUM($AOU36:$AOU47)&gt;=VATThreshold))</f>
        <v/>
      </c>
      <c r="AOX47" s="9">
        <f>IF(AOW47,IF(VATAgentMode,AOU47-((AOU47-APB47)-(AOU47-APB47)/(1+VATRate)),AOU47/(1+VATRate)),AOU47)</f>
        <v/>
      </c>
      <c r="AOY47" s="12">
        <f>AOU47-AOX47</f>
        <v/>
      </c>
      <c r="AOZ47" s="12">
        <f>IF(AOW47=0,0,IF(ANR47=1,SUMPRODUCT(--(($ANS$5:$ANS47=$ANS47-1)*($ANR$5:$ANR47&gt;=10)*($ANR$5:$ANR47&lt;=12)),$AOY$5:$AOY47),IF(ANR47=4,SUMPRODUCT(--(($ANS$5:$ANS47=$ANS47)*($ANR$5:$ANR47&gt;=1)*($ANR$5:$ANR47&lt;=3)),$AOY$5:$AOY47),IF(ANR47=7,SUMPRODUCT(--(($ANS$5:$ANS47=$ANS47)*($ANR$5:$ANR47&gt;=4)*($ANR$5:$ANR47&lt;=6)),$AOY$5:$AOY47),IF(ANR47=10,SUMPRODUCT(--(($ANS$5:$ANS47=$ANS47)*($ANR$5:$ANR47&gt;=7)*($ANR$5:$ANR47&lt;=9)),$AOY$5:$AOY47),0)))))</f>
        <v/>
      </c>
      <c r="APA47" s="12">
        <f>APA46+AOY47-AOZ47</f>
        <v/>
      </c>
      <c r="APB47" s="12">
        <f>IF(ProviderDelay&gt;=1,AOI46*BlendedProvPayEss+AOJ46*BlendedProvPayPrem+AOK46*BlendedProvPayElite+AOL46*BlendedProvPayEss+AOM46*BlendedProvPayPrem+AON46*BlendedProvPayElite,AOI47*BlendedProvPayEss+AOJ47*BlendedProvPayPrem+AOK47*BlendedProvPayElite+AOL47*BlendedProvPayEss+AOM47*BlendedProvPayPrem+AON47*BlendedProvPayElite)</f>
        <v/>
      </c>
      <c r="APC47" s="12">
        <f>AOU47*PaymentFee</f>
        <v/>
      </c>
      <c r="APD47" s="12">
        <f>AOO47*OpsAI</f>
        <v/>
      </c>
      <c r="APE47" s="12">
        <f>MonthlyFixed</f>
        <v/>
      </c>
      <c r="APF47" s="12">
        <f>ANY47*ReferralReward</f>
        <v/>
      </c>
      <c r="APG47" s="12">
        <f>ANW47</f>
        <v/>
      </c>
      <c r="APH47" s="9">
        <f>AOX47-APB47-APC47-APD47-APE47-APF47-APG47</f>
        <v/>
      </c>
      <c r="API47" s="9">
        <f>API46+AOU47-(APB47+APC47+APD47+APE47+APF47+APG47+AOZ47)</f>
        <v/>
      </c>
      <c r="APJ47" s="12">
        <f>IF(AOO47&gt;0,AOP47/AOO47,0)</f>
        <v/>
      </c>
      <c r="APK47" s="11">
        <f>IF(AOO46&gt;0,MAX(0,(AOO46+ANZ47-AOO47)/AOO46),0)</f>
        <v/>
      </c>
      <c r="APM47" s="12" t="n">
        <v>43</v>
      </c>
      <c r="APN47" s="12">
        <f>MOD(APM47-1+LaunchMonth-1,12)+1</f>
        <v/>
      </c>
      <c r="APO47" s="12">
        <f>INT((APM47-1+LaunchMonth-1)/12)+1</f>
        <v/>
      </c>
      <c r="APP47" s="12">
        <f>VLOOKUP(APN47,SeasonTable,2,FALSE)</f>
        <v/>
      </c>
      <c r="APQ47" s="12">
        <f>(1+InflationRate)^INT((APM47-1)/12)</f>
        <v/>
      </c>
      <c r="APR47" s="11">
        <f>MonthlyChurn*VLOOKUP(APN47,ChurnSeasonTable,4,FALSE)</f>
        <v/>
      </c>
      <c r="APS47" s="12">
        <f>MIN(MAX(MktMin19plus,AQQ46*MktPct19plus),MAX(0,ARE46-CashBuffer))</f>
        <v/>
      </c>
      <c r="APT47" s="12">
        <f>IF(APS47&gt;0,MAX(1,ROUND(APS47/'Sens - CAC &amp; Marketing'!$A$13*APP47,0)),0)</f>
        <v/>
      </c>
      <c r="APU47" s="12">
        <f>IF(APT47&gt;0,ROUND(APT47*ReferralMix/(1-ReferralMix),0),0)</f>
        <v/>
      </c>
      <c r="APV47" s="12">
        <f>APT47+APU47</f>
        <v/>
      </c>
      <c r="APW47" s="12">
        <f>ROUND(APV47*(1-AnnualMix),0)</f>
        <v/>
      </c>
      <c r="APX47" s="12">
        <f>APV47-APW47</f>
        <v/>
      </c>
      <c r="APY47" s="12">
        <f>ROUND(APW47*EssentialMix,0)</f>
        <v/>
      </c>
      <c r="APZ47" s="12">
        <f>ROUND(APW47*PremiumMix,0)</f>
        <v/>
      </c>
      <c r="AQA47" s="12">
        <f>APW47-APY47-APZ47</f>
        <v/>
      </c>
      <c r="AQB47" s="12">
        <f>ROUND(APX47*EssentialMix,0)</f>
        <v/>
      </c>
      <c r="AQC47" s="12">
        <f>ROUND(APX47*PremiumMix,0)</f>
        <v/>
      </c>
      <c r="AQD47" s="12">
        <f>APX47-AQB47-AQC47</f>
        <v/>
      </c>
      <c r="AQE47" s="12">
        <f>APY47+APY46+APY45+MAX(0,AQE46-APY46-APY45)*(1-APR47)</f>
        <v/>
      </c>
      <c r="AQF47" s="12">
        <f>APZ47+APZ46+APZ45+MAX(0,AQF46-APZ46-APZ45)*(1-APR47)</f>
        <v/>
      </c>
      <c r="AQG47" s="12">
        <f>AQA47+AQA46+AQA45+MAX(0,AQG46-AQA46-AQA45)*(1-APR47)</f>
        <v/>
      </c>
      <c r="AQH47" s="12">
        <f>AQH46+AQB47-AQB35*(AnnualChurn*VLOOKUP(APN47,ChurnSeasonTable,4,FALSE))*POWER(1-(AnnualChurn*VLOOKUP(APN47,ChurnSeasonTable,4,FALSE)),0)+AQB23*(AnnualChurn*VLOOKUP(APN47,ChurnSeasonTable,4,FALSE))*POWER(1-(AnnualChurn*VLOOKUP(APN47,ChurnSeasonTable,4,FALSE)),1)+AQB11*(AnnualChurn*VLOOKUP(APN47,ChurnSeasonTable,4,FALSE))*POWER(1-(AnnualChurn*VLOOKUP(APN47,ChurnSeasonTable,4,FALSE)),2)</f>
        <v/>
      </c>
      <c r="AQI47" s="12">
        <f>AQI46+AQC47-AQC35*(AnnualChurn*VLOOKUP(APN47,ChurnSeasonTable,4,FALSE))*POWER(1-(AnnualChurn*VLOOKUP(APN47,ChurnSeasonTable,4,FALSE)),0)+AQC23*(AnnualChurn*VLOOKUP(APN47,ChurnSeasonTable,4,FALSE))*POWER(1-(AnnualChurn*VLOOKUP(APN47,ChurnSeasonTable,4,FALSE)),1)+AQC11*(AnnualChurn*VLOOKUP(APN47,ChurnSeasonTable,4,FALSE))*POWER(1-(AnnualChurn*VLOOKUP(APN47,ChurnSeasonTable,4,FALSE)),2)</f>
        <v/>
      </c>
      <c r="AQJ47" s="12">
        <f>AQJ46+AQD47-AQD35*(AnnualChurn*VLOOKUP(APN47,ChurnSeasonTable,4,FALSE))*POWER(1-(AnnualChurn*VLOOKUP(APN47,ChurnSeasonTable,4,FALSE)),0)+AQD23*(AnnualChurn*VLOOKUP(APN47,ChurnSeasonTable,4,FALSE))*POWER(1-(AnnualChurn*VLOOKUP(APN47,ChurnSeasonTable,4,FALSE)),1)+AQD11*(AnnualChurn*VLOOKUP(APN47,ChurnSeasonTable,4,FALSE))*POWER(1-(AnnualChurn*VLOOKUP(APN47,ChurnSeasonTable,4,FALSE)),2)</f>
        <v/>
      </c>
      <c r="AQK47" s="12">
        <f>AQE47+AQF47+AQG47+AQH47+AQI47+AQJ47</f>
        <v/>
      </c>
      <c r="AQL47" s="9">
        <f>AQE47*BlendedPriceEssMonthly*APQ47+AQF47*BlendedPricePremMonthly*APQ47+AQG47*BlendedPriceEliteMonthly*APQ47+AQH47*BlendedPriceEssAnnual*APQ47/12+AQI47*BlendedPricePremAnnual*APQ47/12+AQJ47*BlendedPriceEliteAnnual*APQ47/12</f>
        <v/>
      </c>
      <c r="AQM47" s="9">
        <f>AQL47*12</f>
        <v/>
      </c>
      <c r="AQN47" s="12">
        <f>AQE47*BlendedPriceEssMonthly*APQ47+AQF47*BlendedPricePremMonthly*APQ47+AQG47*BlendedPriceEliteMonthly*APQ47</f>
        <v/>
      </c>
      <c r="AQO47" s="12">
        <f>AQB47*BlendedPriceEssAnnual*APQ47+AQC47*BlendedPricePremAnnual*APQ47+AQD47*BlendedPriceEliteAnnual*APQ47</f>
        <v/>
      </c>
      <c r="AQP47" s="12">
        <f>AQB35*POWER(1-(AnnualChurn*VLOOKUP(APN47,ChurnSeasonTable,4,FALSE)),1)*BlendedPriceEssAnnual*APQ47+AQB23*POWER(1-(AnnualChurn*VLOOKUP(APN47,ChurnSeasonTable,4,FALSE)),2)*BlendedPriceEssAnnual*APQ47+AQB11*POWER(1-(AnnualChurn*VLOOKUP(APN47,ChurnSeasonTable,4,FALSE)),3)*BlendedPriceEssAnnual*APQ47+AQC35*POWER(1-(AnnualChurn*VLOOKUP(APN47,ChurnSeasonTable,4,FALSE)),1)*BlendedPricePremAnnual*APQ47+AQC23*POWER(1-(AnnualChurn*VLOOKUP(APN47,ChurnSeasonTable,4,FALSE)),2)*BlendedPricePremAnnual*APQ47+AQC11*POWER(1-(AnnualChurn*VLOOKUP(APN47,ChurnSeasonTable,4,FALSE)),3)*BlendedPricePremAnnual*APQ47+AQD35*POWER(1-(AnnualChurn*VLOOKUP(APN47,ChurnSeasonTable,4,FALSE)),1)*BlendedPriceEliteAnnual*APQ47+AQD23*POWER(1-(AnnualChurn*VLOOKUP(APN47,ChurnSeasonTable,4,FALSE)),2)*BlendedPriceEliteAnnual*APQ47+AQD11*POWER(1-(AnnualChurn*VLOOKUP(APN47,ChurnSeasonTable,4,FALSE)),3)*BlendedPriceEliteAnnual*APQ47</f>
        <v/>
      </c>
      <c r="AQQ47" s="9">
        <f>AQN47+AQO47+AQP47</f>
        <v/>
      </c>
      <c r="AQR47" s="12">
        <f>SUM(AQQ36:AQQ47)</f>
        <v/>
      </c>
      <c r="AQS47" s="12">
        <f>OR(AQS46,IF(VATAgentMode,SUM($AQQ36:$AQQ47)-SUM($AQX36:$AQX47)&gt;=VATThreshold,SUM($AQQ36:$AQQ47)&gt;=VATThreshold))</f>
        <v/>
      </c>
      <c r="AQT47" s="9">
        <f>IF(AQS47,IF(VATAgentMode,AQQ47-((AQQ47-AQX47)-(AQQ47-AQX47)/(1+VATRate)),AQQ47/(1+VATRate)),AQQ47)</f>
        <v/>
      </c>
      <c r="AQU47" s="12">
        <f>AQQ47-AQT47</f>
        <v/>
      </c>
      <c r="AQV47" s="12">
        <f>IF(AQS47=0,0,IF(APN47=1,SUMPRODUCT(--(($APO$5:$APO47=$APO47-1)*($APN$5:$APN47&gt;=10)*($APN$5:$APN47&lt;=12)),$AQU$5:$AQU47),IF(APN47=4,SUMPRODUCT(--(($APO$5:$APO47=$APO47)*($APN$5:$APN47&gt;=1)*($APN$5:$APN47&lt;=3)),$AQU$5:$AQU47),IF(APN47=7,SUMPRODUCT(--(($APO$5:$APO47=$APO47)*($APN$5:$APN47&gt;=4)*($APN$5:$APN47&lt;=6)),$AQU$5:$AQU47),IF(APN47=10,SUMPRODUCT(--(($APO$5:$APO47=$APO47)*($APN$5:$APN47&gt;=7)*($APN$5:$APN47&lt;=9)),$AQU$5:$AQU47),0)))))</f>
        <v/>
      </c>
      <c r="AQW47" s="12">
        <f>AQW46+AQU47-AQV47</f>
        <v/>
      </c>
      <c r="AQX47" s="12">
        <f>IF(ProviderDelay&gt;=1,AQE46*BlendedProvPayEss+AQF46*BlendedProvPayPrem+AQG46*BlendedProvPayElite+AQH46*BlendedProvPayEss+AQI46*BlendedProvPayPrem+AQJ46*BlendedProvPayElite,AQE47*BlendedProvPayEss+AQF47*BlendedProvPayPrem+AQG47*BlendedProvPayElite+AQH47*BlendedProvPayEss+AQI47*BlendedProvPayPrem+AQJ47*BlendedProvPayElite)</f>
        <v/>
      </c>
      <c r="AQY47" s="12">
        <f>AQQ47*PaymentFee</f>
        <v/>
      </c>
      <c r="AQZ47" s="12">
        <f>AQK47*OpsAI</f>
        <v/>
      </c>
      <c r="ARA47" s="12">
        <f>MonthlyFixed</f>
        <v/>
      </c>
      <c r="ARB47" s="12">
        <f>APU47*ReferralReward</f>
        <v/>
      </c>
      <c r="ARC47" s="12">
        <f>APS47</f>
        <v/>
      </c>
      <c r="ARD47" s="9">
        <f>AQT47-AQX47-AQY47-AQZ47-ARA47-ARB47-ARC47</f>
        <v/>
      </c>
      <c r="ARE47" s="9">
        <f>ARE46+AQQ47-(AQX47+AQY47+AQZ47+ARA47+ARB47+ARC47+AQV47)</f>
        <v/>
      </c>
      <c r="ARF47" s="12">
        <f>IF(AQK47&gt;0,AQL47/AQK47,0)</f>
        <v/>
      </c>
      <c r="ARG47" s="11">
        <f>IF(AQK46&gt;0,MAX(0,(AQK46+APV47-AQK47)/AQK46),0)</f>
        <v/>
      </c>
      <c r="ARI47" s="12" t="n">
        <v>43</v>
      </c>
      <c r="ARJ47" s="12">
        <f>MOD(ARI47-1+LaunchMonth-1,12)+1</f>
        <v/>
      </c>
      <c r="ARK47" s="12">
        <f>INT((ARI47-1+LaunchMonth-1)/12)+1</f>
        <v/>
      </c>
      <c r="ARL47" s="12">
        <f>VLOOKUP(ARJ47,SeasonTable,2,FALSE)</f>
        <v/>
      </c>
      <c r="ARM47" s="12">
        <f>(1+InflationRate)^INT((ARI47-1)/12)</f>
        <v/>
      </c>
      <c r="ARN47" s="11">
        <f>MonthlyChurn*VLOOKUP(ARJ47,ChurnSeasonTable,4,FALSE)</f>
        <v/>
      </c>
      <c r="ARO47" s="12">
        <f>MIN(MAX(MktMin19plus,ASM46*MktPct19plus),MAX(0,ATA46-CashBuffer))</f>
        <v/>
      </c>
      <c r="ARP47" s="12">
        <f>IF(ARO47&gt;0,MAX(1,ROUND(ARO47/'Sens - CAC &amp; Marketing'!$A$14*ARL47,0)),0)</f>
        <v/>
      </c>
      <c r="ARQ47" s="12">
        <f>IF(ARP47&gt;0,ROUND(ARP47*ReferralMix/(1-ReferralMix),0),0)</f>
        <v/>
      </c>
      <c r="ARR47" s="12">
        <f>ARP47+ARQ47</f>
        <v/>
      </c>
      <c r="ARS47" s="12">
        <f>ROUND(ARR47*(1-AnnualMix),0)</f>
        <v/>
      </c>
      <c r="ART47" s="12">
        <f>ARR47-ARS47</f>
        <v/>
      </c>
      <c r="ARU47" s="12">
        <f>ROUND(ARS47*EssentialMix,0)</f>
        <v/>
      </c>
      <c r="ARV47" s="12">
        <f>ROUND(ARS47*PremiumMix,0)</f>
        <v/>
      </c>
      <c r="ARW47" s="12">
        <f>ARS47-ARU47-ARV47</f>
        <v/>
      </c>
      <c r="ARX47" s="12">
        <f>ROUND(ART47*EssentialMix,0)</f>
        <v/>
      </c>
      <c r="ARY47" s="12">
        <f>ROUND(ART47*PremiumMix,0)</f>
        <v/>
      </c>
      <c r="ARZ47" s="12">
        <f>ART47-ARX47-ARY47</f>
        <v/>
      </c>
      <c r="ASA47" s="12">
        <f>ARU47+ARU46+ARU45+MAX(0,ASA46-ARU46-ARU45)*(1-ARN47)</f>
        <v/>
      </c>
      <c r="ASB47" s="12">
        <f>ARV47+ARV46+ARV45+MAX(0,ASB46-ARV46-ARV45)*(1-ARN47)</f>
        <v/>
      </c>
      <c r="ASC47" s="12">
        <f>ARW47+ARW46+ARW45+MAX(0,ASC46-ARW46-ARW45)*(1-ARN47)</f>
        <v/>
      </c>
      <c r="ASD47" s="12">
        <f>ASD46+ARX47-ARX35*(AnnualChurn*VLOOKUP(ARJ47,ChurnSeasonTable,4,FALSE))*POWER(1-(AnnualChurn*VLOOKUP(ARJ47,ChurnSeasonTable,4,FALSE)),0)+ARX23*(AnnualChurn*VLOOKUP(ARJ47,ChurnSeasonTable,4,FALSE))*POWER(1-(AnnualChurn*VLOOKUP(ARJ47,ChurnSeasonTable,4,FALSE)),1)+ARX11*(AnnualChurn*VLOOKUP(ARJ47,ChurnSeasonTable,4,FALSE))*POWER(1-(AnnualChurn*VLOOKUP(ARJ47,ChurnSeasonTable,4,FALSE)),2)</f>
        <v/>
      </c>
      <c r="ASE47" s="12">
        <f>ASE46+ARY47-ARY35*(AnnualChurn*VLOOKUP(ARJ47,ChurnSeasonTable,4,FALSE))*POWER(1-(AnnualChurn*VLOOKUP(ARJ47,ChurnSeasonTable,4,FALSE)),0)+ARY23*(AnnualChurn*VLOOKUP(ARJ47,ChurnSeasonTable,4,FALSE))*POWER(1-(AnnualChurn*VLOOKUP(ARJ47,ChurnSeasonTable,4,FALSE)),1)+ARY11*(AnnualChurn*VLOOKUP(ARJ47,ChurnSeasonTable,4,FALSE))*POWER(1-(AnnualChurn*VLOOKUP(ARJ47,ChurnSeasonTable,4,FALSE)),2)</f>
        <v/>
      </c>
      <c r="ASF47" s="12">
        <f>ASF46+ARZ47-ARZ35*(AnnualChurn*VLOOKUP(ARJ47,ChurnSeasonTable,4,FALSE))*POWER(1-(AnnualChurn*VLOOKUP(ARJ47,ChurnSeasonTable,4,FALSE)),0)+ARZ23*(AnnualChurn*VLOOKUP(ARJ47,ChurnSeasonTable,4,FALSE))*POWER(1-(AnnualChurn*VLOOKUP(ARJ47,ChurnSeasonTable,4,FALSE)),1)+ARZ11*(AnnualChurn*VLOOKUP(ARJ47,ChurnSeasonTable,4,FALSE))*POWER(1-(AnnualChurn*VLOOKUP(ARJ47,ChurnSeasonTable,4,FALSE)),2)</f>
        <v/>
      </c>
      <c r="ASG47" s="12">
        <f>ASA47+ASB47+ASC47+ASD47+ASE47+ASF47</f>
        <v/>
      </c>
      <c r="ASH47" s="9">
        <f>ASA47*BlendedPriceEssMonthly*ARM47+ASB47*BlendedPricePremMonthly*ARM47+ASC47*BlendedPriceEliteMonthly*ARM47+ASD47*BlendedPriceEssAnnual*ARM47/12+ASE47*BlendedPricePremAnnual*ARM47/12+ASF47*BlendedPriceEliteAnnual*ARM47/12</f>
        <v/>
      </c>
      <c r="ASI47" s="9">
        <f>ASH47*12</f>
        <v/>
      </c>
      <c r="ASJ47" s="12">
        <f>ASA47*BlendedPriceEssMonthly*ARM47+ASB47*BlendedPricePremMonthly*ARM47+ASC47*BlendedPriceEliteMonthly*ARM47</f>
        <v/>
      </c>
      <c r="ASK47" s="12">
        <f>ARX47*BlendedPriceEssAnnual*ARM47+ARY47*BlendedPricePremAnnual*ARM47+ARZ47*BlendedPriceEliteAnnual*ARM47</f>
        <v/>
      </c>
      <c r="ASL47" s="12">
        <f>ARX35*POWER(1-(AnnualChurn*VLOOKUP(ARJ47,ChurnSeasonTable,4,FALSE)),1)*BlendedPriceEssAnnual*ARM47+ARX23*POWER(1-(AnnualChurn*VLOOKUP(ARJ47,ChurnSeasonTable,4,FALSE)),2)*BlendedPriceEssAnnual*ARM47+ARX11*POWER(1-(AnnualChurn*VLOOKUP(ARJ47,ChurnSeasonTable,4,FALSE)),3)*BlendedPriceEssAnnual*ARM47+ARY35*POWER(1-(AnnualChurn*VLOOKUP(ARJ47,ChurnSeasonTable,4,FALSE)),1)*BlendedPricePremAnnual*ARM47+ARY23*POWER(1-(AnnualChurn*VLOOKUP(ARJ47,ChurnSeasonTable,4,FALSE)),2)*BlendedPricePremAnnual*ARM47+ARY11*POWER(1-(AnnualChurn*VLOOKUP(ARJ47,ChurnSeasonTable,4,FALSE)),3)*BlendedPricePremAnnual*ARM47+ARZ35*POWER(1-(AnnualChurn*VLOOKUP(ARJ47,ChurnSeasonTable,4,FALSE)),1)*BlendedPriceEliteAnnual*ARM47+ARZ23*POWER(1-(AnnualChurn*VLOOKUP(ARJ47,ChurnSeasonTable,4,FALSE)),2)*BlendedPriceEliteAnnual*ARM47+ARZ11*POWER(1-(AnnualChurn*VLOOKUP(ARJ47,ChurnSeasonTable,4,FALSE)),3)*BlendedPriceEliteAnnual*ARM47</f>
        <v/>
      </c>
      <c r="ASM47" s="9">
        <f>ASJ47+ASK47+ASL47</f>
        <v/>
      </c>
      <c r="ASN47" s="12">
        <f>SUM(ASM36:ASM47)</f>
        <v/>
      </c>
      <c r="ASO47" s="12">
        <f>OR(ASO46,IF(VATAgentMode,SUM($ASM36:$ASM47)-SUM($AST36:$AST47)&gt;=VATThreshold,SUM($ASM36:$ASM47)&gt;=VATThreshold))</f>
        <v/>
      </c>
      <c r="ASP47" s="9">
        <f>IF(ASO47,IF(VATAgentMode,ASM47-((ASM47-AST47)-(ASM47-AST47)/(1+VATRate)),ASM47/(1+VATRate)),ASM47)</f>
        <v/>
      </c>
      <c r="ASQ47" s="12">
        <f>ASM47-ASP47</f>
        <v/>
      </c>
      <c r="ASR47" s="12">
        <f>IF(ASO47=0,0,IF(ARJ47=1,SUMPRODUCT(--(($ARK$5:$ARK47=$ARK47-1)*($ARJ$5:$ARJ47&gt;=10)*($ARJ$5:$ARJ47&lt;=12)),$ASQ$5:$ASQ47),IF(ARJ47=4,SUMPRODUCT(--(($ARK$5:$ARK47=$ARK47)*($ARJ$5:$ARJ47&gt;=1)*($ARJ$5:$ARJ47&lt;=3)),$ASQ$5:$ASQ47),IF(ARJ47=7,SUMPRODUCT(--(($ARK$5:$ARK47=$ARK47)*($ARJ$5:$ARJ47&gt;=4)*($ARJ$5:$ARJ47&lt;=6)),$ASQ$5:$ASQ47),IF(ARJ47=10,SUMPRODUCT(--(($ARK$5:$ARK47=$ARK47)*($ARJ$5:$ARJ47&gt;=7)*($ARJ$5:$ARJ47&lt;=9)),$ASQ$5:$ASQ47),0)))))</f>
        <v/>
      </c>
      <c r="ASS47" s="12">
        <f>ASS46+ASQ47-ASR47</f>
        <v/>
      </c>
      <c r="AST47" s="12">
        <f>IF(ProviderDelay&gt;=1,ASA46*BlendedProvPayEss+ASB46*BlendedProvPayPrem+ASC46*BlendedProvPayElite+ASD46*BlendedProvPayEss+ASE46*BlendedProvPayPrem+ASF46*BlendedProvPayElite,ASA47*BlendedProvPayEss+ASB47*BlendedProvPayPrem+ASC47*BlendedProvPayElite+ASD47*BlendedProvPayEss+ASE47*BlendedProvPayPrem+ASF47*BlendedProvPayElite)</f>
        <v/>
      </c>
      <c r="ASU47" s="12">
        <f>ASM47*PaymentFee</f>
        <v/>
      </c>
      <c r="ASV47" s="12">
        <f>ASG47*OpsAI</f>
        <v/>
      </c>
      <c r="ASW47" s="12">
        <f>MonthlyFixed</f>
        <v/>
      </c>
      <c r="ASX47" s="12">
        <f>ARQ47*ReferralReward</f>
        <v/>
      </c>
      <c r="ASY47" s="12">
        <f>ARO47</f>
        <v/>
      </c>
      <c r="ASZ47" s="9">
        <f>ASP47-AST47-ASU47-ASV47-ASW47-ASX47-ASY47</f>
        <v/>
      </c>
      <c r="ATA47" s="9">
        <f>ATA46+ASM47-(AST47+ASU47+ASV47+ASW47+ASX47+ASY47+ASR47)</f>
        <v/>
      </c>
      <c r="ATB47" s="12">
        <f>IF(ASG47&gt;0,ASH47/ASG47,0)</f>
        <v/>
      </c>
      <c r="ATC47" s="11">
        <f>IF(ASG46&gt;0,MAX(0,(ASG46+ARR47-ASG47)/ASG46),0)</f>
        <v/>
      </c>
      <c r="ATE47" s="12" t="n">
        <v>43</v>
      </c>
      <c r="ATF47" s="12">
        <f>MOD(ATE47-1+LaunchMonth-1,12)+1</f>
        <v/>
      </c>
      <c r="ATG47" s="12">
        <f>INT((ATE47-1+LaunchMonth-1)/12)+1</f>
        <v/>
      </c>
      <c r="ATH47" s="12">
        <f>VLOOKUP(ATF47,SeasonTable,2,FALSE)</f>
        <v/>
      </c>
      <c r="ATI47" s="12">
        <f>(1+InflationRate)^INT((ATE47-1)/12)</f>
        <v/>
      </c>
      <c r="ATJ47" s="11">
        <f>MonthlyChurn*VLOOKUP(ATF47,ChurnSeasonTable,4,FALSE)</f>
        <v/>
      </c>
      <c r="ATK47" s="12">
        <f>MIN(MAX(MktMin19plus,AUI46*MktPct19plus),MAX(0,AUW46-CashBuffer))</f>
        <v/>
      </c>
      <c r="ATL47" s="12">
        <f>IF(ATK47&gt;0,MAX(1,ROUND(ATK47/'Sens - CAC &amp; Marketing'!$A$15*ATH47,0)),0)</f>
        <v/>
      </c>
      <c r="ATM47" s="12">
        <f>IF(ATL47&gt;0,ROUND(ATL47*ReferralMix/(1-ReferralMix),0),0)</f>
        <v/>
      </c>
      <c r="ATN47" s="12">
        <f>ATL47+ATM47</f>
        <v/>
      </c>
      <c r="ATO47" s="12">
        <f>ROUND(ATN47*(1-AnnualMix),0)</f>
        <v/>
      </c>
      <c r="ATP47" s="12">
        <f>ATN47-ATO47</f>
        <v/>
      </c>
      <c r="ATQ47" s="12">
        <f>ROUND(ATO47*EssentialMix,0)</f>
        <v/>
      </c>
      <c r="ATR47" s="12">
        <f>ROUND(ATO47*PremiumMix,0)</f>
        <v/>
      </c>
      <c r="ATS47" s="12">
        <f>ATO47-ATQ47-ATR47</f>
        <v/>
      </c>
      <c r="ATT47" s="12">
        <f>ROUND(ATP47*EssentialMix,0)</f>
        <v/>
      </c>
      <c r="ATU47" s="12">
        <f>ROUND(ATP47*PremiumMix,0)</f>
        <v/>
      </c>
      <c r="ATV47" s="12">
        <f>ATP47-ATT47-ATU47</f>
        <v/>
      </c>
      <c r="ATW47" s="12">
        <f>ATQ47+ATQ46+ATQ45+MAX(0,ATW46-ATQ46-ATQ45)*(1-ATJ47)</f>
        <v/>
      </c>
      <c r="ATX47" s="12">
        <f>ATR47+ATR46+ATR45+MAX(0,ATX46-ATR46-ATR45)*(1-ATJ47)</f>
        <v/>
      </c>
      <c r="ATY47" s="12">
        <f>ATS47+ATS46+ATS45+MAX(0,ATY46-ATS46-ATS45)*(1-ATJ47)</f>
        <v/>
      </c>
      <c r="ATZ47" s="12">
        <f>ATZ46+ATT47-ATT35*(AnnualChurn*VLOOKUP(ATF47,ChurnSeasonTable,4,FALSE))*POWER(1-(AnnualChurn*VLOOKUP(ATF47,ChurnSeasonTable,4,FALSE)),0)+ATT23*(AnnualChurn*VLOOKUP(ATF47,ChurnSeasonTable,4,FALSE))*POWER(1-(AnnualChurn*VLOOKUP(ATF47,ChurnSeasonTable,4,FALSE)),1)+ATT11*(AnnualChurn*VLOOKUP(ATF47,ChurnSeasonTable,4,FALSE))*POWER(1-(AnnualChurn*VLOOKUP(ATF47,ChurnSeasonTable,4,FALSE)),2)</f>
        <v/>
      </c>
      <c r="AUA47" s="12">
        <f>AUA46+ATU47-ATU35*(AnnualChurn*VLOOKUP(ATF47,ChurnSeasonTable,4,FALSE))*POWER(1-(AnnualChurn*VLOOKUP(ATF47,ChurnSeasonTable,4,FALSE)),0)+ATU23*(AnnualChurn*VLOOKUP(ATF47,ChurnSeasonTable,4,FALSE))*POWER(1-(AnnualChurn*VLOOKUP(ATF47,ChurnSeasonTable,4,FALSE)),1)+ATU11*(AnnualChurn*VLOOKUP(ATF47,ChurnSeasonTable,4,FALSE))*POWER(1-(AnnualChurn*VLOOKUP(ATF47,ChurnSeasonTable,4,FALSE)),2)</f>
        <v/>
      </c>
      <c r="AUB47" s="12">
        <f>AUB46+ATV47-ATV35*(AnnualChurn*VLOOKUP(ATF47,ChurnSeasonTable,4,FALSE))*POWER(1-(AnnualChurn*VLOOKUP(ATF47,ChurnSeasonTable,4,FALSE)),0)+ATV23*(AnnualChurn*VLOOKUP(ATF47,ChurnSeasonTable,4,FALSE))*POWER(1-(AnnualChurn*VLOOKUP(ATF47,ChurnSeasonTable,4,FALSE)),1)+ATV11*(AnnualChurn*VLOOKUP(ATF47,ChurnSeasonTable,4,FALSE))*POWER(1-(AnnualChurn*VLOOKUP(ATF47,ChurnSeasonTable,4,FALSE)),2)</f>
        <v/>
      </c>
      <c r="AUC47" s="12">
        <f>ATW47+ATX47+ATY47+ATZ47+AUA47+AUB47</f>
        <v/>
      </c>
      <c r="AUD47" s="9">
        <f>ATW47*BlendedPriceEssMonthly*ATI47+ATX47*BlendedPricePremMonthly*ATI47+ATY47*BlendedPriceEliteMonthly*ATI47+ATZ47*BlendedPriceEssAnnual*ATI47/12+AUA47*BlendedPricePremAnnual*ATI47/12+AUB47*BlendedPriceEliteAnnual*ATI47/12</f>
        <v/>
      </c>
      <c r="AUE47" s="9">
        <f>AUD47*12</f>
        <v/>
      </c>
      <c r="AUF47" s="12">
        <f>ATW47*BlendedPriceEssMonthly*ATI47+ATX47*BlendedPricePremMonthly*ATI47+ATY47*BlendedPriceEliteMonthly*ATI47</f>
        <v/>
      </c>
      <c r="AUG47" s="12">
        <f>ATT47*BlendedPriceEssAnnual*ATI47+ATU47*BlendedPricePremAnnual*ATI47+ATV47*BlendedPriceEliteAnnual*ATI47</f>
        <v/>
      </c>
      <c r="AUH47" s="12">
        <f>ATT35*POWER(1-(AnnualChurn*VLOOKUP(ATF47,ChurnSeasonTable,4,FALSE)),1)*BlendedPriceEssAnnual*ATI47+ATT23*POWER(1-(AnnualChurn*VLOOKUP(ATF47,ChurnSeasonTable,4,FALSE)),2)*BlendedPriceEssAnnual*ATI47+ATT11*POWER(1-(AnnualChurn*VLOOKUP(ATF47,ChurnSeasonTable,4,FALSE)),3)*BlendedPriceEssAnnual*ATI47+ATU35*POWER(1-(AnnualChurn*VLOOKUP(ATF47,ChurnSeasonTable,4,FALSE)),1)*BlendedPricePremAnnual*ATI47+ATU23*POWER(1-(AnnualChurn*VLOOKUP(ATF47,ChurnSeasonTable,4,FALSE)),2)*BlendedPricePremAnnual*ATI47+ATU11*POWER(1-(AnnualChurn*VLOOKUP(ATF47,ChurnSeasonTable,4,FALSE)),3)*BlendedPricePremAnnual*ATI47+ATV35*POWER(1-(AnnualChurn*VLOOKUP(ATF47,ChurnSeasonTable,4,FALSE)),1)*BlendedPriceEliteAnnual*ATI47+ATV23*POWER(1-(AnnualChurn*VLOOKUP(ATF47,ChurnSeasonTable,4,FALSE)),2)*BlendedPriceEliteAnnual*ATI47+ATV11*POWER(1-(AnnualChurn*VLOOKUP(ATF47,ChurnSeasonTable,4,FALSE)),3)*BlendedPriceEliteAnnual*ATI47</f>
        <v/>
      </c>
      <c r="AUI47" s="9">
        <f>AUF47+AUG47+AUH47</f>
        <v/>
      </c>
      <c r="AUJ47" s="12">
        <f>SUM(AUI36:AUI47)</f>
        <v/>
      </c>
      <c r="AUK47" s="12">
        <f>OR(AUK46,IF(VATAgentMode,SUM($AUI36:$AUI47)-SUM($AUP36:$AUP47)&gt;=VATThreshold,SUM($AUI36:$AUI47)&gt;=VATThreshold))</f>
        <v/>
      </c>
      <c r="AUL47" s="9">
        <f>IF(AUK47,IF(VATAgentMode,AUI47-((AUI47-AUP47)-(AUI47-AUP47)/(1+VATRate)),AUI47/(1+VATRate)),AUI47)</f>
        <v/>
      </c>
      <c r="AUM47" s="12">
        <f>AUI47-AUL47</f>
        <v/>
      </c>
      <c r="AUN47" s="12">
        <f>IF(AUK47=0,0,IF(ATF47=1,SUMPRODUCT(--(($ATG$5:$ATG47=$ATG47-1)*($ATF$5:$ATF47&gt;=10)*($ATF$5:$ATF47&lt;=12)),$AUM$5:$AUM47),IF(ATF47=4,SUMPRODUCT(--(($ATG$5:$ATG47=$ATG47)*($ATF$5:$ATF47&gt;=1)*($ATF$5:$ATF47&lt;=3)),$AUM$5:$AUM47),IF(ATF47=7,SUMPRODUCT(--(($ATG$5:$ATG47=$ATG47)*($ATF$5:$ATF47&gt;=4)*($ATF$5:$ATF47&lt;=6)),$AUM$5:$AUM47),IF(ATF47=10,SUMPRODUCT(--(($ATG$5:$ATG47=$ATG47)*($ATF$5:$ATF47&gt;=7)*($ATF$5:$ATF47&lt;=9)),$AUM$5:$AUM47),0)))))</f>
        <v/>
      </c>
      <c r="AUO47" s="12">
        <f>AUO46+AUM47-AUN47</f>
        <v/>
      </c>
      <c r="AUP47" s="12">
        <f>IF(ProviderDelay&gt;=1,ATW46*BlendedProvPayEss+ATX46*BlendedProvPayPrem+ATY46*BlendedProvPayElite+ATZ46*BlendedProvPayEss+AUA46*BlendedProvPayPrem+AUB46*BlendedProvPayElite,ATW47*BlendedProvPayEss+ATX47*BlendedProvPayPrem+ATY47*BlendedProvPayElite+ATZ47*BlendedProvPayEss+AUA47*BlendedProvPayPrem+AUB47*BlendedProvPayElite)</f>
        <v/>
      </c>
      <c r="AUQ47" s="12">
        <f>AUI47*PaymentFee</f>
        <v/>
      </c>
      <c r="AUR47" s="12">
        <f>AUC47*OpsAI</f>
        <v/>
      </c>
      <c r="AUS47" s="12">
        <f>MonthlyFixed</f>
        <v/>
      </c>
      <c r="AUT47" s="12">
        <f>ATM47*ReferralReward</f>
        <v/>
      </c>
      <c r="AUU47" s="12">
        <f>ATK47</f>
        <v/>
      </c>
      <c r="AUV47" s="9">
        <f>AUL47-AUP47-AUQ47-AUR47-AUS47-AUT47-AUU47</f>
        <v/>
      </c>
      <c r="AUW47" s="9">
        <f>AUW46+AUI47-(AUP47+AUQ47+AUR47+AUS47+AUT47+AUU47+AUN47)</f>
        <v/>
      </c>
      <c r="AUX47" s="12">
        <f>IF(AUC47&gt;0,AUD47/AUC47,0)</f>
        <v/>
      </c>
      <c r="AUY47" s="11">
        <f>IF(AUC46&gt;0,MAX(0,(AUC46+ATN47-AUC47)/AUC46),0)</f>
        <v/>
      </c>
      <c r="AVA47" s="12" t="n">
        <v>43</v>
      </c>
      <c r="AVB47" s="12">
        <f>MOD(AVA47-1+LaunchMonth-1,12)+1</f>
        <v/>
      </c>
      <c r="AVC47" s="12">
        <f>INT((AVA47-1+LaunchMonth-1)/12)+1</f>
        <v/>
      </c>
      <c r="AVD47" s="12">
        <f>VLOOKUP(AVB47,WinterPivotSeasonTable,5,FALSE)</f>
        <v/>
      </c>
      <c r="AVE47" s="12">
        <f>(1+InflationRate)^INT((AVA47-1)/12)</f>
        <v/>
      </c>
      <c r="AVF47" s="11">
        <f>MonthlyChurn*VLOOKUP(AVB47,WinterPivotChurnTable,6,FALSE)</f>
        <v/>
      </c>
      <c r="AVG47" s="12">
        <f>MIN(MAX(MktMin19plus,AWE46*MktPct19plus),MAX(0,AWS46-CashBuffer))</f>
        <v/>
      </c>
      <c r="AVH47" s="12">
        <f>IF(AVG47&gt;0,MAX(1,ROUND(AVG47/CAC*AVD47,0)),0)</f>
        <v/>
      </c>
      <c r="AVI47" s="12">
        <f>IF(AVH47&gt;0,ROUND(AVH47*ReferralMix/(1-ReferralMix),0),0)</f>
        <v/>
      </c>
      <c r="AVJ47" s="12">
        <f>AVH47+AVI47</f>
        <v/>
      </c>
      <c r="AVK47" s="12">
        <f>ROUND(AVJ47*(1-AnnualMix),0)</f>
        <v/>
      </c>
      <c r="AVL47" s="12">
        <f>AVJ47-AVK47</f>
        <v/>
      </c>
      <c r="AVM47" s="12">
        <f>ROUND(AVK47*'Sens - Winter Pivot'!$B$6,0)</f>
        <v/>
      </c>
      <c r="AVN47" s="12">
        <f>ROUND(AVK47*PremiumMix,0)</f>
        <v/>
      </c>
      <c r="AVO47" s="12">
        <f>AVK47-AVM47-AVN47</f>
        <v/>
      </c>
      <c r="AVP47" s="12">
        <f>ROUND(AVL47*'Sens - Winter Pivot'!$B$6,0)</f>
        <v/>
      </c>
      <c r="AVQ47" s="12">
        <f>ROUND(AVL47*PremiumMix,0)</f>
        <v/>
      </c>
      <c r="AVR47" s="12">
        <f>AVL47-AVP47-AVQ47</f>
        <v/>
      </c>
      <c r="AVS47" s="12">
        <f>AVM47+AVM46+AVM45+MAX(0,AVS46-AVM46-AVM45)*(1-AVF47)</f>
        <v/>
      </c>
      <c r="AVT47" s="12">
        <f>AVN47+AVN46+AVN45+MAX(0,AVT46-AVN46-AVN45)*(1-AVF47)</f>
        <v/>
      </c>
      <c r="AVU47" s="12">
        <f>AVO47+AVO46+AVO45+MAX(0,AVU46-AVO46-AVO45)*(1-AVF47)</f>
        <v/>
      </c>
      <c r="AVV47" s="12">
        <f>AVV46+AVP47-AVP35*(AnnualChurn*VLOOKUP(AVB47,ChurnSeasonTable,4,FALSE))*POWER(1-(AnnualChurn*VLOOKUP(AVB47,ChurnSeasonTable,4,FALSE)),0)+AVP23*(AnnualChurn*VLOOKUP(AVB47,ChurnSeasonTable,4,FALSE))*POWER(1-(AnnualChurn*VLOOKUP(AVB47,ChurnSeasonTable,4,FALSE)),1)+AVP11*(AnnualChurn*VLOOKUP(AVB47,ChurnSeasonTable,4,FALSE))*POWER(1-(AnnualChurn*VLOOKUP(AVB47,ChurnSeasonTable,4,FALSE)),2)</f>
        <v/>
      </c>
      <c r="AVW47" s="12">
        <f>AVW46+AVQ47-AVQ35*(AnnualChurn*VLOOKUP(AVB47,ChurnSeasonTable,4,FALSE))*POWER(1-(AnnualChurn*VLOOKUP(AVB47,ChurnSeasonTable,4,FALSE)),0)+AVQ23*(AnnualChurn*VLOOKUP(AVB47,ChurnSeasonTable,4,FALSE))*POWER(1-(AnnualChurn*VLOOKUP(AVB47,ChurnSeasonTable,4,FALSE)),1)+AVQ11*(AnnualChurn*VLOOKUP(AVB47,ChurnSeasonTable,4,FALSE))*POWER(1-(AnnualChurn*VLOOKUP(AVB47,ChurnSeasonTable,4,FALSE)),2)</f>
        <v/>
      </c>
      <c r="AVX47" s="12">
        <f>AVX46+AVR47-AVR35*(AnnualChurn*VLOOKUP(AVB47,ChurnSeasonTable,4,FALSE))*POWER(1-(AnnualChurn*VLOOKUP(AVB47,ChurnSeasonTable,4,FALSE)),0)+AVR23*(AnnualChurn*VLOOKUP(AVB47,ChurnSeasonTable,4,FALSE))*POWER(1-(AnnualChurn*VLOOKUP(AVB47,ChurnSeasonTable,4,FALSE)),1)+AVR11*(AnnualChurn*VLOOKUP(AVB47,ChurnSeasonTable,4,FALSE))*POWER(1-(AnnualChurn*VLOOKUP(AVB47,ChurnSeasonTable,4,FALSE)),2)</f>
        <v/>
      </c>
      <c r="AVY47" s="12">
        <f>AVS47+AVT47+AVU47+AVV47+AVW47+AVX47</f>
        <v/>
      </c>
      <c r="AVZ47" s="9">
        <f>AVS47*BlendedPriceEssMonthly*AVE47+AVT47*(BlendedPricePremMonthly+'Sens - Winter Pivot'!$B$7)*AVE47+AVU47*BlendedPriceEliteMonthly*AVE47+AVV47*BlendedPriceEssAnnual*AVE47/12+AVW47*(BlendedPricePremAnnual+'Sens - Winter Pivot'!$B$7*12)*AVE47/12+AVX47*BlendedPriceEliteAnnual*AVE47/12</f>
        <v/>
      </c>
      <c r="AWA47" s="9">
        <f>AVZ47*12</f>
        <v/>
      </c>
      <c r="AWB47" s="12">
        <f>AVS47*BlendedPriceEssMonthly*AVE47+AVT47*(BlendedPricePremMonthly+'Sens - Winter Pivot'!$B$7)*AVE47+AVU47*BlendedPriceEliteMonthly*AVE47</f>
        <v/>
      </c>
      <c r="AWC47" s="12">
        <f>AVP47*BlendedPriceEssAnnual*AVE47+AVQ47*(BlendedPricePremAnnual+'Sens - Winter Pivot'!$B$7*12)*AVE47+AVR47*BlendedPriceEliteAnnual*AVE47</f>
        <v/>
      </c>
      <c r="AWD47" s="12">
        <f>AVP35*POWER(1-(AnnualChurn*VLOOKUP(AVB47,ChurnSeasonTable,4,FALSE)),1)*BlendedPriceEssAnnual*AVE47+AVP23*POWER(1-(AnnualChurn*VLOOKUP(AVB47,ChurnSeasonTable,4,FALSE)),2)*BlendedPriceEssAnnual*AVE47+AVP11*POWER(1-(AnnualChurn*VLOOKUP(AVB47,ChurnSeasonTable,4,FALSE)),3)*BlendedPriceEssAnnual*AVE47+AVQ35*POWER(1-(AnnualChurn*VLOOKUP(AVB47,ChurnSeasonTable,4,FALSE)),1)*BlendedPricePremAnnual*AVE47+AVQ23*POWER(1-(AnnualChurn*VLOOKUP(AVB47,ChurnSeasonTable,4,FALSE)),2)*BlendedPricePremAnnual*AVE47+AVQ11*POWER(1-(AnnualChurn*VLOOKUP(AVB47,ChurnSeasonTable,4,FALSE)),3)*BlendedPricePremAnnual*AVE47+AVR35*POWER(1-(AnnualChurn*VLOOKUP(AVB47,ChurnSeasonTable,4,FALSE)),1)*BlendedPriceEliteAnnual*AVE47+AVR23*POWER(1-(AnnualChurn*VLOOKUP(AVB47,ChurnSeasonTable,4,FALSE)),2)*BlendedPriceEliteAnnual*AVE47+AVR11*POWER(1-(AnnualChurn*VLOOKUP(AVB47,ChurnSeasonTable,4,FALSE)),3)*BlendedPriceEliteAnnual*AVE47</f>
        <v/>
      </c>
      <c r="AWE47" s="9">
        <f>AWB47+AWC47+AWD47</f>
        <v/>
      </c>
      <c r="AWF47" s="12">
        <f>SUM(AWE36:AWE47)</f>
        <v/>
      </c>
      <c r="AWG47" s="12">
        <f>OR(AWG46,IF(VATAgentMode,SUM($AWE36:$AWE47)-SUM($AWL36:$AWL47)&gt;=VATThreshold,SUM($AWE36:$AWE47)&gt;=VATThreshold))</f>
        <v/>
      </c>
      <c r="AWH47" s="9">
        <f>IF(AWG47,IF(VATAgentMode,AWE47-((AWE47-AWL47)-(AWE47-AWL47)/(1+VATRate)),AWE47/(1+VATRate)),AWE47)</f>
        <v/>
      </c>
      <c r="AWI47" s="12">
        <f>AWE47-AWH47</f>
        <v/>
      </c>
      <c r="AWJ47" s="12">
        <f>IF(AWG47=0,0,IF(AVB47=1,SUMPRODUCT(--(($AVC$5:$AVC47=$AVC47-1)*($AVB$5:$AVB47&gt;=10)*($AVB$5:$AVB47&lt;=12)),$AWI$5:$AWI47),IF(AVB47=4,SUMPRODUCT(--(($AVC$5:$AVC47=$AVC47)*($AVB$5:$AVB47&gt;=1)*($AVB$5:$AVB47&lt;=3)),$AWI$5:$AWI47),IF(AVB47=7,SUMPRODUCT(--(($AVC$5:$AVC47=$AVC47)*($AVB$5:$AVB47&gt;=4)*($AVB$5:$AVB47&lt;=6)),$AWI$5:$AWI47),IF(AVB47=10,SUMPRODUCT(--(($AVC$5:$AVC47=$AVC47)*($AVB$5:$AVB47&gt;=7)*($AVB$5:$AVB47&lt;=9)),$AWI$5:$AWI47),0)))))</f>
        <v/>
      </c>
      <c r="AWK47" s="12">
        <f>AWK46+AWI47-AWJ47</f>
        <v/>
      </c>
      <c r="AWL47" s="12">
        <f>IF(ProviderDelay&gt;=1,AVS46*BlendedProvPayEss+AVT46*BlendedProvPayPrem+AVU46*BlendedProvPayElite+AVV46*BlendedProvPayEss+AVW46*BlendedProvPayPrem+AVX46*BlendedProvPayElite,AVS47*BlendedProvPayEss+AVT47*BlendedProvPayPrem+AVU47*BlendedProvPayElite+AVV47*BlendedProvPayEss+AVW47*BlendedProvPayPrem+AVX47*BlendedProvPayElite)</f>
        <v/>
      </c>
      <c r="AWM47" s="12">
        <f>AWE47*PaymentFee</f>
        <v/>
      </c>
      <c r="AWN47" s="12">
        <f>AVY47*OpsAI</f>
        <v/>
      </c>
      <c r="AWO47" s="12">
        <f>MonthlyFixed</f>
        <v/>
      </c>
      <c r="AWP47" s="12">
        <f>AVI47*ReferralReward</f>
        <v/>
      </c>
      <c r="AWQ47" s="12">
        <f>AVG47</f>
        <v/>
      </c>
      <c r="AWR47" s="9">
        <f>AWH47-AWL47-AWM47-AWN47-AWO47-AWP47-AWQ47</f>
        <v/>
      </c>
      <c r="AWS47" s="9">
        <f>AWS46+AWE47-(AWL47+AWM47+AWN47+AWO47+AWP47+AWQ47+AWJ47)</f>
        <v/>
      </c>
      <c r="AWT47" s="12">
        <f>IF(AVY47&gt;0,AVZ47/AVY47,0)</f>
        <v/>
      </c>
      <c r="AWU47" s="11">
        <f>IF(AVY46&gt;0,MAX(0,(AVY46+AVJ47-AVY47)/AVY46),0)</f>
        <v/>
      </c>
    </row>
    <row r="48">
      <c r="A48" s="12" t="n">
        <v>44</v>
      </c>
      <c r="B48" s="12">
        <f>MOD(A48-1+LaunchMonth-1,12)+1</f>
        <v/>
      </c>
      <c r="C48" s="12">
        <f>INT((A48-1+LaunchMonth-1)/12)+1</f>
        <v/>
      </c>
      <c r="D48" s="12">
        <f>VLOOKUP(B48,SeasonTable,2,FALSE)</f>
        <v/>
      </c>
      <c r="E48" s="12">
        <f>(1+InflationRate)^INT((A48-1)/12)</f>
        <v/>
      </c>
      <c r="F48" s="11">
        <f>'Sens - Scenarios'!$B$5*VLOOKUP(B48,ChurnSeasonTable,4,FALSE)</f>
        <v/>
      </c>
      <c r="G48" s="12">
        <f>MIN(MAX(MktMin19plus,AE47*MktPct19plus),MAX(0,AS47-CashBuffer))</f>
        <v/>
      </c>
      <c r="H48" s="12">
        <f>IF(G48&gt;0,MAX(1,ROUND(G48/'Sens - Scenarios'!$B$8*D48,0)),0)</f>
        <v/>
      </c>
      <c r="I48" s="12">
        <f>IF(H48&gt;0,ROUND(H48*ReferralMix/(1-ReferralMix),0),0)</f>
        <v/>
      </c>
      <c r="J48" s="12">
        <f>H48+I48</f>
        <v/>
      </c>
      <c r="K48" s="12">
        <f>ROUND(J48*(1-'Sens - Scenarios'!$B$7),0)</f>
        <v/>
      </c>
      <c r="L48" s="12">
        <f>J48-K48</f>
        <v/>
      </c>
      <c r="M48" s="12">
        <f>ROUND(K48*EssentialMix,0)</f>
        <v/>
      </c>
      <c r="N48" s="12">
        <f>ROUND(K48*PremiumMix,0)</f>
        <v/>
      </c>
      <c r="O48" s="12">
        <f>K48-M48-N48</f>
        <v/>
      </c>
      <c r="P48" s="12">
        <f>ROUND(L48*EssentialMix,0)</f>
        <v/>
      </c>
      <c r="Q48" s="12">
        <f>ROUND(L48*PremiumMix,0)</f>
        <v/>
      </c>
      <c r="R48" s="12">
        <f>L48-P48-Q48</f>
        <v/>
      </c>
      <c r="S48" s="12">
        <f>M48+M47+M46+MAX(0,S47-M47-M46)*(1-F48)</f>
        <v/>
      </c>
      <c r="T48" s="12">
        <f>N48+N47+N46+MAX(0,T47-N47-N46)*(1-F48)</f>
        <v/>
      </c>
      <c r="U48" s="12">
        <f>O48+O47+O46+MAX(0,U47-O47-O46)*(1-F48)</f>
        <v/>
      </c>
      <c r="V48" s="12">
        <f>V47+P48-P36*('Sens - Scenarios'!$B$6*VLOOKUP(B48,ChurnSeasonTable,4,FALSE))*POWER(1-('Sens - Scenarios'!$B$6*VLOOKUP(B48,ChurnSeasonTable,4,FALSE)),0)+P24*('Sens - Scenarios'!$B$6*VLOOKUP(B48,ChurnSeasonTable,4,FALSE))*POWER(1-('Sens - Scenarios'!$B$6*VLOOKUP(B48,ChurnSeasonTable,4,FALSE)),1)+P12*('Sens - Scenarios'!$B$6*VLOOKUP(B48,ChurnSeasonTable,4,FALSE))*POWER(1-('Sens - Scenarios'!$B$6*VLOOKUP(B48,ChurnSeasonTable,4,FALSE)),2)</f>
        <v/>
      </c>
      <c r="W48" s="12">
        <f>W47+Q48-Q36*('Sens - Scenarios'!$B$6*VLOOKUP(B48,ChurnSeasonTable,4,FALSE))*POWER(1-('Sens - Scenarios'!$B$6*VLOOKUP(B48,ChurnSeasonTable,4,FALSE)),0)+Q24*('Sens - Scenarios'!$B$6*VLOOKUP(B48,ChurnSeasonTable,4,FALSE))*POWER(1-('Sens - Scenarios'!$B$6*VLOOKUP(B48,ChurnSeasonTable,4,FALSE)),1)+Q12*('Sens - Scenarios'!$B$6*VLOOKUP(B48,ChurnSeasonTable,4,FALSE))*POWER(1-('Sens - Scenarios'!$B$6*VLOOKUP(B48,ChurnSeasonTable,4,FALSE)),2)</f>
        <v/>
      </c>
      <c r="X48" s="12">
        <f>X47+R48-R36*('Sens - Scenarios'!$B$6*VLOOKUP(B48,ChurnSeasonTable,4,FALSE))*POWER(1-('Sens - Scenarios'!$B$6*VLOOKUP(B48,ChurnSeasonTable,4,FALSE)),0)+R24*('Sens - Scenarios'!$B$6*VLOOKUP(B48,ChurnSeasonTable,4,FALSE))*POWER(1-('Sens - Scenarios'!$B$6*VLOOKUP(B48,ChurnSeasonTable,4,FALSE)),1)+R12*('Sens - Scenarios'!$B$6*VLOOKUP(B48,ChurnSeasonTable,4,FALSE))*POWER(1-('Sens - Scenarios'!$B$6*VLOOKUP(B48,ChurnSeasonTable,4,FALSE)),2)</f>
        <v/>
      </c>
      <c r="Y48" s="12">
        <f>S48+T48+U48+V48+W48+X48</f>
        <v/>
      </c>
      <c r="Z48" s="9">
        <f>S48*BlendedPriceEssMonthly*E48+T48*BlendedPricePremMonthly*E48+U48*BlendedPriceEliteMonthly*E48+V48*BlendedPriceEssAnnual*E48/12+W48*BlendedPricePremAnnual*E48/12+X48*BlendedPriceEliteAnnual*E48/12</f>
        <v/>
      </c>
      <c r="AA48" s="9">
        <f>Z48*12</f>
        <v/>
      </c>
      <c r="AB48" s="12">
        <f>S48*BlendedPriceEssMonthly*E48+T48*BlendedPricePremMonthly*E48+U48*BlendedPriceEliteMonthly*E48</f>
        <v/>
      </c>
      <c r="AC48" s="12">
        <f>P48*BlendedPriceEssAnnual*E48+Q48*BlendedPricePremAnnual*E48+R48*BlendedPriceEliteAnnual*E48</f>
        <v/>
      </c>
      <c r="AD48" s="12">
        <f>P36*POWER(1-('Sens - Scenarios'!$B$6*VLOOKUP(B48,ChurnSeasonTable,4,FALSE)),1)*BlendedPriceEssAnnual*E48+P24*POWER(1-('Sens - Scenarios'!$B$6*VLOOKUP(B48,ChurnSeasonTable,4,FALSE)),2)*BlendedPriceEssAnnual*E48+P12*POWER(1-('Sens - Scenarios'!$B$6*VLOOKUP(B48,ChurnSeasonTable,4,FALSE)),3)*BlendedPriceEssAnnual*E48+Q36*POWER(1-('Sens - Scenarios'!$B$6*VLOOKUP(B48,ChurnSeasonTable,4,FALSE)),1)*BlendedPricePremAnnual*E48+Q24*POWER(1-('Sens - Scenarios'!$B$6*VLOOKUP(B48,ChurnSeasonTable,4,FALSE)),2)*BlendedPricePremAnnual*E48+Q12*POWER(1-('Sens - Scenarios'!$B$6*VLOOKUP(B48,ChurnSeasonTable,4,FALSE)),3)*BlendedPricePremAnnual*E48+R36*POWER(1-('Sens - Scenarios'!$B$6*VLOOKUP(B48,ChurnSeasonTable,4,FALSE)),1)*BlendedPriceEliteAnnual*E48+R24*POWER(1-('Sens - Scenarios'!$B$6*VLOOKUP(B48,ChurnSeasonTable,4,FALSE)),2)*BlendedPriceEliteAnnual*E48+R12*POWER(1-('Sens - Scenarios'!$B$6*VLOOKUP(B48,ChurnSeasonTable,4,FALSE)),3)*BlendedPriceEliteAnnual*E48</f>
        <v/>
      </c>
      <c r="AE48" s="9">
        <f>AB48+AC48+AD48</f>
        <v/>
      </c>
      <c r="AF48" s="12">
        <f>SUM(AE37:AE48)</f>
        <v/>
      </c>
      <c r="AG48" s="12">
        <f>OR(AG47,IF(VATAgentMode,SUM($AE37:$AE48)-SUM($AL37:$AL48)&gt;=VATThreshold,SUM($AE37:$AE48)&gt;=VATThreshold))</f>
        <v/>
      </c>
      <c r="AH48" s="9">
        <f>IF(AG48,IF(VATAgentMode,AE48-((AE48-AL48)-(AE48-AL48)/(1+VATRate)),AE48/(1+VATRate)),AE48)</f>
        <v/>
      </c>
      <c r="AI48" s="12">
        <f>AE48-AH48</f>
        <v/>
      </c>
      <c r="AJ48" s="12">
        <f>IF(AG48=0,0,IF(B48=1,SUMPRODUCT(--(($C$5:$C48=$C48-1)*($B$5:$B48&gt;=10)*($B$5:$B48&lt;=12)),$AI$5:$AI48),IF(B48=4,SUMPRODUCT(--(($C$5:$C48=$C48)*($B$5:$B48&gt;=1)*($B$5:$B48&lt;=3)),$AI$5:$AI48),IF(B48=7,SUMPRODUCT(--(($C$5:$C48=$C48)*($B$5:$B48&gt;=4)*($B$5:$B48&lt;=6)),$AI$5:$AI48),IF(B48=10,SUMPRODUCT(--(($C$5:$C48=$C48)*($B$5:$B48&gt;=7)*($B$5:$B48&lt;=9)),$AI$5:$AI48),0)))))</f>
        <v/>
      </c>
      <c r="AK48" s="12">
        <f>AK47+AI48-AJ48</f>
        <v/>
      </c>
      <c r="AL48" s="12">
        <f>IF(ProviderDelay&gt;=1,S47*BlendedProvPayEss+T47*BlendedProvPayPrem+U47*BlendedProvPayElite+V47*BlendedProvPayEss+W47*BlendedProvPayPrem+X47*BlendedProvPayElite,S48*BlendedProvPayEss+T48*BlendedProvPayPrem+U48*BlendedProvPayElite+V48*BlendedProvPayEss+W48*BlendedProvPayPrem+X48*BlendedProvPayElite)</f>
        <v/>
      </c>
      <c r="AM48" s="12">
        <f>AE48*PaymentFee</f>
        <v/>
      </c>
      <c r="AN48" s="12">
        <f>Y48*OpsAI</f>
        <v/>
      </c>
      <c r="AO48" s="12">
        <f>MonthlyFixed</f>
        <v/>
      </c>
      <c r="AP48" s="12">
        <f>I48*ReferralReward</f>
        <v/>
      </c>
      <c r="AQ48" s="12">
        <f>G48</f>
        <v/>
      </c>
      <c r="AR48" s="9">
        <f>AH48-AL48-AM48-AN48-AO48-AP48-AQ48</f>
        <v/>
      </c>
      <c r="AS48" s="9">
        <f>AS47+AE48-(AL48+AM48+AN48+AO48+AP48+AQ48+AJ48)</f>
        <v/>
      </c>
      <c r="AT48" s="12">
        <f>IF(Y48&gt;0,Z48/Y48,0)</f>
        <v/>
      </c>
      <c r="AU48" s="11">
        <f>IF(Y47&gt;0,MAX(0,(Y47+J48-Y48)/Y47),0)</f>
        <v/>
      </c>
      <c r="AW48" s="12" t="n">
        <v>44</v>
      </c>
      <c r="AX48" s="12">
        <f>MOD(AW48-1+LaunchMonth-1,12)+1</f>
        <v/>
      </c>
      <c r="AY48" s="12">
        <f>INT((AW48-1+LaunchMonth-1)/12)+1</f>
        <v/>
      </c>
      <c r="AZ48" s="12">
        <f>VLOOKUP(AX48,SeasonTable,2,FALSE)</f>
        <v/>
      </c>
      <c r="BA48" s="12">
        <f>(1+InflationRate)^INT((AW48-1)/12)</f>
        <v/>
      </c>
      <c r="BB48" s="11">
        <f>MonthlyChurn*VLOOKUP(AX48,ChurnSeasonTable,4,FALSE)</f>
        <v/>
      </c>
      <c r="BC48" s="12">
        <f>MIN(MAX(MktMin19plus,CA47*MktPct19plus),MAX(0,CO47-CashBuffer))</f>
        <v/>
      </c>
      <c r="BD48" s="12">
        <f>IF(BC48&gt;0,MAX(1,ROUND(BC48/CAC*AZ48,0)),0)</f>
        <v/>
      </c>
      <c r="BE48" s="12">
        <f>IF(BD48&gt;0,ROUND(BD48*ReferralMix/(1-ReferralMix),0),0)</f>
        <v/>
      </c>
      <c r="BF48" s="12">
        <f>BD48+BE48</f>
        <v/>
      </c>
      <c r="BG48" s="12">
        <f>ROUND(BF48*(1-AnnualMix),0)</f>
        <v/>
      </c>
      <c r="BH48" s="12">
        <f>BF48-BG48</f>
        <v/>
      </c>
      <c r="BI48" s="12">
        <f>ROUND(BG48*EssentialMix,0)</f>
        <v/>
      </c>
      <c r="BJ48" s="12">
        <f>ROUND(BG48*PremiumMix,0)</f>
        <v/>
      </c>
      <c r="BK48" s="12">
        <f>BG48-BI48-BJ48</f>
        <v/>
      </c>
      <c r="BL48" s="12">
        <f>ROUND(BH48*EssentialMix,0)</f>
        <v/>
      </c>
      <c r="BM48" s="12">
        <f>ROUND(BH48*PremiumMix,0)</f>
        <v/>
      </c>
      <c r="BN48" s="12">
        <f>BH48-BL48-BM48</f>
        <v/>
      </c>
      <c r="BO48" s="12">
        <f>BI48+BI47+BI46+MAX(0,BO47-BI47-BI46)*(1-BB48)</f>
        <v/>
      </c>
      <c r="BP48" s="12">
        <f>BJ48+BJ47+BJ46+MAX(0,BP47-BJ47-BJ46)*(1-BB48)</f>
        <v/>
      </c>
      <c r="BQ48" s="12">
        <f>BK48+BK47+BK46+MAX(0,BQ47-BK47-BK46)*(1-BB48)</f>
        <v/>
      </c>
      <c r="BR48" s="12">
        <f>BR47+BL48-BL36*(AnnualChurn*VLOOKUP(AX48,ChurnSeasonTable,4,FALSE))*POWER(1-(AnnualChurn*VLOOKUP(AX48,ChurnSeasonTable,4,FALSE)),0)+BL24*(AnnualChurn*VLOOKUP(AX48,ChurnSeasonTable,4,FALSE))*POWER(1-(AnnualChurn*VLOOKUP(AX48,ChurnSeasonTable,4,FALSE)),1)+BL12*(AnnualChurn*VLOOKUP(AX48,ChurnSeasonTable,4,FALSE))*POWER(1-(AnnualChurn*VLOOKUP(AX48,ChurnSeasonTable,4,FALSE)),2)</f>
        <v/>
      </c>
      <c r="BS48" s="12">
        <f>BS47+BM48-BM36*(AnnualChurn*VLOOKUP(AX48,ChurnSeasonTable,4,FALSE))*POWER(1-(AnnualChurn*VLOOKUP(AX48,ChurnSeasonTable,4,FALSE)),0)+BM24*(AnnualChurn*VLOOKUP(AX48,ChurnSeasonTable,4,FALSE))*POWER(1-(AnnualChurn*VLOOKUP(AX48,ChurnSeasonTable,4,FALSE)),1)+BM12*(AnnualChurn*VLOOKUP(AX48,ChurnSeasonTable,4,FALSE))*POWER(1-(AnnualChurn*VLOOKUP(AX48,ChurnSeasonTable,4,FALSE)),2)</f>
        <v/>
      </c>
      <c r="BT48" s="12">
        <f>BT47+BN48-BN36*(AnnualChurn*VLOOKUP(AX48,ChurnSeasonTable,4,FALSE))*POWER(1-(AnnualChurn*VLOOKUP(AX48,ChurnSeasonTable,4,FALSE)),0)+BN24*(AnnualChurn*VLOOKUP(AX48,ChurnSeasonTable,4,FALSE))*POWER(1-(AnnualChurn*VLOOKUP(AX48,ChurnSeasonTable,4,FALSE)),1)+BN12*(AnnualChurn*VLOOKUP(AX48,ChurnSeasonTable,4,FALSE))*POWER(1-(AnnualChurn*VLOOKUP(AX48,ChurnSeasonTable,4,FALSE)),2)</f>
        <v/>
      </c>
      <c r="BU48" s="12">
        <f>BO48+BP48+BQ48+BR48+BS48+BT48</f>
        <v/>
      </c>
      <c r="BV48" s="9">
        <f>BO48*BlendedPriceEssMonthly*BA48+BP48*BlendedPricePremMonthly*BA48+BQ48*BlendedPriceEliteMonthly*BA48+BR48*BlendedPriceEssAnnual*BA48/12+BS48*BlendedPricePremAnnual*BA48/12+BT48*BlendedPriceEliteAnnual*BA48/12</f>
        <v/>
      </c>
      <c r="BW48" s="9">
        <f>BV48*12</f>
        <v/>
      </c>
      <c r="BX48" s="12">
        <f>BO48*BlendedPriceEssMonthly*BA48+BP48*BlendedPricePremMonthly*BA48+BQ48*BlendedPriceEliteMonthly*BA48</f>
        <v/>
      </c>
      <c r="BY48" s="12">
        <f>BL48*BlendedPriceEssAnnual*BA48+BM48*BlendedPricePremAnnual*BA48+BN48*BlendedPriceEliteAnnual*BA48</f>
        <v/>
      </c>
      <c r="BZ48" s="12">
        <f>BL36*POWER(1-(AnnualChurn*VLOOKUP(AX48,ChurnSeasonTable,4,FALSE)),1)*BlendedPriceEssAnnual*BA48+BL24*POWER(1-(AnnualChurn*VLOOKUP(AX48,ChurnSeasonTable,4,FALSE)),2)*BlendedPriceEssAnnual*BA48+BL12*POWER(1-(AnnualChurn*VLOOKUP(AX48,ChurnSeasonTable,4,FALSE)),3)*BlendedPriceEssAnnual*BA48+BM36*POWER(1-(AnnualChurn*VLOOKUP(AX48,ChurnSeasonTable,4,FALSE)),1)*BlendedPricePremAnnual*BA48+BM24*POWER(1-(AnnualChurn*VLOOKUP(AX48,ChurnSeasonTable,4,FALSE)),2)*BlendedPricePremAnnual*BA48+BM12*POWER(1-(AnnualChurn*VLOOKUP(AX48,ChurnSeasonTable,4,FALSE)),3)*BlendedPricePremAnnual*BA48+BN36*POWER(1-(AnnualChurn*VLOOKUP(AX48,ChurnSeasonTable,4,FALSE)),1)*BlendedPriceEliteAnnual*BA48+BN24*POWER(1-(AnnualChurn*VLOOKUP(AX48,ChurnSeasonTable,4,FALSE)),2)*BlendedPriceEliteAnnual*BA48+BN12*POWER(1-(AnnualChurn*VLOOKUP(AX48,ChurnSeasonTable,4,FALSE)),3)*BlendedPriceEliteAnnual*BA48</f>
        <v/>
      </c>
      <c r="CA48" s="9">
        <f>BX48+BY48+BZ48</f>
        <v/>
      </c>
      <c r="CB48" s="12">
        <f>SUM(CA37:CA48)</f>
        <v/>
      </c>
      <c r="CC48" s="12">
        <f>OR(CC47,IF(VATAgentMode,SUM($CA37:$CA48)-SUM($CH37:$CH48)&gt;=VATThreshold,SUM($CA37:$CA48)&gt;=VATThreshold))</f>
        <v/>
      </c>
      <c r="CD48" s="9">
        <f>IF(CC48,IF(VATAgentMode,CA48-((CA48-CH48)-(CA48-CH48)/(1+VATRate)),CA48/(1+VATRate)),CA48)</f>
        <v/>
      </c>
      <c r="CE48" s="12">
        <f>CA48-CD48</f>
        <v/>
      </c>
      <c r="CF48" s="12">
        <f>IF(CC48=0,0,IF(AX48=1,SUMPRODUCT(--(($AY$5:$AY48=$AY48-1)*($AX$5:$AX48&gt;=10)*($AX$5:$AX48&lt;=12)),$CE$5:$CE48),IF(AX48=4,SUMPRODUCT(--(($AY$5:$AY48=$AY48)*($AX$5:$AX48&gt;=1)*($AX$5:$AX48&lt;=3)),$CE$5:$CE48),IF(AX48=7,SUMPRODUCT(--(($AY$5:$AY48=$AY48)*($AX$5:$AX48&gt;=4)*($AX$5:$AX48&lt;=6)),$CE$5:$CE48),IF(AX48=10,SUMPRODUCT(--(($AY$5:$AY48=$AY48)*($AX$5:$AX48&gt;=7)*($AX$5:$AX48&lt;=9)),$CE$5:$CE48),0)))))</f>
        <v/>
      </c>
      <c r="CG48" s="12">
        <f>CG47+CE48-CF48</f>
        <v/>
      </c>
      <c r="CH48" s="12">
        <f>IF(ProviderDelay&gt;=1,BO47*BlendedProvPayEss+BP47*BlendedProvPayPrem+BQ47*BlendedProvPayElite+BR47*BlendedProvPayEss+BS47*BlendedProvPayPrem+BT47*BlendedProvPayElite,BO48*BlendedProvPayEss+BP48*BlendedProvPayPrem+BQ48*BlendedProvPayElite+BR48*BlendedProvPayEss+BS48*BlendedProvPayPrem+BT48*BlendedProvPayElite)</f>
        <v/>
      </c>
      <c r="CI48" s="12">
        <f>CA48*PaymentFee</f>
        <v/>
      </c>
      <c r="CJ48" s="12">
        <f>BU48*OpsAI</f>
        <v/>
      </c>
      <c r="CK48" s="12">
        <f>MonthlyFixed</f>
        <v/>
      </c>
      <c r="CL48" s="12">
        <f>BE48*ReferralReward</f>
        <v/>
      </c>
      <c r="CM48" s="12">
        <f>BC48</f>
        <v/>
      </c>
      <c r="CN48" s="9">
        <f>CD48-CH48-CI48-CJ48-CK48-CL48-CM48</f>
        <v/>
      </c>
      <c r="CO48" s="9">
        <f>CO47+CA48-(CH48+CI48+CJ48+CK48+CL48+CM48+CF48)</f>
        <v/>
      </c>
      <c r="CP48" s="12">
        <f>IF(BU48&gt;0,BV48/BU48,0)</f>
        <v/>
      </c>
      <c r="CQ48" s="11">
        <f>IF(BU47&gt;0,MAX(0,(BU47+BF48-BU48)/BU47),0)</f>
        <v/>
      </c>
      <c r="CS48" s="12" t="n">
        <v>44</v>
      </c>
      <c r="CT48" s="12">
        <f>MOD(CS48-1+LaunchMonth-1,12)+1</f>
        <v/>
      </c>
      <c r="CU48" s="12">
        <f>INT((CS48-1+LaunchMonth-1)/12)+1</f>
        <v/>
      </c>
      <c r="CV48" s="12">
        <f>VLOOKUP(CT48,SeasonTable,2,FALSE)</f>
        <v/>
      </c>
      <c r="CW48" s="12">
        <f>(1+InflationRate)^INT((CS48-1)/12)</f>
        <v/>
      </c>
      <c r="CX48" s="11">
        <f>'Sens - Scenarios'!$D$5*VLOOKUP(CT48,ChurnSeasonTable,4,FALSE)</f>
        <v/>
      </c>
      <c r="CY48" s="12">
        <f>MIN(MAX(MktMin19plus,DW47*MktPct19plus),MAX(0,EK47-CashBuffer))</f>
        <v/>
      </c>
      <c r="CZ48" s="12">
        <f>IF(CY48&gt;0,MAX(1,ROUND(CY48/'Sens - Scenarios'!$D$8*CV48,0)),0)</f>
        <v/>
      </c>
      <c r="DA48" s="12">
        <f>IF(CZ48&gt;0,ROUND(CZ48*ReferralMix/(1-ReferralMix),0),0)</f>
        <v/>
      </c>
      <c r="DB48" s="12">
        <f>CZ48+DA48</f>
        <v/>
      </c>
      <c r="DC48" s="12">
        <f>ROUND(DB48*(1-'Sens - Scenarios'!$D$7),0)</f>
        <v/>
      </c>
      <c r="DD48" s="12">
        <f>DB48-DC48</f>
        <v/>
      </c>
      <c r="DE48" s="12">
        <f>ROUND(DC48*EssentialMix,0)</f>
        <v/>
      </c>
      <c r="DF48" s="12">
        <f>ROUND(DC48*PremiumMix,0)</f>
        <v/>
      </c>
      <c r="DG48" s="12">
        <f>DC48-DE48-DF48</f>
        <v/>
      </c>
      <c r="DH48" s="12">
        <f>ROUND(DD48*EssentialMix,0)</f>
        <v/>
      </c>
      <c r="DI48" s="12">
        <f>ROUND(DD48*PremiumMix,0)</f>
        <v/>
      </c>
      <c r="DJ48" s="12">
        <f>DD48-DH48-DI48</f>
        <v/>
      </c>
      <c r="DK48" s="12">
        <f>DE48+DE47+DE46+MAX(0,DK47-DE47-DE46)*(1-CX48)</f>
        <v/>
      </c>
      <c r="DL48" s="12">
        <f>DF48+DF47+DF46+MAX(0,DL47-DF47-DF46)*(1-CX48)</f>
        <v/>
      </c>
      <c r="DM48" s="12">
        <f>DG48+DG47+DG46+MAX(0,DM47-DG47-DG46)*(1-CX48)</f>
        <v/>
      </c>
      <c r="DN48" s="12">
        <f>DN47+DH48-DH36*('Sens - Scenarios'!$D$6*VLOOKUP(CT48,ChurnSeasonTable,4,FALSE))*POWER(1-('Sens - Scenarios'!$D$6*VLOOKUP(CT48,ChurnSeasonTable,4,FALSE)),0)+DH24*('Sens - Scenarios'!$D$6*VLOOKUP(CT48,ChurnSeasonTable,4,FALSE))*POWER(1-('Sens - Scenarios'!$D$6*VLOOKUP(CT48,ChurnSeasonTable,4,FALSE)),1)+DH12*('Sens - Scenarios'!$D$6*VLOOKUP(CT48,ChurnSeasonTable,4,FALSE))*POWER(1-('Sens - Scenarios'!$D$6*VLOOKUP(CT48,ChurnSeasonTable,4,FALSE)),2)</f>
        <v/>
      </c>
      <c r="DO48" s="12">
        <f>DO47+DI48-DI36*('Sens - Scenarios'!$D$6*VLOOKUP(CT48,ChurnSeasonTable,4,FALSE))*POWER(1-('Sens - Scenarios'!$D$6*VLOOKUP(CT48,ChurnSeasonTable,4,FALSE)),0)+DI24*('Sens - Scenarios'!$D$6*VLOOKUP(CT48,ChurnSeasonTable,4,FALSE))*POWER(1-('Sens - Scenarios'!$D$6*VLOOKUP(CT48,ChurnSeasonTable,4,FALSE)),1)+DI12*('Sens - Scenarios'!$D$6*VLOOKUP(CT48,ChurnSeasonTable,4,FALSE))*POWER(1-('Sens - Scenarios'!$D$6*VLOOKUP(CT48,ChurnSeasonTable,4,FALSE)),2)</f>
        <v/>
      </c>
      <c r="DP48" s="12">
        <f>DP47+DJ48-DJ36*('Sens - Scenarios'!$D$6*VLOOKUP(CT48,ChurnSeasonTable,4,FALSE))*POWER(1-('Sens - Scenarios'!$D$6*VLOOKUP(CT48,ChurnSeasonTable,4,FALSE)),0)+DJ24*('Sens - Scenarios'!$D$6*VLOOKUP(CT48,ChurnSeasonTable,4,FALSE))*POWER(1-('Sens - Scenarios'!$D$6*VLOOKUP(CT48,ChurnSeasonTable,4,FALSE)),1)+DJ12*('Sens - Scenarios'!$D$6*VLOOKUP(CT48,ChurnSeasonTable,4,FALSE))*POWER(1-('Sens - Scenarios'!$D$6*VLOOKUP(CT48,ChurnSeasonTable,4,FALSE)),2)</f>
        <v/>
      </c>
      <c r="DQ48" s="12">
        <f>DK48+DL48+DM48+DN48+DO48+DP48</f>
        <v/>
      </c>
      <c r="DR48" s="9">
        <f>DK48*BlendedPriceEssMonthly*CW48+DL48*BlendedPricePremMonthly*CW48+DM48*BlendedPriceEliteMonthly*CW48+DN48*BlendedPriceEssAnnual*CW48/12+DO48*BlendedPricePremAnnual*CW48/12+DP48*BlendedPriceEliteAnnual*CW48/12</f>
        <v/>
      </c>
      <c r="DS48" s="9">
        <f>DR48*12</f>
        <v/>
      </c>
      <c r="DT48" s="12">
        <f>DK48*BlendedPriceEssMonthly*CW48+DL48*BlendedPricePremMonthly*CW48+DM48*BlendedPriceEliteMonthly*CW48</f>
        <v/>
      </c>
      <c r="DU48" s="12">
        <f>DH48*BlendedPriceEssAnnual*CW48+DI48*BlendedPricePremAnnual*CW48+DJ48*BlendedPriceEliteAnnual*CW48</f>
        <v/>
      </c>
      <c r="DV48" s="12">
        <f>DH36*POWER(1-('Sens - Scenarios'!$D$6*VLOOKUP(CT48,ChurnSeasonTable,4,FALSE)),1)*BlendedPriceEssAnnual*CW48+DH24*POWER(1-('Sens - Scenarios'!$D$6*VLOOKUP(CT48,ChurnSeasonTable,4,FALSE)),2)*BlendedPriceEssAnnual*CW48+DH12*POWER(1-('Sens - Scenarios'!$D$6*VLOOKUP(CT48,ChurnSeasonTable,4,FALSE)),3)*BlendedPriceEssAnnual*CW48+DI36*POWER(1-('Sens - Scenarios'!$D$6*VLOOKUP(CT48,ChurnSeasonTable,4,FALSE)),1)*BlendedPricePremAnnual*CW48+DI24*POWER(1-('Sens - Scenarios'!$D$6*VLOOKUP(CT48,ChurnSeasonTable,4,FALSE)),2)*BlendedPricePremAnnual*CW48+DI12*POWER(1-('Sens - Scenarios'!$D$6*VLOOKUP(CT48,ChurnSeasonTable,4,FALSE)),3)*BlendedPricePremAnnual*CW48+DJ36*POWER(1-('Sens - Scenarios'!$D$6*VLOOKUP(CT48,ChurnSeasonTable,4,FALSE)),1)*BlendedPriceEliteAnnual*CW48+DJ24*POWER(1-('Sens - Scenarios'!$D$6*VLOOKUP(CT48,ChurnSeasonTable,4,FALSE)),2)*BlendedPriceEliteAnnual*CW48+DJ12*POWER(1-('Sens - Scenarios'!$D$6*VLOOKUP(CT48,ChurnSeasonTable,4,FALSE)),3)*BlendedPriceEliteAnnual*CW48</f>
        <v/>
      </c>
      <c r="DW48" s="9">
        <f>DT48+DU48+DV48</f>
        <v/>
      </c>
      <c r="DX48" s="12">
        <f>SUM(DW37:DW48)</f>
        <v/>
      </c>
      <c r="DY48" s="12">
        <f>OR(DY47,IF(VATAgentMode,SUM($DW37:$DW48)-SUM($ED37:$ED48)&gt;=VATThreshold,SUM($DW37:$DW48)&gt;=VATThreshold))</f>
        <v/>
      </c>
      <c r="DZ48" s="9">
        <f>IF(DY48,IF(VATAgentMode,DW48-((DW48-ED48)-(DW48-ED48)/(1+VATRate)),DW48/(1+VATRate)),DW48)</f>
        <v/>
      </c>
      <c r="EA48" s="12">
        <f>DW48-DZ48</f>
        <v/>
      </c>
      <c r="EB48" s="12">
        <f>IF(DY48=0,0,IF(CT48=1,SUMPRODUCT(--(($CU$5:$CU48=$CU48-1)*($CT$5:$CT48&gt;=10)*($CT$5:$CT48&lt;=12)),$EA$5:$EA48),IF(CT48=4,SUMPRODUCT(--(($CU$5:$CU48=$CU48)*($CT$5:$CT48&gt;=1)*($CT$5:$CT48&lt;=3)),$EA$5:$EA48),IF(CT48=7,SUMPRODUCT(--(($CU$5:$CU48=$CU48)*($CT$5:$CT48&gt;=4)*($CT$5:$CT48&lt;=6)),$EA$5:$EA48),IF(CT48=10,SUMPRODUCT(--(($CU$5:$CU48=$CU48)*($CT$5:$CT48&gt;=7)*($CT$5:$CT48&lt;=9)),$EA$5:$EA48),0)))))</f>
        <v/>
      </c>
      <c r="EC48" s="12">
        <f>EC47+EA48-EB48</f>
        <v/>
      </c>
      <c r="ED48" s="12">
        <f>IF(ProviderDelay&gt;=1,DK47*BlendedProvPayEss+DL47*BlendedProvPayPrem+DM47*BlendedProvPayElite+DN47*BlendedProvPayEss+DO47*BlendedProvPayPrem+DP47*BlendedProvPayElite,DK48*BlendedProvPayEss+DL48*BlendedProvPayPrem+DM48*BlendedProvPayElite+DN48*BlendedProvPayEss+DO48*BlendedProvPayPrem+DP48*BlendedProvPayElite)</f>
        <v/>
      </c>
      <c r="EE48" s="12">
        <f>DW48*PaymentFee</f>
        <v/>
      </c>
      <c r="EF48" s="12">
        <f>DQ48*OpsAI</f>
        <v/>
      </c>
      <c r="EG48" s="12">
        <f>MonthlyFixed</f>
        <v/>
      </c>
      <c r="EH48" s="12">
        <f>DA48*ReferralReward</f>
        <v/>
      </c>
      <c r="EI48" s="12">
        <f>CY48</f>
        <v/>
      </c>
      <c r="EJ48" s="9">
        <f>DZ48-ED48-EE48-EF48-EG48-EH48-EI48</f>
        <v/>
      </c>
      <c r="EK48" s="9">
        <f>EK47+DW48-(ED48+EE48+EF48+EG48+EH48+EI48+EB48)</f>
        <v/>
      </c>
      <c r="EL48" s="12">
        <f>IF(DQ48&gt;0,DR48/DQ48,0)</f>
        <v/>
      </c>
      <c r="EM48" s="11">
        <f>IF(DQ47&gt;0,MAX(0,(DQ47+DB48-DQ48)/DQ47),0)</f>
        <v/>
      </c>
      <c r="EO48" s="12" t="n">
        <v>44</v>
      </c>
      <c r="EP48" s="12">
        <f>MOD(EO48-1+LaunchMonth-1,12)+1</f>
        <v/>
      </c>
      <c r="EQ48" s="12">
        <f>INT((EO48-1+LaunchMonth-1)/12)+1</f>
        <v/>
      </c>
      <c r="ER48" s="12">
        <f>VLOOKUP(EP48,SeasonTable,2,FALSE)</f>
        <v/>
      </c>
      <c r="ES48" s="12">
        <f>(1+InflationRate)^INT((EO48-1)/12)</f>
        <v/>
      </c>
      <c r="ET48" s="11">
        <f>'Sens - Churn'!$A$13*VLOOKUP(EP48,ChurnSeasonTable,4,FALSE)</f>
        <v/>
      </c>
      <c r="EU48" s="12">
        <f>MIN(MAX(MktMin19plus,FS47*MktPct19plus),MAX(0,GG47-CashBuffer))</f>
        <v/>
      </c>
      <c r="EV48" s="12">
        <f>IF(EU48&gt;0,MAX(1,ROUND(EU48/CAC*ER48,0)),0)</f>
        <v/>
      </c>
      <c r="EW48" s="12">
        <f>IF(EV48&gt;0,ROUND(EV48*ReferralMix/(1-ReferralMix),0),0)</f>
        <v/>
      </c>
      <c r="EX48" s="12">
        <f>EV48+EW48</f>
        <v/>
      </c>
      <c r="EY48" s="12">
        <f>ROUND(EX48*(1-AnnualMix),0)</f>
        <v/>
      </c>
      <c r="EZ48" s="12">
        <f>EX48-EY48</f>
        <v/>
      </c>
      <c r="FA48" s="12">
        <f>ROUND(EY48*EssentialMix,0)</f>
        <v/>
      </c>
      <c r="FB48" s="12">
        <f>ROUND(EY48*PremiumMix,0)</f>
        <v/>
      </c>
      <c r="FC48" s="12">
        <f>EY48-FA48-FB48</f>
        <v/>
      </c>
      <c r="FD48" s="12">
        <f>ROUND(EZ48*EssentialMix,0)</f>
        <v/>
      </c>
      <c r="FE48" s="12">
        <f>ROUND(EZ48*PremiumMix,0)</f>
        <v/>
      </c>
      <c r="FF48" s="12">
        <f>EZ48-FD48-FE48</f>
        <v/>
      </c>
      <c r="FG48" s="12">
        <f>FA48+FA47+FA46+MAX(0,FG47-FA47-FA46)*(1-ET48)</f>
        <v/>
      </c>
      <c r="FH48" s="12">
        <f>FB48+FB47+FB46+MAX(0,FH47-FB47-FB46)*(1-ET48)</f>
        <v/>
      </c>
      <c r="FI48" s="12">
        <f>FC48+FC47+FC46+MAX(0,FI47-FC47-FC46)*(1-ET48)</f>
        <v/>
      </c>
      <c r="FJ48" s="12">
        <f>FJ47+FD48-FD36*(AnnualChurn*VLOOKUP(EP48,ChurnSeasonTable,4,FALSE))*POWER(1-(AnnualChurn*VLOOKUP(EP48,ChurnSeasonTable,4,FALSE)),0)+FD24*(AnnualChurn*VLOOKUP(EP48,ChurnSeasonTable,4,FALSE))*POWER(1-(AnnualChurn*VLOOKUP(EP48,ChurnSeasonTable,4,FALSE)),1)+FD12*(AnnualChurn*VLOOKUP(EP48,ChurnSeasonTable,4,FALSE))*POWER(1-(AnnualChurn*VLOOKUP(EP48,ChurnSeasonTable,4,FALSE)),2)</f>
        <v/>
      </c>
      <c r="FK48" s="12">
        <f>FK47+FE48-FE36*(AnnualChurn*VLOOKUP(EP48,ChurnSeasonTable,4,FALSE))*POWER(1-(AnnualChurn*VLOOKUP(EP48,ChurnSeasonTable,4,FALSE)),0)+FE24*(AnnualChurn*VLOOKUP(EP48,ChurnSeasonTable,4,FALSE))*POWER(1-(AnnualChurn*VLOOKUP(EP48,ChurnSeasonTable,4,FALSE)),1)+FE12*(AnnualChurn*VLOOKUP(EP48,ChurnSeasonTable,4,FALSE))*POWER(1-(AnnualChurn*VLOOKUP(EP48,ChurnSeasonTable,4,FALSE)),2)</f>
        <v/>
      </c>
      <c r="FL48" s="12">
        <f>FL47+FF48-FF36*(AnnualChurn*VLOOKUP(EP48,ChurnSeasonTable,4,FALSE))*POWER(1-(AnnualChurn*VLOOKUP(EP48,ChurnSeasonTable,4,FALSE)),0)+FF24*(AnnualChurn*VLOOKUP(EP48,ChurnSeasonTable,4,FALSE))*POWER(1-(AnnualChurn*VLOOKUP(EP48,ChurnSeasonTable,4,FALSE)),1)+FF12*(AnnualChurn*VLOOKUP(EP48,ChurnSeasonTable,4,FALSE))*POWER(1-(AnnualChurn*VLOOKUP(EP48,ChurnSeasonTable,4,FALSE)),2)</f>
        <v/>
      </c>
      <c r="FM48" s="12">
        <f>FG48+FH48+FI48+FJ48+FK48+FL48</f>
        <v/>
      </c>
      <c r="FN48" s="9">
        <f>FG48*BlendedPriceEssMonthly*ES48+FH48*BlendedPricePremMonthly*ES48+FI48*BlendedPriceEliteMonthly*ES48+FJ48*BlendedPriceEssAnnual*ES48/12+FK48*BlendedPricePremAnnual*ES48/12+FL48*BlendedPriceEliteAnnual*ES48/12</f>
        <v/>
      </c>
      <c r="FO48" s="9">
        <f>FN48*12</f>
        <v/>
      </c>
      <c r="FP48" s="12">
        <f>FG48*BlendedPriceEssMonthly*ES48+FH48*BlendedPricePremMonthly*ES48+FI48*BlendedPriceEliteMonthly*ES48</f>
        <v/>
      </c>
      <c r="FQ48" s="12">
        <f>FD48*BlendedPriceEssAnnual*ES48+FE48*BlendedPricePremAnnual*ES48+FF48*BlendedPriceEliteAnnual*ES48</f>
        <v/>
      </c>
      <c r="FR48" s="12">
        <f>FD36*POWER(1-(AnnualChurn*VLOOKUP(EP48,ChurnSeasonTable,4,FALSE)),1)*BlendedPriceEssAnnual*ES48+FD24*POWER(1-(AnnualChurn*VLOOKUP(EP48,ChurnSeasonTable,4,FALSE)),2)*BlendedPriceEssAnnual*ES48+FD12*POWER(1-(AnnualChurn*VLOOKUP(EP48,ChurnSeasonTable,4,FALSE)),3)*BlendedPriceEssAnnual*ES48+FE36*POWER(1-(AnnualChurn*VLOOKUP(EP48,ChurnSeasonTable,4,FALSE)),1)*BlendedPricePremAnnual*ES48+FE24*POWER(1-(AnnualChurn*VLOOKUP(EP48,ChurnSeasonTable,4,FALSE)),2)*BlendedPricePremAnnual*ES48+FE12*POWER(1-(AnnualChurn*VLOOKUP(EP48,ChurnSeasonTable,4,FALSE)),3)*BlendedPricePremAnnual*ES48+FF36*POWER(1-(AnnualChurn*VLOOKUP(EP48,ChurnSeasonTable,4,FALSE)),1)*BlendedPriceEliteAnnual*ES48+FF24*POWER(1-(AnnualChurn*VLOOKUP(EP48,ChurnSeasonTable,4,FALSE)),2)*BlendedPriceEliteAnnual*ES48+FF12*POWER(1-(AnnualChurn*VLOOKUP(EP48,ChurnSeasonTable,4,FALSE)),3)*BlendedPriceEliteAnnual*ES48</f>
        <v/>
      </c>
      <c r="FS48" s="9">
        <f>FP48+FQ48+FR48</f>
        <v/>
      </c>
      <c r="FT48" s="12">
        <f>SUM(FS37:FS48)</f>
        <v/>
      </c>
      <c r="FU48" s="12">
        <f>OR(FU47,IF(VATAgentMode,SUM($FS37:$FS48)-SUM($FZ37:$FZ48)&gt;=VATThreshold,SUM($FS37:$FS48)&gt;=VATThreshold))</f>
        <v/>
      </c>
      <c r="FV48" s="9">
        <f>IF(FU48,IF(VATAgentMode,FS48-((FS48-FZ48)-(FS48-FZ48)/(1+VATRate)),FS48/(1+VATRate)),FS48)</f>
        <v/>
      </c>
      <c r="FW48" s="12">
        <f>FS48-FV48</f>
        <v/>
      </c>
      <c r="FX48" s="12">
        <f>IF(FU48=0,0,IF(EP48=1,SUMPRODUCT(--(($EQ$5:$EQ48=$EQ48-1)*($EP$5:$EP48&gt;=10)*($EP$5:$EP48&lt;=12)),$FW$5:$FW48),IF(EP48=4,SUMPRODUCT(--(($EQ$5:$EQ48=$EQ48)*($EP$5:$EP48&gt;=1)*($EP$5:$EP48&lt;=3)),$FW$5:$FW48),IF(EP48=7,SUMPRODUCT(--(($EQ$5:$EQ48=$EQ48)*($EP$5:$EP48&gt;=4)*($EP$5:$EP48&lt;=6)),$FW$5:$FW48),IF(EP48=10,SUMPRODUCT(--(($EQ$5:$EQ48=$EQ48)*($EP$5:$EP48&gt;=7)*($EP$5:$EP48&lt;=9)),$FW$5:$FW48),0)))))</f>
        <v/>
      </c>
      <c r="FY48" s="12">
        <f>FY47+FW48-FX48</f>
        <v/>
      </c>
      <c r="FZ48" s="12">
        <f>IF(ProviderDelay&gt;=1,FG47*BlendedProvPayEss+FH47*BlendedProvPayPrem+FI47*BlendedProvPayElite+FJ47*BlendedProvPayEss+FK47*BlendedProvPayPrem+FL47*BlendedProvPayElite,FG48*BlendedProvPayEss+FH48*BlendedProvPayPrem+FI48*BlendedProvPayElite+FJ48*BlendedProvPayEss+FK48*BlendedProvPayPrem+FL48*BlendedProvPayElite)</f>
        <v/>
      </c>
      <c r="GA48" s="12">
        <f>FS48*PaymentFee</f>
        <v/>
      </c>
      <c r="GB48" s="12">
        <f>FM48*OpsAI</f>
        <v/>
      </c>
      <c r="GC48" s="12">
        <f>MonthlyFixed</f>
        <v/>
      </c>
      <c r="GD48" s="12">
        <f>EW48*ReferralReward</f>
        <v/>
      </c>
      <c r="GE48" s="12">
        <f>EU48</f>
        <v/>
      </c>
      <c r="GF48" s="9">
        <f>FV48-FZ48-GA48-GB48-GC48-GD48-GE48</f>
        <v/>
      </c>
      <c r="GG48" s="9">
        <f>GG47+FS48-(FZ48+GA48+GB48+GC48+GD48+GE48+FX48)</f>
        <v/>
      </c>
      <c r="GH48" s="12">
        <f>IF(FM48&gt;0,FN48/FM48,0)</f>
        <v/>
      </c>
      <c r="GI48" s="11">
        <f>IF(FM47&gt;0,MAX(0,(FM47+EX48-FM48)/FM47),0)</f>
        <v/>
      </c>
      <c r="GK48" s="12" t="n">
        <v>44</v>
      </c>
      <c r="GL48" s="12">
        <f>MOD(GK48-1+LaunchMonth-1,12)+1</f>
        <v/>
      </c>
      <c r="GM48" s="12">
        <f>INT((GK48-1+LaunchMonth-1)/12)+1</f>
        <v/>
      </c>
      <c r="GN48" s="12">
        <f>VLOOKUP(GL48,SeasonTable,2,FALSE)</f>
        <v/>
      </c>
      <c r="GO48" s="12">
        <f>(1+InflationRate)^INT((GK48-1)/12)</f>
        <v/>
      </c>
      <c r="GP48" s="11">
        <f>'Sens - Churn'!$A$14*VLOOKUP(GL48,ChurnSeasonTable,4,FALSE)</f>
        <v/>
      </c>
      <c r="GQ48" s="12">
        <f>MIN(MAX(MktMin19plus,HO47*MktPct19plus),MAX(0,IC47-CashBuffer))</f>
        <v/>
      </c>
      <c r="GR48" s="12">
        <f>IF(GQ48&gt;0,MAX(1,ROUND(GQ48/CAC*GN48,0)),0)</f>
        <v/>
      </c>
      <c r="GS48" s="12">
        <f>IF(GR48&gt;0,ROUND(GR48*ReferralMix/(1-ReferralMix),0),0)</f>
        <v/>
      </c>
      <c r="GT48" s="12">
        <f>GR48+GS48</f>
        <v/>
      </c>
      <c r="GU48" s="12">
        <f>ROUND(GT48*(1-AnnualMix),0)</f>
        <v/>
      </c>
      <c r="GV48" s="12">
        <f>GT48-GU48</f>
        <v/>
      </c>
      <c r="GW48" s="12">
        <f>ROUND(GU48*EssentialMix,0)</f>
        <v/>
      </c>
      <c r="GX48" s="12">
        <f>ROUND(GU48*PremiumMix,0)</f>
        <v/>
      </c>
      <c r="GY48" s="12">
        <f>GU48-GW48-GX48</f>
        <v/>
      </c>
      <c r="GZ48" s="12">
        <f>ROUND(GV48*EssentialMix,0)</f>
        <v/>
      </c>
      <c r="HA48" s="12">
        <f>ROUND(GV48*PremiumMix,0)</f>
        <v/>
      </c>
      <c r="HB48" s="12">
        <f>GV48-GZ48-HA48</f>
        <v/>
      </c>
      <c r="HC48" s="12">
        <f>GW48+GW47+GW46+MAX(0,HC47-GW47-GW46)*(1-GP48)</f>
        <v/>
      </c>
      <c r="HD48" s="12">
        <f>GX48+GX47+GX46+MAX(0,HD47-GX47-GX46)*(1-GP48)</f>
        <v/>
      </c>
      <c r="HE48" s="12">
        <f>GY48+GY47+GY46+MAX(0,HE47-GY47-GY46)*(1-GP48)</f>
        <v/>
      </c>
      <c r="HF48" s="12">
        <f>HF47+GZ48-GZ36*(AnnualChurn*VLOOKUP(GL48,ChurnSeasonTable,4,FALSE))*POWER(1-(AnnualChurn*VLOOKUP(GL48,ChurnSeasonTable,4,FALSE)),0)+GZ24*(AnnualChurn*VLOOKUP(GL48,ChurnSeasonTable,4,FALSE))*POWER(1-(AnnualChurn*VLOOKUP(GL48,ChurnSeasonTable,4,FALSE)),1)+GZ12*(AnnualChurn*VLOOKUP(GL48,ChurnSeasonTable,4,FALSE))*POWER(1-(AnnualChurn*VLOOKUP(GL48,ChurnSeasonTable,4,FALSE)),2)</f>
        <v/>
      </c>
      <c r="HG48" s="12">
        <f>HG47+HA48-HA36*(AnnualChurn*VLOOKUP(GL48,ChurnSeasonTable,4,FALSE))*POWER(1-(AnnualChurn*VLOOKUP(GL48,ChurnSeasonTable,4,FALSE)),0)+HA24*(AnnualChurn*VLOOKUP(GL48,ChurnSeasonTable,4,FALSE))*POWER(1-(AnnualChurn*VLOOKUP(GL48,ChurnSeasonTable,4,FALSE)),1)+HA12*(AnnualChurn*VLOOKUP(GL48,ChurnSeasonTable,4,FALSE))*POWER(1-(AnnualChurn*VLOOKUP(GL48,ChurnSeasonTable,4,FALSE)),2)</f>
        <v/>
      </c>
      <c r="HH48" s="12">
        <f>HH47+HB48-HB36*(AnnualChurn*VLOOKUP(GL48,ChurnSeasonTable,4,FALSE))*POWER(1-(AnnualChurn*VLOOKUP(GL48,ChurnSeasonTable,4,FALSE)),0)+HB24*(AnnualChurn*VLOOKUP(GL48,ChurnSeasonTable,4,FALSE))*POWER(1-(AnnualChurn*VLOOKUP(GL48,ChurnSeasonTable,4,FALSE)),1)+HB12*(AnnualChurn*VLOOKUP(GL48,ChurnSeasonTable,4,FALSE))*POWER(1-(AnnualChurn*VLOOKUP(GL48,ChurnSeasonTable,4,FALSE)),2)</f>
        <v/>
      </c>
      <c r="HI48" s="12">
        <f>HC48+HD48+HE48+HF48+HG48+HH48</f>
        <v/>
      </c>
      <c r="HJ48" s="9">
        <f>HC48*BlendedPriceEssMonthly*GO48+HD48*BlendedPricePremMonthly*GO48+HE48*BlendedPriceEliteMonthly*GO48+HF48*BlendedPriceEssAnnual*GO48/12+HG48*BlendedPricePremAnnual*GO48/12+HH48*BlendedPriceEliteAnnual*GO48/12</f>
        <v/>
      </c>
      <c r="HK48" s="9">
        <f>HJ48*12</f>
        <v/>
      </c>
      <c r="HL48" s="12">
        <f>HC48*BlendedPriceEssMonthly*GO48+HD48*BlendedPricePremMonthly*GO48+HE48*BlendedPriceEliteMonthly*GO48</f>
        <v/>
      </c>
      <c r="HM48" s="12">
        <f>GZ48*BlendedPriceEssAnnual*GO48+HA48*BlendedPricePremAnnual*GO48+HB48*BlendedPriceEliteAnnual*GO48</f>
        <v/>
      </c>
      <c r="HN48" s="12">
        <f>GZ36*POWER(1-(AnnualChurn*VLOOKUP(GL48,ChurnSeasonTable,4,FALSE)),1)*BlendedPriceEssAnnual*GO48+GZ24*POWER(1-(AnnualChurn*VLOOKUP(GL48,ChurnSeasonTable,4,FALSE)),2)*BlendedPriceEssAnnual*GO48+GZ12*POWER(1-(AnnualChurn*VLOOKUP(GL48,ChurnSeasonTable,4,FALSE)),3)*BlendedPriceEssAnnual*GO48+HA36*POWER(1-(AnnualChurn*VLOOKUP(GL48,ChurnSeasonTable,4,FALSE)),1)*BlendedPricePremAnnual*GO48+HA24*POWER(1-(AnnualChurn*VLOOKUP(GL48,ChurnSeasonTable,4,FALSE)),2)*BlendedPricePremAnnual*GO48+HA12*POWER(1-(AnnualChurn*VLOOKUP(GL48,ChurnSeasonTable,4,FALSE)),3)*BlendedPricePremAnnual*GO48+HB36*POWER(1-(AnnualChurn*VLOOKUP(GL48,ChurnSeasonTable,4,FALSE)),1)*BlendedPriceEliteAnnual*GO48+HB24*POWER(1-(AnnualChurn*VLOOKUP(GL48,ChurnSeasonTable,4,FALSE)),2)*BlendedPriceEliteAnnual*GO48+HB12*POWER(1-(AnnualChurn*VLOOKUP(GL48,ChurnSeasonTable,4,FALSE)),3)*BlendedPriceEliteAnnual*GO48</f>
        <v/>
      </c>
      <c r="HO48" s="9">
        <f>HL48+HM48+HN48</f>
        <v/>
      </c>
      <c r="HP48" s="12">
        <f>SUM(HO37:HO48)</f>
        <v/>
      </c>
      <c r="HQ48" s="12">
        <f>OR(HQ47,IF(VATAgentMode,SUM($HO37:$HO48)-SUM($HV37:$HV48)&gt;=VATThreshold,SUM($HO37:$HO48)&gt;=VATThreshold))</f>
        <v/>
      </c>
      <c r="HR48" s="9">
        <f>IF(HQ48,IF(VATAgentMode,HO48-((HO48-HV48)-(HO48-HV48)/(1+VATRate)),HO48/(1+VATRate)),HO48)</f>
        <v/>
      </c>
      <c r="HS48" s="12">
        <f>HO48-HR48</f>
        <v/>
      </c>
      <c r="HT48" s="12">
        <f>IF(HQ48=0,0,IF(GL48=1,SUMPRODUCT(--(($GM$5:$GM48=$GM48-1)*($GL$5:$GL48&gt;=10)*($GL$5:$GL48&lt;=12)),$HS$5:$HS48),IF(GL48=4,SUMPRODUCT(--(($GM$5:$GM48=$GM48)*($GL$5:$GL48&gt;=1)*($GL$5:$GL48&lt;=3)),$HS$5:$HS48),IF(GL48=7,SUMPRODUCT(--(($GM$5:$GM48=$GM48)*($GL$5:$GL48&gt;=4)*($GL$5:$GL48&lt;=6)),$HS$5:$HS48),IF(GL48=10,SUMPRODUCT(--(($GM$5:$GM48=$GM48)*($GL$5:$GL48&gt;=7)*($GL$5:$GL48&lt;=9)),$HS$5:$HS48),0)))))</f>
        <v/>
      </c>
      <c r="HU48" s="12">
        <f>HU47+HS48-HT48</f>
        <v/>
      </c>
      <c r="HV48" s="12">
        <f>IF(ProviderDelay&gt;=1,HC47*BlendedProvPayEss+HD47*BlendedProvPayPrem+HE47*BlendedProvPayElite+HF47*BlendedProvPayEss+HG47*BlendedProvPayPrem+HH47*BlendedProvPayElite,HC48*BlendedProvPayEss+HD48*BlendedProvPayPrem+HE48*BlendedProvPayElite+HF48*BlendedProvPayEss+HG48*BlendedProvPayPrem+HH48*BlendedProvPayElite)</f>
        <v/>
      </c>
      <c r="HW48" s="12">
        <f>HO48*PaymentFee</f>
        <v/>
      </c>
      <c r="HX48" s="12">
        <f>HI48*OpsAI</f>
        <v/>
      </c>
      <c r="HY48" s="12">
        <f>MonthlyFixed</f>
        <v/>
      </c>
      <c r="HZ48" s="12">
        <f>GS48*ReferralReward</f>
        <v/>
      </c>
      <c r="IA48" s="12">
        <f>GQ48</f>
        <v/>
      </c>
      <c r="IB48" s="9">
        <f>HR48-HV48-HW48-HX48-HY48-HZ48-IA48</f>
        <v/>
      </c>
      <c r="IC48" s="9">
        <f>IC47+HO48-(HV48+HW48+HX48+HY48+HZ48+IA48+HT48)</f>
        <v/>
      </c>
      <c r="ID48" s="12">
        <f>IF(HI48&gt;0,HJ48/HI48,0)</f>
        <v/>
      </c>
      <c r="IE48" s="11">
        <f>IF(HI47&gt;0,MAX(0,(HI47+GT48-HI48)/HI47),0)</f>
        <v/>
      </c>
      <c r="IG48" s="12" t="n">
        <v>44</v>
      </c>
      <c r="IH48" s="12">
        <f>MOD(IG48-1+LaunchMonth-1,12)+1</f>
        <v/>
      </c>
      <c r="II48" s="12">
        <f>INT((IG48-1+LaunchMonth-1)/12)+1</f>
        <v/>
      </c>
      <c r="IJ48" s="12">
        <f>VLOOKUP(IH48,SeasonTable,2,FALSE)</f>
        <v/>
      </c>
      <c r="IK48" s="12">
        <f>(1+InflationRate)^INT((IG48-1)/12)</f>
        <v/>
      </c>
      <c r="IL48" s="11">
        <f>'Sens - Churn'!$A$15*VLOOKUP(IH48,ChurnSeasonTable,4,FALSE)</f>
        <v/>
      </c>
      <c r="IM48" s="12">
        <f>MIN(MAX(MktMin19plus,JK47*MktPct19plus),MAX(0,JY47-CashBuffer))</f>
        <v/>
      </c>
      <c r="IN48" s="12">
        <f>IF(IM48&gt;0,MAX(1,ROUND(IM48/CAC*IJ48,0)),0)</f>
        <v/>
      </c>
      <c r="IO48" s="12">
        <f>IF(IN48&gt;0,ROUND(IN48*ReferralMix/(1-ReferralMix),0),0)</f>
        <v/>
      </c>
      <c r="IP48" s="12">
        <f>IN48+IO48</f>
        <v/>
      </c>
      <c r="IQ48" s="12">
        <f>ROUND(IP48*(1-AnnualMix),0)</f>
        <v/>
      </c>
      <c r="IR48" s="12">
        <f>IP48-IQ48</f>
        <v/>
      </c>
      <c r="IS48" s="12">
        <f>ROUND(IQ48*EssentialMix,0)</f>
        <v/>
      </c>
      <c r="IT48" s="12">
        <f>ROUND(IQ48*PremiumMix,0)</f>
        <v/>
      </c>
      <c r="IU48" s="12">
        <f>IQ48-IS48-IT48</f>
        <v/>
      </c>
      <c r="IV48" s="12">
        <f>ROUND(IR48*EssentialMix,0)</f>
        <v/>
      </c>
      <c r="IW48" s="12">
        <f>ROUND(IR48*PremiumMix,0)</f>
        <v/>
      </c>
      <c r="IX48" s="12">
        <f>IR48-IV48-IW48</f>
        <v/>
      </c>
      <c r="IY48" s="12">
        <f>IS48+IS47+IS46+MAX(0,IY47-IS47-IS46)*(1-IL48)</f>
        <v/>
      </c>
      <c r="IZ48" s="12">
        <f>IT48+IT47+IT46+MAX(0,IZ47-IT47-IT46)*(1-IL48)</f>
        <v/>
      </c>
      <c r="JA48" s="12">
        <f>IU48+IU47+IU46+MAX(0,JA47-IU47-IU46)*(1-IL48)</f>
        <v/>
      </c>
      <c r="JB48" s="12">
        <f>JB47+IV48-IV36*(AnnualChurn*VLOOKUP(IH48,ChurnSeasonTable,4,FALSE))*POWER(1-(AnnualChurn*VLOOKUP(IH48,ChurnSeasonTable,4,FALSE)),0)+IV24*(AnnualChurn*VLOOKUP(IH48,ChurnSeasonTable,4,FALSE))*POWER(1-(AnnualChurn*VLOOKUP(IH48,ChurnSeasonTable,4,FALSE)),1)+IV12*(AnnualChurn*VLOOKUP(IH48,ChurnSeasonTable,4,FALSE))*POWER(1-(AnnualChurn*VLOOKUP(IH48,ChurnSeasonTable,4,FALSE)),2)</f>
        <v/>
      </c>
      <c r="JC48" s="12">
        <f>JC47+IW48-IW36*(AnnualChurn*VLOOKUP(IH48,ChurnSeasonTable,4,FALSE))*POWER(1-(AnnualChurn*VLOOKUP(IH48,ChurnSeasonTable,4,FALSE)),0)+IW24*(AnnualChurn*VLOOKUP(IH48,ChurnSeasonTable,4,FALSE))*POWER(1-(AnnualChurn*VLOOKUP(IH48,ChurnSeasonTable,4,FALSE)),1)+IW12*(AnnualChurn*VLOOKUP(IH48,ChurnSeasonTable,4,FALSE))*POWER(1-(AnnualChurn*VLOOKUP(IH48,ChurnSeasonTable,4,FALSE)),2)</f>
        <v/>
      </c>
      <c r="JD48" s="12">
        <f>JD47+IX48-IX36*(AnnualChurn*VLOOKUP(IH48,ChurnSeasonTable,4,FALSE))*POWER(1-(AnnualChurn*VLOOKUP(IH48,ChurnSeasonTable,4,FALSE)),0)+IX24*(AnnualChurn*VLOOKUP(IH48,ChurnSeasonTable,4,FALSE))*POWER(1-(AnnualChurn*VLOOKUP(IH48,ChurnSeasonTable,4,FALSE)),1)+IX12*(AnnualChurn*VLOOKUP(IH48,ChurnSeasonTable,4,FALSE))*POWER(1-(AnnualChurn*VLOOKUP(IH48,ChurnSeasonTable,4,FALSE)),2)</f>
        <v/>
      </c>
      <c r="JE48" s="12">
        <f>IY48+IZ48+JA48+JB48+JC48+JD48</f>
        <v/>
      </c>
      <c r="JF48" s="9">
        <f>IY48*BlendedPriceEssMonthly*IK48+IZ48*BlendedPricePremMonthly*IK48+JA48*BlendedPriceEliteMonthly*IK48+JB48*BlendedPriceEssAnnual*IK48/12+JC48*BlendedPricePremAnnual*IK48/12+JD48*BlendedPriceEliteAnnual*IK48/12</f>
        <v/>
      </c>
      <c r="JG48" s="9">
        <f>JF48*12</f>
        <v/>
      </c>
      <c r="JH48" s="12">
        <f>IY48*BlendedPriceEssMonthly*IK48+IZ48*BlendedPricePremMonthly*IK48+JA48*BlendedPriceEliteMonthly*IK48</f>
        <v/>
      </c>
      <c r="JI48" s="12">
        <f>IV48*BlendedPriceEssAnnual*IK48+IW48*BlendedPricePremAnnual*IK48+IX48*BlendedPriceEliteAnnual*IK48</f>
        <v/>
      </c>
      <c r="JJ48" s="12">
        <f>IV36*POWER(1-(AnnualChurn*VLOOKUP(IH48,ChurnSeasonTable,4,FALSE)),1)*BlendedPriceEssAnnual*IK48+IV24*POWER(1-(AnnualChurn*VLOOKUP(IH48,ChurnSeasonTable,4,FALSE)),2)*BlendedPriceEssAnnual*IK48+IV12*POWER(1-(AnnualChurn*VLOOKUP(IH48,ChurnSeasonTable,4,FALSE)),3)*BlendedPriceEssAnnual*IK48+IW36*POWER(1-(AnnualChurn*VLOOKUP(IH48,ChurnSeasonTable,4,FALSE)),1)*BlendedPricePremAnnual*IK48+IW24*POWER(1-(AnnualChurn*VLOOKUP(IH48,ChurnSeasonTable,4,FALSE)),2)*BlendedPricePremAnnual*IK48+IW12*POWER(1-(AnnualChurn*VLOOKUP(IH48,ChurnSeasonTable,4,FALSE)),3)*BlendedPricePremAnnual*IK48+IX36*POWER(1-(AnnualChurn*VLOOKUP(IH48,ChurnSeasonTable,4,FALSE)),1)*BlendedPriceEliteAnnual*IK48+IX24*POWER(1-(AnnualChurn*VLOOKUP(IH48,ChurnSeasonTable,4,FALSE)),2)*BlendedPriceEliteAnnual*IK48+IX12*POWER(1-(AnnualChurn*VLOOKUP(IH48,ChurnSeasonTable,4,FALSE)),3)*BlendedPriceEliteAnnual*IK48</f>
        <v/>
      </c>
      <c r="JK48" s="9">
        <f>JH48+JI48+JJ48</f>
        <v/>
      </c>
      <c r="JL48" s="12">
        <f>SUM(JK37:JK48)</f>
        <v/>
      </c>
      <c r="JM48" s="12">
        <f>OR(JM47,IF(VATAgentMode,SUM($JK37:$JK48)-SUM($JR37:$JR48)&gt;=VATThreshold,SUM($JK37:$JK48)&gt;=VATThreshold))</f>
        <v/>
      </c>
      <c r="JN48" s="9">
        <f>IF(JM48,IF(VATAgentMode,JK48-((JK48-JR48)-(JK48-JR48)/(1+VATRate)),JK48/(1+VATRate)),JK48)</f>
        <v/>
      </c>
      <c r="JO48" s="12">
        <f>JK48-JN48</f>
        <v/>
      </c>
      <c r="JP48" s="12">
        <f>IF(JM48=0,0,IF(IH48=1,SUMPRODUCT(--(($II$5:$II48=$II48-1)*($IH$5:$IH48&gt;=10)*($IH$5:$IH48&lt;=12)),$JO$5:$JO48),IF(IH48=4,SUMPRODUCT(--(($II$5:$II48=$II48)*($IH$5:$IH48&gt;=1)*($IH$5:$IH48&lt;=3)),$JO$5:$JO48),IF(IH48=7,SUMPRODUCT(--(($II$5:$II48=$II48)*($IH$5:$IH48&gt;=4)*($IH$5:$IH48&lt;=6)),$JO$5:$JO48),IF(IH48=10,SUMPRODUCT(--(($II$5:$II48=$II48)*($IH$5:$IH48&gt;=7)*($IH$5:$IH48&lt;=9)),$JO$5:$JO48),0)))))</f>
        <v/>
      </c>
      <c r="JQ48" s="12">
        <f>JQ47+JO48-JP48</f>
        <v/>
      </c>
      <c r="JR48" s="12">
        <f>IF(ProviderDelay&gt;=1,IY47*BlendedProvPayEss+IZ47*BlendedProvPayPrem+JA47*BlendedProvPayElite+JB47*BlendedProvPayEss+JC47*BlendedProvPayPrem+JD47*BlendedProvPayElite,IY48*BlendedProvPayEss+IZ48*BlendedProvPayPrem+JA48*BlendedProvPayElite+JB48*BlendedProvPayEss+JC48*BlendedProvPayPrem+JD48*BlendedProvPayElite)</f>
        <v/>
      </c>
      <c r="JS48" s="12">
        <f>JK48*PaymentFee</f>
        <v/>
      </c>
      <c r="JT48" s="12">
        <f>JE48*OpsAI</f>
        <v/>
      </c>
      <c r="JU48" s="12">
        <f>MonthlyFixed</f>
        <v/>
      </c>
      <c r="JV48" s="12">
        <f>IO48*ReferralReward</f>
        <v/>
      </c>
      <c r="JW48" s="12">
        <f>IM48</f>
        <v/>
      </c>
      <c r="JX48" s="9">
        <f>JN48-JR48-JS48-JT48-JU48-JV48-JW48</f>
        <v/>
      </c>
      <c r="JY48" s="9">
        <f>JY47+JK48-(JR48+JS48+JT48+JU48+JV48+JW48+JP48)</f>
        <v/>
      </c>
      <c r="JZ48" s="12">
        <f>IF(JE48&gt;0,JF48/JE48,0)</f>
        <v/>
      </c>
      <c r="KA48" s="11">
        <f>IF(JE47&gt;0,MAX(0,(JE47+IP48-JE48)/JE47),0)</f>
        <v/>
      </c>
      <c r="KC48" s="12" t="n">
        <v>44</v>
      </c>
      <c r="KD48" s="12">
        <f>MOD(KC48-1+LaunchMonth-1,12)+1</f>
        <v/>
      </c>
      <c r="KE48" s="12">
        <f>INT((KC48-1+LaunchMonth-1)/12)+1</f>
        <v/>
      </c>
      <c r="KF48" s="12">
        <f>VLOOKUP(KD48,SeasonTable,2,FALSE)</f>
        <v/>
      </c>
      <c r="KG48" s="12">
        <f>(1+InflationRate)^INT((KC48-1)/12)</f>
        <v/>
      </c>
      <c r="KH48" s="11">
        <f>'Sens - Churn'!$A$16*VLOOKUP(KD48,ChurnSeasonTable,4,FALSE)</f>
        <v/>
      </c>
      <c r="KI48" s="12">
        <f>MIN(MAX(MktMin19plus,LG47*MktPct19plus),MAX(0,LU47-CashBuffer))</f>
        <v/>
      </c>
      <c r="KJ48" s="12">
        <f>IF(KI48&gt;0,MAX(1,ROUND(KI48/CAC*KF48,0)),0)</f>
        <v/>
      </c>
      <c r="KK48" s="12">
        <f>IF(KJ48&gt;0,ROUND(KJ48*ReferralMix/(1-ReferralMix),0),0)</f>
        <v/>
      </c>
      <c r="KL48" s="12">
        <f>KJ48+KK48</f>
        <v/>
      </c>
      <c r="KM48" s="12">
        <f>ROUND(KL48*(1-AnnualMix),0)</f>
        <v/>
      </c>
      <c r="KN48" s="12">
        <f>KL48-KM48</f>
        <v/>
      </c>
      <c r="KO48" s="12">
        <f>ROUND(KM48*EssentialMix,0)</f>
        <v/>
      </c>
      <c r="KP48" s="12">
        <f>ROUND(KM48*PremiumMix,0)</f>
        <v/>
      </c>
      <c r="KQ48" s="12">
        <f>KM48-KO48-KP48</f>
        <v/>
      </c>
      <c r="KR48" s="12">
        <f>ROUND(KN48*EssentialMix,0)</f>
        <v/>
      </c>
      <c r="KS48" s="12">
        <f>ROUND(KN48*PremiumMix,0)</f>
        <v/>
      </c>
      <c r="KT48" s="12">
        <f>KN48-KR48-KS48</f>
        <v/>
      </c>
      <c r="KU48" s="12">
        <f>KO48+KO47+KO46+MAX(0,KU47-KO47-KO46)*(1-KH48)</f>
        <v/>
      </c>
      <c r="KV48" s="12">
        <f>KP48+KP47+KP46+MAX(0,KV47-KP47-KP46)*(1-KH48)</f>
        <v/>
      </c>
      <c r="KW48" s="12">
        <f>KQ48+KQ47+KQ46+MAX(0,KW47-KQ47-KQ46)*(1-KH48)</f>
        <v/>
      </c>
      <c r="KX48" s="12">
        <f>KX47+KR48-KR36*(AnnualChurn*VLOOKUP(KD48,ChurnSeasonTable,4,FALSE))*POWER(1-(AnnualChurn*VLOOKUP(KD48,ChurnSeasonTable,4,FALSE)),0)+KR24*(AnnualChurn*VLOOKUP(KD48,ChurnSeasonTable,4,FALSE))*POWER(1-(AnnualChurn*VLOOKUP(KD48,ChurnSeasonTable,4,FALSE)),1)+KR12*(AnnualChurn*VLOOKUP(KD48,ChurnSeasonTable,4,FALSE))*POWER(1-(AnnualChurn*VLOOKUP(KD48,ChurnSeasonTable,4,FALSE)),2)</f>
        <v/>
      </c>
      <c r="KY48" s="12">
        <f>KY47+KS48-KS36*(AnnualChurn*VLOOKUP(KD48,ChurnSeasonTable,4,FALSE))*POWER(1-(AnnualChurn*VLOOKUP(KD48,ChurnSeasonTable,4,FALSE)),0)+KS24*(AnnualChurn*VLOOKUP(KD48,ChurnSeasonTable,4,FALSE))*POWER(1-(AnnualChurn*VLOOKUP(KD48,ChurnSeasonTable,4,FALSE)),1)+KS12*(AnnualChurn*VLOOKUP(KD48,ChurnSeasonTable,4,FALSE))*POWER(1-(AnnualChurn*VLOOKUP(KD48,ChurnSeasonTable,4,FALSE)),2)</f>
        <v/>
      </c>
      <c r="KZ48" s="12">
        <f>KZ47+KT48-KT36*(AnnualChurn*VLOOKUP(KD48,ChurnSeasonTable,4,FALSE))*POWER(1-(AnnualChurn*VLOOKUP(KD48,ChurnSeasonTable,4,FALSE)),0)+KT24*(AnnualChurn*VLOOKUP(KD48,ChurnSeasonTable,4,FALSE))*POWER(1-(AnnualChurn*VLOOKUP(KD48,ChurnSeasonTable,4,FALSE)),1)+KT12*(AnnualChurn*VLOOKUP(KD48,ChurnSeasonTable,4,FALSE))*POWER(1-(AnnualChurn*VLOOKUP(KD48,ChurnSeasonTable,4,FALSE)),2)</f>
        <v/>
      </c>
      <c r="LA48" s="12">
        <f>KU48+KV48+KW48+KX48+KY48+KZ48</f>
        <v/>
      </c>
      <c r="LB48" s="9">
        <f>KU48*BlendedPriceEssMonthly*KG48+KV48*BlendedPricePremMonthly*KG48+KW48*BlendedPriceEliteMonthly*KG48+KX48*BlendedPriceEssAnnual*KG48/12+KY48*BlendedPricePremAnnual*KG48/12+KZ48*BlendedPriceEliteAnnual*KG48/12</f>
        <v/>
      </c>
      <c r="LC48" s="9">
        <f>LB48*12</f>
        <v/>
      </c>
      <c r="LD48" s="12">
        <f>KU48*BlendedPriceEssMonthly*KG48+KV48*BlendedPricePremMonthly*KG48+KW48*BlendedPriceEliteMonthly*KG48</f>
        <v/>
      </c>
      <c r="LE48" s="12">
        <f>KR48*BlendedPriceEssAnnual*KG48+KS48*BlendedPricePremAnnual*KG48+KT48*BlendedPriceEliteAnnual*KG48</f>
        <v/>
      </c>
      <c r="LF48" s="12">
        <f>KR36*POWER(1-(AnnualChurn*VLOOKUP(KD48,ChurnSeasonTable,4,FALSE)),1)*BlendedPriceEssAnnual*KG48+KR24*POWER(1-(AnnualChurn*VLOOKUP(KD48,ChurnSeasonTable,4,FALSE)),2)*BlendedPriceEssAnnual*KG48+KR12*POWER(1-(AnnualChurn*VLOOKUP(KD48,ChurnSeasonTable,4,FALSE)),3)*BlendedPriceEssAnnual*KG48+KS36*POWER(1-(AnnualChurn*VLOOKUP(KD48,ChurnSeasonTable,4,FALSE)),1)*BlendedPricePremAnnual*KG48+KS24*POWER(1-(AnnualChurn*VLOOKUP(KD48,ChurnSeasonTable,4,FALSE)),2)*BlendedPricePremAnnual*KG48+KS12*POWER(1-(AnnualChurn*VLOOKUP(KD48,ChurnSeasonTable,4,FALSE)),3)*BlendedPricePremAnnual*KG48+KT36*POWER(1-(AnnualChurn*VLOOKUP(KD48,ChurnSeasonTable,4,FALSE)),1)*BlendedPriceEliteAnnual*KG48+KT24*POWER(1-(AnnualChurn*VLOOKUP(KD48,ChurnSeasonTable,4,FALSE)),2)*BlendedPriceEliteAnnual*KG48+KT12*POWER(1-(AnnualChurn*VLOOKUP(KD48,ChurnSeasonTable,4,FALSE)),3)*BlendedPriceEliteAnnual*KG48</f>
        <v/>
      </c>
      <c r="LG48" s="9">
        <f>LD48+LE48+LF48</f>
        <v/>
      </c>
      <c r="LH48" s="12">
        <f>SUM(LG37:LG48)</f>
        <v/>
      </c>
      <c r="LI48" s="12">
        <f>OR(LI47,IF(VATAgentMode,SUM($LG37:$LG48)-SUM($LN37:$LN48)&gt;=VATThreshold,SUM($LG37:$LG48)&gt;=VATThreshold))</f>
        <v/>
      </c>
      <c r="LJ48" s="9">
        <f>IF(LI48,IF(VATAgentMode,LG48-((LG48-LN48)-(LG48-LN48)/(1+VATRate)),LG48/(1+VATRate)),LG48)</f>
        <v/>
      </c>
      <c r="LK48" s="12">
        <f>LG48-LJ48</f>
        <v/>
      </c>
      <c r="LL48" s="12">
        <f>IF(LI48=0,0,IF(KD48=1,SUMPRODUCT(--(($KE$5:$KE48=$KE48-1)*($KD$5:$KD48&gt;=10)*($KD$5:$KD48&lt;=12)),$LK$5:$LK48),IF(KD48=4,SUMPRODUCT(--(($KE$5:$KE48=$KE48)*($KD$5:$KD48&gt;=1)*($KD$5:$KD48&lt;=3)),$LK$5:$LK48),IF(KD48=7,SUMPRODUCT(--(($KE$5:$KE48=$KE48)*($KD$5:$KD48&gt;=4)*($KD$5:$KD48&lt;=6)),$LK$5:$LK48),IF(KD48=10,SUMPRODUCT(--(($KE$5:$KE48=$KE48)*($KD$5:$KD48&gt;=7)*($KD$5:$KD48&lt;=9)),$LK$5:$LK48),0)))))</f>
        <v/>
      </c>
      <c r="LM48" s="12">
        <f>LM47+LK48-LL48</f>
        <v/>
      </c>
      <c r="LN48" s="12">
        <f>IF(ProviderDelay&gt;=1,KU47*BlendedProvPayEss+KV47*BlendedProvPayPrem+KW47*BlendedProvPayElite+KX47*BlendedProvPayEss+KY47*BlendedProvPayPrem+KZ47*BlendedProvPayElite,KU48*BlendedProvPayEss+KV48*BlendedProvPayPrem+KW48*BlendedProvPayElite+KX48*BlendedProvPayEss+KY48*BlendedProvPayPrem+KZ48*BlendedProvPayElite)</f>
        <v/>
      </c>
      <c r="LO48" s="12">
        <f>LG48*PaymentFee</f>
        <v/>
      </c>
      <c r="LP48" s="12">
        <f>LA48*OpsAI</f>
        <v/>
      </c>
      <c r="LQ48" s="12">
        <f>MonthlyFixed</f>
        <v/>
      </c>
      <c r="LR48" s="12">
        <f>KK48*ReferralReward</f>
        <v/>
      </c>
      <c r="LS48" s="12">
        <f>KI48</f>
        <v/>
      </c>
      <c r="LT48" s="9">
        <f>LJ48-LN48-LO48-LP48-LQ48-LR48-LS48</f>
        <v/>
      </c>
      <c r="LU48" s="9">
        <f>LU47+LG48-(LN48+LO48+LP48+LQ48+LR48+LS48+LL48)</f>
        <v/>
      </c>
      <c r="LV48" s="12">
        <f>IF(LA48&gt;0,LB48/LA48,0)</f>
        <v/>
      </c>
      <c r="LW48" s="11">
        <f>IF(LA47&gt;0,MAX(0,(LA47+KL48-LA48)/LA47),0)</f>
        <v/>
      </c>
      <c r="LY48" s="12" t="n">
        <v>44</v>
      </c>
      <c r="LZ48" s="12">
        <f>MOD(LY48-1+LaunchMonth-1,12)+1</f>
        <v/>
      </c>
      <c r="MA48" s="12">
        <f>INT((LY48-1+LaunchMonth-1)/12)+1</f>
        <v/>
      </c>
      <c r="MB48" s="12">
        <f>VLOOKUP(LZ48,SeasonTable,2,FALSE)</f>
        <v/>
      </c>
      <c r="MC48" s="12">
        <f>(1+InflationRate)^INT((LY48-1)/12)</f>
        <v/>
      </c>
      <c r="MD48" s="11">
        <f>'Sens - Churn'!$A$17*VLOOKUP(LZ48,ChurnSeasonTable,4,FALSE)</f>
        <v/>
      </c>
      <c r="ME48" s="12">
        <f>MIN(MAX(MktMin19plus,NC47*MktPct19plus),MAX(0,NQ47-CashBuffer))</f>
        <v/>
      </c>
      <c r="MF48" s="12">
        <f>IF(ME48&gt;0,MAX(1,ROUND(ME48/CAC*MB48,0)),0)</f>
        <v/>
      </c>
      <c r="MG48" s="12">
        <f>IF(MF48&gt;0,ROUND(MF48*ReferralMix/(1-ReferralMix),0),0)</f>
        <v/>
      </c>
      <c r="MH48" s="12">
        <f>MF48+MG48</f>
        <v/>
      </c>
      <c r="MI48" s="12">
        <f>ROUND(MH48*(1-AnnualMix),0)</f>
        <v/>
      </c>
      <c r="MJ48" s="12">
        <f>MH48-MI48</f>
        <v/>
      </c>
      <c r="MK48" s="12">
        <f>ROUND(MI48*EssentialMix,0)</f>
        <v/>
      </c>
      <c r="ML48" s="12">
        <f>ROUND(MI48*PremiumMix,0)</f>
        <v/>
      </c>
      <c r="MM48" s="12">
        <f>MI48-MK48-ML48</f>
        <v/>
      </c>
      <c r="MN48" s="12">
        <f>ROUND(MJ48*EssentialMix,0)</f>
        <v/>
      </c>
      <c r="MO48" s="12">
        <f>ROUND(MJ48*PremiumMix,0)</f>
        <v/>
      </c>
      <c r="MP48" s="12">
        <f>MJ48-MN48-MO48</f>
        <v/>
      </c>
      <c r="MQ48" s="12">
        <f>MK48+MK47+MK46+MAX(0,MQ47-MK47-MK46)*(1-MD48)</f>
        <v/>
      </c>
      <c r="MR48" s="12">
        <f>ML48+ML47+ML46+MAX(0,MR47-ML47-ML46)*(1-MD48)</f>
        <v/>
      </c>
      <c r="MS48" s="12">
        <f>MM48+MM47+MM46+MAX(0,MS47-MM47-MM46)*(1-MD48)</f>
        <v/>
      </c>
      <c r="MT48" s="12">
        <f>MT47+MN48-MN36*(AnnualChurn*VLOOKUP(LZ48,ChurnSeasonTable,4,FALSE))*POWER(1-(AnnualChurn*VLOOKUP(LZ48,ChurnSeasonTable,4,FALSE)),0)+MN24*(AnnualChurn*VLOOKUP(LZ48,ChurnSeasonTable,4,FALSE))*POWER(1-(AnnualChurn*VLOOKUP(LZ48,ChurnSeasonTable,4,FALSE)),1)+MN12*(AnnualChurn*VLOOKUP(LZ48,ChurnSeasonTable,4,FALSE))*POWER(1-(AnnualChurn*VLOOKUP(LZ48,ChurnSeasonTable,4,FALSE)),2)</f>
        <v/>
      </c>
      <c r="MU48" s="12">
        <f>MU47+MO48-MO36*(AnnualChurn*VLOOKUP(LZ48,ChurnSeasonTable,4,FALSE))*POWER(1-(AnnualChurn*VLOOKUP(LZ48,ChurnSeasonTable,4,FALSE)),0)+MO24*(AnnualChurn*VLOOKUP(LZ48,ChurnSeasonTable,4,FALSE))*POWER(1-(AnnualChurn*VLOOKUP(LZ48,ChurnSeasonTable,4,FALSE)),1)+MO12*(AnnualChurn*VLOOKUP(LZ48,ChurnSeasonTable,4,FALSE))*POWER(1-(AnnualChurn*VLOOKUP(LZ48,ChurnSeasonTable,4,FALSE)),2)</f>
        <v/>
      </c>
      <c r="MV48" s="12">
        <f>MV47+MP48-MP36*(AnnualChurn*VLOOKUP(LZ48,ChurnSeasonTable,4,FALSE))*POWER(1-(AnnualChurn*VLOOKUP(LZ48,ChurnSeasonTable,4,FALSE)),0)+MP24*(AnnualChurn*VLOOKUP(LZ48,ChurnSeasonTable,4,FALSE))*POWER(1-(AnnualChurn*VLOOKUP(LZ48,ChurnSeasonTable,4,FALSE)),1)+MP12*(AnnualChurn*VLOOKUP(LZ48,ChurnSeasonTable,4,FALSE))*POWER(1-(AnnualChurn*VLOOKUP(LZ48,ChurnSeasonTable,4,FALSE)),2)</f>
        <v/>
      </c>
      <c r="MW48" s="12">
        <f>MQ48+MR48+MS48+MT48+MU48+MV48</f>
        <v/>
      </c>
      <c r="MX48" s="9">
        <f>MQ48*BlendedPriceEssMonthly*MC48+MR48*BlendedPricePremMonthly*MC48+MS48*BlendedPriceEliteMonthly*MC48+MT48*BlendedPriceEssAnnual*MC48/12+MU48*BlendedPricePremAnnual*MC48/12+MV48*BlendedPriceEliteAnnual*MC48/12</f>
        <v/>
      </c>
      <c r="MY48" s="9">
        <f>MX48*12</f>
        <v/>
      </c>
      <c r="MZ48" s="12">
        <f>MQ48*BlendedPriceEssMonthly*MC48+MR48*BlendedPricePremMonthly*MC48+MS48*BlendedPriceEliteMonthly*MC48</f>
        <v/>
      </c>
      <c r="NA48" s="12">
        <f>MN48*BlendedPriceEssAnnual*MC48+MO48*BlendedPricePremAnnual*MC48+MP48*BlendedPriceEliteAnnual*MC48</f>
        <v/>
      </c>
      <c r="NB48" s="12">
        <f>MN36*POWER(1-(AnnualChurn*VLOOKUP(LZ48,ChurnSeasonTable,4,FALSE)),1)*BlendedPriceEssAnnual*MC48+MN24*POWER(1-(AnnualChurn*VLOOKUP(LZ48,ChurnSeasonTable,4,FALSE)),2)*BlendedPriceEssAnnual*MC48+MN12*POWER(1-(AnnualChurn*VLOOKUP(LZ48,ChurnSeasonTable,4,FALSE)),3)*BlendedPriceEssAnnual*MC48+MO36*POWER(1-(AnnualChurn*VLOOKUP(LZ48,ChurnSeasonTable,4,FALSE)),1)*BlendedPricePremAnnual*MC48+MO24*POWER(1-(AnnualChurn*VLOOKUP(LZ48,ChurnSeasonTable,4,FALSE)),2)*BlendedPricePremAnnual*MC48+MO12*POWER(1-(AnnualChurn*VLOOKUP(LZ48,ChurnSeasonTable,4,FALSE)),3)*BlendedPricePremAnnual*MC48+MP36*POWER(1-(AnnualChurn*VLOOKUP(LZ48,ChurnSeasonTable,4,FALSE)),1)*BlendedPriceEliteAnnual*MC48+MP24*POWER(1-(AnnualChurn*VLOOKUP(LZ48,ChurnSeasonTable,4,FALSE)),2)*BlendedPriceEliteAnnual*MC48+MP12*POWER(1-(AnnualChurn*VLOOKUP(LZ48,ChurnSeasonTable,4,FALSE)),3)*BlendedPriceEliteAnnual*MC48</f>
        <v/>
      </c>
      <c r="NC48" s="9">
        <f>MZ48+NA48+NB48</f>
        <v/>
      </c>
      <c r="ND48" s="12">
        <f>SUM(NC37:NC48)</f>
        <v/>
      </c>
      <c r="NE48" s="12">
        <f>OR(NE47,IF(VATAgentMode,SUM($NC37:$NC48)-SUM($NJ37:$NJ48)&gt;=VATThreshold,SUM($NC37:$NC48)&gt;=VATThreshold))</f>
        <v/>
      </c>
      <c r="NF48" s="9">
        <f>IF(NE48,IF(VATAgentMode,NC48-((NC48-NJ48)-(NC48-NJ48)/(1+VATRate)),NC48/(1+VATRate)),NC48)</f>
        <v/>
      </c>
      <c r="NG48" s="12">
        <f>NC48-NF48</f>
        <v/>
      </c>
      <c r="NH48" s="12">
        <f>IF(NE48=0,0,IF(LZ48=1,SUMPRODUCT(--(($MA$5:$MA48=$MA48-1)*($LZ$5:$LZ48&gt;=10)*($LZ$5:$LZ48&lt;=12)),$NG$5:$NG48),IF(LZ48=4,SUMPRODUCT(--(($MA$5:$MA48=$MA48)*($LZ$5:$LZ48&gt;=1)*($LZ$5:$LZ48&lt;=3)),$NG$5:$NG48),IF(LZ48=7,SUMPRODUCT(--(($MA$5:$MA48=$MA48)*($LZ$5:$LZ48&gt;=4)*($LZ$5:$LZ48&lt;=6)),$NG$5:$NG48),IF(LZ48=10,SUMPRODUCT(--(($MA$5:$MA48=$MA48)*($LZ$5:$LZ48&gt;=7)*($LZ$5:$LZ48&lt;=9)),$NG$5:$NG48),0)))))</f>
        <v/>
      </c>
      <c r="NI48" s="12">
        <f>NI47+NG48-NH48</f>
        <v/>
      </c>
      <c r="NJ48" s="12">
        <f>IF(ProviderDelay&gt;=1,MQ47*BlendedProvPayEss+MR47*BlendedProvPayPrem+MS47*BlendedProvPayElite+MT47*BlendedProvPayEss+MU47*BlendedProvPayPrem+MV47*BlendedProvPayElite,MQ48*BlendedProvPayEss+MR48*BlendedProvPayPrem+MS48*BlendedProvPayElite+MT48*BlendedProvPayEss+MU48*BlendedProvPayPrem+MV48*BlendedProvPayElite)</f>
        <v/>
      </c>
      <c r="NK48" s="12">
        <f>NC48*PaymentFee</f>
        <v/>
      </c>
      <c r="NL48" s="12">
        <f>MW48*OpsAI</f>
        <v/>
      </c>
      <c r="NM48" s="12">
        <f>MonthlyFixed</f>
        <v/>
      </c>
      <c r="NN48" s="12">
        <f>MG48*ReferralReward</f>
        <v/>
      </c>
      <c r="NO48" s="12">
        <f>ME48</f>
        <v/>
      </c>
      <c r="NP48" s="9">
        <f>NF48-NJ48-NK48-NL48-NM48-NN48-NO48</f>
        <v/>
      </c>
      <c r="NQ48" s="9">
        <f>NQ47+NC48-(NJ48+NK48+NL48+NM48+NN48+NO48+NH48)</f>
        <v/>
      </c>
      <c r="NR48" s="12">
        <f>IF(MW48&gt;0,MX48/MW48,0)</f>
        <v/>
      </c>
      <c r="NS48" s="11">
        <f>IF(MW47&gt;0,MAX(0,(MW47+MH48-MW48)/MW47),0)</f>
        <v/>
      </c>
      <c r="NU48" s="12" t="n">
        <v>44</v>
      </c>
      <c r="NV48" s="12">
        <f>MOD(NU48-1+LaunchMonth-1,12)+1</f>
        <v/>
      </c>
      <c r="NW48" s="12">
        <f>INT((NU48-1+LaunchMonth-1)/12)+1</f>
        <v/>
      </c>
      <c r="NX48" s="12">
        <f>VLOOKUP(NV48,SeasonTable,2,FALSE)</f>
        <v/>
      </c>
      <c r="NY48" s="12">
        <f>(1+InflationRate)^INT((NU48-1)/12)</f>
        <v/>
      </c>
      <c r="NZ48" s="11">
        <f>'Sens - Churn'!$A$18*VLOOKUP(NV48,ChurnSeasonTable,4,FALSE)</f>
        <v/>
      </c>
      <c r="OA48" s="12">
        <f>MIN(MAX(MktMin19plus,OY47*MktPct19plus),MAX(0,PM47-CashBuffer))</f>
        <v/>
      </c>
      <c r="OB48" s="12">
        <f>IF(OA48&gt;0,MAX(1,ROUND(OA48/CAC*NX48,0)),0)</f>
        <v/>
      </c>
      <c r="OC48" s="12">
        <f>IF(OB48&gt;0,ROUND(OB48*ReferralMix/(1-ReferralMix),0),0)</f>
        <v/>
      </c>
      <c r="OD48" s="12">
        <f>OB48+OC48</f>
        <v/>
      </c>
      <c r="OE48" s="12">
        <f>ROUND(OD48*(1-AnnualMix),0)</f>
        <v/>
      </c>
      <c r="OF48" s="12">
        <f>OD48-OE48</f>
        <v/>
      </c>
      <c r="OG48" s="12">
        <f>ROUND(OE48*EssentialMix,0)</f>
        <v/>
      </c>
      <c r="OH48" s="12">
        <f>ROUND(OE48*PremiumMix,0)</f>
        <v/>
      </c>
      <c r="OI48" s="12">
        <f>OE48-OG48-OH48</f>
        <v/>
      </c>
      <c r="OJ48" s="12">
        <f>ROUND(OF48*EssentialMix,0)</f>
        <v/>
      </c>
      <c r="OK48" s="12">
        <f>ROUND(OF48*PremiumMix,0)</f>
        <v/>
      </c>
      <c r="OL48" s="12">
        <f>OF48-OJ48-OK48</f>
        <v/>
      </c>
      <c r="OM48" s="12">
        <f>OG48+OG47+OG46+MAX(0,OM47-OG47-OG46)*(1-NZ48)</f>
        <v/>
      </c>
      <c r="ON48" s="12">
        <f>OH48+OH47+OH46+MAX(0,ON47-OH47-OH46)*(1-NZ48)</f>
        <v/>
      </c>
      <c r="OO48" s="12">
        <f>OI48+OI47+OI46+MAX(0,OO47-OI47-OI46)*(1-NZ48)</f>
        <v/>
      </c>
      <c r="OP48" s="12">
        <f>OP47+OJ48-OJ36*(AnnualChurn*VLOOKUP(NV48,ChurnSeasonTable,4,FALSE))*POWER(1-(AnnualChurn*VLOOKUP(NV48,ChurnSeasonTable,4,FALSE)),0)+OJ24*(AnnualChurn*VLOOKUP(NV48,ChurnSeasonTable,4,FALSE))*POWER(1-(AnnualChurn*VLOOKUP(NV48,ChurnSeasonTable,4,FALSE)),1)+OJ12*(AnnualChurn*VLOOKUP(NV48,ChurnSeasonTable,4,FALSE))*POWER(1-(AnnualChurn*VLOOKUP(NV48,ChurnSeasonTable,4,FALSE)),2)</f>
        <v/>
      </c>
      <c r="OQ48" s="12">
        <f>OQ47+OK48-OK36*(AnnualChurn*VLOOKUP(NV48,ChurnSeasonTable,4,FALSE))*POWER(1-(AnnualChurn*VLOOKUP(NV48,ChurnSeasonTable,4,FALSE)),0)+OK24*(AnnualChurn*VLOOKUP(NV48,ChurnSeasonTable,4,FALSE))*POWER(1-(AnnualChurn*VLOOKUP(NV48,ChurnSeasonTable,4,FALSE)),1)+OK12*(AnnualChurn*VLOOKUP(NV48,ChurnSeasonTable,4,FALSE))*POWER(1-(AnnualChurn*VLOOKUP(NV48,ChurnSeasonTable,4,FALSE)),2)</f>
        <v/>
      </c>
      <c r="OR48" s="12">
        <f>OR47+OL48-OL36*(AnnualChurn*VLOOKUP(NV48,ChurnSeasonTable,4,FALSE))*POWER(1-(AnnualChurn*VLOOKUP(NV48,ChurnSeasonTable,4,FALSE)),0)+OL24*(AnnualChurn*VLOOKUP(NV48,ChurnSeasonTable,4,FALSE))*POWER(1-(AnnualChurn*VLOOKUP(NV48,ChurnSeasonTable,4,FALSE)),1)+OL12*(AnnualChurn*VLOOKUP(NV48,ChurnSeasonTable,4,FALSE))*POWER(1-(AnnualChurn*VLOOKUP(NV48,ChurnSeasonTable,4,FALSE)),2)</f>
        <v/>
      </c>
      <c r="OS48" s="12">
        <f>OM48+ON48+OO48+OP48+OQ48+OR48</f>
        <v/>
      </c>
      <c r="OT48" s="9">
        <f>OM48*BlendedPriceEssMonthly*NY48+ON48*BlendedPricePremMonthly*NY48+OO48*BlendedPriceEliteMonthly*NY48+OP48*BlendedPriceEssAnnual*NY48/12+OQ48*BlendedPricePremAnnual*NY48/12+OR48*BlendedPriceEliteAnnual*NY48/12</f>
        <v/>
      </c>
      <c r="OU48" s="9">
        <f>OT48*12</f>
        <v/>
      </c>
      <c r="OV48" s="12">
        <f>OM48*BlendedPriceEssMonthly*NY48+ON48*BlendedPricePremMonthly*NY48+OO48*BlendedPriceEliteMonthly*NY48</f>
        <v/>
      </c>
      <c r="OW48" s="12">
        <f>OJ48*BlendedPriceEssAnnual*NY48+OK48*BlendedPricePremAnnual*NY48+OL48*BlendedPriceEliteAnnual*NY48</f>
        <v/>
      </c>
      <c r="OX48" s="12">
        <f>OJ36*POWER(1-(AnnualChurn*VLOOKUP(NV48,ChurnSeasonTable,4,FALSE)),1)*BlendedPriceEssAnnual*NY48+OJ24*POWER(1-(AnnualChurn*VLOOKUP(NV48,ChurnSeasonTable,4,FALSE)),2)*BlendedPriceEssAnnual*NY48+OJ12*POWER(1-(AnnualChurn*VLOOKUP(NV48,ChurnSeasonTable,4,FALSE)),3)*BlendedPriceEssAnnual*NY48+OK36*POWER(1-(AnnualChurn*VLOOKUP(NV48,ChurnSeasonTable,4,FALSE)),1)*BlendedPricePremAnnual*NY48+OK24*POWER(1-(AnnualChurn*VLOOKUP(NV48,ChurnSeasonTable,4,FALSE)),2)*BlendedPricePremAnnual*NY48+OK12*POWER(1-(AnnualChurn*VLOOKUP(NV48,ChurnSeasonTable,4,FALSE)),3)*BlendedPricePremAnnual*NY48+OL36*POWER(1-(AnnualChurn*VLOOKUP(NV48,ChurnSeasonTable,4,FALSE)),1)*BlendedPriceEliteAnnual*NY48+OL24*POWER(1-(AnnualChurn*VLOOKUP(NV48,ChurnSeasonTable,4,FALSE)),2)*BlendedPriceEliteAnnual*NY48+OL12*POWER(1-(AnnualChurn*VLOOKUP(NV48,ChurnSeasonTable,4,FALSE)),3)*BlendedPriceEliteAnnual*NY48</f>
        <v/>
      </c>
      <c r="OY48" s="9">
        <f>OV48+OW48+OX48</f>
        <v/>
      </c>
      <c r="OZ48" s="12">
        <f>SUM(OY37:OY48)</f>
        <v/>
      </c>
      <c r="PA48" s="12">
        <f>OR(PA47,IF(VATAgentMode,SUM($OY37:$OY48)-SUM($PF37:$PF48)&gt;=VATThreshold,SUM($OY37:$OY48)&gt;=VATThreshold))</f>
        <v/>
      </c>
      <c r="PB48" s="9">
        <f>IF(PA48,IF(VATAgentMode,OY48-((OY48-PF48)-(OY48-PF48)/(1+VATRate)),OY48/(1+VATRate)),OY48)</f>
        <v/>
      </c>
      <c r="PC48" s="12">
        <f>OY48-PB48</f>
        <v/>
      </c>
      <c r="PD48" s="12">
        <f>IF(PA48=0,0,IF(NV48=1,SUMPRODUCT(--(($NW$5:$NW48=$NW48-1)*($NV$5:$NV48&gt;=10)*($NV$5:$NV48&lt;=12)),$PC$5:$PC48),IF(NV48=4,SUMPRODUCT(--(($NW$5:$NW48=$NW48)*($NV$5:$NV48&gt;=1)*($NV$5:$NV48&lt;=3)),$PC$5:$PC48),IF(NV48=7,SUMPRODUCT(--(($NW$5:$NW48=$NW48)*($NV$5:$NV48&gt;=4)*($NV$5:$NV48&lt;=6)),$PC$5:$PC48),IF(NV48=10,SUMPRODUCT(--(($NW$5:$NW48=$NW48)*($NV$5:$NV48&gt;=7)*($NV$5:$NV48&lt;=9)),$PC$5:$PC48),0)))))</f>
        <v/>
      </c>
      <c r="PE48" s="12">
        <f>PE47+PC48-PD48</f>
        <v/>
      </c>
      <c r="PF48" s="12">
        <f>IF(ProviderDelay&gt;=1,OM47*BlendedProvPayEss+ON47*BlendedProvPayPrem+OO47*BlendedProvPayElite+OP47*BlendedProvPayEss+OQ47*BlendedProvPayPrem+OR47*BlendedProvPayElite,OM48*BlendedProvPayEss+ON48*BlendedProvPayPrem+OO48*BlendedProvPayElite+OP48*BlendedProvPayEss+OQ48*BlendedProvPayPrem+OR48*BlendedProvPayElite)</f>
        <v/>
      </c>
      <c r="PG48" s="12">
        <f>OY48*PaymentFee</f>
        <v/>
      </c>
      <c r="PH48" s="12">
        <f>OS48*OpsAI</f>
        <v/>
      </c>
      <c r="PI48" s="12">
        <f>MonthlyFixed</f>
        <v/>
      </c>
      <c r="PJ48" s="12">
        <f>OC48*ReferralReward</f>
        <v/>
      </c>
      <c r="PK48" s="12">
        <f>OA48</f>
        <v/>
      </c>
      <c r="PL48" s="9">
        <f>PB48-PF48-PG48-PH48-PI48-PJ48-PK48</f>
        <v/>
      </c>
      <c r="PM48" s="9">
        <f>PM47+OY48-(PF48+PG48+PH48+PI48+PJ48+PK48+PD48)</f>
        <v/>
      </c>
      <c r="PN48" s="12">
        <f>IF(OS48&gt;0,OT48/OS48,0)</f>
        <v/>
      </c>
      <c r="PO48" s="11">
        <f>IF(OS47&gt;0,MAX(0,(OS47+OD48-OS48)/OS47),0)</f>
        <v/>
      </c>
      <c r="PQ48" s="12" t="n">
        <v>44</v>
      </c>
      <c r="PR48" s="12">
        <f>MOD(PQ48-1+LaunchMonth-1,12)+1</f>
        <v/>
      </c>
      <c r="PS48" s="12">
        <f>INT((PQ48-1+LaunchMonth-1)/12)+1</f>
        <v/>
      </c>
      <c r="PT48" s="12">
        <f>VLOOKUP(PR48,SeasonTable,2,FALSE)</f>
        <v/>
      </c>
      <c r="PU48" s="12">
        <f>(1+InflationRate)^INT((PQ48-1)/12)</f>
        <v/>
      </c>
      <c r="PV48" s="11">
        <f>'Sens - Churn'!$A$19*VLOOKUP(PR48,ChurnSeasonTable,4,FALSE)</f>
        <v/>
      </c>
      <c r="PW48" s="12">
        <f>MIN(MAX(MktMin19plus,QU47*MktPct19plus),MAX(0,RI47-CashBuffer))</f>
        <v/>
      </c>
      <c r="PX48" s="12">
        <f>IF(PW48&gt;0,MAX(1,ROUND(PW48/CAC*PT48,0)),0)</f>
        <v/>
      </c>
      <c r="PY48" s="12">
        <f>IF(PX48&gt;0,ROUND(PX48*ReferralMix/(1-ReferralMix),0),0)</f>
        <v/>
      </c>
      <c r="PZ48" s="12">
        <f>PX48+PY48</f>
        <v/>
      </c>
      <c r="QA48" s="12">
        <f>ROUND(PZ48*(1-AnnualMix),0)</f>
        <v/>
      </c>
      <c r="QB48" s="12">
        <f>PZ48-QA48</f>
        <v/>
      </c>
      <c r="QC48" s="12">
        <f>ROUND(QA48*EssentialMix,0)</f>
        <v/>
      </c>
      <c r="QD48" s="12">
        <f>ROUND(QA48*PremiumMix,0)</f>
        <v/>
      </c>
      <c r="QE48" s="12">
        <f>QA48-QC48-QD48</f>
        <v/>
      </c>
      <c r="QF48" s="12">
        <f>ROUND(QB48*EssentialMix,0)</f>
        <v/>
      </c>
      <c r="QG48" s="12">
        <f>ROUND(QB48*PremiumMix,0)</f>
        <v/>
      </c>
      <c r="QH48" s="12">
        <f>QB48-QF48-QG48</f>
        <v/>
      </c>
      <c r="QI48" s="12">
        <f>QC48+QC47+QC46+MAX(0,QI47-QC47-QC46)*(1-PV48)</f>
        <v/>
      </c>
      <c r="QJ48" s="12">
        <f>QD48+QD47+QD46+MAX(0,QJ47-QD47-QD46)*(1-PV48)</f>
        <v/>
      </c>
      <c r="QK48" s="12">
        <f>QE48+QE47+QE46+MAX(0,QK47-QE47-QE46)*(1-PV48)</f>
        <v/>
      </c>
      <c r="QL48" s="12">
        <f>QL47+QF48-QF36*(AnnualChurn*VLOOKUP(PR48,ChurnSeasonTable,4,FALSE))*POWER(1-(AnnualChurn*VLOOKUP(PR48,ChurnSeasonTable,4,FALSE)),0)+QF24*(AnnualChurn*VLOOKUP(PR48,ChurnSeasonTable,4,FALSE))*POWER(1-(AnnualChurn*VLOOKUP(PR48,ChurnSeasonTable,4,FALSE)),1)+QF12*(AnnualChurn*VLOOKUP(PR48,ChurnSeasonTable,4,FALSE))*POWER(1-(AnnualChurn*VLOOKUP(PR48,ChurnSeasonTable,4,FALSE)),2)</f>
        <v/>
      </c>
      <c r="QM48" s="12">
        <f>QM47+QG48-QG36*(AnnualChurn*VLOOKUP(PR48,ChurnSeasonTable,4,FALSE))*POWER(1-(AnnualChurn*VLOOKUP(PR48,ChurnSeasonTable,4,FALSE)),0)+QG24*(AnnualChurn*VLOOKUP(PR48,ChurnSeasonTable,4,FALSE))*POWER(1-(AnnualChurn*VLOOKUP(PR48,ChurnSeasonTable,4,FALSE)),1)+QG12*(AnnualChurn*VLOOKUP(PR48,ChurnSeasonTable,4,FALSE))*POWER(1-(AnnualChurn*VLOOKUP(PR48,ChurnSeasonTable,4,FALSE)),2)</f>
        <v/>
      </c>
      <c r="QN48" s="12">
        <f>QN47+QH48-QH36*(AnnualChurn*VLOOKUP(PR48,ChurnSeasonTable,4,FALSE))*POWER(1-(AnnualChurn*VLOOKUP(PR48,ChurnSeasonTable,4,FALSE)),0)+QH24*(AnnualChurn*VLOOKUP(PR48,ChurnSeasonTable,4,FALSE))*POWER(1-(AnnualChurn*VLOOKUP(PR48,ChurnSeasonTable,4,FALSE)),1)+QH12*(AnnualChurn*VLOOKUP(PR48,ChurnSeasonTable,4,FALSE))*POWER(1-(AnnualChurn*VLOOKUP(PR48,ChurnSeasonTable,4,FALSE)),2)</f>
        <v/>
      </c>
      <c r="QO48" s="12">
        <f>QI48+QJ48+QK48+QL48+QM48+QN48</f>
        <v/>
      </c>
      <c r="QP48" s="9">
        <f>QI48*BlendedPriceEssMonthly*PU48+QJ48*BlendedPricePremMonthly*PU48+QK48*BlendedPriceEliteMonthly*PU48+QL48*BlendedPriceEssAnnual*PU48/12+QM48*BlendedPricePremAnnual*PU48/12+QN48*BlendedPriceEliteAnnual*PU48/12</f>
        <v/>
      </c>
      <c r="QQ48" s="9">
        <f>QP48*12</f>
        <v/>
      </c>
      <c r="QR48" s="12">
        <f>QI48*BlendedPriceEssMonthly*PU48+QJ48*BlendedPricePremMonthly*PU48+QK48*BlendedPriceEliteMonthly*PU48</f>
        <v/>
      </c>
      <c r="QS48" s="12">
        <f>QF48*BlendedPriceEssAnnual*PU48+QG48*BlendedPricePremAnnual*PU48+QH48*BlendedPriceEliteAnnual*PU48</f>
        <v/>
      </c>
      <c r="QT48" s="12">
        <f>QF36*POWER(1-(AnnualChurn*VLOOKUP(PR48,ChurnSeasonTable,4,FALSE)),1)*BlendedPriceEssAnnual*PU48+QF24*POWER(1-(AnnualChurn*VLOOKUP(PR48,ChurnSeasonTable,4,FALSE)),2)*BlendedPriceEssAnnual*PU48+QF12*POWER(1-(AnnualChurn*VLOOKUP(PR48,ChurnSeasonTable,4,FALSE)),3)*BlendedPriceEssAnnual*PU48+QG36*POWER(1-(AnnualChurn*VLOOKUP(PR48,ChurnSeasonTable,4,FALSE)),1)*BlendedPricePremAnnual*PU48+QG24*POWER(1-(AnnualChurn*VLOOKUP(PR48,ChurnSeasonTable,4,FALSE)),2)*BlendedPricePremAnnual*PU48+QG12*POWER(1-(AnnualChurn*VLOOKUP(PR48,ChurnSeasonTable,4,FALSE)),3)*BlendedPricePremAnnual*PU48+QH36*POWER(1-(AnnualChurn*VLOOKUP(PR48,ChurnSeasonTable,4,FALSE)),1)*BlendedPriceEliteAnnual*PU48+QH24*POWER(1-(AnnualChurn*VLOOKUP(PR48,ChurnSeasonTable,4,FALSE)),2)*BlendedPriceEliteAnnual*PU48+QH12*POWER(1-(AnnualChurn*VLOOKUP(PR48,ChurnSeasonTable,4,FALSE)),3)*BlendedPriceEliteAnnual*PU48</f>
        <v/>
      </c>
      <c r="QU48" s="9">
        <f>QR48+QS48+QT48</f>
        <v/>
      </c>
      <c r="QV48" s="12">
        <f>SUM(QU37:QU48)</f>
        <v/>
      </c>
      <c r="QW48" s="12">
        <f>OR(QW47,IF(VATAgentMode,SUM($QU37:$QU48)-SUM($RB37:$RB48)&gt;=VATThreshold,SUM($QU37:$QU48)&gt;=VATThreshold))</f>
        <v/>
      </c>
      <c r="QX48" s="9">
        <f>IF(QW48,IF(VATAgentMode,QU48-((QU48-RB48)-(QU48-RB48)/(1+VATRate)),QU48/(1+VATRate)),QU48)</f>
        <v/>
      </c>
      <c r="QY48" s="12">
        <f>QU48-QX48</f>
        <v/>
      </c>
      <c r="QZ48" s="12">
        <f>IF(QW48=0,0,IF(PR48=1,SUMPRODUCT(--(($PS$5:$PS48=$PS48-1)*($PR$5:$PR48&gt;=10)*($PR$5:$PR48&lt;=12)),$QY$5:$QY48),IF(PR48=4,SUMPRODUCT(--(($PS$5:$PS48=$PS48)*($PR$5:$PR48&gt;=1)*($PR$5:$PR48&lt;=3)),$QY$5:$QY48),IF(PR48=7,SUMPRODUCT(--(($PS$5:$PS48=$PS48)*($PR$5:$PR48&gt;=4)*($PR$5:$PR48&lt;=6)),$QY$5:$QY48),IF(PR48=10,SUMPRODUCT(--(($PS$5:$PS48=$PS48)*($PR$5:$PR48&gt;=7)*($PR$5:$PR48&lt;=9)),$QY$5:$QY48),0)))))</f>
        <v/>
      </c>
      <c r="RA48" s="12">
        <f>RA47+QY48-QZ48</f>
        <v/>
      </c>
      <c r="RB48" s="12">
        <f>IF(ProviderDelay&gt;=1,QI47*BlendedProvPayEss+QJ47*BlendedProvPayPrem+QK47*BlendedProvPayElite+QL47*BlendedProvPayEss+QM47*BlendedProvPayPrem+QN47*BlendedProvPayElite,QI48*BlendedProvPayEss+QJ48*BlendedProvPayPrem+QK48*BlendedProvPayElite+QL48*BlendedProvPayEss+QM48*BlendedProvPayPrem+QN48*BlendedProvPayElite)</f>
        <v/>
      </c>
      <c r="RC48" s="12">
        <f>QU48*PaymentFee</f>
        <v/>
      </c>
      <c r="RD48" s="12">
        <f>QO48*OpsAI</f>
        <v/>
      </c>
      <c r="RE48" s="12">
        <f>MonthlyFixed</f>
        <v/>
      </c>
      <c r="RF48" s="12">
        <f>PY48*ReferralReward</f>
        <v/>
      </c>
      <c r="RG48" s="12">
        <f>PW48</f>
        <v/>
      </c>
      <c r="RH48" s="9">
        <f>QX48-RB48-RC48-RD48-RE48-RF48-RG48</f>
        <v/>
      </c>
      <c r="RI48" s="9">
        <f>RI47+QU48-(RB48+RC48+RD48+RE48+RF48+RG48+QZ48)</f>
        <v/>
      </c>
      <c r="RJ48" s="12">
        <f>IF(QO48&gt;0,QP48/QO48,0)</f>
        <v/>
      </c>
      <c r="RK48" s="11">
        <f>IF(QO47&gt;0,MAX(0,(QO47+PZ48-QO48)/QO47),0)</f>
        <v/>
      </c>
      <c r="RM48" s="12" t="n">
        <v>44</v>
      </c>
      <c r="RN48" s="12">
        <f>MOD(RM48-1+LaunchMonth-1,12)+1</f>
        <v/>
      </c>
      <c r="RO48" s="12">
        <f>INT((RM48-1+LaunchMonth-1)/12)+1</f>
        <v/>
      </c>
      <c r="RP48" s="12">
        <f>VLOOKUP(RN48,SeasonTable,2,FALSE)</f>
        <v/>
      </c>
      <c r="RQ48" s="12">
        <f>(1+InflationRate)^INT((RM48-1)/12)</f>
        <v/>
      </c>
      <c r="RR48" s="11">
        <f>'Sens - Churn'!$A$20*VLOOKUP(RN48,ChurnSeasonTable,4,FALSE)</f>
        <v/>
      </c>
      <c r="RS48" s="12">
        <f>MIN(MAX(MktMin19plus,SQ47*MktPct19plus),MAX(0,TE47-CashBuffer))</f>
        <v/>
      </c>
      <c r="RT48" s="12">
        <f>IF(RS48&gt;0,MAX(1,ROUND(RS48/CAC*RP48,0)),0)</f>
        <v/>
      </c>
      <c r="RU48" s="12">
        <f>IF(RT48&gt;0,ROUND(RT48*ReferralMix/(1-ReferralMix),0),0)</f>
        <v/>
      </c>
      <c r="RV48" s="12">
        <f>RT48+RU48</f>
        <v/>
      </c>
      <c r="RW48" s="12">
        <f>ROUND(RV48*(1-AnnualMix),0)</f>
        <v/>
      </c>
      <c r="RX48" s="12">
        <f>RV48-RW48</f>
        <v/>
      </c>
      <c r="RY48" s="12">
        <f>ROUND(RW48*EssentialMix,0)</f>
        <v/>
      </c>
      <c r="RZ48" s="12">
        <f>ROUND(RW48*PremiumMix,0)</f>
        <v/>
      </c>
      <c r="SA48" s="12">
        <f>RW48-RY48-RZ48</f>
        <v/>
      </c>
      <c r="SB48" s="12">
        <f>ROUND(RX48*EssentialMix,0)</f>
        <v/>
      </c>
      <c r="SC48" s="12">
        <f>ROUND(RX48*PremiumMix,0)</f>
        <v/>
      </c>
      <c r="SD48" s="12">
        <f>RX48-SB48-SC48</f>
        <v/>
      </c>
      <c r="SE48" s="12">
        <f>RY48+RY47+RY46+MAX(0,SE47-RY47-RY46)*(1-RR48)</f>
        <v/>
      </c>
      <c r="SF48" s="12">
        <f>RZ48+RZ47+RZ46+MAX(0,SF47-RZ47-RZ46)*(1-RR48)</f>
        <v/>
      </c>
      <c r="SG48" s="12">
        <f>SA48+SA47+SA46+MAX(0,SG47-SA47-SA46)*(1-RR48)</f>
        <v/>
      </c>
      <c r="SH48" s="12">
        <f>SH47+SB48-SB36*(AnnualChurn*VLOOKUP(RN48,ChurnSeasonTable,4,FALSE))*POWER(1-(AnnualChurn*VLOOKUP(RN48,ChurnSeasonTable,4,FALSE)),0)+SB24*(AnnualChurn*VLOOKUP(RN48,ChurnSeasonTable,4,FALSE))*POWER(1-(AnnualChurn*VLOOKUP(RN48,ChurnSeasonTable,4,FALSE)),1)+SB12*(AnnualChurn*VLOOKUP(RN48,ChurnSeasonTable,4,FALSE))*POWER(1-(AnnualChurn*VLOOKUP(RN48,ChurnSeasonTable,4,FALSE)),2)</f>
        <v/>
      </c>
      <c r="SI48" s="12">
        <f>SI47+SC48-SC36*(AnnualChurn*VLOOKUP(RN48,ChurnSeasonTable,4,FALSE))*POWER(1-(AnnualChurn*VLOOKUP(RN48,ChurnSeasonTable,4,FALSE)),0)+SC24*(AnnualChurn*VLOOKUP(RN48,ChurnSeasonTable,4,FALSE))*POWER(1-(AnnualChurn*VLOOKUP(RN48,ChurnSeasonTable,4,FALSE)),1)+SC12*(AnnualChurn*VLOOKUP(RN48,ChurnSeasonTable,4,FALSE))*POWER(1-(AnnualChurn*VLOOKUP(RN48,ChurnSeasonTable,4,FALSE)),2)</f>
        <v/>
      </c>
      <c r="SJ48" s="12">
        <f>SJ47+SD48-SD36*(AnnualChurn*VLOOKUP(RN48,ChurnSeasonTable,4,FALSE))*POWER(1-(AnnualChurn*VLOOKUP(RN48,ChurnSeasonTable,4,FALSE)),0)+SD24*(AnnualChurn*VLOOKUP(RN48,ChurnSeasonTable,4,FALSE))*POWER(1-(AnnualChurn*VLOOKUP(RN48,ChurnSeasonTable,4,FALSE)),1)+SD12*(AnnualChurn*VLOOKUP(RN48,ChurnSeasonTable,4,FALSE))*POWER(1-(AnnualChurn*VLOOKUP(RN48,ChurnSeasonTable,4,FALSE)),2)</f>
        <v/>
      </c>
      <c r="SK48" s="12">
        <f>SE48+SF48+SG48+SH48+SI48+SJ48</f>
        <v/>
      </c>
      <c r="SL48" s="9">
        <f>SE48*BlendedPriceEssMonthly*RQ48+SF48*BlendedPricePremMonthly*RQ48+SG48*BlendedPriceEliteMonthly*RQ48+SH48*BlendedPriceEssAnnual*RQ48/12+SI48*BlendedPricePremAnnual*RQ48/12+SJ48*BlendedPriceEliteAnnual*RQ48/12</f>
        <v/>
      </c>
      <c r="SM48" s="9">
        <f>SL48*12</f>
        <v/>
      </c>
      <c r="SN48" s="12">
        <f>SE48*BlendedPriceEssMonthly*RQ48+SF48*BlendedPricePremMonthly*RQ48+SG48*BlendedPriceEliteMonthly*RQ48</f>
        <v/>
      </c>
      <c r="SO48" s="12">
        <f>SB48*BlendedPriceEssAnnual*RQ48+SC48*BlendedPricePremAnnual*RQ48+SD48*BlendedPriceEliteAnnual*RQ48</f>
        <v/>
      </c>
      <c r="SP48" s="12">
        <f>SB36*POWER(1-(AnnualChurn*VLOOKUP(RN48,ChurnSeasonTable,4,FALSE)),1)*BlendedPriceEssAnnual*RQ48+SB24*POWER(1-(AnnualChurn*VLOOKUP(RN48,ChurnSeasonTable,4,FALSE)),2)*BlendedPriceEssAnnual*RQ48+SB12*POWER(1-(AnnualChurn*VLOOKUP(RN48,ChurnSeasonTable,4,FALSE)),3)*BlendedPriceEssAnnual*RQ48+SC36*POWER(1-(AnnualChurn*VLOOKUP(RN48,ChurnSeasonTable,4,FALSE)),1)*BlendedPricePremAnnual*RQ48+SC24*POWER(1-(AnnualChurn*VLOOKUP(RN48,ChurnSeasonTable,4,FALSE)),2)*BlendedPricePremAnnual*RQ48+SC12*POWER(1-(AnnualChurn*VLOOKUP(RN48,ChurnSeasonTable,4,FALSE)),3)*BlendedPricePremAnnual*RQ48+SD36*POWER(1-(AnnualChurn*VLOOKUP(RN48,ChurnSeasonTable,4,FALSE)),1)*BlendedPriceEliteAnnual*RQ48+SD24*POWER(1-(AnnualChurn*VLOOKUP(RN48,ChurnSeasonTable,4,FALSE)),2)*BlendedPriceEliteAnnual*RQ48+SD12*POWER(1-(AnnualChurn*VLOOKUP(RN48,ChurnSeasonTable,4,FALSE)),3)*BlendedPriceEliteAnnual*RQ48</f>
        <v/>
      </c>
      <c r="SQ48" s="9">
        <f>SN48+SO48+SP48</f>
        <v/>
      </c>
      <c r="SR48" s="12">
        <f>SUM(SQ37:SQ48)</f>
        <v/>
      </c>
      <c r="SS48" s="12">
        <f>OR(SS47,IF(VATAgentMode,SUM($SQ37:$SQ48)-SUM($SX37:$SX48)&gt;=VATThreshold,SUM($SQ37:$SQ48)&gt;=VATThreshold))</f>
        <v/>
      </c>
      <c r="ST48" s="9">
        <f>IF(SS48,IF(VATAgentMode,SQ48-((SQ48-SX48)-(SQ48-SX48)/(1+VATRate)),SQ48/(1+VATRate)),SQ48)</f>
        <v/>
      </c>
      <c r="SU48" s="12">
        <f>SQ48-ST48</f>
        <v/>
      </c>
      <c r="SV48" s="12">
        <f>IF(SS48=0,0,IF(RN48=1,SUMPRODUCT(--(($RO$5:$RO48=$RO48-1)*($RN$5:$RN48&gt;=10)*($RN$5:$RN48&lt;=12)),$SU$5:$SU48),IF(RN48=4,SUMPRODUCT(--(($RO$5:$RO48=$RO48)*($RN$5:$RN48&gt;=1)*($RN$5:$RN48&lt;=3)),$SU$5:$SU48),IF(RN48=7,SUMPRODUCT(--(($RO$5:$RO48=$RO48)*($RN$5:$RN48&gt;=4)*($RN$5:$RN48&lt;=6)),$SU$5:$SU48),IF(RN48=10,SUMPRODUCT(--(($RO$5:$RO48=$RO48)*($RN$5:$RN48&gt;=7)*($RN$5:$RN48&lt;=9)),$SU$5:$SU48),0)))))</f>
        <v/>
      </c>
      <c r="SW48" s="12">
        <f>SW47+SU48-SV48</f>
        <v/>
      </c>
      <c r="SX48" s="12">
        <f>IF(ProviderDelay&gt;=1,SE47*BlendedProvPayEss+SF47*BlendedProvPayPrem+SG47*BlendedProvPayElite+SH47*BlendedProvPayEss+SI47*BlendedProvPayPrem+SJ47*BlendedProvPayElite,SE48*BlendedProvPayEss+SF48*BlendedProvPayPrem+SG48*BlendedProvPayElite+SH48*BlendedProvPayEss+SI48*BlendedProvPayPrem+SJ48*BlendedProvPayElite)</f>
        <v/>
      </c>
      <c r="SY48" s="12">
        <f>SQ48*PaymentFee</f>
        <v/>
      </c>
      <c r="SZ48" s="12">
        <f>SK48*OpsAI</f>
        <v/>
      </c>
      <c r="TA48" s="12">
        <f>MonthlyFixed</f>
        <v/>
      </c>
      <c r="TB48" s="12">
        <f>RU48*ReferralReward</f>
        <v/>
      </c>
      <c r="TC48" s="12">
        <f>RS48</f>
        <v/>
      </c>
      <c r="TD48" s="9">
        <f>ST48-SX48-SY48-SZ48-TA48-TB48-TC48</f>
        <v/>
      </c>
      <c r="TE48" s="9">
        <f>TE47+SQ48-(SX48+SY48+SZ48+TA48+TB48+TC48+SV48)</f>
        <v/>
      </c>
      <c r="TF48" s="12">
        <f>IF(SK48&gt;0,SL48/SK48,0)</f>
        <v/>
      </c>
      <c r="TG48" s="11">
        <f>IF(SK47&gt;0,MAX(0,(SK47+RV48-SK48)/SK47),0)</f>
        <v/>
      </c>
      <c r="TI48" s="12" t="n">
        <v>44</v>
      </c>
      <c r="TJ48" s="12">
        <f>MOD(TI48-1+LaunchMonth-1,12)+1</f>
        <v/>
      </c>
      <c r="TK48" s="12">
        <f>INT((TI48-1+LaunchMonth-1)/12)+1</f>
        <v/>
      </c>
      <c r="TL48" s="12">
        <f>VLOOKUP(TJ48,SeasonTable,2,FALSE)</f>
        <v/>
      </c>
      <c r="TM48" s="12">
        <f>(1+InflationRate)^INT((TI48-1)/12)</f>
        <v/>
      </c>
      <c r="TN48" s="11">
        <f>'Sens - Churn'!$A$21*VLOOKUP(TJ48,ChurnSeasonTable,4,FALSE)</f>
        <v/>
      </c>
      <c r="TO48" s="12">
        <f>MIN(MAX(MktMin19plus,UM47*MktPct19plus),MAX(0,VA47-CashBuffer))</f>
        <v/>
      </c>
      <c r="TP48" s="12">
        <f>IF(TO48&gt;0,MAX(1,ROUND(TO48/CAC*TL48,0)),0)</f>
        <v/>
      </c>
      <c r="TQ48" s="12">
        <f>IF(TP48&gt;0,ROUND(TP48*ReferralMix/(1-ReferralMix),0),0)</f>
        <v/>
      </c>
      <c r="TR48" s="12">
        <f>TP48+TQ48</f>
        <v/>
      </c>
      <c r="TS48" s="12">
        <f>ROUND(TR48*(1-AnnualMix),0)</f>
        <v/>
      </c>
      <c r="TT48" s="12">
        <f>TR48-TS48</f>
        <v/>
      </c>
      <c r="TU48" s="12">
        <f>ROUND(TS48*EssentialMix,0)</f>
        <v/>
      </c>
      <c r="TV48" s="12">
        <f>ROUND(TS48*PremiumMix,0)</f>
        <v/>
      </c>
      <c r="TW48" s="12">
        <f>TS48-TU48-TV48</f>
        <v/>
      </c>
      <c r="TX48" s="12">
        <f>ROUND(TT48*EssentialMix,0)</f>
        <v/>
      </c>
      <c r="TY48" s="12">
        <f>ROUND(TT48*PremiumMix,0)</f>
        <v/>
      </c>
      <c r="TZ48" s="12">
        <f>TT48-TX48-TY48</f>
        <v/>
      </c>
      <c r="UA48" s="12">
        <f>TU48+TU47+TU46+MAX(0,UA47-TU47-TU46)*(1-TN48)</f>
        <v/>
      </c>
      <c r="UB48" s="12">
        <f>TV48+TV47+TV46+MAX(0,UB47-TV47-TV46)*(1-TN48)</f>
        <v/>
      </c>
      <c r="UC48" s="12">
        <f>TW48+TW47+TW46+MAX(0,UC47-TW47-TW46)*(1-TN48)</f>
        <v/>
      </c>
      <c r="UD48" s="12">
        <f>UD47+TX48-TX36*(AnnualChurn*VLOOKUP(TJ48,ChurnSeasonTable,4,FALSE))*POWER(1-(AnnualChurn*VLOOKUP(TJ48,ChurnSeasonTable,4,FALSE)),0)+TX24*(AnnualChurn*VLOOKUP(TJ48,ChurnSeasonTable,4,FALSE))*POWER(1-(AnnualChurn*VLOOKUP(TJ48,ChurnSeasonTable,4,FALSE)),1)+TX12*(AnnualChurn*VLOOKUP(TJ48,ChurnSeasonTable,4,FALSE))*POWER(1-(AnnualChurn*VLOOKUP(TJ48,ChurnSeasonTable,4,FALSE)),2)</f>
        <v/>
      </c>
      <c r="UE48" s="12">
        <f>UE47+TY48-TY36*(AnnualChurn*VLOOKUP(TJ48,ChurnSeasonTable,4,FALSE))*POWER(1-(AnnualChurn*VLOOKUP(TJ48,ChurnSeasonTable,4,FALSE)),0)+TY24*(AnnualChurn*VLOOKUP(TJ48,ChurnSeasonTable,4,FALSE))*POWER(1-(AnnualChurn*VLOOKUP(TJ48,ChurnSeasonTable,4,FALSE)),1)+TY12*(AnnualChurn*VLOOKUP(TJ48,ChurnSeasonTable,4,FALSE))*POWER(1-(AnnualChurn*VLOOKUP(TJ48,ChurnSeasonTable,4,FALSE)),2)</f>
        <v/>
      </c>
      <c r="UF48" s="12">
        <f>UF47+TZ48-TZ36*(AnnualChurn*VLOOKUP(TJ48,ChurnSeasonTable,4,FALSE))*POWER(1-(AnnualChurn*VLOOKUP(TJ48,ChurnSeasonTable,4,FALSE)),0)+TZ24*(AnnualChurn*VLOOKUP(TJ48,ChurnSeasonTable,4,FALSE))*POWER(1-(AnnualChurn*VLOOKUP(TJ48,ChurnSeasonTable,4,FALSE)),1)+TZ12*(AnnualChurn*VLOOKUP(TJ48,ChurnSeasonTable,4,FALSE))*POWER(1-(AnnualChurn*VLOOKUP(TJ48,ChurnSeasonTable,4,FALSE)),2)</f>
        <v/>
      </c>
      <c r="UG48" s="12">
        <f>UA48+UB48+UC48+UD48+UE48+UF48</f>
        <v/>
      </c>
      <c r="UH48" s="9">
        <f>UA48*BlendedPriceEssMonthly*TM48+UB48*BlendedPricePremMonthly*TM48+UC48*BlendedPriceEliteMonthly*TM48+UD48*BlendedPriceEssAnnual*TM48/12+UE48*BlendedPricePremAnnual*TM48/12+UF48*BlendedPriceEliteAnnual*TM48/12</f>
        <v/>
      </c>
      <c r="UI48" s="9">
        <f>UH48*12</f>
        <v/>
      </c>
      <c r="UJ48" s="12">
        <f>UA48*BlendedPriceEssMonthly*TM48+UB48*BlendedPricePremMonthly*TM48+UC48*BlendedPriceEliteMonthly*TM48</f>
        <v/>
      </c>
      <c r="UK48" s="12">
        <f>TX48*BlendedPriceEssAnnual*TM48+TY48*BlendedPricePremAnnual*TM48+TZ48*BlendedPriceEliteAnnual*TM48</f>
        <v/>
      </c>
      <c r="UL48" s="12">
        <f>TX36*POWER(1-(AnnualChurn*VLOOKUP(TJ48,ChurnSeasonTable,4,FALSE)),1)*BlendedPriceEssAnnual*TM48+TX24*POWER(1-(AnnualChurn*VLOOKUP(TJ48,ChurnSeasonTable,4,FALSE)),2)*BlendedPriceEssAnnual*TM48+TX12*POWER(1-(AnnualChurn*VLOOKUP(TJ48,ChurnSeasonTable,4,FALSE)),3)*BlendedPriceEssAnnual*TM48+TY36*POWER(1-(AnnualChurn*VLOOKUP(TJ48,ChurnSeasonTable,4,FALSE)),1)*BlendedPricePremAnnual*TM48+TY24*POWER(1-(AnnualChurn*VLOOKUP(TJ48,ChurnSeasonTable,4,FALSE)),2)*BlendedPricePremAnnual*TM48+TY12*POWER(1-(AnnualChurn*VLOOKUP(TJ48,ChurnSeasonTable,4,FALSE)),3)*BlendedPricePremAnnual*TM48+TZ36*POWER(1-(AnnualChurn*VLOOKUP(TJ48,ChurnSeasonTable,4,FALSE)),1)*BlendedPriceEliteAnnual*TM48+TZ24*POWER(1-(AnnualChurn*VLOOKUP(TJ48,ChurnSeasonTable,4,FALSE)),2)*BlendedPriceEliteAnnual*TM48+TZ12*POWER(1-(AnnualChurn*VLOOKUP(TJ48,ChurnSeasonTable,4,FALSE)),3)*BlendedPriceEliteAnnual*TM48</f>
        <v/>
      </c>
      <c r="UM48" s="9">
        <f>UJ48+UK48+UL48</f>
        <v/>
      </c>
      <c r="UN48" s="12">
        <f>SUM(UM37:UM48)</f>
        <v/>
      </c>
      <c r="UO48" s="12">
        <f>OR(UO47,IF(VATAgentMode,SUM($UM37:$UM48)-SUM($UT37:$UT48)&gt;=VATThreshold,SUM($UM37:$UM48)&gt;=VATThreshold))</f>
        <v/>
      </c>
      <c r="UP48" s="9">
        <f>IF(UO48,IF(VATAgentMode,UM48-((UM48-UT48)-(UM48-UT48)/(1+VATRate)),UM48/(1+VATRate)),UM48)</f>
        <v/>
      </c>
      <c r="UQ48" s="12">
        <f>UM48-UP48</f>
        <v/>
      </c>
      <c r="UR48" s="12">
        <f>IF(UO48=0,0,IF(TJ48=1,SUMPRODUCT(--(($TK$5:$TK48=$TK48-1)*($TJ$5:$TJ48&gt;=10)*($TJ$5:$TJ48&lt;=12)),$UQ$5:$UQ48),IF(TJ48=4,SUMPRODUCT(--(($TK$5:$TK48=$TK48)*($TJ$5:$TJ48&gt;=1)*($TJ$5:$TJ48&lt;=3)),$UQ$5:$UQ48),IF(TJ48=7,SUMPRODUCT(--(($TK$5:$TK48=$TK48)*($TJ$5:$TJ48&gt;=4)*($TJ$5:$TJ48&lt;=6)),$UQ$5:$UQ48),IF(TJ48=10,SUMPRODUCT(--(($TK$5:$TK48=$TK48)*($TJ$5:$TJ48&gt;=7)*($TJ$5:$TJ48&lt;=9)),$UQ$5:$UQ48),0)))))</f>
        <v/>
      </c>
      <c r="US48" s="12">
        <f>US47+UQ48-UR48</f>
        <v/>
      </c>
      <c r="UT48" s="12">
        <f>IF(ProviderDelay&gt;=1,UA47*BlendedProvPayEss+UB47*BlendedProvPayPrem+UC47*BlendedProvPayElite+UD47*BlendedProvPayEss+UE47*BlendedProvPayPrem+UF47*BlendedProvPayElite,UA48*BlendedProvPayEss+UB48*BlendedProvPayPrem+UC48*BlendedProvPayElite+UD48*BlendedProvPayEss+UE48*BlendedProvPayPrem+UF48*BlendedProvPayElite)</f>
        <v/>
      </c>
      <c r="UU48" s="12">
        <f>UM48*PaymentFee</f>
        <v/>
      </c>
      <c r="UV48" s="12">
        <f>UG48*OpsAI</f>
        <v/>
      </c>
      <c r="UW48" s="12">
        <f>MonthlyFixed</f>
        <v/>
      </c>
      <c r="UX48" s="12">
        <f>TQ48*ReferralReward</f>
        <v/>
      </c>
      <c r="UY48" s="12">
        <f>TO48</f>
        <v/>
      </c>
      <c r="UZ48" s="9">
        <f>UP48-UT48-UU48-UV48-UW48-UX48-UY48</f>
        <v/>
      </c>
      <c r="VA48" s="9">
        <f>VA47+UM48-(UT48+UU48+UV48+UW48+UX48+UY48+UR48)</f>
        <v/>
      </c>
      <c r="VB48" s="12">
        <f>IF(UG48&gt;0,UH48/UG48,0)</f>
        <v/>
      </c>
      <c r="VC48" s="11">
        <f>IF(UG47&gt;0,MAX(0,(UG47+TR48-UG48)/UG47),0)</f>
        <v/>
      </c>
      <c r="VE48" s="12" t="n">
        <v>44</v>
      </c>
      <c r="VF48" s="12">
        <f>MOD(VE48-1+LaunchMonth-1,12)+1</f>
        <v/>
      </c>
      <c r="VG48" s="12">
        <f>INT((VE48-1+LaunchMonth-1)/12)+1</f>
        <v/>
      </c>
      <c r="VH48" s="12">
        <f>VLOOKUP(VF48,SeasonTable,2,FALSE)</f>
        <v/>
      </c>
      <c r="VI48" s="12">
        <f>(1+InflationRate)^INT((VE48-1)/12)</f>
        <v/>
      </c>
      <c r="VJ48" s="11">
        <f>MonthlyChurn*VLOOKUP(VF48,ChurnSeasonTable,4,FALSE)</f>
        <v/>
      </c>
      <c r="VK48" s="12">
        <f>MIN(MAX(MktMin19plus,WI47*MktPct19plus),MAX(0,WW47-CashBuffer))</f>
        <v/>
      </c>
      <c r="VL48" s="12">
        <f>IF(VK48&gt;0,MAX(1,ROUND(VK48/CAC*VH48,0)),0)</f>
        <v/>
      </c>
      <c r="VM48" s="12">
        <f>IF(VL48&gt;0,ROUND(VL48*ReferralMix/(1-ReferralMix),0),0)</f>
        <v/>
      </c>
      <c r="VN48" s="12">
        <f>VL48+VM48</f>
        <v/>
      </c>
      <c r="VO48" s="12">
        <f>ROUND(VN48*(1-'Sens - Annual Mix'!$A$9),0)</f>
        <v/>
      </c>
      <c r="VP48" s="12">
        <f>VN48-VO48</f>
        <v/>
      </c>
      <c r="VQ48" s="12">
        <f>ROUND(VO48*EssentialMix,0)</f>
        <v/>
      </c>
      <c r="VR48" s="12">
        <f>ROUND(VO48*PremiumMix,0)</f>
        <v/>
      </c>
      <c r="VS48" s="12">
        <f>VO48-VQ48-VR48</f>
        <v/>
      </c>
      <c r="VT48" s="12">
        <f>ROUND(VP48*EssentialMix,0)</f>
        <v/>
      </c>
      <c r="VU48" s="12">
        <f>ROUND(VP48*PremiumMix,0)</f>
        <v/>
      </c>
      <c r="VV48" s="12">
        <f>VP48-VT48-VU48</f>
        <v/>
      </c>
      <c r="VW48" s="12">
        <f>VQ48+VQ47+VQ46+MAX(0,VW47-VQ47-VQ46)*(1-VJ48)</f>
        <v/>
      </c>
      <c r="VX48" s="12">
        <f>VR48+VR47+VR46+MAX(0,VX47-VR47-VR46)*(1-VJ48)</f>
        <v/>
      </c>
      <c r="VY48" s="12">
        <f>VS48+VS47+VS46+MAX(0,VY47-VS47-VS46)*(1-VJ48)</f>
        <v/>
      </c>
      <c r="VZ48" s="12">
        <f>VZ47+VT48-VT36*(AnnualChurn*VLOOKUP(VF48,ChurnSeasonTable,4,FALSE))*POWER(1-(AnnualChurn*VLOOKUP(VF48,ChurnSeasonTable,4,FALSE)),0)+VT24*(AnnualChurn*VLOOKUP(VF48,ChurnSeasonTable,4,FALSE))*POWER(1-(AnnualChurn*VLOOKUP(VF48,ChurnSeasonTable,4,FALSE)),1)+VT12*(AnnualChurn*VLOOKUP(VF48,ChurnSeasonTable,4,FALSE))*POWER(1-(AnnualChurn*VLOOKUP(VF48,ChurnSeasonTable,4,FALSE)),2)</f>
        <v/>
      </c>
      <c r="WA48" s="12">
        <f>WA47+VU48-VU36*(AnnualChurn*VLOOKUP(VF48,ChurnSeasonTable,4,FALSE))*POWER(1-(AnnualChurn*VLOOKUP(VF48,ChurnSeasonTable,4,FALSE)),0)+VU24*(AnnualChurn*VLOOKUP(VF48,ChurnSeasonTable,4,FALSE))*POWER(1-(AnnualChurn*VLOOKUP(VF48,ChurnSeasonTable,4,FALSE)),1)+VU12*(AnnualChurn*VLOOKUP(VF48,ChurnSeasonTable,4,FALSE))*POWER(1-(AnnualChurn*VLOOKUP(VF48,ChurnSeasonTable,4,FALSE)),2)</f>
        <v/>
      </c>
      <c r="WB48" s="12">
        <f>WB47+VV48-VV36*(AnnualChurn*VLOOKUP(VF48,ChurnSeasonTable,4,FALSE))*POWER(1-(AnnualChurn*VLOOKUP(VF48,ChurnSeasonTable,4,FALSE)),0)+VV24*(AnnualChurn*VLOOKUP(VF48,ChurnSeasonTable,4,FALSE))*POWER(1-(AnnualChurn*VLOOKUP(VF48,ChurnSeasonTable,4,FALSE)),1)+VV12*(AnnualChurn*VLOOKUP(VF48,ChurnSeasonTable,4,FALSE))*POWER(1-(AnnualChurn*VLOOKUP(VF48,ChurnSeasonTable,4,FALSE)),2)</f>
        <v/>
      </c>
      <c r="WC48" s="12">
        <f>VW48+VX48+VY48+VZ48+WA48+WB48</f>
        <v/>
      </c>
      <c r="WD48" s="9">
        <f>VW48*BlendedPriceEssMonthly*VI48+VX48*BlendedPricePremMonthly*VI48+VY48*BlendedPriceEliteMonthly*VI48+VZ48*BlendedPriceEssAnnual*VI48/12+WA48*BlendedPricePremAnnual*VI48/12+WB48*BlendedPriceEliteAnnual*VI48/12</f>
        <v/>
      </c>
      <c r="WE48" s="9">
        <f>WD48*12</f>
        <v/>
      </c>
      <c r="WF48" s="12">
        <f>VW48*BlendedPriceEssMonthly*VI48+VX48*BlendedPricePremMonthly*VI48+VY48*BlendedPriceEliteMonthly*VI48</f>
        <v/>
      </c>
      <c r="WG48" s="12">
        <f>VT48*BlendedPriceEssAnnual*VI48+VU48*BlendedPricePremAnnual*VI48+VV48*BlendedPriceEliteAnnual*VI48</f>
        <v/>
      </c>
      <c r="WH48" s="12">
        <f>VT36*POWER(1-(AnnualChurn*VLOOKUP(VF48,ChurnSeasonTable,4,FALSE)),1)*BlendedPriceEssAnnual*VI48+VT24*POWER(1-(AnnualChurn*VLOOKUP(VF48,ChurnSeasonTable,4,FALSE)),2)*BlendedPriceEssAnnual*VI48+VT12*POWER(1-(AnnualChurn*VLOOKUP(VF48,ChurnSeasonTable,4,FALSE)),3)*BlendedPriceEssAnnual*VI48+VU36*POWER(1-(AnnualChurn*VLOOKUP(VF48,ChurnSeasonTable,4,FALSE)),1)*BlendedPricePremAnnual*VI48+VU24*POWER(1-(AnnualChurn*VLOOKUP(VF48,ChurnSeasonTable,4,FALSE)),2)*BlendedPricePremAnnual*VI48+VU12*POWER(1-(AnnualChurn*VLOOKUP(VF48,ChurnSeasonTable,4,FALSE)),3)*BlendedPricePremAnnual*VI48+VV36*POWER(1-(AnnualChurn*VLOOKUP(VF48,ChurnSeasonTable,4,FALSE)),1)*BlendedPriceEliteAnnual*VI48+VV24*POWER(1-(AnnualChurn*VLOOKUP(VF48,ChurnSeasonTable,4,FALSE)),2)*BlendedPriceEliteAnnual*VI48+VV12*POWER(1-(AnnualChurn*VLOOKUP(VF48,ChurnSeasonTable,4,FALSE)),3)*BlendedPriceEliteAnnual*VI48</f>
        <v/>
      </c>
      <c r="WI48" s="9">
        <f>WF48+WG48+WH48</f>
        <v/>
      </c>
      <c r="WJ48" s="12">
        <f>SUM(WI37:WI48)</f>
        <v/>
      </c>
      <c r="WK48" s="12">
        <f>OR(WK47,IF(VATAgentMode,SUM($WI37:$WI48)-SUM($WP37:$WP48)&gt;=VATThreshold,SUM($WI37:$WI48)&gt;=VATThreshold))</f>
        <v/>
      </c>
      <c r="WL48" s="9">
        <f>IF(WK48,IF(VATAgentMode,WI48-((WI48-WP48)-(WI48-WP48)/(1+VATRate)),WI48/(1+VATRate)),WI48)</f>
        <v/>
      </c>
      <c r="WM48" s="12">
        <f>WI48-WL48</f>
        <v/>
      </c>
      <c r="WN48" s="12">
        <f>IF(WK48=0,0,IF(VF48=1,SUMPRODUCT(--(($VG$5:$VG48=$VG48-1)*($VF$5:$VF48&gt;=10)*($VF$5:$VF48&lt;=12)),$WM$5:$WM48),IF(VF48=4,SUMPRODUCT(--(($VG$5:$VG48=$VG48)*($VF$5:$VF48&gt;=1)*($VF$5:$VF48&lt;=3)),$WM$5:$WM48),IF(VF48=7,SUMPRODUCT(--(($VG$5:$VG48=$VG48)*($VF$5:$VF48&gt;=4)*($VF$5:$VF48&lt;=6)),$WM$5:$WM48),IF(VF48=10,SUMPRODUCT(--(($VG$5:$VG48=$VG48)*($VF$5:$VF48&gt;=7)*($VF$5:$VF48&lt;=9)),$WM$5:$WM48),0)))))</f>
        <v/>
      </c>
      <c r="WO48" s="12">
        <f>WO47+WM48-WN48</f>
        <v/>
      </c>
      <c r="WP48" s="12">
        <f>IF(ProviderDelay&gt;=1,VW47*BlendedProvPayEss+VX47*BlendedProvPayPrem+VY47*BlendedProvPayElite+VZ47*BlendedProvPayEss+WA47*BlendedProvPayPrem+WB47*BlendedProvPayElite,VW48*BlendedProvPayEss+VX48*BlendedProvPayPrem+VY48*BlendedProvPayElite+VZ48*BlendedProvPayEss+WA48*BlendedProvPayPrem+WB48*BlendedProvPayElite)</f>
        <v/>
      </c>
      <c r="WQ48" s="12">
        <f>WI48*PaymentFee</f>
        <v/>
      </c>
      <c r="WR48" s="12">
        <f>WC48*OpsAI</f>
        <v/>
      </c>
      <c r="WS48" s="12">
        <f>MonthlyFixed</f>
        <v/>
      </c>
      <c r="WT48" s="12">
        <f>VM48*ReferralReward</f>
        <v/>
      </c>
      <c r="WU48" s="12">
        <f>VK48</f>
        <v/>
      </c>
      <c r="WV48" s="9">
        <f>WL48-WP48-WQ48-WR48-WS48-WT48-WU48</f>
        <v/>
      </c>
      <c r="WW48" s="9">
        <f>WW47+WI48-(WP48+WQ48+WR48+WS48+WT48+WU48+WN48)</f>
        <v/>
      </c>
      <c r="WX48" s="12">
        <f>IF(WC48&gt;0,WD48/WC48,0)</f>
        <v/>
      </c>
      <c r="WY48" s="11">
        <f>IF(WC47&gt;0,MAX(0,(WC47+VN48-WC48)/WC47),0)</f>
        <v/>
      </c>
      <c r="XA48" s="12" t="n">
        <v>44</v>
      </c>
      <c r="XB48" s="12">
        <f>MOD(XA48-1+LaunchMonth-1,12)+1</f>
        <v/>
      </c>
      <c r="XC48" s="12">
        <f>INT((XA48-1+LaunchMonth-1)/12)+1</f>
        <v/>
      </c>
      <c r="XD48" s="12">
        <f>VLOOKUP(XB48,SeasonTable,2,FALSE)</f>
        <v/>
      </c>
      <c r="XE48" s="12">
        <f>(1+InflationRate)^INT((XA48-1)/12)</f>
        <v/>
      </c>
      <c r="XF48" s="11">
        <f>MonthlyChurn*VLOOKUP(XB48,ChurnSeasonTable,4,FALSE)</f>
        <v/>
      </c>
      <c r="XG48" s="12">
        <f>MIN(MAX(MktMin19plus,YE47*MktPct19plus),MAX(0,YS47-CashBuffer))</f>
        <v/>
      </c>
      <c r="XH48" s="12">
        <f>IF(XG48&gt;0,MAX(1,ROUND(XG48/CAC*XD48,0)),0)</f>
        <v/>
      </c>
      <c r="XI48" s="12">
        <f>IF(XH48&gt;0,ROUND(XH48*ReferralMix/(1-ReferralMix),0),0)</f>
        <v/>
      </c>
      <c r="XJ48" s="12">
        <f>XH48+XI48</f>
        <v/>
      </c>
      <c r="XK48" s="12">
        <f>ROUND(XJ48*(1-'Sens - Annual Mix'!$A$10),0)</f>
        <v/>
      </c>
      <c r="XL48" s="12">
        <f>XJ48-XK48</f>
        <v/>
      </c>
      <c r="XM48" s="12">
        <f>ROUND(XK48*EssentialMix,0)</f>
        <v/>
      </c>
      <c r="XN48" s="12">
        <f>ROUND(XK48*PremiumMix,0)</f>
        <v/>
      </c>
      <c r="XO48" s="12">
        <f>XK48-XM48-XN48</f>
        <v/>
      </c>
      <c r="XP48" s="12">
        <f>ROUND(XL48*EssentialMix,0)</f>
        <v/>
      </c>
      <c r="XQ48" s="12">
        <f>ROUND(XL48*PremiumMix,0)</f>
        <v/>
      </c>
      <c r="XR48" s="12">
        <f>XL48-XP48-XQ48</f>
        <v/>
      </c>
      <c r="XS48" s="12">
        <f>XM48+XM47+XM46+MAX(0,XS47-XM47-XM46)*(1-XF48)</f>
        <v/>
      </c>
      <c r="XT48" s="12">
        <f>XN48+XN47+XN46+MAX(0,XT47-XN47-XN46)*(1-XF48)</f>
        <v/>
      </c>
      <c r="XU48" s="12">
        <f>XO48+XO47+XO46+MAX(0,XU47-XO47-XO46)*(1-XF48)</f>
        <v/>
      </c>
      <c r="XV48" s="12">
        <f>XV47+XP48-XP36*(AnnualChurn*VLOOKUP(XB48,ChurnSeasonTable,4,FALSE))*POWER(1-(AnnualChurn*VLOOKUP(XB48,ChurnSeasonTable,4,FALSE)),0)+XP24*(AnnualChurn*VLOOKUP(XB48,ChurnSeasonTable,4,FALSE))*POWER(1-(AnnualChurn*VLOOKUP(XB48,ChurnSeasonTable,4,FALSE)),1)+XP12*(AnnualChurn*VLOOKUP(XB48,ChurnSeasonTable,4,FALSE))*POWER(1-(AnnualChurn*VLOOKUP(XB48,ChurnSeasonTable,4,FALSE)),2)</f>
        <v/>
      </c>
      <c r="XW48" s="12">
        <f>XW47+XQ48-XQ36*(AnnualChurn*VLOOKUP(XB48,ChurnSeasonTable,4,FALSE))*POWER(1-(AnnualChurn*VLOOKUP(XB48,ChurnSeasonTable,4,FALSE)),0)+XQ24*(AnnualChurn*VLOOKUP(XB48,ChurnSeasonTable,4,FALSE))*POWER(1-(AnnualChurn*VLOOKUP(XB48,ChurnSeasonTable,4,FALSE)),1)+XQ12*(AnnualChurn*VLOOKUP(XB48,ChurnSeasonTable,4,FALSE))*POWER(1-(AnnualChurn*VLOOKUP(XB48,ChurnSeasonTable,4,FALSE)),2)</f>
        <v/>
      </c>
      <c r="XX48" s="12">
        <f>XX47+XR48-XR36*(AnnualChurn*VLOOKUP(XB48,ChurnSeasonTable,4,FALSE))*POWER(1-(AnnualChurn*VLOOKUP(XB48,ChurnSeasonTable,4,FALSE)),0)+XR24*(AnnualChurn*VLOOKUP(XB48,ChurnSeasonTable,4,FALSE))*POWER(1-(AnnualChurn*VLOOKUP(XB48,ChurnSeasonTable,4,FALSE)),1)+XR12*(AnnualChurn*VLOOKUP(XB48,ChurnSeasonTable,4,FALSE))*POWER(1-(AnnualChurn*VLOOKUP(XB48,ChurnSeasonTable,4,FALSE)),2)</f>
        <v/>
      </c>
      <c r="XY48" s="12">
        <f>XS48+XT48+XU48+XV48+XW48+XX48</f>
        <v/>
      </c>
      <c r="XZ48" s="9">
        <f>XS48*BlendedPriceEssMonthly*XE48+XT48*BlendedPricePremMonthly*XE48+XU48*BlendedPriceEliteMonthly*XE48+XV48*BlendedPriceEssAnnual*XE48/12+XW48*BlendedPricePremAnnual*XE48/12+XX48*BlendedPriceEliteAnnual*XE48/12</f>
        <v/>
      </c>
      <c r="YA48" s="9">
        <f>XZ48*12</f>
        <v/>
      </c>
      <c r="YB48" s="12">
        <f>XS48*BlendedPriceEssMonthly*XE48+XT48*BlendedPricePremMonthly*XE48+XU48*BlendedPriceEliteMonthly*XE48</f>
        <v/>
      </c>
      <c r="YC48" s="12">
        <f>XP48*BlendedPriceEssAnnual*XE48+XQ48*BlendedPricePremAnnual*XE48+XR48*BlendedPriceEliteAnnual*XE48</f>
        <v/>
      </c>
      <c r="YD48" s="12">
        <f>XP36*POWER(1-(AnnualChurn*VLOOKUP(XB48,ChurnSeasonTable,4,FALSE)),1)*BlendedPriceEssAnnual*XE48+XP24*POWER(1-(AnnualChurn*VLOOKUP(XB48,ChurnSeasonTable,4,FALSE)),2)*BlendedPriceEssAnnual*XE48+XP12*POWER(1-(AnnualChurn*VLOOKUP(XB48,ChurnSeasonTable,4,FALSE)),3)*BlendedPriceEssAnnual*XE48+XQ36*POWER(1-(AnnualChurn*VLOOKUP(XB48,ChurnSeasonTable,4,FALSE)),1)*BlendedPricePremAnnual*XE48+XQ24*POWER(1-(AnnualChurn*VLOOKUP(XB48,ChurnSeasonTable,4,FALSE)),2)*BlendedPricePremAnnual*XE48+XQ12*POWER(1-(AnnualChurn*VLOOKUP(XB48,ChurnSeasonTable,4,FALSE)),3)*BlendedPricePremAnnual*XE48+XR36*POWER(1-(AnnualChurn*VLOOKUP(XB48,ChurnSeasonTable,4,FALSE)),1)*BlendedPriceEliteAnnual*XE48+XR24*POWER(1-(AnnualChurn*VLOOKUP(XB48,ChurnSeasonTable,4,FALSE)),2)*BlendedPriceEliteAnnual*XE48+XR12*POWER(1-(AnnualChurn*VLOOKUP(XB48,ChurnSeasonTable,4,FALSE)),3)*BlendedPriceEliteAnnual*XE48</f>
        <v/>
      </c>
      <c r="YE48" s="9">
        <f>YB48+YC48+YD48</f>
        <v/>
      </c>
      <c r="YF48" s="12">
        <f>SUM(YE37:YE48)</f>
        <v/>
      </c>
      <c r="YG48" s="12">
        <f>OR(YG47,IF(VATAgentMode,SUM($YE37:$YE48)-SUM($YL37:$YL48)&gt;=VATThreshold,SUM($YE37:$YE48)&gt;=VATThreshold))</f>
        <v/>
      </c>
      <c r="YH48" s="9">
        <f>IF(YG48,IF(VATAgentMode,YE48-((YE48-YL48)-(YE48-YL48)/(1+VATRate)),YE48/(1+VATRate)),YE48)</f>
        <v/>
      </c>
      <c r="YI48" s="12">
        <f>YE48-YH48</f>
        <v/>
      </c>
      <c r="YJ48" s="12">
        <f>IF(YG48=0,0,IF(XB48=1,SUMPRODUCT(--(($XC$5:$XC48=$XC48-1)*($XB$5:$XB48&gt;=10)*($XB$5:$XB48&lt;=12)),$YI$5:$YI48),IF(XB48=4,SUMPRODUCT(--(($XC$5:$XC48=$XC48)*($XB$5:$XB48&gt;=1)*($XB$5:$XB48&lt;=3)),$YI$5:$YI48),IF(XB48=7,SUMPRODUCT(--(($XC$5:$XC48=$XC48)*($XB$5:$XB48&gt;=4)*($XB$5:$XB48&lt;=6)),$YI$5:$YI48),IF(XB48=10,SUMPRODUCT(--(($XC$5:$XC48=$XC48)*($XB$5:$XB48&gt;=7)*($XB$5:$XB48&lt;=9)),$YI$5:$YI48),0)))))</f>
        <v/>
      </c>
      <c r="YK48" s="12">
        <f>YK47+YI48-YJ48</f>
        <v/>
      </c>
      <c r="YL48" s="12">
        <f>IF(ProviderDelay&gt;=1,XS47*BlendedProvPayEss+XT47*BlendedProvPayPrem+XU47*BlendedProvPayElite+XV47*BlendedProvPayEss+XW47*BlendedProvPayPrem+XX47*BlendedProvPayElite,XS48*BlendedProvPayEss+XT48*BlendedProvPayPrem+XU48*BlendedProvPayElite+XV48*BlendedProvPayEss+XW48*BlendedProvPayPrem+XX48*BlendedProvPayElite)</f>
        <v/>
      </c>
      <c r="YM48" s="12">
        <f>YE48*PaymentFee</f>
        <v/>
      </c>
      <c r="YN48" s="12">
        <f>XY48*OpsAI</f>
        <v/>
      </c>
      <c r="YO48" s="12">
        <f>MonthlyFixed</f>
        <v/>
      </c>
      <c r="YP48" s="12">
        <f>XI48*ReferralReward</f>
        <v/>
      </c>
      <c r="YQ48" s="12">
        <f>XG48</f>
        <v/>
      </c>
      <c r="YR48" s="9">
        <f>YH48-YL48-YM48-YN48-YO48-YP48-YQ48</f>
        <v/>
      </c>
      <c r="YS48" s="9">
        <f>YS47+YE48-(YL48+YM48+YN48+YO48+YP48+YQ48+YJ48)</f>
        <v/>
      </c>
      <c r="YT48" s="12">
        <f>IF(XY48&gt;0,XZ48/XY48,0)</f>
        <v/>
      </c>
      <c r="YU48" s="11">
        <f>IF(XY47&gt;0,MAX(0,(XY47+XJ48-XY48)/XY47),0)</f>
        <v/>
      </c>
      <c r="YW48" s="12" t="n">
        <v>44</v>
      </c>
      <c r="YX48" s="12">
        <f>MOD(YW48-1+LaunchMonth-1,12)+1</f>
        <v/>
      </c>
      <c r="YY48" s="12">
        <f>INT((YW48-1+LaunchMonth-1)/12)+1</f>
        <v/>
      </c>
      <c r="YZ48" s="12">
        <f>VLOOKUP(YX48,SeasonTable,2,FALSE)</f>
        <v/>
      </c>
      <c r="ZA48" s="12">
        <f>(1+InflationRate)^INT((YW48-1)/12)</f>
        <v/>
      </c>
      <c r="ZB48" s="11">
        <f>MonthlyChurn*VLOOKUP(YX48,ChurnSeasonTable,4,FALSE)</f>
        <v/>
      </c>
      <c r="ZC48" s="12">
        <f>MIN(MAX(MktMin19plus,AAA47*MktPct19plus),MAX(0,AAO47-CashBuffer))</f>
        <v/>
      </c>
      <c r="ZD48" s="12">
        <f>IF(ZC48&gt;0,MAX(1,ROUND(ZC48/CAC*YZ48,0)),0)</f>
        <v/>
      </c>
      <c r="ZE48" s="12">
        <f>IF(ZD48&gt;0,ROUND(ZD48*ReferralMix/(1-ReferralMix),0),0)</f>
        <v/>
      </c>
      <c r="ZF48" s="12">
        <f>ZD48+ZE48</f>
        <v/>
      </c>
      <c r="ZG48" s="12">
        <f>ROUND(ZF48*(1-'Sens - Annual Mix'!$A$11),0)</f>
        <v/>
      </c>
      <c r="ZH48" s="12">
        <f>ZF48-ZG48</f>
        <v/>
      </c>
      <c r="ZI48" s="12">
        <f>ROUND(ZG48*EssentialMix,0)</f>
        <v/>
      </c>
      <c r="ZJ48" s="12">
        <f>ROUND(ZG48*PremiumMix,0)</f>
        <v/>
      </c>
      <c r="ZK48" s="12">
        <f>ZG48-ZI48-ZJ48</f>
        <v/>
      </c>
      <c r="ZL48" s="12">
        <f>ROUND(ZH48*EssentialMix,0)</f>
        <v/>
      </c>
      <c r="ZM48" s="12">
        <f>ROUND(ZH48*PremiumMix,0)</f>
        <v/>
      </c>
      <c r="ZN48" s="12">
        <f>ZH48-ZL48-ZM48</f>
        <v/>
      </c>
      <c r="ZO48" s="12">
        <f>ZI48+ZI47+ZI46+MAX(0,ZO47-ZI47-ZI46)*(1-ZB48)</f>
        <v/>
      </c>
      <c r="ZP48" s="12">
        <f>ZJ48+ZJ47+ZJ46+MAX(0,ZP47-ZJ47-ZJ46)*(1-ZB48)</f>
        <v/>
      </c>
      <c r="ZQ48" s="12">
        <f>ZK48+ZK47+ZK46+MAX(0,ZQ47-ZK47-ZK46)*(1-ZB48)</f>
        <v/>
      </c>
      <c r="ZR48" s="12">
        <f>ZR47+ZL48-ZL36*(AnnualChurn*VLOOKUP(YX48,ChurnSeasonTable,4,FALSE))*POWER(1-(AnnualChurn*VLOOKUP(YX48,ChurnSeasonTable,4,FALSE)),0)+ZL24*(AnnualChurn*VLOOKUP(YX48,ChurnSeasonTable,4,FALSE))*POWER(1-(AnnualChurn*VLOOKUP(YX48,ChurnSeasonTable,4,FALSE)),1)+ZL12*(AnnualChurn*VLOOKUP(YX48,ChurnSeasonTable,4,FALSE))*POWER(1-(AnnualChurn*VLOOKUP(YX48,ChurnSeasonTable,4,FALSE)),2)</f>
        <v/>
      </c>
      <c r="ZS48" s="12">
        <f>ZS47+ZM48-ZM36*(AnnualChurn*VLOOKUP(YX48,ChurnSeasonTable,4,FALSE))*POWER(1-(AnnualChurn*VLOOKUP(YX48,ChurnSeasonTable,4,FALSE)),0)+ZM24*(AnnualChurn*VLOOKUP(YX48,ChurnSeasonTable,4,FALSE))*POWER(1-(AnnualChurn*VLOOKUP(YX48,ChurnSeasonTable,4,FALSE)),1)+ZM12*(AnnualChurn*VLOOKUP(YX48,ChurnSeasonTable,4,FALSE))*POWER(1-(AnnualChurn*VLOOKUP(YX48,ChurnSeasonTable,4,FALSE)),2)</f>
        <v/>
      </c>
      <c r="ZT48" s="12">
        <f>ZT47+ZN48-ZN36*(AnnualChurn*VLOOKUP(YX48,ChurnSeasonTable,4,FALSE))*POWER(1-(AnnualChurn*VLOOKUP(YX48,ChurnSeasonTable,4,FALSE)),0)+ZN24*(AnnualChurn*VLOOKUP(YX48,ChurnSeasonTable,4,FALSE))*POWER(1-(AnnualChurn*VLOOKUP(YX48,ChurnSeasonTable,4,FALSE)),1)+ZN12*(AnnualChurn*VLOOKUP(YX48,ChurnSeasonTable,4,FALSE))*POWER(1-(AnnualChurn*VLOOKUP(YX48,ChurnSeasonTable,4,FALSE)),2)</f>
        <v/>
      </c>
      <c r="ZU48" s="12">
        <f>ZO48+ZP48+ZQ48+ZR48+ZS48+ZT48</f>
        <v/>
      </c>
      <c r="ZV48" s="9">
        <f>ZO48*BlendedPriceEssMonthly*ZA48+ZP48*BlendedPricePremMonthly*ZA48+ZQ48*BlendedPriceEliteMonthly*ZA48+ZR48*BlendedPriceEssAnnual*ZA48/12+ZS48*BlendedPricePremAnnual*ZA48/12+ZT48*BlendedPriceEliteAnnual*ZA48/12</f>
        <v/>
      </c>
      <c r="ZW48" s="9">
        <f>ZV48*12</f>
        <v/>
      </c>
      <c r="ZX48" s="12">
        <f>ZO48*BlendedPriceEssMonthly*ZA48+ZP48*BlendedPricePremMonthly*ZA48+ZQ48*BlendedPriceEliteMonthly*ZA48</f>
        <v/>
      </c>
      <c r="ZY48" s="12">
        <f>ZL48*BlendedPriceEssAnnual*ZA48+ZM48*BlendedPricePremAnnual*ZA48+ZN48*BlendedPriceEliteAnnual*ZA48</f>
        <v/>
      </c>
      <c r="ZZ48" s="12">
        <f>ZL36*POWER(1-(AnnualChurn*VLOOKUP(YX48,ChurnSeasonTable,4,FALSE)),1)*BlendedPriceEssAnnual*ZA48+ZL24*POWER(1-(AnnualChurn*VLOOKUP(YX48,ChurnSeasonTable,4,FALSE)),2)*BlendedPriceEssAnnual*ZA48+ZL12*POWER(1-(AnnualChurn*VLOOKUP(YX48,ChurnSeasonTable,4,FALSE)),3)*BlendedPriceEssAnnual*ZA48+ZM36*POWER(1-(AnnualChurn*VLOOKUP(YX48,ChurnSeasonTable,4,FALSE)),1)*BlendedPricePremAnnual*ZA48+ZM24*POWER(1-(AnnualChurn*VLOOKUP(YX48,ChurnSeasonTable,4,FALSE)),2)*BlendedPricePremAnnual*ZA48+ZM12*POWER(1-(AnnualChurn*VLOOKUP(YX48,ChurnSeasonTable,4,FALSE)),3)*BlendedPricePremAnnual*ZA48+ZN36*POWER(1-(AnnualChurn*VLOOKUP(YX48,ChurnSeasonTable,4,FALSE)),1)*BlendedPriceEliteAnnual*ZA48+ZN24*POWER(1-(AnnualChurn*VLOOKUP(YX48,ChurnSeasonTable,4,FALSE)),2)*BlendedPriceEliteAnnual*ZA48+ZN12*POWER(1-(AnnualChurn*VLOOKUP(YX48,ChurnSeasonTable,4,FALSE)),3)*BlendedPriceEliteAnnual*ZA48</f>
        <v/>
      </c>
      <c r="AAA48" s="9">
        <f>ZX48+ZY48+ZZ48</f>
        <v/>
      </c>
      <c r="AAB48" s="12">
        <f>SUM(AAA37:AAA48)</f>
        <v/>
      </c>
      <c r="AAC48" s="12">
        <f>OR(AAC47,IF(VATAgentMode,SUM($AAA37:$AAA48)-SUM($AAH37:$AAH48)&gt;=VATThreshold,SUM($AAA37:$AAA48)&gt;=VATThreshold))</f>
        <v/>
      </c>
      <c r="AAD48" s="9">
        <f>IF(AAC48,IF(VATAgentMode,AAA48-((AAA48-AAH48)-(AAA48-AAH48)/(1+VATRate)),AAA48/(1+VATRate)),AAA48)</f>
        <v/>
      </c>
      <c r="AAE48" s="12">
        <f>AAA48-AAD48</f>
        <v/>
      </c>
      <c r="AAF48" s="12">
        <f>IF(AAC48=0,0,IF(YX48=1,SUMPRODUCT(--(($YY$5:$YY48=$YY48-1)*($YX$5:$YX48&gt;=10)*($YX$5:$YX48&lt;=12)),$AAE$5:$AAE48),IF(YX48=4,SUMPRODUCT(--(($YY$5:$YY48=$YY48)*($YX$5:$YX48&gt;=1)*($YX$5:$YX48&lt;=3)),$AAE$5:$AAE48),IF(YX48=7,SUMPRODUCT(--(($YY$5:$YY48=$YY48)*($YX$5:$YX48&gt;=4)*($YX$5:$YX48&lt;=6)),$AAE$5:$AAE48),IF(YX48=10,SUMPRODUCT(--(($YY$5:$YY48=$YY48)*($YX$5:$YX48&gt;=7)*($YX$5:$YX48&lt;=9)),$AAE$5:$AAE48),0)))))</f>
        <v/>
      </c>
      <c r="AAG48" s="12">
        <f>AAG47+AAE48-AAF48</f>
        <v/>
      </c>
      <c r="AAH48" s="12">
        <f>IF(ProviderDelay&gt;=1,ZO47*BlendedProvPayEss+ZP47*BlendedProvPayPrem+ZQ47*BlendedProvPayElite+ZR47*BlendedProvPayEss+ZS47*BlendedProvPayPrem+ZT47*BlendedProvPayElite,ZO48*BlendedProvPayEss+ZP48*BlendedProvPayPrem+ZQ48*BlendedProvPayElite+ZR48*BlendedProvPayEss+ZS48*BlendedProvPayPrem+ZT48*BlendedProvPayElite)</f>
        <v/>
      </c>
      <c r="AAI48" s="12">
        <f>AAA48*PaymentFee</f>
        <v/>
      </c>
      <c r="AAJ48" s="12">
        <f>ZU48*OpsAI</f>
        <v/>
      </c>
      <c r="AAK48" s="12">
        <f>MonthlyFixed</f>
        <v/>
      </c>
      <c r="AAL48" s="12">
        <f>ZE48*ReferralReward</f>
        <v/>
      </c>
      <c r="AAM48" s="12">
        <f>ZC48</f>
        <v/>
      </c>
      <c r="AAN48" s="9">
        <f>AAD48-AAH48-AAI48-AAJ48-AAK48-AAL48-AAM48</f>
        <v/>
      </c>
      <c r="AAO48" s="9">
        <f>AAO47+AAA48-(AAH48+AAI48+AAJ48+AAK48+AAL48+AAM48+AAF48)</f>
        <v/>
      </c>
      <c r="AAP48" s="12">
        <f>IF(ZU48&gt;0,ZV48/ZU48,0)</f>
        <v/>
      </c>
      <c r="AAQ48" s="11">
        <f>IF(ZU47&gt;0,MAX(0,(ZU47+ZF48-ZU48)/ZU47),0)</f>
        <v/>
      </c>
      <c r="AAS48" s="12" t="n">
        <v>44</v>
      </c>
      <c r="AAT48" s="12">
        <f>MOD(AAS48-1+LaunchMonth-1,12)+1</f>
        <v/>
      </c>
      <c r="AAU48" s="12">
        <f>INT((AAS48-1+LaunchMonth-1)/12)+1</f>
        <v/>
      </c>
      <c r="AAV48" s="12">
        <f>VLOOKUP(AAT48,SeasonTable,2,FALSE)</f>
        <v/>
      </c>
      <c r="AAW48" s="12">
        <f>(1+InflationRate)^INT((AAS48-1)/12)</f>
        <v/>
      </c>
      <c r="AAX48" s="11">
        <f>MonthlyChurn*VLOOKUP(AAT48,ChurnSeasonTable,4,FALSE)</f>
        <v/>
      </c>
      <c r="AAY48" s="12">
        <f>MIN(MAX(MktMin19plus,ABW47*MktPct19plus),MAX(0,ACK47-CashBuffer))</f>
        <v/>
      </c>
      <c r="AAZ48" s="12">
        <f>IF(AAY48&gt;0,MAX(1,ROUND(AAY48/CAC*AAV48,0)),0)</f>
        <v/>
      </c>
      <c r="ABA48" s="12">
        <f>IF(AAZ48&gt;0,ROUND(AAZ48*ReferralMix/(1-ReferralMix),0),0)</f>
        <v/>
      </c>
      <c r="ABB48" s="12">
        <f>AAZ48+ABA48</f>
        <v/>
      </c>
      <c r="ABC48" s="12">
        <f>ROUND(ABB48*(1-'Sens - Annual Mix'!$A$12),0)</f>
        <v/>
      </c>
      <c r="ABD48" s="12">
        <f>ABB48-ABC48</f>
        <v/>
      </c>
      <c r="ABE48" s="12">
        <f>ROUND(ABC48*EssentialMix,0)</f>
        <v/>
      </c>
      <c r="ABF48" s="12">
        <f>ROUND(ABC48*PremiumMix,0)</f>
        <v/>
      </c>
      <c r="ABG48" s="12">
        <f>ABC48-ABE48-ABF48</f>
        <v/>
      </c>
      <c r="ABH48" s="12">
        <f>ROUND(ABD48*EssentialMix,0)</f>
        <v/>
      </c>
      <c r="ABI48" s="12">
        <f>ROUND(ABD48*PremiumMix,0)</f>
        <v/>
      </c>
      <c r="ABJ48" s="12">
        <f>ABD48-ABH48-ABI48</f>
        <v/>
      </c>
      <c r="ABK48" s="12">
        <f>ABE48+ABE47+ABE46+MAX(0,ABK47-ABE47-ABE46)*(1-AAX48)</f>
        <v/>
      </c>
      <c r="ABL48" s="12">
        <f>ABF48+ABF47+ABF46+MAX(0,ABL47-ABF47-ABF46)*(1-AAX48)</f>
        <v/>
      </c>
      <c r="ABM48" s="12">
        <f>ABG48+ABG47+ABG46+MAX(0,ABM47-ABG47-ABG46)*(1-AAX48)</f>
        <v/>
      </c>
      <c r="ABN48" s="12">
        <f>ABN47+ABH48-ABH36*(AnnualChurn*VLOOKUP(AAT48,ChurnSeasonTable,4,FALSE))*POWER(1-(AnnualChurn*VLOOKUP(AAT48,ChurnSeasonTable,4,FALSE)),0)+ABH24*(AnnualChurn*VLOOKUP(AAT48,ChurnSeasonTable,4,FALSE))*POWER(1-(AnnualChurn*VLOOKUP(AAT48,ChurnSeasonTable,4,FALSE)),1)+ABH12*(AnnualChurn*VLOOKUP(AAT48,ChurnSeasonTable,4,FALSE))*POWER(1-(AnnualChurn*VLOOKUP(AAT48,ChurnSeasonTable,4,FALSE)),2)</f>
        <v/>
      </c>
      <c r="ABO48" s="12">
        <f>ABO47+ABI48-ABI36*(AnnualChurn*VLOOKUP(AAT48,ChurnSeasonTable,4,FALSE))*POWER(1-(AnnualChurn*VLOOKUP(AAT48,ChurnSeasonTable,4,FALSE)),0)+ABI24*(AnnualChurn*VLOOKUP(AAT48,ChurnSeasonTable,4,FALSE))*POWER(1-(AnnualChurn*VLOOKUP(AAT48,ChurnSeasonTable,4,FALSE)),1)+ABI12*(AnnualChurn*VLOOKUP(AAT48,ChurnSeasonTable,4,FALSE))*POWER(1-(AnnualChurn*VLOOKUP(AAT48,ChurnSeasonTable,4,FALSE)),2)</f>
        <v/>
      </c>
      <c r="ABP48" s="12">
        <f>ABP47+ABJ48-ABJ36*(AnnualChurn*VLOOKUP(AAT48,ChurnSeasonTable,4,FALSE))*POWER(1-(AnnualChurn*VLOOKUP(AAT48,ChurnSeasonTable,4,FALSE)),0)+ABJ24*(AnnualChurn*VLOOKUP(AAT48,ChurnSeasonTable,4,FALSE))*POWER(1-(AnnualChurn*VLOOKUP(AAT48,ChurnSeasonTable,4,FALSE)),1)+ABJ12*(AnnualChurn*VLOOKUP(AAT48,ChurnSeasonTable,4,FALSE))*POWER(1-(AnnualChurn*VLOOKUP(AAT48,ChurnSeasonTable,4,FALSE)),2)</f>
        <v/>
      </c>
      <c r="ABQ48" s="12">
        <f>ABK48+ABL48+ABM48+ABN48+ABO48+ABP48</f>
        <v/>
      </c>
      <c r="ABR48" s="9">
        <f>ABK48*BlendedPriceEssMonthly*AAW48+ABL48*BlendedPricePremMonthly*AAW48+ABM48*BlendedPriceEliteMonthly*AAW48+ABN48*BlendedPriceEssAnnual*AAW48/12+ABO48*BlendedPricePremAnnual*AAW48/12+ABP48*BlendedPriceEliteAnnual*AAW48/12</f>
        <v/>
      </c>
      <c r="ABS48" s="9">
        <f>ABR48*12</f>
        <v/>
      </c>
      <c r="ABT48" s="12">
        <f>ABK48*BlendedPriceEssMonthly*AAW48+ABL48*BlendedPricePremMonthly*AAW48+ABM48*BlendedPriceEliteMonthly*AAW48</f>
        <v/>
      </c>
      <c r="ABU48" s="12">
        <f>ABH48*BlendedPriceEssAnnual*AAW48+ABI48*BlendedPricePremAnnual*AAW48+ABJ48*BlendedPriceEliteAnnual*AAW48</f>
        <v/>
      </c>
      <c r="ABV48" s="12">
        <f>ABH36*POWER(1-(AnnualChurn*VLOOKUP(AAT48,ChurnSeasonTable,4,FALSE)),1)*BlendedPriceEssAnnual*AAW48+ABH24*POWER(1-(AnnualChurn*VLOOKUP(AAT48,ChurnSeasonTable,4,FALSE)),2)*BlendedPriceEssAnnual*AAW48+ABH12*POWER(1-(AnnualChurn*VLOOKUP(AAT48,ChurnSeasonTable,4,FALSE)),3)*BlendedPriceEssAnnual*AAW48+ABI36*POWER(1-(AnnualChurn*VLOOKUP(AAT48,ChurnSeasonTable,4,FALSE)),1)*BlendedPricePremAnnual*AAW48+ABI24*POWER(1-(AnnualChurn*VLOOKUP(AAT48,ChurnSeasonTable,4,FALSE)),2)*BlendedPricePremAnnual*AAW48+ABI12*POWER(1-(AnnualChurn*VLOOKUP(AAT48,ChurnSeasonTable,4,FALSE)),3)*BlendedPricePremAnnual*AAW48+ABJ36*POWER(1-(AnnualChurn*VLOOKUP(AAT48,ChurnSeasonTable,4,FALSE)),1)*BlendedPriceEliteAnnual*AAW48+ABJ24*POWER(1-(AnnualChurn*VLOOKUP(AAT48,ChurnSeasonTable,4,FALSE)),2)*BlendedPriceEliteAnnual*AAW48+ABJ12*POWER(1-(AnnualChurn*VLOOKUP(AAT48,ChurnSeasonTable,4,FALSE)),3)*BlendedPriceEliteAnnual*AAW48</f>
        <v/>
      </c>
      <c r="ABW48" s="9">
        <f>ABT48+ABU48+ABV48</f>
        <v/>
      </c>
      <c r="ABX48" s="12">
        <f>SUM(ABW37:ABW48)</f>
        <v/>
      </c>
      <c r="ABY48" s="12">
        <f>OR(ABY47,IF(VATAgentMode,SUM($ABW37:$ABW48)-SUM($ACD37:$ACD48)&gt;=VATThreshold,SUM($ABW37:$ABW48)&gt;=VATThreshold))</f>
        <v/>
      </c>
      <c r="ABZ48" s="9">
        <f>IF(ABY48,IF(VATAgentMode,ABW48-((ABW48-ACD48)-(ABW48-ACD48)/(1+VATRate)),ABW48/(1+VATRate)),ABW48)</f>
        <v/>
      </c>
      <c r="ACA48" s="12">
        <f>ABW48-ABZ48</f>
        <v/>
      </c>
      <c r="ACB48" s="12">
        <f>IF(ABY48=0,0,IF(AAT48=1,SUMPRODUCT(--(($AAU$5:$AAU48=$AAU48-1)*($AAT$5:$AAT48&gt;=10)*($AAT$5:$AAT48&lt;=12)),$ACA$5:$ACA48),IF(AAT48=4,SUMPRODUCT(--(($AAU$5:$AAU48=$AAU48)*($AAT$5:$AAT48&gt;=1)*($AAT$5:$AAT48&lt;=3)),$ACA$5:$ACA48),IF(AAT48=7,SUMPRODUCT(--(($AAU$5:$AAU48=$AAU48)*($AAT$5:$AAT48&gt;=4)*($AAT$5:$AAT48&lt;=6)),$ACA$5:$ACA48),IF(AAT48=10,SUMPRODUCT(--(($AAU$5:$AAU48=$AAU48)*($AAT$5:$AAT48&gt;=7)*($AAT$5:$AAT48&lt;=9)),$ACA$5:$ACA48),0)))))</f>
        <v/>
      </c>
      <c r="ACC48" s="12">
        <f>ACC47+ACA48-ACB48</f>
        <v/>
      </c>
      <c r="ACD48" s="12">
        <f>IF(ProviderDelay&gt;=1,ABK47*BlendedProvPayEss+ABL47*BlendedProvPayPrem+ABM47*BlendedProvPayElite+ABN47*BlendedProvPayEss+ABO47*BlendedProvPayPrem+ABP47*BlendedProvPayElite,ABK48*BlendedProvPayEss+ABL48*BlendedProvPayPrem+ABM48*BlendedProvPayElite+ABN48*BlendedProvPayEss+ABO48*BlendedProvPayPrem+ABP48*BlendedProvPayElite)</f>
        <v/>
      </c>
      <c r="ACE48" s="12">
        <f>ABW48*PaymentFee</f>
        <v/>
      </c>
      <c r="ACF48" s="12">
        <f>ABQ48*OpsAI</f>
        <v/>
      </c>
      <c r="ACG48" s="12">
        <f>MonthlyFixed</f>
        <v/>
      </c>
      <c r="ACH48" s="12">
        <f>ABA48*ReferralReward</f>
        <v/>
      </c>
      <c r="ACI48" s="12">
        <f>AAY48</f>
        <v/>
      </c>
      <c r="ACJ48" s="9">
        <f>ABZ48-ACD48-ACE48-ACF48-ACG48-ACH48-ACI48</f>
        <v/>
      </c>
      <c r="ACK48" s="9">
        <f>ACK47+ABW48-(ACD48+ACE48+ACF48+ACG48+ACH48+ACI48+ACB48)</f>
        <v/>
      </c>
      <c r="ACL48" s="12">
        <f>IF(ABQ48&gt;0,ABR48/ABQ48,0)</f>
        <v/>
      </c>
      <c r="ACM48" s="11">
        <f>IF(ABQ47&gt;0,MAX(0,(ABQ47+ABB48-ABQ48)/ABQ47),0)</f>
        <v/>
      </c>
      <c r="ACO48" s="12" t="n">
        <v>44</v>
      </c>
      <c r="ACP48" s="12">
        <f>MOD(ACO48-1+LaunchMonth-1,12)+1</f>
        <v/>
      </c>
      <c r="ACQ48" s="12">
        <f>INT((ACO48-1+LaunchMonth-1)/12)+1</f>
        <v/>
      </c>
      <c r="ACR48" s="12">
        <f>VLOOKUP(ACP48,SeasonTable,2,FALSE)</f>
        <v/>
      </c>
      <c r="ACS48" s="12">
        <f>(1+InflationRate)^INT((ACO48-1)/12)</f>
        <v/>
      </c>
      <c r="ACT48" s="11">
        <f>MonthlyChurn*VLOOKUP(ACP48,ChurnSeasonTable,4,FALSE)</f>
        <v/>
      </c>
      <c r="ACU48" s="12">
        <f>MIN(MAX(MktMin19plus,ADS47*MktPct19plus),MAX(0,AEG47-CashBuffer))</f>
        <v/>
      </c>
      <c r="ACV48" s="12">
        <f>IF(ACU48&gt;0,MAX(1,ROUND(ACU48/CAC*ACR48,0)),0)</f>
        <v/>
      </c>
      <c r="ACW48" s="12">
        <f>IF(ACV48&gt;0,ROUND(ACV48*ReferralMix/(1-ReferralMix),0),0)</f>
        <v/>
      </c>
      <c r="ACX48" s="12">
        <f>ACV48+ACW48</f>
        <v/>
      </c>
      <c r="ACY48" s="12">
        <f>ROUND(ACX48*(1-'Sens - Annual Mix'!$A$13),0)</f>
        <v/>
      </c>
      <c r="ACZ48" s="12">
        <f>ACX48-ACY48</f>
        <v/>
      </c>
      <c r="ADA48" s="12">
        <f>ROUND(ACY48*EssentialMix,0)</f>
        <v/>
      </c>
      <c r="ADB48" s="12">
        <f>ROUND(ACY48*PremiumMix,0)</f>
        <v/>
      </c>
      <c r="ADC48" s="12">
        <f>ACY48-ADA48-ADB48</f>
        <v/>
      </c>
      <c r="ADD48" s="12">
        <f>ROUND(ACZ48*EssentialMix,0)</f>
        <v/>
      </c>
      <c r="ADE48" s="12">
        <f>ROUND(ACZ48*PremiumMix,0)</f>
        <v/>
      </c>
      <c r="ADF48" s="12">
        <f>ACZ48-ADD48-ADE48</f>
        <v/>
      </c>
      <c r="ADG48" s="12">
        <f>ADA48+ADA47+ADA46+MAX(0,ADG47-ADA47-ADA46)*(1-ACT48)</f>
        <v/>
      </c>
      <c r="ADH48" s="12">
        <f>ADB48+ADB47+ADB46+MAX(0,ADH47-ADB47-ADB46)*(1-ACT48)</f>
        <v/>
      </c>
      <c r="ADI48" s="12">
        <f>ADC48+ADC47+ADC46+MAX(0,ADI47-ADC47-ADC46)*(1-ACT48)</f>
        <v/>
      </c>
      <c r="ADJ48" s="12">
        <f>ADJ47+ADD48-ADD36*(AnnualChurn*VLOOKUP(ACP48,ChurnSeasonTable,4,FALSE))*POWER(1-(AnnualChurn*VLOOKUP(ACP48,ChurnSeasonTable,4,FALSE)),0)+ADD24*(AnnualChurn*VLOOKUP(ACP48,ChurnSeasonTable,4,FALSE))*POWER(1-(AnnualChurn*VLOOKUP(ACP48,ChurnSeasonTable,4,FALSE)),1)+ADD12*(AnnualChurn*VLOOKUP(ACP48,ChurnSeasonTable,4,FALSE))*POWER(1-(AnnualChurn*VLOOKUP(ACP48,ChurnSeasonTable,4,FALSE)),2)</f>
        <v/>
      </c>
      <c r="ADK48" s="12">
        <f>ADK47+ADE48-ADE36*(AnnualChurn*VLOOKUP(ACP48,ChurnSeasonTable,4,FALSE))*POWER(1-(AnnualChurn*VLOOKUP(ACP48,ChurnSeasonTable,4,FALSE)),0)+ADE24*(AnnualChurn*VLOOKUP(ACP48,ChurnSeasonTable,4,FALSE))*POWER(1-(AnnualChurn*VLOOKUP(ACP48,ChurnSeasonTable,4,FALSE)),1)+ADE12*(AnnualChurn*VLOOKUP(ACP48,ChurnSeasonTable,4,FALSE))*POWER(1-(AnnualChurn*VLOOKUP(ACP48,ChurnSeasonTable,4,FALSE)),2)</f>
        <v/>
      </c>
      <c r="ADL48" s="12">
        <f>ADL47+ADF48-ADF36*(AnnualChurn*VLOOKUP(ACP48,ChurnSeasonTable,4,FALSE))*POWER(1-(AnnualChurn*VLOOKUP(ACP48,ChurnSeasonTable,4,FALSE)),0)+ADF24*(AnnualChurn*VLOOKUP(ACP48,ChurnSeasonTable,4,FALSE))*POWER(1-(AnnualChurn*VLOOKUP(ACP48,ChurnSeasonTable,4,FALSE)),1)+ADF12*(AnnualChurn*VLOOKUP(ACP48,ChurnSeasonTable,4,FALSE))*POWER(1-(AnnualChurn*VLOOKUP(ACP48,ChurnSeasonTable,4,FALSE)),2)</f>
        <v/>
      </c>
      <c r="ADM48" s="12">
        <f>ADG48+ADH48+ADI48+ADJ48+ADK48+ADL48</f>
        <v/>
      </c>
      <c r="ADN48" s="9">
        <f>ADG48*BlendedPriceEssMonthly*ACS48+ADH48*BlendedPricePremMonthly*ACS48+ADI48*BlendedPriceEliteMonthly*ACS48+ADJ48*BlendedPriceEssAnnual*ACS48/12+ADK48*BlendedPricePremAnnual*ACS48/12+ADL48*BlendedPriceEliteAnnual*ACS48/12</f>
        <v/>
      </c>
      <c r="ADO48" s="9">
        <f>ADN48*12</f>
        <v/>
      </c>
      <c r="ADP48" s="12">
        <f>ADG48*BlendedPriceEssMonthly*ACS48+ADH48*BlendedPricePremMonthly*ACS48+ADI48*BlendedPriceEliteMonthly*ACS48</f>
        <v/>
      </c>
      <c r="ADQ48" s="12">
        <f>ADD48*BlendedPriceEssAnnual*ACS48+ADE48*BlendedPricePremAnnual*ACS48+ADF48*BlendedPriceEliteAnnual*ACS48</f>
        <v/>
      </c>
      <c r="ADR48" s="12">
        <f>ADD36*POWER(1-(AnnualChurn*VLOOKUP(ACP48,ChurnSeasonTable,4,FALSE)),1)*BlendedPriceEssAnnual*ACS48+ADD24*POWER(1-(AnnualChurn*VLOOKUP(ACP48,ChurnSeasonTable,4,FALSE)),2)*BlendedPriceEssAnnual*ACS48+ADD12*POWER(1-(AnnualChurn*VLOOKUP(ACP48,ChurnSeasonTable,4,FALSE)),3)*BlendedPriceEssAnnual*ACS48+ADE36*POWER(1-(AnnualChurn*VLOOKUP(ACP48,ChurnSeasonTable,4,FALSE)),1)*BlendedPricePremAnnual*ACS48+ADE24*POWER(1-(AnnualChurn*VLOOKUP(ACP48,ChurnSeasonTable,4,FALSE)),2)*BlendedPricePremAnnual*ACS48+ADE12*POWER(1-(AnnualChurn*VLOOKUP(ACP48,ChurnSeasonTable,4,FALSE)),3)*BlendedPricePremAnnual*ACS48+ADF36*POWER(1-(AnnualChurn*VLOOKUP(ACP48,ChurnSeasonTable,4,FALSE)),1)*BlendedPriceEliteAnnual*ACS48+ADF24*POWER(1-(AnnualChurn*VLOOKUP(ACP48,ChurnSeasonTable,4,FALSE)),2)*BlendedPriceEliteAnnual*ACS48+ADF12*POWER(1-(AnnualChurn*VLOOKUP(ACP48,ChurnSeasonTable,4,FALSE)),3)*BlendedPriceEliteAnnual*ACS48</f>
        <v/>
      </c>
      <c r="ADS48" s="9">
        <f>ADP48+ADQ48+ADR48</f>
        <v/>
      </c>
      <c r="ADT48" s="12">
        <f>SUM(ADS37:ADS48)</f>
        <v/>
      </c>
      <c r="ADU48" s="12">
        <f>OR(ADU47,IF(VATAgentMode,SUM($ADS37:$ADS48)-SUM($ADZ37:$ADZ48)&gt;=VATThreshold,SUM($ADS37:$ADS48)&gt;=VATThreshold))</f>
        <v/>
      </c>
      <c r="ADV48" s="9">
        <f>IF(ADU48,IF(VATAgentMode,ADS48-((ADS48-ADZ48)-(ADS48-ADZ48)/(1+VATRate)),ADS48/(1+VATRate)),ADS48)</f>
        <v/>
      </c>
      <c r="ADW48" s="12">
        <f>ADS48-ADV48</f>
        <v/>
      </c>
      <c r="ADX48" s="12">
        <f>IF(ADU48=0,0,IF(ACP48=1,SUMPRODUCT(--(($ACQ$5:$ACQ48=$ACQ48-1)*($ACP$5:$ACP48&gt;=10)*($ACP$5:$ACP48&lt;=12)),$ADW$5:$ADW48),IF(ACP48=4,SUMPRODUCT(--(($ACQ$5:$ACQ48=$ACQ48)*($ACP$5:$ACP48&gt;=1)*($ACP$5:$ACP48&lt;=3)),$ADW$5:$ADW48),IF(ACP48=7,SUMPRODUCT(--(($ACQ$5:$ACQ48=$ACQ48)*($ACP$5:$ACP48&gt;=4)*($ACP$5:$ACP48&lt;=6)),$ADW$5:$ADW48),IF(ACP48=10,SUMPRODUCT(--(($ACQ$5:$ACQ48=$ACQ48)*($ACP$5:$ACP48&gt;=7)*($ACP$5:$ACP48&lt;=9)),$ADW$5:$ADW48),0)))))</f>
        <v/>
      </c>
      <c r="ADY48" s="12">
        <f>ADY47+ADW48-ADX48</f>
        <v/>
      </c>
      <c r="ADZ48" s="12">
        <f>IF(ProviderDelay&gt;=1,ADG47*BlendedProvPayEss+ADH47*BlendedProvPayPrem+ADI47*BlendedProvPayElite+ADJ47*BlendedProvPayEss+ADK47*BlendedProvPayPrem+ADL47*BlendedProvPayElite,ADG48*BlendedProvPayEss+ADH48*BlendedProvPayPrem+ADI48*BlendedProvPayElite+ADJ48*BlendedProvPayEss+ADK48*BlendedProvPayPrem+ADL48*BlendedProvPayElite)</f>
        <v/>
      </c>
      <c r="AEA48" s="12">
        <f>ADS48*PaymentFee</f>
        <v/>
      </c>
      <c r="AEB48" s="12">
        <f>ADM48*OpsAI</f>
        <v/>
      </c>
      <c r="AEC48" s="12">
        <f>MonthlyFixed</f>
        <v/>
      </c>
      <c r="AED48" s="12">
        <f>ACW48*ReferralReward</f>
        <v/>
      </c>
      <c r="AEE48" s="12">
        <f>ACU48</f>
        <v/>
      </c>
      <c r="AEF48" s="9">
        <f>ADV48-ADZ48-AEA48-AEB48-AEC48-AED48-AEE48</f>
        <v/>
      </c>
      <c r="AEG48" s="9">
        <f>AEG47+ADS48-(ADZ48+AEA48+AEB48+AEC48+AED48+AEE48+ADX48)</f>
        <v/>
      </c>
      <c r="AEH48" s="12">
        <f>IF(ADM48&gt;0,ADN48/ADM48,0)</f>
        <v/>
      </c>
      <c r="AEI48" s="11">
        <f>IF(ADM47&gt;0,MAX(0,(ADM47+ACX48-ADM48)/ADM47),0)</f>
        <v/>
      </c>
      <c r="AEK48" s="12" t="n">
        <v>44</v>
      </c>
      <c r="AEL48" s="12">
        <f>MOD(AEK48-1+LaunchMonth-1,12)+1</f>
        <v/>
      </c>
      <c r="AEM48" s="12">
        <f>INT((AEK48-1+LaunchMonth-1)/12)+1</f>
        <v/>
      </c>
      <c r="AEN48" s="12">
        <f>VLOOKUP(AEL48,SeasonTable,2,FALSE)</f>
        <v/>
      </c>
      <c r="AEO48" s="12">
        <f>(1+InflationRate)^INT((AEK48-1)/12)</f>
        <v/>
      </c>
      <c r="AEP48" s="11">
        <f>MonthlyChurn*VLOOKUP(AEL48,ChurnSeasonTable,4,FALSE)</f>
        <v/>
      </c>
      <c r="AEQ48" s="12">
        <f>MIN(MAX(MktMin19plus,AFO47*MktPct19plus),MAX(0,AGC47-CashBuffer))</f>
        <v/>
      </c>
      <c r="AER48" s="12">
        <f>IF(AEQ48&gt;0,MAX(1,ROUND(AEQ48/CAC*AEN48,0)),0)</f>
        <v/>
      </c>
      <c r="AES48" s="12">
        <f>IF(AER48&gt;0,ROUND(AER48*ReferralMix/(1-ReferralMix),0),0)</f>
        <v/>
      </c>
      <c r="AET48" s="12">
        <f>AER48+AES48</f>
        <v/>
      </c>
      <c r="AEU48" s="12">
        <f>ROUND(AET48*(1-'Sens - Annual Mix'!$A$14),0)</f>
        <v/>
      </c>
      <c r="AEV48" s="12">
        <f>AET48-AEU48</f>
        <v/>
      </c>
      <c r="AEW48" s="12">
        <f>ROUND(AEU48*EssentialMix,0)</f>
        <v/>
      </c>
      <c r="AEX48" s="12">
        <f>ROUND(AEU48*PremiumMix,0)</f>
        <v/>
      </c>
      <c r="AEY48" s="12">
        <f>AEU48-AEW48-AEX48</f>
        <v/>
      </c>
      <c r="AEZ48" s="12">
        <f>ROUND(AEV48*EssentialMix,0)</f>
        <v/>
      </c>
      <c r="AFA48" s="12">
        <f>ROUND(AEV48*PremiumMix,0)</f>
        <v/>
      </c>
      <c r="AFB48" s="12">
        <f>AEV48-AEZ48-AFA48</f>
        <v/>
      </c>
      <c r="AFC48" s="12">
        <f>AEW48+AEW47+AEW46+MAX(0,AFC47-AEW47-AEW46)*(1-AEP48)</f>
        <v/>
      </c>
      <c r="AFD48" s="12">
        <f>AEX48+AEX47+AEX46+MAX(0,AFD47-AEX47-AEX46)*(1-AEP48)</f>
        <v/>
      </c>
      <c r="AFE48" s="12">
        <f>AEY48+AEY47+AEY46+MAX(0,AFE47-AEY47-AEY46)*(1-AEP48)</f>
        <v/>
      </c>
      <c r="AFF48" s="12">
        <f>AFF47+AEZ48-AEZ36*(AnnualChurn*VLOOKUP(AEL48,ChurnSeasonTable,4,FALSE))*POWER(1-(AnnualChurn*VLOOKUP(AEL48,ChurnSeasonTable,4,FALSE)),0)+AEZ24*(AnnualChurn*VLOOKUP(AEL48,ChurnSeasonTable,4,FALSE))*POWER(1-(AnnualChurn*VLOOKUP(AEL48,ChurnSeasonTable,4,FALSE)),1)+AEZ12*(AnnualChurn*VLOOKUP(AEL48,ChurnSeasonTable,4,FALSE))*POWER(1-(AnnualChurn*VLOOKUP(AEL48,ChurnSeasonTable,4,FALSE)),2)</f>
        <v/>
      </c>
      <c r="AFG48" s="12">
        <f>AFG47+AFA48-AFA36*(AnnualChurn*VLOOKUP(AEL48,ChurnSeasonTable,4,FALSE))*POWER(1-(AnnualChurn*VLOOKUP(AEL48,ChurnSeasonTable,4,FALSE)),0)+AFA24*(AnnualChurn*VLOOKUP(AEL48,ChurnSeasonTable,4,FALSE))*POWER(1-(AnnualChurn*VLOOKUP(AEL48,ChurnSeasonTable,4,FALSE)),1)+AFA12*(AnnualChurn*VLOOKUP(AEL48,ChurnSeasonTable,4,FALSE))*POWER(1-(AnnualChurn*VLOOKUP(AEL48,ChurnSeasonTable,4,FALSE)),2)</f>
        <v/>
      </c>
      <c r="AFH48" s="12">
        <f>AFH47+AFB48-AFB36*(AnnualChurn*VLOOKUP(AEL48,ChurnSeasonTable,4,FALSE))*POWER(1-(AnnualChurn*VLOOKUP(AEL48,ChurnSeasonTable,4,FALSE)),0)+AFB24*(AnnualChurn*VLOOKUP(AEL48,ChurnSeasonTable,4,FALSE))*POWER(1-(AnnualChurn*VLOOKUP(AEL48,ChurnSeasonTable,4,FALSE)),1)+AFB12*(AnnualChurn*VLOOKUP(AEL48,ChurnSeasonTable,4,FALSE))*POWER(1-(AnnualChurn*VLOOKUP(AEL48,ChurnSeasonTable,4,FALSE)),2)</f>
        <v/>
      </c>
      <c r="AFI48" s="12">
        <f>AFC48+AFD48+AFE48+AFF48+AFG48+AFH48</f>
        <v/>
      </c>
      <c r="AFJ48" s="9">
        <f>AFC48*BlendedPriceEssMonthly*AEO48+AFD48*BlendedPricePremMonthly*AEO48+AFE48*BlendedPriceEliteMonthly*AEO48+AFF48*BlendedPriceEssAnnual*AEO48/12+AFG48*BlendedPricePremAnnual*AEO48/12+AFH48*BlendedPriceEliteAnnual*AEO48/12</f>
        <v/>
      </c>
      <c r="AFK48" s="9">
        <f>AFJ48*12</f>
        <v/>
      </c>
      <c r="AFL48" s="12">
        <f>AFC48*BlendedPriceEssMonthly*AEO48+AFD48*BlendedPricePremMonthly*AEO48+AFE48*BlendedPriceEliteMonthly*AEO48</f>
        <v/>
      </c>
      <c r="AFM48" s="12">
        <f>AEZ48*BlendedPriceEssAnnual*AEO48+AFA48*BlendedPricePremAnnual*AEO48+AFB48*BlendedPriceEliteAnnual*AEO48</f>
        <v/>
      </c>
      <c r="AFN48" s="12">
        <f>AEZ36*POWER(1-(AnnualChurn*VLOOKUP(AEL48,ChurnSeasonTable,4,FALSE)),1)*BlendedPriceEssAnnual*AEO48+AEZ24*POWER(1-(AnnualChurn*VLOOKUP(AEL48,ChurnSeasonTable,4,FALSE)),2)*BlendedPriceEssAnnual*AEO48+AEZ12*POWER(1-(AnnualChurn*VLOOKUP(AEL48,ChurnSeasonTable,4,FALSE)),3)*BlendedPriceEssAnnual*AEO48+AFA36*POWER(1-(AnnualChurn*VLOOKUP(AEL48,ChurnSeasonTable,4,FALSE)),1)*BlendedPricePremAnnual*AEO48+AFA24*POWER(1-(AnnualChurn*VLOOKUP(AEL48,ChurnSeasonTable,4,FALSE)),2)*BlendedPricePremAnnual*AEO48+AFA12*POWER(1-(AnnualChurn*VLOOKUP(AEL48,ChurnSeasonTable,4,FALSE)),3)*BlendedPricePremAnnual*AEO48+AFB36*POWER(1-(AnnualChurn*VLOOKUP(AEL48,ChurnSeasonTable,4,FALSE)),1)*BlendedPriceEliteAnnual*AEO48+AFB24*POWER(1-(AnnualChurn*VLOOKUP(AEL48,ChurnSeasonTable,4,FALSE)),2)*BlendedPriceEliteAnnual*AEO48+AFB12*POWER(1-(AnnualChurn*VLOOKUP(AEL48,ChurnSeasonTable,4,FALSE)),3)*BlendedPriceEliteAnnual*AEO48</f>
        <v/>
      </c>
      <c r="AFO48" s="9">
        <f>AFL48+AFM48+AFN48</f>
        <v/>
      </c>
      <c r="AFP48" s="12">
        <f>SUM(AFO37:AFO48)</f>
        <v/>
      </c>
      <c r="AFQ48" s="12">
        <f>OR(AFQ47,IF(VATAgentMode,SUM($AFO37:$AFO48)-SUM($AFV37:$AFV48)&gt;=VATThreshold,SUM($AFO37:$AFO48)&gt;=VATThreshold))</f>
        <v/>
      </c>
      <c r="AFR48" s="9">
        <f>IF(AFQ48,IF(VATAgentMode,AFO48-((AFO48-AFV48)-(AFO48-AFV48)/(1+VATRate)),AFO48/(1+VATRate)),AFO48)</f>
        <v/>
      </c>
      <c r="AFS48" s="12">
        <f>AFO48-AFR48</f>
        <v/>
      </c>
      <c r="AFT48" s="12">
        <f>IF(AFQ48=0,0,IF(AEL48=1,SUMPRODUCT(--(($AEM$5:$AEM48=$AEM48-1)*($AEL$5:$AEL48&gt;=10)*($AEL$5:$AEL48&lt;=12)),$AFS$5:$AFS48),IF(AEL48=4,SUMPRODUCT(--(($AEM$5:$AEM48=$AEM48)*($AEL$5:$AEL48&gt;=1)*($AEL$5:$AEL48&lt;=3)),$AFS$5:$AFS48),IF(AEL48=7,SUMPRODUCT(--(($AEM$5:$AEM48=$AEM48)*($AEL$5:$AEL48&gt;=4)*($AEL$5:$AEL48&lt;=6)),$AFS$5:$AFS48),IF(AEL48=10,SUMPRODUCT(--(($AEM$5:$AEM48=$AEM48)*($AEL$5:$AEL48&gt;=7)*($AEL$5:$AEL48&lt;=9)),$AFS$5:$AFS48),0)))))</f>
        <v/>
      </c>
      <c r="AFU48" s="12">
        <f>AFU47+AFS48-AFT48</f>
        <v/>
      </c>
      <c r="AFV48" s="12">
        <f>IF(ProviderDelay&gt;=1,AFC47*BlendedProvPayEss+AFD47*BlendedProvPayPrem+AFE47*BlendedProvPayElite+AFF47*BlendedProvPayEss+AFG47*BlendedProvPayPrem+AFH47*BlendedProvPayElite,AFC48*BlendedProvPayEss+AFD48*BlendedProvPayPrem+AFE48*BlendedProvPayElite+AFF48*BlendedProvPayEss+AFG48*BlendedProvPayPrem+AFH48*BlendedProvPayElite)</f>
        <v/>
      </c>
      <c r="AFW48" s="12">
        <f>AFO48*PaymentFee</f>
        <v/>
      </c>
      <c r="AFX48" s="12">
        <f>AFI48*OpsAI</f>
        <v/>
      </c>
      <c r="AFY48" s="12">
        <f>MonthlyFixed</f>
        <v/>
      </c>
      <c r="AFZ48" s="12">
        <f>AES48*ReferralReward</f>
        <v/>
      </c>
      <c r="AGA48" s="12">
        <f>AEQ48</f>
        <v/>
      </c>
      <c r="AGB48" s="9">
        <f>AFR48-AFV48-AFW48-AFX48-AFY48-AFZ48-AGA48</f>
        <v/>
      </c>
      <c r="AGC48" s="9">
        <f>AGC47+AFO48-(AFV48+AFW48+AFX48+AFY48+AFZ48+AGA48+AFT48)</f>
        <v/>
      </c>
      <c r="AGD48" s="12">
        <f>IF(AFI48&gt;0,AFJ48/AFI48,0)</f>
        <v/>
      </c>
      <c r="AGE48" s="11">
        <f>IF(AFI47&gt;0,MAX(0,(AFI47+AET48-AFI48)/AFI47),0)</f>
        <v/>
      </c>
      <c r="AGG48" s="12" t="n">
        <v>44</v>
      </c>
      <c r="AGH48" s="12">
        <f>MOD(AGG48-1+LaunchMonth-1,12)+1</f>
        <v/>
      </c>
      <c r="AGI48" s="12">
        <f>INT((AGG48-1+LaunchMonth-1)/12)+1</f>
        <v/>
      </c>
      <c r="AGJ48" s="12">
        <f>VLOOKUP(AGH48,SeasonTable,2,FALSE)</f>
        <v/>
      </c>
      <c r="AGK48" s="12">
        <f>(1+InflationRate)^INT((AGG48-1)/12)</f>
        <v/>
      </c>
      <c r="AGL48" s="11">
        <f>MonthlyChurn*VLOOKUP(AGH48,ChurnSeasonTable,4,FALSE)</f>
        <v/>
      </c>
      <c r="AGM48" s="12">
        <f>MIN(MAX(MktMin19plus,AHK47*MktPct19plus),MAX(0,AHY47-CashBuffer))</f>
        <v/>
      </c>
      <c r="AGN48" s="12">
        <f>IF(AGM48&gt;0,MAX(1,ROUND(AGM48/CAC*AGJ48,0)),0)</f>
        <v/>
      </c>
      <c r="AGO48" s="12">
        <f>IF(AGN48&gt;0,ROUND(AGN48*ReferralMix/(1-ReferralMix),0),0)</f>
        <v/>
      </c>
      <c r="AGP48" s="12">
        <f>AGN48+AGO48</f>
        <v/>
      </c>
      <c r="AGQ48" s="12">
        <f>ROUND(AGP48*(1-'Sens - Annual Mix'!$A$15),0)</f>
        <v/>
      </c>
      <c r="AGR48" s="12">
        <f>AGP48-AGQ48</f>
        <v/>
      </c>
      <c r="AGS48" s="12">
        <f>ROUND(AGQ48*EssentialMix,0)</f>
        <v/>
      </c>
      <c r="AGT48" s="12">
        <f>ROUND(AGQ48*PremiumMix,0)</f>
        <v/>
      </c>
      <c r="AGU48" s="12">
        <f>AGQ48-AGS48-AGT48</f>
        <v/>
      </c>
      <c r="AGV48" s="12">
        <f>ROUND(AGR48*EssentialMix,0)</f>
        <v/>
      </c>
      <c r="AGW48" s="12">
        <f>ROUND(AGR48*PremiumMix,0)</f>
        <v/>
      </c>
      <c r="AGX48" s="12">
        <f>AGR48-AGV48-AGW48</f>
        <v/>
      </c>
      <c r="AGY48" s="12">
        <f>AGS48+AGS47+AGS46+MAX(0,AGY47-AGS47-AGS46)*(1-AGL48)</f>
        <v/>
      </c>
      <c r="AGZ48" s="12">
        <f>AGT48+AGT47+AGT46+MAX(0,AGZ47-AGT47-AGT46)*(1-AGL48)</f>
        <v/>
      </c>
      <c r="AHA48" s="12">
        <f>AGU48+AGU47+AGU46+MAX(0,AHA47-AGU47-AGU46)*(1-AGL48)</f>
        <v/>
      </c>
      <c r="AHB48" s="12">
        <f>AHB47+AGV48-AGV36*(AnnualChurn*VLOOKUP(AGH48,ChurnSeasonTable,4,FALSE))*POWER(1-(AnnualChurn*VLOOKUP(AGH48,ChurnSeasonTable,4,FALSE)),0)+AGV24*(AnnualChurn*VLOOKUP(AGH48,ChurnSeasonTable,4,FALSE))*POWER(1-(AnnualChurn*VLOOKUP(AGH48,ChurnSeasonTable,4,FALSE)),1)+AGV12*(AnnualChurn*VLOOKUP(AGH48,ChurnSeasonTable,4,FALSE))*POWER(1-(AnnualChurn*VLOOKUP(AGH48,ChurnSeasonTable,4,FALSE)),2)</f>
        <v/>
      </c>
      <c r="AHC48" s="12">
        <f>AHC47+AGW48-AGW36*(AnnualChurn*VLOOKUP(AGH48,ChurnSeasonTable,4,FALSE))*POWER(1-(AnnualChurn*VLOOKUP(AGH48,ChurnSeasonTable,4,FALSE)),0)+AGW24*(AnnualChurn*VLOOKUP(AGH48,ChurnSeasonTable,4,FALSE))*POWER(1-(AnnualChurn*VLOOKUP(AGH48,ChurnSeasonTable,4,FALSE)),1)+AGW12*(AnnualChurn*VLOOKUP(AGH48,ChurnSeasonTable,4,FALSE))*POWER(1-(AnnualChurn*VLOOKUP(AGH48,ChurnSeasonTable,4,FALSE)),2)</f>
        <v/>
      </c>
      <c r="AHD48" s="12">
        <f>AHD47+AGX48-AGX36*(AnnualChurn*VLOOKUP(AGH48,ChurnSeasonTable,4,FALSE))*POWER(1-(AnnualChurn*VLOOKUP(AGH48,ChurnSeasonTable,4,FALSE)),0)+AGX24*(AnnualChurn*VLOOKUP(AGH48,ChurnSeasonTable,4,FALSE))*POWER(1-(AnnualChurn*VLOOKUP(AGH48,ChurnSeasonTable,4,FALSE)),1)+AGX12*(AnnualChurn*VLOOKUP(AGH48,ChurnSeasonTable,4,FALSE))*POWER(1-(AnnualChurn*VLOOKUP(AGH48,ChurnSeasonTable,4,FALSE)),2)</f>
        <v/>
      </c>
      <c r="AHE48" s="12">
        <f>AGY48+AGZ48+AHA48+AHB48+AHC48+AHD48</f>
        <v/>
      </c>
      <c r="AHF48" s="9">
        <f>AGY48*BlendedPriceEssMonthly*AGK48+AGZ48*BlendedPricePremMonthly*AGK48+AHA48*BlendedPriceEliteMonthly*AGK48+AHB48*BlendedPriceEssAnnual*AGK48/12+AHC48*BlendedPricePremAnnual*AGK48/12+AHD48*BlendedPriceEliteAnnual*AGK48/12</f>
        <v/>
      </c>
      <c r="AHG48" s="9">
        <f>AHF48*12</f>
        <v/>
      </c>
      <c r="AHH48" s="12">
        <f>AGY48*BlendedPriceEssMonthly*AGK48+AGZ48*BlendedPricePremMonthly*AGK48+AHA48*BlendedPriceEliteMonthly*AGK48</f>
        <v/>
      </c>
      <c r="AHI48" s="12">
        <f>AGV48*BlendedPriceEssAnnual*AGK48+AGW48*BlendedPricePremAnnual*AGK48+AGX48*BlendedPriceEliteAnnual*AGK48</f>
        <v/>
      </c>
      <c r="AHJ48" s="12">
        <f>AGV36*POWER(1-(AnnualChurn*VLOOKUP(AGH48,ChurnSeasonTable,4,FALSE)),1)*BlendedPriceEssAnnual*AGK48+AGV24*POWER(1-(AnnualChurn*VLOOKUP(AGH48,ChurnSeasonTable,4,FALSE)),2)*BlendedPriceEssAnnual*AGK48+AGV12*POWER(1-(AnnualChurn*VLOOKUP(AGH48,ChurnSeasonTable,4,FALSE)),3)*BlendedPriceEssAnnual*AGK48+AGW36*POWER(1-(AnnualChurn*VLOOKUP(AGH48,ChurnSeasonTable,4,FALSE)),1)*BlendedPricePremAnnual*AGK48+AGW24*POWER(1-(AnnualChurn*VLOOKUP(AGH48,ChurnSeasonTable,4,FALSE)),2)*BlendedPricePremAnnual*AGK48+AGW12*POWER(1-(AnnualChurn*VLOOKUP(AGH48,ChurnSeasonTable,4,FALSE)),3)*BlendedPricePremAnnual*AGK48+AGX36*POWER(1-(AnnualChurn*VLOOKUP(AGH48,ChurnSeasonTable,4,FALSE)),1)*BlendedPriceEliteAnnual*AGK48+AGX24*POWER(1-(AnnualChurn*VLOOKUP(AGH48,ChurnSeasonTable,4,FALSE)),2)*BlendedPriceEliteAnnual*AGK48+AGX12*POWER(1-(AnnualChurn*VLOOKUP(AGH48,ChurnSeasonTable,4,FALSE)),3)*BlendedPriceEliteAnnual*AGK48</f>
        <v/>
      </c>
      <c r="AHK48" s="9">
        <f>AHH48+AHI48+AHJ48</f>
        <v/>
      </c>
      <c r="AHL48" s="12">
        <f>SUM(AHK37:AHK48)</f>
        <v/>
      </c>
      <c r="AHM48" s="12">
        <f>OR(AHM47,IF(VATAgentMode,SUM($AHK37:$AHK48)-SUM($AHR37:$AHR48)&gt;=VATThreshold,SUM($AHK37:$AHK48)&gt;=VATThreshold))</f>
        <v/>
      </c>
      <c r="AHN48" s="9">
        <f>IF(AHM48,IF(VATAgentMode,AHK48-((AHK48-AHR48)-(AHK48-AHR48)/(1+VATRate)),AHK48/(1+VATRate)),AHK48)</f>
        <v/>
      </c>
      <c r="AHO48" s="12">
        <f>AHK48-AHN48</f>
        <v/>
      </c>
      <c r="AHP48" s="12">
        <f>IF(AHM48=0,0,IF(AGH48=1,SUMPRODUCT(--(($AGI$5:$AGI48=$AGI48-1)*($AGH$5:$AGH48&gt;=10)*($AGH$5:$AGH48&lt;=12)),$AHO$5:$AHO48),IF(AGH48=4,SUMPRODUCT(--(($AGI$5:$AGI48=$AGI48)*($AGH$5:$AGH48&gt;=1)*($AGH$5:$AGH48&lt;=3)),$AHO$5:$AHO48),IF(AGH48=7,SUMPRODUCT(--(($AGI$5:$AGI48=$AGI48)*($AGH$5:$AGH48&gt;=4)*($AGH$5:$AGH48&lt;=6)),$AHO$5:$AHO48),IF(AGH48=10,SUMPRODUCT(--(($AGI$5:$AGI48=$AGI48)*($AGH$5:$AGH48&gt;=7)*($AGH$5:$AGH48&lt;=9)),$AHO$5:$AHO48),0)))))</f>
        <v/>
      </c>
      <c r="AHQ48" s="12">
        <f>AHQ47+AHO48-AHP48</f>
        <v/>
      </c>
      <c r="AHR48" s="12">
        <f>IF(ProviderDelay&gt;=1,AGY47*BlendedProvPayEss+AGZ47*BlendedProvPayPrem+AHA47*BlendedProvPayElite+AHB47*BlendedProvPayEss+AHC47*BlendedProvPayPrem+AHD47*BlendedProvPayElite,AGY48*BlendedProvPayEss+AGZ48*BlendedProvPayPrem+AHA48*BlendedProvPayElite+AHB48*BlendedProvPayEss+AHC48*BlendedProvPayPrem+AHD48*BlendedProvPayElite)</f>
        <v/>
      </c>
      <c r="AHS48" s="12">
        <f>AHK48*PaymentFee</f>
        <v/>
      </c>
      <c r="AHT48" s="12">
        <f>AHE48*OpsAI</f>
        <v/>
      </c>
      <c r="AHU48" s="12">
        <f>MonthlyFixed</f>
        <v/>
      </c>
      <c r="AHV48" s="12">
        <f>AGO48*ReferralReward</f>
        <v/>
      </c>
      <c r="AHW48" s="12">
        <f>AGM48</f>
        <v/>
      </c>
      <c r="AHX48" s="9">
        <f>AHN48-AHR48-AHS48-AHT48-AHU48-AHV48-AHW48</f>
        <v/>
      </c>
      <c r="AHY48" s="9">
        <f>AHY47+AHK48-(AHR48+AHS48+AHT48+AHU48+AHV48+AHW48+AHP48)</f>
        <v/>
      </c>
      <c r="AHZ48" s="12">
        <f>IF(AHE48&gt;0,AHF48/AHE48,0)</f>
        <v/>
      </c>
      <c r="AIA48" s="11">
        <f>IF(AHE47&gt;0,MAX(0,(AHE47+AGP48-AHE48)/AHE47),0)</f>
        <v/>
      </c>
      <c r="AIC48" s="12" t="n">
        <v>44</v>
      </c>
      <c r="AID48" s="12">
        <f>MOD(AIC48-1+LaunchMonth-1,12)+1</f>
        <v/>
      </c>
      <c r="AIE48" s="12">
        <f>INT((AIC48-1+LaunchMonth-1)/12)+1</f>
        <v/>
      </c>
      <c r="AIF48" s="12">
        <f>VLOOKUP(AID48,SeasonTable,2,FALSE)</f>
        <v/>
      </c>
      <c r="AIG48" s="12">
        <f>(1+InflationRate)^INT((AIC48-1)/12)</f>
        <v/>
      </c>
      <c r="AIH48" s="11">
        <f>MonthlyChurn*VLOOKUP(AID48,ChurnSeasonTable,4,FALSE)</f>
        <v/>
      </c>
      <c r="AII48" s="12">
        <f>MIN(MAX(MktMin19plus,AJG47*MktPct19plus),MAX(0,AJU47-CashBuffer))</f>
        <v/>
      </c>
      <c r="AIJ48" s="12">
        <f>IF(AII48&gt;0,MAX(1,ROUND(AII48/'Sens - CAC &amp; Marketing'!$A$9*AIF48,0)),0)</f>
        <v/>
      </c>
      <c r="AIK48" s="12">
        <f>IF(AIJ48&gt;0,ROUND(AIJ48*ReferralMix/(1-ReferralMix),0),0)</f>
        <v/>
      </c>
      <c r="AIL48" s="12">
        <f>AIJ48+AIK48</f>
        <v/>
      </c>
      <c r="AIM48" s="12">
        <f>ROUND(AIL48*(1-AnnualMix),0)</f>
        <v/>
      </c>
      <c r="AIN48" s="12">
        <f>AIL48-AIM48</f>
        <v/>
      </c>
      <c r="AIO48" s="12">
        <f>ROUND(AIM48*EssentialMix,0)</f>
        <v/>
      </c>
      <c r="AIP48" s="12">
        <f>ROUND(AIM48*PremiumMix,0)</f>
        <v/>
      </c>
      <c r="AIQ48" s="12">
        <f>AIM48-AIO48-AIP48</f>
        <v/>
      </c>
      <c r="AIR48" s="12">
        <f>ROUND(AIN48*EssentialMix,0)</f>
        <v/>
      </c>
      <c r="AIS48" s="12">
        <f>ROUND(AIN48*PremiumMix,0)</f>
        <v/>
      </c>
      <c r="AIT48" s="12">
        <f>AIN48-AIR48-AIS48</f>
        <v/>
      </c>
      <c r="AIU48" s="12">
        <f>AIO48+AIO47+AIO46+MAX(0,AIU47-AIO47-AIO46)*(1-AIH48)</f>
        <v/>
      </c>
      <c r="AIV48" s="12">
        <f>AIP48+AIP47+AIP46+MAX(0,AIV47-AIP47-AIP46)*(1-AIH48)</f>
        <v/>
      </c>
      <c r="AIW48" s="12">
        <f>AIQ48+AIQ47+AIQ46+MAX(0,AIW47-AIQ47-AIQ46)*(1-AIH48)</f>
        <v/>
      </c>
      <c r="AIX48" s="12">
        <f>AIX47+AIR48-AIR36*(AnnualChurn*VLOOKUP(AID48,ChurnSeasonTable,4,FALSE))*POWER(1-(AnnualChurn*VLOOKUP(AID48,ChurnSeasonTable,4,FALSE)),0)+AIR24*(AnnualChurn*VLOOKUP(AID48,ChurnSeasonTable,4,FALSE))*POWER(1-(AnnualChurn*VLOOKUP(AID48,ChurnSeasonTable,4,FALSE)),1)+AIR12*(AnnualChurn*VLOOKUP(AID48,ChurnSeasonTable,4,FALSE))*POWER(1-(AnnualChurn*VLOOKUP(AID48,ChurnSeasonTable,4,FALSE)),2)</f>
        <v/>
      </c>
      <c r="AIY48" s="12">
        <f>AIY47+AIS48-AIS36*(AnnualChurn*VLOOKUP(AID48,ChurnSeasonTable,4,FALSE))*POWER(1-(AnnualChurn*VLOOKUP(AID48,ChurnSeasonTable,4,FALSE)),0)+AIS24*(AnnualChurn*VLOOKUP(AID48,ChurnSeasonTable,4,FALSE))*POWER(1-(AnnualChurn*VLOOKUP(AID48,ChurnSeasonTable,4,FALSE)),1)+AIS12*(AnnualChurn*VLOOKUP(AID48,ChurnSeasonTable,4,FALSE))*POWER(1-(AnnualChurn*VLOOKUP(AID48,ChurnSeasonTable,4,FALSE)),2)</f>
        <v/>
      </c>
      <c r="AIZ48" s="12">
        <f>AIZ47+AIT48-AIT36*(AnnualChurn*VLOOKUP(AID48,ChurnSeasonTable,4,FALSE))*POWER(1-(AnnualChurn*VLOOKUP(AID48,ChurnSeasonTable,4,FALSE)),0)+AIT24*(AnnualChurn*VLOOKUP(AID48,ChurnSeasonTable,4,FALSE))*POWER(1-(AnnualChurn*VLOOKUP(AID48,ChurnSeasonTable,4,FALSE)),1)+AIT12*(AnnualChurn*VLOOKUP(AID48,ChurnSeasonTable,4,FALSE))*POWER(1-(AnnualChurn*VLOOKUP(AID48,ChurnSeasonTable,4,FALSE)),2)</f>
        <v/>
      </c>
      <c r="AJA48" s="12">
        <f>AIU48+AIV48+AIW48+AIX48+AIY48+AIZ48</f>
        <v/>
      </c>
      <c r="AJB48" s="9">
        <f>AIU48*BlendedPriceEssMonthly*AIG48+AIV48*BlendedPricePremMonthly*AIG48+AIW48*BlendedPriceEliteMonthly*AIG48+AIX48*BlendedPriceEssAnnual*AIG48/12+AIY48*BlendedPricePremAnnual*AIG48/12+AIZ48*BlendedPriceEliteAnnual*AIG48/12</f>
        <v/>
      </c>
      <c r="AJC48" s="9">
        <f>AJB48*12</f>
        <v/>
      </c>
      <c r="AJD48" s="12">
        <f>AIU48*BlendedPriceEssMonthly*AIG48+AIV48*BlendedPricePremMonthly*AIG48+AIW48*BlendedPriceEliteMonthly*AIG48</f>
        <v/>
      </c>
      <c r="AJE48" s="12">
        <f>AIR48*BlendedPriceEssAnnual*AIG48+AIS48*BlendedPricePremAnnual*AIG48+AIT48*BlendedPriceEliteAnnual*AIG48</f>
        <v/>
      </c>
      <c r="AJF48" s="12">
        <f>AIR36*POWER(1-(AnnualChurn*VLOOKUP(AID48,ChurnSeasonTable,4,FALSE)),1)*BlendedPriceEssAnnual*AIG48+AIR24*POWER(1-(AnnualChurn*VLOOKUP(AID48,ChurnSeasonTable,4,FALSE)),2)*BlendedPriceEssAnnual*AIG48+AIR12*POWER(1-(AnnualChurn*VLOOKUP(AID48,ChurnSeasonTable,4,FALSE)),3)*BlendedPriceEssAnnual*AIG48+AIS36*POWER(1-(AnnualChurn*VLOOKUP(AID48,ChurnSeasonTable,4,FALSE)),1)*BlendedPricePremAnnual*AIG48+AIS24*POWER(1-(AnnualChurn*VLOOKUP(AID48,ChurnSeasonTable,4,FALSE)),2)*BlendedPricePremAnnual*AIG48+AIS12*POWER(1-(AnnualChurn*VLOOKUP(AID48,ChurnSeasonTable,4,FALSE)),3)*BlendedPricePremAnnual*AIG48+AIT36*POWER(1-(AnnualChurn*VLOOKUP(AID48,ChurnSeasonTable,4,FALSE)),1)*BlendedPriceEliteAnnual*AIG48+AIT24*POWER(1-(AnnualChurn*VLOOKUP(AID48,ChurnSeasonTable,4,FALSE)),2)*BlendedPriceEliteAnnual*AIG48+AIT12*POWER(1-(AnnualChurn*VLOOKUP(AID48,ChurnSeasonTable,4,FALSE)),3)*BlendedPriceEliteAnnual*AIG48</f>
        <v/>
      </c>
      <c r="AJG48" s="9">
        <f>AJD48+AJE48+AJF48</f>
        <v/>
      </c>
      <c r="AJH48" s="12">
        <f>SUM(AJG37:AJG48)</f>
        <v/>
      </c>
      <c r="AJI48" s="12">
        <f>OR(AJI47,IF(VATAgentMode,SUM($AJG37:$AJG48)-SUM($AJN37:$AJN48)&gt;=VATThreshold,SUM($AJG37:$AJG48)&gt;=VATThreshold))</f>
        <v/>
      </c>
      <c r="AJJ48" s="9">
        <f>IF(AJI48,IF(VATAgentMode,AJG48-((AJG48-AJN48)-(AJG48-AJN48)/(1+VATRate)),AJG48/(1+VATRate)),AJG48)</f>
        <v/>
      </c>
      <c r="AJK48" s="12">
        <f>AJG48-AJJ48</f>
        <v/>
      </c>
      <c r="AJL48" s="12">
        <f>IF(AJI48=0,0,IF(AID48=1,SUMPRODUCT(--(($AIE$5:$AIE48=$AIE48-1)*($AID$5:$AID48&gt;=10)*($AID$5:$AID48&lt;=12)),$AJK$5:$AJK48),IF(AID48=4,SUMPRODUCT(--(($AIE$5:$AIE48=$AIE48)*($AID$5:$AID48&gt;=1)*($AID$5:$AID48&lt;=3)),$AJK$5:$AJK48),IF(AID48=7,SUMPRODUCT(--(($AIE$5:$AIE48=$AIE48)*($AID$5:$AID48&gt;=4)*($AID$5:$AID48&lt;=6)),$AJK$5:$AJK48),IF(AID48=10,SUMPRODUCT(--(($AIE$5:$AIE48=$AIE48)*($AID$5:$AID48&gt;=7)*($AID$5:$AID48&lt;=9)),$AJK$5:$AJK48),0)))))</f>
        <v/>
      </c>
      <c r="AJM48" s="12">
        <f>AJM47+AJK48-AJL48</f>
        <v/>
      </c>
      <c r="AJN48" s="12">
        <f>IF(ProviderDelay&gt;=1,AIU47*BlendedProvPayEss+AIV47*BlendedProvPayPrem+AIW47*BlendedProvPayElite+AIX47*BlendedProvPayEss+AIY47*BlendedProvPayPrem+AIZ47*BlendedProvPayElite,AIU48*BlendedProvPayEss+AIV48*BlendedProvPayPrem+AIW48*BlendedProvPayElite+AIX48*BlendedProvPayEss+AIY48*BlendedProvPayPrem+AIZ48*BlendedProvPayElite)</f>
        <v/>
      </c>
      <c r="AJO48" s="12">
        <f>AJG48*PaymentFee</f>
        <v/>
      </c>
      <c r="AJP48" s="12">
        <f>AJA48*OpsAI</f>
        <v/>
      </c>
      <c r="AJQ48" s="12">
        <f>MonthlyFixed</f>
        <v/>
      </c>
      <c r="AJR48" s="12">
        <f>AIK48*ReferralReward</f>
        <v/>
      </c>
      <c r="AJS48" s="12">
        <f>AII48</f>
        <v/>
      </c>
      <c r="AJT48" s="9">
        <f>AJJ48-AJN48-AJO48-AJP48-AJQ48-AJR48-AJS48</f>
        <v/>
      </c>
      <c r="AJU48" s="9">
        <f>AJU47+AJG48-(AJN48+AJO48+AJP48+AJQ48+AJR48+AJS48+AJL48)</f>
        <v/>
      </c>
      <c r="AJV48" s="12">
        <f>IF(AJA48&gt;0,AJB48/AJA48,0)</f>
        <v/>
      </c>
      <c r="AJW48" s="11">
        <f>IF(AJA47&gt;0,MAX(0,(AJA47+AIL48-AJA48)/AJA47),0)</f>
        <v/>
      </c>
      <c r="AJY48" s="12" t="n">
        <v>44</v>
      </c>
      <c r="AJZ48" s="12">
        <f>MOD(AJY48-1+LaunchMonth-1,12)+1</f>
        <v/>
      </c>
      <c r="AKA48" s="12">
        <f>INT((AJY48-1+LaunchMonth-1)/12)+1</f>
        <v/>
      </c>
      <c r="AKB48" s="12">
        <f>VLOOKUP(AJZ48,SeasonTable,2,FALSE)</f>
        <v/>
      </c>
      <c r="AKC48" s="12">
        <f>(1+InflationRate)^INT((AJY48-1)/12)</f>
        <v/>
      </c>
      <c r="AKD48" s="11">
        <f>MonthlyChurn*VLOOKUP(AJZ48,ChurnSeasonTable,4,FALSE)</f>
        <v/>
      </c>
      <c r="AKE48" s="12">
        <f>MIN(MAX(MktMin19plus,ALC47*MktPct19plus),MAX(0,ALQ47-CashBuffer))</f>
        <v/>
      </c>
      <c r="AKF48" s="12">
        <f>IF(AKE48&gt;0,MAX(1,ROUND(AKE48/'Sens - CAC &amp; Marketing'!$A$10*AKB48,0)),0)</f>
        <v/>
      </c>
      <c r="AKG48" s="12">
        <f>IF(AKF48&gt;0,ROUND(AKF48*ReferralMix/(1-ReferralMix),0),0)</f>
        <v/>
      </c>
      <c r="AKH48" s="12">
        <f>AKF48+AKG48</f>
        <v/>
      </c>
      <c r="AKI48" s="12">
        <f>ROUND(AKH48*(1-AnnualMix),0)</f>
        <v/>
      </c>
      <c r="AKJ48" s="12">
        <f>AKH48-AKI48</f>
        <v/>
      </c>
      <c r="AKK48" s="12">
        <f>ROUND(AKI48*EssentialMix,0)</f>
        <v/>
      </c>
      <c r="AKL48" s="12">
        <f>ROUND(AKI48*PremiumMix,0)</f>
        <v/>
      </c>
      <c r="AKM48" s="12">
        <f>AKI48-AKK48-AKL48</f>
        <v/>
      </c>
      <c r="AKN48" s="12">
        <f>ROUND(AKJ48*EssentialMix,0)</f>
        <v/>
      </c>
      <c r="AKO48" s="12">
        <f>ROUND(AKJ48*PremiumMix,0)</f>
        <v/>
      </c>
      <c r="AKP48" s="12">
        <f>AKJ48-AKN48-AKO48</f>
        <v/>
      </c>
      <c r="AKQ48" s="12">
        <f>AKK48+AKK47+AKK46+MAX(0,AKQ47-AKK47-AKK46)*(1-AKD48)</f>
        <v/>
      </c>
      <c r="AKR48" s="12">
        <f>AKL48+AKL47+AKL46+MAX(0,AKR47-AKL47-AKL46)*(1-AKD48)</f>
        <v/>
      </c>
      <c r="AKS48" s="12">
        <f>AKM48+AKM47+AKM46+MAX(0,AKS47-AKM47-AKM46)*(1-AKD48)</f>
        <v/>
      </c>
      <c r="AKT48" s="12">
        <f>AKT47+AKN48-AKN36*(AnnualChurn*VLOOKUP(AJZ48,ChurnSeasonTable,4,FALSE))*POWER(1-(AnnualChurn*VLOOKUP(AJZ48,ChurnSeasonTable,4,FALSE)),0)+AKN24*(AnnualChurn*VLOOKUP(AJZ48,ChurnSeasonTable,4,FALSE))*POWER(1-(AnnualChurn*VLOOKUP(AJZ48,ChurnSeasonTable,4,FALSE)),1)+AKN12*(AnnualChurn*VLOOKUP(AJZ48,ChurnSeasonTable,4,FALSE))*POWER(1-(AnnualChurn*VLOOKUP(AJZ48,ChurnSeasonTable,4,FALSE)),2)</f>
        <v/>
      </c>
      <c r="AKU48" s="12">
        <f>AKU47+AKO48-AKO36*(AnnualChurn*VLOOKUP(AJZ48,ChurnSeasonTable,4,FALSE))*POWER(1-(AnnualChurn*VLOOKUP(AJZ48,ChurnSeasonTable,4,FALSE)),0)+AKO24*(AnnualChurn*VLOOKUP(AJZ48,ChurnSeasonTable,4,FALSE))*POWER(1-(AnnualChurn*VLOOKUP(AJZ48,ChurnSeasonTable,4,FALSE)),1)+AKO12*(AnnualChurn*VLOOKUP(AJZ48,ChurnSeasonTable,4,FALSE))*POWER(1-(AnnualChurn*VLOOKUP(AJZ48,ChurnSeasonTable,4,FALSE)),2)</f>
        <v/>
      </c>
      <c r="AKV48" s="12">
        <f>AKV47+AKP48-AKP36*(AnnualChurn*VLOOKUP(AJZ48,ChurnSeasonTable,4,FALSE))*POWER(1-(AnnualChurn*VLOOKUP(AJZ48,ChurnSeasonTable,4,FALSE)),0)+AKP24*(AnnualChurn*VLOOKUP(AJZ48,ChurnSeasonTable,4,FALSE))*POWER(1-(AnnualChurn*VLOOKUP(AJZ48,ChurnSeasonTable,4,FALSE)),1)+AKP12*(AnnualChurn*VLOOKUP(AJZ48,ChurnSeasonTable,4,FALSE))*POWER(1-(AnnualChurn*VLOOKUP(AJZ48,ChurnSeasonTable,4,FALSE)),2)</f>
        <v/>
      </c>
      <c r="AKW48" s="12">
        <f>AKQ48+AKR48+AKS48+AKT48+AKU48+AKV48</f>
        <v/>
      </c>
      <c r="AKX48" s="9">
        <f>AKQ48*BlendedPriceEssMonthly*AKC48+AKR48*BlendedPricePremMonthly*AKC48+AKS48*BlendedPriceEliteMonthly*AKC48+AKT48*BlendedPriceEssAnnual*AKC48/12+AKU48*BlendedPricePremAnnual*AKC48/12+AKV48*BlendedPriceEliteAnnual*AKC48/12</f>
        <v/>
      </c>
      <c r="AKY48" s="9">
        <f>AKX48*12</f>
        <v/>
      </c>
      <c r="AKZ48" s="12">
        <f>AKQ48*BlendedPriceEssMonthly*AKC48+AKR48*BlendedPricePremMonthly*AKC48+AKS48*BlendedPriceEliteMonthly*AKC48</f>
        <v/>
      </c>
      <c r="ALA48" s="12">
        <f>AKN48*BlendedPriceEssAnnual*AKC48+AKO48*BlendedPricePremAnnual*AKC48+AKP48*BlendedPriceEliteAnnual*AKC48</f>
        <v/>
      </c>
      <c r="ALB48" s="12">
        <f>AKN36*POWER(1-(AnnualChurn*VLOOKUP(AJZ48,ChurnSeasonTable,4,FALSE)),1)*BlendedPriceEssAnnual*AKC48+AKN24*POWER(1-(AnnualChurn*VLOOKUP(AJZ48,ChurnSeasonTable,4,FALSE)),2)*BlendedPriceEssAnnual*AKC48+AKN12*POWER(1-(AnnualChurn*VLOOKUP(AJZ48,ChurnSeasonTable,4,FALSE)),3)*BlendedPriceEssAnnual*AKC48+AKO36*POWER(1-(AnnualChurn*VLOOKUP(AJZ48,ChurnSeasonTable,4,FALSE)),1)*BlendedPricePremAnnual*AKC48+AKO24*POWER(1-(AnnualChurn*VLOOKUP(AJZ48,ChurnSeasonTable,4,FALSE)),2)*BlendedPricePremAnnual*AKC48+AKO12*POWER(1-(AnnualChurn*VLOOKUP(AJZ48,ChurnSeasonTable,4,FALSE)),3)*BlendedPricePremAnnual*AKC48+AKP36*POWER(1-(AnnualChurn*VLOOKUP(AJZ48,ChurnSeasonTable,4,FALSE)),1)*BlendedPriceEliteAnnual*AKC48+AKP24*POWER(1-(AnnualChurn*VLOOKUP(AJZ48,ChurnSeasonTable,4,FALSE)),2)*BlendedPriceEliteAnnual*AKC48+AKP12*POWER(1-(AnnualChurn*VLOOKUP(AJZ48,ChurnSeasonTable,4,FALSE)),3)*BlendedPriceEliteAnnual*AKC48</f>
        <v/>
      </c>
      <c r="ALC48" s="9">
        <f>AKZ48+ALA48+ALB48</f>
        <v/>
      </c>
      <c r="ALD48" s="12">
        <f>SUM(ALC37:ALC48)</f>
        <v/>
      </c>
      <c r="ALE48" s="12">
        <f>OR(ALE47,IF(VATAgentMode,SUM($ALC37:$ALC48)-SUM($ALJ37:$ALJ48)&gt;=VATThreshold,SUM($ALC37:$ALC48)&gt;=VATThreshold))</f>
        <v/>
      </c>
      <c r="ALF48" s="9">
        <f>IF(ALE48,IF(VATAgentMode,ALC48-((ALC48-ALJ48)-(ALC48-ALJ48)/(1+VATRate)),ALC48/(1+VATRate)),ALC48)</f>
        <v/>
      </c>
      <c r="ALG48" s="12">
        <f>ALC48-ALF48</f>
        <v/>
      </c>
      <c r="ALH48" s="12">
        <f>IF(ALE48=0,0,IF(AJZ48=1,SUMPRODUCT(--(($AKA$5:$AKA48=$AKA48-1)*($AJZ$5:$AJZ48&gt;=10)*($AJZ$5:$AJZ48&lt;=12)),$ALG$5:$ALG48),IF(AJZ48=4,SUMPRODUCT(--(($AKA$5:$AKA48=$AKA48)*($AJZ$5:$AJZ48&gt;=1)*($AJZ$5:$AJZ48&lt;=3)),$ALG$5:$ALG48),IF(AJZ48=7,SUMPRODUCT(--(($AKA$5:$AKA48=$AKA48)*($AJZ$5:$AJZ48&gt;=4)*($AJZ$5:$AJZ48&lt;=6)),$ALG$5:$ALG48),IF(AJZ48=10,SUMPRODUCT(--(($AKA$5:$AKA48=$AKA48)*($AJZ$5:$AJZ48&gt;=7)*($AJZ$5:$AJZ48&lt;=9)),$ALG$5:$ALG48),0)))))</f>
        <v/>
      </c>
      <c r="ALI48" s="12">
        <f>ALI47+ALG48-ALH48</f>
        <v/>
      </c>
      <c r="ALJ48" s="12">
        <f>IF(ProviderDelay&gt;=1,AKQ47*BlendedProvPayEss+AKR47*BlendedProvPayPrem+AKS47*BlendedProvPayElite+AKT47*BlendedProvPayEss+AKU47*BlendedProvPayPrem+AKV47*BlendedProvPayElite,AKQ48*BlendedProvPayEss+AKR48*BlendedProvPayPrem+AKS48*BlendedProvPayElite+AKT48*BlendedProvPayEss+AKU48*BlendedProvPayPrem+AKV48*BlendedProvPayElite)</f>
        <v/>
      </c>
      <c r="ALK48" s="12">
        <f>ALC48*PaymentFee</f>
        <v/>
      </c>
      <c r="ALL48" s="12">
        <f>AKW48*OpsAI</f>
        <v/>
      </c>
      <c r="ALM48" s="12">
        <f>MonthlyFixed</f>
        <v/>
      </c>
      <c r="ALN48" s="12">
        <f>AKG48*ReferralReward</f>
        <v/>
      </c>
      <c r="ALO48" s="12">
        <f>AKE48</f>
        <v/>
      </c>
      <c r="ALP48" s="9">
        <f>ALF48-ALJ48-ALK48-ALL48-ALM48-ALN48-ALO48</f>
        <v/>
      </c>
      <c r="ALQ48" s="9">
        <f>ALQ47+ALC48-(ALJ48+ALK48+ALL48+ALM48+ALN48+ALO48+ALH48)</f>
        <v/>
      </c>
      <c r="ALR48" s="12">
        <f>IF(AKW48&gt;0,AKX48/AKW48,0)</f>
        <v/>
      </c>
      <c r="ALS48" s="11">
        <f>IF(AKW47&gt;0,MAX(0,(AKW47+AKH48-AKW48)/AKW47),0)</f>
        <v/>
      </c>
      <c r="ALU48" s="12" t="n">
        <v>44</v>
      </c>
      <c r="ALV48" s="12">
        <f>MOD(ALU48-1+LaunchMonth-1,12)+1</f>
        <v/>
      </c>
      <c r="ALW48" s="12">
        <f>INT((ALU48-1+LaunchMonth-1)/12)+1</f>
        <v/>
      </c>
      <c r="ALX48" s="12">
        <f>VLOOKUP(ALV48,SeasonTable,2,FALSE)</f>
        <v/>
      </c>
      <c r="ALY48" s="12">
        <f>(1+InflationRate)^INT((ALU48-1)/12)</f>
        <v/>
      </c>
      <c r="ALZ48" s="11">
        <f>MonthlyChurn*VLOOKUP(ALV48,ChurnSeasonTable,4,FALSE)</f>
        <v/>
      </c>
      <c r="AMA48" s="12">
        <f>MIN(MAX(MktMin19plus,AMY47*MktPct19plus),MAX(0,ANM47-CashBuffer))</f>
        <v/>
      </c>
      <c r="AMB48" s="12">
        <f>IF(AMA48&gt;0,MAX(1,ROUND(AMA48/'Sens - CAC &amp; Marketing'!$A$11*ALX48,0)),0)</f>
        <v/>
      </c>
      <c r="AMC48" s="12">
        <f>IF(AMB48&gt;0,ROUND(AMB48*ReferralMix/(1-ReferralMix),0),0)</f>
        <v/>
      </c>
      <c r="AMD48" s="12">
        <f>AMB48+AMC48</f>
        <v/>
      </c>
      <c r="AME48" s="12">
        <f>ROUND(AMD48*(1-AnnualMix),0)</f>
        <v/>
      </c>
      <c r="AMF48" s="12">
        <f>AMD48-AME48</f>
        <v/>
      </c>
      <c r="AMG48" s="12">
        <f>ROUND(AME48*EssentialMix,0)</f>
        <v/>
      </c>
      <c r="AMH48" s="12">
        <f>ROUND(AME48*PremiumMix,0)</f>
        <v/>
      </c>
      <c r="AMI48" s="12">
        <f>AME48-AMG48-AMH48</f>
        <v/>
      </c>
      <c r="AMJ48" s="12">
        <f>ROUND(AMF48*EssentialMix,0)</f>
        <v/>
      </c>
      <c r="AMK48" s="12">
        <f>ROUND(AMF48*PremiumMix,0)</f>
        <v/>
      </c>
      <c r="AML48" s="12">
        <f>AMF48-AMJ48-AMK48</f>
        <v/>
      </c>
      <c r="AMM48" s="12">
        <f>AMG48+AMG47+AMG46+MAX(0,AMM47-AMG47-AMG46)*(1-ALZ48)</f>
        <v/>
      </c>
      <c r="AMN48" s="12">
        <f>AMH48+AMH47+AMH46+MAX(0,AMN47-AMH47-AMH46)*(1-ALZ48)</f>
        <v/>
      </c>
      <c r="AMO48" s="12">
        <f>AMI48+AMI47+AMI46+MAX(0,AMO47-AMI47-AMI46)*(1-ALZ48)</f>
        <v/>
      </c>
      <c r="AMP48" s="12">
        <f>AMP47+AMJ48-AMJ36*(AnnualChurn*VLOOKUP(ALV48,ChurnSeasonTable,4,FALSE))*POWER(1-(AnnualChurn*VLOOKUP(ALV48,ChurnSeasonTable,4,FALSE)),0)+AMJ24*(AnnualChurn*VLOOKUP(ALV48,ChurnSeasonTable,4,FALSE))*POWER(1-(AnnualChurn*VLOOKUP(ALV48,ChurnSeasonTable,4,FALSE)),1)+AMJ12*(AnnualChurn*VLOOKUP(ALV48,ChurnSeasonTable,4,FALSE))*POWER(1-(AnnualChurn*VLOOKUP(ALV48,ChurnSeasonTable,4,FALSE)),2)</f>
        <v/>
      </c>
      <c r="AMQ48" s="12">
        <f>AMQ47+AMK48-AMK36*(AnnualChurn*VLOOKUP(ALV48,ChurnSeasonTable,4,FALSE))*POWER(1-(AnnualChurn*VLOOKUP(ALV48,ChurnSeasonTable,4,FALSE)),0)+AMK24*(AnnualChurn*VLOOKUP(ALV48,ChurnSeasonTable,4,FALSE))*POWER(1-(AnnualChurn*VLOOKUP(ALV48,ChurnSeasonTable,4,FALSE)),1)+AMK12*(AnnualChurn*VLOOKUP(ALV48,ChurnSeasonTable,4,FALSE))*POWER(1-(AnnualChurn*VLOOKUP(ALV48,ChurnSeasonTable,4,FALSE)),2)</f>
        <v/>
      </c>
      <c r="AMR48" s="12">
        <f>AMR47+AML48-AML36*(AnnualChurn*VLOOKUP(ALV48,ChurnSeasonTable,4,FALSE))*POWER(1-(AnnualChurn*VLOOKUP(ALV48,ChurnSeasonTable,4,FALSE)),0)+AML24*(AnnualChurn*VLOOKUP(ALV48,ChurnSeasonTable,4,FALSE))*POWER(1-(AnnualChurn*VLOOKUP(ALV48,ChurnSeasonTable,4,FALSE)),1)+AML12*(AnnualChurn*VLOOKUP(ALV48,ChurnSeasonTable,4,FALSE))*POWER(1-(AnnualChurn*VLOOKUP(ALV48,ChurnSeasonTable,4,FALSE)),2)</f>
        <v/>
      </c>
      <c r="AMS48" s="12">
        <f>AMM48+AMN48+AMO48+AMP48+AMQ48+AMR48</f>
        <v/>
      </c>
      <c r="AMT48" s="9">
        <f>AMM48*BlendedPriceEssMonthly*ALY48+AMN48*BlendedPricePremMonthly*ALY48+AMO48*BlendedPriceEliteMonthly*ALY48+AMP48*BlendedPriceEssAnnual*ALY48/12+AMQ48*BlendedPricePremAnnual*ALY48/12+AMR48*BlendedPriceEliteAnnual*ALY48/12</f>
        <v/>
      </c>
      <c r="AMU48" s="9">
        <f>AMT48*12</f>
        <v/>
      </c>
      <c r="AMV48" s="12">
        <f>AMM48*BlendedPriceEssMonthly*ALY48+AMN48*BlendedPricePremMonthly*ALY48+AMO48*BlendedPriceEliteMonthly*ALY48</f>
        <v/>
      </c>
      <c r="AMW48" s="12">
        <f>AMJ48*BlendedPriceEssAnnual*ALY48+AMK48*BlendedPricePremAnnual*ALY48+AML48*BlendedPriceEliteAnnual*ALY48</f>
        <v/>
      </c>
      <c r="AMX48" s="12">
        <f>AMJ36*POWER(1-(AnnualChurn*VLOOKUP(ALV48,ChurnSeasonTable,4,FALSE)),1)*BlendedPriceEssAnnual*ALY48+AMJ24*POWER(1-(AnnualChurn*VLOOKUP(ALV48,ChurnSeasonTable,4,FALSE)),2)*BlendedPriceEssAnnual*ALY48+AMJ12*POWER(1-(AnnualChurn*VLOOKUP(ALV48,ChurnSeasonTable,4,FALSE)),3)*BlendedPriceEssAnnual*ALY48+AMK36*POWER(1-(AnnualChurn*VLOOKUP(ALV48,ChurnSeasonTable,4,FALSE)),1)*BlendedPricePremAnnual*ALY48+AMK24*POWER(1-(AnnualChurn*VLOOKUP(ALV48,ChurnSeasonTable,4,FALSE)),2)*BlendedPricePremAnnual*ALY48+AMK12*POWER(1-(AnnualChurn*VLOOKUP(ALV48,ChurnSeasonTable,4,FALSE)),3)*BlendedPricePremAnnual*ALY48+AML36*POWER(1-(AnnualChurn*VLOOKUP(ALV48,ChurnSeasonTable,4,FALSE)),1)*BlendedPriceEliteAnnual*ALY48+AML24*POWER(1-(AnnualChurn*VLOOKUP(ALV48,ChurnSeasonTable,4,FALSE)),2)*BlendedPriceEliteAnnual*ALY48+AML12*POWER(1-(AnnualChurn*VLOOKUP(ALV48,ChurnSeasonTable,4,FALSE)),3)*BlendedPriceEliteAnnual*ALY48</f>
        <v/>
      </c>
      <c r="AMY48" s="9">
        <f>AMV48+AMW48+AMX48</f>
        <v/>
      </c>
      <c r="AMZ48" s="12">
        <f>SUM(AMY37:AMY48)</f>
        <v/>
      </c>
      <c r="ANA48" s="12">
        <f>OR(ANA47,IF(VATAgentMode,SUM($AMY37:$AMY48)-SUM($ANF37:$ANF48)&gt;=VATThreshold,SUM($AMY37:$AMY48)&gt;=VATThreshold))</f>
        <v/>
      </c>
      <c r="ANB48" s="9">
        <f>IF(ANA48,IF(VATAgentMode,AMY48-((AMY48-ANF48)-(AMY48-ANF48)/(1+VATRate)),AMY48/(1+VATRate)),AMY48)</f>
        <v/>
      </c>
      <c r="ANC48" s="12">
        <f>AMY48-ANB48</f>
        <v/>
      </c>
      <c r="AND48" s="12">
        <f>IF(ANA48=0,0,IF(ALV48=1,SUMPRODUCT(--(($ALW$5:$ALW48=$ALW48-1)*($ALV$5:$ALV48&gt;=10)*($ALV$5:$ALV48&lt;=12)),$ANC$5:$ANC48),IF(ALV48=4,SUMPRODUCT(--(($ALW$5:$ALW48=$ALW48)*($ALV$5:$ALV48&gt;=1)*($ALV$5:$ALV48&lt;=3)),$ANC$5:$ANC48),IF(ALV48=7,SUMPRODUCT(--(($ALW$5:$ALW48=$ALW48)*($ALV$5:$ALV48&gt;=4)*($ALV$5:$ALV48&lt;=6)),$ANC$5:$ANC48),IF(ALV48=10,SUMPRODUCT(--(($ALW$5:$ALW48=$ALW48)*($ALV$5:$ALV48&gt;=7)*($ALV$5:$ALV48&lt;=9)),$ANC$5:$ANC48),0)))))</f>
        <v/>
      </c>
      <c r="ANE48" s="12">
        <f>ANE47+ANC48-AND48</f>
        <v/>
      </c>
      <c r="ANF48" s="12">
        <f>IF(ProviderDelay&gt;=1,AMM47*BlendedProvPayEss+AMN47*BlendedProvPayPrem+AMO47*BlendedProvPayElite+AMP47*BlendedProvPayEss+AMQ47*BlendedProvPayPrem+AMR47*BlendedProvPayElite,AMM48*BlendedProvPayEss+AMN48*BlendedProvPayPrem+AMO48*BlendedProvPayElite+AMP48*BlendedProvPayEss+AMQ48*BlendedProvPayPrem+AMR48*BlendedProvPayElite)</f>
        <v/>
      </c>
      <c r="ANG48" s="12">
        <f>AMY48*PaymentFee</f>
        <v/>
      </c>
      <c r="ANH48" s="12">
        <f>AMS48*OpsAI</f>
        <v/>
      </c>
      <c r="ANI48" s="12">
        <f>MonthlyFixed</f>
        <v/>
      </c>
      <c r="ANJ48" s="12">
        <f>AMC48*ReferralReward</f>
        <v/>
      </c>
      <c r="ANK48" s="12">
        <f>AMA48</f>
        <v/>
      </c>
      <c r="ANL48" s="9">
        <f>ANB48-ANF48-ANG48-ANH48-ANI48-ANJ48-ANK48</f>
        <v/>
      </c>
      <c r="ANM48" s="9">
        <f>ANM47+AMY48-(ANF48+ANG48+ANH48+ANI48+ANJ48+ANK48+AND48)</f>
        <v/>
      </c>
      <c r="ANN48" s="12">
        <f>IF(AMS48&gt;0,AMT48/AMS48,0)</f>
        <v/>
      </c>
      <c r="ANO48" s="11">
        <f>IF(AMS47&gt;0,MAX(0,(AMS47+AMD48-AMS48)/AMS47),0)</f>
        <v/>
      </c>
      <c r="ANQ48" s="12" t="n">
        <v>44</v>
      </c>
      <c r="ANR48" s="12">
        <f>MOD(ANQ48-1+LaunchMonth-1,12)+1</f>
        <v/>
      </c>
      <c r="ANS48" s="12">
        <f>INT((ANQ48-1+LaunchMonth-1)/12)+1</f>
        <v/>
      </c>
      <c r="ANT48" s="12">
        <f>VLOOKUP(ANR48,SeasonTable,2,FALSE)</f>
        <v/>
      </c>
      <c r="ANU48" s="12">
        <f>(1+InflationRate)^INT((ANQ48-1)/12)</f>
        <v/>
      </c>
      <c r="ANV48" s="11">
        <f>MonthlyChurn*VLOOKUP(ANR48,ChurnSeasonTable,4,FALSE)</f>
        <v/>
      </c>
      <c r="ANW48" s="12">
        <f>MIN(MAX(MktMin19plus,AOU47*MktPct19plus),MAX(0,API47-CashBuffer))</f>
        <v/>
      </c>
      <c r="ANX48" s="12">
        <f>IF(ANW48&gt;0,MAX(1,ROUND(ANW48/'Sens - CAC &amp; Marketing'!$A$12*ANT48,0)),0)</f>
        <v/>
      </c>
      <c r="ANY48" s="12">
        <f>IF(ANX48&gt;0,ROUND(ANX48*ReferralMix/(1-ReferralMix),0),0)</f>
        <v/>
      </c>
      <c r="ANZ48" s="12">
        <f>ANX48+ANY48</f>
        <v/>
      </c>
      <c r="AOA48" s="12">
        <f>ROUND(ANZ48*(1-AnnualMix),0)</f>
        <v/>
      </c>
      <c r="AOB48" s="12">
        <f>ANZ48-AOA48</f>
        <v/>
      </c>
      <c r="AOC48" s="12">
        <f>ROUND(AOA48*EssentialMix,0)</f>
        <v/>
      </c>
      <c r="AOD48" s="12">
        <f>ROUND(AOA48*PremiumMix,0)</f>
        <v/>
      </c>
      <c r="AOE48" s="12">
        <f>AOA48-AOC48-AOD48</f>
        <v/>
      </c>
      <c r="AOF48" s="12">
        <f>ROUND(AOB48*EssentialMix,0)</f>
        <v/>
      </c>
      <c r="AOG48" s="12">
        <f>ROUND(AOB48*PremiumMix,0)</f>
        <v/>
      </c>
      <c r="AOH48" s="12">
        <f>AOB48-AOF48-AOG48</f>
        <v/>
      </c>
      <c r="AOI48" s="12">
        <f>AOC48+AOC47+AOC46+MAX(0,AOI47-AOC47-AOC46)*(1-ANV48)</f>
        <v/>
      </c>
      <c r="AOJ48" s="12">
        <f>AOD48+AOD47+AOD46+MAX(0,AOJ47-AOD47-AOD46)*(1-ANV48)</f>
        <v/>
      </c>
      <c r="AOK48" s="12">
        <f>AOE48+AOE47+AOE46+MAX(0,AOK47-AOE47-AOE46)*(1-ANV48)</f>
        <v/>
      </c>
      <c r="AOL48" s="12">
        <f>AOL47+AOF48-AOF36*(AnnualChurn*VLOOKUP(ANR48,ChurnSeasonTable,4,FALSE))*POWER(1-(AnnualChurn*VLOOKUP(ANR48,ChurnSeasonTable,4,FALSE)),0)+AOF24*(AnnualChurn*VLOOKUP(ANR48,ChurnSeasonTable,4,FALSE))*POWER(1-(AnnualChurn*VLOOKUP(ANR48,ChurnSeasonTable,4,FALSE)),1)+AOF12*(AnnualChurn*VLOOKUP(ANR48,ChurnSeasonTable,4,FALSE))*POWER(1-(AnnualChurn*VLOOKUP(ANR48,ChurnSeasonTable,4,FALSE)),2)</f>
        <v/>
      </c>
      <c r="AOM48" s="12">
        <f>AOM47+AOG48-AOG36*(AnnualChurn*VLOOKUP(ANR48,ChurnSeasonTable,4,FALSE))*POWER(1-(AnnualChurn*VLOOKUP(ANR48,ChurnSeasonTable,4,FALSE)),0)+AOG24*(AnnualChurn*VLOOKUP(ANR48,ChurnSeasonTable,4,FALSE))*POWER(1-(AnnualChurn*VLOOKUP(ANR48,ChurnSeasonTable,4,FALSE)),1)+AOG12*(AnnualChurn*VLOOKUP(ANR48,ChurnSeasonTable,4,FALSE))*POWER(1-(AnnualChurn*VLOOKUP(ANR48,ChurnSeasonTable,4,FALSE)),2)</f>
        <v/>
      </c>
      <c r="AON48" s="12">
        <f>AON47+AOH48-AOH36*(AnnualChurn*VLOOKUP(ANR48,ChurnSeasonTable,4,FALSE))*POWER(1-(AnnualChurn*VLOOKUP(ANR48,ChurnSeasonTable,4,FALSE)),0)+AOH24*(AnnualChurn*VLOOKUP(ANR48,ChurnSeasonTable,4,FALSE))*POWER(1-(AnnualChurn*VLOOKUP(ANR48,ChurnSeasonTable,4,FALSE)),1)+AOH12*(AnnualChurn*VLOOKUP(ANR48,ChurnSeasonTable,4,FALSE))*POWER(1-(AnnualChurn*VLOOKUP(ANR48,ChurnSeasonTable,4,FALSE)),2)</f>
        <v/>
      </c>
      <c r="AOO48" s="12">
        <f>AOI48+AOJ48+AOK48+AOL48+AOM48+AON48</f>
        <v/>
      </c>
      <c r="AOP48" s="9">
        <f>AOI48*BlendedPriceEssMonthly*ANU48+AOJ48*BlendedPricePremMonthly*ANU48+AOK48*BlendedPriceEliteMonthly*ANU48+AOL48*BlendedPriceEssAnnual*ANU48/12+AOM48*BlendedPricePremAnnual*ANU48/12+AON48*BlendedPriceEliteAnnual*ANU48/12</f>
        <v/>
      </c>
      <c r="AOQ48" s="9">
        <f>AOP48*12</f>
        <v/>
      </c>
      <c r="AOR48" s="12">
        <f>AOI48*BlendedPriceEssMonthly*ANU48+AOJ48*BlendedPricePremMonthly*ANU48+AOK48*BlendedPriceEliteMonthly*ANU48</f>
        <v/>
      </c>
      <c r="AOS48" s="12">
        <f>AOF48*BlendedPriceEssAnnual*ANU48+AOG48*BlendedPricePremAnnual*ANU48+AOH48*BlendedPriceEliteAnnual*ANU48</f>
        <v/>
      </c>
      <c r="AOT48" s="12">
        <f>AOF36*POWER(1-(AnnualChurn*VLOOKUP(ANR48,ChurnSeasonTable,4,FALSE)),1)*BlendedPriceEssAnnual*ANU48+AOF24*POWER(1-(AnnualChurn*VLOOKUP(ANR48,ChurnSeasonTable,4,FALSE)),2)*BlendedPriceEssAnnual*ANU48+AOF12*POWER(1-(AnnualChurn*VLOOKUP(ANR48,ChurnSeasonTable,4,FALSE)),3)*BlendedPriceEssAnnual*ANU48+AOG36*POWER(1-(AnnualChurn*VLOOKUP(ANR48,ChurnSeasonTable,4,FALSE)),1)*BlendedPricePremAnnual*ANU48+AOG24*POWER(1-(AnnualChurn*VLOOKUP(ANR48,ChurnSeasonTable,4,FALSE)),2)*BlendedPricePremAnnual*ANU48+AOG12*POWER(1-(AnnualChurn*VLOOKUP(ANR48,ChurnSeasonTable,4,FALSE)),3)*BlendedPricePremAnnual*ANU48+AOH36*POWER(1-(AnnualChurn*VLOOKUP(ANR48,ChurnSeasonTable,4,FALSE)),1)*BlendedPriceEliteAnnual*ANU48+AOH24*POWER(1-(AnnualChurn*VLOOKUP(ANR48,ChurnSeasonTable,4,FALSE)),2)*BlendedPriceEliteAnnual*ANU48+AOH12*POWER(1-(AnnualChurn*VLOOKUP(ANR48,ChurnSeasonTable,4,FALSE)),3)*BlendedPriceEliteAnnual*ANU48</f>
        <v/>
      </c>
      <c r="AOU48" s="9">
        <f>AOR48+AOS48+AOT48</f>
        <v/>
      </c>
      <c r="AOV48" s="12">
        <f>SUM(AOU37:AOU48)</f>
        <v/>
      </c>
      <c r="AOW48" s="12">
        <f>OR(AOW47,IF(VATAgentMode,SUM($AOU37:$AOU48)-SUM($APB37:$APB48)&gt;=VATThreshold,SUM($AOU37:$AOU48)&gt;=VATThreshold))</f>
        <v/>
      </c>
      <c r="AOX48" s="9">
        <f>IF(AOW48,IF(VATAgentMode,AOU48-((AOU48-APB48)-(AOU48-APB48)/(1+VATRate)),AOU48/(1+VATRate)),AOU48)</f>
        <v/>
      </c>
      <c r="AOY48" s="12">
        <f>AOU48-AOX48</f>
        <v/>
      </c>
      <c r="AOZ48" s="12">
        <f>IF(AOW48=0,0,IF(ANR48=1,SUMPRODUCT(--(($ANS$5:$ANS48=$ANS48-1)*($ANR$5:$ANR48&gt;=10)*($ANR$5:$ANR48&lt;=12)),$AOY$5:$AOY48),IF(ANR48=4,SUMPRODUCT(--(($ANS$5:$ANS48=$ANS48)*($ANR$5:$ANR48&gt;=1)*($ANR$5:$ANR48&lt;=3)),$AOY$5:$AOY48),IF(ANR48=7,SUMPRODUCT(--(($ANS$5:$ANS48=$ANS48)*($ANR$5:$ANR48&gt;=4)*($ANR$5:$ANR48&lt;=6)),$AOY$5:$AOY48),IF(ANR48=10,SUMPRODUCT(--(($ANS$5:$ANS48=$ANS48)*($ANR$5:$ANR48&gt;=7)*($ANR$5:$ANR48&lt;=9)),$AOY$5:$AOY48),0)))))</f>
        <v/>
      </c>
      <c r="APA48" s="12">
        <f>APA47+AOY48-AOZ48</f>
        <v/>
      </c>
      <c r="APB48" s="12">
        <f>IF(ProviderDelay&gt;=1,AOI47*BlendedProvPayEss+AOJ47*BlendedProvPayPrem+AOK47*BlendedProvPayElite+AOL47*BlendedProvPayEss+AOM47*BlendedProvPayPrem+AON47*BlendedProvPayElite,AOI48*BlendedProvPayEss+AOJ48*BlendedProvPayPrem+AOK48*BlendedProvPayElite+AOL48*BlendedProvPayEss+AOM48*BlendedProvPayPrem+AON48*BlendedProvPayElite)</f>
        <v/>
      </c>
      <c r="APC48" s="12">
        <f>AOU48*PaymentFee</f>
        <v/>
      </c>
      <c r="APD48" s="12">
        <f>AOO48*OpsAI</f>
        <v/>
      </c>
      <c r="APE48" s="12">
        <f>MonthlyFixed</f>
        <v/>
      </c>
      <c r="APF48" s="12">
        <f>ANY48*ReferralReward</f>
        <v/>
      </c>
      <c r="APG48" s="12">
        <f>ANW48</f>
        <v/>
      </c>
      <c r="APH48" s="9">
        <f>AOX48-APB48-APC48-APD48-APE48-APF48-APG48</f>
        <v/>
      </c>
      <c r="API48" s="9">
        <f>API47+AOU48-(APB48+APC48+APD48+APE48+APF48+APG48+AOZ48)</f>
        <v/>
      </c>
      <c r="APJ48" s="12">
        <f>IF(AOO48&gt;0,AOP48/AOO48,0)</f>
        <v/>
      </c>
      <c r="APK48" s="11">
        <f>IF(AOO47&gt;0,MAX(0,(AOO47+ANZ48-AOO48)/AOO47),0)</f>
        <v/>
      </c>
      <c r="APM48" s="12" t="n">
        <v>44</v>
      </c>
      <c r="APN48" s="12">
        <f>MOD(APM48-1+LaunchMonth-1,12)+1</f>
        <v/>
      </c>
      <c r="APO48" s="12">
        <f>INT((APM48-1+LaunchMonth-1)/12)+1</f>
        <v/>
      </c>
      <c r="APP48" s="12">
        <f>VLOOKUP(APN48,SeasonTable,2,FALSE)</f>
        <v/>
      </c>
      <c r="APQ48" s="12">
        <f>(1+InflationRate)^INT((APM48-1)/12)</f>
        <v/>
      </c>
      <c r="APR48" s="11">
        <f>MonthlyChurn*VLOOKUP(APN48,ChurnSeasonTable,4,FALSE)</f>
        <v/>
      </c>
      <c r="APS48" s="12">
        <f>MIN(MAX(MktMin19plus,AQQ47*MktPct19plus),MAX(0,ARE47-CashBuffer))</f>
        <v/>
      </c>
      <c r="APT48" s="12">
        <f>IF(APS48&gt;0,MAX(1,ROUND(APS48/'Sens - CAC &amp; Marketing'!$A$13*APP48,0)),0)</f>
        <v/>
      </c>
      <c r="APU48" s="12">
        <f>IF(APT48&gt;0,ROUND(APT48*ReferralMix/(1-ReferralMix),0),0)</f>
        <v/>
      </c>
      <c r="APV48" s="12">
        <f>APT48+APU48</f>
        <v/>
      </c>
      <c r="APW48" s="12">
        <f>ROUND(APV48*(1-AnnualMix),0)</f>
        <v/>
      </c>
      <c r="APX48" s="12">
        <f>APV48-APW48</f>
        <v/>
      </c>
      <c r="APY48" s="12">
        <f>ROUND(APW48*EssentialMix,0)</f>
        <v/>
      </c>
      <c r="APZ48" s="12">
        <f>ROUND(APW48*PremiumMix,0)</f>
        <v/>
      </c>
      <c r="AQA48" s="12">
        <f>APW48-APY48-APZ48</f>
        <v/>
      </c>
      <c r="AQB48" s="12">
        <f>ROUND(APX48*EssentialMix,0)</f>
        <v/>
      </c>
      <c r="AQC48" s="12">
        <f>ROUND(APX48*PremiumMix,0)</f>
        <v/>
      </c>
      <c r="AQD48" s="12">
        <f>APX48-AQB48-AQC48</f>
        <v/>
      </c>
      <c r="AQE48" s="12">
        <f>APY48+APY47+APY46+MAX(0,AQE47-APY47-APY46)*(1-APR48)</f>
        <v/>
      </c>
      <c r="AQF48" s="12">
        <f>APZ48+APZ47+APZ46+MAX(0,AQF47-APZ47-APZ46)*(1-APR48)</f>
        <v/>
      </c>
      <c r="AQG48" s="12">
        <f>AQA48+AQA47+AQA46+MAX(0,AQG47-AQA47-AQA46)*(1-APR48)</f>
        <v/>
      </c>
      <c r="AQH48" s="12">
        <f>AQH47+AQB48-AQB36*(AnnualChurn*VLOOKUP(APN48,ChurnSeasonTable,4,FALSE))*POWER(1-(AnnualChurn*VLOOKUP(APN48,ChurnSeasonTable,4,FALSE)),0)+AQB24*(AnnualChurn*VLOOKUP(APN48,ChurnSeasonTable,4,FALSE))*POWER(1-(AnnualChurn*VLOOKUP(APN48,ChurnSeasonTable,4,FALSE)),1)+AQB12*(AnnualChurn*VLOOKUP(APN48,ChurnSeasonTable,4,FALSE))*POWER(1-(AnnualChurn*VLOOKUP(APN48,ChurnSeasonTable,4,FALSE)),2)</f>
        <v/>
      </c>
      <c r="AQI48" s="12">
        <f>AQI47+AQC48-AQC36*(AnnualChurn*VLOOKUP(APN48,ChurnSeasonTable,4,FALSE))*POWER(1-(AnnualChurn*VLOOKUP(APN48,ChurnSeasonTable,4,FALSE)),0)+AQC24*(AnnualChurn*VLOOKUP(APN48,ChurnSeasonTable,4,FALSE))*POWER(1-(AnnualChurn*VLOOKUP(APN48,ChurnSeasonTable,4,FALSE)),1)+AQC12*(AnnualChurn*VLOOKUP(APN48,ChurnSeasonTable,4,FALSE))*POWER(1-(AnnualChurn*VLOOKUP(APN48,ChurnSeasonTable,4,FALSE)),2)</f>
        <v/>
      </c>
      <c r="AQJ48" s="12">
        <f>AQJ47+AQD48-AQD36*(AnnualChurn*VLOOKUP(APN48,ChurnSeasonTable,4,FALSE))*POWER(1-(AnnualChurn*VLOOKUP(APN48,ChurnSeasonTable,4,FALSE)),0)+AQD24*(AnnualChurn*VLOOKUP(APN48,ChurnSeasonTable,4,FALSE))*POWER(1-(AnnualChurn*VLOOKUP(APN48,ChurnSeasonTable,4,FALSE)),1)+AQD12*(AnnualChurn*VLOOKUP(APN48,ChurnSeasonTable,4,FALSE))*POWER(1-(AnnualChurn*VLOOKUP(APN48,ChurnSeasonTable,4,FALSE)),2)</f>
        <v/>
      </c>
      <c r="AQK48" s="12">
        <f>AQE48+AQF48+AQG48+AQH48+AQI48+AQJ48</f>
        <v/>
      </c>
      <c r="AQL48" s="9">
        <f>AQE48*BlendedPriceEssMonthly*APQ48+AQF48*BlendedPricePremMonthly*APQ48+AQG48*BlendedPriceEliteMonthly*APQ48+AQH48*BlendedPriceEssAnnual*APQ48/12+AQI48*BlendedPricePremAnnual*APQ48/12+AQJ48*BlendedPriceEliteAnnual*APQ48/12</f>
        <v/>
      </c>
      <c r="AQM48" s="9">
        <f>AQL48*12</f>
        <v/>
      </c>
      <c r="AQN48" s="12">
        <f>AQE48*BlendedPriceEssMonthly*APQ48+AQF48*BlendedPricePremMonthly*APQ48+AQG48*BlendedPriceEliteMonthly*APQ48</f>
        <v/>
      </c>
      <c r="AQO48" s="12">
        <f>AQB48*BlendedPriceEssAnnual*APQ48+AQC48*BlendedPricePremAnnual*APQ48+AQD48*BlendedPriceEliteAnnual*APQ48</f>
        <v/>
      </c>
      <c r="AQP48" s="12">
        <f>AQB36*POWER(1-(AnnualChurn*VLOOKUP(APN48,ChurnSeasonTable,4,FALSE)),1)*BlendedPriceEssAnnual*APQ48+AQB24*POWER(1-(AnnualChurn*VLOOKUP(APN48,ChurnSeasonTable,4,FALSE)),2)*BlendedPriceEssAnnual*APQ48+AQB12*POWER(1-(AnnualChurn*VLOOKUP(APN48,ChurnSeasonTable,4,FALSE)),3)*BlendedPriceEssAnnual*APQ48+AQC36*POWER(1-(AnnualChurn*VLOOKUP(APN48,ChurnSeasonTable,4,FALSE)),1)*BlendedPricePremAnnual*APQ48+AQC24*POWER(1-(AnnualChurn*VLOOKUP(APN48,ChurnSeasonTable,4,FALSE)),2)*BlendedPricePremAnnual*APQ48+AQC12*POWER(1-(AnnualChurn*VLOOKUP(APN48,ChurnSeasonTable,4,FALSE)),3)*BlendedPricePremAnnual*APQ48+AQD36*POWER(1-(AnnualChurn*VLOOKUP(APN48,ChurnSeasonTable,4,FALSE)),1)*BlendedPriceEliteAnnual*APQ48+AQD24*POWER(1-(AnnualChurn*VLOOKUP(APN48,ChurnSeasonTable,4,FALSE)),2)*BlendedPriceEliteAnnual*APQ48+AQD12*POWER(1-(AnnualChurn*VLOOKUP(APN48,ChurnSeasonTable,4,FALSE)),3)*BlendedPriceEliteAnnual*APQ48</f>
        <v/>
      </c>
      <c r="AQQ48" s="9">
        <f>AQN48+AQO48+AQP48</f>
        <v/>
      </c>
      <c r="AQR48" s="12">
        <f>SUM(AQQ37:AQQ48)</f>
        <v/>
      </c>
      <c r="AQS48" s="12">
        <f>OR(AQS47,IF(VATAgentMode,SUM($AQQ37:$AQQ48)-SUM($AQX37:$AQX48)&gt;=VATThreshold,SUM($AQQ37:$AQQ48)&gt;=VATThreshold))</f>
        <v/>
      </c>
      <c r="AQT48" s="9">
        <f>IF(AQS48,IF(VATAgentMode,AQQ48-((AQQ48-AQX48)-(AQQ48-AQX48)/(1+VATRate)),AQQ48/(1+VATRate)),AQQ48)</f>
        <v/>
      </c>
      <c r="AQU48" s="12">
        <f>AQQ48-AQT48</f>
        <v/>
      </c>
      <c r="AQV48" s="12">
        <f>IF(AQS48=0,0,IF(APN48=1,SUMPRODUCT(--(($APO$5:$APO48=$APO48-1)*($APN$5:$APN48&gt;=10)*($APN$5:$APN48&lt;=12)),$AQU$5:$AQU48),IF(APN48=4,SUMPRODUCT(--(($APO$5:$APO48=$APO48)*($APN$5:$APN48&gt;=1)*($APN$5:$APN48&lt;=3)),$AQU$5:$AQU48),IF(APN48=7,SUMPRODUCT(--(($APO$5:$APO48=$APO48)*($APN$5:$APN48&gt;=4)*($APN$5:$APN48&lt;=6)),$AQU$5:$AQU48),IF(APN48=10,SUMPRODUCT(--(($APO$5:$APO48=$APO48)*($APN$5:$APN48&gt;=7)*($APN$5:$APN48&lt;=9)),$AQU$5:$AQU48),0)))))</f>
        <v/>
      </c>
      <c r="AQW48" s="12">
        <f>AQW47+AQU48-AQV48</f>
        <v/>
      </c>
      <c r="AQX48" s="12">
        <f>IF(ProviderDelay&gt;=1,AQE47*BlendedProvPayEss+AQF47*BlendedProvPayPrem+AQG47*BlendedProvPayElite+AQH47*BlendedProvPayEss+AQI47*BlendedProvPayPrem+AQJ47*BlendedProvPayElite,AQE48*BlendedProvPayEss+AQF48*BlendedProvPayPrem+AQG48*BlendedProvPayElite+AQH48*BlendedProvPayEss+AQI48*BlendedProvPayPrem+AQJ48*BlendedProvPayElite)</f>
        <v/>
      </c>
      <c r="AQY48" s="12">
        <f>AQQ48*PaymentFee</f>
        <v/>
      </c>
      <c r="AQZ48" s="12">
        <f>AQK48*OpsAI</f>
        <v/>
      </c>
      <c r="ARA48" s="12">
        <f>MonthlyFixed</f>
        <v/>
      </c>
      <c r="ARB48" s="12">
        <f>APU48*ReferralReward</f>
        <v/>
      </c>
      <c r="ARC48" s="12">
        <f>APS48</f>
        <v/>
      </c>
      <c r="ARD48" s="9">
        <f>AQT48-AQX48-AQY48-AQZ48-ARA48-ARB48-ARC48</f>
        <v/>
      </c>
      <c r="ARE48" s="9">
        <f>ARE47+AQQ48-(AQX48+AQY48+AQZ48+ARA48+ARB48+ARC48+AQV48)</f>
        <v/>
      </c>
      <c r="ARF48" s="12">
        <f>IF(AQK48&gt;0,AQL48/AQK48,0)</f>
        <v/>
      </c>
      <c r="ARG48" s="11">
        <f>IF(AQK47&gt;0,MAX(0,(AQK47+APV48-AQK48)/AQK47),0)</f>
        <v/>
      </c>
      <c r="ARI48" s="12" t="n">
        <v>44</v>
      </c>
      <c r="ARJ48" s="12">
        <f>MOD(ARI48-1+LaunchMonth-1,12)+1</f>
        <v/>
      </c>
      <c r="ARK48" s="12">
        <f>INT((ARI48-1+LaunchMonth-1)/12)+1</f>
        <v/>
      </c>
      <c r="ARL48" s="12">
        <f>VLOOKUP(ARJ48,SeasonTable,2,FALSE)</f>
        <v/>
      </c>
      <c r="ARM48" s="12">
        <f>(1+InflationRate)^INT((ARI48-1)/12)</f>
        <v/>
      </c>
      <c r="ARN48" s="11">
        <f>MonthlyChurn*VLOOKUP(ARJ48,ChurnSeasonTable,4,FALSE)</f>
        <v/>
      </c>
      <c r="ARO48" s="12">
        <f>MIN(MAX(MktMin19plus,ASM47*MktPct19plus),MAX(0,ATA47-CashBuffer))</f>
        <v/>
      </c>
      <c r="ARP48" s="12">
        <f>IF(ARO48&gt;0,MAX(1,ROUND(ARO48/'Sens - CAC &amp; Marketing'!$A$14*ARL48,0)),0)</f>
        <v/>
      </c>
      <c r="ARQ48" s="12">
        <f>IF(ARP48&gt;0,ROUND(ARP48*ReferralMix/(1-ReferralMix),0),0)</f>
        <v/>
      </c>
      <c r="ARR48" s="12">
        <f>ARP48+ARQ48</f>
        <v/>
      </c>
      <c r="ARS48" s="12">
        <f>ROUND(ARR48*(1-AnnualMix),0)</f>
        <v/>
      </c>
      <c r="ART48" s="12">
        <f>ARR48-ARS48</f>
        <v/>
      </c>
      <c r="ARU48" s="12">
        <f>ROUND(ARS48*EssentialMix,0)</f>
        <v/>
      </c>
      <c r="ARV48" s="12">
        <f>ROUND(ARS48*PremiumMix,0)</f>
        <v/>
      </c>
      <c r="ARW48" s="12">
        <f>ARS48-ARU48-ARV48</f>
        <v/>
      </c>
      <c r="ARX48" s="12">
        <f>ROUND(ART48*EssentialMix,0)</f>
        <v/>
      </c>
      <c r="ARY48" s="12">
        <f>ROUND(ART48*PremiumMix,0)</f>
        <v/>
      </c>
      <c r="ARZ48" s="12">
        <f>ART48-ARX48-ARY48</f>
        <v/>
      </c>
      <c r="ASA48" s="12">
        <f>ARU48+ARU47+ARU46+MAX(0,ASA47-ARU47-ARU46)*(1-ARN48)</f>
        <v/>
      </c>
      <c r="ASB48" s="12">
        <f>ARV48+ARV47+ARV46+MAX(0,ASB47-ARV47-ARV46)*(1-ARN48)</f>
        <v/>
      </c>
      <c r="ASC48" s="12">
        <f>ARW48+ARW47+ARW46+MAX(0,ASC47-ARW47-ARW46)*(1-ARN48)</f>
        <v/>
      </c>
      <c r="ASD48" s="12">
        <f>ASD47+ARX48-ARX36*(AnnualChurn*VLOOKUP(ARJ48,ChurnSeasonTable,4,FALSE))*POWER(1-(AnnualChurn*VLOOKUP(ARJ48,ChurnSeasonTable,4,FALSE)),0)+ARX24*(AnnualChurn*VLOOKUP(ARJ48,ChurnSeasonTable,4,FALSE))*POWER(1-(AnnualChurn*VLOOKUP(ARJ48,ChurnSeasonTable,4,FALSE)),1)+ARX12*(AnnualChurn*VLOOKUP(ARJ48,ChurnSeasonTable,4,FALSE))*POWER(1-(AnnualChurn*VLOOKUP(ARJ48,ChurnSeasonTable,4,FALSE)),2)</f>
        <v/>
      </c>
      <c r="ASE48" s="12">
        <f>ASE47+ARY48-ARY36*(AnnualChurn*VLOOKUP(ARJ48,ChurnSeasonTable,4,FALSE))*POWER(1-(AnnualChurn*VLOOKUP(ARJ48,ChurnSeasonTable,4,FALSE)),0)+ARY24*(AnnualChurn*VLOOKUP(ARJ48,ChurnSeasonTable,4,FALSE))*POWER(1-(AnnualChurn*VLOOKUP(ARJ48,ChurnSeasonTable,4,FALSE)),1)+ARY12*(AnnualChurn*VLOOKUP(ARJ48,ChurnSeasonTable,4,FALSE))*POWER(1-(AnnualChurn*VLOOKUP(ARJ48,ChurnSeasonTable,4,FALSE)),2)</f>
        <v/>
      </c>
      <c r="ASF48" s="12">
        <f>ASF47+ARZ48-ARZ36*(AnnualChurn*VLOOKUP(ARJ48,ChurnSeasonTable,4,FALSE))*POWER(1-(AnnualChurn*VLOOKUP(ARJ48,ChurnSeasonTable,4,FALSE)),0)+ARZ24*(AnnualChurn*VLOOKUP(ARJ48,ChurnSeasonTable,4,FALSE))*POWER(1-(AnnualChurn*VLOOKUP(ARJ48,ChurnSeasonTable,4,FALSE)),1)+ARZ12*(AnnualChurn*VLOOKUP(ARJ48,ChurnSeasonTable,4,FALSE))*POWER(1-(AnnualChurn*VLOOKUP(ARJ48,ChurnSeasonTable,4,FALSE)),2)</f>
        <v/>
      </c>
      <c r="ASG48" s="12">
        <f>ASA48+ASB48+ASC48+ASD48+ASE48+ASF48</f>
        <v/>
      </c>
      <c r="ASH48" s="9">
        <f>ASA48*BlendedPriceEssMonthly*ARM48+ASB48*BlendedPricePremMonthly*ARM48+ASC48*BlendedPriceEliteMonthly*ARM48+ASD48*BlendedPriceEssAnnual*ARM48/12+ASE48*BlendedPricePremAnnual*ARM48/12+ASF48*BlendedPriceEliteAnnual*ARM48/12</f>
        <v/>
      </c>
      <c r="ASI48" s="9">
        <f>ASH48*12</f>
        <v/>
      </c>
      <c r="ASJ48" s="12">
        <f>ASA48*BlendedPriceEssMonthly*ARM48+ASB48*BlendedPricePremMonthly*ARM48+ASC48*BlendedPriceEliteMonthly*ARM48</f>
        <v/>
      </c>
      <c r="ASK48" s="12">
        <f>ARX48*BlendedPriceEssAnnual*ARM48+ARY48*BlendedPricePremAnnual*ARM48+ARZ48*BlendedPriceEliteAnnual*ARM48</f>
        <v/>
      </c>
      <c r="ASL48" s="12">
        <f>ARX36*POWER(1-(AnnualChurn*VLOOKUP(ARJ48,ChurnSeasonTable,4,FALSE)),1)*BlendedPriceEssAnnual*ARM48+ARX24*POWER(1-(AnnualChurn*VLOOKUP(ARJ48,ChurnSeasonTable,4,FALSE)),2)*BlendedPriceEssAnnual*ARM48+ARX12*POWER(1-(AnnualChurn*VLOOKUP(ARJ48,ChurnSeasonTable,4,FALSE)),3)*BlendedPriceEssAnnual*ARM48+ARY36*POWER(1-(AnnualChurn*VLOOKUP(ARJ48,ChurnSeasonTable,4,FALSE)),1)*BlendedPricePremAnnual*ARM48+ARY24*POWER(1-(AnnualChurn*VLOOKUP(ARJ48,ChurnSeasonTable,4,FALSE)),2)*BlendedPricePremAnnual*ARM48+ARY12*POWER(1-(AnnualChurn*VLOOKUP(ARJ48,ChurnSeasonTable,4,FALSE)),3)*BlendedPricePremAnnual*ARM48+ARZ36*POWER(1-(AnnualChurn*VLOOKUP(ARJ48,ChurnSeasonTable,4,FALSE)),1)*BlendedPriceEliteAnnual*ARM48+ARZ24*POWER(1-(AnnualChurn*VLOOKUP(ARJ48,ChurnSeasonTable,4,FALSE)),2)*BlendedPriceEliteAnnual*ARM48+ARZ12*POWER(1-(AnnualChurn*VLOOKUP(ARJ48,ChurnSeasonTable,4,FALSE)),3)*BlendedPriceEliteAnnual*ARM48</f>
        <v/>
      </c>
      <c r="ASM48" s="9">
        <f>ASJ48+ASK48+ASL48</f>
        <v/>
      </c>
      <c r="ASN48" s="12">
        <f>SUM(ASM37:ASM48)</f>
        <v/>
      </c>
      <c r="ASO48" s="12">
        <f>OR(ASO47,IF(VATAgentMode,SUM($ASM37:$ASM48)-SUM($AST37:$AST48)&gt;=VATThreshold,SUM($ASM37:$ASM48)&gt;=VATThreshold))</f>
        <v/>
      </c>
      <c r="ASP48" s="9">
        <f>IF(ASO48,IF(VATAgentMode,ASM48-((ASM48-AST48)-(ASM48-AST48)/(1+VATRate)),ASM48/(1+VATRate)),ASM48)</f>
        <v/>
      </c>
      <c r="ASQ48" s="12">
        <f>ASM48-ASP48</f>
        <v/>
      </c>
      <c r="ASR48" s="12">
        <f>IF(ASO48=0,0,IF(ARJ48=1,SUMPRODUCT(--(($ARK$5:$ARK48=$ARK48-1)*($ARJ$5:$ARJ48&gt;=10)*($ARJ$5:$ARJ48&lt;=12)),$ASQ$5:$ASQ48),IF(ARJ48=4,SUMPRODUCT(--(($ARK$5:$ARK48=$ARK48)*($ARJ$5:$ARJ48&gt;=1)*($ARJ$5:$ARJ48&lt;=3)),$ASQ$5:$ASQ48),IF(ARJ48=7,SUMPRODUCT(--(($ARK$5:$ARK48=$ARK48)*($ARJ$5:$ARJ48&gt;=4)*($ARJ$5:$ARJ48&lt;=6)),$ASQ$5:$ASQ48),IF(ARJ48=10,SUMPRODUCT(--(($ARK$5:$ARK48=$ARK48)*($ARJ$5:$ARJ48&gt;=7)*($ARJ$5:$ARJ48&lt;=9)),$ASQ$5:$ASQ48),0)))))</f>
        <v/>
      </c>
      <c r="ASS48" s="12">
        <f>ASS47+ASQ48-ASR48</f>
        <v/>
      </c>
      <c r="AST48" s="12">
        <f>IF(ProviderDelay&gt;=1,ASA47*BlendedProvPayEss+ASB47*BlendedProvPayPrem+ASC47*BlendedProvPayElite+ASD47*BlendedProvPayEss+ASE47*BlendedProvPayPrem+ASF47*BlendedProvPayElite,ASA48*BlendedProvPayEss+ASB48*BlendedProvPayPrem+ASC48*BlendedProvPayElite+ASD48*BlendedProvPayEss+ASE48*BlendedProvPayPrem+ASF48*BlendedProvPayElite)</f>
        <v/>
      </c>
      <c r="ASU48" s="12">
        <f>ASM48*PaymentFee</f>
        <v/>
      </c>
      <c r="ASV48" s="12">
        <f>ASG48*OpsAI</f>
        <v/>
      </c>
      <c r="ASW48" s="12">
        <f>MonthlyFixed</f>
        <v/>
      </c>
      <c r="ASX48" s="12">
        <f>ARQ48*ReferralReward</f>
        <v/>
      </c>
      <c r="ASY48" s="12">
        <f>ARO48</f>
        <v/>
      </c>
      <c r="ASZ48" s="9">
        <f>ASP48-AST48-ASU48-ASV48-ASW48-ASX48-ASY48</f>
        <v/>
      </c>
      <c r="ATA48" s="9">
        <f>ATA47+ASM48-(AST48+ASU48+ASV48+ASW48+ASX48+ASY48+ASR48)</f>
        <v/>
      </c>
      <c r="ATB48" s="12">
        <f>IF(ASG48&gt;0,ASH48/ASG48,0)</f>
        <v/>
      </c>
      <c r="ATC48" s="11">
        <f>IF(ASG47&gt;0,MAX(0,(ASG47+ARR48-ASG48)/ASG47),0)</f>
        <v/>
      </c>
      <c r="ATE48" s="12" t="n">
        <v>44</v>
      </c>
      <c r="ATF48" s="12">
        <f>MOD(ATE48-1+LaunchMonth-1,12)+1</f>
        <v/>
      </c>
      <c r="ATG48" s="12">
        <f>INT((ATE48-1+LaunchMonth-1)/12)+1</f>
        <v/>
      </c>
      <c r="ATH48" s="12">
        <f>VLOOKUP(ATF48,SeasonTable,2,FALSE)</f>
        <v/>
      </c>
      <c r="ATI48" s="12">
        <f>(1+InflationRate)^INT((ATE48-1)/12)</f>
        <v/>
      </c>
      <c r="ATJ48" s="11">
        <f>MonthlyChurn*VLOOKUP(ATF48,ChurnSeasonTable,4,FALSE)</f>
        <v/>
      </c>
      <c r="ATK48" s="12">
        <f>MIN(MAX(MktMin19plus,AUI47*MktPct19plus),MAX(0,AUW47-CashBuffer))</f>
        <v/>
      </c>
      <c r="ATL48" s="12">
        <f>IF(ATK48&gt;0,MAX(1,ROUND(ATK48/'Sens - CAC &amp; Marketing'!$A$15*ATH48,0)),0)</f>
        <v/>
      </c>
      <c r="ATM48" s="12">
        <f>IF(ATL48&gt;0,ROUND(ATL48*ReferralMix/(1-ReferralMix),0),0)</f>
        <v/>
      </c>
      <c r="ATN48" s="12">
        <f>ATL48+ATM48</f>
        <v/>
      </c>
      <c r="ATO48" s="12">
        <f>ROUND(ATN48*(1-AnnualMix),0)</f>
        <v/>
      </c>
      <c r="ATP48" s="12">
        <f>ATN48-ATO48</f>
        <v/>
      </c>
      <c r="ATQ48" s="12">
        <f>ROUND(ATO48*EssentialMix,0)</f>
        <v/>
      </c>
      <c r="ATR48" s="12">
        <f>ROUND(ATO48*PremiumMix,0)</f>
        <v/>
      </c>
      <c r="ATS48" s="12">
        <f>ATO48-ATQ48-ATR48</f>
        <v/>
      </c>
      <c r="ATT48" s="12">
        <f>ROUND(ATP48*EssentialMix,0)</f>
        <v/>
      </c>
      <c r="ATU48" s="12">
        <f>ROUND(ATP48*PremiumMix,0)</f>
        <v/>
      </c>
      <c r="ATV48" s="12">
        <f>ATP48-ATT48-ATU48</f>
        <v/>
      </c>
      <c r="ATW48" s="12">
        <f>ATQ48+ATQ47+ATQ46+MAX(0,ATW47-ATQ47-ATQ46)*(1-ATJ48)</f>
        <v/>
      </c>
      <c r="ATX48" s="12">
        <f>ATR48+ATR47+ATR46+MAX(0,ATX47-ATR47-ATR46)*(1-ATJ48)</f>
        <v/>
      </c>
      <c r="ATY48" s="12">
        <f>ATS48+ATS47+ATS46+MAX(0,ATY47-ATS47-ATS46)*(1-ATJ48)</f>
        <v/>
      </c>
      <c r="ATZ48" s="12">
        <f>ATZ47+ATT48-ATT36*(AnnualChurn*VLOOKUP(ATF48,ChurnSeasonTable,4,FALSE))*POWER(1-(AnnualChurn*VLOOKUP(ATF48,ChurnSeasonTable,4,FALSE)),0)+ATT24*(AnnualChurn*VLOOKUP(ATF48,ChurnSeasonTable,4,FALSE))*POWER(1-(AnnualChurn*VLOOKUP(ATF48,ChurnSeasonTable,4,FALSE)),1)+ATT12*(AnnualChurn*VLOOKUP(ATF48,ChurnSeasonTable,4,FALSE))*POWER(1-(AnnualChurn*VLOOKUP(ATF48,ChurnSeasonTable,4,FALSE)),2)</f>
        <v/>
      </c>
      <c r="AUA48" s="12">
        <f>AUA47+ATU48-ATU36*(AnnualChurn*VLOOKUP(ATF48,ChurnSeasonTable,4,FALSE))*POWER(1-(AnnualChurn*VLOOKUP(ATF48,ChurnSeasonTable,4,FALSE)),0)+ATU24*(AnnualChurn*VLOOKUP(ATF48,ChurnSeasonTable,4,FALSE))*POWER(1-(AnnualChurn*VLOOKUP(ATF48,ChurnSeasonTable,4,FALSE)),1)+ATU12*(AnnualChurn*VLOOKUP(ATF48,ChurnSeasonTable,4,FALSE))*POWER(1-(AnnualChurn*VLOOKUP(ATF48,ChurnSeasonTable,4,FALSE)),2)</f>
        <v/>
      </c>
      <c r="AUB48" s="12">
        <f>AUB47+ATV48-ATV36*(AnnualChurn*VLOOKUP(ATF48,ChurnSeasonTable,4,FALSE))*POWER(1-(AnnualChurn*VLOOKUP(ATF48,ChurnSeasonTable,4,FALSE)),0)+ATV24*(AnnualChurn*VLOOKUP(ATF48,ChurnSeasonTable,4,FALSE))*POWER(1-(AnnualChurn*VLOOKUP(ATF48,ChurnSeasonTable,4,FALSE)),1)+ATV12*(AnnualChurn*VLOOKUP(ATF48,ChurnSeasonTable,4,FALSE))*POWER(1-(AnnualChurn*VLOOKUP(ATF48,ChurnSeasonTable,4,FALSE)),2)</f>
        <v/>
      </c>
      <c r="AUC48" s="12">
        <f>ATW48+ATX48+ATY48+ATZ48+AUA48+AUB48</f>
        <v/>
      </c>
      <c r="AUD48" s="9">
        <f>ATW48*BlendedPriceEssMonthly*ATI48+ATX48*BlendedPricePremMonthly*ATI48+ATY48*BlendedPriceEliteMonthly*ATI48+ATZ48*BlendedPriceEssAnnual*ATI48/12+AUA48*BlendedPricePremAnnual*ATI48/12+AUB48*BlendedPriceEliteAnnual*ATI48/12</f>
        <v/>
      </c>
      <c r="AUE48" s="9">
        <f>AUD48*12</f>
        <v/>
      </c>
      <c r="AUF48" s="12">
        <f>ATW48*BlendedPriceEssMonthly*ATI48+ATX48*BlendedPricePremMonthly*ATI48+ATY48*BlendedPriceEliteMonthly*ATI48</f>
        <v/>
      </c>
      <c r="AUG48" s="12">
        <f>ATT48*BlendedPriceEssAnnual*ATI48+ATU48*BlendedPricePremAnnual*ATI48+ATV48*BlendedPriceEliteAnnual*ATI48</f>
        <v/>
      </c>
      <c r="AUH48" s="12">
        <f>ATT36*POWER(1-(AnnualChurn*VLOOKUP(ATF48,ChurnSeasonTable,4,FALSE)),1)*BlendedPriceEssAnnual*ATI48+ATT24*POWER(1-(AnnualChurn*VLOOKUP(ATF48,ChurnSeasonTable,4,FALSE)),2)*BlendedPriceEssAnnual*ATI48+ATT12*POWER(1-(AnnualChurn*VLOOKUP(ATF48,ChurnSeasonTable,4,FALSE)),3)*BlendedPriceEssAnnual*ATI48+ATU36*POWER(1-(AnnualChurn*VLOOKUP(ATF48,ChurnSeasonTable,4,FALSE)),1)*BlendedPricePremAnnual*ATI48+ATU24*POWER(1-(AnnualChurn*VLOOKUP(ATF48,ChurnSeasonTable,4,FALSE)),2)*BlendedPricePremAnnual*ATI48+ATU12*POWER(1-(AnnualChurn*VLOOKUP(ATF48,ChurnSeasonTable,4,FALSE)),3)*BlendedPricePremAnnual*ATI48+ATV36*POWER(1-(AnnualChurn*VLOOKUP(ATF48,ChurnSeasonTable,4,FALSE)),1)*BlendedPriceEliteAnnual*ATI48+ATV24*POWER(1-(AnnualChurn*VLOOKUP(ATF48,ChurnSeasonTable,4,FALSE)),2)*BlendedPriceEliteAnnual*ATI48+ATV12*POWER(1-(AnnualChurn*VLOOKUP(ATF48,ChurnSeasonTable,4,FALSE)),3)*BlendedPriceEliteAnnual*ATI48</f>
        <v/>
      </c>
      <c r="AUI48" s="9">
        <f>AUF48+AUG48+AUH48</f>
        <v/>
      </c>
      <c r="AUJ48" s="12">
        <f>SUM(AUI37:AUI48)</f>
        <v/>
      </c>
      <c r="AUK48" s="12">
        <f>OR(AUK47,IF(VATAgentMode,SUM($AUI37:$AUI48)-SUM($AUP37:$AUP48)&gt;=VATThreshold,SUM($AUI37:$AUI48)&gt;=VATThreshold))</f>
        <v/>
      </c>
      <c r="AUL48" s="9">
        <f>IF(AUK48,IF(VATAgentMode,AUI48-((AUI48-AUP48)-(AUI48-AUP48)/(1+VATRate)),AUI48/(1+VATRate)),AUI48)</f>
        <v/>
      </c>
      <c r="AUM48" s="12">
        <f>AUI48-AUL48</f>
        <v/>
      </c>
      <c r="AUN48" s="12">
        <f>IF(AUK48=0,0,IF(ATF48=1,SUMPRODUCT(--(($ATG$5:$ATG48=$ATG48-1)*($ATF$5:$ATF48&gt;=10)*($ATF$5:$ATF48&lt;=12)),$AUM$5:$AUM48),IF(ATF48=4,SUMPRODUCT(--(($ATG$5:$ATG48=$ATG48)*($ATF$5:$ATF48&gt;=1)*($ATF$5:$ATF48&lt;=3)),$AUM$5:$AUM48),IF(ATF48=7,SUMPRODUCT(--(($ATG$5:$ATG48=$ATG48)*($ATF$5:$ATF48&gt;=4)*($ATF$5:$ATF48&lt;=6)),$AUM$5:$AUM48),IF(ATF48=10,SUMPRODUCT(--(($ATG$5:$ATG48=$ATG48)*($ATF$5:$ATF48&gt;=7)*($ATF$5:$ATF48&lt;=9)),$AUM$5:$AUM48),0)))))</f>
        <v/>
      </c>
      <c r="AUO48" s="12">
        <f>AUO47+AUM48-AUN48</f>
        <v/>
      </c>
      <c r="AUP48" s="12">
        <f>IF(ProviderDelay&gt;=1,ATW47*BlendedProvPayEss+ATX47*BlendedProvPayPrem+ATY47*BlendedProvPayElite+ATZ47*BlendedProvPayEss+AUA47*BlendedProvPayPrem+AUB47*BlendedProvPayElite,ATW48*BlendedProvPayEss+ATX48*BlendedProvPayPrem+ATY48*BlendedProvPayElite+ATZ48*BlendedProvPayEss+AUA48*BlendedProvPayPrem+AUB48*BlendedProvPayElite)</f>
        <v/>
      </c>
      <c r="AUQ48" s="12">
        <f>AUI48*PaymentFee</f>
        <v/>
      </c>
      <c r="AUR48" s="12">
        <f>AUC48*OpsAI</f>
        <v/>
      </c>
      <c r="AUS48" s="12">
        <f>MonthlyFixed</f>
        <v/>
      </c>
      <c r="AUT48" s="12">
        <f>ATM48*ReferralReward</f>
        <v/>
      </c>
      <c r="AUU48" s="12">
        <f>ATK48</f>
        <v/>
      </c>
      <c r="AUV48" s="9">
        <f>AUL48-AUP48-AUQ48-AUR48-AUS48-AUT48-AUU48</f>
        <v/>
      </c>
      <c r="AUW48" s="9">
        <f>AUW47+AUI48-(AUP48+AUQ48+AUR48+AUS48+AUT48+AUU48+AUN48)</f>
        <v/>
      </c>
      <c r="AUX48" s="12">
        <f>IF(AUC48&gt;0,AUD48/AUC48,0)</f>
        <v/>
      </c>
      <c r="AUY48" s="11">
        <f>IF(AUC47&gt;0,MAX(0,(AUC47+ATN48-AUC48)/AUC47),0)</f>
        <v/>
      </c>
      <c r="AVA48" s="12" t="n">
        <v>44</v>
      </c>
      <c r="AVB48" s="12">
        <f>MOD(AVA48-1+LaunchMonth-1,12)+1</f>
        <v/>
      </c>
      <c r="AVC48" s="12">
        <f>INT((AVA48-1+LaunchMonth-1)/12)+1</f>
        <v/>
      </c>
      <c r="AVD48" s="12">
        <f>VLOOKUP(AVB48,WinterPivotSeasonTable,5,FALSE)</f>
        <v/>
      </c>
      <c r="AVE48" s="12">
        <f>(1+InflationRate)^INT((AVA48-1)/12)</f>
        <v/>
      </c>
      <c r="AVF48" s="11">
        <f>MonthlyChurn*VLOOKUP(AVB48,WinterPivotChurnTable,6,FALSE)</f>
        <v/>
      </c>
      <c r="AVG48" s="12">
        <f>MIN(MAX(MktMin19plus,AWE47*MktPct19plus),MAX(0,AWS47-CashBuffer))</f>
        <v/>
      </c>
      <c r="AVH48" s="12">
        <f>IF(AVG48&gt;0,MAX(1,ROUND(AVG48/CAC*AVD48,0)),0)</f>
        <v/>
      </c>
      <c r="AVI48" s="12">
        <f>IF(AVH48&gt;0,ROUND(AVH48*ReferralMix/(1-ReferralMix),0),0)</f>
        <v/>
      </c>
      <c r="AVJ48" s="12">
        <f>AVH48+AVI48</f>
        <v/>
      </c>
      <c r="AVK48" s="12">
        <f>ROUND(AVJ48*(1-AnnualMix),0)</f>
        <v/>
      </c>
      <c r="AVL48" s="12">
        <f>AVJ48-AVK48</f>
        <v/>
      </c>
      <c r="AVM48" s="12">
        <f>ROUND(AVK48*'Sens - Winter Pivot'!$B$6,0)</f>
        <v/>
      </c>
      <c r="AVN48" s="12">
        <f>ROUND(AVK48*PremiumMix,0)</f>
        <v/>
      </c>
      <c r="AVO48" s="12">
        <f>AVK48-AVM48-AVN48</f>
        <v/>
      </c>
      <c r="AVP48" s="12">
        <f>ROUND(AVL48*'Sens - Winter Pivot'!$B$6,0)</f>
        <v/>
      </c>
      <c r="AVQ48" s="12">
        <f>ROUND(AVL48*PremiumMix,0)</f>
        <v/>
      </c>
      <c r="AVR48" s="12">
        <f>AVL48-AVP48-AVQ48</f>
        <v/>
      </c>
      <c r="AVS48" s="12">
        <f>AVM48+AVM47+AVM46+MAX(0,AVS47-AVM47-AVM46)*(1-AVF48)</f>
        <v/>
      </c>
      <c r="AVT48" s="12">
        <f>AVN48+AVN47+AVN46+MAX(0,AVT47-AVN47-AVN46)*(1-AVF48)</f>
        <v/>
      </c>
      <c r="AVU48" s="12">
        <f>AVO48+AVO47+AVO46+MAX(0,AVU47-AVO47-AVO46)*(1-AVF48)</f>
        <v/>
      </c>
      <c r="AVV48" s="12">
        <f>AVV47+AVP48-AVP36*(AnnualChurn*VLOOKUP(AVB48,ChurnSeasonTable,4,FALSE))*POWER(1-(AnnualChurn*VLOOKUP(AVB48,ChurnSeasonTable,4,FALSE)),0)+AVP24*(AnnualChurn*VLOOKUP(AVB48,ChurnSeasonTable,4,FALSE))*POWER(1-(AnnualChurn*VLOOKUP(AVB48,ChurnSeasonTable,4,FALSE)),1)+AVP12*(AnnualChurn*VLOOKUP(AVB48,ChurnSeasonTable,4,FALSE))*POWER(1-(AnnualChurn*VLOOKUP(AVB48,ChurnSeasonTable,4,FALSE)),2)</f>
        <v/>
      </c>
      <c r="AVW48" s="12">
        <f>AVW47+AVQ48-AVQ36*(AnnualChurn*VLOOKUP(AVB48,ChurnSeasonTable,4,FALSE))*POWER(1-(AnnualChurn*VLOOKUP(AVB48,ChurnSeasonTable,4,FALSE)),0)+AVQ24*(AnnualChurn*VLOOKUP(AVB48,ChurnSeasonTable,4,FALSE))*POWER(1-(AnnualChurn*VLOOKUP(AVB48,ChurnSeasonTable,4,FALSE)),1)+AVQ12*(AnnualChurn*VLOOKUP(AVB48,ChurnSeasonTable,4,FALSE))*POWER(1-(AnnualChurn*VLOOKUP(AVB48,ChurnSeasonTable,4,FALSE)),2)</f>
        <v/>
      </c>
      <c r="AVX48" s="12">
        <f>AVX47+AVR48-AVR36*(AnnualChurn*VLOOKUP(AVB48,ChurnSeasonTable,4,FALSE))*POWER(1-(AnnualChurn*VLOOKUP(AVB48,ChurnSeasonTable,4,FALSE)),0)+AVR24*(AnnualChurn*VLOOKUP(AVB48,ChurnSeasonTable,4,FALSE))*POWER(1-(AnnualChurn*VLOOKUP(AVB48,ChurnSeasonTable,4,FALSE)),1)+AVR12*(AnnualChurn*VLOOKUP(AVB48,ChurnSeasonTable,4,FALSE))*POWER(1-(AnnualChurn*VLOOKUP(AVB48,ChurnSeasonTable,4,FALSE)),2)</f>
        <v/>
      </c>
      <c r="AVY48" s="12">
        <f>AVS48+AVT48+AVU48+AVV48+AVW48+AVX48</f>
        <v/>
      </c>
      <c r="AVZ48" s="9">
        <f>AVS48*BlendedPriceEssMonthly*AVE48+AVT48*(BlendedPricePremMonthly+'Sens - Winter Pivot'!$B$7)*AVE48+AVU48*BlendedPriceEliteMonthly*AVE48+AVV48*BlendedPriceEssAnnual*AVE48/12+AVW48*(BlendedPricePremAnnual+'Sens - Winter Pivot'!$B$7*12)*AVE48/12+AVX48*BlendedPriceEliteAnnual*AVE48/12</f>
        <v/>
      </c>
      <c r="AWA48" s="9">
        <f>AVZ48*12</f>
        <v/>
      </c>
      <c r="AWB48" s="12">
        <f>AVS48*BlendedPriceEssMonthly*AVE48+AVT48*(BlendedPricePremMonthly+'Sens - Winter Pivot'!$B$7)*AVE48+AVU48*BlendedPriceEliteMonthly*AVE48</f>
        <v/>
      </c>
      <c r="AWC48" s="12">
        <f>AVP48*BlendedPriceEssAnnual*AVE48+AVQ48*(BlendedPricePremAnnual+'Sens - Winter Pivot'!$B$7*12)*AVE48+AVR48*BlendedPriceEliteAnnual*AVE48</f>
        <v/>
      </c>
      <c r="AWD48" s="12">
        <f>AVP36*POWER(1-(AnnualChurn*VLOOKUP(AVB48,ChurnSeasonTable,4,FALSE)),1)*BlendedPriceEssAnnual*AVE48+AVP24*POWER(1-(AnnualChurn*VLOOKUP(AVB48,ChurnSeasonTable,4,FALSE)),2)*BlendedPriceEssAnnual*AVE48+AVP12*POWER(1-(AnnualChurn*VLOOKUP(AVB48,ChurnSeasonTable,4,FALSE)),3)*BlendedPriceEssAnnual*AVE48+AVQ36*POWER(1-(AnnualChurn*VLOOKUP(AVB48,ChurnSeasonTable,4,FALSE)),1)*BlendedPricePremAnnual*AVE48+AVQ24*POWER(1-(AnnualChurn*VLOOKUP(AVB48,ChurnSeasonTable,4,FALSE)),2)*BlendedPricePremAnnual*AVE48+AVQ12*POWER(1-(AnnualChurn*VLOOKUP(AVB48,ChurnSeasonTable,4,FALSE)),3)*BlendedPricePremAnnual*AVE48+AVR36*POWER(1-(AnnualChurn*VLOOKUP(AVB48,ChurnSeasonTable,4,FALSE)),1)*BlendedPriceEliteAnnual*AVE48+AVR24*POWER(1-(AnnualChurn*VLOOKUP(AVB48,ChurnSeasonTable,4,FALSE)),2)*BlendedPriceEliteAnnual*AVE48+AVR12*POWER(1-(AnnualChurn*VLOOKUP(AVB48,ChurnSeasonTable,4,FALSE)),3)*BlendedPriceEliteAnnual*AVE48</f>
        <v/>
      </c>
      <c r="AWE48" s="9">
        <f>AWB48+AWC48+AWD48</f>
        <v/>
      </c>
      <c r="AWF48" s="12">
        <f>SUM(AWE37:AWE48)</f>
        <v/>
      </c>
      <c r="AWG48" s="12">
        <f>OR(AWG47,IF(VATAgentMode,SUM($AWE37:$AWE48)-SUM($AWL37:$AWL48)&gt;=VATThreshold,SUM($AWE37:$AWE48)&gt;=VATThreshold))</f>
        <v/>
      </c>
      <c r="AWH48" s="9">
        <f>IF(AWG48,IF(VATAgentMode,AWE48-((AWE48-AWL48)-(AWE48-AWL48)/(1+VATRate)),AWE48/(1+VATRate)),AWE48)</f>
        <v/>
      </c>
      <c r="AWI48" s="12">
        <f>AWE48-AWH48</f>
        <v/>
      </c>
      <c r="AWJ48" s="12">
        <f>IF(AWG48=0,0,IF(AVB48=1,SUMPRODUCT(--(($AVC$5:$AVC48=$AVC48-1)*($AVB$5:$AVB48&gt;=10)*($AVB$5:$AVB48&lt;=12)),$AWI$5:$AWI48),IF(AVB48=4,SUMPRODUCT(--(($AVC$5:$AVC48=$AVC48)*($AVB$5:$AVB48&gt;=1)*($AVB$5:$AVB48&lt;=3)),$AWI$5:$AWI48),IF(AVB48=7,SUMPRODUCT(--(($AVC$5:$AVC48=$AVC48)*($AVB$5:$AVB48&gt;=4)*($AVB$5:$AVB48&lt;=6)),$AWI$5:$AWI48),IF(AVB48=10,SUMPRODUCT(--(($AVC$5:$AVC48=$AVC48)*($AVB$5:$AVB48&gt;=7)*($AVB$5:$AVB48&lt;=9)),$AWI$5:$AWI48),0)))))</f>
        <v/>
      </c>
      <c r="AWK48" s="12">
        <f>AWK47+AWI48-AWJ48</f>
        <v/>
      </c>
      <c r="AWL48" s="12">
        <f>IF(ProviderDelay&gt;=1,AVS47*BlendedProvPayEss+AVT47*BlendedProvPayPrem+AVU47*BlendedProvPayElite+AVV47*BlendedProvPayEss+AVW47*BlendedProvPayPrem+AVX47*BlendedProvPayElite,AVS48*BlendedProvPayEss+AVT48*BlendedProvPayPrem+AVU48*BlendedProvPayElite+AVV48*BlendedProvPayEss+AVW48*BlendedProvPayPrem+AVX48*BlendedProvPayElite)</f>
        <v/>
      </c>
      <c r="AWM48" s="12">
        <f>AWE48*PaymentFee</f>
        <v/>
      </c>
      <c r="AWN48" s="12">
        <f>AVY48*OpsAI</f>
        <v/>
      </c>
      <c r="AWO48" s="12">
        <f>MonthlyFixed</f>
        <v/>
      </c>
      <c r="AWP48" s="12">
        <f>AVI48*ReferralReward</f>
        <v/>
      </c>
      <c r="AWQ48" s="12">
        <f>AVG48</f>
        <v/>
      </c>
      <c r="AWR48" s="9">
        <f>AWH48-AWL48-AWM48-AWN48-AWO48-AWP48-AWQ48</f>
        <v/>
      </c>
      <c r="AWS48" s="9">
        <f>AWS47+AWE48-(AWL48+AWM48+AWN48+AWO48+AWP48+AWQ48+AWJ48)</f>
        <v/>
      </c>
      <c r="AWT48" s="12">
        <f>IF(AVY48&gt;0,AVZ48/AVY48,0)</f>
        <v/>
      </c>
      <c r="AWU48" s="11">
        <f>IF(AVY47&gt;0,MAX(0,(AVY47+AVJ48-AVY48)/AVY47),0)</f>
        <v/>
      </c>
    </row>
    <row r="49">
      <c r="A49" s="12" t="n">
        <v>45</v>
      </c>
      <c r="B49" s="12">
        <f>MOD(A49-1+LaunchMonth-1,12)+1</f>
        <v/>
      </c>
      <c r="C49" s="12">
        <f>INT((A49-1+LaunchMonth-1)/12)+1</f>
        <v/>
      </c>
      <c r="D49" s="12">
        <f>VLOOKUP(B49,SeasonTable,2,FALSE)</f>
        <v/>
      </c>
      <c r="E49" s="12">
        <f>(1+InflationRate)^INT((A49-1)/12)</f>
        <v/>
      </c>
      <c r="F49" s="11">
        <f>'Sens - Scenarios'!$B$5*VLOOKUP(B49,ChurnSeasonTable,4,FALSE)</f>
        <v/>
      </c>
      <c r="G49" s="12">
        <f>MIN(MAX(MktMin19plus,AE48*MktPct19plus),MAX(0,AS48-CashBuffer))</f>
        <v/>
      </c>
      <c r="H49" s="12">
        <f>IF(G49&gt;0,MAX(1,ROUND(G49/'Sens - Scenarios'!$B$8*D49,0)),0)</f>
        <v/>
      </c>
      <c r="I49" s="12">
        <f>IF(H49&gt;0,ROUND(H49*ReferralMix/(1-ReferralMix),0),0)</f>
        <v/>
      </c>
      <c r="J49" s="12">
        <f>H49+I49</f>
        <v/>
      </c>
      <c r="K49" s="12">
        <f>ROUND(J49*(1-'Sens - Scenarios'!$B$7),0)</f>
        <v/>
      </c>
      <c r="L49" s="12">
        <f>J49-K49</f>
        <v/>
      </c>
      <c r="M49" s="12">
        <f>ROUND(K49*EssentialMix,0)</f>
        <v/>
      </c>
      <c r="N49" s="12">
        <f>ROUND(K49*PremiumMix,0)</f>
        <v/>
      </c>
      <c r="O49" s="12">
        <f>K49-M49-N49</f>
        <v/>
      </c>
      <c r="P49" s="12">
        <f>ROUND(L49*EssentialMix,0)</f>
        <v/>
      </c>
      <c r="Q49" s="12">
        <f>ROUND(L49*PremiumMix,0)</f>
        <v/>
      </c>
      <c r="R49" s="12">
        <f>L49-P49-Q49</f>
        <v/>
      </c>
      <c r="S49" s="12">
        <f>M49+M48+M47+MAX(0,S48-M48-M47)*(1-F49)</f>
        <v/>
      </c>
      <c r="T49" s="12">
        <f>N49+N48+N47+MAX(0,T48-N48-N47)*(1-F49)</f>
        <v/>
      </c>
      <c r="U49" s="12">
        <f>O49+O48+O47+MAX(0,U48-O48-O47)*(1-F49)</f>
        <v/>
      </c>
      <c r="V49" s="12">
        <f>V48+P49-P37*('Sens - Scenarios'!$B$6*VLOOKUP(B49,ChurnSeasonTable,4,FALSE))*POWER(1-('Sens - Scenarios'!$B$6*VLOOKUP(B49,ChurnSeasonTable,4,FALSE)),0)+P25*('Sens - Scenarios'!$B$6*VLOOKUP(B49,ChurnSeasonTable,4,FALSE))*POWER(1-('Sens - Scenarios'!$B$6*VLOOKUP(B49,ChurnSeasonTable,4,FALSE)),1)+P13*('Sens - Scenarios'!$B$6*VLOOKUP(B49,ChurnSeasonTable,4,FALSE))*POWER(1-('Sens - Scenarios'!$B$6*VLOOKUP(B49,ChurnSeasonTable,4,FALSE)),2)</f>
        <v/>
      </c>
      <c r="W49" s="12">
        <f>W48+Q49-Q37*('Sens - Scenarios'!$B$6*VLOOKUP(B49,ChurnSeasonTable,4,FALSE))*POWER(1-('Sens - Scenarios'!$B$6*VLOOKUP(B49,ChurnSeasonTable,4,FALSE)),0)+Q25*('Sens - Scenarios'!$B$6*VLOOKUP(B49,ChurnSeasonTable,4,FALSE))*POWER(1-('Sens - Scenarios'!$B$6*VLOOKUP(B49,ChurnSeasonTable,4,FALSE)),1)+Q13*('Sens - Scenarios'!$B$6*VLOOKUP(B49,ChurnSeasonTable,4,FALSE))*POWER(1-('Sens - Scenarios'!$B$6*VLOOKUP(B49,ChurnSeasonTable,4,FALSE)),2)</f>
        <v/>
      </c>
      <c r="X49" s="12">
        <f>X48+R49-R37*('Sens - Scenarios'!$B$6*VLOOKUP(B49,ChurnSeasonTable,4,FALSE))*POWER(1-('Sens - Scenarios'!$B$6*VLOOKUP(B49,ChurnSeasonTable,4,FALSE)),0)+R25*('Sens - Scenarios'!$B$6*VLOOKUP(B49,ChurnSeasonTable,4,FALSE))*POWER(1-('Sens - Scenarios'!$B$6*VLOOKUP(B49,ChurnSeasonTable,4,FALSE)),1)+R13*('Sens - Scenarios'!$B$6*VLOOKUP(B49,ChurnSeasonTable,4,FALSE))*POWER(1-('Sens - Scenarios'!$B$6*VLOOKUP(B49,ChurnSeasonTable,4,FALSE)),2)</f>
        <v/>
      </c>
      <c r="Y49" s="12">
        <f>S49+T49+U49+V49+W49+X49</f>
        <v/>
      </c>
      <c r="Z49" s="9">
        <f>S49*BlendedPriceEssMonthly*E49+T49*BlendedPricePremMonthly*E49+U49*BlendedPriceEliteMonthly*E49+V49*BlendedPriceEssAnnual*E49/12+W49*BlendedPricePremAnnual*E49/12+X49*BlendedPriceEliteAnnual*E49/12</f>
        <v/>
      </c>
      <c r="AA49" s="9">
        <f>Z49*12</f>
        <v/>
      </c>
      <c r="AB49" s="12">
        <f>S49*BlendedPriceEssMonthly*E49+T49*BlendedPricePremMonthly*E49+U49*BlendedPriceEliteMonthly*E49</f>
        <v/>
      </c>
      <c r="AC49" s="12">
        <f>P49*BlendedPriceEssAnnual*E49+Q49*BlendedPricePremAnnual*E49+R49*BlendedPriceEliteAnnual*E49</f>
        <v/>
      </c>
      <c r="AD49" s="12">
        <f>P37*POWER(1-('Sens - Scenarios'!$B$6*VLOOKUP(B49,ChurnSeasonTable,4,FALSE)),1)*BlendedPriceEssAnnual*E49+P25*POWER(1-('Sens - Scenarios'!$B$6*VLOOKUP(B49,ChurnSeasonTable,4,FALSE)),2)*BlendedPriceEssAnnual*E49+P13*POWER(1-('Sens - Scenarios'!$B$6*VLOOKUP(B49,ChurnSeasonTable,4,FALSE)),3)*BlendedPriceEssAnnual*E49+Q37*POWER(1-('Sens - Scenarios'!$B$6*VLOOKUP(B49,ChurnSeasonTable,4,FALSE)),1)*BlendedPricePremAnnual*E49+Q25*POWER(1-('Sens - Scenarios'!$B$6*VLOOKUP(B49,ChurnSeasonTable,4,FALSE)),2)*BlendedPricePremAnnual*E49+Q13*POWER(1-('Sens - Scenarios'!$B$6*VLOOKUP(B49,ChurnSeasonTable,4,FALSE)),3)*BlendedPricePremAnnual*E49+R37*POWER(1-('Sens - Scenarios'!$B$6*VLOOKUP(B49,ChurnSeasonTable,4,FALSE)),1)*BlendedPriceEliteAnnual*E49+R25*POWER(1-('Sens - Scenarios'!$B$6*VLOOKUP(B49,ChurnSeasonTable,4,FALSE)),2)*BlendedPriceEliteAnnual*E49+R13*POWER(1-('Sens - Scenarios'!$B$6*VLOOKUP(B49,ChurnSeasonTable,4,FALSE)),3)*BlendedPriceEliteAnnual*E49</f>
        <v/>
      </c>
      <c r="AE49" s="9">
        <f>AB49+AC49+AD49</f>
        <v/>
      </c>
      <c r="AF49" s="12">
        <f>SUM(AE38:AE49)</f>
        <v/>
      </c>
      <c r="AG49" s="12">
        <f>OR(AG48,IF(VATAgentMode,SUM($AE38:$AE49)-SUM($AL38:$AL49)&gt;=VATThreshold,SUM($AE38:$AE49)&gt;=VATThreshold))</f>
        <v/>
      </c>
      <c r="AH49" s="9">
        <f>IF(AG49,IF(VATAgentMode,AE49-((AE49-AL49)-(AE49-AL49)/(1+VATRate)),AE49/(1+VATRate)),AE49)</f>
        <v/>
      </c>
      <c r="AI49" s="12">
        <f>AE49-AH49</f>
        <v/>
      </c>
      <c r="AJ49" s="12">
        <f>IF(AG49=0,0,IF(B49=1,SUMPRODUCT(--(($C$5:$C49=$C49-1)*($B$5:$B49&gt;=10)*($B$5:$B49&lt;=12)),$AI$5:$AI49),IF(B49=4,SUMPRODUCT(--(($C$5:$C49=$C49)*($B$5:$B49&gt;=1)*($B$5:$B49&lt;=3)),$AI$5:$AI49),IF(B49=7,SUMPRODUCT(--(($C$5:$C49=$C49)*($B$5:$B49&gt;=4)*($B$5:$B49&lt;=6)),$AI$5:$AI49),IF(B49=10,SUMPRODUCT(--(($C$5:$C49=$C49)*($B$5:$B49&gt;=7)*($B$5:$B49&lt;=9)),$AI$5:$AI49),0)))))</f>
        <v/>
      </c>
      <c r="AK49" s="12">
        <f>AK48+AI49-AJ49</f>
        <v/>
      </c>
      <c r="AL49" s="12">
        <f>IF(ProviderDelay&gt;=1,S48*BlendedProvPayEss+T48*BlendedProvPayPrem+U48*BlendedProvPayElite+V48*BlendedProvPayEss+W48*BlendedProvPayPrem+X48*BlendedProvPayElite,S49*BlendedProvPayEss+T49*BlendedProvPayPrem+U49*BlendedProvPayElite+V49*BlendedProvPayEss+W49*BlendedProvPayPrem+X49*BlendedProvPayElite)</f>
        <v/>
      </c>
      <c r="AM49" s="12">
        <f>AE49*PaymentFee</f>
        <v/>
      </c>
      <c r="AN49" s="12">
        <f>Y49*OpsAI</f>
        <v/>
      </c>
      <c r="AO49" s="12">
        <f>MonthlyFixed</f>
        <v/>
      </c>
      <c r="AP49" s="12">
        <f>I49*ReferralReward</f>
        <v/>
      </c>
      <c r="AQ49" s="12">
        <f>G49</f>
        <v/>
      </c>
      <c r="AR49" s="9">
        <f>AH49-AL49-AM49-AN49-AO49-AP49-AQ49</f>
        <v/>
      </c>
      <c r="AS49" s="9">
        <f>AS48+AE49-(AL49+AM49+AN49+AO49+AP49+AQ49+AJ49)</f>
        <v/>
      </c>
      <c r="AT49" s="12">
        <f>IF(Y49&gt;0,Z49/Y49,0)</f>
        <v/>
      </c>
      <c r="AU49" s="11">
        <f>IF(Y48&gt;0,MAX(0,(Y48+J49-Y49)/Y48),0)</f>
        <v/>
      </c>
      <c r="AW49" s="12" t="n">
        <v>45</v>
      </c>
      <c r="AX49" s="12">
        <f>MOD(AW49-1+LaunchMonth-1,12)+1</f>
        <v/>
      </c>
      <c r="AY49" s="12">
        <f>INT((AW49-1+LaunchMonth-1)/12)+1</f>
        <v/>
      </c>
      <c r="AZ49" s="12">
        <f>VLOOKUP(AX49,SeasonTable,2,FALSE)</f>
        <v/>
      </c>
      <c r="BA49" s="12">
        <f>(1+InflationRate)^INT((AW49-1)/12)</f>
        <v/>
      </c>
      <c r="BB49" s="11">
        <f>MonthlyChurn*VLOOKUP(AX49,ChurnSeasonTable,4,FALSE)</f>
        <v/>
      </c>
      <c r="BC49" s="12">
        <f>MIN(MAX(MktMin19plus,CA48*MktPct19plus),MAX(0,CO48-CashBuffer))</f>
        <v/>
      </c>
      <c r="BD49" s="12">
        <f>IF(BC49&gt;0,MAX(1,ROUND(BC49/CAC*AZ49,0)),0)</f>
        <v/>
      </c>
      <c r="BE49" s="12">
        <f>IF(BD49&gt;0,ROUND(BD49*ReferralMix/(1-ReferralMix),0),0)</f>
        <v/>
      </c>
      <c r="BF49" s="12">
        <f>BD49+BE49</f>
        <v/>
      </c>
      <c r="BG49" s="12">
        <f>ROUND(BF49*(1-AnnualMix),0)</f>
        <v/>
      </c>
      <c r="BH49" s="12">
        <f>BF49-BG49</f>
        <v/>
      </c>
      <c r="BI49" s="12">
        <f>ROUND(BG49*EssentialMix,0)</f>
        <v/>
      </c>
      <c r="BJ49" s="12">
        <f>ROUND(BG49*PremiumMix,0)</f>
        <v/>
      </c>
      <c r="BK49" s="12">
        <f>BG49-BI49-BJ49</f>
        <v/>
      </c>
      <c r="BL49" s="12">
        <f>ROUND(BH49*EssentialMix,0)</f>
        <v/>
      </c>
      <c r="BM49" s="12">
        <f>ROUND(BH49*PremiumMix,0)</f>
        <v/>
      </c>
      <c r="BN49" s="12">
        <f>BH49-BL49-BM49</f>
        <v/>
      </c>
      <c r="BO49" s="12">
        <f>BI49+BI48+BI47+MAX(0,BO48-BI48-BI47)*(1-BB49)</f>
        <v/>
      </c>
      <c r="BP49" s="12">
        <f>BJ49+BJ48+BJ47+MAX(0,BP48-BJ48-BJ47)*(1-BB49)</f>
        <v/>
      </c>
      <c r="BQ49" s="12">
        <f>BK49+BK48+BK47+MAX(0,BQ48-BK48-BK47)*(1-BB49)</f>
        <v/>
      </c>
      <c r="BR49" s="12">
        <f>BR48+BL49-BL37*(AnnualChurn*VLOOKUP(AX49,ChurnSeasonTable,4,FALSE))*POWER(1-(AnnualChurn*VLOOKUP(AX49,ChurnSeasonTable,4,FALSE)),0)+BL25*(AnnualChurn*VLOOKUP(AX49,ChurnSeasonTable,4,FALSE))*POWER(1-(AnnualChurn*VLOOKUP(AX49,ChurnSeasonTable,4,FALSE)),1)+BL13*(AnnualChurn*VLOOKUP(AX49,ChurnSeasonTable,4,FALSE))*POWER(1-(AnnualChurn*VLOOKUP(AX49,ChurnSeasonTable,4,FALSE)),2)</f>
        <v/>
      </c>
      <c r="BS49" s="12">
        <f>BS48+BM49-BM37*(AnnualChurn*VLOOKUP(AX49,ChurnSeasonTable,4,FALSE))*POWER(1-(AnnualChurn*VLOOKUP(AX49,ChurnSeasonTable,4,FALSE)),0)+BM25*(AnnualChurn*VLOOKUP(AX49,ChurnSeasonTable,4,FALSE))*POWER(1-(AnnualChurn*VLOOKUP(AX49,ChurnSeasonTable,4,FALSE)),1)+BM13*(AnnualChurn*VLOOKUP(AX49,ChurnSeasonTable,4,FALSE))*POWER(1-(AnnualChurn*VLOOKUP(AX49,ChurnSeasonTable,4,FALSE)),2)</f>
        <v/>
      </c>
      <c r="BT49" s="12">
        <f>BT48+BN49-BN37*(AnnualChurn*VLOOKUP(AX49,ChurnSeasonTable,4,FALSE))*POWER(1-(AnnualChurn*VLOOKUP(AX49,ChurnSeasonTable,4,FALSE)),0)+BN25*(AnnualChurn*VLOOKUP(AX49,ChurnSeasonTable,4,FALSE))*POWER(1-(AnnualChurn*VLOOKUP(AX49,ChurnSeasonTable,4,FALSE)),1)+BN13*(AnnualChurn*VLOOKUP(AX49,ChurnSeasonTable,4,FALSE))*POWER(1-(AnnualChurn*VLOOKUP(AX49,ChurnSeasonTable,4,FALSE)),2)</f>
        <v/>
      </c>
      <c r="BU49" s="12">
        <f>BO49+BP49+BQ49+BR49+BS49+BT49</f>
        <v/>
      </c>
      <c r="BV49" s="9">
        <f>BO49*BlendedPriceEssMonthly*BA49+BP49*BlendedPricePremMonthly*BA49+BQ49*BlendedPriceEliteMonthly*BA49+BR49*BlendedPriceEssAnnual*BA49/12+BS49*BlendedPricePremAnnual*BA49/12+BT49*BlendedPriceEliteAnnual*BA49/12</f>
        <v/>
      </c>
      <c r="BW49" s="9">
        <f>BV49*12</f>
        <v/>
      </c>
      <c r="BX49" s="12">
        <f>BO49*BlendedPriceEssMonthly*BA49+BP49*BlendedPricePremMonthly*BA49+BQ49*BlendedPriceEliteMonthly*BA49</f>
        <v/>
      </c>
      <c r="BY49" s="12">
        <f>BL49*BlendedPriceEssAnnual*BA49+BM49*BlendedPricePremAnnual*BA49+BN49*BlendedPriceEliteAnnual*BA49</f>
        <v/>
      </c>
      <c r="BZ49" s="12">
        <f>BL37*POWER(1-(AnnualChurn*VLOOKUP(AX49,ChurnSeasonTable,4,FALSE)),1)*BlendedPriceEssAnnual*BA49+BL25*POWER(1-(AnnualChurn*VLOOKUP(AX49,ChurnSeasonTable,4,FALSE)),2)*BlendedPriceEssAnnual*BA49+BL13*POWER(1-(AnnualChurn*VLOOKUP(AX49,ChurnSeasonTable,4,FALSE)),3)*BlendedPriceEssAnnual*BA49+BM37*POWER(1-(AnnualChurn*VLOOKUP(AX49,ChurnSeasonTable,4,FALSE)),1)*BlendedPricePremAnnual*BA49+BM25*POWER(1-(AnnualChurn*VLOOKUP(AX49,ChurnSeasonTable,4,FALSE)),2)*BlendedPricePremAnnual*BA49+BM13*POWER(1-(AnnualChurn*VLOOKUP(AX49,ChurnSeasonTable,4,FALSE)),3)*BlendedPricePremAnnual*BA49+BN37*POWER(1-(AnnualChurn*VLOOKUP(AX49,ChurnSeasonTable,4,FALSE)),1)*BlendedPriceEliteAnnual*BA49+BN25*POWER(1-(AnnualChurn*VLOOKUP(AX49,ChurnSeasonTable,4,FALSE)),2)*BlendedPriceEliteAnnual*BA49+BN13*POWER(1-(AnnualChurn*VLOOKUP(AX49,ChurnSeasonTable,4,FALSE)),3)*BlendedPriceEliteAnnual*BA49</f>
        <v/>
      </c>
      <c r="CA49" s="9">
        <f>BX49+BY49+BZ49</f>
        <v/>
      </c>
      <c r="CB49" s="12">
        <f>SUM(CA38:CA49)</f>
        <v/>
      </c>
      <c r="CC49" s="12">
        <f>OR(CC48,IF(VATAgentMode,SUM($CA38:$CA49)-SUM($CH38:$CH49)&gt;=VATThreshold,SUM($CA38:$CA49)&gt;=VATThreshold))</f>
        <v/>
      </c>
      <c r="CD49" s="9">
        <f>IF(CC49,IF(VATAgentMode,CA49-((CA49-CH49)-(CA49-CH49)/(1+VATRate)),CA49/(1+VATRate)),CA49)</f>
        <v/>
      </c>
      <c r="CE49" s="12">
        <f>CA49-CD49</f>
        <v/>
      </c>
      <c r="CF49" s="12">
        <f>IF(CC49=0,0,IF(AX49=1,SUMPRODUCT(--(($AY$5:$AY49=$AY49-1)*($AX$5:$AX49&gt;=10)*($AX$5:$AX49&lt;=12)),$CE$5:$CE49),IF(AX49=4,SUMPRODUCT(--(($AY$5:$AY49=$AY49)*($AX$5:$AX49&gt;=1)*($AX$5:$AX49&lt;=3)),$CE$5:$CE49),IF(AX49=7,SUMPRODUCT(--(($AY$5:$AY49=$AY49)*($AX$5:$AX49&gt;=4)*($AX$5:$AX49&lt;=6)),$CE$5:$CE49),IF(AX49=10,SUMPRODUCT(--(($AY$5:$AY49=$AY49)*($AX$5:$AX49&gt;=7)*($AX$5:$AX49&lt;=9)),$CE$5:$CE49),0)))))</f>
        <v/>
      </c>
      <c r="CG49" s="12">
        <f>CG48+CE49-CF49</f>
        <v/>
      </c>
      <c r="CH49" s="12">
        <f>IF(ProviderDelay&gt;=1,BO48*BlendedProvPayEss+BP48*BlendedProvPayPrem+BQ48*BlendedProvPayElite+BR48*BlendedProvPayEss+BS48*BlendedProvPayPrem+BT48*BlendedProvPayElite,BO49*BlendedProvPayEss+BP49*BlendedProvPayPrem+BQ49*BlendedProvPayElite+BR49*BlendedProvPayEss+BS49*BlendedProvPayPrem+BT49*BlendedProvPayElite)</f>
        <v/>
      </c>
      <c r="CI49" s="12">
        <f>CA49*PaymentFee</f>
        <v/>
      </c>
      <c r="CJ49" s="12">
        <f>BU49*OpsAI</f>
        <v/>
      </c>
      <c r="CK49" s="12">
        <f>MonthlyFixed</f>
        <v/>
      </c>
      <c r="CL49" s="12">
        <f>BE49*ReferralReward</f>
        <v/>
      </c>
      <c r="CM49" s="12">
        <f>BC49</f>
        <v/>
      </c>
      <c r="CN49" s="9">
        <f>CD49-CH49-CI49-CJ49-CK49-CL49-CM49</f>
        <v/>
      </c>
      <c r="CO49" s="9">
        <f>CO48+CA49-(CH49+CI49+CJ49+CK49+CL49+CM49+CF49)</f>
        <v/>
      </c>
      <c r="CP49" s="12">
        <f>IF(BU49&gt;0,BV49/BU49,0)</f>
        <v/>
      </c>
      <c r="CQ49" s="11">
        <f>IF(BU48&gt;0,MAX(0,(BU48+BF49-BU49)/BU48),0)</f>
        <v/>
      </c>
      <c r="CS49" s="12" t="n">
        <v>45</v>
      </c>
      <c r="CT49" s="12">
        <f>MOD(CS49-1+LaunchMonth-1,12)+1</f>
        <v/>
      </c>
      <c r="CU49" s="12">
        <f>INT((CS49-1+LaunchMonth-1)/12)+1</f>
        <v/>
      </c>
      <c r="CV49" s="12">
        <f>VLOOKUP(CT49,SeasonTable,2,FALSE)</f>
        <v/>
      </c>
      <c r="CW49" s="12">
        <f>(1+InflationRate)^INT((CS49-1)/12)</f>
        <v/>
      </c>
      <c r="CX49" s="11">
        <f>'Sens - Scenarios'!$D$5*VLOOKUP(CT49,ChurnSeasonTable,4,FALSE)</f>
        <v/>
      </c>
      <c r="CY49" s="12">
        <f>MIN(MAX(MktMin19plus,DW48*MktPct19plus),MAX(0,EK48-CashBuffer))</f>
        <v/>
      </c>
      <c r="CZ49" s="12">
        <f>IF(CY49&gt;0,MAX(1,ROUND(CY49/'Sens - Scenarios'!$D$8*CV49,0)),0)</f>
        <v/>
      </c>
      <c r="DA49" s="12">
        <f>IF(CZ49&gt;0,ROUND(CZ49*ReferralMix/(1-ReferralMix),0),0)</f>
        <v/>
      </c>
      <c r="DB49" s="12">
        <f>CZ49+DA49</f>
        <v/>
      </c>
      <c r="DC49" s="12">
        <f>ROUND(DB49*(1-'Sens - Scenarios'!$D$7),0)</f>
        <v/>
      </c>
      <c r="DD49" s="12">
        <f>DB49-DC49</f>
        <v/>
      </c>
      <c r="DE49" s="12">
        <f>ROUND(DC49*EssentialMix,0)</f>
        <v/>
      </c>
      <c r="DF49" s="12">
        <f>ROUND(DC49*PremiumMix,0)</f>
        <v/>
      </c>
      <c r="DG49" s="12">
        <f>DC49-DE49-DF49</f>
        <v/>
      </c>
      <c r="DH49" s="12">
        <f>ROUND(DD49*EssentialMix,0)</f>
        <v/>
      </c>
      <c r="DI49" s="12">
        <f>ROUND(DD49*PremiumMix,0)</f>
        <v/>
      </c>
      <c r="DJ49" s="12">
        <f>DD49-DH49-DI49</f>
        <v/>
      </c>
      <c r="DK49" s="12">
        <f>DE49+DE48+DE47+MAX(0,DK48-DE48-DE47)*(1-CX49)</f>
        <v/>
      </c>
      <c r="DL49" s="12">
        <f>DF49+DF48+DF47+MAX(0,DL48-DF48-DF47)*(1-CX49)</f>
        <v/>
      </c>
      <c r="DM49" s="12">
        <f>DG49+DG48+DG47+MAX(0,DM48-DG48-DG47)*(1-CX49)</f>
        <v/>
      </c>
      <c r="DN49" s="12">
        <f>DN48+DH49-DH37*('Sens - Scenarios'!$D$6*VLOOKUP(CT49,ChurnSeasonTable,4,FALSE))*POWER(1-('Sens - Scenarios'!$D$6*VLOOKUP(CT49,ChurnSeasonTable,4,FALSE)),0)+DH25*('Sens - Scenarios'!$D$6*VLOOKUP(CT49,ChurnSeasonTable,4,FALSE))*POWER(1-('Sens - Scenarios'!$D$6*VLOOKUP(CT49,ChurnSeasonTable,4,FALSE)),1)+DH13*('Sens - Scenarios'!$D$6*VLOOKUP(CT49,ChurnSeasonTable,4,FALSE))*POWER(1-('Sens - Scenarios'!$D$6*VLOOKUP(CT49,ChurnSeasonTable,4,FALSE)),2)</f>
        <v/>
      </c>
      <c r="DO49" s="12">
        <f>DO48+DI49-DI37*('Sens - Scenarios'!$D$6*VLOOKUP(CT49,ChurnSeasonTable,4,FALSE))*POWER(1-('Sens - Scenarios'!$D$6*VLOOKUP(CT49,ChurnSeasonTable,4,FALSE)),0)+DI25*('Sens - Scenarios'!$D$6*VLOOKUP(CT49,ChurnSeasonTable,4,FALSE))*POWER(1-('Sens - Scenarios'!$D$6*VLOOKUP(CT49,ChurnSeasonTable,4,FALSE)),1)+DI13*('Sens - Scenarios'!$D$6*VLOOKUP(CT49,ChurnSeasonTable,4,FALSE))*POWER(1-('Sens - Scenarios'!$D$6*VLOOKUP(CT49,ChurnSeasonTable,4,FALSE)),2)</f>
        <v/>
      </c>
      <c r="DP49" s="12">
        <f>DP48+DJ49-DJ37*('Sens - Scenarios'!$D$6*VLOOKUP(CT49,ChurnSeasonTable,4,FALSE))*POWER(1-('Sens - Scenarios'!$D$6*VLOOKUP(CT49,ChurnSeasonTable,4,FALSE)),0)+DJ25*('Sens - Scenarios'!$D$6*VLOOKUP(CT49,ChurnSeasonTable,4,FALSE))*POWER(1-('Sens - Scenarios'!$D$6*VLOOKUP(CT49,ChurnSeasonTable,4,FALSE)),1)+DJ13*('Sens - Scenarios'!$D$6*VLOOKUP(CT49,ChurnSeasonTable,4,FALSE))*POWER(1-('Sens - Scenarios'!$D$6*VLOOKUP(CT49,ChurnSeasonTable,4,FALSE)),2)</f>
        <v/>
      </c>
      <c r="DQ49" s="12">
        <f>DK49+DL49+DM49+DN49+DO49+DP49</f>
        <v/>
      </c>
      <c r="DR49" s="9">
        <f>DK49*BlendedPriceEssMonthly*CW49+DL49*BlendedPricePremMonthly*CW49+DM49*BlendedPriceEliteMonthly*CW49+DN49*BlendedPriceEssAnnual*CW49/12+DO49*BlendedPricePremAnnual*CW49/12+DP49*BlendedPriceEliteAnnual*CW49/12</f>
        <v/>
      </c>
      <c r="DS49" s="9">
        <f>DR49*12</f>
        <v/>
      </c>
      <c r="DT49" s="12">
        <f>DK49*BlendedPriceEssMonthly*CW49+DL49*BlendedPricePremMonthly*CW49+DM49*BlendedPriceEliteMonthly*CW49</f>
        <v/>
      </c>
      <c r="DU49" s="12">
        <f>DH49*BlendedPriceEssAnnual*CW49+DI49*BlendedPricePremAnnual*CW49+DJ49*BlendedPriceEliteAnnual*CW49</f>
        <v/>
      </c>
      <c r="DV49" s="12">
        <f>DH37*POWER(1-('Sens - Scenarios'!$D$6*VLOOKUP(CT49,ChurnSeasonTable,4,FALSE)),1)*BlendedPriceEssAnnual*CW49+DH25*POWER(1-('Sens - Scenarios'!$D$6*VLOOKUP(CT49,ChurnSeasonTable,4,FALSE)),2)*BlendedPriceEssAnnual*CW49+DH13*POWER(1-('Sens - Scenarios'!$D$6*VLOOKUP(CT49,ChurnSeasonTable,4,FALSE)),3)*BlendedPriceEssAnnual*CW49+DI37*POWER(1-('Sens - Scenarios'!$D$6*VLOOKUP(CT49,ChurnSeasonTable,4,FALSE)),1)*BlendedPricePremAnnual*CW49+DI25*POWER(1-('Sens - Scenarios'!$D$6*VLOOKUP(CT49,ChurnSeasonTable,4,FALSE)),2)*BlendedPricePremAnnual*CW49+DI13*POWER(1-('Sens - Scenarios'!$D$6*VLOOKUP(CT49,ChurnSeasonTable,4,FALSE)),3)*BlendedPricePremAnnual*CW49+DJ37*POWER(1-('Sens - Scenarios'!$D$6*VLOOKUP(CT49,ChurnSeasonTable,4,FALSE)),1)*BlendedPriceEliteAnnual*CW49+DJ25*POWER(1-('Sens - Scenarios'!$D$6*VLOOKUP(CT49,ChurnSeasonTable,4,FALSE)),2)*BlendedPriceEliteAnnual*CW49+DJ13*POWER(1-('Sens - Scenarios'!$D$6*VLOOKUP(CT49,ChurnSeasonTable,4,FALSE)),3)*BlendedPriceEliteAnnual*CW49</f>
        <v/>
      </c>
      <c r="DW49" s="9">
        <f>DT49+DU49+DV49</f>
        <v/>
      </c>
      <c r="DX49" s="12">
        <f>SUM(DW38:DW49)</f>
        <v/>
      </c>
      <c r="DY49" s="12">
        <f>OR(DY48,IF(VATAgentMode,SUM($DW38:$DW49)-SUM($ED38:$ED49)&gt;=VATThreshold,SUM($DW38:$DW49)&gt;=VATThreshold))</f>
        <v/>
      </c>
      <c r="DZ49" s="9">
        <f>IF(DY49,IF(VATAgentMode,DW49-((DW49-ED49)-(DW49-ED49)/(1+VATRate)),DW49/(1+VATRate)),DW49)</f>
        <v/>
      </c>
      <c r="EA49" s="12">
        <f>DW49-DZ49</f>
        <v/>
      </c>
      <c r="EB49" s="12">
        <f>IF(DY49=0,0,IF(CT49=1,SUMPRODUCT(--(($CU$5:$CU49=$CU49-1)*($CT$5:$CT49&gt;=10)*($CT$5:$CT49&lt;=12)),$EA$5:$EA49),IF(CT49=4,SUMPRODUCT(--(($CU$5:$CU49=$CU49)*($CT$5:$CT49&gt;=1)*($CT$5:$CT49&lt;=3)),$EA$5:$EA49),IF(CT49=7,SUMPRODUCT(--(($CU$5:$CU49=$CU49)*($CT$5:$CT49&gt;=4)*($CT$5:$CT49&lt;=6)),$EA$5:$EA49),IF(CT49=10,SUMPRODUCT(--(($CU$5:$CU49=$CU49)*($CT$5:$CT49&gt;=7)*($CT$5:$CT49&lt;=9)),$EA$5:$EA49),0)))))</f>
        <v/>
      </c>
      <c r="EC49" s="12">
        <f>EC48+EA49-EB49</f>
        <v/>
      </c>
      <c r="ED49" s="12">
        <f>IF(ProviderDelay&gt;=1,DK48*BlendedProvPayEss+DL48*BlendedProvPayPrem+DM48*BlendedProvPayElite+DN48*BlendedProvPayEss+DO48*BlendedProvPayPrem+DP48*BlendedProvPayElite,DK49*BlendedProvPayEss+DL49*BlendedProvPayPrem+DM49*BlendedProvPayElite+DN49*BlendedProvPayEss+DO49*BlendedProvPayPrem+DP49*BlendedProvPayElite)</f>
        <v/>
      </c>
      <c r="EE49" s="12">
        <f>DW49*PaymentFee</f>
        <v/>
      </c>
      <c r="EF49" s="12">
        <f>DQ49*OpsAI</f>
        <v/>
      </c>
      <c r="EG49" s="12">
        <f>MonthlyFixed</f>
        <v/>
      </c>
      <c r="EH49" s="12">
        <f>DA49*ReferralReward</f>
        <v/>
      </c>
      <c r="EI49" s="12">
        <f>CY49</f>
        <v/>
      </c>
      <c r="EJ49" s="9">
        <f>DZ49-ED49-EE49-EF49-EG49-EH49-EI49</f>
        <v/>
      </c>
      <c r="EK49" s="9">
        <f>EK48+DW49-(ED49+EE49+EF49+EG49+EH49+EI49+EB49)</f>
        <v/>
      </c>
      <c r="EL49" s="12">
        <f>IF(DQ49&gt;0,DR49/DQ49,0)</f>
        <v/>
      </c>
      <c r="EM49" s="11">
        <f>IF(DQ48&gt;0,MAX(0,(DQ48+DB49-DQ49)/DQ48),0)</f>
        <v/>
      </c>
      <c r="EO49" s="12" t="n">
        <v>45</v>
      </c>
      <c r="EP49" s="12">
        <f>MOD(EO49-1+LaunchMonth-1,12)+1</f>
        <v/>
      </c>
      <c r="EQ49" s="12">
        <f>INT((EO49-1+LaunchMonth-1)/12)+1</f>
        <v/>
      </c>
      <c r="ER49" s="12">
        <f>VLOOKUP(EP49,SeasonTable,2,FALSE)</f>
        <v/>
      </c>
      <c r="ES49" s="12">
        <f>(1+InflationRate)^INT((EO49-1)/12)</f>
        <v/>
      </c>
      <c r="ET49" s="11">
        <f>'Sens - Churn'!$A$13*VLOOKUP(EP49,ChurnSeasonTable,4,FALSE)</f>
        <v/>
      </c>
      <c r="EU49" s="12">
        <f>MIN(MAX(MktMin19plus,FS48*MktPct19plus),MAX(0,GG48-CashBuffer))</f>
        <v/>
      </c>
      <c r="EV49" s="12">
        <f>IF(EU49&gt;0,MAX(1,ROUND(EU49/CAC*ER49,0)),0)</f>
        <v/>
      </c>
      <c r="EW49" s="12">
        <f>IF(EV49&gt;0,ROUND(EV49*ReferralMix/(1-ReferralMix),0),0)</f>
        <v/>
      </c>
      <c r="EX49" s="12">
        <f>EV49+EW49</f>
        <v/>
      </c>
      <c r="EY49" s="12">
        <f>ROUND(EX49*(1-AnnualMix),0)</f>
        <v/>
      </c>
      <c r="EZ49" s="12">
        <f>EX49-EY49</f>
        <v/>
      </c>
      <c r="FA49" s="12">
        <f>ROUND(EY49*EssentialMix,0)</f>
        <v/>
      </c>
      <c r="FB49" s="12">
        <f>ROUND(EY49*PremiumMix,0)</f>
        <v/>
      </c>
      <c r="FC49" s="12">
        <f>EY49-FA49-FB49</f>
        <v/>
      </c>
      <c r="FD49" s="12">
        <f>ROUND(EZ49*EssentialMix,0)</f>
        <v/>
      </c>
      <c r="FE49" s="12">
        <f>ROUND(EZ49*PremiumMix,0)</f>
        <v/>
      </c>
      <c r="FF49" s="12">
        <f>EZ49-FD49-FE49</f>
        <v/>
      </c>
      <c r="FG49" s="12">
        <f>FA49+FA48+FA47+MAX(0,FG48-FA48-FA47)*(1-ET49)</f>
        <v/>
      </c>
      <c r="FH49" s="12">
        <f>FB49+FB48+FB47+MAX(0,FH48-FB48-FB47)*(1-ET49)</f>
        <v/>
      </c>
      <c r="FI49" s="12">
        <f>FC49+FC48+FC47+MAX(0,FI48-FC48-FC47)*(1-ET49)</f>
        <v/>
      </c>
      <c r="FJ49" s="12">
        <f>FJ48+FD49-FD37*(AnnualChurn*VLOOKUP(EP49,ChurnSeasonTable,4,FALSE))*POWER(1-(AnnualChurn*VLOOKUP(EP49,ChurnSeasonTable,4,FALSE)),0)+FD25*(AnnualChurn*VLOOKUP(EP49,ChurnSeasonTable,4,FALSE))*POWER(1-(AnnualChurn*VLOOKUP(EP49,ChurnSeasonTable,4,FALSE)),1)+FD13*(AnnualChurn*VLOOKUP(EP49,ChurnSeasonTable,4,FALSE))*POWER(1-(AnnualChurn*VLOOKUP(EP49,ChurnSeasonTable,4,FALSE)),2)</f>
        <v/>
      </c>
      <c r="FK49" s="12">
        <f>FK48+FE49-FE37*(AnnualChurn*VLOOKUP(EP49,ChurnSeasonTable,4,FALSE))*POWER(1-(AnnualChurn*VLOOKUP(EP49,ChurnSeasonTable,4,FALSE)),0)+FE25*(AnnualChurn*VLOOKUP(EP49,ChurnSeasonTable,4,FALSE))*POWER(1-(AnnualChurn*VLOOKUP(EP49,ChurnSeasonTable,4,FALSE)),1)+FE13*(AnnualChurn*VLOOKUP(EP49,ChurnSeasonTable,4,FALSE))*POWER(1-(AnnualChurn*VLOOKUP(EP49,ChurnSeasonTable,4,FALSE)),2)</f>
        <v/>
      </c>
      <c r="FL49" s="12">
        <f>FL48+FF49-FF37*(AnnualChurn*VLOOKUP(EP49,ChurnSeasonTable,4,FALSE))*POWER(1-(AnnualChurn*VLOOKUP(EP49,ChurnSeasonTable,4,FALSE)),0)+FF25*(AnnualChurn*VLOOKUP(EP49,ChurnSeasonTable,4,FALSE))*POWER(1-(AnnualChurn*VLOOKUP(EP49,ChurnSeasonTable,4,FALSE)),1)+FF13*(AnnualChurn*VLOOKUP(EP49,ChurnSeasonTable,4,FALSE))*POWER(1-(AnnualChurn*VLOOKUP(EP49,ChurnSeasonTable,4,FALSE)),2)</f>
        <v/>
      </c>
      <c r="FM49" s="12">
        <f>FG49+FH49+FI49+FJ49+FK49+FL49</f>
        <v/>
      </c>
      <c r="FN49" s="9">
        <f>FG49*BlendedPriceEssMonthly*ES49+FH49*BlendedPricePremMonthly*ES49+FI49*BlendedPriceEliteMonthly*ES49+FJ49*BlendedPriceEssAnnual*ES49/12+FK49*BlendedPricePremAnnual*ES49/12+FL49*BlendedPriceEliteAnnual*ES49/12</f>
        <v/>
      </c>
      <c r="FO49" s="9">
        <f>FN49*12</f>
        <v/>
      </c>
      <c r="FP49" s="12">
        <f>FG49*BlendedPriceEssMonthly*ES49+FH49*BlendedPricePremMonthly*ES49+FI49*BlendedPriceEliteMonthly*ES49</f>
        <v/>
      </c>
      <c r="FQ49" s="12">
        <f>FD49*BlendedPriceEssAnnual*ES49+FE49*BlendedPricePremAnnual*ES49+FF49*BlendedPriceEliteAnnual*ES49</f>
        <v/>
      </c>
      <c r="FR49" s="12">
        <f>FD37*POWER(1-(AnnualChurn*VLOOKUP(EP49,ChurnSeasonTable,4,FALSE)),1)*BlendedPriceEssAnnual*ES49+FD25*POWER(1-(AnnualChurn*VLOOKUP(EP49,ChurnSeasonTable,4,FALSE)),2)*BlendedPriceEssAnnual*ES49+FD13*POWER(1-(AnnualChurn*VLOOKUP(EP49,ChurnSeasonTable,4,FALSE)),3)*BlendedPriceEssAnnual*ES49+FE37*POWER(1-(AnnualChurn*VLOOKUP(EP49,ChurnSeasonTable,4,FALSE)),1)*BlendedPricePremAnnual*ES49+FE25*POWER(1-(AnnualChurn*VLOOKUP(EP49,ChurnSeasonTable,4,FALSE)),2)*BlendedPricePremAnnual*ES49+FE13*POWER(1-(AnnualChurn*VLOOKUP(EP49,ChurnSeasonTable,4,FALSE)),3)*BlendedPricePremAnnual*ES49+FF37*POWER(1-(AnnualChurn*VLOOKUP(EP49,ChurnSeasonTable,4,FALSE)),1)*BlendedPriceEliteAnnual*ES49+FF25*POWER(1-(AnnualChurn*VLOOKUP(EP49,ChurnSeasonTable,4,FALSE)),2)*BlendedPriceEliteAnnual*ES49+FF13*POWER(1-(AnnualChurn*VLOOKUP(EP49,ChurnSeasonTable,4,FALSE)),3)*BlendedPriceEliteAnnual*ES49</f>
        <v/>
      </c>
      <c r="FS49" s="9">
        <f>FP49+FQ49+FR49</f>
        <v/>
      </c>
      <c r="FT49" s="12">
        <f>SUM(FS38:FS49)</f>
        <v/>
      </c>
      <c r="FU49" s="12">
        <f>OR(FU48,IF(VATAgentMode,SUM($FS38:$FS49)-SUM($FZ38:$FZ49)&gt;=VATThreshold,SUM($FS38:$FS49)&gt;=VATThreshold))</f>
        <v/>
      </c>
      <c r="FV49" s="9">
        <f>IF(FU49,IF(VATAgentMode,FS49-((FS49-FZ49)-(FS49-FZ49)/(1+VATRate)),FS49/(1+VATRate)),FS49)</f>
        <v/>
      </c>
      <c r="FW49" s="12">
        <f>FS49-FV49</f>
        <v/>
      </c>
      <c r="FX49" s="12">
        <f>IF(FU49=0,0,IF(EP49=1,SUMPRODUCT(--(($EQ$5:$EQ49=$EQ49-1)*($EP$5:$EP49&gt;=10)*($EP$5:$EP49&lt;=12)),$FW$5:$FW49),IF(EP49=4,SUMPRODUCT(--(($EQ$5:$EQ49=$EQ49)*($EP$5:$EP49&gt;=1)*($EP$5:$EP49&lt;=3)),$FW$5:$FW49),IF(EP49=7,SUMPRODUCT(--(($EQ$5:$EQ49=$EQ49)*($EP$5:$EP49&gt;=4)*($EP$5:$EP49&lt;=6)),$FW$5:$FW49),IF(EP49=10,SUMPRODUCT(--(($EQ$5:$EQ49=$EQ49)*($EP$5:$EP49&gt;=7)*($EP$5:$EP49&lt;=9)),$FW$5:$FW49),0)))))</f>
        <v/>
      </c>
      <c r="FY49" s="12">
        <f>FY48+FW49-FX49</f>
        <v/>
      </c>
      <c r="FZ49" s="12">
        <f>IF(ProviderDelay&gt;=1,FG48*BlendedProvPayEss+FH48*BlendedProvPayPrem+FI48*BlendedProvPayElite+FJ48*BlendedProvPayEss+FK48*BlendedProvPayPrem+FL48*BlendedProvPayElite,FG49*BlendedProvPayEss+FH49*BlendedProvPayPrem+FI49*BlendedProvPayElite+FJ49*BlendedProvPayEss+FK49*BlendedProvPayPrem+FL49*BlendedProvPayElite)</f>
        <v/>
      </c>
      <c r="GA49" s="12">
        <f>FS49*PaymentFee</f>
        <v/>
      </c>
      <c r="GB49" s="12">
        <f>FM49*OpsAI</f>
        <v/>
      </c>
      <c r="GC49" s="12">
        <f>MonthlyFixed</f>
        <v/>
      </c>
      <c r="GD49" s="12">
        <f>EW49*ReferralReward</f>
        <v/>
      </c>
      <c r="GE49" s="12">
        <f>EU49</f>
        <v/>
      </c>
      <c r="GF49" s="9">
        <f>FV49-FZ49-GA49-GB49-GC49-GD49-GE49</f>
        <v/>
      </c>
      <c r="GG49" s="9">
        <f>GG48+FS49-(FZ49+GA49+GB49+GC49+GD49+GE49+FX49)</f>
        <v/>
      </c>
      <c r="GH49" s="12">
        <f>IF(FM49&gt;0,FN49/FM49,0)</f>
        <v/>
      </c>
      <c r="GI49" s="11">
        <f>IF(FM48&gt;0,MAX(0,(FM48+EX49-FM49)/FM48),0)</f>
        <v/>
      </c>
      <c r="GK49" s="12" t="n">
        <v>45</v>
      </c>
      <c r="GL49" s="12">
        <f>MOD(GK49-1+LaunchMonth-1,12)+1</f>
        <v/>
      </c>
      <c r="GM49" s="12">
        <f>INT((GK49-1+LaunchMonth-1)/12)+1</f>
        <v/>
      </c>
      <c r="GN49" s="12">
        <f>VLOOKUP(GL49,SeasonTable,2,FALSE)</f>
        <v/>
      </c>
      <c r="GO49" s="12">
        <f>(1+InflationRate)^INT((GK49-1)/12)</f>
        <v/>
      </c>
      <c r="GP49" s="11">
        <f>'Sens - Churn'!$A$14*VLOOKUP(GL49,ChurnSeasonTable,4,FALSE)</f>
        <v/>
      </c>
      <c r="GQ49" s="12">
        <f>MIN(MAX(MktMin19plus,HO48*MktPct19plus),MAX(0,IC48-CashBuffer))</f>
        <v/>
      </c>
      <c r="GR49" s="12">
        <f>IF(GQ49&gt;0,MAX(1,ROUND(GQ49/CAC*GN49,0)),0)</f>
        <v/>
      </c>
      <c r="GS49" s="12">
        <f>IF(GR49&gt;0,ROUND(GR49*ReferralMix/(1-ReferralMix),0),0)</f>
        <v/>
      </c>
      <c r="GT49" s="12">
        <f>GR49+GS49</f>
        <v/>
      </c>
      <c r="GU49" s="12">
        <f>ROUND(GT49*(1-AnnualMix),0)</f>
        <v/>
      </c>
      <c r="GV49" s="12">
        <f>GT49-GU49</f>
        <v/>
      </c>
      <c r="GW49" s="12">
        <f>ROUND(GU49*EssentialMix,0)</f>
        <v/>
      </c>
      <c r="GX49" s="12">
        <f>ROUND(GU49*PremiumMix,0)</f>
        <v/>
      </c>
      <c r="GY49" s="12">
        <f>GU49-GW49-GX49</f>
        <v/>
      </c>
      <c r="GZ49" s="12">
        <f>ROUND(GV49*EssentialMix,0)</f>
        <v/>
      </c>
      <c r="HA49" s="12">
        <f>ROUND(GV49*PremiumMix,0)</f>
        <v/>
      </c>
      <c r="HB49" s="12">
        <f>GV49-GZ49-HA49</f>
        <v/>
      </c>
      <c r="HC49" s="12">
        <f>GW49+GW48+GW47+MAX(0,HC48-GW48-GW47)*(1-GP49)</f>
        <v/>
      </c>
      <c r="HD49" s="12">
        <f>GX49+GX48+GX47+MAX(0,HD48-GX48-GX47)*(1-GP49)</f>
        <v/>
      </c>
      <c r="HE49" s="12">
        <f>GY49+GY48+GY47+MAX(0,HE48-GY48-GY47)*(1-GP49)</f>
        <v/>
      </c>
      <c r="HF49" s="12">
        <f>HF48+GZ49-GZ37*(AnnualChurn*VLOOKUP(GL49,ChurnSeasonTable,4,FALSE))*POWER(1-(AnnualChurn*VLOOKUP(GL49,ChurnSeasonTable,4,FALSE)),0)+GZ25*(AnnualChurn*VLOOKUP(GL49,ChurnSeasonTable,4,FALSE))*POWER(1-(AnnualChurn*VLOOKUP(GL49,ChurnSeasonTable,4,FALSE)),1)+GZ13*(AnnualChurn*VLOOKUP(GL49,ChurnSeasonTable,4,FALSE))*POWER(1-(AnnualChurn*VLOOKUP(GL49,ChurnSeasonTable,4,FALSE)),2)</f>
        <v/>
      </c>
      <c r="HG49" s="12">
        <f>HG48+HA49-HA37*(AnnualChurn*VLOOKUP(GL49,ChurnSeasonTable,4,FALSE))*POWER(1-(AnnualChurn*VLOOKUP(GL49,ChurnSeasonTable,4,FALSE)),0)+HA25*(AnnualChurn*VLOOKUP(GL49,ChurnSeasonTable,4,FALSE))*POWER(1-(AnnualChurn*VLOOKUP(GL49,ChurnSeasonTable,4,FALSE)),1)+HA13*(AnnualChurn*VLOOKUP(GL49,ChurnSeasonTable,4,FALSE))*POWER(1-(AnnualChurn*VLOOKUP(GL49,ChurnSeasonTable,4,FALSE)),2)</f>
        <v/>
      </c>
      <c r="HH49" s="12">
        <f>HH48+HB49-HB37*(AnnualChurn*VLOOKUP(GL49,ChurnSeasonTable,4,FALSE))*POWER(1-(AnnualChurn*VLOOKUP(GL49,ChurnSeasonTable,4,FALSE)),0)+HB25*(AnnualChurn*VLOOKUP(GL49,ChurnSeasonTable,4,FALSE))*POWER(1-(AnnualChurn*VLOOKUP(GL49,ChurnSeasonTable,4,FALSE)),1)+HB13*(AnnualChurn*VLOOKUP(GL49,ChurnSeasonTable,4,FALSE))*POWER(1-(AnnualChurn*VLOOKUP(GL49,ChurnSeasonTable,4,FALSE)),2)</f>
        <v/>
      </c>
      <c r="HI49" s="12">
        <f>HC49+HD49+HE49+HF49+HG49+HH49</f>
        <v/>
      </c>
      <c r="HJ49" s="9">
        <f>HC49*BlendedPriceEssMonthly*GO49+HD49*BlendedPricePremMonthly*GO49+HE49*BlendedPriceEliteMonthly*GO49+HF49*BlendedPriceEssAnnual*GO49/12+HG49*BlendedPricePremAnnual*GO49/12+HH49*BlendedPriceEliteAnnual*GO49/12</f>
        <v/>
      </c>
      <c r="HK49" s="9">
        <f>HJ49*12</f>
        <v/>
      </c>
      <c r="HL49" s="12">
        <f>HC49*BlendedPriceEssMonthly*GO49+HD49*BlendedPricePremMonthly*GO49+HE49*BlendedPriceEliteMonthly*GO49</f>
        <v/>
      </c>
      <c r="HM49" s="12">
        <f>GZ49*BlendedPriceEssAnnual*GO49+HA49*BlendedPricePremAnnual*GO49+HB49*BlendedPriceEliteAnnual*GO49</f>
        <v/>
      </c>
      <c r="HN49" s="12">
        <f>GZ37*POWER(1-(AnnualChurn*VLOOKUP(GL49,ChurnSeasonTable,4,FALSE)),1)*BlendedPriceEssAnnual*GO49+GZ25*POWER(1-(AnnualChurn*VLOOKUP(GL49,ChurnSeasonTable,4,FALSE)),2)*BlendedPriceEssAnnual*GO49+GZ13*POWER(1-(AnnualChurn*VLOOKUP(GL49,ChurnSeasonTable,4,FALSE)),3)*BlendedPriceEssAnnual*GO49+HA37*POWER(1-(AnnualChurn*VLOOKUP(GL49,ChurnSeasonTable,4,FALSE)),1)*BlendedPricePremAnnual*GO49+HA25*POWER(1-(AnnualChurn*VLOOKUP(GL49,ChurnSeasonTable,4,FALSE)),2)*BlendedPricePremAnnual*GO49+HA13*POWER(1-(AnnualChurn*VLOOKUP(GL49,ChurnSeasonTable,4,FALSE)),3)*BlendedPricePremAnnual*GO49+HB37*POWER(1-(AnnualChurn*VLOOKUP(GL49,ChurnSeasonTable,4,FALSE)),1)*BlendedPriceEliteAnnual*GO49+HB25*POWER(1-(AnnualChurn*VLOOKUP(GL49,ChurnSeasonTable,4,FALSE)),2)*BlendedPriceEliteAnnual*GO49+HB13*POWER(1-(AnnualChurn*VLOOKUP(GL49,ChurnSeasonTable,4,FALSE)),3)*BlendedPriceEliteAnnual*GO49</f>
        <v/>
      </c>
      <c r="HO49" s="9">
        <f>HL49+HM49+HN49</f>
        <v/>
      </c>
      <c r="HP49" s="12">
        <f>SUM(HO38:HO49)</f>
        <v/>
      </c>
      <c r="HQ49" s="12">
        <f>OR(HQ48,IF(VATAgentMode,SUM($HO38:$HO49)-SUM($HV38:$HV49)&gt;=VATThreshold,SUM($HO38:$HO49)&gt;=VATThreshold))</f>
        <v/>
      </c>
      <c r="HR49" s="9">
        <f>IF(HQ49,IF(VATAgentMode,HO49-((HO49-HV49)-(HO49-HV49)/(1+VATRate)),HO49/(1+VATRate)),HO49)</f>
        <v/>
      </c>
      <c r="HS49" s="12">
        <f>HO49-HR49</f>
        <v/>
      </c>
      <c r="HT49" s="12">
        <f>IF(HQ49=0,0,IF(GL49=1,SUMPRODUCT(--(($GM$5:$GM49=$GM49-1)*($GL$5:$GL49&gt;=10)*($GL$5:$GL49&lt;=12)),$HS$5:$HS49),IF(GL49=4,SUMPRODUCT(--(($GM$5:$GM49=$GM49)*($GL$5:$GL49&gt;=1)*($GL$5:$GL49&lt;=3)),$HS$5:$HS49),IF(GL49=7,SUMPRODUCT(--(($GM$5:$GM49=$GM49)*($GL$5:$GL49&gt;=4)*($GL$5:$GL49&lt;=6)),$HS$5:$HS49),IF(GL49=10,SUMPRODUCT(--(($GM$5:$GM49=$GM49)*($GL$5:$GL49&gt;=7)*($GL$5:$GL49&lt;=9)),$HS$5:$HS49),0)))))</f>
        <v/>
      </c>
      <c r="HU49" s="12">
        <f>HU48+HS49-HT49</f>
        <v/>
      </c>
      <c r="HV49" s="12">
        <f>IF(ProviderDelay&gt;=1,HC48*BlendedProvPayEss+HD48*BlendedProvPayPrem+HE48*BlendedProvPayElite+HF48*BlendedProvPayEss+HG48*BlendedProvPayPrem+HH48*BlendedProvPayElite,HC49*BlendedProvPayEss+HD49*BlendedProvPayPrem+HE49*BlendedProvPayElite+HF49*BlendedProvPayEss+HG49*BlendedProvPayPrem+HH49*BlendedProvPayElite)</f>
        <v/>
      </c>
      <c r="HW49" s="12">
        <f>HO49*PaymentFee</f>
        <v/>
      </c>
      <c r="HX49" s="12">
        <f>HI49*OpsAI</f>
        <v/>
      </c>
      <c r="HY49" s="12">
        <f>MonthlyFixed</f>
        <v/>
      </c>
      <c r="HZ49" s="12">
        <f>GS49*ReferralReward</f>
        <v/>
      </c>
      <c r="IA49" s="12">
        <f>GQ49</f>
        <v/>
      </c>
      <c r="IB49" s="9">
        <f>HR49-HV49-HW49-HX49-HY49-HZ49-IA49</f>
        <v/>
      </c>
      <c r="IC49" s="9">
        <f>IC48+HO49-(HV49+HW49+HX49+HY49+HZ49+IA49+HT49)</f>
        <v/>
      </c>
      <c r="ID49" s="12">
        <f>IF(HI49&gt;0,HJ49/HI49,0)</f>
        <v/>
      </c>
      <c r="IE49" s="11">
        <f>IF(HI48&gt;0,MAX(0,(HI48+GT49-HI49)/HI48),0)</f>
        <v/>
      </c>
      <c r="IG49" s="12" t="n">
        <v>45</v>
      </c>
      <c r="IH49" s="12">
        <f>MOD(IG49-1+LaunchMonth-1,12)+1</f>
        <v/>
      </c>
      <c r="II49" s="12">
        <f>INT((IG49-1+LaunchMonth-1)/12)+1</f>
        <v/>
      </c>
      <c r="IJ49" s="12">
        <f>VLOOKUP(IH49,SeasonTable,2,FALSE)</f>
        <v/>
      </c>
      <c r="IK49" s="12">
        <f>(1+InflationRate)^INT((IG49-1)/12)</f>
        <v/>
      </c>
      <c r="IL49" s="11">
        <f>'Sens - Churn'!$A$15*VLOOKUP(IH49,ChurnSeasonTable,4,FALSE)</f>
        <v/>
      </c>
      <c r="IM49" s="12">
        <f>MIN(MAX(MktMin19plus,JK48*MktPct19plus),MAX(0,JY48-CashBuffer))</f>
        <v/>
      </c>
      <c r="IN49" s="12">
        <f>IF(IM49&gt;0,MAX(1,ROUND(IM49/CAC*IJ49,0)),0)</f>
        <v/>
      </c>
      <c r="IO49" s="12">
        <f>IF(IN49&gt;0,ROUND(IN49*ReferralMix/(1-ReferralMix),0),0)</f>
        <v/>
      </c>
      <c r="IP49" s="12">
        <f>IN49+IO49</f>
        <v/>
      </c>
      <c r="IQ49" s="12">
        <f>ROUND(IP49*(1-AnnualMix),0)</f>
        <v/>
      </c>
      <c r="IR49" s="12">
        <f>IP49-IQ49</f>
        <v/>
      </c>
      <c r="IS49" s="12">
        <f>ROUND(IQ49*EssentialMix,0)</f>
        <v/>
      </c>
      <c r="IT49" s="12">
        <f>ROUND(IQ49*PremiumMix,0)</f>
        <v/>
      </c>
      <c r="IU49" s="12">
        <f>IQ49-IS49-IT49</f>
        <v/>
      </c>
      <c r="IV49" s="12">
        <f>ROUND(IR49*EssentialMix,0)</f>
        <v/>
      </c>
      <c r="IW49" s="12">
        <f>ROUND(IR49*PremiumMix,0)</f>
        <v/>
      </c>
      <c r="IX49" s="12">
        <f>IR49-IV49-IW49</f>
        <v/>
      </c>
      <c r="IY49" s="12">
        <f>IS49+IS48+IS47+MAX(0,IY48-IS48-IS47)*(1-IL49)</f>
        <v/>
      </c>
      <c r="IZ49" s="12">
        <f>IT49+IT48+IT47+MAX(0,IZ48-IT48-IT47)*(1-IL49)</f>
        <v/>
      </c>
      <c r="JA49" s="12">
        <f>IU49+IU48+IU47+MAX(0,JA48-IU48-IU47)*(1-IL49)</f>
        <v/>
      </c>
      <c r="JB49" s="12">
        <f>JB48+IV49-IV37*(AnnualChurn*VLOOKUP(IH49,ChurnSeasonTable,4,FALSE))*POWER(1-(AnnualChurn*VLOOKUP(IH49,ChurnSeasonTable,4,FALSE)),0)+IV25*(AnnualChurn*VLOOKUP(IH49,ChurnSeasonTable,4,FALSE))*POWER(1-(AnnualChurn*VLOOKUP(IH49,ChurnSeasonTable,4,FALSE)),1)+IV13*(AnnualChurn*VLOOKUP(IH49,ChurnSeasonTable,4,FALSE))*POWER(1-(AnnualChurn*VLOOKUP(IH49,ChurnSeasonTable,4,FALSE)),2)</f>
        <v/>
      </c>
      <c r="JC49" s="12">
        <f>JC48+IW49-IW37*(AnnualChurn*VLOOKUP(IH49,ChurnSeasonTable,4,FALSE))*POWER(1-(AnnualChurn*VLOOKUP(IH49,ChurnSeasonTable,4,FALSE)),0)+IW25*(AnnualChurn*VLOOKUP(IH49,ChurnSeasonTable,4,FALSE))*POWER(1-(AnnualChurn*VLOOKUP(IH49,ChurnSeasonTable,4,FALSE)),1)+IW13*(AnnualChurn*VLOOKUP(IH49,ChurnSeasonTable,4,FALSE))*POWER(1-(AnnualChurn*VLOOKUP(IH49,ChurnSeasonTable,4,FALSE)),2)</f>
        <v/>
      </c>
      <c r="JD49" s="12">
        <f>JD48+IX49-IX37*(AnnualChurn*VLOOKUP(IH49,ChurnSeasonTable,4,FALSE))*POWER(1-(AnnualChurn*VLOOKUP(IH49,ChurnSeasonTable,4,FALSE)),0)+IX25*(AnnualChurn*VLOOKUP(IH49,ChurnSeasonTable,4,FALSE))*POWER(1-(AnnualChurn*VLOOKUP(IH49,ChurnSeasonTable,4,FALSE)),1)+IX13*(AnnualChurn*VLOOKUP(IH49,ChurnSeasonTable,4,FALSE))*POWER(1-(AnnualChurn*VLOOKUP(IH49,ChurnSeasonTable,4,FALSE)),2)</f>
        <v/>
      </c>
      <c r="JE49" s="12">
        <f>IY49+IZ49+JA49+JB49+JC49+JD49</f>
        <v/>
      </c>
      <c r="JF49" s="9">
        <f>IY49*BlendedPriceEssMonthly*IK49+IZ49*BlendedPricePremMonthly*IK49+JA49*BlendedPriceEliteMonthly*IK49+JB49*BlendedPriceEssAnnual*IK49/12+JC49*BlendedPricePremAnnual*IK49/12+JD49*BlendedPriceEliteAnnual*IK49/12</f>
        <v/>
      </c>
      <c r="JG49" s="9">
        <f>JF49*12</f>
        <v/>
      </c>
      <c r="JH49" s="12">
        <f>IY49*BlendedPriceEssMonthly*IK49+IZ49*BlendedPricePremMonthly*IK49+JA49*BlendedPriceEliteMonthly*IK49</f>
        <v/>
      </c>
      <c r="JI49" s="12">
        <f>IV49*BlendedPriceEssAnnual*IK49+IW49*BlendedPricePremAnnual*IK49+IX49*BlendedPriceEliteAnnual*IK49</f>
        <v/>
      </c>
      <c r="JJ49" s="12">
        <f>IV37*POWER(1-(AnnualChurn*VLOOKUP(IH49,ChurnSeasonTable,4,FALSE)),1)*BlendedPriceEssAnnual*IK49+IV25*POWER(1-(AnnualChurn*VLOOKUP(IH49,ChurnSeasonTable,4,FALSE)),2)*BlendedPriceEssAnnual*IK49+IV13*POWER(1-(AnnualChurn*VLOOKUP(IH49,ChurnSeasonTable,4,FALSE)),3)*BlendedPriceEssAnnual*IK49+IW37*POWER(1-(AnnualChurn*VLOOKUP(IH49,ChurnSeasonTable,4,FALSE)),1)*BlendedPricePremAnnual*IK49+IW25*POWER(1-(AnnualChurn*VLOOKUP(IH49,ChurnSeasonTable,4,FALSE)),2)*BlendedPricePremAnnual*IK49+IW13*POWER(1-(AnnualChurn*VLOOKUP(IH49,ChurnSeasonTable,4,FALSE)),3)*BlendedPricePremAnnual*IK49+IX37*POWER(1-(AnnualChurn*VLOOKUP(IH49,ChurnSeasonTable,4,FALSE)),1)*BlendedPriceEliteAnnual*IK49+IX25*POWER(1-(AnnualChurn*VLOOKUP(IH49,ChurnSeasonTable,4,FALSE)),2)*BlendedPriceEliteAnnual*IK49+IX13*POWER(1-(AnnualChurn*VLOOKUP(IH49,ChurnSeasonTable,4,FALSE)),3)*BlendedPriceEliteAnnual*IK49</f>
        <v/>
      </c>
      <c r="JK49" s="9">
        <f>JH49+JI49+JJ49</f>
        <v/>
      </c>
      <c r="JL49" s="12">
        <f>SUM(JK38:JK49)</f>
        <v/>
      </c>
      <c r="JM49" s="12">
        <f>OR(JM48,IF(VATAgentMode,SUM($JK38:$JK49)-SUM($JR38:$JR49)&gt;=VATThreshold,SUM($JK38:$JK49)&gt;=VATThreshold))</f>
        <v/>
      </c>
      <c r="JN49" s="9">
        <f>IF(JM49,IF(VATAgentMode,JK49-((JK49-JR49)-(JK49-JR49)/(1+VATRate)),JK49/(1+VATRate)),JK49)</f>
        <v/>
      </c>
      <c r="JO49" s="12">
        <f>JK49-JN49</f>
        <v/>
      </c>
      <c r="JP49" s="12">
        <f>IF(JM49=0,0,IF(IH49=1,SUMPRODUCT(--(($II$5:$II49=$II49-1)*($IH$5:$IH49&gt;=10)*($IH$5:$IH49&lt;=12)),$JO$5:$JO49),IF(IH49=4,SUMPRODUCT(--(($II$5:$II49=$II49)*($IH$5:$IH49&gt;=1)*($IH$5:$IH49&lt;=3)),$JO$5:$JO49),IF(IH49=7,SUMPRODUCT(--(($II$5:$II49=$II49)*($IH$5:$IH49&gt;=4)*($IH$5:$IH49&lt;=6)),$JO$5:$JO49),IF(IH49=10,SUMPRODUCT(--(($II$5:$II49=$II49)*($IH$5:$IH49&gt;=7)*($IH$5:$IH49&lt;=9)),$JO$5:$JO49),0)))))</f>
        <v/>
      </c>
      <c r="JQ49" s="12">
        <f>JQ48+JO49-JP49</f>
        <v/>
      </c>
      <c r="JR49" s="12">
        <f>IF(ProviderDelay&gt;=1,IY48*BlendedProvPayEss+IZ48*BlendedProvPayPrem+JA48*BlendedProvPayElite+JB48*BlendedProvPayEss+JC48*BlendedProvPayPrem+JD48*BlendedProvPayElite,IY49*BlendedProvPayEss+IZ49*BlendedProvPayPrem+JA49*BlendedProvPayElite+JB49*BlendedProvPayEss+JC49*BlendedProvPayPrem+JD49*BlendedProvPayElite)</f>
        <v/>
      </c>
      <c r="JS49" s="12">
        <f>JK49*PaymentFee</f>
        <v/>
      </c>
      <c r="JT49" s="12">
        <f>JE49*OpsAI</f>
        <v/>
      </c>
      <c r="JU49" s="12">
        <f>MonthlyFixed</f>
        <v/>
      </c>
      <c r="JV49" s="12">
        <f>IO49*ReferralReward</f>
        <v/>
      </c>
      <c r="JW49" s="12">
        <f>IM49</f>
        <v/>
      </c>
      <c r="JX49" s="9">
        <f>JN49-JR49-JS49-JT49-JU49-JV49-JW49</f>
        <v/>
      </c>
      <c r="JY49" s="9">
        <f>JY48+JK49-(JR49+JS49+JT49+JU49+JV49+JW49+JP49)</f>
        <v/>
      </c>
      <c r="JZ49" s="12">
        <f>IF(JE49&gt;0,JF49/JE49,0)</f>
        <v/>
      </c>
      <c r="KA49" s="11">
        <f>IF(JE48&gt;0,MAX(0,(JE48+IP49-JE49)/JE48),0)</f>
        <v/>
      </c>
      <c r="KC49" s="12" t="n">
        <v>45</v>
      </c>
      <c r="KD49" s="12">
        <f>MOD(KC49-1+LaunchMonth-1,12)+1</f>
        <v/>
      </c>
      <c r="KE49" s="12">
        <f>INT((KC49-1+LaunchMonth-1)/12)+1</f>
        <v/>
      </c>
      <c r="KF49" s="12">
        <f>VLOOKUP(KD49,SeasonTable,2,FALSE)</f>
        <v/>
      </c>
      <c r="KG49" s="12">
        <f>(1+InflationRate)^INT((KC49-1)/12)</f>
        <v/>
      </c>
      <c r="KH49" s="11">
        <f>'Sens - Churn'!$A$16*VLOOKUP(KD49,ChurnSeasonTable,4,FALSE)</f>
        <v/>
      </c>
      <c r="KI49" s="12">
        <f>MIN(MAX(MktMin19plus,LG48*MktPct19plus),MAX(0,LU48-CashBuffer))</f>
        <v/>
      </c>
      <c r="KJ49" s="12">
        <f>IF(KI49&gt;0,MAX(1,ROUND(KI49/CAC*KF49,0)),0)</f>
        <v/>
      </c>
      <c r="KK49" s="12">
        <f>IF(KJ49&gt;0,ROUND(KJ49*ReferralMix/(1-ReferralMix),0),0)</f>
        <v/>
      </c>
      <c r="KL49" s="12">
        <f>KJ49+KK49</f>
        <v/>
      </c>
      <c r="KM49" s="12">
        <f>ROUND(KL49*(1-AnnualMix),0)</f>
        <v/>
      </c>
      <c r="KN49" s="12">
        <f>KL49-KM49</f>
        <v/>
      </c>
      <c r="KO49" s="12">
        <f>ROUND(KM49*EssentialMix,0)</f>
        <v/>
      </c>
      <c r="KP49" s="12">
        <f>ROUND(KM49*PremiumMix,0)</f>
        <v/>
      </c>
      <c r="KQ49" s="12">
        <f>KM49-KO49-KP49</f>
        <v/>
      </c>
      <c r="KR49" s="12">
        <f>ROUND(KN49*EssentialMix,0)</f>
        <v/>
      </c>
      <c r="KS49" s="12">
        <f>ROUND(KN49*PremiumMix,0)</f>
        <v/>
      </c>
      <c r="KT49" s="12">
        <f>KN49-KR49-KS49</f>
        <v/>
      </c>
      <c r="KU49" s="12">
        <f>KO49+KO48+KO47+MAX(0,KU48-KO48-KO47)*(1-KH49)</f>
        <v/>
      </c>
      <c r="KV49" s="12">
        <f>KP49+KP48+KP47+MAX(0,KV48-KP48-KP47)*(1-KH49)</f>
        <v/>
      </c>
      <c r="KW49" s="12">
        <f>KQ49+KQ48+KQ47+MAX(0,KW48-KQ48-KQ47)*(1-KH49)</f>
        <v/>
      </c>
      <c r="KX49" s="12">
        <f>KX48+KR49-KR37*(AnnualChurn*VLOOKUP(KD49,ChurnSeasonTable,4,FALSE))*POWER(1-(AnnualChurn*VLOOKUP(KD49,ChurnSeasonTable,4,FALSE)),0)+KR25*(AnnualChurn*VLOOKUP(KD49,ChurnSeasonTable,4,FALSE))*POWER(1-(AnnualChurn*VLOOKUP(KD49,ChurnSeasonTable,4,FALSE)),1)+KR13*(AnnualChurn*VLOOKUP(KD49,ChurnSeasonTable,4,FALSE))*POWER(1-(AnnualChurn*VLOOKUP(KD49,ChurnSeasonTable,4,FALSE)),2)</f>
        <v/>
      </c>
      <c r="KY49" s="12">
        <f>KY48+KS49-KS37*(AnnualChurn*VLOOKUP(KD49,ChurnSeasonTable,4,FALSE))*POWER(1-(AnnualChurn*VLOOKUP(KD49,ChurnSeasonTable,4,FALSE)),0)+KS25*(AnnualChurn*VLOOKUP(KD49,ChurnSeasonTable,4,FALSE))*POWER(1-(AnnualChurn*VLOOKUP(KD49,ChurnSeasonTable,4,FALSE)),1)+KS13*(AnnualChurn*VLOOKUP(KD49,ChurnSeasonTable,4,FALSE))*POWER(1-(AnnualChurn*VLOOKUP(KD49,ChurnSeasonTable,4,FALSE)),2)</f>
        <v/>
      </c>
      <c r="KZ49" s="12">
        <f>KZ48+KT49-KT37*(AnnualChurn*VLOOKUP(KD49,ChurnSeasonTable,4,FALSE))*POWER(1-(AnnualChurn*VLOOKUP(KD49,ChurnSeasonTable,4,FALSE)),0)+KT25*(AnnualChurn*VLOOKUP(KD49,ChurnSeasonTable,4,FALSE))*POWER(1-(AnnualChurn*VLOOKUP(KD49,ChurnSeasonTable,4,FALSE)),1)+KT13*(AnnualChurn*VLOOKUP(KD49,ChurnSeasonTable,4,FALSE))*POWER(1-(AnnualChurn*VLOOKUP(KD49,ChurnSeasonTable,4,FALSE)),2)</f>
        <v/>
      </c>
      <c r="LA49" s="12">
        <f>KU49+KV49+KW49+KX49+KY49+KZ49</f>
        <v/>
      </c>
      <c r="LB49" s="9">
        <f>KU49*BlendedPriceEssMonthly*KG49+KV49*BlendedPricePremMonthly*KG49+KW49*BlendedPriceEliteMonthly*KG49+KX49*BlendedPriceEssAnnual*KG49/12+KY49*BlendedPricePremAnnual*KG49/12+KZ49*BlendedPriceEliteAnnual*KG49/12</f>
        <v/>
      </c>
      <c r="LC49" s="9">
        <f>LB49*12</f>
        <v/>
      </c>
      <c r="LD49" s="12">
        <f>KU49*BlendedPriceEssMonthly*KG49+KV49*BlendedPricePremMonthly*KG49+KW49*BlendedPriceEliteMonthly*KG49</f>
        <v/>
      </c>
      <c r="LE49" s="12">
        <f>KR49*BlendedPriceEssAnnual*KG49+KS49*BlendedPricePremAnnual*KG49+KT49*BlendedPriceEliteAnnual*KG49</f>
        <v/>
      </c>
      <c r="LF49" s="12">
        <f>KR37*POWER(1-(AnnualChurn*VLOOKUP(KD49,ChurnSeasonTable,4,FALSE)),1)*BlendedPriceEssAnnual*KG49+KR25*POWER(1-(AnnualChurn*VLOOKUP(KD49,ChurnSeasonTable,4,FALSE)),2)*BlendedPriceEssAnnual*KG49+KR13*POWER(1-(AnnualChurn*VLOOKUP(KD49,ChurnSeasonTable,4,FALSE)),3)*BlendedPriceEssAnnual*KG49+KS37*POWER(1-(AnnualChurn*VLOOKUP(KD49,ChurnSeasonTable,4,FALSE)),1)*BlendedPricePremAnnual*KG49+KS25*POWER(1-(AnnualChurn*VLOOKUP(KD49,ChurnSeasonTable,4,FALSE)),2)*BlendedPricePremAnnual*KG49+KS13*POWER(1-(AnnualChurn*VLOOKUP(KD49,ChurnSeasonTable,4,FALSE)),3)*BlendedPricePremAnnual*KG49+KT37*POWER(1-(AnnualChurn*VLOOKUP(KD49,ChurnSeasonTable,4,FALSE)),1)*BlendedPriceEliteAnnual*KG49+KT25*POWER(1-(AnnualChurn*VLOOKUP(KD49,ChurnSeasonTable,4,FALSE)),2)*BlendedPriceEliteAnnual*KG49+KT13*POWER(1-(AnnualChurn*VLOOKUP(KD49,ChurnSeasonTable,4,FALSE)),3)*BlendedPriceEliteAnnual*KG49</f>
        <v/>
      </c>
      <c r="LG49" s="9">
        <f>LD49+LE49+LF49</f>
        <v/>
      </c>
      <c r="LH49" s="12">
        <f>SUM(LG38:LG49)</f>
        <v/>
      </c>
      <c r="LI49" s="12">
        <f>OR(LI48,IF(VATAgentMode,SUM($LG38:$LG49)-SUM($LN38:$LN49)&gt;=VATThreshold,SUM($LG38:$LG49)&gt;=VATThreshold))</f>
        <v/>
      </c>
      <c r="LJ49" s="9">
        <f>IF(LI49,IF(VATAgentMode,LG49-((LG49-LN49)-(LG49-LN49)/(1+VATRate)),LG49/(1+VATRate)),LG49)</f>
        <v/>
      </c>
      <c r="LK49" s="12">
        <f>LG49-LJ49</f>
        <v/>
      </c>
      <c r="LL49" s="12">
        <f>IF(LI49=0,0,IF(KD49=1,SUMPRODUCT(--(($KE$5:$KE49=$KE49-1)*($KD$5:$KD49&gt;=10)*($KD$5:$KD49&lt;=12)),$LK$5:$LK49),IF(KD49=4,SUMPRODUCT(--(($KE$5:$KE49=$KE49)*($KD$5:$KD49&gt;=1)*($KD$5:$KD49&lt;=3)),$LK$5:$LK49),IF(KD49=7,SUMPRODUCT(--(($KE$5:$KE49=$KE49)*($KD$5:$KD49&gt;=4)*($KD$5:$KD49&lt;=6)),$LK$5:$LK49),IF(KD49=10,SUMPRODUCT(--(($KE$5:$KE49=$KE49)*($KD$5:$KD49&gt;=7)*($KD$5:$KD49&lt;=9)),$LK$5:$LK49),0)))))</f>
        <v/>
      </c>
      <c r="LM49" s="12">
        <f>LM48+LK49-LL49</f>
        <v/>
      </c>
      <c r="LN49" s="12">
        <f>IF(ProviderDelay&gt;=1,KU48*BlendedProvPayEss+KV48*BlendedProvPayPrem+KW48*BlendedProvPayElite+KX48*BlendedProvPayEss+KY48*BlendedProvPayPrem+KZ48*BlendedProvPayElite,KU49*BlendedProvPayEss+KV49*BlendedProvPayPrem+KW49*BlendedProvPayElite+KX49*BlendedProvPayEss+KY49*BlendedProvPayPrem+KZ49*BlendedProvPayElite)</f>
        <v/>
      </c>
      <c r="LO49" s="12">
        <f>LG49*PaymentFee</f>
        <v/>
      </c>
      <c r="LP49" s="12">
        <f>LA49*OpsAI</f>
        <v/>
      </c>
      <c r="LQ49" s="12">
        <f>MonthlyFixed</f>
        <v/>
      </c>
      <c r="LR49" s="12">
        <f>KK49*ReferralReward</f>
        <v/>
      </c>
      <c r="LS49" s="12">
        <f>KI49</f>
        <v/>
      </c>
      <c r="LT49" s="9">
        <f>LJ49-LN49-LO49-LP49-LQ49-LR49-LS49</f>
        <v/>
      </c>
      <c r="LU49" s="9">
        <f>LU48+LG49-(LN49+LO49+LP49+LQ49+LR49+LS49+LL49)</f>
        <v/>
      </c>
      <c r="LV49" s="12">
        <f>IF(LA49&gt;0,LB49/LA49,0)</f>
        <v/>
      </c>
      <c r="LW49" s="11">
        <f>IF(LA48&gt;0,MAX(0,(LA48+KL49-LA49)/LA48),0)</f>
        <v/>
      </c>
      <c r="LY49" s="12" t="n">
        <v>45</v>
      </c>
      <c r="LZ49" s="12">
        <f>MOD(LY49-1+LaunchMonth-1,12)+1</f>
        <v/>
      </c>
      <c r="MA49" s="12">
        <f>INT((LY49-1+LaunchMonth-1)/12)+1</f>
        <v/>
      </c>
      <c r="MB49" s="12">
        <f>VLOOKUP(LZ49,SeasonTable,2,FALSE)</f>
        <v/>
      </c>
      <c r="MC49" s="12">
        <f>(1+InflationRate)^INT((LY49-1)/12)</f>
        <v/>
      </c>
      <c r="MD49" s="11">
        <f>'Sens - Churn'!$A$17*VLOOKUP(LZ49,ChurnSeasonTable,4,FALSE)</f>
        <v/>
      </c>
      <c r="ME49" s="12">
        <f>MIN(MAX(MktMin19plus,NC48*MktPct19plus),MAX(0,NQ48-CashBuffer))</f>
        <v/>
      </c>
      <c r="MF49" s="12">
        <f>IF(ME49&gt;0,MAX(1,ROUND(ME49/CAC*MB49,0)),0)</f>
        <v/>
      </c>
      <c r="MG49" s="12">
        <f>IF(MF49&gt;0,ROUND(MF49*ReferralMix/(1-ReferralMix),0),0)</f>
        <v/>
      </c>
      <c r="MH49" s="12">
        <f>MF49+MG49</f>
        <v/>
      </c>
      <c r="MI49" s="12">
        <f>ROUND(MH49*(1-AnnualMix),0)</f>
        <v/>
      </c>
      <c r="MJ49" s="12">
        <f>MH49-MI49</f>
        <v/>
      </c>
      <c r="MK49" s="12">
        <f>ROUND(MI49*EssentialMix,0)</f>
        <v/>
      </c>
      <c r="ML49" s="12">
        <f>ROUND(MI49*PremiumMix,0)</f>
        <v/>
      </c>
      <c r="MM49" s="12">
        <f>MI49-MK49-ML49</f>
        <v/>
      </c>
      <c r="MN49" s="12">
        <f>ROUND(MJ49*EssentialMix,0)</f>
        <v/>
      </c>
      <c r="MO49" s="12">
        <f>ROUND(MJ49*PremiumMix,0)</f>
        <v/>
      </c>
      <c r="MP49" s="12">
        <f>MJ49-MN49-MO49</f>
        <v/>
      </c>
      <c r="MQ49" s="12">
        <f>MK49+MK48+MK47+MAX(0,MQ48-MK48-MK47)*(1-MD49)</f>
        <v/>
      </c>
      <c r="MR49" s="12">
        <f>ML49+ML48+ML47+MAX(0,MR48-ML48-ML47)*(1-MD49)</f>
        <v/>
      </c>
      <c r="MS49" s="12">
        <f>MM49+MM48+MM47+MAX(0,MS48-MM48-MM47)*(1-MD49)</f>
        <v/>
      </c>
      <c r="MT49" s="12">
        <f>MT48+MN49-MN37*(AnnualChurn*VLOOKUP(LZ49,ChurnSeasonTable,4,FALSE))*POWER(1-(AnnualChurn*VLOOKUP(LZ49,ChurnSeasonTable,4,FALSE)),0)+MN25*(AnnualChurn*VLOOKUP(LZ49,ChurnSeasonTable,4,FALSE))*POWER(1-(AnnualChurn*VLOOKUP(LZ49,ChurnSeasonTable,4,FALSE)),1)+MN13*(AnnualChurn*VLOOKUP(LZ49,ChurnSeasonTable,4,FALSE))*POWER(1-(AnnualChurn*VLOOKUP(LZ49,ChurnSeasonTable,4,FALSE)),2)</f>
        <v/>
      </c>
      <c r="MU49" s="12">
        <f>MU48+MO49-MO37*(AnnualChurn*VLOOKUP(LZ49,ChurnSeasonTable,4,FALSE))*POWER(1-(AnnualChurn*VLOOKUP(LZ49,ChurnSeasonTable,4,FALSE)),0)+MO25*(AnnualChurn*VLOOKUP(LZ49,ChurnSeasonTable,4,FALSE))*POWER(1-(AnnualChurn*VLOOKUP(LZ49,ChurnSeasonTable,4,FALSE)),1)+MO13*(AnnualChurn*VLOOKUP(LZ49,ChurnSeasonTable,4,FALSE))*POWER(1-(AnnualChurn*VLOOKUP(LZ49,ChurnSeasonTable,4,FALSE)),2)</f>
        <v/>
      </c>
      <c r="MV49" s="12">
        <f>MV48+MP49-MP37*(AnnualChurn*VLOOKUP(LZ49,ChurnSeasonTable,4,FALSE))*POWER(1-(AnnualChurn*VLOOKUP(LZ49,ChurnSeasonTable,4,FALSE)),0)+MP25*(AnnualChurn*VLOOKUP(LZ49,ChurnSeasonTable,4,FALSE))*POWER(1-(AnnualChurn*VLOOKUP(LZ49,ChurnSeasonTable,4,FALSE)),1)+MP13*(AnnualChurn*VLOOKUP(LZ49,ChurnSeasonTable,4,FALSE))*POWER(1-(AnnualChurn*VLOOKUP(LZ49,ChurnSeasonTable,4,FALSE)),2)</f>
        <v/>
      </c>
      <c r="MW49" s="12">
        <f>MQ49+MR49+MS49+MT49+MU49+MV49</f>
        <v/>
      </c>
      <c r="MX49" s="9">
        <f>MQ49*BlendedPriceEssMonthly*MC49+MR49*BlendedPricePremMonthly*MC49+MS49*BlendedPriceEliteMonthly*MC49+MT49*BlendedPriceEssAnnual*MC49/12+MU49*BlendedPricePremAnnual*MC49/12+MV49*BlendedPriceEliteAnnual*MC49/12</f>
        <v/>
      </c>
      <c r="MY49" s="9">
        <f>MX49*12</f>
        <v/>
      </c>
      <c r="MZ49" s="12">
        <f>MQ49*BlendedPriceEssMonthly*MC49+MR49*BlendedPricePremMonthly*MC49+MS49*BlendedPriceEliteMonthly*MC49</f>
        <v/>
      </c>
      <c r="NA49" s="12">
        <f>MN49*BlendedPriceEssAnnual*MC49+MO49*BlendedPricePremAnnual*MC49+MP49*BlendedPriceEliteAnnual*MC49</f>
        <v/>
      </c>
      <c r="NB49" s="12">
        <f>MN37*POWER(1-(AnnualChurn*VLOOKUP(LZ49,ChurnSeasonTable,4,FALSE)),1)*BlendedPriceEssAnnual*MC49+MN25*POWER(1-(AnnualChurn*VLOOKUP(LZ49,ChurnSeasonTable,4,FALSE)),2)*BlendedPriceEssAnnual*MC49+MN13*POWER(1-(AnnualChurn*VLOOKUP(LZ49,ChurnSeasonTable,4,FALSE)),3)*BlendedPriceEssAnnual*MC49+MO37*POWER(1-(AnnualChurn*VLOOKUP(LZ49,ChurnSeasonTable,4,FALSE)),1)*BlendedPricePremAnnual*MC49+MO25*POWER(1-(AnnualChurn*VLOOKUP(LZ49,ChurnSeasonTable,4,FALSE)),2)*BlendedPricePremAnnual*MC49+MO13*POWER(1-(AnnualChurn*VLOOKUP(LZ49,ChurnSeasonTable,4,FALSE)),3)*BlendedPricePremAnnual*MC49+MP37*POWER(1-(AnnualChurn*VLOOKUP(LZ49,ChurnSeasonTable,4,FALSE)),1)*BlendedPriceEliteAnnual*MC49+MP25*POWER(1-(AnnualChurn*VLOOKUP(LZ49,ChurnSeasonTable,4,FALSE)),2)*BlendedPriceEliteAnnual*MC49+MP13*POWER(1-(AnnualChurn*VLOOKUP(LZ49,ChurnSeasonTable,4,FALSE)),3)*BlendedPriceEliteAnnual*MC49</f>
        <v/>
      </c>
      <c r="NC49" s="9">
        <f>MZ49+NA49+NB49</f>
        <v/>
      </c>
      <c r="ND49" s="12">
        <f>SUM(NC38:NC49)</f>
        <v/>
      </c>
      <c r="NE49" s="12">
        <f>OR(NE48,IF(VATAgentMode,SUM($NC38:$NC49)-SUM($NJ38:$NJ49)&gt;=VATThreshold,SUM($NC38:$NC49)&gt;=VATThreshold))</f>
        <v/>
      </c>
      <c r="NF49" s="9">
        <f>IF(NE49,IF(VATAgentMode,NC49-((NC49-NJ49)-(NC49-NJ49)/(1+VATRate)),NC49/(1+VATRate)),NC49)</f>
        <v/>
      </c>
      <c r="NG49" s="12">
        <f>NC49-NF49</f>
        <v/>
      </c>
      <c r="NH49" s="12">
        <f>IF(NE49=0,0,IF(LZ49=1,SUMPRODUCT(--(($MA$5:$MA49=$MA49-1)*($LZ$5:$LZ49&gt;=10)*($LZ$5:$LZ49&lt;=12)),$NG$5:$NG49),IF(LZ49=4,SUMPRODUCT(--(($MA$5:$MA49=$MA49)*($LZ$5:$LZ49&gt;=1)*($LZ$5:$LZ49&lt;=3)),$NG$5:$NG49),IF(LZ49=7,SUMPRODUCT(--(($MA$5:$MA49=$MA49)*($LZ$5:$LZ49&gt;=4)*($LZ$5:$LZ49&lt;=6)),$NG$5:$NG49),IF(LZ49=10,SUMPRODUCT(--(($MA$5:$MA49=$MA49)*($LZ$5:$LZ49&gt;=7)*($LZ$5:$LZ49&lt;=9)),$NG$5:$NG49),0)))))</f>
        <v/>
      </c>
      <c r="NI49" s="12">
        <f>NI48+NG49-NH49</f>
        <v/>
      </c>
      <c r="NJ49" s="12">
        <f>IF(ProviderDelay&gt;=1,MQ48*BlendedProvPayEss+MR48*BlendedProvPayPrem+MS48*BlendedProvPayElite+MT48*BlendedProvPayEss+MU48*BlendedProvPayPrem+MV48*BlendedProvPayElite,MQ49*BlendedProvPayEss+MR49*BlendedProvPayPrem+MS49*BlendedProvPayElite+MT49*BlendedProvPayEss+MU49*BlendedProvPayPrem+MV49*BlendedProvPayElite)</f>
        <v/>
      </c>
      <c r="NK49" s="12">
        <f>NC49*PaymentFee</f>
        <v/>
      </c>
      <c r="NL49" s="12">
        <f>MW49*OpsAI</f>
        <v/>
      </c>
      <c r="NM49" s="12">
        <f>MonthlyFixed</f>
        <v/>
      </c>
      <c r="NN49" s="12">
        <f>MG49*ReferralReward</f>
        <v/>
      </c>
      <c r="NO49" s="12">
        <f>ME49</f>
        <v/>
      </c>
      <c r="NP49" s="9">
        <f>NF49-NJ49-NK49-NL49-NM49-NN49-NO49</f>
        <v/>
      </c>
      <c r="NQ49" s="9">
        <f>NQ48+NC49-(NJ49+NK49+NL49+NM49+NN49+NO49+NH49)</f>
        <v/>
      </c>
      <c r="NR49" s="12">
        <f>IF(MW49&gt;0,MX49/MW49,0)</f>
        <v/>
      </c>
      <c r="NS49" s="11">
        <f>IF(MW48&gt;0,MAX(0,(MW48+MH49-MW49)/MW48),0)</f>
        <v/>
      </c>
      <c r="NU49" s="12" t="n">
        <v>45</v>
      </c>
      <c r="NV49" s="12">
        <f>MOD(NU49-1+LaunchMonth-1,12)+1</f>
        <v/>
      </c>
      <c r="NW49" s="12">
        <f>INT((NU49-1+LaunchMonth-1)/12)+1</f>
        <v/>
      </c>
      <c r="NX49" s="12">
        <f>VLOOKUP(NV49,SeasonTable,2,FALSE)</f>
        <v/>
      </c>
      <c r="NY49" s="12">
        <f>(1+InflationRate)^INT((NU49-1)/12)</f>
        <v/>
      </c>
      <c r="NZ49" s="11">
        <f>'Sens - Churn'!$A$18*VLOOKUP(NV49,ChurnSeasonTable,4,FALSE)</f>
        <v/>
      </c>
      <c r="OA49" s="12">
        <f>MIN(MAX(MktMin19plus,OY48*MktPct19plus),MAX(0,PM48-CashBuffer))</f>
        <v/>
      </c>
      <c r="OB49" s="12">
        <f>IF(OA49&gt;0,MAX(1,ROUND(OA49/CAC*NX49,0)),0)</f>
        <v/>
      </c>
      <c r="OC49" s="12">
        <f>IF(OB49&gt;0,ROUND(OB49*ReferralMix/(1-ReferralMix),0),0)</f>
        <v/>
      </c>
      <c r="OD49" s="12">
        <f>OB49+OC49</f>
        <v/>
      </c>
      <c r="OE49" s="12">
        <f>ROUND(OD49*(1-AnnualMix),0)</f>
        <v/>
      </c>
      <c r="OF49" s="12">
        <f>OD49-OE49</f>
        <v/>
      </c>
      <c r="OG49" s="12">
        <f>ROUND(OE49*EssentialMix,0)</f>
        <v/>
      </c>
      <c r="OH49" s="12">
        <f>ROUND(OE49*PremiumMix,0)</f>
        <v/>
      </c>
      <c r="OI49" s="12">
        <f>OE49-OG49-OH49</f>
        <v/>
      </c>
      <c r="OJ49" s="12">
        <f>ROUND(OF49*EssentialMix,0)</f>
        <v/>
      </c>
      <c r="OK49" s="12">
        <f>ROUND(OF49*PremiumMix,0)</f>
        <v/>
      </c>
      <c r="OL49" s="12">
        <f>OF49-OJ49-OK49</f>
        <v/>
      </c>
      <c r="OM49" s="12">
        <f>OG49+OG48+OG47+MAX(0,OM48-OG48-OG47)*(1-NZ49)</f>
        <v/>
      </c>
      <c r="ON49" s="12">
        <f>OH49+OH48+OH47+MAX(0,ON48-OH48-OH47)*(1-NZ49)</f>
        <v/>
      </c>
      <c r="OO49" s="12">
        <f>OI49+OI48+OI47+MAX(0,OO48-OI48-OI47)*(1-NZ49)</f>
        <v/>
      </c>
      <c r="OP49" s="12">
        <f>OP48+OJ49-OJ37*(AnnualChurn*VLOOKUP(NV49,ChurnSeasonTable,4,FALSE))*POWER(1-(AnnualChurn*VLOOKUP(NV49,ChurnSeasonTable,4,FALSE)),0)+OJ25*(AnnualChurn*VLOOKUP(NV49,ChurnSeasonTable,4,FALSE))*POWER(1-(AnnualChurn*VLOOKUP(NV49,ChurnSeasonTable,4,FALSE)),1)+OJ13*(AnnualChurn*VLOOKUP(NV49,ChurnSeasonTable,4,FALSE))*POWER(1-(AnnualChurn*VLOOKUP(NV49,ChurnSeasonTable,4,FALSE)),2)</f>
        <v/>
      </c>
      <c r="OQ49" s="12">
        <f>OQ48+OK49-OK37*(AnnualChurn*VLOOKUP(NV49,ChurnSeasonTable,4,FALSE))*POWER(1-(AnnualChurn*VLOOKUP(NV49,ChurnSeasonTable,4,FALSE)),0)+OK25*(AnnualChurn*VLOOKUP(NV49,ChurnSeasonTable,4,FALSE))*POWER(1-(AnnualChurn*VLOOKUP(NV49,ChurnSeasonTable,4,FALSE)),1)+OK13*(AnnualChurn*VLOOKUP(NV49,ChurnSeasonTable,4,FALSE))*POWER(1-(AnnualChurn*VLOOKUP(NV49,ChurnSeasonTable,4,FALSE)),2)</f>
        <v/>
      </c>
      <c r="OR49" s="12">
        <f>OR48+OL49-OL37*(AnnualChurn*VLOOKUP(NV49,ChurnSeasonTable,4,FALSE))*POWER(1-(AnnualChurn*VLOOKUP(NV49,ChurnSeasonTable,4,FALSE)),0)+OL25*(AnnualChurn*VLOOKUP(NV49,ChurnSeasonTable,4,FALSE))*POWER(1-(AnnualChurn*VLOOKUP(NV49,ChurnSeasonTable,4,FALSE)),1)+OL13*(AnnualChurn*VLOOKUP(NV49,ChurnSeasonTable,4,FALSE))*POWER(1-(AnnualChurn*VLOOKUP(NV49,ChurnSeasonTable,4,FALSE)),2)</f>
        <v/>
      </c>
      <c r="OS49" s="12">
        <f>OM49+ON49+OO49+OP49+OQ49+OR49</f>
        <v/>
      </c>
      <c r="OT49" s="9">
        <f>OM49*BlendedPriceEssMonthly*NY49+ON49*BlendedPricePremMonthly*NY49+OO49*BlendedPriceEliteMonthly*NY49+OP49*BlendedPriceEssAnnual*NY49/12+OQ49*BlendedPricePremAnnual*NY49/12+OR49*BlendedPriceEliteAnnual*NY49/12</f>
        <v/>
      </c>
      <c r="OU49" s="9">
        <f>OT49*12</f>
        <v/>
      </c>
      <c r="OV49" s="12">
        <f>OM49*BlendedPriceEssMonthly*NY49+ON49*BlendedPricePremMonthly*NY49+OO49*BlendedPriceEliteMonthly*NY49</f>
        <v/>
      </c>
      <c r="OW49" s="12">
        <f>OJ49*BlendedPriceEssAnnual*NY49+OK49*BlendedPricePremAnnual*NY49+OL49*BlendedPriceEliteAnnual*NY49</f>
        <v/>
      </c>
      <c r="OX49" s="12">
        <f>OJ37*POWER(1-(AnnualChurn*VLOOKUP(NV49,ChurnSeasonTable,4,FALSE)),1)*BlendedPriceEssAnnual*NY49+OJ25*POWER(1-(AnnualChurn*VLOOKUP(NV49,ChurnSeasonTable,4,FALSE)),2)*BlendedPriceEssAnnual*NY49+OJ13*POWER(1-(AnnualChurn*VLOOKUP(NV49,ChurnSeasonTable,4,FALSE)),3)*BlendedPriceEssAnnual*NY49+OK37*POWER(1-(AnnualChurn*VLOOKUP(NV49,ChurnSeasonTable,4,FALSE)),1)*BlendedPricePremAnnual*NY49+OK25*POWER(1-(AnnualChurn*VLOOKUP(NV49,ChurnSeasonTable,4,FALSE)),2)*BlendedPricePremAnnual*NY49+OK13*POWER(1-(AnnualChurn*VLOOKUP(NV49,ChurnSeasonTable,4,FALSE)),3)*BlendedPricePremAnnual*NY49+OL37*POWER(1-(AnnualChurn*VLOOKUP(NV49,ChurnSeasonTable,4,FALSE)),1)*BlendedPriceEliteAnnual*NY49+OL25*POWER(1-(AnnualChurn*VLOOKUP(NV49,ChurnSeasonTable,4,FALSE)),2)*BlendedPriceEliteAnnual*NY49+OL13*POWER(1-(AnnualChurn*VLOOKUP(NV49,ChurnSeasonTable,4,FALSE)),3)*BlendedPriceEliteAnnual*NY49</f>
        <v/>
      </c>
      <c r="OY49" s="9">
        <f>OV49+OW49+OX49</f>
        <v/>
      </c>
      <c r="OZ49" s="12">
        <f>SUM(OY38:OY49)</f>
        <v/>
      </c>
      <c r="PA49" s="12">
        <f>OR(PA48,IF(VATAgentMode,SUM($OY38:$OY49)-SUM($PF38:$PF49)&gt;=VATThreshold,SUM($OY38:$OY49)&gt;=VATThreshold))</f>
        <v/>
      </c>
      <c r="PB49" s="9">
        <f>IF(PA49,IF(VATAgentMode,OY49-((OY49-PF49)-(OY49-PF49)/(1+VATRate)),OY49/(1+VATRate)),OY49)</f>
        <v/>
      </c>
      <c r="PC49" s="12">
        <f>OY49-PB49</f>
        <v/>
      </c>
      <c r="PD49" s="12">
        <f>IF(PA49=0,0,IF(NV49=1,SUMPRODUCT(--(($NW$5:$NW49=$NW49-1)*($NV$5:$NV49&gt;=10)*($NV$5:$NV49&lt;=12)),$PC$5:$PC49),IF(NV49=4,SUMPRODUCT(--(($NW$5:$NW49=$NW49)*($NV$5:$NV49&gt;=1)*($NV$5:$NV49&lt;=3)),$PC$5:$PC49),IF(NV49=7,SUMPRODUCT(--(($NW$5:$NW49=$NW49)*($NV$5:$NV49&gt;=4)*($NV$5:$NV49&lt;=6)),$PC$5:$PC49),IF(NV49=10,SUMPRODUCT(--(($NW$5:$NW49=$NW49)*($NV$5:$NV49&gt;=7)*($NV$5:$NV49&lt;=9)),$PC$5:$PC49),0)))))</f>
        <v/>
      </c>
      <c r="PE49" s="12">
        <f>PE48+PC49-PD49</f>
        <v/>
      </c>
      <c r="PF49" s="12">
        <f>IF(ProviderDelay&gt;=1,OM48*BlendedProvPayEss+ON48*BlendedProvPayPrem+OO48*BlendedProvPayElite+OP48*BlendedProvPayEss+OQ48*BlendedProvPayPrem+OR48*BlendedProvPayElite,OM49*BlendedProvPayEss+ON49*BlendedProvPayPrem+OO49*BlendedProvPayElite+OP49*BlendedProvPayEss+OQ49*BlendedProvPayPrem+OR49*BlendedProvPayElite)</f>
        <v/>
      </c>
      <c r="PG49" s="12">
        <f>OY49*PaymentFee</f>
        <v/>
      </c>
      <c r="PH49" s="12">
        <f>OS49*OpsAI</f>
        <v/>
      </c>
      <c r="PI49" s="12">
        <f>MonthlyFixed</f>
        <v/>
      </c>
      <c r="PJ49" s="12">
        <f>OC49*ReferralReward</f>
        <v/>
      </c>
      <c r="PK49" s="12">
        <f>OA49</f>
        <v/>
      </c>
      <c r="PL49" s="9">
        <f>PB49-PF49-PG49-PH49-PI49-PJ49-PK49</f>
        <v/>
      </c>
      <c r="PM49" s="9">
        <f>PM48+OY49-(PF49+PG49+PH49+PI49+PJ49+PK49+PD49)</f>
        <v/>
      </c>
      <c r="PN49" s="12">
        <f>IF(OS49&gt;0,OT49/OS49,0)</f>
        <v/>
      </c>
      <c r="PO49" s="11">
        <f>IF(OS48&gt;0,MAX(0,(OS48+OD49-OS49)/OS48),0)</f>
        <v/>
      </c>
      <c r="PQ49" s="12" t="n">
        <v>45</v>
      </c>
      <c r="PR49" s="12">
        <f>MOD(PQ49-1+LaunchMonth-1,12)+1</f>
        <v/>
      </c>
      <c r="PS49" s="12">
        <f>INT((PQ49-1+LaunchMonth-1)/12)+1</f>
        <v/>
      </c>
      <c r="PT49" s="12">
        <f>VLOOKUP(PR49,SeasonTable,2,FALSE)</f>
        <v/>
      </c>
      <c r="PU49" s="12">
        <f>(1+InflationRate)^INT((PQ49-1)/12)</f>
        <v/>
      </c>
      <c r="PV49" s="11">
        <f>'Sens - Churn'!$A$19*VLOOKUP(PR49,ChurnSeasonTable,4,FALSE)</f>
        <v/>
      </c>
      <c r="PW49" s="12">
        <f>MIN(MAX(MktMin19plus,QU48*MktPct19plus),MAX(0,RI48-CashBuffer))</f>
        <v/>
      </c>
      <c r="PX49" s="12">
        <f>IF(PW49&gt;0,MAX(1,ROUND(PW49/CAC*PT49,0)),0)</f>
        <v/>
      </c>
      <c r="PY49" s="12">
        <f>IF(PX49&gt;0,ROUND(PX49*ReferralMix/(1-ReferralMix),0),0)</f>
        <v/>
      </c>
      <c r="PZ49" s="12">
        <f>PX49+PY49</f>
        <v/>
      </c>
      <c r="QA49" s="12">
        <f>ROUND(PZ49*(1-AnnualMix),0)</f>
        <v/>
      </c>
      <c r="QB49" s="12">
        <f>PZ49-QA49</f>
        <v/>
      </c>
      <c r="QC49" s="12">
        <f>ROUND(QA49*EssentialMix,0)</f>
        <v/>
      </c>
      <c r="QD49" s="12">
        <f>ROUND(QA49*PremiumMix,0)</f>
        <v/>
      </c>
      <c r="QE49" s="12">
        <f>QA49-QC49-QD49</f>
        <v/>
      </c>
      <c r="QF49" s="12">
        <f>ROUND(QB49*EssentialMix,0)</f>
        <v/>
      </c>
      <c r="QG49" s="12">
        <f>ROUND(QB49*PremiumMix,0)</f>
        <v/>
      </c>
      <c r="QH49" s="12">
        <f>QB49-QF49-QG49</f>
        <v/>
      </c>
      <c r="QI49" s="12">
        <f>QC49+QC48+QC47+MAX(0,QI48-QC48-QC47)*(1-PV49)</f>
        <v/>
      </c>
      <c r="QJ49" s="12">
        <f>QD49+QD48+QD47+MAX(0,QJ48-QD48-QD47)*(1-PV49)</f>
        <v/>
      </c>
      <c r="QK49" s="12">
        <f>QE49+QE48+QE47+MAX(0,QK48-QE48-QE47)*(1-PV49)</f>
        <v/>
      </c>
      <c r="QL49" s="12">
        <f>QL48+QF49-QF37*(AnnualChurn*VLOOKUP(PR49,ChurnSeasonTable,4,FALSE))*POWER(1-(AnnualChurn*VLOOKUP(PR49,ChurnSeasonTable,4,FALSE)),0)+QF25*(AnnualChurn*VLOOKUP(PR49,ChurnSeasonTable,4,FALSE))*POWER(1-(AnnualChurn*VLOOKUP(PR49,ChurnSeasonTable,4,FALSE)),1)+QF13*(AnnualChurn*VLOOKUP(PR49,ChurnSeasonTable,4,FALSE))*POWER(1-(AnnualChurn*VLOOKUP(PR49,ChurnSeasonTable,4,FALSE)),2)</f>
        <v/>
      </c>
      <c r="QM49" s="12">
        <f>QM48+QG49-QG37*(AnnualChurn*VLOOKUP(PR49,ChurnSeasonTable,4,FALSE))*POWER(1-(AnnualChurn*VLOOKUP(PR49,ChurnSeasonTable,4,FALSE)),0)+QG25*(AnnualChurn*VLOOKUP(PR49,ChurnSeasonTable,4,FALSE))*POWER(1-(AnnualChurn*VLOOKUP(PR49,ChurnSeasonTable,4,FALSE)),1)+QG13*(AnnualChurn*VLOOKUP(PR49,ChurnSeasonTable,4,FALSE))*POWER(1-(AnnualChurn*VLOOKUP(PR49,ChurnSeasonTable,4,FALSE)),2)</f>
        <v/>
      </c>
      <c r="QN49" s="12">
        <f>QN48+QH49-QH37*(AnnualChurn*VLOOKUP(PR49,ChurnSeasonTable,4,FALSE))*POWER(1-(AnnualChurn*VLOOKUP(PR49,ChurnSeasonTable,4,FALSE)),0)+QH25*(AnnualChurn*VLOOKUP(PR49,ChurnSeasonTable,4,FALSE))*POWER(1-(AnnualChurn*VLOOKUP(PR49,ChurnSeasonTable,4,FALSE)),1)+QH13*(AnnualChurn*VLOOKUP(PR49,ChurnSeasonTable,4,FALSE))*POWER(1-(AnnualChurn*VLOOKUP(PR49,ChurnSeasonTable,4,FALSE)),2)</f>
        <v/>
      </c>
      <c r="QO49" s="12">
        <f>QI49+QJ49+QK49+QL49+QM49+QN49</f>
        <v/>
      </c>
      <c r="QP49" s="9">
        <f>QI49*BlendedPriceEssMonthly*PU49+QJ49*BlendedPricePremMonthly*PU49+QK49*BlendedPriceEliteMonthly*PU49+QL49*BlendedPriceEssAnnual*PU49/12+QM49*BlendedPricePremAnnual*PU49/12+QN49*BlendedPriceEliteAnnual*PU49/12</f>
        <v/>
      </c>
      <c r="QQ49" s="9">
        <f>QP49*12</f>
        <v/>
      </c>
      <c r="QR49" s="12">
        <f>QI49*BlendedPriceEssMonthly*PU49+QJ49*BlendedPricePremMonthly*PU49+QK49*BlendedPriceEliteMonthly*PU49</f>
        <v/>
      </c>
      <c r="QS49" s="12">
        <f>QF49*BlendedPriceEssAnnual*PU49+QG49*BlendedPricePremAnnual*PU49+QH49*BlendedPriceEliteAnnual*PU49</f>
        <v/>
      </c>
      <c r="QT49" s="12">
        <f>QF37*POWER(1-(AnnualChurn*VLOOKUP(PR49,ChurnSeasonTable,4,FALSE)),1)*BlendedPriceEssAnnual*PU49+QF25*POWER(1-(AnnualChurn*VLOOKUP(PR49,ChurnSeasonTable,4,FALSE)),2)*BlendedPriceEssAnnual*PU49+QF13*POWER(1-(AnnualChurn*VLOOKUP(PR49,ChurnSeasonTable,4,FALSE)),3)*BlendedPriceEssAnnual*PU49+QG37*POWER(1-(AnnualChurn*VLOOKUP(PR49,ChurnSeasonTable,4,FALSE)),1)*BlendedPricePremAnnual*PU49+QG25*POWER(1-(AnnualChurn*VLOOKUP(PR49,ChurnSeasonTable,4,FALSE)),2)*BlendedPricePremAnnual*PU49+QG13*POWER(1-(AnnualChurn*VLOOKUP(PR49,ChurnSeasonTable,4,FALSE)),3)*BlendedPricePremAnnual*PU49+QH37*POWER(1-(AnnualChurn*VLOOKUP(PR49,ChurnSeasonTable,4,FALSE)),1)*BlendedPriceEliteAnnual*PU49+QH25*POWER(1-(AnnualChurn*VLOOKUP(PR49,ChurnSeasonTable,4,FALSE)),2)*BlendedPriceEliteAnnual*PU49+QH13*POWER(1-(AnnualChurn*VLOOKUP(PR49,ChurnSeasonTable,4,FALSE)),3)*BlendedPriceEliteAnnual*PU49</f>
        <v/>
      </c>
      <c r="QU49" s="9">
        <f>QR49+QS49+QT49</f>
        <v/>
      </c>
      <c r="QV49" s="12">
        <f>SUM(QU38:QU49)</f>
        <v/>
      </c>
      <c r="QW49" s="12">
        <f>OR(QW48,IF(VATAgentMode,SUM($QU38:$QU49)-SUM($RB38:$RB49)&gt;=VATThreshold,SUM($QU38:$QU49)&gt;=VATThreshold))</f>
        <v/>
      </c>
      <c r="QX49" s="9">
        <f>IF(QW49,IF(VATAgentMode,QU49-((QU49-RB49)-(QU49-RB49)/(1+VATRate)),QU49/(1+VATRate)),QU49)</f>
        <v/>
      </c>
      <c r="QY49" s="12">
        <f>QU49-QX49</f>
        <v/>
      </c>
      <c r="QZ49" s="12">
        <f>IF(QW49=0,0,IF(PR49=1,SUMPRODUCT(--(($PS$5:$PS49=$PS49-1)*($PR$5:$PR49&gt;=10)*($PR$5:$PR49&lt;=12)),$QY$5:$QY49),IF(PR49=4,SUMPRODUCT(--(($PS$5:$PS49=$PS49)*($PR$5:$PR49&gt;=1)*($PR$5:$PR49&lt;=3)),$QY$5:$QY49),IF(PR49=7,SUMPRODUCT(--(($PS$5:$PS49=$PS49)*($PR$5:$PR49&gt;=4)*($PR$5:$PR49&lt;=6)),$QY$5:$QY49),IF(PR49=10,SUMPRODUCT(--(($PS$5:$PS49=$PS49)*($PR$5:$PR49&gt;=7)*($PR$5:$PR49&lt;=9)),$QY$5:$QY49),0)))))</f>
        <v/>
      </c>
      <c r="RA49" s="12">
        <f>RA48+QY49-QZ49</f>
        <v/>
      </c>
      <c r="RB49" s="12">
        <f>IF(ProviderDelay&gt;=1,QI48*BlendedProvPayEss+QJ48*BlendedProvPayPrem+QK48*BlendedProvPayElite+QL48*BlendedProvPayEss+QM48*BlendedProvPayPrem+QN48*BlendedProvPayElite,QI49*BlendedProvPayEss+QJ49*BlendedProvPayPrem+QK49*BlendedProvPayElite+QL49*BlendedProvPayEss+QM49*BlendedProvPayPrem+QN49*BlendedProvPayElite)</f>
        <v/>
      </c>
      <c r="RC49" s="12">
        <f>QU49*PaymentFee</f>
        <v/>
      </c>
      <c r="RD49" s="12">
        <f>QO49*OpsAI</f>
        <v/>
      </c>
      <c r="RE49" s="12">
        <f>MonthlyFixed</f>
        <v/>
      </c>
      <c r="RF49" s="12">
        <f>PY49*ReferralReward</f>
        <v/>
      </c>
      <c r="RG49" s="12">
        <f>PW49</f>
        <v/>
      </c>
      <c r="RH49" s="9">
        <f>QX49-RB49-RC49-RD49-RE49-RF49-RG49</f>
        <v/>
      </c>
      <c r="RI49" s="9">
        <f>RI48+QU49-(RB49+RC49+RD49+RE49+RF49+RG49+QZ49)</f>
        <v/>
      </c>
      <c r="RJ49" s="12">
        <f>IF(QO49&gt;0,QP49/QO49,0)</f>
        <v/>
      </c>
      <c r="RK49" s="11">
        <f>IF(QO48&gt;0,MAX(0,(QO48+PZ49-QO49)/QO48),0)</f>
        <v/>
      </c>
      <c r="RM49" s="12" t="n">
        <v>45</v>
      </c>
      <c r="RN49" s="12">
        <f>MOD(RM49-1+LaunchMonth-1,12)+1</f>
        <v/>
      </c>
      <c r="RO49" s="12">
        <f>INT((RM49-1+LaunchMonth-1)/12)+1</f>
        <v/>
      </c>
      <c r="RP49" s="12">
        <f>VLOOKUP(RN49,SeasonTable,2,FALSE)</f>
        <v/>
      </c>
      <c r="RQ49" s="12">
        <f>(1+InflationRate)^INT((RM49-1)/12)</f>
        <v/>
      </c>
      <c r="RR49" s="11">
        <f>'Sens - Churn'!$A$20*VLOOKUP(RN49,ChurnSeasonTable,4,FALSE)</f>
        <v/>
      </c>
      <c r="RS49" s="12">
        <f>MIN(MAX(MktMin19plus,SQ48*MktPct19plus),MAX(0,TE48-CashBuffer))</f>
        <v/>
      </c>
      <c r="RT49" s="12">
        <f>IF(RS49&gt;0,MAX(1,ROUND(RS49/CAC*RP49,0)),0)</f>
        <v/>
      </c>
      <c r="RU49" s="12">
        <f>IF(RT49&gt;0,ROUND(RT49*ReferralMix/(1-ReferralMix),0),0)</f>
        <v/>
      </c>
      <c r="RV49" s="12">
        <f>RT49+RU49</f>
        <v/>
      </c>
      <c r="RW49" s="12">
        <f>ROUND(RV49*(1-AnnualMix),0)</f>
        <v/>
      </c>
      <c r="RX49" s="12">
        <f>RV49-RW49</f>
        <v/>
      </c>
      <c r="RY49" s="12">
        <f>ROUND(RW49*EssentialMix,0)</f>
        <v/>
      </c>
      <c r="RZ49" s="12">
        <f>ROUND(RW49*PremiumMix,0)</f>
        <v/>
      </c>
      <c r="SA49" s="12">
        <f>RW49-RY49-RZ49</f>
        <v/>
      </c>
      <c r="SB49" s="12">
        <f>ROUND(RX49*EssentialMix,0)</f>
        <v/>
      </c>
      <c r="SC49" s="12">
        <f>ROUND(RX49*PremiumMix,0)</f>
        <v/>
      </c>
      <c r="SD49" s="12">
        <f>RX49-SB49-SC49</f>
        <v/>
      </c>
      <c r="SE49" s="12">
        <f>RY49+RY48+RY47+MAX(0,SE48-RY48-RY47)*(1-RR49)</f>
        <v/>
      </c>
      <c r="SF49" s="12">
        <f>RZ49+RZ48+RZ47+MAX(0,SF48-RZ48-RZ47)*(1-RR49)</f>
        <v/>
      </c>
      <c r="SG49" s="12">
        <f>SA49+SA48+SA47+MAX(0,SG48-SA48-SA47)*(1-RR49)</f>
        <v/>
      </c>
      <c r="SH49" s="12">
        <f>SH48+SB49-SB37*(AnnualChurn*VLOOKUP(RN49,ChurnSeasonTable,4,FALSE))*POWER(1-(AnnualChurn*VLOOKUP(RN49,ChurnSeasonTable,4,FALSE)),0)+SB25*(AnnualChurn*VLOOKUP(RN49,ChurnSeasonTable,4,FALSE))*POWER(1-(AnnualChurn*VLOOKUP(RN49,ChurnSeasonTable,4,FALSE)),1)+SB13*(AnnualChurn*VLOOKUP(RN49,ChurnSeasonTable,4,FALSE))*POWER(1-(AnnualChurn*VLOOKUP(RN49,ChurnSeasonTable,4,FALSE)),2)</f>
        <v/>
      </c>
      <c r="SI49" s="12">
        <f>SI48+SC49-SC37*(AnnualChurn*VLOOKUP(RN49,ChurnSeasonTable,4,FALSE))*POWER(1-(AnnualChurn*VLOOKUP(RN49,ChurnSeasonTable,4,FALSE)),0)+SC25*(AnnualChurn*VLOOKUP(RN49,ChurnSeasonTable,4,FALSE))*POWER(1-(AnnualChurn*VLOOKUP(RN49,ChurnSeasonTable,4,FALSE)),1)+SC13*(AnnualChurn*VLOOKUP(RN49,ChurnSeasonTable,4,FALSE))*POWER(1-(AnnualChurn*VLOOKUP(RN49,ChurnSeasonTable,4,FALSE)),2)</f>
        <v/>
      </c>
      <c r="SJ49" s="12">
        <f>SJ48+SD49-SD37*(AnnualChurn*VLOOKUP(RN49,ChurnSeasonTable,4,FALSE))*POWER(1-(AnnualChurn*VLOOKUP(RN49,ChurnSeasonTable,4,FALSE)),0)+SD25*(AnnualChurn*VLOOKUP(RN49,ChurnSeasonTable,4,FALSE))*POWER(1-(AnnualChurn*VLOOKUP(RN49,ChurnSeasonTable,4,FALSE)),1)+SD13*(AnnualChurn*VLOOKUP(RN49,ChurnSeasonTable,4,FALSE))*POWER(1-(AnnualChurn*VLOOKUP(RN49,ChurnSeasonTable,4,FALSE)),2)</f>
        <v/>
      </c>
      <c r="SK49" s="12">
        <f>SE49+SF49+SG49+SH49+SI49+SJ49</f>
        <v/>
      </c>
      <c r="SL49" s="9">
        <f>SE49*BlendedPriceEssMonthly*RQ49+SF49*BlendedPricePremMonthly*RQ49+SG49*BlendedPriceEliteMonthly*RQ49+SH49*BlendedPriceEssAnnual*RQ49/12+SI49*BlendedPricePremAnnual*RQ49/12+SJ49*BlendedPriceEliteAnnual*RQ49/12</f>
        <v/>
      </c>
      <c r="SM49" s="9">
        <f>SL49*12</f>
        <v/>
      </c>
      <c r="SN49" s="12">
        <f>SE49*BlendedPriceEssMonthly*RQ49+SF49*BlendedPricePremMonthly*RQ49+SG49*BlendedPriceEliteMonthly*RQ49</f>
        <v/>
      </c>
      <c r="SO49" s="12">
        <f>SB49*BlendedPriceEssAnnual*RQ49+SC49*BlendedPricePremAnnual*RQ49+SD49*BlendedPriceEliteAnnual*RQ49</f>
        <v/>
      </c>
      <c r="SP49" s="12">
        <f>SB37*POWER(1-(AnnualChurn*VLOOKUP(RN49,ChurnSeasonTable,4,FALSE)),1)*BlendedPriceEssAnnual*RQ49+SB25*POWER(1-(AnnualChurn*VLOOKUP(RN49,ChurnSeasonTable,4,FALSE)),2)*BlendedPriceEssAnnual*RQ49+SB13*POWER(1-(AnnualChurn*VLOOKUP(RN49,ChurnSeasonTable,4,FALSE)),3)*BlendedPriceEssAnnual*RQ49+SC37*POWER(1-(AnnualChurn*VLOOKUP(RN49,ChurnSeasonTable,4,FALSE)),1)*BlendedPricePremAnnual*RQ49+SC25*POWER(1-(AnnualChurn*VLOOKUP(RN49,ChurnSeasonTable,4,FALSE)),2)*BlendedPricePremAnnual*RQ49+SC13*POWER(1-(AnnualChurn*VLOOKUP(RN49,ChurnSeasonTable,4,FALSE)),3)*BlendedPricePremAnnual*RQ49+SD37*POWER(1-(AnnualChurn*VLOOKUP(RN49,ChurnSeasonTable,4,FALSE)),1)*BlendedPriceEliteAnnual*RQ49+SD25*POWER(1-(AnnualChurn*VLOOKUP(RN49,ChurnSeasonTable,4,FALSE)),2)*BlendedPriceEliteAnnual*RQ49+SD13*POWER(1-(AnnualChurn*VLOOKUP(RN49,ChurnSeasonTable,4,FALSE)),3)*BlendedPriceEliteAnnual*RQ49</f>
        <v/>
      </c>
      <c r="SQ49" s="9">
        <f>SN49+SO49+SP49</f>
        <v/>
      </c>
      <c r="SR49" s="12">
        <f>SUM(SQ38:SQ49)</f>
        <v/>
      </c>
      <c r="SS49" s="12">
        <f>OR(SS48,IF(VATAgentMode,SUM($SQ38:$SQ49)-SUM($SX38:$SX49)&gt;=VATThreshold,SUM($SQ38:$SQ49)&gt;=VATThreshold))</f>
        <v/>
      </c>
      <c r="ST49" s="9">
        <f>IF(SS49,IF(VATAgentMode,SQ49-((SQ49-SX49)-(SQ49-SX49)/(1+VATRate)),SQ49/(1+VATRate)),SQ49)</f>
        <v/>
      </c>
      <c r="SU49" s="12">
        <f>SQ49-ST49</f>
        <v/>
      </c>
      <c r="SV49" s="12">
        <f>IF(SS49=0,0,IF(RN49=1,SUMPRODUCT(--(($RO$5:$RO49=$RO49-1)*($RN$5:$RN49&gt;=10)*($RN$5:$RN49&lt;=12)),$SU$5:$SU49),IF(RN49=4,SUMPRODUCT(--(($RO$5:$RO49=$RO49)*($RN$5:$RN49&gt;=1)*($RN$5:$RN49&lt;=3)),$SU$5:$SU49),IF(RN49=7,SUMPRODUCT(--(($RO$5:$RO49=$RO49)*($RN$5:$RN49&gt;=4)*($RN$5:$RN49&lt;=6)),$SU$5:$SU49),IF(RN49=10,SUMPRODUCT(--(($RO$5:$RO49=$RO49)*($RN$5:$RN49&gt;=7)*($RN$5:$RN49&lt;=9)),$SU$5:$SU49),0)))))</f>
        <v/>
      </c>
      <c r="SW49" s="12">
        <f>SW48+SU49-SV49</f>
        <v/>
      </c>
      <c r="SX49" s="12">
        <f>IF(ProviderDelay&gt;=1,SE48*BlendedProvPayEss+SF48*BlendedProvPayPrem+SG48*BlendedProvPayElite+SH48*BlendedProvPayEss+SI48*BlendedProvPayPrem+SJ48*BlendedProvPayElite,SE49*BlendedProvPayEss+SF49*BlendedProvPayPrem+SG49*BlendedProvPayElite+SH49*BlendedProvPayEss+SI49*BlendedProvPayPrem+SJ49*BlendedProvPayElite)</f>
        <v/>
      </c>
      <c r="SY49" s="12">
        <f>SQ49*PaymentFee</f>
        <v/>
      </c>
      <c r="SZ49" s="12">
        <f>SK49*OpsAI</f>
        <v/>
      </c>
      <c r="TA49" s="12">
        <f>MonthlyFixed</f>
        <v/>
      </c>
      <c r="TB49" s="12">
        <f>RU49*ReferralReward</f>
        <v/>
      </c>
      <c r="TC49" s="12">
        <f>RS49</f>
        <v/>
      </c>
      <c r="TD49" s="9">
        <f>ST49-SX49-SY49-SZ49-TA49-TB49-TC49</f>
        <v/>
      </c>
      <c r="TE49" s="9">
        <f>TE48+SQ49-(SX49+SY49+SZ49+TA49+TB49+TC49+SV49)</f>
        <v/>
      </c>
      <c r="TF49" s="12">
        <f>IF(SK49&gt;0,SL49/SK49,0)</f>
        <v/>
      </c>
      <c r="TG49" s="11">
        <f>IF(SK48&gt;0,MAX(0,(SK48+RV49-SK49)/SK48),0)</f>
        <v/>
      </c>
      <c r="TI49" s="12" t="n">
        <v>45</v>
      </c>
      <c r="TJ49" s="12">
        <f>MOD(TI49-1+LaunchMonth-1,12)+1</f>
        <v/>
      </c>
      <c r="TK49" s="12">
        <f>INT((TI49-1+LaunchMonth-1)/12)+1</f>
        <v/>
      </c>
      <c r="TL49" s="12">
        <f>VLOOKUP(TJ49,SeasonTable,2,FALSE)</f>
        <v/>
      </c>
      <c r="TM49" s="12">
        <f>(1+InflationRate)^INT((TI49-1)/12)</f>
        <v/>
      </c>
      <c r="TN49" s="11">
        <f>'Sens - Churn'!$A$21*VLOOKUP(TJ49,ChurnSeasonTable,4,FALSE)</f>
        <v/>
      </c>
      <c r="TO49" s="12">
        <f>MIN(MAX(MktMin19plus,UM48*MktPct19plus),MAX(0,VA48-CashBuffer))</f>
        <v/>
      </c>
      <c r="TP49" s="12">
        <f>IF(TO49&gt;0,MAX(1,ROUND(TO49/CAC*TL49,0)),0)</f>
        <v/>
      </c>
      <c r="TQ49" s="12">
        <f>IF(TP49&gt;0,ROUND(TP49*ReferralMix/(1-ReferralMix),0),0)</f>
        <v/>
      </c>
      <c r="TR49" s="12">
        <f>TP49+TQ49</f>
        <v/>
      </c>
      <c r="TS49" s="12">
        <f>ROUND(TR49*(1-AnnualMix),0)</f>
        <v/>
      </c>
      <c r="TT49" s="12">
        <f>TR49-TS49</f>
        <v/>
      </c>
      <c r="TU49" s="12">
        <f>ROUND(TS49*EssentialMix,0)</f>
        <v/>
      </c>
      <c r="TV49" s="12">
        <f>ROUND(TS49*PremiumMix,0)</f>
        <v/>
      </c>
      <c r="TW49" s="12">
        <f>TS49-TU49-TV49</f>
        <v/>
      </c>
      <c r="TX49" s="12">
        <f>ROUND(TT49*EssentialMix,0)</f>
        <v/>
      </c>
      <c r="TY49" s="12">
        <f>ROUND(TT49*PremiumMix,0)</f>
        <v/>
      </c>
      <c r="TZ49" s="12">
        <f>TT49-TX49-TY49</f>
        <v/>
      </c>
      <c r="UA49" s="12">
        <f>TU49+TU48+TU47+MAX(0,UA48-TU48-TU47)*(1-TN49)</f>
        <v/>
      </c>
      <c r="UB49" s="12">
        <f>TV49+TV48+TV47+MAX(0,UB48-TV48-TV47)*(1-TN49)</f>
        <v/>
      </c>
      <c r="UC49" s="12">
        <f>TW49+TW48+TW47+MAX(0,UC48-TW48-TW47)*(1-TN49)</f>
        <v/>
      </c>
      <c r="UD49" s="12">
        <f>UD48+TX49-TX37*(AnnualChurn*VLOOKUP(TJ49,ChurnSeasonTable,4,FALSE))*POWER(1-(AnnualChurn*VLOOKUP(TJ49,ChurnSeasonTable,4,FALSE)),0)+TX25*(AnnualChurn*VLOOKUP(TJ49,ChurnSeasonTable,4,FALSE))*POWER(1-(AnnualChurn*VLOOKUP(TJ49,ChurnSeasonTable,4,FALSE)),1)+TX13*(AnnualChurn*VLOOKUP(TJ49,ChurnSeasonTable,4,FALSE))*POWER(1-(AnnualChurn*VLOOKUP(TJ49,ChurnSeasonTable,4,FALSE)),2)</f>
        <v/>
      </c>
      <c r="UE49" s="12">
        <f>UE48+TY49-TY37*(AnnualChurn*VLOOKUP(TJ49,ChurnSeasonTable,4,FALSE))*POWER(1-(AnnualChurn*VLOOKUP(TJ49,ChurnSeasonTable,4,FALSE)),0)+TY25*(AnnualChurn*VLOOKUP(TJ49,ChurnSeasonTable,4,FALSE))*POWER(1-(AnnualChurn*VLOOKUP(TJ49,ChurnSeasonTable,4,FALSE)),1)+TY13*(AnnualChurn*VLOOKUP(TJ49,ChurnSeasonTable,4,FALSE))*POWER(1-(AnnualChurn*VLOOKUP(TJ49,ChurnSeasonTable,4,FALSE)),2)</f>
        <v/>
      </c>
      <c r="UF49" s="12">
        <f>UF48+TZ49-TZ37*(AnnualChurn*VLOOKUP(TJ49,ChurnSeasonTable,4,FALSE))*POWER(1-(AnnualChurn*VLOOKUP(TJ49,ChurnSeasonTable,4,FALSE)),0)+TZ25*(AnnualChurn*VLOOKUP(TJ49,ChurnSeasonTable,4,FALSE))*POWER(1-(AnnualChurn*VLOOKUP(TJ49,ChurnSeasonTable,4,FALSE)),1)+TZ13*(AnnualChurn*VLOOKUP(TJ49,ChurnSeasonTable,4,FALSE))*POWER(1-(AnnualChurn*VLOOKUP(TJ49,ChurnSeasonTable,4,FALSE)),2)</f>
        <v/>
      </c>
      <c r="UG49" s="12">
        <f>UA49+UB49+UC49+UD49+UE49+UF49</f>
        <v/>
      </c>
      <c r="UH49" s="9">
        <f>UA49*BlendedPriceEssMonthly*TM49+UB49*BlendedPricePremMonthly*TM49+UC49*BlendedPriceEliteMonthly*TM49+UD49*BlendedPriceEssAnnual*TM49/12+UE49*BlendedPricePremAnnual*TM49/12+UF49*BlendedPriceEliteAnnual*TM49/12</f>
        <v/>
      </c>
      <c r="UI49" s="9">
        <f>UH49*12</f>
        <v/>
      </c>
      <c r="UJ49" s="12">
        <f>UA49*BlendedPriceEssMonthly*TM49+UB49*BlendedPricePremMonthly*TM49+UC49*BlendedPriceEliteMonthly*TM49</f>
        <v/>
      </c>
      <c r="UK49" s="12">
        <f>TX49*BlendedPriceEssAnnual*TM49+TY49*BlendedPricePremAnnual*TM49+TZ49*BlendedPriceEliteAnnual*TM49</f>
        <v/>
      </c>
      <c r="UL49" s="12">
        <f>TX37*POWER(1-(AnnualChurn*VLOOKUP(TJ49,ChurnSeasonTable,4,FALSE)),1)*BlendedPriceEssAnnual*TM49+TX25*POWER(1-(AnnualChurn*VLOOKUP(TJ49,ChurnSeasonTable,4,FALSE)),2)*BlendedPriceEssAnnual*TM49+TX13*POWER(1-(AnnualChurn*VLOOKUP(TJ49,ChurnSeasonTable,4,FALSE)),3)*BlendedPriceEssAnnual*TM49+TY37*POWER(1-(AnnualChurn*VLOOKUP(TJ49,ChurnSeasonTable,4,FALSE)),1)*BlendedPricePremAnnual*TM49+TY25*POWER(1-(AnnualChurn*VLOOKUP(TJ49,ChurnSeasonTable,4,FALSE)),2)*BlendedPricePremAnnual*TM49+TY13*POWER(1-(AnnualChurn*VLOOKUP(TJ49,ChurnSeasonTable,4,FALSE)),3)*BlendedPricePremAnnual*TM49+TZ37*POWER(1-(AnnualChurn*VLOOKUP(TJ49,ChurnSeasonTable,4,FALSE)),1)*BlendedPriceEliteAnnual*TM49+TZ25*POWER(1-(AnnualChurn*VLOOKUP(TJ49,ChurnSeasonTable,4,FALSE)),2)*BlendedPriceEliteAnnual*TM49+TZ13*POWER(1-(AnnualChurn*VLOOKUP(TJ49,ChurnSeasonTable,4,FALSE)),3)*BlendedPriceEliteAnnual*TM49</f>
        <v/>
      </c>
      <c r="UM49" s="9">
        <f>UJ49+UK49+UL49</f>
        <v/>
      </c>
      <c r="UN49" s="12">
        <f>SUM(UM38:UM49)</f>
        <v/>
      </c>
      <c r="UO49" s="12">
        <f>OR(UO48,IF(VATAgentMode,SUM($UM38:$UM49)-SUM($UT38:$UT49)&gt;=VATThreshold,SUM($UM38:$UM49)&gt;=VATThreshold))</f>
        <v/>
      </c>
      <c r="UP49" s="9">
        <f>IF(UO49,IF(VATAgentMode,UM49-((UM49-UT49)-(UM49-UT49)/(1+VATRate)),UM49/(1+VATRate)),UM49)</f>
        <v/>
      </c>
      <c r="UQ49" s="12">
        <f>UM49-UP49</f>
        <v/>
      </c>
      <c r="UR49" s="12">
        <f>IF(UO49=0,0,IF(TJ49=1,SUMPRODUCT(--(($TK$5:$TK49=$TK49-1)*($TJ$5:$TJ49&gt;=10)*($TJ$5:$TJ49&lt;=12)),$UQ$5:$UQ49),IF(TJ49=4,SUMPRODUCT(--(($TK$5:$TK49=$TK49)*($TJ$5:$TJ49&gt;=1)*($TJ$5:$TJ49&lt;=3)),$UQ$5:$UQ49),IF(TJ49=7,SUMPRODUCT(--(($TK$5:$TK49=$TK49)*($TJ$5:$TJ49&gt;=4)*($TJ$5:$TJ49&lt;=6)),$UQ$5:$UQ49),IF(TJ49=10,SUMPRODUCT(--(($TK$5:$TK49=$TK49)*($TJ$5:$TJ49&gt;=7)*($TJ$5:$TJ49&lt;=9)),$UQ$5:$UQ49),0)))))</f>
        <v/>
      </c>
      <c r="US49" s="12">
        <f>US48+UQ49-UR49</f>
        <v/>
      </c>
      <c r="UT49" s="12">
        <f>IF(ProviderDelay&gt;=1,UA48*BlendedProvPayEss+UB48*BlendedProvPayPrem+UC48*BlendedProvPayElite+UD48*BlendedProvPayEss+UE48*BlendedProvPayPrem+UF48*BlendedProvPayElite,UA49*BlendedProvPayEss+UB49*BlendedProvPayPrem+UC49*BlendedProvPayElite+UD49*BlendedProvPayEss+UE49*BlendedProvPayPrem+UF49*BlendedProvPayElite)</f>
        <v/>
      </c>
      <c r="UU49" s="12">
        <f>UM49*PaymentFee</f>
        <v/>
      </c>
      <c r="UV49" s="12">
        <f>UG49*OpsAI</f>
        <v/>
      </c>
      <c r="UW49" s="12">
        <f>MonthlyFixed</f>
        <v/>
      </c>
      <c r="UX49" s="12">
        <f>TQ49*ReferralReward</f>
        <v/>
      </c>
      <c r="UY49" s="12">
        <f>TO49</f>
        <v/>
      </c>
      <c r="UZ49" s="9">
        <f>UP49-UT49-UU49-UV49-UW49-UX49-UY49</f>
        <v/>
      </c>
      <c r="VA49" s="9">
        <f>VA48+UM49-(UT49+UU49+UV49+UW49+UX49+UY49+UR49)</f>
        <v/>
      </c>
      <c r="VB49" s="12">
        <f>IF(UG49&gt;0,UH49/UG49,0)</f>
        <v/>
      </c>
      <c r="VC49" s="11">
        <f>IF(UG48&gt;0,MAX(0,(UG48+TR49-UG49)/UG48),0)</f>
        <v/>
      </c>
      <c r="VE49" s="12" t="n">
        <v>45</v>
      </c>
      <c r="VF49" s="12">
        <f>MOD(VE49-1+LaunchMonth-1,12)+1</f>
        <v/>
      </c>
      <c r="VG49" s="12">
        <f>INT((VE49-1+LaunchMonth-1)/12)+1</f>
        <v/>
      </c>
      <c r="VH49" s="12">
        <f>VLOOKUP(VF49,SeasonTable,2,FALSE)</f>
        <v/>
      </c>
      <c r="VI49" s="12">
        <f>(1+InflationRate)^INT((VE49-1)/12)</f>
        <v/>
      </c>
      <c r="VJ49" s="11">
        <f>MonthlyChurn*VLOOKUP(VF49,ChurnSeasonTable,4,FALSE)</f>
        <v/>
      </c>
      <c r="VK49" s="12">
        <f>MIN(MAX(MktMin19plus,WI48*MktPct19plus),MAX(0,WW48-CashBuffer))</f>
        <v/>
      </c>
      <c r="VL49" s="12">
        <f>IF(VK49&gt;0,MAX(1,ROUND(VK49/CAC*VH49,0)),0)</f>
        <v/>
      </c>
      <c r="VM49" s="12">
        <f>IF(VL49&gt;0,ROUND(VL49*ReferralMix/(1-ReferralMix),0),0)</f>
        <v/>
      </c>
      <c r="VN49" s="12">
        <f>VL49+VM49</f>
        <v/>
      </c>
      <c r="VO49" s="12">
        <f>ROUND(VN49*(1-'Sens - Annual Mix'!$A$9),0)</f>
        <v/>
      </c>
      <c r="VP49" s="12">
        <f>VN49-VO49</f>
        <v/>
      </c>
      <c r="VQ49" s="12">
        <f>ROUND(VO49*EssentialMix,0)</f>
        <v/>
      </c>
      <c r="VR49" s="12">
        <f>ROUND(VO49*PremiumMix,0)</f>
        <v/>
      </c>
      <c r="VS49" s="12">
        <f>VO49-VQ49-VR49</f>
        <v/>
      </c>
      <c r="VT49" s="12">
        <f>ROUND(VP49*EssentialMix,0)</f>
        <v/>
      </c>
      <c r="VU49" s="12">
        <f>ROUND(VP49*PremiumMix,0)</f>
        <v/>
      </c>
      <c r="VV49" s="12">
        <f>VP49-VT49-VU49</f>
        <v/>
      </c>
      <c r="VW49" s="12">
        <f>VQ49+VQ48+VQ47+MAX(0,VW48-VQ48-VQ47)*(1-VJ49)</f>
        <v/>
      </c>
      <c r="VX49" s="12">
        <f>VR49+VR48+VR47+MAX(0,VX48-VR48-VR47)*(1-VJ49)</f>
        <v/>
      </c>
      <c r="VY49" s="12">
        <f>VS49+VS48+VS47+MAX(0,VY48-VS48-VS47)*(1-VJ49)</f>
        <v/>
      </c>
      <c r="VZ49" s="12">
        <f>VZ48+VT49-VT37*(AnnualChurn*VLOOKUP(VF49,ChurnSeasonTable,4,FALSE))*POWER(1-(AnnualChurn*VLOOKUP(VF49,ChurnSeasonTable,4,FALSE)),0)+VT25*(AnnualChurn*VLOOKUP(VF49,ChurnSeasonTable,4,FALSE))*POWER(1-(AnnualChurn*VLOOKUP(VF49,ChurnSeasonTable,4,FALSE)),1)+VT13*(AnnualChurn*VLOOKUP(VF49,ChurnSeasonTable,4,FALSE))*POWER(1-(AnnualChurn*VLOOKUP(VF49,ChurnSeasonTable,4,FALSE)),2)</f>
        <v/>
      </c>
      <c r="WA49" s="12">
        <f>WA48+VU49-VU37*(AnnualChurn*VLOOKUP(VF49,ChurnSeasonTable,4,FALSE))*POWER(1-(AnnualChurn*VLOOKUP(VF49,ChurnSeasonTable,4,FALSE)),0)+VU25*(AnnualChurn*VLOOKUP(VF49,ChurnSeasonTable,4,FALSE))*POWER(1-(AnnualChurn*VLOOKUP(VF49,ChurnSeasonTable,4,FALSE)),1)+VU13*(AnnualChurn*VLOOKUP(VF49,ChurnSeasonTable,4,FALSE))*POWER(1-(AnnualChurn*VLOOKUP(VF49,ChurnSeasonTable,4,FALSE)),2)</f>
        <v/>
      </c>
      <c r="WB49" s="12">
        <f>WB48+VV49-VV37*(AnnualChurn*VLOOKUP(VF49,ChurnSeasonTable,4,FALSE))*POWER(1-(AnnualChurn*VLOOKUP(VF49,ChurnSeasonTable,4,FALSE)),0)+VV25*(AnnualChurn*VLOOKUP(VF49,ChurnSeasonTable,4,FALSE))*POWER(1-(AnnualChurn*VLOOKUP(VF49,ChurnSeasonTable,4,FALSE)),1)+VV13*(AnnualChurn*VLOOKUP(VF49,ChurnSeasonTable,4,FALSE))*POWER(1-(AnnualChurn*VLOOKUP(VF49,ChurnSeasonTable,4,FALSE)),2)</f>
        <v/>
      </c>
      <c r="WC49" s="12">
        <f>VW49+VX49+VY49+VZ49+WA49+WB49</f>
        <v/>
      </c>
      <c r="WD49" s="9">
        <f>VW49*BlendedPriceEssMonthly*VI49+VX49*BlendedPricePremMonthly*VI49+VY49*BlendedPriceEliteMonthly*VI49+VZ49*BlendedPriceEssAnnual*VI49/12+WA49*BlendedPricePremAnnual*VI49/12+WB49*BlendedPriceEliteAnnual*VI49/12</f>
        <v/>
      </c>
      <c r="WE49" s="9">
        <f>WD49*12</f>
        <v/>
      </c>
      <c r="WF49" s="12">
        <f>VW49*BlendedPriceEssMonthly*VI49+VX49*BlendedPricePremMonthly*VI49+VY49*BlendedPriceEliteMonthly*VI49</f>
        <v/>
      </c>
      <c r="WG49" s="12">
        <f>VT49*BlendedPriceEssAnnual*VI49+VU49*BlendedPricePremAnnual*VI49+VV49*BlendedPriceEliteAnnual*VI49</f>
        <v/>
      </c>
      <c r="WH49" s="12">
        <f>VT37*POWER(1-(AnnualChurn*VLOOKUP(VF49,ChurnSeasonTable,4,FALSE)),1)*BlendedPriceEssAnnual*VI49+VT25*POWER(1-(AnnualChurn*VLOOKUP(VF49,ChurnSeasonTable,4,FALSE)),2)*BlendedPriceEssAnnual*VI49+VT13*POWER(1-(AnnualChurn*VLOOKUP(VF49,ChurnSeasonTable,4,FALSE)),3)*BlendedPriceEssAnnual*VI49+VU37*POWER(1-(AnnualChurn*VLOOKUP(VF49,ChurnSeasonTable,4,FALSE)),1)*BlendedPricePremAnnual*VI49+VU25*POWER(1-(AnnualChurn*VLOOKUP(VF49,ChurnSeasonTable,4,FALSE)),2)*BlendedPricePremAnnual*VI49+VU13*POWER(1-(AnnualChurn*VLOOKUP(VF49,ChurnSeasonTable,4,FALSE)),3)*BlendedPricePremAnnual*VI49+VV37*POWER(1-(AnnualChurn*VLOOKUP(VF49,ChurnSeasonTable,4,FALSE)),1)*BlendedPriceEliteAnnual*VI49+VV25*POWER(1-(AnnualChurn*VLOOKUP(VF49,ChurnSeasonTable,4,FALSE)),2)*BlendedPriceEliteAnnual*VI49+VV13*POWER(1-(AnnualChurn*VLOOKUP(VF49,ChurnSeasonTable,4,FALSE)),3)*BlendedPriceEliteAnnual*VI49</f>
        <v/>
      </c>
      <c r="WI49" s="9">
        <f>WF49+WG49+WH49</f>
        <v/>
      </c>
      <c r="WJ49" s="12">
        <f>SUM(WI38:WI49)</f>
        <v/>
      </c>
      <c r="WK49" s="12">
        <f>OR(WK48,IF(VATAgentMode,SUM($WI38:$WI49)-SUM($WP38:$WP49)&gt;=VATThreshold,SUM($WI38:$WI49)&gt;=VATThreshold))</f>
        <v/>
      </c>
      <c r="WL49" s="9">
        <f>IF(WK49,IF(VATAgentMode,WI49-((WI49-WP49)-(WI49-WP49)/(1+VATRate)),WI49/(1+VATRate)),WI49)</f>
        <v/>
      </c>
      <c r="WM49" s="12">
        <f>WI49-WL49</f>
        <v/>
      </c>
      <c r="WN49" s="12">
        <f>IF(WK49=0,0,IF(VF49=1,SUMPRODUCT(--(($VG$5:$VG49=$VG49-1)*($VF$5:$VF49&gt;=10)*($VF$5:$VF49&lt;=12)),$WM$5:$WM49),IF(VF49=4,SUMPRODUCT(--(($VG$5:$VG49=$VG49)*($VF$5:$VF49&gt;=1)*($VF$5:$VF49&lt;=3)),$WM$5:$WM49),IF(VF49=7,SUMPRODUCT(--(($VG$5:$VG49=$VG49)*($VF$5:$VF49&gt;=4)*($VF$5:$VF49&lt;=6)),$WM$5:$WM49),IF(VF49=10,SUMPRODUCT(--(($VG$5:$VG49=$VG49)*($VF$5:$VF49&gt;=7)*($VF$5:$VF49&lt;=9)),$WM$5:$WM49),0)))))</f>
        <v/>
      </c>
      <c r="WO49" s="12">
        <f>WO48+WM49-WN49</f>
        <v/>
      </c>
      <c r="WP49" s="12">
        <f>IF(ProviderDelay&gt;=1,VW48*BlendedProvPayEss+VX48*BlendedProvPayPrem+VY48*BlendedProvPayElite+VZ48*BlendedProvPayEss+WA48*BlendedProvPayPrem+WB48*BlendedProvPayElite,VW49*BlendedProvPayEss+VX49*BlendedProvPayPrem+VY49*BlendedProvPayElite+VZ49*BlendedProvPayEss+WA49*BlendedProvPayPrem+WB49*BlendedProvPayElite)</f>
        <v/>
      </c>
      <c r="WQ49" s="12">
        <f>WI49*PaymentFee</f>
        <v/>
      </c>
      <c r="WR49" s="12">
        <f>WC49*OpsAI</f>
        <v/>
      </c>
      <c r="WS49" s="12">
        <f>MonthlyFixed</f>
        <v/>
      </c>
      <c r="WT49" s="12">
        <f>VM49*ReferralReward</f>
        <v/>
      </c>
      <c r="WU49" s="12">
        <f>VK49</f>
        <v/>
      </c>
      <c r="WV49" s="9">
        <f>WL49-WP49-WQ49-WR49-WS49-WT49-WU49</f>
        <v/>
      </c>
      <c r="WW49" s="9">
        <f>WW48+WI49-(WP49+WQ49+WR49+WS49+WT49+WU49+WN49)</f>
        <v/>
      </c>
      <c r="WX49" s="12">
        <f>IF(WC49&gt;0,WD49/WC49,0)</f>
        <v/>
      </c>
      <c r="WY49" s="11">
        <f>IF(WC48&gt;0,MAX(0,(WC48+VN49-WC49)/WC48),0)</f>
        <v/>
      </c>
      <c r="XA49" s="12" t="n">
        <v>45</v>
      </c>
      <c r="XB49" s="12">
        <f>MOD(XA49-1+LaunchMonth-1,12)+1</f>
        <v/>
      </c>
      <c r="XC49" s="12">
        <f>INT((XA49-1+LaunchMonth-1)/12)+1</f>
        <v/>
      </c>
      <c r="XD49" s="12">
        <f>VLOOKUP(XB49,SeasonTable,2,FALSE)</f>
        <v/>
      </c>
      <c r="XE49" s="12">
        <f>(1+InflationRate)^INT((XA49-1)/12)</f>
        <v/>
      </c>
      <c r="XF49" s="11">
        <f>MonthlyChurn*VLOOKUP(XB49,ChurnSeasonTable,4,FALSE)</f>
        <v/>
      </c>
      <c r="XG49" s="12">
        <f>MIN(MAX(MktMin19plus,YE48*MktPct19plus),MAX(0,YS48-CashBuffer))</f>
        <v/>
      </c>
      <c r="XH49" s="12">
        <f>IF(XG49&gt;0,MAX(1,ROUND(XG49/CAC*XD49,0)),0)</f>
        <v/>
      </c>
      <c r="XI49" s="12">
        <f>IF(XH49&gt;0,ROUND(XH49*ReferralMix/(1-ReferralMix),0),0)</f>
        <v/>
      </c>
      <c r="XJ49" s="12">
        <f>XH49+XI49</f>
        <v/>
      </c>
      <c r="XK49" s="12">
        <f>ROUND(XJ49*(1-'Sens - Annual Mix'!$A$10),0)</f>
        <v/>
      </c>
      <c r="XL49" s="12">
        <f>XJ49-XK49</f>
        <v/>
      </c>
      <c r="XM49" s="12">
        <f>ROUND(XK49*EssentialMix,0)</f>
        <v/>
      </c>
      <c r="XN49" s="12">
        <f>ROUND(XK49*PremiumMix,0)</f>
        <v/>
      </c>
      <c r="XO49" s="12">
        <f>XK49-XM49-XN49</f>
        <v/>
      </c>
      <c r="XP49" s="12">
        <f>ROUND(XL49*EssentialMix,0)</f>
        <v/>
      </c>
      <c r="XQ49" s="12">
        <f>ROUND(XL49*PremiumMix,0)</f>
        <v/>
      </c>
      <c r="XR49" s="12">
        <f>XL49-XP49-XQ49</f>
        <v/>
      </c>
      <c r="XS49" s="12">
        <f>XM49+XM48+XM47+MAX(0,XS48-XM48-XM47)*(1-XF49)</f>
        <v/>
      </c>
      <c r="XT49" s="12">
        <f>XN49+XN48+XN47+MAX(0,XT48-XN48-XN47)*(1-XF49)</f>
        <v/>
      </c>
      <c r="XU49" s="12">
        <f>XO49+XO48+XO47+MAX(0,XU48-XO48-XO47)*(1-XF49)</f>
        <v/>
      </c>
      <c r="XV49" s="12">
        <f>XV48+XP49-XP37*(AnnualChurn*VLOOKUP(XB49,ChurnSeasonTable,4,FALSE))*POWER(1-(AnnualChurn*VLOOKUP(XB49,ChurnSeasonTable,4,FALSE)),0)+XP25*(AnnualChurn*VLOOKUP(XB49,ChurnSeasonTable,4,FALSE))*POWER(1-(AnnualChurn*VLOOKUP(XB49,ChurnSeasonTable,4,FALSE)),1)+XP13*(AnnualChurn*VLOOKUP(XB49,ChurnSeasonTable,4,FALSE))*POWER(1-(AnnualChurn*VLOOKUP(XB49,ChurnSeasonTable,4,FALSE)),2)</f>
        <v/>
      </c>
      <c r="XW49" s="12">
        <f>XW48+XQ49-XQ37*(AnnualChurn*VLOOKUP(XB49,ChurnSeasonTable,4,FALSE))*POWER(1-(AnnualChurn*VLOOKUP(XB49,ChurnSeasonTable,4,FALSE)),0)+XQ25*(AnnualChurn*VLOOKUP(XB49,ChurnSeasonTable,4,FALSE))*POWER(1-(AnnualChurn*VLOOKUP(XB49,ChurnSeasonTable,4,FALSE)),1)+XQ13*(AnnualChurn*VLOOKUP(XB49,ChurnSeasonTable,4,FALSE))*POWER(1-(AnnualChurn*VLOOKUP(XB49,ChurnSeasonTable,4,FALSE)),2)</f>
        <v/>
      </c>
      <c r="XX49" s="12">
        <f>XX48+XR49-XR37*(AnnualChurn*VLOOKUP(XB49,ChurnSeasonTable,4,FALSE))*POWER(1-(AnnualChurn*VLOOKUP(XB49,ChurnSeasonTable,4,FALSE)),0)+XR25*(AnnualChurn*VLOOKUP(XB49,ChurnSeasonTable,4,FALSE))*POWER(1-(AnnualChurn*VLOOKUP(XB49,ChurnSeasonTable,4,FALSE)),1)+XR13*(AnnualChurn*VLOOKUP(XB49,ChurnSeasonTable,4,FALSE))*POWER(1-(AnnualChurn*VLOOKUP(XB49,ChurnSeasonTable,4,FALSE)),2)</f>
        <v/>
      </c>
      <c r="XY49" s="12">
        <f>XS49+XT49+XU49+XV49+XW49+XX49</f>
        <v/>
      </c>
      <c r="XZ49" s="9">
        <f>XS49*BlendedPriceEssMonthly*XE49+XT49*BlendedPricePremMonthly*XE49+XU49*BlendedPriceEliteMonthly*XE49+XV49*BlendedPriceEssAnnual*XE49/12+XW49*BlendedPricePremAnnual*XE49/12+XX49*BlendedPriceEliteAnnual*XE49/12</f>
        <v/>
      </c>
      <c r="YA49" s="9">
        <f>XZ49*12</f>
        <v/>
      </c>
      <c r="YB49" s="12">
        <f>XS49*BlendedPriceEssMonthly*XE49+XT49*BlendedPricePremMonthly*XE49+XU49*BlendedPriceEliteMonthly*XE49</f>
        <v/>
      </c>
      <c r="YC49" s="12">
        <f>XP49*BlendedPriceEssAnnual*XE49+XQ49*BlendedPricePremAnnual*XE49+XR49*BlendedPriceEliteAnnual*XE49</f>
        <v/>
      </c>
      <c r="YD49" s="12">
        <f>XP37*POWER(1-(AnnualChurn*VLOOKUP(XB49,ChurnSeasonTable,4,FALSE)),1)*BlendedPriceEssAnnual*XE49+XP25*POWER(1-(AnnualChurn*VLOOKUP(XB49,ChurnSeasonTable,4,FALSE)),2)*BlendedPriceEssAnnual*XE49+XP13*POWER(1-(AnnualChurn*VLOOKUP(XB49,ChurnSeasonTable,4,FALSE)),3)*BlendedPriceEssAnnual*XE49+XQ37*POWER(1-(AnnualChurn*VLOOKUP(XB49,ChurnSeasonTable,4,FALSE)),1)*BlendedPricePremAnnual*XE49+XQ25*POWER(1-(AnnualChurn*VLOOKUP(XB49,ChurnSeasonTable,4,FALSE)),2)*BlendedPricePremAnnual*XE49+XQ13*POWER(1-(AnnualChurn*VLOOKUP(XB49,ChurnSeasonTable,4,FALSE)),3)*BlendedPricePremAnnual*XE49+XR37*POWER(1-(AnnualChurn*VLOOKUP(XB49,ChurnSeasonTable,4,FALSE)),1)*BlendedPriceEliteAnnual*XE49+XR25*POWER(1-(AnnualChurn*VLOOKUP(XB49,ChurnSeasonTable,4,FALSE)),2)*BlendedPriceEliteAnnual*XE49+XR13*POWER(1-(AnnualChurn*VLOOKUP(XB49,ChurnSeasonTable,4,FALSE)),3)*BlendedPriceEliteAnnual*XE49</f>
        <v/>
      </c>
      <c r="YE49" s="9">
        <f>YB49+YC49+YD49</f>
        <v/>
      </c>
      <c r="YF49" s="12">
        <f>SUM(YE38:YE49)</f>
        <v/>
      </c>
      <c r="YG49" s="12">
        <f>OR(YG48,IF(VATAgentMode,SUM($YE38:$YE49)-SUM($YL38:$YL49)&gt;=VATThreshold,SUM($YE38:$YE49)&gt;=VATThreshold))</f>
        <v/>
      </c>
      <c r="YH49" s="9">
        <f>IF(YG49,IF(VATAgentMode,YE49-((YE49-YL49)-(YE49-YL49)/(1+VATRate)),YE49/(1+VATRate)),YE49)</f>
        <v/>
      </c>
      <c r="YI49" s="12">
        <f>YE49-YH49</f>
        <v/>
      </c>
      <c r="YJ49" s="12">
        <f>IF(YG49=0,0,IF(XB49=1,SUMPRODUCT(--(($XC$5:$XC49=$XC49-1)*($XB$5:$XB49&gt;=10)*($XB$5:$XB49&lt;=12)),$YI$5:$YI49),IF(XB49=4,SUMPRODUCT(--(($XC$5:$XC49=$XC49)*($XB$5:$XB49&gt;=1)*($XB$5:$XB49&lt;=3)),$YI$5:$YI49),IF(XB49=7,SUMPRODUCT(--(($XC$5:$XC49=$XC49)*($XB$5:$XB49&gt;=4)*($XB$5:$XB49&lt;=6)),$YI$5:$YI49),IF(XB49=10,SUMPRODUCT(--(($XC$5:$XC49=$XC49)*($XB$5:$XB49&gt;=7)*($XB$5:$XB49&lt;=9)),$YI$5:$YI49),0)))))</f>
        <v/>
      </c>
      <c r="YK49" s="12">
        <f>YK48+YI49-YJ49</f>
        <v/>
      </c>
      <c r="YL49" s="12">
        <f>IF(ProviderDelay&gt;=1,XS48*BlendedProvPayEss+XT48*BlendedProvPayPrem+XU48*BlendedProvPayElite+XV48*BlendedProvPayEss+XW48*BlendedProvPayPrem+XX48*BlendedProvPayElite,XS49*BlendedProvPayEss+XT49*BlendedProvPayPrem+XU49*BlendedProvPayElite+XV49*BlendedProvPayEss+XW49*BlendedProvPayPrem+XX49*BlendedProvPayElite)</f>
        <v/>
      </c>
      <c r="YM49" s="12">
        <f>YE49*PaymentFee</f>
        <v/>
      </c>
      <c r="YN49" s="12">
        <f>XY49*OpsAI</f>
        <v/>
      </c>
      <c r="YO49" s="12">
        <f>MonthlyFixed</f>
        <v/>
      </c>
      <c r="YP49" s="12">
        <f>XI49*ReferralReward</f>
        <v/>
      </c>
      <c r="YQ49" s="12">
        <f>XG49</f>
        <v/>
      </c>
      <c r="YR49" s="9">
        <f>YH49-YL49-YM49-YN49-YO49-YP49-YQ49</f>
        <v/>
      </c>
      <c r="YS49" s="9">
        <f>YS48+YE49-(YL49+YM49+YN49+YO49+YP49+YQ49+YJ49)</f>
        <v/>
      </c>
      <c r="YT49" s="12">
        <f>IF(XY49&gt;0,XZ49/XY49,0)</f>
        <v/>
      </c>
      <c r="YU49" s="11">
        <f>IF(XY48&gt;0,MAX(0,(XY48+XJ49-XY49)/XY48),0)</f>
        <v/>
      </c>
      <c r="YW49" s="12" t="n">
        <v>45</v>
      </c>
      <c r="YX49" s="12">
        <f>MOD(YW49-1+LaunchMonth-1,12)+1</f>
        <v/>
      </c>
      <c r="YY49" s="12">
        <f>INT((YW49-1+LaunchMonth-1)/12)+1</f>
        <v/>
      </c>
      <c r="YZ49" s="12">
        <f>VLOOKUP(YX49,SeasonTable,2,FALSE)</f>
        <v/>
      </c>
      <c r="ZA49" s="12">
        <f>(1+InflationRate)^INT((YW49-1)/12)</f>
        <v/>
      </c>
      <c r="ZB49" s="11">
        <f>MonthlyChurn*VLOOKUP(YX49,ChurnSeasonTable,4,FALSE)</f>
        <v/>
      </c>
      <c r="ZC49" s="12">
        <f>MIN(MAX(MktMin19plus,AAA48*MktPct19plus),MAX(0,AAO48-CashBuffer))</f>
        <v/>
      </c>
      <c r="ZD49" s="12">
        <f>IF(ZC49&gt;0,MAX(1,ROUND(ZC49/CAC*YZ49,0)),0)</f>
        <v/>
      </c>
      <c r="ZE49" s="12">
        <f>IF(ZD49&gt;0,ROUND(ZD49*ReferralMix/(1-ReferralMix),0),0)</f>
        <v/>
      </c>
      <c r="ZF49" s="12">
        <f>ZD49+ZE49</f>
        <v/>
      </c>
      <c r="ZG49" s="12">
        <f>ROUND(ZF49*(1-'Sens - Annual Mix'!$A$11),0)</f>
        <v/>
      </c>
      <c r="ZH49" s="12">
        <f>ZF49-ZG49</f>
        <v/>
      </c>
      <c r="ZI49" s="12">
        <f>ROUND(ZG49*EssentialMix,0)</f>
        <v/>
      </c>
      <c r="ZJ49" s="12">
        <f>ROUND(ZG49*PremiumMix,0)</f>
        <v/>
      </c>
      <c r="ZK49" s="12">
        <f>ZG49-ZI49-ZJ49</f>
        <v/>
      </c>
      <c r="ZL49" s="12">
        <f>ROUND(ZH49*EssentialMix,0)</f>
        <v/>
      </c>
      <c r="ZM49" s="12">
        <f>ROUND(ZH49*PremiumMix,0)</f>
        <v/>
      </c>
      <c r="ZN49" s="12">
        <f>ZH49-ZL49-ZM49</f>
        <v/>
      </c>
      <c r="ZO49" s="12">
        <f>ZI49+ZI48+ZI47+MAX(0,ZO48-ZI48-ZI47)*(1-ZB49)</f>
        <v/>
      </c>
      <c r="ZP49" s="12">
        <f>ZJ49+ZJ48+ZJ47+MAX(0,ZP48-ZJ48-ZJ47)*(1-ZB49)</f>
        <v/>
      </c>
      <c r="ZQ49" s="12">
        <f>ZK49+ZK48+ZK47+MAX(0,ZQ48-ZK48-ZK47)*(1-ZB49)</f>
        <v/>
      </c>
      <c r="ZR49" s="12">
        <f>ZR48+ZL49-ZL37*(AnnualChurn*VLOOKUP(YX49,ChurnSeasonTable,4,FALSE))*POWER(1-(AnnualChurn*VLOOKUP(YX49,ChurnSeasonTable,4,FALSE)),0)+ZL25*(AnnualChurn*VLOOKUP(YX49,ChurnSeasonTable,4,FALSE))*POWER(1-(AnnualChurn*VLOOKUP(YX49,ChurnSeasonTable,4,FALSE)),1)+ZL13*(AnnualChurn*VLOOKUP(YX49,ChurnSeasonTable,4,FALSE))*POWER(1-(AnnualChurn*VLOOKUP(YX49,ChurnSeasonTable,4,FALSE)),2)</f>
        <v/>
      </c>
      <c r="ZS49" s="12">
        <f>ZS48+ZM49-ZM37*(AnnualChurn*VLOOKUP(YX49,ChurnSeasonTable,4,FALSE))*POWER(1-(AnnualChurn*VLOOKUP(YX49,ChurnSeasonTable,4,FALSE)),0)+ZM25*(AnnualChurn*VLOOKUP(YX49,ChurnSeasonTable,4,FALSE))*POWER(1-(AnnualChurn*VLOOKUP(YX49,ChurnSeasonTable,4,FALSE)),1)+ZM13*(AnnualChurn*VLOOKUP(YX49,ChurnSeasonTable,4,FALSE))*POWER(1-(AnnualChurn*VLOOKUP(YX49,ChurnSeasonTable,4,FALSE)),2)</f>
        <v/>
      </c>
      <c r="ZT49" s="12">
        <f>ZT48+ZN49-ZN37*(AnnualChurn*VLOOKUP(YX49,ChurnSeasonTable,4,FALSE))*POWER(1-(AnnualChurn*VLOOKUP(YX49,ChurnSeasonTable,4,FALSE)),0)+ZN25*(AnnualChurn*VLOOKUP(YX49,ChurnSeasonTable,4,FALSE))*POWER(1-(AnnualChurn*VLOOKUP(YX49,ChurnSeasonTable,4,FALSE)),1)+ZN13*(AnnualChurn*VLOOKUP(YX49,ChurnSeasonTable,4,FALSE))*POWER(1-(AnnualChurn*VLOOKUP(YX49,ChurnSeasonTable,4,FALSE)),2)</f>
        <v/>
      </c>
      <c r="ZU49" s="12">
        <f>ZO49+ZP49+ZQ49+ZR49+ZS49+ZT49</f>
        <v/>
      </c>
      <c r="ZV49" s="9">
        <f>ZO49*BlendedPriceEssMonthly*ZA49+ZP49*BlendedPricePremMonthly*ZA49+ZQ49*BlendedPriceEliteMonthly*ZA49+ZR49*BlendedPriceEssAnnual*ZA49/12+ZS49*BlendedPricePremAnnual*ZA49/12+ZT49*BlendedPriceEliteAnnual*ZA49/12</f>
        <v/>
      </c>
      <c r="ZW49" s="9">
        <f>ZV49*12</f>
        <v/>
      </c>
      <c r="ZX49" s="12">
        <f>ZO49*BlendedPriceEssMonthly*ZA49+ZP49*BlendedPricePremMonthly*ZA49+ZQ49*BlendedPriceEliteMonthly*ZA49</f>
        <v/>
      </c>
      <c r="ZY49" s="12">
        <f>ZL49*BlendedPriceEssAnnual*ZA49+ZM49*BlendedPricePremAnnual*ZA49+ZN49*BlendedPriceEliteAnnual*ZA49</f>
        <v/>
      </c>
      <c r="ZZ49" s="12">
        <f>ZL37*POWER(1-(AnnualChurn*VLOOKUP(YX49,ChurnSeasonTable,4,FALSE)),1)*BlendedPriceEssAnnual*ZA49+ZL25*POWER(1-(AnnualChurn*VLOOKUP(YX49,ChurnSeasonTable,4,FALSE)),2)*BlendedPriceEssAnnual*ZA49+ZL13*POWER(1-(AnnualChurn*VLOOKUP(YX49,ChurnSeasonTable,4,FALSE)),3)*BlendedPriceEssAnnual*ZA49+ZM37*POWER(1-(AnnualChurn*VLOOKUP(YX49,ChurnSeasonTable,4,FALSE)),1)*BlendedPricePremAnnual*ZA49+ZM25*POWER(1-(AnnualChurn*VLOOKUP(YX49,ChurnSeasonTable,4,FALSE)),2)*BlendedPricePremAnnual*ZA49+ZM13*POWER(1-(AnnualChurn*VLOOKUP(YX49,ChurnSeasonTable,4,FALSE)),3)*BlendedPricePremAnnual*ZA49+ZN37*POWER(1-(AnnualChurn*VLOOKUP(YX49,ChurnSeasonTable,4,FALSE)),1)*BlendedPriceEliteAnnual*ZA49+ZN25*POWER(1-(AnnualChurn*VLOOKUP(YX49,ChurnSeasonTable,4,FALSE)),2)*BlendedPriceEliteAnnual*ZA49+ZN13*POWER(1-(AnnualChurn*VLOOKUP(YX49,ChurnSeasonTable,4,FALSE)),3)*BlendedPriceEliteAnnual*ZA49</f>
        <v/>
      </c>
      <c r="AAA49" s="9">
        <f>ZX49+ZY49+ZZ49</f>
        <v/>
      </c>
      <c r="AAB49" s="12">
        <f>SUM(AAA38:AAA49)</f>
        <v/>
      </c>
      <c r="AAC49" s="12">
        <f>OR(AAC48,IF(VATAgentMode,SUM($AAA38:$AAA49)-SUM($AAH38:$AAH49)&gt;=VATThreshold,SUM($AAA38:$AAA49)&gt;=VATThreshold))</f>
        <v/>
      </c>
      <c r="AAD49" s="9">
        <f>IF(AAC49,IF(VATAgentMode,AAA49-((AAA49-AAH49)-(AAA49-AAH49)/(1+VATRate)),AAA49/(1+VATRate)),AAA49)</f>
        <v/>
      </c>
      <c r="AAE49" s="12">
        <f>AAA49-AAD49</f>
        <v/>
      </c>
      <c r="AAF49" s="12">
        <f>IF(AAC49=0,0,IF(YX49=1,SUMPRODUCT(--(($YY$5:$YY49=$YY49-1)*($YX$5:$YX49&gt;=10)*($YX$5:$YX49&lt;=12)),$AAE$5:$AAE49),IF(YX49=4,SUMPRODUCT(--(($YY$5:$YY49=$YY49)*($YX$5:$YX49&gt;=1)*($YX$5:$YX49&lt;=3)),$AAE$5:$AAE49),IF(YX49=7,SUMPRODUCT(--(($YY$5:$YY49=$YY49)*($YX$5:$YX49&gt;=4)*($YX$5:$YX49&lt;=6)),$AAE$5:$AAE49),IF(YX49=10,SUMPRODUCT(--(($YY$5:$YY49=$YY49)*($YX$5:$YX49&gt;=7)*($YX$5:$YX49&lt;=9)),$AAE$5:$AAE49),0)))))</f>
        <v/>
      </c>
      <c r="AAG49" s="12">
        <f>AAG48+AAE49-AAF49</f>
        <v/>
      </c>
      <c r="AAH49" s="12">
        <f>IF(ProviderDelay&gt;=1,ZO48*BlendedProvPayEss+ZP48*BlendedProvPayPrem+ZQ48*BlendedProvPayElite+ZR48*BlendedProvPayEss+ZS48*BlendedProvPayPrem+ZT48*BlendedProvPayElite,ZO49*BlendedProvPayEss+ZP49*BlendedProvPayPrem+ZQ49*BlendedProvPayElite+ZR49*BlendedProvPayEss+ZS49*BlendedProvPayPrem+ZT49*BlendedProvPayElite)</f>
        <v/>
      </c>
      <c r="AAI49" s="12">
        <f>AAA49*PaymentFee</f>
        <v/>
      </c>
      <c r="AAJ49" s="12">
        <f>ZU49*OpsAI</f>
        <v/>
      </c>
      <c r="AAK49" s="12">
        <f>MonthlyFixed</f>
        <v/>
      </c>
      <c r="AAL49" s="12">
        <f>ZE49*ReferralReward</f>
        <v/>
      </c>
      <c r="AAM49" s="12">
        <f>ZC49</f>
        <v/>
      </c>
      <c r="AAN49" s="9">
        <f>AAD49-AAH49-AAI49-AAJ49-AAK49-AAL49-AAM49</f>
        <v/>
      </c>
      <c r="AAO49" s="9">
        <f>AAO48+AAA49-(AAH49+AAI49+AAJ49+AAK49+AAL49+AAM49+AAF49)</f>
        <v/>
      </c>
      <c r="AAP49" s="12">
        <f>IF(ZU49&gt;0,ZV49/ZU49,0)</f>
        <v/>
      </c>
      <c r="AAQ49" s="11">
        <f>IF(ZU48&gt;0,MAX(0,(ZU48+ZF49-ZU49)/ZU48),0)</f>
        <v/>
      </c>
      <c r="AAS49" s="12" t="n">
        <v>45</v>
      </c>
      <c r="AAT49" s="12">
        <f>MOD(AAS49-1+LaunchMonth-1,12)+1</f>
        <v/>
      </c>
      <c r="AAU49" s="12">
        <f>INT((AAS49-1+LaunchMonth-1)/12)+1</f>
        <v/>
      </c>
      <c r="AAV49" s="12">
        <f>VLOOKUP(AAT49,SeasonTable,2,FALSE)</f>
        <v/>
      </c>
      <c r="AAW49" s="12">
        <f>(1+InflationRate)^INT((AAS49-1)/12)</f>
        <v/>
      </c>
      <c r="AAX49" s="11">
        <f>MonthlyChurn*VLOOKUP(AAT49,ChurnSeasonTable,4,FALSE)</f>
        <v/>
      </c>
      <c r="AAY49" s="12">
        <f>MIN(MAX(MktMin19plus,ABW48*MktPct19plus),MAX(0,ACK48-CashBuffer))</f>
        <v/>
      </c>
      <c r="AAZ49" s="12">
        <f>IF(AAY49&gt;0,MAX(1,ROUND(AAY49/CAC*AAV49,0)),0)</f>
        <v/>
      </c>
      <c r="ABA49" s="12">
        <f>IF(AAZ49&gt;0,ROUND(AAZ49*ReferralMix/(1-ReferralMix),0),0)</f>
        <v/>
      </c>
      <c r="ABB49" s="12">
        <f>AAZ49+ABA49</f>
        <v/>
      </c>
      <c r="ABC49" s="12">
        <f>ROUND(ABB49*(1-'Sens - Annual Mix'!$A$12),0)</f>
        <v/>
      </c>
      <c r="ABD49" s="12">
        <f>ABB49-ABC49</f>
        <v/>
      </c>
      <c r="ABE49" s="12">
        <f>ROUND(ABC49*EssentialMix,0)</f>
        <v/>
      </c>
      <c r="ABF49" s="12">
        <f>ROUND(ABC49*PremiumMix,0)</f>
        <v/>
      </c>
      <c r="ABG49" s="12">
        <f>ABC49-ABE49-ABF49</f>
        <v/>
      </c>
      <c r="ABH49" s="12">
        <f>ROUND(ABD49*EssentialMix,0)</f>
        <v/>
      </c>
      <c r="ABI49" s="12">
        <f>ROUND(ABD49*PremiumMix,0)</f>
        <v/>
      </c>
      <c r="ABJ49" s="12">
        <f>ABD49-ABH49-ABI49</f>
        <v/>
      </c>
      <c r="ABK49" s="12">
        <f>ABE49+ABE48+ABE47+MAX(0,ABK48-ABE48-ABE47)*(1-AAX49)</f>
        <v/>
      </c>
      <c r="ABL49" s="12">
        <f>ABF49+ABF48+ABF47+MAX(0,ABL48-ABF48-ABF47)*(1-AAX49)</f>
        <v/>
      </c>
      <c r="ABM49" s="12">
        <f>ABG49+ABG48+ABG47+MAX(0,ABM48-ABG48-ABG47)*(1-AAX49)</f>
        <v/>
      </c>
      <c r="ABN49" s="12">
        <f>ABN48+ABH49-ABH37*(AnnualChurn*VLOOKUP(AAT49,ChurnSeasonTable,4,FALSE))*POWER(1-(AnnualChurn*VLOOKUP(AAT49,ChurnSeasonTable,4,FALSE)),0)+ABH25*(AnnualChurn*VLOOKUP(AAT49,ChurnSeasonTable,4,FALSE))*POWER(1-(AnnualChurn*VLOOKUP(AAT49,ChurnSeasonTable,4,FALSE)),1)+ABH13*(AnnualChurn*VLOOKUP(AAT49,ChurnSeasonTable,4,FALSE))*POWER(1-(AnnualChurn*VLOOKUP(AAT49,ChurnSeasonTable,4,FALSE)),2)</f>
        <v/>
      </c>
      <c r="ABO49" s="12">
        <f>ABO48+ABI49-ABI37*(AnnualChurn*VLOOKUP(AAT49,ChurnSeasonTable,4,FALSE))*POWER(1-(AnnualChurn*VLOOKUP(AAT49,ChurnSeasonTable,4,FALSE)),0)+ABI25*(AnnualChurn*VLOOKUP(AAT49,ChurnSeasonTable,4,FALSE))*POWER(1-(AnnualChurn*VLOOKUP(AAT49,ChurnSeasonTable,4,FALSE)),1)+ABI13*(AnnualChurn*VLOOKUP(AAT49,ChurnSeasonTable,4,FALSE))*POWER(1-(AnnualChurn*VLOOKUP(AAT49,ChurnSeasonTable,4,FALSE)),2)</f>
        <v/>
      </c>
      <c r="ABP49" s="12">
        <f>ABP48+ABJ49-ABJ37*(AnnualChurn*VLOOKUP(AAT49,ChurnSeasonTable,4,FALSE))*POWER(1-(AnnualChurn*VLOOKUP(AAT49,ChurnSeasonTable,4,FALSE)),0)+ABJ25*(AnnualChurn*VLOOKUP(AAT49,ChurnSeasonTable,4,FALSE))*POWER(1-(AnnualChurn*VLOOKUP(AAT49,ChurnSeasonTable,4,FALSE)),1)+ABJ13*(AnnualChurn*VLOOKUP(AAT49,ChurnSeasonTable,4,FALSE))*POWER(1-(AnnualChurn*VLOOKUP(AAT49,ChurnSeasonTable,4,FALSE)),2)</f>
        <v/>
      </c>
      <c r="ABQ49" s="12">
        <f>ABK49+ABL49+ABM49+ABN49+ABO49+ABP49</f>
        <v/>
      </c>
      <c r="ABR49" s="9">
        <f>ABK49*BlendedPriceEssMonthly*AAW49+ABL49*BlendedPricePremMonthly*AAW49+ABM49*BlendedPriceEliteMonthly*AAW49+ABN49*BlendedPriceEssAnnual*AAW49/12+ABO49*BlendedPricePremAnnual*AAW49/12+ABP49*BlendedPriceEliteAnnual*AAW49/12</f>
        <v/>
      </c>
      <c r="ABS49" s="9">
        <f>ABR49*12</f>
        <v/>
      </c>
      <c r="ABT49" s="12">
        <f>ABK49*BlendedPriceEssMonthly*AAW49+ABL49*BlendedPricePremMonthly*AAW49+ABM49*BlendedPriceEliteMonthly*AAW49</f>
        <v/>
      </c>
      <c r="ABU49" s="12">
        <f>ABH49*BlendedPriceEssAnnual*AAW49+ABI49*BlendedPricePremAnnual*AAW49+ABJ49*BlendedPriceEliteAnnual*AAW49</f>
        <v/>
      </c>
      <c r="ABV49" s="12">
        <f>ABH37*POWER(1-(AnnualChurn*VLOOKUP(AAT49,ChurnSeasonTable,4,FALSE)),1)*BlendedPriceEssAnnual*AAW49+ABH25*POWER(1-(AnnualChurn*VLOOKUP(AAT49,ChurnSeasonTable,4,FALSE)),2)*BlendedPriceEssAnnual*AAW49+ABH13*POWER(1-(AnnualChurn*VLOOKUP(AAT49,ChurnSeasonTable,4,FALSE)),3)*BlendedPriceEssAnnual*AAW49+ABI37*POWER(1-(AnnualChurn*VLOOKUP(AAT49,ChurnSeasonTable,4,FALSE)),1)*BlendedPricePremAnnual*AAW49+ABI25*POWER(1-(AnnualChurn*VLOOKUP(AAT49,ChurnSeasonTable,4,FALSE)),2)*BlendedPricePremAnnual*AAW49+ABI13*POWER(1-(AnnualChurn*VLOOKUP(AAT49,ChurnSeasonTable,4,FALSE)),3)*BlendedPricePremAnnual*AAW49+ABJ37*POWER(1-(AnnualChurn*VLOOKUP(AAT49,ChurnSeasonTable,4,FALSE)),1)*BlendedPriceEliteAnnual*AAW49+ABJ25*POWER(1-(AnnualChurn*VLOOKUP(AAT49,ChurnSeasonTable,4,FALSE)),2)*BlendedPriceEliteAnnual*AAW49+ABJ13*POWER(1-(AnnualChurn*VLOOKUP(AAT49,ChurnSeasonTable,4,FALSE)),3)*BlendedPriceEliteAnnual*AAW49</f>
        <v/>
      </c>
      <c r="ABW49" s="9">
        <f>ABT49+ABU49+ABV49</f>
        <v/>
      </c>
      <c r="ABX49" s="12">
        <f>SUM(ABW38:ABW49)</f>
        <v/>
      </c>
      <c r="ABY49" s="12">
        <f>OR(ABY48,IF(VATAgentMode,SUM($ABW38:$ABW49)-SUM($ACD38:$ACD49)&gt;=VATThreshold,SUM($ABW38:$ABW49)&gt;=VATThreshold))</f>
        <v/>
      </c>
      <c r="ABZ49" s="9">
        <f>IF(ABY49,IF(VATAgentMode,ABW49-((ABW49-ACD49)-(ABW49-ACD49)/(1+VATRate)),ABW49/(1+VATRate)),ABW49)</f>
        <v/>
      </c>
      <c r="ACA49" s="12">
        <f>ABW49-ABZ49</f>
        <v/>
      </c>
      <c r="ACB49" s="12">
        <f>IF(ABY49=0,0,IF(AAT49=1,SUMPRODUCT(--(($AAU$5:$AAU49=$AAU49-1)*($AAT$5:$AAT49&gt;=10)*($AAT$5:$AAT49&lt;=12)),$ACA$5:$ACA49),IF(AAT49=4,SUMPRODUCT(--(($AAU$5:$AAU49=$AAU49)*($AAT$5:$AAT49&gt;=1)*($AAT$5:$AAT49&lt;=3)),$ACA$5:$ACA49),IF(AAT49=7,SUMPRODUCT(--(($AAU$5:$AAU49=$AAU49)*($AAT$5:$AAT49&gt;=4)*($AAT$5:$AAT49&lt;=6)),$ACA$5:$ACA49),IF(AAT49=10,SUMPRODUCT(--(($AAU$5:$AAU49=$AAU49)*($AAT$5:$AAT49&gt;=7)*($AAT$5:$AAT49&lt;=9)),$ACA$5:$ACA49),0)))))</f>
        <v/>
      </c>
      <c r="ACC49" s="12">
        <f>ACC48+ACA49-ACB49</f>
        <v/>
      </c>
      <c r="ACD49" s="12">
        <f>IF(ProviderDelay&gt;=1,ABK48*BlendedProvPayEss+ABL48*BlendedProvPayPrem+ABM48*BlendedProvPayElite+ABN48*BlendedProvPayEss+ABO48*BlendedProvPayPrem+ABP48*BlendedProvPayElite,ABK49*BlendedProvPayEss+ABL49*BlendedProvPayPrem+ABM49*BlendedProvPayElite+ABN49*BlendedProvPayEss+ABO49*BlendedProvPayPrem+ABP49*BlendedProvPayElite)</f>
        <v/>
      </c>
      <c r="ACE49" s="12">
        <f>ABW49*PaymentFee</f>
        <v/>
      </c>
      <c r="ACF49" s="12">
        <f>ABQ49*OpsAI</f>
        <v/>
      </c>
      <c r="ACG49" s="12">
        <f>MonthlyFixed</f>
        <v/>
      </c>
      <c r="ACH49" s="12">
        <f>ABA49*ReferralReward</f>
        <v/>
      </c>
      <c r="ACI49" s="12">
        <f>AAY49</f>
        <v/>
      </c>
      <c r="ACJ49" s="9">
        <f>ABZ49-ACD49-ACE49-ACF49-ACG49-ACH49-ACI49</f>
        <v/>
      </c>
      <c r="ACK49" s="9">
        <f>ACK48+ABW49-(ACD49+ACE49+ACF49+ACG49+ACH49+ACI49+ACB49)</f>
        <v/>
      </c>
      <c r="ACL49" s="12">
        <f>IF(ABQ49&gt;0,ABR49/ABQ49,0)</f>
        <v/>
      </c>
      <c r="ACM49" s="11">
        <f>IF(ABQ48&gt;0,MAX(0,(ABQ48+ABB49-ABQ49)/ABQ48),0)</f>
        <v/>
      </c>
      <c r="ACO49" s="12" t="n">
        <v>45</v>
      </c>
      <c r="ACP49" s="12">
        <f>MOD(ACO49-1+LaunchMonth-1,12)+1</f>
        <v/>
      </c>
      <c r="ACQ49" s="12">
        <f>INT((ACO49-1+LaunchMonth-1)/12)+1</f>
        <v/>
      </c>
      <c r="ACR49" s="12">
        <f>VLOOKUP(ACP49,SeasonTable,2,FALSE)</f>
        <v/>
      </c>
      <c r="ACS49" s="12">
        <f>(1+InflationRate)^INT((ACO49-1)/12)</f>
        <v/>
      </c>
      <c r="ACT49" s="11">
        <f>MonthlyChurn*VLOOKUP(ACP49,ChurnSeasonTable,4,FALSE)</f>
        <v/>
      </c>
      <c r="ACU49" s="12">
        <f>MIN(MAX(MktMin19plus,ADS48*MktPct19plus),MAX(0,AEG48-CashBuffer))</f>
        <v/>
      </c>
      <c r="ACV49" s="12">
        <f>IF(ACU49&gt;0,MAX(1,ROUND(ACU49/CAC*ACR49,0)),0)</f>
        <v/>
      </c>
      <c r="ACW49" s="12">
        <f>IF(ACV49&gt;0,ROUND(ACV49*ReferralMix/(1-ReferralMix),0),0)</f>
        <v/>
      </c>
      <c r="ACX49" s="12">
        <f>ACV49+ACW49</f>
        <v/>
      </c>
      <c r="ACY49" s="12">
        <f>ROUND(ACX49*(1-'Sens - Annual Mix'!$A$13),0)</f>
        <v/>
      </c>
      <c r="ACZ49" s="12">
        <f>ACX49-ACY49</f>
        <v/>
      </c>
      <c r="ADA49" s="12">
        <f>ROUND(ACY49*EssentialMix,0)</f>
        <v/>
      </c>
      <c r="ADB49" s="12">
        <f>ROUND(ACY49*PremiumMix,0)</f>
        <v/>
      </c>
      <c r="ADC49" s="12">
        <f>ACY49-ADA49-ADB49</f>
        <v/>
      </c>
      <c r="ADD49" s="12">
        <f>ROUND(ACZ49*EssentialMix,0)</f>
        <v/>
      </c>
      <c r="ADE49" s="12">
        <f>ROUND(ACZ49*PremiumMix,0)</f>
        <v/>
      </c>
      <c r="ADF49" s="12">
        <f>ACZ49-ADD49-ADE49</f>
        <v/>
      </c>
      <c r="ADG49" s="12">
        <f>ADA49+ADA48+ADA47+MAX(0,ADG48-ADA48-ADA47)*(1-ACT49)</f>
        <v/>
      </c>
      <c r="ADH49" s="12">
        <f>ADB49+ADB48+ADB47+MAX(0,ADH48-ADB48-ADB47)*(1-ACT49)</f>
        <v/>
      </c>
      <c r="ADI49" s="12">
        <f>ADC49+ADC48+ADC47+MAX(0,ADI48-ADC48-ADC47)*(1-ACT49)</f>
        <v/>
      </c>
      <c r="ADJ49" s="12">
        <f>ADJ48+ADD49-ADD37*(AnnualChurn*VLOOKUP(ACP49,ChurnSeasonTable,4,FALSE))*POWER(1-(AnnualChurn*VLOOKUP(ACP49,ChurnSeasonTable,4,FALSE)),0)+ADD25*(AnnualChurn*VLOOKUP(ACP49,ChurnSeasonTable,4,FALSE))*POWER(1-(AnnualChurn*VLOOKUP(ACP49,ChurnSeasonTable,4,FALSE)),1)+ADD13*(AnnualChurn*VLOOKUP(ACP49,ChurnSeasonTable,4,FALSE))*POWER(1-(AnnualChurn*VLOOKUP(ACP49,ChurnSeasonTable,4,FALSE)),2)</f>
        <v/>
      </c>
      <c r="ADK49" s="12">
        <f>ADK48+ADE49-ADE37*(AnnualChurn*VLOOKUP(ACP49,ChurnSeasonTable,4,FALSE))*POWER(1-(AnnualChurn*VLOOKUP(ACP49,ChurnSeasonTable,4,FALSE)),0)+ADE25*(AnnualChurn*VLOOKUP(ACP49,ChurnSeasonTable,4,FALSE))*POWER(1-(AnnualChurn*VLOOKUP(ACP49,ChurnSeasonTable,4,FALSE)),1)+ADE13*(AnnualChurn*VLOOKUP(ACP49,ChurnSeasonTable,4,FALSE))*POWER(1-(AnnualChurn*VLOOKUP(ACP49,ChurnSeasonTable,4,FALSE)),2)</f>
        <v/>
      </c>
      <c r="ADL49" s="12">
        <f>ADL48+ADF49-ADF37*(AnnualChurn*VLOOKUP(ACP49,ChurnSeasonTable,4,FALSE))*POWER(1-(AnnualChurn*VLOOKUP(ACP49,ChurnSeasonTable,4,FALSE)),0)+ADF25*(AnnualChurn*VLOOKUP(ACP49,ChurnSeasonTable,4,FALSE))*POWER(1-(AnnualChurn*VLOOKUP(ACP49,ChurnSeasonTable,4,FALSE)),1)+ADF13*(AnnualChurn*VLOOKUP(ACP49,ChurnSeasonTable,4,FALSE))*POWER(1-(AnnualChurn*VLOOKUP(ACP49,ChurnSeasonTable,4,FALSE)),2)</f>
        <v/>
      </c>
      <c r="ADM49" s="12">
        <f>ADG49+ADH49+ADI49+ADJ49+ADK49+ADL49</f>
        <v/>
      </c>
      <c r="ADN49" s="9">
        <f>ADG49*BlendedPriceEssMonthly*ACS49+ADH49*BlendedPricePremMonthly*ACS49+ADI49*BlendedPriceEliteMonthly*ACS49+ADJ49*BlendedPriceEssAnnual*ACS49/12+ADK49*BlendedPricePremAnnual*ACS49/12+ADL49*BlendedPriceEliteAnnual*ACS49/12</f>
        <v/>
      </c>
      <c r="ADO49" s="9">
        <f>ADN49*12</f>
        <v/>
      </c>
      <c r="ADP49" s="12">
        <f>ADG49*BlendedPriceEssMonthly*ACS49+ADH49*BlendedPricePremMonthly*ACS49+ADI49*BlendedPriceEliteMonthly*ACS49</f>
        <v/>
      </c>
      <c r="ADQ49" s="12">
        <f>ADD49*BlendedPriceEssAnnual*ACS49+ADE49*BlendedPricePremAnnual*ACS49+ADF49*BlendedPriceEliteAnnual*ACS49</f>
        <v/>
      </c>
      <c r="ADR49" s="12">
        <f>ADD37*POWER(1-(AnnualChurn*VLOOKUP(ACP49,ChurnSeasonTable,4,FALSE)),1)*BlendedPriceEssAnnual*ACS49+ADD25*POWER(1-(AnnualChurn*VLOOKUP(ACP49,ChurnSeasonTable,4,FALSE)),2)*BlendedPriceEssAnnual*ACS49+ADD13*POWER(1-(AnnualChurn*VLOOKUP(ACP49,ChurnSeasonTable,4,FALSE)),3)*BlendedPriceEssAnnual*ACS49+ADE37*POWER(1-(AnnualChurn*VLOOKUP(ACP49,ChurnSeasonTable,4,FALSE)),1)*BlendedPricePremAnnual*ACS49+ADE25*POWER(1-(AnnualChurn*VLOOKUP(ACP49,ChurnSeasonTable,4,FALSE)),2)*BlendedPricePremAnnual*ACS49+ADE13*POWER(1-(AnnualChurn*VLOOKUP(ACP49,ChurnSeasonTable,4,FALSE)),3)*BlendedPricePremAnnual*ACS49+ADF37*POWER(1-(AnnualChurn*VLOOKUP(ACP49,ChurnSeasonTable,4,FALSE)),1)*BlendedPriceEliteAnnual*ACS49+ADF25*POWER(1-(AnnualChurn*VLOOKUP(ACP49,ChurnSeasonTable,4,FALSE)),2)*BlendedPriceEliteAnnual*ACS49+ADF13*POWER(1-(AnnualChurn*VLOOKUP(ACP49,ChurnSeasonTable,4,FALSE)),3)*BlendedPriceEliteAnnual*ACS49</f>
        <v/>
      </c>
      <c r="ADS49" s="9">
        <f>ADP49+ADQ49+ADR49</f>
        <v/>
      </c>
      <c r="ADT49" s="12">
        <f>SUM(ADS38:ADS49)</f>
        <v/>
      </c>
      <c r="ADU49" s="12">
        <f>OR(ADU48,IF(VATAgentMode,SUM($ADS38:$ADS49)-SUM($ADZ38:$ADZ49)&gt;=VATThreshold,SUM($ADS38:$ADS49)&gt;=VATThreshold))</f>
        <v/>
      </c>
      <c r="ADV49" s="9">
        <f>IF(ADU49,IF(VATAgentMode,ADS49-((ADS49-ADZ49)-(ADS49-ADZ49)/(1+VATRate)),ADS49/(1+VATRate)),ADS49)</f>
        <v/>
      </c>
      <c r="ADW49" s="12">
        <f>ADS49-ADV49</f>
        <v/>
      </c>
      <c r="ADX49" s="12">
        <f>IF(ADU49=0,0,IF(ACP49=1,SUMPRODUCT(--(($ACQ$5:$ACQ49=$ACQ49-1)*($ACP$5:$ACP49&gt;=10)*($ACP$5:$ACP49&lt;=12)),$ADW$5:$ADW49),IF(ACP49=4,SUMPRODUCT(--(($ACQ$5:$ACQ49=$ACQ49)*($ACP$5:$ACP49&gt;=1)*($ACP$5:$ACP49&lt;=3)),$ADW$5:$ADW49),IF(ACP49=7,SUMPRODUCT(--(($ACQ$5:$ACQ49=$ACQ49)*($ACP$5:$ACP49&gt;=4)*($ACP$5:$ACP49&lt;=6)),$ADW$5:$ADW49),IF(ACP49=10,SUMPRODUCT(--(($ACQ$5:$ACQ49=$ACQ49)*($ACP$5:$ACP49&gt;=7)*($ACP$5:$ACP49&lt;=9)),$ADW$5:$ADW49),0)))))</f>
        <v/>
      </c>
      <c r="ADY49" s="12">
        <f>ADY48+ADW49-ADX49</f>
        <v/>
      </c>
      <c r="ADZ49" s="12">
        <f>IF(ProviderDelay&gt;=1,ADG48*BlendedProvPayEss+ADH48*BlendedProvPayPrem+ADI48*BlendedProvPayElite+ADJ48*BlendedProvPayEss+ADK48*BlendedProvPayPrem+ADL48*BlendedProvPayElite,ADG49*BlendedProvPayEss+ADH49*BlendedProvPayPrem+ADI49*BlendedProvPayElite+ADJ49*BlendedProvPayEss+ADK49*BlendedProvPayPrem+ADL49*BlendedProvPayElite)</f>
        <v/>
      </c>
      <c r="AEA49" s="12">
        <f>ADS49*PaymentFee</f>
        <v/>
      </c>
      <c r="AEB49" s="12">
        <f>ADM49*OpsAI</f>
        <v/>
      </c>
      <c r="AEC49" s="12">
        <f>MonthlyFixed</f>
        <v/>
      </c>
      <c r="AED49" s="12">
        <f>ACW49*ReferralReward</f>
        <v/>
      </c>
      <c r="AEE49" s="12">
        <f>ACU49</f>
        <v/>
      </c>
      <c r="AEF49" s="9">
        <f>ADV49-ADZ49-AEA49-AEB49-AEC49-AED49-AEE49</f>
        <v/>
      </c>
      <c r="AEG49" s="9">
        <f>AEG48+ADS49-(ADZ49+AEA49+AEB49+AEC49+AED49+AEE49+ADX49)</f>
        <v/>
      </c>
      <c r="AEH49" s="12">
        <f>IF(ADM49&gt;0,ADN49/ADM49,0)</f>
        <v/>
      </c>
      <c r="AEI49" s="11">
        <f>IF(ADM48&gt;0,MAX(0,(ADM48+ACX49-ADM49)/ADM48),0)</f>
        <v/>
      </c>
      <c r="AEK49" s="12" t="n">
        <v>45</v>
      </c>
      <c r="AEL49" s="12">
        <f>MOD(AEK49-1+LaunchMonth-1,12)+1</f>
        <v/>
      </c>
      <c r="AEM49" s="12">
        <f>INT((AEK49-1+LaunchMonth-1)/12)+1</f>
        <v/>
      </c>
      <c r="AEN49" s="12">
        <f>VLOOKUP(AEL49,SeasonTable,2,FALSE)</f>
        <v/>
      </c>
      <c r="AEO49" s="12">
        <f>(1+InflationRate)^INT((AEK49-1)/12)</f>
        <v/>
      </c>
      <c r="AEP49" s="11">
        <f>MonthlyChurn*VLOOKUP(AEL49,ChurnSeasonTable,4,FALSE)</f>
        <v/>
      </c>
      <c r="AEQ49" s="12">
        <f>MIN(MAX(MktMin19plus,AFO48*MktPct19plus),MAX(0,AGC48-CashBuffer))</f>
        <v/>
      </c>
      <c r="AER49" s="12">
        <f>IF(AEQ49&gt;0,MAX(1,ROUND(AEQ49/CAC*AEN49,0)),0)</f>
        <v/>
      </c>
      <c r="AES49" s="12">
        <f>IF(AER49&gt;0,ROUND(AER49*ReferralMix/(1-ReferralMix),0),0)</f>
        <v/>
      </c>
      <c r="AET49" s="12">
        <f>AER49+AES49</f>
        <v/>
      </c>
      <c r="AEU49" s="12">
        <f>ROUND(AET49*(1-'Sens - Annual Mix'!$A$14),0)</f>
        <v/>
      </c>
      <c r="AEV49" s="12">
        <f>AET49-AEU49</f>
        <v/>
      </c>
      <c r="AEW49" s="12">
        <f>ROUND(AEU49*EssentialMix,0)</f>
        <v/>
      </c>
      <c r="AEX49" s="12">
        <f>ROUND(AEU49*PremiumMix,0)</f>
        <v/>
      </c>
      <c r="AEY49" s="12">
        <f>AEU49-AEW49-AEX49</f>
        <v/>
      </c>
      <c r="AEZ49" s="12">
        <f>ROUND(AEV49*EssentialMix,0)</f>
        <v/>
      </c>
      <c r="AFA49" s="12">
        <f>ROUND(AEV49*PremiumMix,0)</f>
        <v/>
      </c>
      <c r="AFB49" s="12">
        <f>AEV49-AEZ49-AFA49</f>
        <v/>
      </c>
      <c r="AFC49" s="12">
        <f>AEW49+AEW48+AEW47+MAX(0,AFC48-AEW48-AEW47)*(1-AEP49)</f>
        <v/>
      </c>
      <c r="AFD49" s="12">
        <f>AEX49+AEX48+AEX47+MAX(0,AFD48-AEX48-AEX47)*(1-AEP49)</f>
        <v/>
      </c>
      <c r="AFE49" s="12">
        <f>AEY49+AEY48+AEY47+MAX(0,AFE48-AEY48-AEY47)*(1-AEP49)</f>
        <v/>
      </c>
      <c r="AFF49" s="12">
        <f>AFF48+AEZ49-AEZ37*(AnnualChurn*VLOOKUP(AEL49,ChurnSeasonTable,4,FALSE))*POWER(1-(AnnualChurn*VLOOKUP(AEL49,ChurnSeasonTable,4,FALSE)),0)+AEZ25*(AnnualChurn*VLOOKUP(AEL49,ChurnSeasonTable,4,FALSE))*POWER(1-(AnnualChurn*VLOOKUP(AEL49,ChurnSeasonTable,4,FALSE)),1)+AEZ13*(AnnualChurn*VLOOKUP(AEL49,ChurnSeasonTable,4,FALSE))*POWER(1-(AnnualChurn*VLOOKUP(AEL49,ChurnSeasonTable,4,FALSE)),2)</f>
        <v/>
      </c>
      <c r="AFG49" s="12">
        <f>AFG48+AFA49-AFA37*(AnnualChurn*VLOOKUP(AEL49,ChurnSeasonTable,4,FALSE))*POWER(1-(AnnualChurn*VLOOKUP(AEL49,ChurnSeasonTable,4,FALSE)),0)+AFA25*(AnnualChurn*VLOOKUP(AEL49,ChurnSeasonTable,4,FALSE))*POWER(1-(AnnualChurn*VLOOKUP(AEL49,ChurnSeasonTable,4,FALSE)),1)+AFA13*(AnnualChurn*VLOOKUP(AEL49,ChurnSeasonTable,4,FALSE))*POWER(1-(AnnualChurn*VLOOKUP(AEL49,ChurnSeasonTable,4,FALSE)),2)</f>
        <v/>
      </c>
      <c r="AFH49" s="12">
        <f>AFH48+AFB49-AFB37*(AnnualChurn*VLOOKUP(AEL49,ChurnSeasonTable,4,FALSE))*POWER(1-(AnnualChurn*VLOOKUP(AEL49,ChurnSeasonTable,4,FALSE)),0)+AFB25*(AnnualChurn*VLOOKUP(AEL49,ChurnSeasonTable,4,FALSE))*POWER(1-(AnnualChurn*VLOOKUP(AEL49,ChurnSeasonTable,4,FALSE)),1)+AFB13*(AnnualChurn*VLOOKUP(AEL49,ChurnSeasonTable,4,FALSE))*POWER(1-(AnnualChurn*VLOOKUP(AEL49,ChurnSeasonTable,4,FALSE)),2)</f>
        <v/>
      </c>
      <c r="AFI49" s="12">
        <f>AFC49+AFD49+AFE49+AFF49+AFG49+AFH49</f>
        <v/>
      </c>
      <c r="AFJ49" s="9">
        <f>AFC49*BlendedPriceEssMonthly*AEO49+AFD49*BlendedPricePremMonthly*AEO49+AFE49*BlendedPriceEliteMonthly*AEO49+AFF49*BlendedPriceEssAnnual*AEO49/12+AFG49*BlendedPricePremAnnual*AEO49/12+AFH49*BlendedPriceEliteAnnual*AEO49/12</f>
        <v/>
      </c>
      <c r="AFK49" s="9">
        <f>AFJ49*12</f>
        <v/>
      </c>
      <c r="AFL49" s="12">
        <f>AFC49*BlendedPriceEssMonthly*AEO49+AFD49*BlendedPricePremMonthly*AEO49+AFE49*BlendedPriceEliteMonthly*AEO49</f>
        <v/>
      </c>
      <c r="AFM49" s="12">
        <f>AEZ49*BlendedPriceEssAnnual*AEO49+AFA49*BlendedPricePremAnnual*AEO49+AFB49*BlendedPriceEliteAnnual*AEO49</f>
        <v/>
      </c>
      <c r="AFN49" s="12">
        <f>AEZ37*POWER(1-(AnnualChurn*VLOOKUP(AEL49,ChurnSeasonTable,4,FALSE)),1)*BlendedPriceEssAnnual*AEO49+AEZ25*POWER(1-(AnnualChurn*VLOOKUP(AEL49,ChurnSeasonTable,4,FALSE)),2)*BlendedPriceEssAnnual*AEO49+AEZ13*POWER(1-(AnnualChurn*VLOOKUP(AEL49,ChurnSeasonTable,4,FALSE)),3)*BlendedPriceEssAnnual*AEO49+AFA37*POWER(1-(AnnualChurn*VLOOKUP(AEL49,ChurnSeasonTable,4,FALSE)),1)*BlendedPricePremAnnual*AEO49+AFA25*POWER(1-(AnnualChurn*VLOOKUP(AEL49,ChurnSeasonTable,4,FALSE)),2)*BlendedPricePremAnnual*AEO49+AFA13*POWER(1-(AnnualChurn*VLOOKUP(AEL49,ChurnSeasonTable,4,FALSE)),3)*BlendedPricePremAnnual*AEO49+AFB37*POWER(1-(AnnualChurn*VLOOKUP(AEL49,ChurnSeasonTable,4,FALSE)),1)*BlendedPriceEliteAnnual*AEO49+AFB25*POWER(1-(AnnualChurn*VLOOKUP(AEL49,ChurnSeasonTable,4,FALSE)),2)*BlendedPriceEliteAnnual*AEO49+AFB13*POWER(1-(AnnualChurn*VLOOKUP(AEL49,ChurnSeasonTable,4,FALSE)),3)*BlendedPriceEliteAnnual*AEO49</f>
        <v/>
      </c>
      <c r="AFO49" s="9">
        <f>AFL49+AFM49+AFN49</f>
        <v/>
      </c>
      <c r="AFP49" s="12">
        <f>SUM(AFO38:AFO49)</f>
        <v/>
      </c>
      <c r="AFQ49" s="12">
        <f>OR(AFQ48,IF(VATAgentMode,SUM($AFO38:$AFO49)-SUM($AFV38:$AFV49)&gt;=VATThreshold,SUM($AFO38:$AFO49)&gt;=VATThreshold))</f>
        <v/>
      </c>
      <c r="AFR49" s="9">
        <f>IF(AFQ49,IF(VATAgentMode,AFO49-((AFO49-AFV49)-(AFO49-AFV49)/(1+VATRate)),AFO49/(1+VATRate)),AFO49)</f>
        <v/>
      </c>
      <c r="AFS49" s="12">
        <f>AFO49-AFR49</f>
        <v/>
      </c>
      <c r="AFT49" s="12">
        <f>IF(AFQ49=0,0,IF(AEL49=1,SUMPRODUCT(--(($AEM$5:$AEM49=$AEM49-1)*($AEL$5:$AEL49&gt;=10)*($AEL$5:$AEL49&lt;=12)),$AFS$5:$AFS49),IF(AEL49=4,SUMPRODUCT(--(($AEM$5:$AEM49=$AEM49)*($AEL$5:$AEL49&gt;=1)*($AEL$5:$AEL49&lt;=3)),$AFS$5:$AFS49),IF(AEL49=7,SUMPRODUCT(--(($AEM$5:$AEM49=$AEM49)*($AEL$5:$AEL49&gt;=4)*($AEL$5:$AEL49&lt;=6)),$AFS$5:$AFS49),IF(AEL49=10,SUMPRODUCT(--(($AEM$5:$AEM49=$AEM49)*($AEL$5:$AEL49&gt;=7)*($AEL$5:$AEL49&lt;=9)),$AFS$5:$AFS49),0)))))</f>
        <v/>
      </c>
      <c r="AFU49" s="12">
        <f>AFU48+AFS49-AFT49</f>
        <v/>
      </c>
      <c r="AFV49" s="12">
        <f>IF(ProviderDelay&gt;=1,AFC48*BlendedProvPayEss+AFD48*BlendedProvPayPrem+AFE48*BlendedProvPayElite+AFF48*BlendedProvPayEss+AFG48*BlendedProvPayPrem+AFH48*BlendedProvPayElite,AFC49*BlendedProvPayEss+AFD49*BlendedProvPayPrem+AFE49*BlendedProvPayElite+AFF49*BlendedProvPayEss+AFG49*BlendedProvPayPrem+AFH49*BlendedProvPayElite)</f>
        <v/>
      </c>
      <c r="AFW49" s="12">
        <f>AFO49*PaymentFee</f>
        <v/>
      </c>
      <c r="AFX49" s="12">
        <f>AFI49*OpsAI</f>
        <v/>
      </c>
      <c r="AFY49" s="12">
        <f>MonthlyFixed</f>
        <v/>
      </c>
      <c r="AFZ49" s="12">
        <f>AES49*ReferralReward</f>
        <v/>
      </c>
      <c r="AGA49" s="12">
        <f>AEQ49</f>
        <v/>
      </c>
      <c r="AGB49" s="9">
        <f>AFR49-AFV49-AFW49-AFX49-AFY49-AFZ49-AGA49</f>
        <v/>
      </c>
      <c r="AGC49" s="9">
        <f>AGC48+AFO49-(AFV49+AFW49+AFX49+AFY49+AFZ49+AGA49+AFT49)</f>
        <v/>
      </c>
      <c r="AGD49" s="12">
        <f>IF(AFI49&gt;0,AFJ49/AFI49,0)</f>
        <v/>
      </c>
      <c r="AGE49" s="11">
        <f>IF(AFI48&gt;0,MAX(0,(AFI48+AET49-AFI49)/AFI48),0)</f>
        <v/>
      </c>
      <c r="AGG49" s="12" t="n">
        <v>45</v>
      </c>
      <c r="AGH49" s="12">
        <f>MOD(AGG49-1+LaunchMonth-1,12)+1</f>
        <v/>
      </c>
      <c r="AGI49" s="12">
        <f>INT((AGG49-1+LaunchMonth-1)/12)+1</f>
        <v/>
      </c>
      <c r="AGJ49" s="12">
        <f>VLOOKUP(AGH49,SeasonTable,2,FALSE)</f>
        <v/>
      </c>
      <c r="AGK49" s="12">
        <f>(1+InflationRate)^INT((AGG49-1)/12)</f>
        <v/>
      </c>
      <c r="AGL49" s="11">
        <f>MonthlyChurn*VLOOKUP(AGH49,ChurnSeasonTable,4,FALSE)</f>
        <v/>
      </c>
      <c r="AGM49" s="12">
        <f>MIN(MAX(MktMin19plus,AHK48*MktPct19plus),MAX(0,AHY48-CashBuffer))</f>
        <v/>
      </c>
      <c r="AGN49" s="12">
        <f>IF(AGM49&gt;0,MAX(1,ROUND(AGM49/CAC*AGJ49,0)),0)</f>
        <v/>
      </c>
      <c r="AGO49" s="12">
        <f>IF(AGN49&gt;0,ROUND(AGN49*ReferralMix/(1-ReferralMix),0),0)</f>
        <v/>
      </c>
      <c r="AGP49" s="12">
        <f>AGN49+AGO49</f>
        <v/>
      </c>
      <c r="AGQ49" s="12">
        <f>ROUND(AGP49*(1-'Sens - Annual Mix'!$A$15),0)</f>
        <v/>
      </c>
      <c r="AGR49" s="12">
        <f>AGP49-AGQ49</f>
        <v/>
      </c>
      <c r="AGS49" s="12">
        <f>ROUND(AGQ49*EssentialMix,0)</f>
        <v/>
      </c>
      <c r="AGT49" s="12">
        <f>ROUND(AGQ49*PremiumMix,0)</f>
        <v/>
      </c>
      <c r="AGU49" s="12">
        <f>AGQ49-AGS49-AGT49</f>
        <v/>
      </c>
      <c r="AGV49" s="12">
        <f>ROUND(AGR49*EssentialMix,0)</f>
        <v/>
      </c>
      <c r="AGW49" s="12">
        <f>ROUND(AGR49*PremiumMix,0)</f>
        <v/>
      </c>
      <c r="AGX49" s="12">
        <f>AGR49-AGV49-AGW49</f>
        <v/>
      </c>
      <c r="AGY49" s="12">
        <f>AGS49+AGS48+AGS47+MAX(0,AGY48-AGS48-AGS47)*(1-AGL49)</f>
        <v/>
      </c>
      <c r="AGZ49" s="12">
        <f>AGT49+AGT48+AGT47+MAX(0,AGZ48-AGT48-AGT47)*(1-AGL49)</f>
        <v/>
      </c>
      <c r="AHA49" s="12">
        <f>AGU49+AGU48+AGU47+MAX(0,AHA48-AGU48-AGU47)*(1-AGL49)</f>
        <v/>
      </c>
      <c r="AHB49" s="12">
        <f>AHB48+AGV49-AGV37*(AnnualChurn*VLOOKUP(AGH49,ChurnSeasonTable,4,FALSE))*POWER(1-(AnnualChurn*VLOOKUP(AGH49,ChurnSeasonTable,4,FALSE)),0)+AGV25*(AnnualChurn*VLOOKUP(AGH49,ChurnSeasonTable,4,FALSE))*POWER(1-(AnnualChurn*VLOOKUP(AGH49,ChurnSeasonTable,4,FALSE)),1)+AGV13*(AnnualChurn*VLOOKUP(AGH49,ChurnSeasonTable,4,FALSE))*POWER(1-(AnnualChurn*VLOOKUP(AGH49,ChurnSeasonTable,4,FALSE)),2)</f>
        <v/>
      </c>
      <c r="AHC49" s="12">
        <f>AHC48+AGW49-AGW37*(AnnualChurn*VLOOKUP(AGH49,ChurnSeasonTable,4,FALSE))*POWER(1-(AnnualChurn*VLOOKUP(AGH49,ChurnSeasonTable,4,FALSE)),0)+AGW25*(AnnualChurn*VLOOKUP(AGH49,ChurnSeasonTable,4,FALSE))*POWER(1-(AnnualChurn*VLOOKUP(AGH49,ChurnSeasonTable,4,FALSE)),1)+AGW13*(AnnualChurn*VLOOKUP(AGH49,ChurnSeasonTable,4,FALSE))*POWER(1-(AnnualChurn*VLOOKUP(AGH49,ChurnSeasonTable,4,FALSE)),2)</f>
        <v/>
      </c>
      <c r="AHD49" s="12">
        <f>AHD48+AGX49-AGX37*(AnnualChurn*VLOOKUP(AGH49,ChurnSeasonTable,4,FALSE))*POWER(1-(AnnualChurn*VLOOKUP(AGH49,ChurnSeasonTable,4,FALSE)),0)+AGX25*(AnnualChurn*VLOOKUP(AGH49,ChurnSeasonTable,4,FALSE))*POWER(1-(AnnualChurn*VLOOKUP(AGH49,ChurnSeasonTable,4,FALSE)),1)+AGX13*(AnnualChurn*VLOOKUP(AGH49,ChurnSeasonTable,4,FALSE))*POWER(1-(AnnualChurn*VLOOKUP(AGH49,ChurnSeasonTable,4,FALSE)),2)</f>
        <v/>
      </c>
      <c r="AHE49" s="12">
        <f>AGY49+AGZ49+AHA49+AHB49+AHC49+AHD49</f>
        <v/>
      </c>
      <c r="AHF49" s="9">
        <f>AGY49*BlendedPriceEssMonthly*AGK49+AGZ49*BlendedPricePremMonthly*AGK49+AHA49*BlendedPriceEliteMonthly*AGK49+AHB49*BlendedPriceEssAnnual*AGK49/12+AHC49*BlendedPricePremAnnual*AGK49/12+AHD49*BlendedPriceEliteAnnual*AGK49/12</f>
        <v/>
      </c>
      <c r="AHG49" s="9">
        <f>AHF49*12</f>
        <v/>
      </c>
      <c r="AHH49" s="12">
        <f>AGY49*BlendedPriceEssMonthly*AGK49+AGZ49*BlendedPricePremMonthly*AGK49+AHA49*BlendedPriceEliteMonthly*AGK49</f>
        <v/>
      </c>
      <c r="AHI49" s="12">
        <f>AGV49*BlendedPriceEssAnnual*AGK49+AGW49*BlendedPricePremAnnual*AGK49+AGX49*BlendedPriceEliteAnnual*AGK49</f>
        <v/>
      </c>
      <c r="AHJ49" s="12">
        <f>AGV37*POWER(1-(AnnualChurn*VLOOKUP(AGH49,ChurnSeasonTable,4,FALSE)),1)*BlendedPriceEssAnnual*AGK49+AGV25*POWER(1-(AnnualChurn*VLOOKUP(AGH49,ChurnSeasonTable,4,FALSE)),2)*BlendedPriceEssAnnual*AGK49+AGV13*POWER(1-(AnnualChurn*VLOOKUP(AGH49,ChurnSeasonTable,4,FALSE)),3)*BlendedPriceEssAnnual*AGK49+AGW37*POWER(1-(AnnualChurn*VLOOKUP(AGH49,ChurnSeasonTable,4,FALSE)),1)*BlendedPricePremAnnual*AGK49+AGW25*POWER(1-(AnnualChurn*VLOOKUP(AGH49,ChurnSeasonTable,4,FALSE)),2)*BlendedPricePremAnnual*AGK49+AGW13*POWER(1-(AnnualChurn*VLOOKUP(AGH49,ChurnSeasonTable,4,FALSE)),3)*BlendedPricePremAnnual*AGK49+AGX37*POWER(1-(AnnualChurn*VLOOKUP(AGH49,ChurnSeasonTable,4,FALSE)),1)*BlendedPriceEliteAnnual*AGK49+AGX25*POWER(1-(AnnualChurn*VLOOKUP(AGH49,ChurnSeasonTable,4,FALSE)),2)*BlendedPriceEliteAnnual*AGK49+AGX13*POWER(1-(AnnualChurn*VLOOKUP(AGH49,ChurnSeasonTable,4,FALSE)),3)*BlendedPriceEliteAnnual*AGK49</f>
        <v/>
      </c>
      <c r="AHK49" s="9">
        <f>AHH49+AHI49+AHJ49</f>
        <v/>
      </c>
      <c r="AHL49" s="12">
        <f>SUM(AHK38:AHK49)</f>
        <v/>
      </c>
      <c r="AHM49" s="12">
        <f>OR(AHM48,IF(VATAgentMode,SUM($AHK38:$AHK49)-SUM($AHR38:$AHR49)&gt;=VATThreshold,SUM($AHK38:$AHK49)&gt;=VATThreshold))</f>
        <v/>
      </c>
      <c r="AHN49" s="9">
        <f>IF(AHM49,IF(VATAgentMode,AHK49-((AHK49-AHR49)-(AHK49-AHR49)/(1+VATRate)),AHK49/(1+VATRate)),AHK49)</f>
        <v/>
      </c>
      <c r="AHO49" s="12">
        <f>AHK49-AHN49</f>
        <v/>
      </c>
      <c r="AHP49" s="12">
        <f>IF(AHM49=0,0,IF(AGH49=1,SUMPRODUCT(--(($AGI$5:$AGI49=$AGI49-1)*($AGH$5:$AGH49&gt;=10)*($AGH$5:$AGH49&lt;=12)),$AHO$5:$AHO49),IF(AGH49=4,SUMPRODUCT(--(($AGI$5:$AGI49=$AGI49)*($AGH$5:$AGH49&gt;=1)*($AGH$5:$AGH49&lt;=3)),$AHO$5:$AHO49),IF(AGH49=7,SUMPRODUCT(--(($AGI$5:$AGI49=$AGI49)*($AGH$5:$AGH49&gt;=4)*($AGH$5:$AGH49&lt;=6)),$AHO$5:$AHO49),IF(AGH49=10,SUMPRODUCT(--(($AGI$5:$AGI49=$AGI49)*($AGH$5:$AGH49&gt;=7)*($AGH$5:$AGH49&lt;=9)),$AHO$5:$AHO49),0)))))</f>
        <v/>
      </c>
      <c r="AHQ49" s="12">
        <f>AHQ48+AHO49-AHP49</f>
        <v/>
      </c>
      <c r="AHR49" s="12">
        <f>IF(ProviderDelay&gt;=1,AGY48*BlendedProvPayEss+AGZ48*BlendedProvPayPrem+AHA48*BlendedProvPayElite+AHB48*BlendedProvPayEss+AHC48*BlendedProvPayPrem+AHD48*BlendedProvPayElite,AGY49*BlendedProvPayEss+AGZ49*BlendedProvPayPrem+AHA49*BlendedProvPayElite+AHB49*BlendedProvPayEss+AHC49*BlendedProvPayPrem+AHD49*BlendedProvPayElite)</f>
        <v/>
      </c>
      <c r="AHS49" s="12">
        <f>AHK49*PaymentFee</f>
        <v/>
      </c>
      <c r="AHT49" s="12">
        <f>AHE49*OpsAI</f>
        <v/>
      </c>
      <c r="AHU49" s="12">
        <f>MonthlyFixed</f>
        <v/>
      </c>
      <c r="AHV49" s="12">
        <f>AGO49*ReferralReward</f>
        <v/>
      </c>
      <c r="AHW49" s="12">
        <f>AGM49</f>
        <v/>
      </c>
      <c r="AHX49" s="9">
        <f>AHN49-AHR49-AHS49-AHT49-AHU49-AHV49-AHW49</f>
        <v/>
      </c>
      <c r="AHY49" s="9">
        <f>AHY48+AHK49-(AHR49+AHS49+AHT49+AHU49+AHV49+AHW49+AHP49)</f>
        <v/>
      </c>
      <c r="AHZ49" s="12">
        <f>IF(AHE49&gt;0,AHF49/AHE49,0)</f>
        <v/>
      </c>
      <c r="AIA49" s="11">
        <f>IF(AHE48&gt;0,MAX(0,(AHE48+AGP49-AHE49)/AHE48),0)</f>
        <v/>
      </c>
      <c r="AIC49" s="12" t="n">
        <v>45</v>
      </c>
      <c r="AID49" s="12">
        <f>MOD(AIC49-1+LaunchMonth-1,12)+1</f>
        <v/>
      </c>
      <c r="AIE49" s="12">
        <f>INT((AIC49-1+LaunchMonth-1)/12)+1</f>
        <v/>
      </c>
      <c r="AIF49" s="12">
        <f>VLOOKUP(AID49,SeasonTable,2,FALSE)</f>
        <v/>
      </c>
      <c r="AIG49" s="12">
        <f>(1+InflationRate)^INT((AIC49-1)/12)</f>
        <v/>
      </c>
      <c r="AIH49" s="11">
        <f>MonthlyChurn*VLOOKUP(AID49,ChurnSeasonTable,4,FALSE)</f>
        <v/>
      </c>
      <c r="AII49" s="12">
        <f>MIN(MAX(MktMin19plus,AJG48*MktPct19plus),MAX(0,AJU48-CashBuffer))</f>
        <v/>
      </c>
      <c r="AIJ49" s="12">
        <f>IF(AII49&gt;0,MAX(1,ROUND(AII49/'Sens - CAC &amp; Marketing'!$A$9*AIF49,0)),0)</f>
        <v/>
      </c>
      <c r="AIK49" s="12">
        <f>IF(AIJ49&gt;0,ROUND(AIJ49*ReferralMix/(1-ReferralMix),0),0)</f>
        <v/>
      </c>
      <c r="AIL49" s="12">
        <f>AIJ49+AIK49</f>
        <v/>
      </c>
      <c r="AIM49" s="12">
        <f>ROUND(AIL49*(1-AnnualMix),0)</f>
        <v/>
      </c>
      <c r="AIN49" s="12">
        <f>AIL49-AIM49</f>
        <v/>
      </c>
      <c r="AIO49" s="12">
        <f>ROUND(AIM49*EssentialMix,0)</f>
        <v/>
      </c>
      <c r="AIP49" s="12">
        <f>ROUND(AIM49*PremiumMix,0)</f>
        <v/>
      </c>
      <c r="AIQ49" s="12">
        <f>AIM49-AIO49-AIP49</f>
        <v/>
      </c>
      <c r="AIR49" s="12">
        <f>ROUND(AIN49*EssentialMix,0)</f>
        <v/>
      </c>
      <c r="AIS49" s="12">
        <f>ROUND(AIN49*PremiumMix,0)</f>
        <v/>
      </c>
      <c r="AIT49" s="12">
        <f>AIN49-AIR49-AIS49</f>
        <v/>
      </c>
      <c r="AIU49" s="12">
        <f>AIO49+AIO48+AIO47+MAX(0,AIU48-AIO48-AIO47)*(1-AIH49)</f>
        <v/>
      </c>
      <c r="AIV49" s="12">
        <f>AIP49+AIP48+AIP47+MAX(0,AIV48-AIP48-AIP47)*(1-AIH49)</f>
        <v/>
      </c>
      <c r="AIW49" s="12">
        <f>AIQ49+AIQ48+AIQ47+MAX(0,AIW48-AIQ48-AIQ47)*(1-AIH49)</f>
        <v/>
      </c>
      <c r="AIX49" s="12">
        <f>AIX48+AIR49-AIR37*(AnnualChurn*VLOOKUP(AID49,ChurnSeasonTable,4,FALSE))*POWER(1-(AnnualChurn*VLOOKUP(AID49,ChurnSeasonTable,4,FALSE)),0)+AIR25*(AnnualChurn*VLOOKUP(AID49,ChurnSeasonTable,4,FALSE))*POWER(1-(AnnualChurn*VLOOKUP(AID49,ChurnSeasonTable,4,FALSE)),1)+AIR13*(AnnualChurn*VLOOKUP(AID49,ChurnSeasonTable,4,FALSE))*POWER(1-(AnnualChurn*VLOOKUP(AID49,ChurnSeasonTable,4,FALSE)),2)</f>
        <v/>
      </c>
      <c r="AIY49" s="12">
        <f>AIY48+AIS49-AIS37*(AnnualChurn*VLOOKUP(AID49,ChurnSeasonTable,4,FALSE))*POWER(1-(AnnualChurn*VLOOKUP(AID49,ChurnSeasonTable,4,FALSE)),0)+AIS25*(AnnualChurn*VLOOKUP(AID49,ChurnSeasonTable,4,FALSE))*POWER(1-(AnnualChurn*VLOOKUP(AID49,ChurnSeasonTable,4,FALSE)),1)+AIS13*(AnnualChurn*VLOOKUP(AID49,ChurnSeasonTable,4,FALSE))*POWER(1-(AnnualChurn*VLOOKUP(AID49,ChurnSeasonTable,4,FALSE)),2)</f>
        <v/>
      </c>
      <c r="AIZ49" s="12">
        <f>AIZ48+AIT49-AIT37*(AnnualChurn*VLOOKUP(AID49,ChurnSeasonTable,4,FALSE))*POWER(1-(AnnualChurn*VLOOKUP(AID49,ChurnSeasonTable,4,FALSE)),0)+AIT25*(AnnualChurn*VLOOKUP(AID49,ChurnSeasonTable,4,FALSE))*POWER(1-(AnnualChurn*VLOOKUP(AID49,ChurnSeasonTable,4,FALSE)),1)+AIT13*(AnnualChurn*VLOOKUP(AID49,ChurnSeasonTable,4,FALSE))*POWER(1-(AnnualChurn*VLOOKUP(AID49,ChurnSeasonTable,4,FALSE)),2)</f>
        <v/>
      </c>
      <c r="AJA49" s="12">
        <f>AIU49+AIV49+AIW49+AIX49+AIY49+AIZ49</f>
        <v/>
      </c>
      <c r="AJB49" s="9">
        <f>AIU49*BlendedPriceEssMonthly*AIG49+AIV49*BlendedPricePremMonthly*AIG49+AIW49*BlendedPriceEliteMonthly*AIG49+AIX49*BlendedPriceEssAnnual*AIG49/12+AIY49*BlendedPricePremAnnual*AIG49/12+AIZ49*BlendedPriceEliteAnnual*AIG49/12</f>
        <v/>
      </c>
      <c r="AJC49" s="9">
        <f>AJB49*12</f>
        <v/>
      </c>
      <c r="AJD49" s="12">
        <f>AIU49*BlendedPriceEssMonthly*AIG49+AIV49*BlendedPricePremMonthly*AIG49+AIW49*BlendedPriceEliteMonthly*AIG49</f>
        <v/>
      </c>
      <c r="AJE49" s="12">
        <f>AIR49*BlendedPriceEssAnnual*AIG49+AIS49*BlendedPricePremAnnual*AIG49+AIT49*BlendedPriceEliteAnnual*AIG49</f>
        <v/>
      </c>
      <c r="AJF49" s="12">
        <f>AIR37*POWER(1-(AnnualChurn*VLOOKUP(AID49,ChurnSeasonTable,4,FALSE)),1)*BlendedPriceEssAnnual*AIG49+AIR25*POWER(1-(AnnualChurn*VLOOKUP(AID49,ChurnSeasonTable,4,FALSE)),2)*BlendedPriceEssAnnual*AIG49+AIR13*POWER(1-(AnnualChurn*VLOOKUP(AID49,ChurnSeasonTable,4,FALSE)),3)*BlendedPriceEssAnnual*AIG49+AIS37*POWER(1-(AnnualChurn*VLOOKUP(AID49,ChurnSeasonTable,4,FALSE)),1)*BlendedPricePremAnnual*AIG49+AIS25*POWER(1-(AnnualChurn*VLOOKUP(AID49,ChurnSeasonTable,4,FALSE)),2)*BlendedPricePremAnnual*AIG49+AIS13*POWER(1-(AnnualChurn*VLOOKUP(AID49,ChurnSeasonTable,4,FALSE)),3)*BlendedPricePremAnnual*AIG49+AIT37*POWER(1-(AnnualChurn*VLOOKUP(AID49,ChurnSeasonTable,4,FALSE)),1)*BlendedPriceEliteAnnual*AIG49+AIT25*POWER(1-(AnnualChurn*VLOOKUP(AID49,ChurnSeasonTable,4,FALSE)),2)*BlendedPriceEliteAnnual*AIG49+AIT13*POWER(1-(AnnualChurn*VLOOKUP(AID49,ChurnSeasonTable,4,FALSE)),3)*BlendedPriceEliteAnnual*AIG49</f>
        <v/>
      </c>
      <c r="AJG49" s="9">
        <f>AJD49+AJE49+AJF49</f>
        <v/>
      </c>
      <c r="AJH49" s="12">
        <f>SUM(AJG38:AJG49)</f>
        <v/>
      </c>
      <c r="AJI49" s="12">
        <f>OR(AJI48,IF(VATAgentMode,SUM($AJG38:$AJG49)-SUM($AJN38:$AJN49)&gt;=VATThreshold,SUM($AJG38:$AJG49)&gt;=VATThreshold))</f>
        <v/>
      </c>
      <c r="AJJ49" s="9">
        <f>IF(AJI49,IF(VATAgentMode,AJG49-((AJG49-AJN49)-(AJG49-AJN49)/(1+VATRate)),AJG49/(1+VATRate)),AJG49)</f>
        <v/>
      </c>
      <c r="AJK49" s="12">
        <f>AJG49-AJJ49</f>
        <v/>
      </c>
      <c r="AJL49" s="12">
        <f>IF(AJI49=0,0,IF(AID49=1,SUMPRODUCT(--(($AIE$5:$AIE49=$AIE49-1)*($AID$5:$AID49&gt;=10)*($AID$5:$AID49&lt;=12)),$AJK$5:$AJK49),IF(AID49=4,SUMPRODUCT(--(($AIE$5:$AIE49=$AIE49)*($AID$5:$AID49&gt;=1)*($AID$5:$AID49&lt;=3)),$AJK$5:$AJK49),IF(AID49=7,SUMPRODUCT(--(($AIE$5:$AIE49=$AIE49)*($AID$5:$AID49&gt;=4)*($AID$5:$AID49&lt;=6)),$AJK$5:$AJK49),IF(AID49=10,SUMPRODUCT(--(($AIE$5:$AIE49=$AIE49)*($AID$5:$AID49&gt;=7)*($AID$5:$AID49&lt;=9)),$AJK$5:$AJK49),0)))))</f>
        <v/>
      </c>
      <c r="AJM49" s="12">
        <f>AJM48+AJK49-AJL49</f>
        <v/>
      </c>
      <c r="AJN49" s="12">
        <f>IF(ProviderDelay&gt;=1,AIU48*BlendedProvPayEss+AIV48*BlendedProvPayPrem+AIW48*BlendedProvPayElite+AIX48*BlendedProvPayEss+AIY48*BlendedProvPayPrem+AIZ48*BlendedProvPayElite,AIU49*BlendedProvPayEss+AIV49*BlendedProvPayPrem+AIW49*BlendedProvPayElite+AIX49*BlendedProvPayEss+AIY49*BlendedProvPayPrem+AIZ49*BlendedProvPayElite)</f>
        <v/>
      </c>
      <c r="AJO49" s="12">
        <f>AJG49*PaymentFee</f>
        <v/>
      </c>
      <c r="AJP49" s="12">
        <f>AJA49*OpsAI</f>
        <v/>
      </c>
      <c r="AJQ49" s="12">
        <f>MonthlyFixed</f>
        <v/>
      </c>
      <c r="AJR49" s="12">
        <f>AIK49*ReferralReward</f>
        <v/>
      </c>
      <c r="AJS49" s="12">
        <f>AII49</f>
        <v/>
      </c>
      <c r="AJT49" s="9">
        <f>AJJ49-AJN49-AJO49-AJP49-AJQ49-AJR49-AJS49</f>
        <v/>
      </c>
      <c r="AJU49" s="9">
        <f>AJU48+AJG49-(AJN49+AJO49+AJP49+AJQ49+AJR49+AJS49+AJL49)</f>
        <v/>
      </c>
      <c r="AJV49" s="12">
        <f>IF(AJA49&gt;0,AJB49/AJA49,0)</f>
        <v/>
      </c>
      <c r="AJW49" s="11">
        <f>IF(AJA48&gt;0,MAX(0,(AJA48+AIL49-AJA49)/AJA48),0)</f>
        <v/>
      </c>
      <c r="AJY49" s="12" t="n">
        <v>45</v>
      </c>
      <c r="AJZ49" s="12">
        <f>MOD(AJY49-1+LaunchMonth-1,12)+1</f>
        <v/>
      </c>
      <c r="AKA49" s="12">
        <f>INT((AJY49-1+LaunchMonth-1)/12)+1</f>
        <v/>
      </c>
      <c r="AKB49" s="12">
        <f>VLOOKUP(AJZ49,SeasonTable,2,FALSE)</f>
        <v/>
      </c>
      <c r="AKC49" s="12">
        <f>(1+InflationRate)^INT((AJY49-1)/12)</f>
        <v/>
      </c>
      <c r="AKD49" s="11">
        <f>MonthlyChurn*VLOOKUP(AJZ49,ChurnSeasonTable,4,FALSE)</f>
        <v/>
      </c>
      <c r="AKE49" s="12">
        <f>MIN(MAX(MktMin19plus,ALC48*MktPct19plus),MAX(0,ALQ48-CashBuffer))</f>
        <v/>
      </c>
      <c r="AKF49" s="12">
        <f>IF(AKE49&gt;0,MAX(1,ROUND(AKE49/'Sens - CAC &amp; Marketing'!$A$10*AKB49,0)),0)</f>
        <v/>
      </c>
      <c r="AKG49" s="12">
        <f>IF(AKF49&gt;0,ROUND(AKF49*ReferralMix/(1-ReferralMix),0),0)</f>
        <v/>
      </c>
      <c r="AKH49" s="12">
        <f>AKF49+AKG49</f>
        <v/>
      </c>
      <c r="AKI49" s="12">
        <f>ROUND(AKH49*(1-AnnualMix),0)</f>
        <v/>
      </c>
      <c r="AKJ49" s="12">
        <f>AKH49-AKI49</f>
        <v/>
      </c>
      <c r="AKK49" s="12">
        <f>ROUND(AKI49*EssentialMix,0)</f>
        <v/>
      </c>
      <c r="AKL49" s="12">
        <f>ROUND(AKI49*PremiumMix,0)</f>
        <v/>
      </c>
      <c r="AKM49" s="12">
        <f>AKI49-AKK49-AKL49</f>
        <v/>
      </c>
      <c r="AKN49" s="12">
        <f>ROUND(AKJ49*EssentialMix,0)</f>
        <v/>
      </c>
      <c r="AKO49" s="12">
        <f>ROUND(AKJ49*PremiumMix,0)</f>
        <v/>
      </c>
      <c r="AKP49" s="12">
        <f>AKJ49-AKN49-AKO49</f>
        <v/>
      </c>
      <c r="AKQ49" s="12">
        <f>AKK49+AKK48+AKK47+MAX(0,AKQ48-AKK48-AKK47)*(1-AKD49)</f>
        <v/>
      </c>
      <c r="AKR49" s="12">
        <f>AKL49+AKL48+AKL47+MAX(0,AKR48-AKL48-AKL47)*(1-AKD49)</f>
        <v/>
      </c>
      <c r="AKS49" s="12">
        <f>AKM49+AKM48+AKM47+MAX(0,AKS48-AKM48-AKM47)*(1-AKD49)</f>
        <v/>
      </c>
      <c r="AKT49" s="12">
        <f>AKT48+AKN49-AKN37*(AnnualChurn*VLOOKUP(AJZ49,ChurnSeasonTable,4,FALSE))*POWER(1-(AnnualChurn*VLOOKUP(AJZ49,ChurnSeasonTable,4,FALSE)),0)+AKN25*(AnnualChurn*VLOOKUP(AJZ49,ChurnSeasonTable,4,FALSE))*POWER(1-(AnnualChurn*VLOOKUP(AJZ49,ChurnSeasonTable,4,FALSE)),1)+AKN13*(AnnualChurn*VLOOKUP(AJZ49,ChurnSeasonTable,4,FALSE))*POWER(1-(AnnualChurn*VLOOKUP(AJZ49,ChurnSeasonTable,4,FALSE)),2)</f>
        <v/>
      </c>
      <c r="AKU49" s="12">
        <f>AKU48+AKO49-AKO37*(AnnualChurn*VLOOKUP(AJZ49,ChurnSeasonTable,4,FALSE))*POWER(1-(AnnualChurn*VLOOKUP(AJZ49,ChurnSeasonTable,4,FALSE)),0)+AKO25*(AnnualChurn*VLOOKUP(AJZ49,ChurnSeasonTable,4,FALSE))*POWER(1-(AnnualChurn*VLOOKUP(AJZ49,ChurnSeasonTable,4,FALSE)),1)+AKO13*(AnnualChurn*VLOOKUP(AJZ49,ChurnSeasonTable,4,FALSE))*POWER(1-(AnnualChurn*VLOOKUP(AJZ49,ChurnSeasonTable,4,FALSE)),2)</f>
        <v/>
      </c>
      <c r="AKV49" s="12">
        <f>AKV48+AKP49-AKP37*(AnnualChurn*VLOOKUP(AJZ49,ChurnSeasonTable,4,FALSE))*POWER(1-(AnnualChurn*VLOOKUP(AJZ49,ChurnSeasonTable,4,FALSE)),0)+AKP25*(AnnualChurn*VLOOKUP(AJZ49,ChurnSeasonTable,4,FALSE))*POWER(1-(AnnualChurn*VLOOKUP(AJZ49,ChurnSeasonTable,4,FALSE)),1)+AKP13*(AnnualChurn*VLOOKUP(AJZ49,ChurnSeasonTable,4,FALSE))*POWER(1-(AnnualChurn*VLOOKUP(AJZ49,ChurnSeasonTable,4,FALSE)),2)</f>
        <v/>
      </c>
      <c r="AKW49" s="12">
        <f>AKQ49+AKR49+AKS49+AKT49+AKU49+AKV49</f>
        <v/>
      </c>
      <c r="AKX49" s="9">
        <f>AKQ49*BlendedPriceEssMonthly*AKC49+AKR49*BlendedPricePremMonthly*AKC49+AKS49*BlendedPriceEliteMonthly*AKC49+AKT49*BlendedPriceEssAnnual*AKC49/12+AKU49*BlendedPricePremAnnual*AKC49/12+AKV49*BlendedPriceEliteAnnual*AKC49/12</f>
        <v/>
      </c>
      <c r="AKY49" s="9">
        <f>AKX49*12</f>
        <v/>
      </c>
      <c r="AKZ49" s="12">
        <f>AKQ49*BlendedPriceEssMonthly*AKC49+AKR49*BlendedPricePremMonthly*AKC49+AKS49*BlendedPriceEliteMonthly*AKC49</f>
        <v/>
      </c>
      <c r="ALA49" s="12">
        <f>AKN49*BlendedPriceEssAnnual*AKC49+AKO49*BlendedPricePremAnnual*AKC49+AKP49*BlendedPriceEliteAnnual*AKC49</f>
        <v/>
      </c>
      <c r="ALB49" s="12">
        <f>AKN37*POWER(1-(AnnualChurn*VLOOKUP(AJZ49,ChurnSeasonTable,4,FALSE)),1)*BlendedPriceEssAnnual*AKC49+AKN25*POWER(1-(AnnualChurn*VLOOKUP(AJZ49,ChurnSeasonTable,4,FALSE)),2)*BlendedPriceEssAnnual*AKC49+AKN13*POWER(1-(AnnualChurn*VLOOKUP(AJZ49,ChurnSeasonTable,4,FALSE)),3)*BlendedPriceEssAnnual*AKC49+AKO37*POWER(1-(AnnualChurn*VLOOKUP(AJZ49,ChurnSeasonTable,4,FALSE)),1)*BlendedPricePremAnnual*AKC49+AKO25*POWER(1-(AnnualChurn*VLOOKUP(AJZ49,ChurnSeasonTable,4,FALSE)),2)*BlendedPricePremAnnual*AKC49+AKO13*POWER(1-(AnnualChurn*VLOOKUP(AJZ49,ChurnSeasonTable,4,FALSE)),3)*BlendedPricePremAnnual*AKC49+AKP37*POWER(1-(AnnualChurn*VLOOKUP(AJZ49,ChurnSeasonTable,4,FALSE)),1)*BlendedPriceEliteAnnual*AKC49+AKP25*POWER(1-(AnnualChurn*VLOOKUP(AJZ49,ChurnSeasonTable,4,FALSE)),2)*BlendedPriceEliteAnnual*AKC49+AKP13*POWER(1-(AnnualChurn*VLOOKUP(AJZ49,ChurnSeasonTable,4,FALSE)),3)*BlendedPriceEliteAnnual*AKC49</f>
        <v/>
      </c>
      <c r="ALC49" s="9">
        <f>AKZ49+ALA49+ALB49</f>
        <v/>
      </c>
      <c r="ALD49" s="12">
        <f>SUM(ALC38:ALC49)</f>
        <v/>
      </c>
      <c r="ALE49" s="12">
        <f>OR(ALE48,IF(VATAgentMode,SUM($ALC38:$ALC49)-SUM($ALJ38:$ALJ49)&gt;=VATThreshold,SUM($ALC38:$ALC49)&gt;=VATThreshold))</f>
        <v/>
      </c>
      <c r="ALF49" s="9">
        <f>IF(ALE49,IF(VATAgentMode,ALC49-((ALC49-ALJ49)-(ALC49-ALJ49)/(1+VATRate)),ALC49/(1+VATRate)),ALC49)</f>
        <v/>
      </c>
      <c r="ALG49" s="12">
        <f>ALC49-ALF49</f>
        <v/>
      </c>
      <c r="ALH49" s="12">
        <f>IF(ALE49=0,0,IF(AJZ49=1,SUMPRODUCT(--(($AKA$5:$AKA49=$AKA49-1)*($AJZ$5:$AJZ49&gt;=10)*($AJZ$5:$AJZ49&lt;=12)),$ALG$5:$ALG49),IF(AJZ49=4,SUMPRODUCT(--(($AKA$5:$AKA49=$AKA49)*($AJZ$5:$AJZ49&gt;=1)*($AJZ$5:$AJZ49&lt;=3)),$ALG$5:$ALG49),IF(AJZ49=7,SUMPRODUCT(--(($AKA$5:$AKA49=$AKA49)*($AJZ$5:$AJZ49&gt;=4)*($AJZ$5:$AJZ49&lt;=6)),$ALG$5:$ALG49),IF(AJZ49=10,SUMPRODUCT(--(($AKA$5:$AKA49=$AKA49)*($AJZ$5:$AJZ49&gt;=7)*($AJZ$5:$AJZ49&lt;=9)),$ALG$5:$ALG49),0)))))</f>
        <v/>
      </c>
      <c r="ALI49" s="12">
        <f>ALI48+ALG49-ALH49</f>
        <v/>
      </c>
      <c r="ALJ49" s="12">
        <f>IF(ProviderDelay&gt;=1,AKQ48*BlendedProvPayEss+AKR48*BlendedProvPayPrem+AKS48*BlendedProvPayElite+AKT48*BlendedProvPayEss+AKU48*BlendedProvPayPrem+AKV48*BlendedProvPayElite,AKQ49*BlendedProvPayEss+AKR49*BlendedProvPayPrem+AKS49*BlendedProvPayElite+AKT49*BlendedProvPayEss+AKU49*BlendedProvPayPrem+AKV49*BlendedProvPayElite)</f>
        <v/>
      </c>
      <c r="ALK49" s="12">
        <f>ALC49*PaymentFee</f>
        <v/>
      </c>
      <c r="ALL49" s="12">
        <f>AKW49*OpsAI</f>
        <v/>
      </c>
      <c r="ALM49" s="12">
        <f>MonthlyFixed</f>
        <v/>
      </c>
      <c r="ALN49" s="12">
        <f>AKG49*ReferralReward</f>
        <v/>
      </c>
      <c r="ALO49" s="12">
        <f>AKE49</f>
        <v/>
      </c>
      <c r="ALP49" s="9">
        <f>ALF49-ALJ49-ALK49-ALL49-ALM49-ALN49-ALO49</f>
        <v/>
      </c>
      <c r="ALQ49" s="9">
        <f>ALQ48+ALC49-(ALJ49+ALK49+ALL49+ALM49+ALN49+ALO49+ALH49)</f>
        <v/>
      </c>
      <c r="ALR49" s="12">
        <f>IF(AKW49&gt;0,AKX49/AKW49,0)</f>
        <v/>
      </c>
      <c r="ALS49" s="11">
        <f>IF(AKW48&gt;0,MAX(0,(AKW48+AKH49-AKW49)/AKW48),0)</f>
        <v/>
      </c>
      <c r="ALU49" s="12" t="n">
        <v>45</v>
      </c>
      <c r="ALV49" s="12">
        <f>MOD(ALU49-1+LaunchMonth-1,12)+1</f>
        <v/>
      </c>
      <c r="ALW49" s="12">
        <f>INT((ALU49-1+LaunchMonth-1)/12)+1</f>
        <v/>
      </c>
      <c r="ALX49" s="12">
        <f>VLOOKUP(ALV49,SeasonTable,2,FALSE)</f>
        <v/>
      </c>
      <c r="ALY49" s="12">
        <f>(1+InflationRate)^INT((ALU49-1)/12)</f>
        <v/>
      </c>
      <c r="ALZ49" s="11">
        <f>MonthlyChurn*VLOOKUP(ALV49,ChurnSeasonTable,4,FALSE)</f>
        <v/>
      </c>
      <c r="AMA49" s="12">
        <f>MIN(MAX(MktMin19plus,AMY48*MktPct19plus),MAX(0,ANM48-CashBuffer))</f>
        <v/>
      </c>
      <c r="AMB49" s="12">
        <f>IF(AMA49&gt;0,MAX(1,ROUND(AMA49/'Sens - CAC &amp; Marketing'!$A$11*ALX49,0)),0)</f>
        <v/>
      </c>
      <c r="AMC49" s="12">
        <f>IF(AMB49&gt;0,ROUND(AMB49*ReferralMix/(1-ReferralMix),0),0)</f>
        <v/>
      </c>
      <c r="AMD49" s="12">
        <f>AMB49+AMC49</f>
        <v/>
      </c>
      <c r="AME49" s="12">
        <f>ROUND(AMD49*(1-AnnualMix),0)</f>
        <v/>
      </c>
      <c r="AMF49" s="12">
        <f>AMD49-AME49</f>
        <v/>
      </c>
      <c r="AMG49" s="12">
        <f>ROUND(AME49*EssentialMix,0)</f>
        <v/>
      </c>
      <c r="AMH49" s="12">
        <f>ROUND(AME49*PremiumMix,0)</f>
        <v/>
      </c>
      <c r="AMI49" s="12">
        <f>AME49-AMG49-AMH49</f>
        <v/>
      </c>
      <c r="AMJ49" s="12">
        <f>ROUND(AMF49*EssentialMix,0)</f>
        <v/>
      </c>
      <c r="AMK49" s="12">
        <f>ROUND(AMF49*PremiumMix,0)</f>
        <v/>
      </c>
      <c r="AML49" s="12">
        <f>AMF49-AMJ49-AMK49</f>
        <v/>
      </c>
      <c r="AMM49" s="12">
        <f>AMG49+AMG48+AMG47+MAX(0,AMM48-AMG48-AMG47)*(1-ALZ49)</f>
        <v/>
      </c>
      <c r="AMN49" s="12">
        <f>AMH49+AMH48+AMH47+MAX(0,AMN48-AMH48-AMH47)*(1-ALZ49)</f>
        <v/>
      </c>
      <c r="AMO49" s="12">
        <f>AMI49+AMI48+AMI47+MAX(0,AMO48-AMI48-AMI47)*(1-ALZ49)</f>
        <v/>
      </c>
      <c r="AMP49" s="12">
        <f>AMP48+AMJ49-AMJ37*(AnnualChurn*VLOOKUP(ALV49,ChurnSeasonTable,4,FALSE))*POWER(1-(AnnualChurn*VLOOKUP(ALV49,ChurnSeasonTable,4,FALSE)),0)+AMJ25*(AnnualChurn*VLOOKUP(ALV49,ChurnSeasonTable,4,FALSE))*POWER(1-(AnnualChurn*VLOOKUP(ALV49,ChurnSeasonTable,4,FALSE)),1)+AMJ13*(AnnualChurn*VLOOKUP(ALV49,ChurnSeasonTable,4,FALSE))*POWER(1-(AnnualChurn*VLOOKUP(ALV49,ChurnSeasonTable,4,FALSE)),2)</f>
        <v/>
      </c>
      <c r="AMQ49" s="12">
        <f>AMQ48+AMK49-AMK37*(AnnualChurn*VLOOKUP(ALV49,ChurnSeasonTable,4,FALSE))*POWER(1-(AnnualChurn*VLOOKUP(ALV49,ChurnSeasonTable,4,FALSE)),0)+AMK25*(AnnualChurn*VLOOKUP(ALV49,ChurnSeasonTable,4,FALSE))*POWER(1-(AnnualChurn*VLOOKUP(ALV49,ChurnSeasonTable,4,FALSE)),1)+AMK13*(AnnualChurn*VLOOKUP(ALV49,ChurnSeasonTable,4,FALSE))*POWER(1-(AnnualChurn*VLOOKUP(ALV49,ChurnSeasonTable,4,FALSE)),2)</f>
        <v/>
      </c>
      <c r="AMR49" s="12">
        <f>AMR48+AML49-AML37*(AnnualChurn*VLOOKUP(ALV49,ChurnSeasonTable,4,FALSE))*POWER(1-(AnnualChurn*VLOOKUP(ALV49,ChurnSeasonTable,4,FALSE)),0)+AML25*(AnnualChurn*VLOOKUP(ALV49,ChurnSeasonTable,4,FALSE))*POWER(1-(AnnualChurn*VLOOKUP(ALV49,ChurnSeasonTable,4,FALSE)),1)+AML13*(AnnualChurn*VLOOKUP(ALV49,ChurnSeasonTable,4,FALSE))*POWER(1-(AnnualChurn*VLOOKUP(ALV49,ChurnSeasonTable,4,FALSE)),2)</f>
        <v/>
      </c>
      <c r="AMS49" s="12">
        <f>AMM49+AMN49+AMO49+AMP49+AMQ49+AMR49</f>
        <v/>
      </c>
      <c r="AMT49" s="9">
        <f>AMM49*BlendedPriceEssMonthly*ALY49+AMN49*BlendedPricePremMonthly*ALY49+AMO49*BlendedPriceEliteMonthly*ALY49+AMP49*BlendedPriceEssAnnual*ALY49/12+AMQ49*BlendedPricePremAnnual*ALY49/12+AMR49*BlendedPriceEliteAnnual*ALY49/12</f>
        <v/>
      </c>
      <c r="AMU49" s="9">
        <f>AMT49*12</f>
        <v/>
      </c>
      <c r="AMV49" s="12">
        <f>AMM49*BlendedPriceEssMonthly*ALY49+AMN49*BlendedPricePremMonthly*ALY49+AMO49*BlendedPriceEliteMonthly*ALY49</f>
        <v/>
      </c>
      <c r="AMW49" s="12">
        <f>AMJ49*BlendedPriceEssAnnual*ALY49+AMK49*BlendedPricePremAnnual*ALY49+AML49*BlendedPriceEliteAnnual*ALY49</f>
        <v/>
      </c>
      <c r="AMX49" s="12">
        <f>AMJ37*POWER(1-(AnnualChurn*VLOOKUP(ALV49,ChurnSeasonTable,4,FALSE)),1)*BlendedPriceEssAnnual*ALY49+AMJ25*POWER(1-(AnnualChurn*VLOOKUP(ALV49,ChurnSeasonTable,4,FALSE)),2)*BlendedPriceEssAnnual*ALY49+AMJ13*POWER(1-(AnnualChurn*VLOOKUP(ALV49,ChurnSeasonTable,4,FALSE)),3)*BlendedPriceEssAnnual*ALY49+AMK37*POWER(1-(AnnualChurn*VLOOKUP(ALV49,ChurnSeasonTable,4,FALSE)),1)*BlendedPricePremAnnual*ALY49+AMK25*POWER(1-(AnnualChurn*VLOOKUP(ALV49,ChurnSeasonTable,4,FALSE)),2)*BlendedPricePremAnnual*ALY49+AMK13*POWER(1-(AnnualChurn*VLOOKUP(ALV49,ChurnSeasonTable,4,FALSE)),3)*BlendedPricePremAnnual*ALY49+AML37*POWER(1-(AnnualChurn*VLOOKUP(ALV49,ChurnSeasonTable,4,FALSE)),1)*BlendedPriceEliteAnnual*ALY49+AML25*POWER(1-(AnnualChurn*VLOOKUP(ALV49,ChurnSeasonTable,4,FALSE)),2)*BlendedPriceEliteAnnual*ALY49+AML13*POWER(1-(AnnualChurn*VLOOKUP(ALV49,ChurnSeasonTable,4,FALSE)),3)*BlendedPriceEliteAnnual*ALY49</f>
        <v/>
      </c>
      <c r="AMY49" s="9">
        <f>AMV49+AMW49+AMX49</f>
        <v/>
      </c>
      <c r="AMZ49" s="12">
        <f>SUM(AMY38:AMY49)</f>
        <v/>
      </c>
      <c r="ANA49" s="12">
        <f>OR(ANA48,IF(VATAgentMode,SUM($AMY38:$AMY49)-SUM($ANF38:$ANF49)&gt;=VATThreshold,SUM($AMY38:$AMY49)&gt;=VATThreshold))</f>
        <v/>
      </c>
      <c r="ANB49" s="9">
        <f>IF(ANA49,IF(VATAgentMode,AMY49-((AMY49-ANF49)-(AMY49-ANF49)/(1+VATRate)),AMY49/(1+VATRate)),AMY49)</f>
        <v/>
      </c>
      <c r="ANC49" s="12">
        <f>AMY49-ANB49</f>
        <v/>
      </c>
      <c r="AND49" s="12">
        <f>IF(ANA49=0,0,IF(ALV49=1,SUMPRODUCT(--(($ALW$5:$ALW49=$ALW49-1)*($ALV$5:$ALV49&gt;=10)*($ALV$5:$ALV49&lt;=12)),$ANC$5:$ANC49),IF(ALV49=4,SUMPRODUCT(--(($ALW$5:$ALW49=$ALW49)*($ALV$5:$ALV49&gt;=1)*($ALV$5:$ALV49&lt;=3)),$ANC$5:$ANC49),IF(ALV49=7,SUMPRODUCT(--(($ALW$5:$ALW49=$ALW49)*($ALV$5:$ALV49&gt;=4)*($ALV$5:$ALV49&lt;=6)),$ANC$5:$ANC49),IF(ALV49=10,SUMPRODUCT(--(($ALW$5:$ALW49=$ALW49)*($ALV$5:$ALV49&gt;=7)*($ALV$5:$ALV49&lt;=9)),$ANC$5:$ANC49),0)))))</f>
        <v/>
      </c>
      <c r="ANE49" s="12">
        <f>ANE48+ANC49-AND49</f>
        <v/>
      </c>
      <c r="ANF49" s="12">
        <f>IF(ProviderDelay&gt;=1,AMM48*BlendedProvPayEss+AMN48*BlendedProvPayPrem+AMO48*BlendedProvPayElite+AMP48*BlendedProvPayEss+AMQ48*BlendedProvPayPrem+AMR48*BlendedProvPayElite,AMM49*BlendedProvPayEss+AMN49*BlendedProvPayPrem+AMO49*BlendedProvPayElite+AMP49*BlendedProvPayEss+AMQ49*BlendedProvPayPrem+AMR49*BlendedProvPayElite)</f>
        <v/>
      </c>
      <c r="ANG49" s="12">
        <f>AMY49*PaymentFee</f>
        <v/>
      </c>
      <c r="ANH49" s="12">
        <f>AMS49*OpsAI</f>
        <v/>
      </c>
      <c r="ANI49" s="12">
        <f>MonthlyFixed</f>
        <v/>
      </c>
      <c r="ANJ49" s="12">
        <f>AMC49*ReferralReward</f>
        <v/>
      </c>
      <c r="ANK49" s="12">
        <f>AMA49</f>
        <v/>
      </c>
      <c r="ANL49" s="9">
        <f>ANB49-ANF49-ANG49-ANH49-ANI49-ANJ49-ANK49</f>
        <v/>
      </c>
      <c r="ANM49" s="9">
        <f>ANM48+AMY49-(ANF49+ANG49+ANH49+ANI49+ANJ49+ANK49+AND49)</f>
        <v/>
      </c>
      <c r="ANN49" s="12">
        <f>IF(AMS49&gt;0,AMT49/AMS49,0)</f>
        <v/>
      </c>
      <c r="ANO49" s="11">
        <f>IF(AMS48&gt;0,MAX(0,(AMS48+AMD49-AMS49)/AMS48),0)</f>
        <v/>
      </c>
      <c r="ANQ49" s="12" t="n">
        <v>45</v>
      </c>
      <c r="ANR49" s="12">
        <f>MOD(ANQ49-1+LaunchMonth-1,12)+1</f>
        <v/>
      </c>
      <c r="ANS49" s="12">
        <f>INT((ANQ49-1+LaunchMonth-1)/12)+1</f>
        <v/>
      </c>
      <c r="ANT49" s="12">
        <f>VLOOKUP(ANR49,SeasonTable,2,FALSE)</f>
        <v/>
      </c>
      <c r="ANU49" s="12">
        <f>(1+InflationRate)^INT((ANQ49-1)/12)</f>
        <v/>
      </c>
      <c r="ANV49" s="11">
        <f>MonthlyChurn*VLOOKUP(ANR49,ChurnSeasonTable,4,FALSE)</f>
        <v/>
      </c>
      <c r="ANW49" s="12">
        <f>MIN(MAX(MktMin19plus,AOU48*MktPct19plus),MAX(0,API48-CashBuffer))</f>
        <v/>
      </c>
      <c r="ANX49" s="12">
        <f>IF(ANW49&gt;0,MAX(1,ROUND(ANW49/'Sens - CAC &amp; Marketing'!$A$12*ANT49,0)),0)</f>
        <v/>
      </c>
      <c r="ANY49" s="12">
        <f>IF(ANX49&gt;0,ROUND(ANX49*ReferralMix/(1-ReferralMix),0),0)</f>
        <v/>
      </c>
      <c r="ANZ49" s="12">
        <f>ANX49+ANY49</f>
        <v/>
      </c>
      <c r="AOA49" s="12">
        <f>ROUND(ANZ49*(1-AnnualMix),0)</f>
        <v/>
      </c>
      <c r="AOB49" s="12">
        <f>ANZ49-AOA49</f>
        <v/>
      </c>
      <c r="AOC49" s="12">
        <f>ROUND(AOA49*EssentialMix,0)</f>
        <v/>
      </c>
      <c r="AOD49" s="12">
        <f>ROUND(AOA49*PremiumMix,0)</f>
        <v/>
      </c>
      <c r="AOE49" s="12">
        <f>AOA49-AOC49-AOD49</f>
        <v/>
      </c>
      <c r="AOF49" s="12">
        <f>ROUND(AOB49*EssentialMix,0)</f>
        <v/>
      </c>
      <c r="AOG49" s="12">
        <f>ROUND(AOB49*PremiumMix,0)</f>
        <v/>
      </c>
      <c r="AOH49" s="12">
        <f>AOB49-AOF49-AOG49</f>
        <v/>
      </c>
      <c r="AOI49" s="12">
        <f>AOC49+AOC48+AOC47+MAX(0,AOI48-AOC48-AOC47)*(1-ANV49)</f>
        <v/>
      </c>
      <c r="AOJ49" s="12">
        <f>AOD49+AOD48+AOD47+MAX(0,AOJ48-AOD48-AOD47)*(1-ANV49)</f>
        <v/>
      </c>
      <c r="AOK49" s="12">
        <f>AOE49+AOE48+AOE47+MAX(0,AOK48-AOE48-AOE47)*(1-ANV49)</f>
        <v/>
      </c>
      <c r="AOL49" s="12">
        <f>AOL48+AOF49-AOF37*(AnnualChurn*VLOOKUP(ANR49,ChurnSeasonTable,4,FALSE))*POWER(1-(AnnualChurn*VLOOKUP(ANR49,ChurnSeasonTable,4,FALSE)),0)+AOF25*(AnnualChurn*VLOOKUP(ANR49,ChurnSeasonTable,4,FALSE))*POWER(1-(AnnualChurn*VLOOKUP(ANR49,ChurnSeasonTable,4,FALSE)),1)+AOF13*(AnnualChurn*VLOOKUP(ANR49,ChurnSeasonTable,4,FALSE))*POWER(1-(AnnualChurn*VLOOKUP(ANR49,ChurnSeasonTable,4,FALSE)),2)</f>
        <v/>
      </c>
      <c r="AOM49" s="12">
        <f>AOM48+AOG49-AOG37*(AnnualChurn*VLOOKUP(ANR49,ChurnSeasonTable,4,FALSE))*POWER(1-(AnnualChurn*VLOOKUP(ANR49,ChurnSeasonTable,4,FALSE)),0)+AOG25*(AnnualChurn*VLOOKUP(ANR49,ChurnSeasonTable,4,FALSE))*POWER(1-(AnnualChurn*VLOOKUP(ANR49,ChurnSeasonTable,4,FALSE)),1)+AOG13*(AnnualChurn*VLOOKUP(ANR49,ChurnSeasonTable,4,FALSE))*POWER(1-(AnnualChurn*VLOOKUP(ANR49,ChurnSeasonTable,4,FALSE)),2)</f>
        <v/>
      </c>
      <c r="AON49" s="12">
        <f>AON48+AOH49-AOH37*(AnnualChurn*VLOOKUP(ANR49,ChurnSeasonTable,4,FALSE))*POWER(1-(AnnualChurn*VLOOKUP(ANR49,ChurnSeasonTable,4,FALSE)),0)+AOH25*(AnnualChurn*VLOOKUP(ANR49,ChurnSeasonTable,4,FALSE))*POWER(1-(AnnualChurn*VLOOKUP(ANR49,ChurnSeasonTable,4,FALSE)),1)+AOH13*(AnnualChurn*VLOOKUP(ANR49,ChurnSeasonTable,4,FALSE))*POWER(1-(AnnualChurn*VLOOKUP(ANR49,ChurnSeasonTable,4,FALSE)),2)</f>
        <v/>
      </c>
      <c r="AOO49" s="12">
        <f>AOI49+AOJ49+AOK49+AOL49+AOM49+AON49</f>
        <v/>
      </c>
      <c r="AOP49" s="9">
        <f>AOI49*BlendedPriceEssMonthly*ANU49+AOJ49*BlendedPricePremMonthly*ANU49+AOK49*BlendedPriceEliteMonthly*ANU49+AOL49*BlendedPriceEssAnnual*ANU49/12+AOM49*BlendedPricePremAnnual*ANU49/12+AON49*BlendedPriceEliteAnnual*ANU49/12</f>
        <v/>
      </c>
      <c r="AOQ49" s="9">
        <f>AOP49*12</f>
        <v/>
      </c>
      <c r="AOR49" s="12">
        <f>AOI49*BlendedPriceEssMonthly*ANU49+AOJ49*BlendedPricePremMonthly*ANU49+AOK49*BlendedPriceEliteMonthly*ANU49</f>
        <v/>
      </c>
      <c r="AOS49" s="12">
        <f>AOF49*BlendedPriceEssAnnual*ANU49+AOG49*BlendedPricePremAnnual*ANU49+AOH49*BlendedPriceEliteAnnual*ANU49</f>
        <v/>
      </c>
      <c r="AOT49" s="12">
        <f>AOF37*POWER(1-(AnnualChurn*VLOOKUP(ANR49,ChurnSeasonTable,4,FALSE)),1)*BlendedPriceEssAnnual*ANU49+AOF25*POWER(1-(AnnualChurn*VLOOKUP(ANR49,ChurnSeasonTable,4,FALSE)),2)*BlendedPriceEssAnnual*ANU49+AOF13*POWER(1-(AnnualChurn*VLOOKUP(ANR49,ChurnSeasonTable,4,FALSE)),3)*BlendedPriceEssAnnual*ANU49+AOG37*POWER(1-(AnnualChurn*VLOOKUP(ANR49,ChurnSeasonTable,4,FALSE)),1)*BlendedPricePremAnnual*ANU49+AOG25*POWER(1-(AnnualChurn*VLOOKUP(ANR49,ChurnSeasonTable,4,FALSE)),2)*BlendedPricePremAnnual*ANU49+AOG13*POWER(1-(AnnualChurn*VLOOKUP(ANR49,ChurnSeasonTable,4,FALSE)),3)*BlendedPricePremAnnual*ANU49+AOH37*POWER(1-(AnnualChurn*VLOOKUP(ANR49,ChurnSeasonTable,4,FALSE)),1)*BlendedPriceEliteAnnual*ANU49+AOH25*POWER(1-(AnnualChurn*VLOOKUP(ANR49,ChurnSeasonTable,4,FALSE)),2)*BlendedPriceEliteAnnual*ANU49+AOH13*POWER(1-(AnnualChurn*VLOOKUP(ANR49,ChurnSeasonTable,4,FALSE)),3)*BlendedPriceEliteAnnual*ANU49</f>
        <v/>
      </c>
      <c r="AOU49" s="9">
        <f>AOR49+AOS49+AOT49</f>
        <v/>
      </c>
      <c r="AOV49" s="12">
        <f>SUM(AOU38:AOU49)</f>
        <v/>
      </c>
      <c r="AOW49" s="12">
        <f>OR(AOW48,IF(VATAgentMode,SUM($AOU38:$AOU49)-SUM($APB38:$APB49)&gt;=VATThreshold,SUM($AOU38:$AOU49)&gt;=VATThreshold))</f>
        <v/>
      </c>
      <c r="AOX49" s="9">
        <f>IF(AOW49,IF(VATAgentMode,AOU49-((AOU49-APB49)-(AOU49-APB49)/(1+VATRate)),AOU49/(1+VATRate)),AOU49)</f>
        <v/>
      </c>
      <c r="AOY49" s="12">
        <f>AOU49-AOX49</f>
        <v/>
      </c>
      <c r="AOZ49" s="12">
        <f>IF(AOW49=0,0,IF(ANR49=1,SUMPRODUCT(--(($ANS$5:$ANS49=$ANS49-1)*($ANR$5:$ANR49&gt;=10)*($ANR$5:$ANR49&lt;=12)),$AOY$5:$AOY49),IF(ANR49=4,SUMPRODUCT(--(($ANS$5:$ANS49=$ANS49)*($ANR$5:$ANR49&gt;=1)*($ANR$5:$ANR49&lt;=3)),$AOY$5:$AOY49),IF(ANR49=7,SUMPRODUCT(--(($ANS$5:$ANS49=$ANS49)*($ANR$5:$ANR49&gt;=4)*($ANR$5:$ANR49&lt;=6)),$AOY$5:$AOY49),IF(ANR49=10,SUMPRODUCT(--(($ANS$5:$ANS49=$ANS49)*($ANR$5:$ANR49&gt;=7)*($ANR$5:$ANR49&lt;=9)),$AOY$5:$AOY49),0)))))</f>
        <v/>
      </c>
      <c r="APA49" s="12">
        <f>APA48+AOY49-AOZ49</f>
        <v/>
      </c>
      <c r="APB49" s="12">
        <f>IF(ProviderDelay&gt;=1,AOI48*BlendedProvPayEss+AOJ48*BlendedProvPayPrem+AOK48*BlendedProvPayElite+AOL48*BlendedProvPayEss+AOM48*BlendedProvPayPrem+AON48*BlendedProvPayElite,AOI49*BlendedProvPayEss+AOJ49*BlendedProvPayPrem+AOK49*BlendedProvPayElite+AOL49*BlendedProvPayEss+AOM49*BlendedProvPayPrem+AON49*BlendedProvPayElite)</f>
        <v/>
      </c>
      <c r="APC49" s="12">
        <f>AOU49*PaymentFee</f>
        <v/>
      </c>
      <c r="APD49" s="12">
        <f>AOO49*OpsAI</f>
        <v/>
      </c>
      <c r="APE49" s="12">
        <f>MonthlyFixed</f>
        <v/>
      </c>
      <c r="APF49" s="12">
        <f>ANY49*ReferralReward</f>
        <v/>
      </c>
      <c r="APG49" s="12">
        <f>ANW49</f>
        <v/>
      </c>
      <c r="APH49" s="9">
        <f>AOX49-APB49-APC49-APD49-APE49-APF49-APG49</f>
        <v/>
      </c>
      <c r="API49" s="9">
        <f>API48+AOU49-(APB49+APC49+APD49+APE49+APF49+APG49+AOZ49)</f>
        <v/>
      </c>
      <c r="APJ49" s="12">
        <f>IF(AOO49&gt;0,AOP49/AOO49,0)</f>
        <v/>
      </c>
      <c r="APK49" s="11">
        <f>IF(AOO48&gt;0,MAX(0,(AOO48+ANZ49-AOO49)/AOO48),0)</f>
        <v/>
      </c>
      <c r="APM49" s="12" t="n">
        <v>45</v>
      </c>
      <c r="APN49" s="12">
        <f>MOD(APM49-1+LaunchMonth-1,12)+1</f>
        <v/>
      </c>
      <c r="APO49" s="12">
        <f>INT((APM49-1+LaunchMonth-1)/12)+1</f>
        <v/>
      </c>
      <c r="APP49" s="12">
        <f>VLOOKUP(APN49,SeasonTable,2,FALSE)</f>
        <v/>
      </c>
      <c r="APQ49" s="12">
        <f>(1+InflationRate)^INT((APM49-1)/12)</f>
        <v/>
      </c>
      <c r="APR49" s="11">
        <f>MonthlyChurn*VLOOKUP(APN49,ChurnSeasonTable,4,FALSE)</f>
        <v/>
      </c>
      <c r="APS49" s="12">
        <f>MIN(MAX(MktMin19plus,AQQ48*MktPct19plus),MAX(0,ARE48-CashBuffer))</f>
        <v/>
      </c>
      <c r="APT49" s="12">
        <f>IF(APS49&gt;0,MAX(1,ROUND(APS49/'Sens - CAC &amp; Marketing'!$A$13*APP49,0)),0)</f>
        <v/>
      </c>
      <c r="APU49" s="12">
        <f>IF(APT49&gt;0,ROUND(APT49*ReferralMix/(1-ReferralMix),0),0)</f>
        <v/>
      </c>
      <c r="APV49" s="12">
        <f>APT49+APU49</f>
        <v/>
      </c>
      <c r="APW49" s="12">
        <f>ROUND(APV49*(1-AnnualMix),0)</f>
        <v/>
      </c>
      <c r="APX49" s="12">
        <f>APV49-APW49</f>
        <v/>
      </c>
      <c r="APY49" s="12">
        <f>ROUND(APW49*EssentialMix,0)</f>
        <v/>
      </c>
      <c r="APZ49" s="12">
        <f>ROUND(APW49*PremiumMix,0)</f>
        <v/>
      </c>
      <c r="AQA49" s="12">
        <f>APW49-APY49-APZ49</f>
        <v/>
      </c>
      <c r="AQB49" s="12">
        <f>ROUND(APX49*EssentialMix,0)</f>
        <v/>
      </c>
      <c r="AQC49" s="12">
        <f>ROUND(APX49*PremiumMix,0)</f>
        <v/>
      </c>
      <c r="AQD49" s="12">
        <f>APX49-AQB49-AQC49</f>
        <v/>
      </c>
      <c r="AQE49" s="12">
        <f>APY49+APY48+APY47+MAX(0,AQE48-APY48-APY47)*(1-APR49)</f>
        <v/>
      </c>
      <c r="AQF49" s="12">
        <f>APZ49+APZ48+APZ47+MAX(0,AQF48-APZ48-APZ47)*(1-APR49)</f>
        <v/>
      </c>
      <c r="AQG49" s="12">
        <f>AQA49+AQA48+AQA47+MAX(0,AQG48-AQA48-AQA47)*(1-APR49)</f>
        <v/>
      </c>
      <c r="AQH49" s="12">
        <f>AQH48+AQB49-AQB37*(AnnualChurn*VLOOKUP(APN49,ChurnSeasonTable,4,FALSE))*POWER(1-(AnnualChurn*VLOOKUP(APN49,ChurnSeasonTable,4,FALSE)),0)+AQB25*(AnnualChurn*VLOOKUP(APN49,ChurnSeasonTable,4,FALSE))*POWER(1-(AnnualChurn*VLOOKUP(APN49,ChurnSeasonTable,4,FALSE)),1)+AQB13*(AnnualChurn*VLOOKUP(APN49,ChurnSeasonTable,4,FALSE))*POWER(1-(AnnualChurn*VLOOKUP(APN49,ChurnSeasonTable,4,FALSE)),2)</f>
        <v/>
      </c>
      <c r="AQI49" s="12">
        <f>AQI48+AQC49-AQC37*(AnnualChurn*VLOOKUP(APN49,ChurnSeasonTable,4,FALSE))*POWER(1-(AnnualChurn*VLOOKUP(APN49,ChurnSeasonTable,4,FALSE)),0)+AQC25*(AnnualChurn*VLOOKUP(APN49,ChurnSeasonTable,4,FALSE))*POWER(1-(AnnualChurn*VLOOKUP(APN49,ChurnSeasonTable,4,FALSE)),1)+AQC13*(AnnualChurn*VLOOKUP(APN49,ChurnSeasonTable,4,FALSE))*POWER(1-(AnnualChurn*VLOOKUP(APN49,ChurnSeasonTable,4,FALSE)),2)</f>
        <v/>
      </c>
      <c r="AQJ49" s="12">
        <f>AQJ48+AQD49-AQD37*(AnnualChurn*VLOOKUP(APN49,ChurnSeasonTable,4,FALSE))*POWER(1-(AnnualChurn*VLOOKUP(APN49,ChurnSeasonTable,4,FALSE)),0)+AQD25*(AnnualChurn*VLOOKUP(APN49,ChurnSeasonTable,4,FALSE))*POWER(1-(AnnualChurn*VLOOKUP(APN49,ChurnSeasonTable,4,FALSE)),1)+AQD13*(AnnualChurn*VLOOKUP(APN49,ChurnSeasonTable,4,FALSE))*POWER(1-(AnnualChurn*VLOOKUP(APN49,ChurnSeasonTable,4,FALSE)),2)</f>
        <v/>
      </c>
      <c r="AQK49" s="12">
        <f>AQE49+AQF49+AQG49+AQH49+AQI49+AQJ49</f>
        <v/>
      </c>
      <c r="AQL49" s="9">
        <f>AQE49*BlendedPriceEssMonthly*APQ49+AQF49*BlendedPricePremMonthly*APQ49+AQG49*BlendedPriceEliteMonthly*APQ49+AQH49*BlendedPriceEssAnnual*APQ49/12+AQI49*BlendedPricePremAnnual*APQ49/12+AQJ49*BlendedPriceEliteAnnual*APQ49/12</f>
        <v/>
      </c>
      <c r="AQM49" s="9">
        <f>AQL49*12</f>
        <v/>
      </c>
      <c r="AQN49" s="12">
        <f>AQE49*BlendedPriceEssMonthly*APQ49+AQF49*BlendedPricePremMonthly*APQ49+AQG49*BlendedPriceEliteMonthly*APQ49</f>
        <v/>
      </c>
      <c r="AQO49" s="12">
        <f>AQB49*BlendedPriceEssAnnual*APQ49+AQC49*BlendedPricePremAnnual*APQ49+AQD49*BlendedPriceEliteAnnual*APQ49</f>
        <v/>
      </c>
      <c r="AQP49" s="12">
        <f>AQB37*POWER(1-(AnnualChurn*VLOOKUP(APN49,ChurnSeasonTable,4,FALSE)),1)*BlendedPriceEssAnnual*APQ49+AQB25*POWER(1-(AnnualChurn*VLOOKUP(APN49,ChurnSeasonTable,4,FALSE)),2)*BlendedPriceEssAnnual*APQ49+AQB13*POWER(1-(AnnualChurn*VLOOKUP(APN49,ChurnSeasonTable,4,FALSE)),3)*BlendedPriceEssAnnual*APQ49+AQC37*POWER(1-(AnnualChurn*VLOOKUP(APN49,ChurnSeasonTable,4,FALSE)),1)*BlendedPricePremAnnual*APQ49+AQC25*POWER(1-(AnnualChurn*VLOOKUP(APN49,ChurnSeasonTable,4,FALSE)),2)*BlendedPricePremAnnual*APQ49+AQC13*POWER(1-(AnnualChurn*VLOOKUP(APN49,ChurnSeasonTable,4,FALSE)),3)*BlendedPricePremAnnual*APQ49+AQD37*POWER(1-(AnnualChurn*VLOOKUP(APN49,ChurnSeasonTable,4,FALSE)),1)*BlendedPriceEliteAnnual*APQ49+AQD25*POWER(1-(AnnualChurn*VLOOKUP(APN49,ChurnSeasonTable,4,FALSE)),2)*BlendedPriceEliteAnnual*APQ49+AQD13*POWER(1-(AnnualChurn*VLOOKUP(APN49,ChurnSeasonTable,4,FALSE)),3)*BlendedPriceEliteAnnual*APQ49</f>
        <v/>
      </c>
      <c r="AQQ49" s="9">
        <f>AQN49+AQO49+AQP49</f>
        <v/>
      </c>
      <c r="AQR49" s="12">
        <f>SUM(AQQ38:AQQ49)</f>
        <v/>
      </c>
      <c r="AQS49" s="12">
        <f>OR(AQS48,IF(VATAgentMode,SUM($AQQ38:$AQQ49)-SUM($AQX38:$AQX49)&gt;=VATThreshold,SUM($AQQ38:$AQQ49)&gt;=VATThreshold))</f>
        <v/>
      </c>
      <c r="AQT49" s="9">
        <f>IF(AQS49,IF(VATAgentMode,AQQ49-((AQQ49-AQX49)-(AQQ49-AQX49)/(1+VATRate)),AQQ49/(1+VATRate)),AQQ49)</f>
        <v/>
      </c>
      <c r="AQU49" s="12">
        <f>AQQ49-AQT49</f>
        <v/>
      </c>
      <c r="AQV49" s="12">
        <f>IF(AQS49=0,0,IF(APN49=1,SUMPRODUCT(--(($APO$5:$APO49=$APO49-1)*($APN$5:$APN49&gt;=10)*($APN$5:$APN49&lt;=12)),$AQU$5:$AQU49),IF(APN49=4,SUMPRODUCT(--(($APO$5:$APO49=$APO49)*($APN$5:$APN49&gt;=1)*($APN$5:$APN49&lt;=3)),$AQU$5:$AQU49),IF(APN49=7,SUMPRODUCT(--(($APO$5:$APO49=$APO49)*($APN$5:$APN49&gt;=4)*($APN$5:$APN49&lt;=6)),$AQU$5:$AQU49),IF(APN49=10,SUMPRODUCT(--(($APO$5:$APO49=$APO49)*($APN$5:$APN49&gt;=7)*($APN$5:$APN49&lt;=9)),$AQU$5:$AQU49),0)))))</f>
        <v/>
      </c>
      <c r="AQW49" s="12">
        <f>AQW48+AQU49-AQV49</f>
        <v/>
      </c>
      <c r="AQX49" s="12">
        <f>IF(ProviderDelay&gt;=1,AQE48*BlendedProvPayEss+AQF48*BlendedProvPayPrem+AQG48*BlendedProvPayElite+AQH48*BlendedProvPayEss+AQI48*BlendedProvPayPrem+AQJ48*BlendedProvPayElite,AQE49*BlendedProvPayEss+AQF49*BlendedProvPayPrem+AQG49*BlendedProvPayElite+AQH49*BlendedProvPayEss+AQI49*BlendedProvPayPrem+AQJ49*BlendedProvPayElite)</f>
        <v/>
      </c>
      <c r="AQY49" s="12">
        <f>AQQ49*PaymentFee</f>
        <v/>
      </c>
      <c r="AQZ49" s="12">
        <f>AQK49*OpsAI</f>
        <v/>
      </c>
      <c r="ARA49" s="12">
        <f>MonthlyFixed</f>
        <v/>
      </c>
      <c r="ARB49" s="12">
        <f>APU49*ReferralReward</f>
        <v/>
      </c>
      <c r="ARC49" s="12">
        <f>APS49</f>
        <v/>
      </c>
      <c r="ARD49" s="9">
        <f>AQT49-AQX49-AQY49-AQZ49-ARA49-ARB49-ARC49</f>
        <v/>
      </c>
      <c r="ARE49" s="9">
        <f>ARE48+AQQ49-(AQX49+AQY49+AQZ49+ARA49+ARB49+ARC49+AQV49)</f>
        <v/>
      </c>
      <c r="ARF49" s="12">
        <f>IF(AQK49&gt;0,AQL49/AQK49,0)</f>
        <v/>
      </c>
      <c r="ARG49" s="11">
        <f>IF(AQK48&gt;0,MAX(0,(AQK48+APV49-AQK49)/AQK48),0)</f>
        <v/>
      </c>
      <c r="ARI49" s="12" t="n">
        <v>45</v>
      </c>
      <c r="ARJ49" s="12">
        <f>MOD(ARI49-1+LaunchMonth-1,12)+1</f>
        <v/>
      </c>
      <c r="ARK49" s="12">
        <f>INT((ARI49-1+LaunchMonth-1)/12)+1</f>
        <v/>
      </c>
      <c r="ARL49" s="12">
        <f>VLOOKUP(ARJ49,SeasonTable,2,FALSE)</f>
        <v/>
      </c>
      <c r="ARM49" s="12">
        <f>(1+InflationRate)^INT((ARI49-1)/12)</f>
        <v/>
      </c>
      <c r="ARN49" s="11">
        <f>MonthlyChurn*VLOOKUP(ARJ49,ChurnSeasonTable,4,FALSE)</f>
        <v/>
      </c>
      <c r="ARO49" s="12">
        <f>MIN(MAX(MktMin19plus,ASM48*MktPct19plus),MAX(0,ATA48-CashBuffer))</f>
        <v/>
      </c>
      <c r="ARP49" s="12">
        <f>IF(ARO49&gt;0,MAX(1,ROUND(ARO49/'Sens - CAC &amp; Marketing'!$A$14*ARL49,0)),0)</f>
        <v/>
      </c>
      <c r="ARQ49" s="12">
        <f>IF(ARP49&gt;0,ROUND(ARP49*ReferralMix/(1-ReferralMix),0),0)</f>
        <v/>
      </c>
      <c r="ARR49" s="12">
        <f>ARP49+ARQ49</f>
        <v/>
      </c>
      <c r="ARS49" s="12">
        <f>ROUND(ARR49*(1-AnnualMix),0)</f>
        <v/>
      </c>
      <c r="ART49" s="12">
        <f>ARR49-ARS49</f>
        <v/>
      </c>
      <c r="ARU49" s="12">
        <f>ROUND(ARS49*EssentialMix,0)</f>
        <v/>
      </c>
      <c r="ARV49" s="12">
        <f>ROUND(ARS49*PremiumMix,0)</f>
        <v/>
      </c>
      <c r="ARW49" s="12">
        <f>ARS49-ARU49-ARV49</f>
        <v/>
      </c>
      <c r="ARX49" s="12">
        <f>ROUND(ART49*EssentialMix,0)</f>
        <v/>
      </c>
      <c r="ARY49" s="12">
        <f>ROUND(ART49*PremiumMix,0)</f>
        <v/>
      </c>
      <c r="ARZ49" s="12">
        <f>ART49-ARX49-ARY49</f>
        <v/>
      </c>
      <c r="ASA49" s="12">
        <f>ARU49+ARU48+ARU47+MAX(0,ASA48-ARU48-ARU47)*(1-ARN49)</f>
        <v/>
      </c>
      <c r="ASB49" s="12">
        <f>ARV49+ARV48+ARV47+MAX(0,ASB48-ARV48-ARV47)*(1-ARN49)</f>
        <v/>
      </c>
      <c r="ASC49" s="12">
        <f>ARW49+ARW48+ARW47+MAX(0,ASC48-ARW48-ARW47)*(1-ARN49)</f>
        <v/>
      </c>
      <c r="ASD49" s="12">
        <f>ASD48+ARX49-ARX37*(AnnualChurn*VLOOKUP(ARJ49,ChurnSeasonTable,4,FALSE))*POWER(1-(AnnualChurn*VLOOKUP(ARJ49,ChurnSeasonTable,4,FALSE)),0)+ARX25*(AnnualChurn*VLOOKUP(ARJ49,ChurnSeasonTable,4,FALSE))*POWER(1-(AnnualChurn*VLOOKUP(ARJ49,ChurnSeasonTable,4,FALSE)),1)+ARX13*(AnnualChurn*VLOOKUP(ARJ49,ChurnSeasonTable,4,FALSE))*POWER(1-(AnnualChurn*VLOOKUP(ARJ49,ChurnSeasonTable,4,FALSE)),2)</f>
        <v/>
      </c>
      <c r="ASE49" s="12">
        <f>ASE48+ARY49-ARY37*(AnnualChurn*VLOOKUP(ARJ49,ChurnSeasonTable,4,FALSE))*POWER(1-(AnnualChurn*VLOOKUP(ARJ49,ChurnSeasonTable,4,FALSE)),0)+ARY25*(AnnualChurn*VLOOKUP(ARJ49,ChurnSeasonTable,4,FALSE))*POWER(1-(AnnualChurn*VLOOKUP(ARJ49,ChurnSeasonTable,4,FALSE)),1)+ARY13*(AnnualChurn*VLOOKUP(ARJ49,ChurnSeasonTable,4,FALSE))*POWER(1-(AnnualChurn*VLOOKUP(ARJ49,ChurnSeasonTable,4,FALSE)),2)</f>
        <v/>
      </c>
      <c r="ASF49" s="12">
        <f>ASF48+ARZ49-ARZ37*(AnnualChurn*VLOOKUP(ARJ49,ChurnSeasonTable,4,FALSE))*POWER(1-(AnnualChurn*VLOOKUP(ARJ49,ChurnSeasonTable,4,FALSE)),0)+ARZ25*(AnnualChurn*VLOOKUP(ARJ49,ChurnSeasonTable,4,FALSE))*POWER(1-(AnnualChurn*VLOOKUP(ARJ49,ChurnSeasonTable,4,FALSE)),1)+ARZ13*(AnnualChurn*VLOOKUP(ARJ49,ChurnSeasonTable,4,FALSE))*POWER(1-(AnnualChurn*VLOOKUP(ARJ49,ChurnSeasonTable,4,FALSE)),2)</f>
        <v/>
      </c>
      <c r="ASG49" s="12">
        <f>ASA49+ASB49+ASC49+ASD49+ASE49+ASF49</f>
        <v/>
      </c>
      <c r="ASH49" s="9">
        <f>ASA49*BlendedPriceEssMonthly*ARM49+ASB49*BlendedPricePremMonthly*ARM49+ASC49*BlendedPriceEliteMonthly*ARM49+ASD49*BlendedPriceEssAnnual*ARM49/12+ASE49*BlendedPricePremAnnual*ARM49/12+ASF49*BlendedPriceEliteAnnual*ARM49/12</f>
        <v/>
      </c>
      <c r="ASI49" s="9">
        <f>ASH49*12</f>
        <v/>
      </c>
      <c r="ASJ49" s="12">
        <f>ASA49*BlendedPriceEssMonthly*ARM49+ASB49*BlendedPricePremMonthly*ARM49+ASC49*BlendedPriceEliteMonthly*ARM49</f>
        <v/>
      </c>
      <c r="ASK49" s="12">
        <f>ARX49*BlendedPriceEssAnnual*ARM49+ARY49*BlendedPricePremAnnual*ARM49+ARZ49*BlendedPriceEliteAnnual*ARM49</f>
        <v/>
      </c>
      <c r="ASL49" s="12">
        <f>ARX37*POWER(1-(AnnualChurn*VLOOKUP(ARJ49,ChurnSeasonTable,4,FALSE)),1)*BlendedPriceEssAnnual*ARM49+ARX25*POWER(1-(AnnualChurn*VLOOKUP(ARJ49,ChurnSeasonTable,4,FALSE)),2)*BlendedPriceEssAnnual*ARM49+ARX13*POWER(1-(AnnualChurn*VLOOKUP(ARJ49,ChurnSeasonTable,4,FALSE)),3)*BlendedPriceEssAnnual*ARM49+ARY37*POWER(1-(AnnualChurn*VLOOKUP(ARJ49,ChurnSeasonTable,4,FALSE)),1)*BlendedPricePremAnnual*ARM49+ARY25*POWER(1-(AnnualChurn*VLOOKUP(ARJ49,ChurnSeasonTable,4,FALSE)),2)*BlendedPricePremAnnual*ARM49+ARY13*POWER(1-(AnnualChurn*VLOOKUP(ARJ49,ChurnSeasonTable,4,FALSE)),3)*BlendedPricePremAnnual*ARM49+ARZ37*POWER(1-(AnnualChurn*VLOOKUP(ARJ49,ChurnSeasonTable,4,FALSE)),1)*BlendedPriceEliteAnnual*ARM49+ARZ25*POWER(1-(AnnualChurn*VLOOKUP(ARJ49,ChurnSeasonTable,4,FALSE)),2)*BlendedPriceEliteAnnual*ARM49+ARZ13*POWER(1-(AnnualChurn*VLOOKUP(ARJ49,ChurnSeasonTable,4,FALSE)),3)*BlendedPriceEliteAnnual*ARM49</f>
        <v/>
      </c>
      <c r="ASM49" s="9">
        <f>ASJ49+ASK49+ASL49</f>
        <v/>
      </c>
      <c r="ASN49" s="12">
        <f>SUM(ASM38:ASM49)</f>
        <v/>
      </c>
      <c r="ASO49" s="12">
        <f>OR(ASO48,IF(VATAgentMode,SUM($ASM38:$ASM49)-SUM($AST38:$AST49)&gt;=VATThreshold,SUM($ASM38:$ASM49)&gt;=VATThreshold))</f>
        <v/>
      </c>
      <c r="ASP49" s="9">
        <f>IF(ASO49,IF(VATAgentMode,ASM49-((ASM49-AST49)-(ASM49-AST49)/(1+VATRate)),ASM49/(1+VATRate)),ASM49)</f>
        <v/>
      </c>
      <c r="ASQ49" s="12">
        <f>ASM49-ASP49</f>
        <v/>
      </c>
      <c r="ASR49" s="12">
        <f>IF(ASO49=0,0,IF(ARJ49=1,SUMPRODUCT(--(($ARK$5:$ARK49=$ARK49-1)*($ARJ$5:$ARJ49&gt;=10)*($ARJ$5:$ARJ49&lt;=12)),$ASQ$5:$ASQ49),IF(ARJ49=4,SUMPRODUCT(--(($ARK$5:$ARK49=$ARK49)*($ARJ$5:$ARJ49&gt;=1)*($ARJ$5:$ARJ49&lt;=3)),$ASQ$5:$ASQ49),IF(ARJ49=7,SUMPRODUCT(--(($ARK$5:$ARK49=$ARK49)*($ARJ$5:$ARJ49&gt;=4)*($ARJ$5:$ARJ49&lt;=6)),$ASQ$5:$ASQ49),IF(ARJ49=10,SUMPRODUCT(--(($ARK$5:$ARK49=$ARK49)*($ARJ$5:$ARJ49&gt;=7)*($ARJ$5:$ARJ49&lt;=9)),$ASQ$5:$ASQ49),0)))))</f>
        <v/>
      </c>
      <c r="ASS49" s="12">
        <f>ASS48+ASQ49-ASR49</f>
        <v/>
      </c>
      <c r="AST49" s="12">
        <f>IF(ProviderDelay&gt;=1,ASA48*BlendedProvPayEss+ASB48*BlendedProvPayPrem+ASC48*BlendedProvPayElite+ASD48*BlendedProvPayEss+ASE48*BlendedProvPayPrem+ASF48*BlendedProvPayElite,ASA49*BlendedProvPayEss+ASB49*BlendedProvPayPrem+ASC49*BlendedProvPayElite+ASD49*BlendedProvPayEss+ASE49*BlendedProvPayPrem+ASF49*BlendedProvPayElite)</f>
        <v/>
      </c>
      <c r="ASU49" s="12">
        <f>ASM49*PaymentFee</f>
        <v/>
      </c>
      <c r="ASV49" s="12">
        <f>ASG49*OpsAI</f>
        <v/>
      </c>
      <c r="ASW49" s="12">
        <f>MonthlyFixed</f>
        <v/>
      </c>
      <c r="ASX49" s="12">
        <f>ARQ49*ReferralReward</f>
        <v/>
      </c>
      <c r="ASY49" s="12">
        <f>ARO49</f>
        <v/>
      </c>
      <c r="ASZ49" s="9">
        <f>ASP49-AST49-ASU49-ASV49-ASW49-ASX49-ASY49</f>
        <v/>
      </c>
      <c r="ATA49" s="9">
        <f>ATA48+ASM49-(AST49+ASU49+ASV49+ASW49+ASX49+ASY49+ASR49)</f>
        <v/>
      </c>
      <c r="ATB49" s="12">
        <f>IF(ASG49&gt;0,ASH49/ASG49,0)</f>
        <v/>
      </c>
      <c r="ATC49" s="11">
        <f>IF(ASG48&gt;0,MAX(0,(ASG48+ARR49-ASG49)/ASG48),0)</f>
        <v/>
      </c>
      <c r="ATE49" s="12" t="n">
        <v>45</v>
      </c>
      <c r="ATF49" s="12">
        <f>MOD(ATE49-1+LaunchMonth-1,12)+1</f>
        <v/>
      </c>
      <c r="ATG49" s="12">
        <f>INT((ATE49-1+LaunchMonth-1)/12)+1</f>
        <v/>
      </c>
      <c r="ATH49" s="12">
        <f>VLOOKUP(ATF49,SeasonTable,2,FALSE)</f>
        <v/>
      </c>
      <c r="ATI49" s="12">
        <f>(1+InflationRate)^INT((ATE49-1)/12)</f>
        <v/>
      </c>
      <c r="ATJ49" s="11">
        <f>MonthlyChurn*VLOOKUP(ATF49,ChurnSeasonTable,4,FALSE)</f>
        <v/>
      </c>
      <c r="ATK49" s="12">
        <f>MIN(MAX(MktMin19plus,AUI48*MktPct19plus),MAX(0,AUW48-CashBuffer))</f>
        <v/>
      </c>
      <c r="ATL49" s="12">
        <f>IF(ATK49&gt;0,MAX(1,ROUND(ATK49/'Sens - CAC &amp; Marketing'!$A$15*ATH49,0)),0)</f>
        <v/>
      </c>
      <c r="ATM49" s="12">
        <f>IF(ATL49&gt;0,ROUND(ATL49*ReferralMix/(1-ReferralMix),0),0)</f>
        <v/>
      </c>
      <c r="ATN49" s="12">
        <f>ATL49+ATM49</f>
        <v/>
      </c>
      <c r="ATO49" s="12">
        <f>ROUND(ATN49*(1-AnnualMix),0)</f>
        <v/>
      </c>
      <c r="ATP49" s="12">
        <f>ATN49-ATO49</f>
        <v/>
      </c>
      <c r="ATQ49" s="12">
        <f>ROUND(ATO49*EssentialMix,0)</f>
        <v/>
      </c>
      <c r="ATR49" s="12">
        <f>ROUND(ATO49*PremiumMix,0)</f>
        <v/>
      </c>
      <c r="ATS49" s="12">
        <f>ATO49-ATQ49-ATR49</f>
        <v/>
      </c>
      <c r="ATT49" s="12">
        <f>ROUND(ATP49*EssentialMix,0)</f>
        <v/>
      </c>
      <c r="ATU49" s="12">
        <f>ROUND(ATP49*PremiumMix,0)</f>
        <v/>
      </c>
      <c r="ATV49" s="12">
        <f>ATP49-ATT49-ATU49</f>
        <v/>
      </c>
      <c r="ATW49" s="12">
        <f>ATQ49+ATQ48+ATQ47+MAX(0,ATW48-ATQ48-ATQ47)*(1-ATJ49)</f>
        <v/>
      </c>
      <c r="ATX49" s="12">
        <f>ATR49+ATR48+ATR47+MAX(0,ATX48-ATR48-ATR47)*(1-ATJ49)</f>
        <v/>
      </c>
      <c r="ATY49" s="12">
        <f>ATS49+ATS48+ATS47+MAX(0,ATY48-ATS48-ATS47)*(1-ATJ49)</f>
        <v/>
      </c>
      <c r="ATZ49" s="12">
        <f>ATZ48+ATT49-ATT37*(AnnualChurn*VLOOKUP(ATF49,ChurnSeasonTable,4,FALSE))*POWER(1-(AnnualChurn*VLOOKUP(ATF49,ChurnSeasonTable,4,FALSE)),0)+ATT25*(AnnualChurn*VLOOKUP(ATF49,ChurnSeasonTable,4,FALSE))*POWER(1-(AnnualChurn*VLOOKUP(ATF49,ChurnSeasonTable,4,FALSE)),1)+ATT13*(AnnualChurn*VLOOKUP(ATF49,ChurnSeasonTable,4,FALSE))*POWER(1-(AnnualChurn*VLOOKUP(ATF49,ChurnSeasonTable,4,FALSE)),2)</f>
        <v/>
      </c>
      <c r="AUA49" s="12">
        <f>AUA48+ATU49-ATU37*(AnnualChurn*VLOOKUP(ATF49,ChurnSeasonTable,4,FALSE))*POWER(1-(AnnualChurn*VLOOKUP(ATF49,ChurnSeasonTable,4,FALSE)),0)+ATU25*(AnnualChurn*VLOOKUP(ATF49,ChurnSeasonTable,4,FALSE))*POWER(1-(AnnualChurn*VLOOKUP(ATF49,ChurnSeasonTable,4,FALSE)),1)+ATU13*(AnnualChurn*VLOOKUP(ATF49,ChurnSeasonTable,4,FALSE))*POWER(1-(AnnualChurn*VLOOKUP(ATF49,ChurnSeasonTable,4,FALSE)),2)</f>
        <v/>
      </c>
      <c r="AUB49" s="12">
        <f>AUB48+ATV49-ATV37*(AnnualChurn*VLOOKUP(ATF49,ChurnSeasonTable,4,FALSE))*POWER(1-(AnnualChurn*VLOOKUP(ATF49,ChurnSeasonTable,4,FALSE)),0)+ATV25*(AnnualChurn*VLOOKUP(ATF49,ChurnSeasonTable,4,FALSE))*POWER(1-(AnnualChurn*VLOOKUP(ATF49,ChurnSeasonTable,4,FALSE)),1)+ATV13*(AnnualChurn*VLOOKUP(ATF49,ChurnSeasonTable,4,FALSE))*POWER(1-(AnnualChurn*VLOOKUP(ATF49,ChurnSeasonTable,4,FALSE)),2)</f>
        <v/>
      </c>
      <c r="AUC49" s="12">
        <f>ATW49+ATX49+ATY49+ATZ49+AUA49+AUB49</f>
        <v/>
      </c>
      <c r="AUD49" s="9">
        <f>ATW49*BlendedPriceEssMonthly*ATI49+ATX49*BlendedPricePremMonthly*ATI49+ATY49*BlendedPriceEliteMonthly*ATI49+ATZ49*BlendedPriceEssAnnual*ATI49/12+AUA49*BlendedPricePremAnnual*ATI49/12+AUB49*BlendedPriceEliteAnnual*ATI49/12</f>
        <v/>
      </c>
      <c r="AUE49" s="9">
        <f>AUD49*12</f>
        <v/>
      </c>
      <c r="AUF49" s="12">
        <f>ATW49*BlendedPriceEssMonthly*ATI49+ATX49*BlendedPricePremMonthly*ATI49+ATY49*BlendedPriceEliteMonthly*ATI49</f>
        <v/>
      </c>
      <c r="AUG49" s="12">
        <f>ATT49*BlendedPriceEssAnnual*ATI49+ATU49*BlendedPricePremAnnual*ATI49+ATV49*BlendedPriceEliteAnnual*ATI49</f>
        <v/>
      </c>
      <c r="AUH49" s="12">
        <f>ATT37*POWER(1-(AnnualChurn*VLOOKUP(ATF49,ChurnSeasonTable,4,FALSE)),1)*BlendedPriceEssAnnual*ATI49+ATT25*POWER(1-(AnnualChurn*VLOOKUP(ATF49,ChurnSeasonTable,4,FALSE)),2)*BlendedPriceEssAnnual*ATI49+ATT13*POWER(1-(AnnualChurn*VLOOKUP(ATF49,ChurnSeasonTable,4,FALSE)),3)*BlendedPriceEssAnnual*ATI49+ATU37*POWER(1-(AnnualChurn*VLOOKUP(ATF49,ChurnSeasonTable,4,FALSE)),1)*BlendedPricePremAnnual*ATI49+ATU25*POWER(1-(AnnualChurn*VLOOKUP(ATF49,ChurnSeasonTable,4,FALSE)),2)*BlendedPricePremAnnual*ATI49+ATU13*POWER(1-(AnnualChurn*VLOOKUP(ATF49,ChurnSeasonTable,4,FALSE)),3)*BlendedPricePremAnnual*ATI49+ATV37*POWER(1-(AnnualChurn*VLOOKUP(ATF49,ChurnSeasonTable,4,FALSE)),1)*BlendedPriceEliteAnnual*ATI49+ATV25*POWER(1-(AnnualChurn*VLOOKUP(ATF49,ChurnSeasonTable,4,FALSE)),2)*BlendedPriceEliteAnnual*ATI49+ATV13*POWER(1-(AnnualChurn*VLOOKUP(ATF49,ChurnSeasonTable,4,FALSE)),3)*BlendedPriceEliteAnnual*ATI49</f>
        <v/>
      </c>
      <c r="AUI49" s="9">
        <f>AUF49+AUG49+AUH49</f>
        <v/>
      </c>
      <c r="AUJ49" s="12">
        <f>SUM(AUI38:AUI49)</f>
        <v/>
      </c>
      <c r="AUK49" s="12">
        <f>OR(AUK48,IF(VATAgentMode,SUM($AUI38:$AUI49)-SUM($AUP38:$AUP49)&gt;=VATThreshold,SUM($AUI38:$AUI49)&gt;=VATThreshold))</f>
        <v/>
      </c>
      <c r="AUL49" s="9">
        <f>IF(AUK49,IF(VATAgentMode,AUI49-((AUI49-AUP49)-(AUI49-AUP49)/(1+VATRate)),AUI49/(1+VATRate)),AUI49)</f>
        <v/>
      </c>
      <c r="AUM49" s="12">
        <f>AUI49-AUL49</f>
        <v/>
      </c>
      <c r="AUN49" s="12">
        <f>IF(AUK49=0,0,IF(ATF49=1,SUMPRODUCT(--(($ATG$5:$ATG49=$ATG49-1)*($ATF$5:$ATF49&gt;=10)*($ATF$5:$ATF49&lt;=12)),$AUM$5:$AUM49),IF(ATF49=4,SUMPRODUCT(--(($ATG$5:$ATG49=$ATG49)*($ATF$5:$ATF49&gt;=1)*($ATF$5:$ATF49&lt;=3)),$AUM$5:$AUM49),IF(ATF49=7,SUMPRODUCT(--(($ATG$5:$ATG49=$ATG49)*($ATF$5:$ATF49&gt;=4)*($ATF$5:$ATF49&lt;=6)),$AUM$5:$AUM49),IF(ATF49=10,SUMPRODUCT(--(($ATG$5:$ATG49=$ATG49)*($ATF$5:$ATF49&gt;=7)*($ATF$5:$ATF49&lt;=9)),$AUM$5:$AUM49),0)))))</f>
        <v/>
      </c>
      <c r="AUO49" s="12">
        <f>AUO48+AUM49-AUN49</f>
        <v/>
      </c>
      <c r="AUP49" s="12">
        <f>IF(ProviderDelay&gt;=1,ATW48*BlendedProvPayEss+ATX48*BlendedProvPayPrem+ATY48*BlendedProvPayElite+ATZ48*BlendedProvPayEss+AUA48*BlendedProvPayPrem+AUB48*BlendedProvPayElite,ATW49*BlendedProvPayEss+ATX49*BlendedProvPayPrem+ATY49*BlendedProvPayElite+ATZ49*BlendedProvPayEss+AUA49*BlendedProvPayPrem+AUB49*BlendedProvPayElite)</f>
        <v/>
      </c>
      <c r="AUQ49" s="12">
        <f>AUI49*PaymentFee</f>
        <v/>
      </c>
      <c r="AUR49" s="12">
        <f>AUC49*OpsAI</f>
        <v/>
      </c>
      <c r="AUS49" s="12">
        <f>MonthlyFixed</f>
        <v/>
      </c>
      <c r="AUT49" s="12">
        <f>ATM49*ReferralReward</f>
        <v/>
      </c>
      <c r="AUU49" s="12">
        <f>ATK49</f>
        <v/>
      </c>
      <c r="AUV49" s="9">
        <f>AUL49-AUP49-AUQ49-AUR49-AUS49-AUT49-AUU49</f>
        <v/>
      </c>
      <c r="AUW49" s="9">
        <f>AUW48+AUI49-(AUP49+AUQ49+AUR49+AUS49+AUT49+AUU49+AUN49)</f>
        <v/>
      </c>
      <c r="AUX49" s="12">
        <f>IF(AUC49&gt;0,AUD49/AUC49,0)</f>
        <v/>
      </c>
      <c r="AUY49" s="11">
        <f>IF(AUC48&gt;0,MAX(0,(AUC48+ATN49-AUC49)/AUC48),0)</f>
        <v/>
      </c>
      <c r="AVA49" s="12" t="n">
        <v>45</v>
      </c>
      <c r="AVB49" s="12">
        <f>MOD(AVA49-1+LaunchMonth-1,12)+1</f>
        <v/>
      </c>
      <c r="AVC49" s="12">
        <f>INT((AVA49-1+LaunchMonth-1)/12)+1</f>
        <v/>
      </c>
      <c r="AVD49" s="12">
        <f>VLOOKUP(AVB49,WinterPivotSeasonTable,5,FALSE)</f>
        <v/>
      </c>
      <c r="AVE49" s="12">
        <f>(1+InflationRate)^INT((AVA49-1)/12)</f>
        <v/>
      </c>
      <c r="AVF49" s="11">
        <f>MonthlyChurn*VLOOKUP(AVB49,WinterPivotChurnTable,6,FALSE)</f>
        <v/>
      </c>
      <c r="AVG49" s="12">
        <f>MIN(MAX(MktMin19plus,AWE48*MktPct19plus),MAX(0,AWS48-CashBuffer))</f>
        <v/>
      </c>
      <c r="AVH49" s="12">
        <f>IF(AVG49&gt;0,MAX(1,ROUND(AVG49/CAC*AVD49,0)),0)</f>
        <v/>
      </c>
      <c r="AVI49" s="12">
        <f>IF(AVH49&gt;0,ROUND(AVH49*ReferralMix/(1-ReferralMix),0),0)</f>
        <v/>
      </c>
      <c r="AVJ49" s="12">
        <f>AVH49+AVI49</f>
        <v/>
      </c>
      <c r="AVK49" s="12">
        <f>ROUND(AVJ49*(1-AnnualMix),0)</f>
        <v/>
      </c>
      <c r="AVL49" s="12">
        <f>AVJ49-AVK49</f>
        <v/>
      </c>
      <c r="AVM49" s="12">
        <f>ROUND(AVK49*'Sens - Winter Pivot'!$B$6,0)</f>
        <v/>
      </c>
      <c r="AVN49" s="12">
        <f>ROUND(AVK49*PremiumMix,0)</f>
        <v/>
      </c>
      <c r="AVO49" s="12">
        <f>AVK49-AVM49-AVN49</f>
        <v/>
      </c>
      <c r="AVP49" s="12">
        <f>ROUND(AVL49*'Sens - Winter Pivot'!$B$6,0)</f>
        <v/>
      </c>
      <c r="AVQ49" s="12">
        <f>ROUND(AVL49*PremiumMix,0)</f>
        <v/>
      </c>
      <c r="AVR49" s="12">
        <f>AVL49-AVP49-AVQ49</f>
        <v/>
      </c>
      <c r="AVS49" s="12">
        <f>AVM49+AVM48+AVM47+MAX(0,AVS48-AVM48-AVM47)*(1-AVF49)</f>
        <v/>
      </c>
      <c r="AVT49" s="12">
        <f>AVN49+AVN48+AVN47+MAX(0,AVT48-AVN48-AVN47)*(1-AVF49)</f>
        <v/>
      </c>
      <c r="AVU49" s="12">
        <f>AVO49+AVO48+AVO47+MAX(0,AVU48-AVO48-AVO47)*(1-AVF49)</f>
        <v/>
      </c>
      <c r="AVV49" s="12">
        <f>AVV48+AVP49-AVP37*(AnnualChurn*VLOOKUP(AVB49,ChurnSeasonTable,4,FALSE))*POWER(1-(AnnualChurn*VLOOKUP(AVB49,ChurnSeasonTable,4,FALSE)),0)+AVP25*(AnnualChurn*VLOOKUP(AVB49,ChurnSeasonTable,4,FALSE))*POWER(1-(AnnualChurn*VLOOKUP(AVB49,ChurnSeasonTable,4,FALSE)),1)+AVP13*(AnnualChurn*VLOOKUP(AVB49,ChurnSeasonTable,4,FALSE))*POWER(1-(AnnualChurn*VLOOKUP(AVB49,ChurnSeasonTable,4,FALSE)),2)</f>
        <v/>
      </c>
      <c r="AVW49" s="12">
        <f>AVW48+AVQ49-AVQ37*(AnnualChurn*VLOOKUP(AVB49,ChurnSeasonTable,4,FALSE))*POWER(1-(AnnualChurn*VLOOKUP(AVB49,ChurnSeasonTable,4,FALSE)),0)+AVQ25*(AnnualChurn*VLOOKUP(AVB49,ChurnSeasonTable,4,FALSE))*POWER(1-(AnnualChurn*VLOOKUP(AVB49,ChurnSeasonTable,4,FALSE)),1)+AVQ13*(AnnualChurn*VLOOKUP(AVB49,ChurnSeasonTable,4,FALSE))*POWER(1-(AnnualChurn*VLOOKUP(AVB49,ChurnSeasonTable,4,FALSE)),2)</f>
        <v/>
      </c>
      <c r="AVX49" s="12">
        <f>AVX48+AVR49-AVR37*(AnnualChurn*VLOOKUP(AVB49,ChurnSeasonTable,4,FALSE))*POWER(1-(AnnualChurn*VLOOKUP(AVB49,ChurnSeasonTable,4,FALSE)),0)+AVR25*(AnnualChurn*VLOOKUP(AVB49,ChurnSeasonTable,4,FALSE))*POWER(1-(AnnualChurn*VLOOKUP(AVB49,ChurnSeasonTable,4,FALSE)),1)+AVR13*(AnnualChurn*VLOOKUP(AVB49,ChurnSeasonTable,4,FALSE))*POWER(1-(AnnualChurn*VLOOKUP(AVB49,ChurnSeasonTable,4,FALSE)),2)</f>
        <v/>
      </c>
      <c r="AVY49" s="12">
        <f>AVS49+AVT49+AVU49+AVV49+AVW49+AVX49</f>
        <v/>
      </c>
      <c r="AVZ49" s="9">
        <f>AVS49*BlendedPriceEssMonthly*AVE49+AVT49*(BlendedPricePremMonthly+'Sens - Winter Pivot'!$B$7)*AVE49+AVU49*BlendedPriceEliteMonthly*AVE49+AVV49*BlendedPriceEssAnnual*AVE49/12+AVW49*(BlendedPricePremAnnual+'Sens - Winter Pivot'!$B$7*12)*AVE49/12+AVX49*BlendedPriceEliteAnnual*AVE49/12</f>
        <v/>
      </c>
      <c r="AWA49" s="9">
        <f>AVZ49*12</f>
        <v/>
      </c>
      <c r="AWB49" s="12">
        <f>AVS49*BlendedPriceEssMonthly*AVE49+AVT49*(BlendedPricePremMonthly+'Sens - Winter Pivot'!$B$7)*AVE49+AVU49*BlendedPriceEliteMonthly*AVE49</f>
        <v/>
      </c>
      <c r="AWC49" s="12">
        <f>AVP49*BlendedPriceEssAnnual*AVE49+AVQ49*(BlendedPricePremAnnual+'Sens - Winter Pivot'!$B$7*12)*AVE49+AVR49*BlendedPriceEliteAnnual*AVE49</f>
        <v/>
      </c>
      <c r="AWD49" s="12">
        <f>AVP37*POWER(1-(AnnualChurn*VLOOKUP(AVB49,ChurnSeasonTable,4,FALSE)),1)*BlendedPriceEssAnnual*AVE49+AVP25*POWER(1-(AnnualChurn*VLOOKUP(AVB49,ChurnSeasonTable,4,FALSE)),2)*BlendedPriceEssAnnual*AVE49+AVP13*POWER(1-(AnnualChurn*VLOOKUP(AVB49,ChurnSeasonTable,4,FALSE)),3)*BlendedPriceEssAnnual*AVE49+AVQ37*POWER(1-(AnnualChurn*VLOOKUP(AVB49,ChurnSeasonTable,4,FALSE)),1)*BlendedPricePremAnnual*AVE49+AVQ25*POWER(1-(AnnualChurn*VLOOKUP(AVB49,ChurnSeasonTable,4,FALSE)),2)*BlendedPricePremAnnual*AVE49+AVQ13*POWER(1-(AnnualChurn*VLOOKUP(AVB49,ChurnSeasonTable,4,FALSE)),3)*BlendedPricePremAnnual*AVE49+AVR37*POWER(1-(AnnualChurn*VLOOKUP(AVB49,ChurnSeasonTable,4,FALSE)),1)*BlendedPriceEliteAnnual*AVE49+AVR25*POWER(1-(AnnualChurn*VLOOKUP(AVB49,ChurnSeasonTable,4,FALSE)),2)*BlendedPriceEliteAnnual*AVE49+AVR13*POWER(1-(AnnualChurn*VLOOKUP(AVB49,ChurnSeasonTable,4,FALSE)),3)*BlendedPriceEliteAnnual*AVE49</f>
        <v/>
      </c>
      <c r="AWE49" s="9">
        <f>AWB49+AWC49+AWD49</f>
        <v/>
      </c>
      <c r="AWF49" s="12">
        <f>SUM(AWE38:AWE49)</f>
        <v/>
      </c>
      <c r="AWG49" s="12">
        <f>OR(AWG48,IF(VATAgentMode,SUM($AWE38:$AWE49)-SUM($AWL38:$AWL49)&gt;=VATThreshold,SUM($AWE38:$AWE49)&gt;=VATThreshold))</f>
        <v/>
      </c>
      <c r="AWH49" s="9">
        <f>IF(AWG49,IF(VATAgentMode,AWE49-((AWE49-AWL49)-(AWE49-AWL49)/(1+VATRate)),AWE49/(1+VATRate)),AWE49)</f>
        <v/>
      </c>
      <c r="AWI49" s="12">
        <f>AWE49-AWH49</f>
        <v/>
      </c>
      <c r="AWJ49" s="12">
        <f>IF(AWG49=0,0,IF(AVB49=1,SUMPRODUCT(--(($AVC$5:$AVC49=$AVC49-1)*($AVB$5:$AVB49&gt;=10)*($AVB$5:$AVB49&lt;=12)),$AWI$5:$AWI49),IF(AVB49=4,SUMPRODUCT(--(($AVC$5:$AVC49=$AVC49)*($AVB$5:$AVB49&gt;=1)*($AVB$5:$AVB49&lt;=3)),$AWI$5:$AWI49),IF(AVB49=7,SUMPRODUCT(--(($AVC$5:$AVC49=$AVC49)*($AVB$5:$AVB49&gt;=4)*($AVB$5:$AVB49&lt;=6)),$AWI$5:$AWI49),IF(AVB49=10,SUMPRODUCT(--(($AVC$5:$AVC49=$AVC49)*($AVB$5:$AVB49&gt;=7)*($AVB$5:$AVB49&lt;=9)),$AWI$5:$AWI49),0)))))</f>
        <v/>
      </c>
      <c r="AWK49" s="12">
        <f>AWK48+AWI49-AWJ49</f>
        <v/>
      </c>
      <c r="AWL49" s="12">
        <f>IF(ProviderDelay&gt;=1,AVS48*BlendedProvPayEss+AVT48*BlendedProvPayPrem+AVU48*BlendedProvPayElite+AVV48*BlendedProvPayEss+AVW48*BlendedProvPayPrem+AVX48*BlendedProvPayElite,AVS49*BlendedProvPayEss+AVT49*BlendedProvPayPrem+AVU49*BlendedProvPayElite+AVV49*BlendedProvPayEss+AVW49*BlendedProvPayPrem+AVX49*BlendedProvPayElite)</f>
        <v/>
      </c>
      <c r="AWM49" s="12">
        <f>AWE49*PaymentFee</f>
        <v/>
      </c>
      <c r="AWN49" s="12">
        <f>AVY49*OpsAI</f>
        <v/>
      </c>
      <c r="AWO49" s="12">
        <f>MonthlyFixed</f>
        <v/>
      </c>
      <c r="AWP49" s="12">
        <f>AVI49*ReferralReward</f>
        <v/>
      </c>
      <c r="AWQ49" s="12">
        <f>AVG49</f>
        <v/>
      </c>
      <c r="AWR49" s="9">
        <f>AWH49-AWL49-AWM49-AWN49-AWO49-AWP49-AWQ49</f>
        <v/>
      </c>
      <c r="AWS49" s="9">
        <f>AWS48+AWE49-(AWL49+AWM49+AWN49+AWO49+AWP49+AWQ49+AWJ49)</f>
        <v/>
      </c>
      <c r="AWT49" s="12">
        <f>IF(AVY49&gt;0,AVZ49/AVY49,0)</f>
        <v/>
      </c>
      <c r="AWU49" s="11">
        <f>IF(AVY48&gt;0,MAX(0,(AVY48+AVJ49-AVY49)/AVY48),0)</f>
        <v/>
      </c>
    </row>
    <row r="50">
      <c r="A50" s="12" t="n">
        <v>46</v>
      </c>
      <c r="B50" s="12">
        <f>MOD(A50-1+LaunchMonth-1,12)+1</f>
        <v/>
      </c>
      <c r="C50" s="12">
        <f>INT((A50-1+LaunchMonth-1)/12)+1</f>
        <v/>
      </c>
      <c r="D50" s="12">
        <f>VLOOKUP(B50,SeasonTable,2,FALSE)</f>
        <v/>
      </c>
      <c r="E50" s="12">
        <f>(1+InflationRate)^INT((A50-1)/12)</f>
        <v/>
      </c>
      <c r="F50" s="11">
        <f>'Sens - Scenarios'!$B$5*VLOOKUP(B50,ChurnSeasonTable,4,FALSE)</f>
        <v/>
      </c>
      <c r="G50" s="12">
        <f>MIN(MAX(MktMin19plus,AE49*MktPct19plus),MAX(0,AS49-CashBuffer))</f>
        <v/>
      </c>
      <c r="H50" s="12">
        <f>IF(G50&gt;0,MAX(1,ROUND(G50/'Sens - Scenarios'!$B$8*D50,0)),0)</f>
        <v/>
      </c>
      <c r="I50" s="12">
        <f>IF(H50&gt;0,ROUND(H50*ReferralMix/(1-ReferralMix),0),0)</f>
        <v/>
      </c>
      <c r="J50" s="12">
        <f>H50+I50</f>
        <v/>
      </c>
      <c r="K50" s="12">
        <f>ROUND(J50*(1-'Sens - Scenarios'!$B$7),0)</f>
        <v/>
      </c>
      <c r="L50" s="12">
        <f>J50-K50</f>
        <v/>
      </c>
      <c r="M50" s="12">
        <f>ROUND(K50*EssentialMix,0)</f>
        <v/>
      </c>
      <c r="N50" s="12">
        <f>ROUND(K50*PremiumMix,0)</f>
        <v/>
      </c>
      <c r="O50" s="12">
        <f>K50-M50-N50</f>
        <v/>
      </c>
      <c r="P50" s="12">
        <f>ROUND(L50*EssentialMix,0)</f>
        <v/>
      </c>
      <c r="Q50" s="12">
        <f>ROUND(L50*PremiumMix,0)</f>
        <v/>
      </c>
      <c r="R50" s="12">
        <f>L50-P50-Q50</f>
        <v/>
      </c>
      <c r="S50" s="12">
        <f>M50+M49+M48+MAX(0,S49-M49-M48)*(1-F50)</f>
        <v/>
      </c>
      <c r="T50" s="12">
        <f>N50+N49+N48+MAX(0,T49-N49-N48)*(1-F50)</f>
        <v/>
      </c>
      <c r="U50" s="12">
        <f>O50+O49+O48+MAX(0,U49-O49-O48)*(1-F50)</f>
        <v/>
      </c>
      <c r="V50" s="12">
        <f>V49+P50-P38*('Sens - Scenarios'!$B$6*VLOOKUP(B50,ChurnSeasonTable,4,FALSE))*POWER(1-('Sens - Scenarios'!$B$6*VLOOKUP(B50,ChurnSeasonTable,4,FALSE)),0)+P26*('Sens - Scenarios'!$B$6*VLOOKUP(B50,ChurnSeasonTable,4,FALSE))*POWER(1-('Sens - Scenarios'!$B$6*VLOOKUP(B50,ChurnSeasonTable,4,FALSE)),1)+P14*('Sens - Scenarios'!$B$6*VLOOKUP(B50,ChurnSeasonTable,4,FALSE))*POWER(1-('Sens - Scenarios'!$B$6*VLOOKUP(B50,ChurnSeasonTable,4,FALSE)),2)</f>
        <v/>
      </c>
      <c r="W50" s="12">
        <f>W49+Q50-Q38*('Sens - Scenarios'!$B$6*VLOOKUP(B50,ChurnSeasonTable,4,FALSE))*POWER(1-('Sens - Scenarios'!$B$6*VLOOKUP(B50,ChurnSeasonTable,4,FALSE)),0)+Q26*('Sens - Scenarios'!$B$6*VLOOKUP(B50,ChurnSeasonTable,4,FALSE))*POWER(1-('Sens - Scenarios'!$B$6*VLOOKUP(B50,ChurnSeasonTable,4,FALSE)),1)+Q14*('Sens - Scenarios'!$B$6*VLOOKUP(B50,ChurnSeasonTable,4,FALSE))*POWER(1-('Sens - Scenarios'!$B$6*VLOOKUP(B50,ChurnSeasonTable,4,FALSE)),2)</f>
        <v/>
      </c>
      <c r="X50" s="12">
        <f>X49+R50-R38*('Sens - Scenarios'!$B$6*VLOOKUP(B50,ChurnSeasonTable,4,FALSE))*POWER(1-('Sens - Scenarios'!$B$6*VLOOKUP(B50,ChurnSeasonTable,4,FALSE)),0)+R26*('Sens - Scenarios'!$B$6*VLOOKUP(B50,ChurnSeasonTable,4,FALSE))*POWER(1-('Sens - Scenarios'!$B$6*VLOOKUP(B50,ChurnSeasonTable,4,FALSE)),1)+R14*('Sens - Scenarios'!$B$6*VLOOKUP(B50,ChurnSeasonTable,4,FALSE))*POWER(1-('Sens - Scenarios'!$B$6*VLOOKUP(B50,ChurnSeasonTable,4,FALSE)),2)</f>
        <v/>
      </c>
      <c r="Y50" s="12">
        <f>S50+T50+U50+V50+W50+X50</f>
        <v/>
      </c>
      <c r="Z50" s="9">
        <f>S50*BlendedPriceEssMonthly*E50+T50*BlendedPricePremMonthly*E50+U50*BlendedPriceEliteMonthly*E50+V50*BlendedPriceEssAnnual*E50/12+W50*BlendedPricePremAnnual*E50/12+X50*BlendedPriceEliteAnnual*E50/12</f>
        <v/>
      </c>
      <c r="AA50" s="9">
        <f>Z50*12</f>
        <v/>
      </c>
      <c r="AB50" s="12">
        <f>S50*BlendedPriceEssMonthly*E50+T50*BlendedPricePremMonthly*E50+U50*BlendedPriceEliteMonthly*E50</f>
        <v/>
      </c>
      <c r="AC50" s="12">
        <f>P50*BlendedPriceEssAnnual*E50+Q50*BlendedPricePremAnnual*E50+R50*BlendedPriceEliteAnnual*E50</f>
        <v/>
      </c>
      <c r="AD50" s="12">
        <f>P38*POWER(1-('Sens - Scenarios'!$B$6*VLOOKUP(B50,ChurnSeasonTable,4,FALSE)),1)*BlendedPriceEssAnnual*E50+P26*POWER(1-('Sens - Scenarios'!$B$6*VLOOKUP(B50,ChurnSeasonTable,4,FALSE)),2)*BlendedPriceEssAnnual*E50+P14*POWER(1-('Sens - Scenarios'!$B$6*VLOOKUP(B50,ChurnSeasonTable,4,FALSE)),3)*BlendedPriceEssAnnual*E50+Q38*POWER(1-('Sens - Scenarios'!$B$6*VLOOKUP(B50,ChurnSeasonTable,4,FALSE)),1)*BlendedPricePremAnnual*E50+Q26*POWER(1-('Sens - Scenarios'!$B$6*VLOOKUP(B50,ChurnSeasonTable,4,FALSE)),2)*BlendedPricePremAnnual*E50+Q14*POWER(1-('Sens - Scenarios'!$B$6*VLOOKUP(B50,ChurnSeasonTable,4,FALSE)),3)*BlendedPricePremAnnual*E50+R38*POWER(1-('Sens - Scenarios'!$B$6*VLOOKUP(B50,ChurnSeasonTable,4,FALSE)),1)*BlendedPriceEliteAnnual*E50+R26*POWER(1-('Sens - Scenarios'!$B$6*VLOOKUP(B50,ChurnSeasonTable,4,FALSE)),2)*BlendedPriceEliteAnnual*E50+R14*POWER(1-('Sens - Scenarios'!$B$6*VLOOKUP(B50,ChurnSeasonTable,4,FALSE)),3)*BlendedPriceEliteAnnual*E50</f>
        <v/>
      </c>
      <c r="AE50" s="9">
        <f>AB50+AC50+AD50</f>
        <v/>
      </c>
      <c r="AF50" s="12">
        <f>SUM(AE39:AE50)</f>
        <v/>
      </c>
      <c r="AG50" s="12">
        <f>OR(AG49,IF(VATAgentMode,SUM($AE39:$AE50)-SUM($AL39:$AL50)&gt;=VATThreshold,SUM($AE39:$AE50)&gt;=VATThreshold))</f>
        <v/>
      </c>
      <c r="AH50" s="9">
        <f>IF(AG50,IF(VATAgentMode,AE50-((AE50-AL50)-(AE50-AL50)/(1+VATRate)),AE50/(1+VATRate)),AE50)</f>
        <v/>
      </c>
      <c r="AI50" s="12">
        <f>AE50-AH50</f>
        <v/>
      </c>
      <c r="AJ50" s="12">
        <f>IF(AG50=0,0,IF(B50=1,SUMPRODUCT(--(($C$5:$C50=$C50-1)*($B$5:$B50&gt;=10)*($B$5:$B50&lt;=12)),$AI$5:$AI50),IF(B50=4,SUMPRODUCT(--(($C$5:$C50=$C50)*($B$5:$B50&gt;=1)*($B$5:$B50&lt;=3)),$AI$5:$AI50),IF(B50=7,SUMPRODUCT(--(($C$5:$C50=$C50)*($B$5:$B50&gt;=4)*($B$5:$B50&lt;=6)),$AI$5:$AI50),IF(B50=10,SUMPRODUCT(--(($C$5:$C50=$C50)*($B$5:$B50&gt;=7)*($B$5:$B50&lt;=9)),$AI$5:$AI50),0)))))</f>
        <v/>
      </c>
      <c r="AK50" s="12">
        <f>AK49+AI50-AJ50</f>
        <v/>
      </c>
      <c r="AL50" s="12">
        <f>IF(ProviderDelay&gt;=1,S49*BlendedProvPayEss+T49*BlendedProvPayPrem+U49*BlendedProvPayElite+V49*BlendedProvPayEss+W49*BlendedProvPayPrem+X49*BlendedProvPayElite,S50*BlendedProvPayEss+T50*BlendedProvPayPrem+U50*BlendedProvPayElite+V50*BlendedProvPayEss+W50*BlendedProvPayPrem+X50*BlendedProvPayElite)</f>
        <v/>
      </c>
      <c r="AM50" s="12">
        <f>AE50*PaymentFee</f>
        <v/>
      </c>
      <c r="AN50" s="12">
        <f>Y50*OpsAI</f>
        <v/>
      </c>
      <c r="AO50" s="12">
        <f>MonthlyFixed</f>
        <v/>
      </c>
      <c r="AP50" s="12">
        <f>I50*ReferralReward</f>
        <v/>
      </c>
      <c r="AQ50" s="12">
        <f>G50</f>
        <v/>
      </c>
      <c r="AR50" s="9">
        <f>AH50-AL50-AM50-AN50-AO50-AP50-AQ50</f>
        <v/>
      </c>
      <c r="AS50" s="9">
        <f>AS49+AE50-(AL50+AM50+AN50+AO50+AP50+AQ50+AJ50)</f>
        <v/>
      </c>
      <c r="AT50" s="12">
        <f>IF(Y50&gt;0,Z50/Y50,0)</f>
        <v/>
      </c>
      <c r="AU50" s="11">
        <f>IF(Y49&gt;0,MAX(0,(Y49+J50-Y50)/Y49),0)</f>
        <v/>
      </c>
      <c r="AW50" s="12" t="n">
        <v>46</v>
      </c>
      <c r="AX50" s="12">
        <f>MOD(AW50-1+LaunchMonth-1,12)+1</f>
        <v/>
      </c>
      <c r="AY50" s="12">
        <f>INT((AW50-1+LaunchMonth-1)/12)+1</f>
        <v/>
      </c>
      <c r="AZ50" s="12">
        <f>VLOOKUP(AX50,SeasonTable,2,FALSE)</f>
        <v/>
      </c>
      <c r="BA50" s="12">
        <f>(1+InflationRate)^INT((AW50-1)/12)</f>
        <v/>
      </c>
      <c r="BB50" s="11">
        <f>MonthlyChurn*VLOOKUP(AX50,ChurnSeasonTable,4,FALSE)</f>
        <v/>
      </c>
      <c r="BC50" s="12">
        <f>MIN(MAX(MktMin19plus,CA49*MktPct19plus),MAX(0,CO49-CashBuffer))</f>
        <v/>
      </c>
      <c r="BD50" s="12">
        <f>IF(BC50&gt;0,MAX(1,ROUND(BC50/CAC*AZ50,0)),0)</f>
        <v/>
      </c>
      <c r="BE50" s="12">
        <f>IF(BD50&gt;0,ROUND(BD50*ReferralMix/(1-ReferralMix),0),0)</f>
        <v/>
      </c>
      <c r="BF50" s="12">
        <f>BD50+BE50</f>
        <v/>
      </c>
      <c r="BG50" s="12">
        <f>ROUND(BF50*(1-AnnualMix),0)</f>
        <v/>
      </c>
      <c r="BH50" s="12">
        <f>BF50-BG50</f>
        <v/>
      </c>
      <c r="BI50" s="12">
        <f>ROUND(BG50*EssentialMix,0)</f>
        <v/>
      </c>
      <c r="BJ50" s="12">
        <f>ROUND(BG50*PremiumMix,0)</f>
        <v/>
      </c>
      <c r="BK50" s="12">
        <f>BG50-BI50-BJ50</f>
        <v/>
      </c>
      <c r="BL50" s="12">
        <f>ROUND(BH50*EssentialMix,0)</f>
        <v/>
      </c>
      <c r="BM50" s="12">
        <f>ROUND(BH50*PremiumMix,0)</f>
        <v/>
      </c>
      <c r="BN50" s="12">
        <f>BH50-BL50-BM50</f>
        <v/>
      </c>
      <c r="BO50" s="12">
        <f>BI50+BI49+BI48+MAX(0,BO49-BI49-BI48)*(1-BB50)</f>
        <v/>
      </c>
      <c r="BP50" s="12">
        <f>BJ50+BJ49+BJ48+MAX(0,BP49-BJ49-BJ48)*(1-BB50)</f>
        <v/>
      </c>
      <c r="BQ50" s="12">
        <f>BK50+BK49+BK48+MAX(0,BQ49-BK49-BK48)*(1-BB50)</f>
        <v/>
      </c>
      <c r="BR50" s="12">
        <f>BR49+BL50-BL38*(AnnualChurn*VLOOKUP(AX50,ChurnSeasonTable,4,FALSE))*POWER(1-(AnnualChurn*VLOOKUP(AX50,ChurnSeasonTable,4,FALSE)),0)+BL26*(AnnualChurn*VLOOKUP(AX50,ChurnSeasonTable,4,FALSE))*POWER(1-(AnnualChurn*VLOOKUP(AX50,ChurnSeasonTable,4,FALSE)),1)+BL14*(AnnualChurn*VLOOKUP(AX50,ChurnSeasonTable,4,FALSE))*POWER(1-(AnnualChurn*VLOOKUP(AX50,ChurnSeasonTable,4,FALSE)),2)</f>
        <v/>
      </c>
      <c r="BS50" s="12">
        <f>BS49+BM50-BM38*(AnnualChurn*VLOOKUP(AX50,ChurnSeasonTable,4,FALSE))*POWER(1-(AnnualChurn*VLOOKUP(AX50,ChurnSeasonTable,4,FALSE)),0)+BM26*(AnnualChurn*VLOOKUP(AX50,ChurnSeasonTable,4,FALSE))*POWER(1-(AnnualChurn*VLOOKUP(AX50,ChurnSeasonTable,4,FALSE)),1)+BM14*(AnnualChurn*VLOOKUP(AX50,ChurnSeasonTable,4,FALSE))*POWER(1-(AnnualChurn*VLOOKUP(AX50,ChurnSeasonTable,4,FALSE)),2)</f>
        <v/>
      </c>
      <c r="BT50" s="12">
        <f>BT49+BN50-BN38*(AnnualChurn*VLOOKUP(AX50,ChurnSeasonTable,4,FALSE))*POWER(1-(AnnualChurn*VLOOKUP(AX50,ChurnSeasonTable,4,FALSE)),0)+BN26*(AnnualChurn*VLOOKUP(AX50,ChurnSeasonTable,4,FALSE))*POWER(1-(AnnualChurn*VLOOKUP(AX50,ChurnSeasonTable,4,FALSE)),1)+BN14*(AnnualChurn*VLOOKUP(AX50,ChurnSeasonTable,4,FALSE))*POWER(1-(AnnualChurn*VLOOKUP(AX50,ChurnSeasonTable,4,FALSE)),2)</f>
        <v/>
      </c>
      <c r="BU50" s="12">
        <f>BO50+BP50+BQ50+BR50+BS50+BT50</f>
        <v/>
      </c>
      <c r="BV50" s="9">
        <f>BO50*BlendedPriceEssMonthly*BA50+BP50*BlendedPricePremMonthly*BA50+BQ50*BlendedPriceEliteMonthly*BA50+BR50*BlendedPriceEssAnnual*BA50/12+BS50*BlendedPricePremAnnual*BA50/12+BT50*BlendedPriceEliteAnnual*BA50/12</f>
        <v/>
      </c>
      <c r="BW50" s="9">
        <f>BV50*12</f>
        <v/>
      </c>
      <c r="BX50" s="12">
        <f>BO50*BlendedPriceEssMonthly*BA50+BP50*BlendedPricePremMonthly*BA50+BQ50*BlendedPriceEliteMonthly*BA50</f>
        <v/>
      </c>
      <c r="BY50" s="12">
        <f>BL50*BlendedPriceEssAnnual*BA50+BM50*BlendedPricePremAnnual*BA50+BN50*BlendedPriceEliteAnnual*BA50</f>
        <v/>
      </c>
      <c r="BZ50" s="12">
        <f>BL38*POWER(1-(AnnualChurn*VLOOKUP(AX50,ChurnSeasonTable,4,FALSE)),1)*BlendedPriceEssAnnual*BA50+BL26*POWER(1-(AnnualChurn*VLOOKUP(AX50,ChurnSeasonTable,4,FALSE)),2)*BlendedPriceEssAnnual*BA50+BL14*POWER(1-(AnnualChurn*VLOOKUP(AX50,ChurnSeasonTable,4,FALSE)),3)*BlendedPriceEssAnnual*BA50+BM38*POWER(1-(AnnualChurn*VLOOKUP(AX50,ChurnSeasonTable,4,FALSE)),1)*BlendedPricePremAnnual*BA50+BM26*POWER(1-(AnnualChurn*VLOOKUP(AX50,ChurnSeasonTable,4,FALSE)),2)*BlendedPricePremAnnual*BA50+BM14*POWER(1-(AnnualChurn*VLOOKUP(AX50,ChurnSeasonTable,4,FALSE)),3)*BlendedPricePremAnnual*BA50+BN38*POWER(1-(AnnualChurn*VLOOKUP(AX50,ChurnSeasonTable,4,FALSE)),1)*BlendedPriceEliteAnnual*BA50+BN26*POWER(1-(AnnualChurn*VLOOKUP(AX50,ChurnSeasonTable,4,FALSE)),2)*BlendedPriceEliteAnnual*BA50+BN14*POWER(1-(AnnualChurn*VLOOKUP(AX50,ChurnSeasonTable,4,FALSE)),3)*BlendedPriceEliteAnnual*BA50</f>
        <v/>
      </c>
      <c r="CA50" s="9">
        <f>BX50+BY50+BZ50</f>
        <v/>
      </c>
      <c r="CB50" s="12">
        <f>SUM(CA39:CA50)</f>
        <v/>
      </c>
      <c r="CC50" s="12">
        <f>OR(CC49,IF(VATAgentMode,SUM($CA39:$CA50)-SUM($CH39:$CH50)&gt;=VATThreshold,SUM($CA39:$CA50)&gt;=VATThreshold))</f>
        <v/>
      </c>
      <c r="CD50" s="9">
        <f>IF(CC50,IF(VATAgentMode,CA50-((CA50-CH50)-(CA50-CH50)/(1+VATRate)),CA50/(1+VATRate)),CA50)</f>
        <v/>
      </c>
      <c r="CE50" s="12">
        <f>CA50-CD50</f>
        <v/>
      </c>
      <c r="CF50" s="12">
        <f>IF(CC50=0,0,IF(AX50=1,SUMPRODUCT(--(($AY$5:$AY50=$AY50-1)*($AX$5:$AX50&gt;=10)*($AX$5:$AX50&lt;=12)),$CE$5:$CE50),IF(AX50=4,SUMPRODUCT(--(($AY$5:$AY50=$AY50)*($AX$5:$AX50&gt;=1)*($AX$5:$AX50&lt;=3)),$CE$5:$CE50),IF(AX50=7,SUMPRODUCT(--(($AY$5:$AY50=$AY50)*($AX$5:$AX50&gt;=4)*($AX$5:$AX50&lt;=6)),$CE$5:$CE50),IF(AX50=10,SUMPRODUCT(--(($AY$5:$AY50=$AY50)*($AX$5:$AX50&gt;=7)*($AX$5:$AX50&lt;=9)),$CE$5:$CE50),0)))))</f>
        <v/>
      </c>
      <c r="CG50" s="12">
        <f>CG49+CE50-CF50</f>
        <v/>
      </c>
      <c r="CH50" s="12">
        <f>IF(ProviderDelay&gt;=1,BO49*BlendedProvPayEss+BP49*BlendedProvPayPrem+BQ49*BlendedProvPayElite+BR49*BlendedProvPayEss+BS49*BlendedProvPayPrem+BT49*BlendedProvPayElite,BO50*BlendedProvPayEss+BP50*BlendedProvPayPrem+BQ50*BlendedProvPayElite+BR50*BlendedProvPayEss+BS50*BlendedProvPayPrem+BT50*BlendedProvPayElite)</f>
        <v/>
      </c>
      <c r="CI50" s="12">
        <f>CA50*PaymentFee</f>
        <v/>
      </c>
      <c r="CJ50" s="12">
        <f>BU50*OpsAI</f>
        <v/>
      </c>
      <c r="CK50" s="12">
        <f>MonthlyFixed</f>
        <v/>
      </c>
      <c r="CL50" s="12">
        <f>BE50*ReferralReward</f>
        <v/>
      </c>
      <c r="CM50" s="12">
        <f>BC50</f>
        <v/>
      </c>
      <c r="CN50" s="9">
        <f>CD50-CH50-CI50-CJ50-CK50-CL50-CM50</f>
        <v/>
      </c>
      <c r="CO50" s="9">
        <f>CO49+CA50-(CH50+CI50+CJ50+CK50+CL50+CM50+CF50)</f>
        <v/>
      </c>
      <c r="CP50" s="12">
        <f>IF(BU50&gt;0,BV50/BU50,0)</f>
        <v/>
      </c>
      <c r="CQ50" s="11">
        <f>IF(BU49&gt;0,MAX(0,(BU49+BF50-BU50)/BU49),0)</f>
        <v/>
      </c>
      <c r="CS50" s="12" t="n">
        <v>46</v>
      </c>
      <c r="CT50" s="12">
        <f>MOD(CS50-1+LaunchMonth-1,12)+1</f>
        <v/>
      </c>
      <c r="CU50" s="12">
        <f>INT((CS50-1+LaunchMonth-1)/12)+1</f>
        <v/>
      </c>
      <c r="CV50" s="12">
        <f>VLOOKUP(CT50,SeasonTable,2,FALSE)</f>
        <v/>
      </c>
      <c r="CW50" s="12">
        <f>(1+InflationRate)^INT((CS50-1)/12)</f>
        <v/>
      </c>
      <c r="CX50" s="11">
        <f>'Sens - Scenarios'!$D$5*VLOOKUP(CT50,ChurnSeasonTable,4,FALSE)</f>
        <v/>
      </c>
      <c r="CY50" s="12">
        <f>MIN(MAX(MktMin19plus,DW49*MktPct19plus),MAX(0,EK49-CashBuffer))</f>
        <v/>
      </c>
      <c r="CZ50" s="12">
        <f>IF(CY50&gt;0,MAX(1,ROUND(CY50/'Sens - Scenarios'!$D$8*CV50,0)),0)</f>
        <v/>
      </c>
      <c r="DA50" s="12">
        <f>IF(CZ50&gt;0,ROUND(CZ50*ReferralMix/(1-ReferralMix),0),0)</f>
        <v/>
      </c>
      <c r="DB50" s="12">
        <f>CZ50+DA50</f>
        <v/>
      </c>
      <c r="DC50" s="12">
        <f>ROUND(DB50*(1-'Sens - Scenarios'!$D$7),0)</f>
        <v/>
      </c>
      <c r="DD50" s="12">
        <f>DB50-DC50</f>
        <v/>
      </c>
      <c r="DE50" s="12">
        <f>ROUND(DC50*EssentialMix,0)</f>
        <v/>
      </c>
      <c r="DF50" s="12">
        <f>ROUND(DC50*PremiumMix,0)</f>
        <v/>
      </c>
      <c r="DG50" s="12">
        <f>DC50-DE50-DF50</f>
        <v/>
      </c>
      <c r="DH50" s="12">
        <f>ROUND(DD50*EssentialMix,0)</f>
        <v/>
      </c>
      <c r="DI50" s="12">
        <f>ROUND(DD50*PremiumMix,0)</f>
        <v/>
      </c>
      <c r="DJ50" s="12">
        <f>DD50-DH50-DI50</f>
        <v/>
      </c>
      <c r="DK50" s="12">
        <f>DE50+DE49+DE48+MAX(0,DK49-DE49-DE48)*(1-CX50)</f>
        <v/>
      </c>
      <c r="DL50" s="12">
        <f>DF50+DF49+DF48+MAX(0,DL49-DF49-DF48)*(1-CX50)</f>
        <v/>
      </c>
      <c r="DM50" s="12">
        <f>DG50+DG49+DG48+MAX(0,DM49-DG49-DG48)*(1-CX50)</f>
        <v/>
      </c>
      <c r="DN50" s="12">
        <f>DN49+DH50-DH38*('Sens - Scenarios'!$D$6*VLOOKUP(CT50,ChurnSeasonTable,4,FALSE))*POWER(1-('Sens - Scenarios'!$D$6*VLOOKUP(CT50,ChurnSeasonTable,4,FALSE)),0)+DH26*('Sens - Scenarios'!$D$6*VLOOKUP(CT50,ChurnSeasonTable,4,FALSE))*POWER(1-('Sens - Scenarios'!$D$6*VLOOKUP(CT50,ChurnSeasonTable,4,FALSE)),1)+DH14*('Sens - Scenarios'!$D$6*VLOOKUP(CT50,ChurnSeasonTable,4,FALSE))*POWER(1-('Sens - Scenarios'!$D$6*VLOOKUP(CT50,ChurnSeasonTable,4,FALSE)),2)</f>
        <v/>
      </c>
      <c r="DO50" s="12">
        <f>DO49+DI50-DI38*('Sens - Scenarios'!$D$6*VLOOKUP(CT50,ChurnSeasonTable,4,FALSE))*POWER(1-('Sens - Scenarios'!$D$6*VLOOKUP(CT50,ChurnSeasonTable,4,FALSE)),0)+DI26*('Sens - Scenarios'!$D$6*VLOOKUP(CT50,ChurnSeasonTable,4,FALSE))*POWER(1-('Sens - Scenarios'!$D$6*VLOOKUP(CT50,ChurnSeasonTable,4,FALSE)),1)+DI14*('Sens - Scenarios'!$D$6*VLOOKUP(CT50,ChurnSeasonTable,4,FALSE))*POWER(1-('Sens - Scenarios'!$D$6*VLOOKUP(CT50,ChurnSeasonTable,4,FALSE)),2)</f>
        <v/>
      </c>
      <c r="DP50" s="12">
        <f>DP49+DJ50-DJ38*('Sens - Scenarios'!$D$6*VLOOKUP(CT50,ChurnSeasonTable,4,FALSE))*POWER(1-('Sens - Scenarios'!$D$6*VLOOKUP(CT50,ChurnSeasonTable,4,FALSE)),0)+DJ26*('Sens - Scenarios'!$D$6*VLOOKUP(CT50,ChurnSeasonTable,4,FALSE))*POWER(1-('Sens - Scenarios'!$D$6*VLOOKUP(CT50,ChurnSeasonTable,4,FALSE)),1)+DJ14*('Sens - Scenarios'!$D$6*VLOOKUP(CT50,ChurnSeasonTable,4,FALSE))*POWER(1-('Sens - Scenarios'!$D$6*VLOOKUP(CT50,ChurnSeasonTable,4,FALSE)),2)</f>
        <v/>
      </c>
      <c r="DQ50" s="12">
        <f>DK50+DL50+DM50+DN50+DO50+DP50</f>
        <v/>
      </c>
      <c r="DR50" s="9">
        <f>DK50*BlendedPriceEssMonthly*CW50+DL50*BlendedPricePremMonthly*CW50+DM50*BlendedPriceEliteMonthly*CW50+DN50*BlendedPriceEssAnnual*CW50/12+DO50*BlendedPricePremAnnual*CW50/12+DP50*BlendedPriceEliteAnnual*CW50/12</f>
        <v/>
      </c>
      <c r="DS50" s="9">
        <f>DR50*12</f>
        <v/>
      </c>
      <c r="DT50" s="12">
        <f>DK50*BlendedPriceEssMonthly*CW50+DL50*BlendedPricePremMonthly*CW50+DM50*BlendedPriceEliteMonthly*CW50</f>
        <v/>
      </c>
      <c r="DU50" s="12">
        <f>DH50*BlendedPriceEssAnnual*CW50+DI50*BlendedPricePremAnnual*CW50+DJ50*BlendedPriceEliteAnnual*CW50</f>
        <v/>
      </c>
      <c r="DV50" s="12">
        <f>DH38*POWER(1-('Sens - Scenarios'!$D$6*VLOOKUP(CT50,ChurnSeasonTable,4,FALSE)),1)*BlendedPriceEssAnnual*CW50+DH26*POWER(1-('Sens - Scenarios'!$D$6*VLOOKUP(CT50,ChurnSeasonTable,4,FALSE)),2)*BlendedPriceEssAnnual*CW50+DH14*POWER(1-('Sens - Scenarios'!$D$6*VLOOKUP(CT50,ChurnSeasonTable,4,FALSE)),3)*BlendedPriceEssAnnual*CW50+DI38*POWER(1-('Sens - Scenarios'!$D$6*VLOOKUP(CT50,ChurnSeasonTable,4,FALSE)),1)*BlendedPricePremAnnual*CW50+DI26*POWER(1-('Sens - Scenarios'!$D$6*VLOOKUP(CT50,ChurnSeasonTable,4,FALSE)),2)*BlendedPricePremAnnual*CW50+DI14*POWER(1-('Sens - Scenarios'!$D$6*VLOOKUP(CT50,ChurnSeasonTable,4,FALSE)),3)*BlendedPricePremAnnual*CW50+DJ38*POWER(1-('Sens - Scenarios'!$D$6*VLOOKUP(CT50,ChurnSeasonTable,4,FALSE)),1)*BlendedPriceEliteAnnual*CW50+DJ26*POWER(1-('Sens - Scenarios'!$D$6*VLOOKUP(CT50,ChurnSeasonTable,4,FALSE)),2)*BlendedPriceEliteAnnual*CW50+DJ14*POWER(1-('Sens - Scenarios'!$D$6*VLOOKUP(CT50,ChurnSeasonTable,4,FALSE)),3)*BlendedPriceEliteAnnual*CW50</f>
        <v/>
      </c>
      <c r="DW50" s="9">
        <f>DT50+DU50+DV50</f>
        <v/>
      </c>
      <c r="DX50" s="12">
        <f>SUM(DW39:DW50)</f>
        <v/>
      </c>
      <c r="DY50" s="12">
        <f>OR(DY49,IF(VATAgentMode,SUM($DW39:$DW50)-SUM($ED39:$ED50)&gt;=VATThreshold,SUM($DW39:$DW50)&gt;=VATThreshold))</f>
        <v/>
      </c>
      <c r="DZ50" s="9">
        <f>IF(DY50,IF(VATAgentMode,DW50-((DW50-ED50)-(DW50-ED50)/(1+VATRate)),DW50/(1+VATRate)),DW50)</f>
        <v/>
      </c>
      <c r="EA50" s="12">
        <f>DW50-DZ50</f>
        <v/>
      </c>
      <c r="EB50" s="12">
        <f>IF(DY50=0,0,IF(CT50=1,SUMPRODUCT(--(($CU$5:$CU50=$CU50-1)*($CT$5:$CT50&gt;=10)*($CT$5:$CT50&lt;=12)),$EA$5:$EA50),IF(CT50=4,SUMPRODUCT(--(($CU$5:$CU50=$CU50)*($CT$5:$CT50&gt;=1)*($CT$5:$CT50&lt;=3)),$EA$5:$EA50),IF(CT50=7,SUMPRODUCT(--(($CU$5:$CU50=$CU50)*($CT$5:$CT50&gt;=4)*($CT$5:$CT50&lt;=6)),$EA$5:$EA50),IF(CT50=10,SUMPRODUCT(--(($CU$5:$CU50=$CU50)*($CT$5:$CT50&gt;=7)*($CT$5:$CT50&lt;=9)),$EA$5:$EA50),0)))))</f>
        <v/>
      </c>
      <c r="EC50" s="12">
        <f>EC49+EA50-EB50</f>
        <v/>
      </c>
      <c r="ED50" s="12">
        <f>IF(ProviderDelay&gt;=1,DK49*BlendedProvPayEss+DL49*BlendedProvPayPrem+DM49*BlendedProvPayElite+DN49*BlendedProvPayEss+DO49*BlendedProvPayPrem+DP49*BlendedProvPayElite,DK50*BlendedProvPayEss+DL50*BlendedProvPayPrem+DM50*BlendedProvPayElite+DN50*BlendedProvPayEss+DO50*BlendedProvPayPrem+DP50*BlendedProvPayElite)</f>
        <v/>
      </c>
      <c r="EE50" s="12">
        <f>DW50*PaymentFee</f>
        <v/>
      </c>
      <c r="EF50" s="12">
        <f>DQ50*OpsAI</f>
        <v/>
      </c>
      <c r="EG50" s="12">
        <f>MonthlyFixed</f>
        <v/>
      </c>
      <c r="EH50" s="12">
        <f>DA50*ReferralReward</f>
        <v/>
      </c>
      <c r="EI50" s="12">
        <f>CY50</f>
        <v/>
      </c>
      <c r="EJ50" s="9">
        <f>DZ50-ED50-EE50-EF50-EG50-EH50-EI50</f>
        <v/>
      </c>
      <c r="EK50" s="9">
        <f>EK49+DW50-(ED50+EE50+EF50+EG50+EH50+EI50+EB50)</f>
        <v/>
      </c>
      <c r="EL50" s="12">
        <f>IF(DQ50&gt;0,DR50/DQ50,0)</f>
        <v/>
      </c>
      <c r="EM50" s="11">
        <f>IF(DQ49&gt;0,MAX(0,(DQ49+DB50-DQ50)/DQ49),0)</f>
        <v/>
      </c>
      <c r="EO50" s="12" t="n">
        <v>46</v>
      </c>
      <c r="EP50" s="12">
        <f>MOD(EO50-1+LaunchMonth-1,12)+1</f>
        <v/>
      </c>
      <c r="EQ50" s="12">
        <f>INT((EO50-1+LaunchMonth-1)/12)+1</f>
        <v/>
      </c>
      <c r="ER50" s="12">
        <f>VLOOKUP(EP50,SeasonTable,2,FALSE)</f>
        <v/>
      </c>
      <c r="ES50" s="12">
        <f>(1+InflationRate)^INT((EO50-1)/12)</f>
        <v/>
      </c>
      <c r="ET50" s="11">
        <f>'Sens - Churn'!$A$13*VLOOKUP(EP50,ChurnSeasonTable,4,FALSE)</f>
        <v/>
      </c>
      <c r="EU50" s="12">
        <f>MIN(MAX(MktMin19plus,FS49*MktPct19plus),MAX(0,GG49-CashBuffer))</f>
        <v/>
      </c>
      <c r="EV50" s="12">
        <f>IF(EU50&gt;0,MAX(1,ROUND(EU50/CAC*ER50,0)),0)</f>
        <v/>
      </c>
      <c r="EW50" s="12">
        <f>IF(EV50&gt;0,ROUND(EV50*ReferralMix/(1-ReferralMix),0),0)</f>
        <v/>
      </c>
      <c r="EX50" s="12">
        <f>EV50+EW50</f>
        <v/>
      </c>
      <c r="EY50" s="12">
        <f>ROUND(EX50*(1-AnnualMix),0)</f>
        <v/>
      </c>
      <c r="EZ50" s="12">
        <f>EX50-EY50</f>
        <v/>
      </c>
      <c r="FA50" s="12">
        <f>ROUND(EY50*EssentialMix,0)</f>
        <v/>
      </c>
      <c r="FB50" s="12">
        <f>ROUND(EY50*PremiumMix,0)</f>
        <v/>
      </c>
      <c r="FC50" s="12">
        <f>EY50-FA50-FB50</f>
        <v/>
      </c>
      <c r="FD50" s="12">
        <f>ROUND(EZ50*EssentialMix,0)</f>
        <v/>
      </c>
      <c r="FE50" s="12">
        <f>ROUND(EZ50*PremiumMix,0)</f>
        <v/>
      </c>
      <c r="FF50" s="12">
        <f>EZ50-FD50-FE50</f>
        <v/>
      </c>
      <c r="FG50" s="12">
        <f>FA50+FA49+FA48+MAX(0,FG49-FA49-FA48)*(1-ET50)</f>
        <v/>
      </c>
      <c r="FH50" s="12">
        <f>FB50+FB49+FB48+MAX(0,FH49-FB49-FB48)*(1-ET50)</f>
        <v/>
      </c>
      <c r="FI50" s="12">
        <f>FC50+FC49+FC48+MAX(0,FI49-FC49-FC48)*(1-ET50)</f>
        <v/>
      </c>
      <c r="FJ50" s="12">
        <f>FJ49+FD50-FD38*(AnnualChurn*VLOOKUP(EP50,ChurnSeasonTable,4,FALSE))*POWER(1-(AnnualChurn*VLOOKUP(EP50,ChurnSeasonTable,4,FALSE)),0)+FD26*(AnnualChurn*VLOOKUP(EP50,ChurnSeasonTable,4,FALSE))*POWER(1-(AnnualChurn*VLOOKUP(EP50,ChurnSeasonTable,4,FALSE)),1)+FD14*(AnnualChurn*VLOOKUP(EP50,ChurnSeasonTable,4,FALSE))*POWER(1-(AnnualChurn*VLOOKUP(EP50,ChurnSeasonTable,4,FALSE)),2)</f>
        <v/>
      </c>
      <c r="FK50" s="12">
        <f>FK49+FE50-FE38*(AnnualChurn*VLOOKUP(EP50,ChurnSeasonTable,4,FALSE))*POWER(1-(AnnualChurn*VLOOKUP(EP50,ChurnSeasonTable,4,FALSE)),0)+FE26*(AnnualChurn*VLOOKUP(EP50,ChurnSeasonTable,4,FALSE))*POWER(1-(AnnualChurn*VLOOKUP(EP50,ChurnSeasonTable,4,FALSE)),1)+FE14*(AnnualChurn*VLOOKUP(EP50,ChurnSeasonTable,4,FALSE))*POWER(1-(AnnualChurn*VLOOKUP(EP50,ChurnSeasonTable,4,FALSE)),2)</f>
        <v/>
      </c>
      <c r="FL50" s="12">
        <f>FL49+FF50-FF38*(AnnualChurn*VLOOKUP(EP50,ChurnSeasonTable,4,FALSE))*POWER(1-(AnnualChurn*VLOOKUP(EP50,ChurnSeasonTable,4,FALSE)),0)+FF26*(AnnualChurn*VLOOKUP(EP50,ChurnSeasonTable,4,FALSE))*POWER(1-(AnnualChurn*VLOOKUP(EP50,ChurnSeasonTable,4,FALSE)),1)+FF14*(AnnualChurn*VLOOKUP(EP50,ChurnSeasonTable,4,FALSE))*POWER(1-(AnnualChurn*VLOOKUP(EP50,ChurnSeasonTable,4,FALSE)),2)</f>
        <v/>
      </c>
      <c r="FM50" s="12">
        <f>FG50+FH50+FI50+FJ50+FK50+FL50</f>
        <v/>
      </c>
      <c r="FN50" s="9">
        <f>FG50*BlendedPriceEssMonthly*ES50+FH50*BlendedPricePremMonthly*ES50+FI50*BlendedPriceEliteMonthly*ES50+FJ50*BlendedPriceEssAnnual*ES50/12+FK50*BlendedPricePremAnnual*ES50/12+FL50*BlendedPriceEliteAnnual*ES50/12</f>
        <v/>
      </c>
      <c r="FO50" s="9">
        <f>FN50*12</f>
        <v/>
      </c>
      <c r="FP50" s="12">
        <f>FG50*BlendedPriceEssMonthly*ES50+FH50*BlendedPricePremMonthly*ES50+FI50*BlendedPriceEliteMonthly*ES50</f>
        <v/>
      </c>
      <c r="FQ50" s="12">
        <f>FD50*BlendedPriceEssAnnual*ES50+FE50*BlendedPricePremAnnual*ES50+FF50*BlendedPriceEliteAnnual*ES50</f>
        <v/>
      </c>
      <c r="FR50" s="12">
        <f>FD38*POWER(1-(AnnualChurn*VLOOKUP(EP50,ChurnSeasonTable,4,FALSE)),1)*BlendedPriceEssAnnual*ES50+FD26*POWER(1-(AnnualChurn*VLOOKUP(EP50,ChurnSeasonTable,4,FALSE)),2)*BlendedPriceEssAnnual*ES50+FD14*POWER(1-(AnnualChurn*VLOOKUP(EP50,ChurnSeasonTable,4,FALSE)),3)*BlendedPriceEssAnnual*ES50+FE38*POWER(1-(AnnualChurn*VLOOKUP(EP50,ChurnSeasonTable,4,FALSE)),1)*BlendedPricePremAnnual*ES50+FE26*POWER(1-(AnnualChurn*VLOOKUP(EP50,ChurnSeasonTable,4,FALSE)),2)*BlendedPricePremAnnual*ES50+FE14*POWER(1-(AnnualChurn*VLOOKUP(EP50,ChurnSeasonTable,4,FALSE)),3)*BlendedPricePremAnnual*ES50+FF38*POWER(1-(AnnualChurn*VLOOKUP(EP50,ChurnSeasonTable,4,FALSE)),1)*BlendedPriceEliteAnnual*ES50+FF26*POWER(1-(AnnualChurn*VLOOKUP(EP50,ChurnSeasonTable,4,FALSE)),2)*BlendedPriceEliteAnnual*ES50+FF14*POWER(1-(AnnualChurn*VLOOKUP(EP50,ChurnSeasonTable,4,FALSE)),3)*BlendedPriceEliteAnnual*ES50</f>
        <v/>
      </c>
      <c r="FS50" s="9">
        <f>FP50+FQ50+FR50</f>
        <v/>
      </c>
      <c r="FT50" s="12">
        <f>SUM(FS39:FS50)</f>
        <v/>
      </c>
      <c r="FU50" s="12">
        <f>OR(FU49,IF(VATAgentMode,SUM($FS39:$FS50)-SUM($FZ39:$FZ50)&gt;=VATThreshold,SUM($FS39:$FS50)&gt;=VATThreshold))</f>
        <v/>
      </c>
      <c r="FV50" s="9">
        <f>IF(FU50,IF(VATAgentMode,FS50-((FS50-FZ50)-(FS50-FZ50)/(1+VATRate)),FS50/(1+VATRate)),FS50)</f>
        <v/>
      </c>
      <c r="FW50" s="12">
        <f>FS50-FV50</f>
        <v/>
      </c>
      <c r="FX50" s="12">
        <f>IF(FU50=0,0,IF(EP50=1,SUMPRODUCT(--(($EQ$5:$EQ50=$EQ50-1)*($EP$5:$EP50&gt;=10)*($EP$5:$EP50&lt;=12)),$FW$5:$FW50),IF(EP50=4,SUMPRODUCT(--(($EQ$5:$EQ50=$EQ50)*($EP$5:$EP50&gt;=1)*($EP$5:$EP50&lt;=3)),$FW$5:$FW50),IF(EP50=7,SUMPRODUCT(--(($EQ$5:$EQ50=$EQ50)*($EP$5:$EP50&gt;=4)*($EP$5:$EP50&lt;=6)),$FW$5:$FW50),IF(EP50=10,SUMPRODUCT(--(($EQ$5:$EQ50=$EQ50)*($EP$5:$EP50&gt;=7)*($EP$5:$EP50&lt;=9)),$FW$5:$FW50),0)))))</f>
        <v/>
      </c>
      <c r="FY50" s="12">
        <f>FY49+FW50-FX50</f>
        <v/>
      </c>
      <c r="FZ50" s="12">
        <f>IF(ProviderDelay&gt;=1,FG49*BlendedProvPayEss+FH49*BlendedProvPayPrem+FI49*BlendedProvPayElite+FJ49*BlendedProvPayEss+FK49*BlendedProvPayPrem+FL49*BlendedProvPayElite,FG50*BlendedProvPayEss+FH50*BlendedProvPayPrem+FI50*BlendedProvPayElite+FJ50*BlendedProvPayEss+FK50*BlendedProvPayPrem+FL50*BlendedProvPayElite)</f>
        <v/>
      </c>
      <c r="GA50" s="12">
        <f>FS50*PaymentFee</f>
        <v/>
      </c>
      <c r="GB50" s="12">
        <f>FM50*OpsAI</f>
        <v/>
      </c>
      <c r="GC50" s="12">
        <f>MonthlyFixed</f>
        <v/>
      </c>
      <c r="GD50" s="12">
        <f>EW50*ReferralReward</f>
        <v/>
      </c>
      <c r="GE50" s="12">
        <f>EU50</f>
        <v/>
      </c>
      <c r="GF50" s="9">
        <f>FV50-FZ50-GA50-GB50-GC50-GD50-GE50</f>
        <v/>
      </c>
      <c r="GG50" s="9">
        <f>GG49+FS50-(FZ50+GA50+GB50+GC50+GD50+GE50+FX50)</f>
        <v/>
      </c>
      <c r="GH50" s="12">
        <f>IF(FM50&gt;0,FN50/FM50,0)</f>
        <v/>
      </c>
      <c r="GI50" s="11">
        <f>IF(FM49&gt;0,MAX(0,(FM49+EX50-FM50)/FM49),0)</f>
        <v/>
      </c>
      <c r="GK50" s="12" t="n">
        <v>46</v>
      </c>
      <c r="GL50" s="12">
        <f>MOD(GK50-1+LaunchMonth-1,12)+1</f>
        <v/>
      </c>
      <c r="GM50" s="12">
        <f>INT((GK50-1+LaunchMonth-1)/12)+1</f>
        <v/>
      </c>
      <c r="GN50" s="12">
        <f>VLOOKUP(GL50,SeasonTable,2,FALSE)</f>
        <v/>
      </c>
      <c r="GO50" s="12">
        <f>(1+InflationRate)^INT((GK50-1)/12)</f>
        <v/>
      </c>
      <c r="GP50" s="11">
        <f>'Sens - Churn'!$A$14*VLOOKUP(GL50,ChurnSeasonTable,4,FALSE)</f>
        <v/>
      </c>
      <c r="GQ50" s="12">
        <f>MIN(MAX(MktMin19plus,HO49*MktPct19plus),MAX(0,IC49-CashBuffer))</f>
        <v/>
      </c>
      <c r="GR50" s="12">
        <f>IF(GQ50&gt;0,MAX(1,ROUND(GQ50/CAC*GN50,0)),0)</f>
        <v/>
      </c>
      <c r="GS50" s="12">
        <f>IF(GR50&gt;0,ROUND(GR50*ReferralMix/(1-ReferralMix),0),0)</f>
        <v/>
      </c>
      <c r="GT50" s="12">
        <f>GR50+GS50</f>
        <v/>
      </c>
      <c r="GU50" s="12">
        <f>ROUND(GT50*(1-AnnualMix),0)</f>
        <v/>
      </c>
      <c r="GV50" s="12">
        <f>GT50-GU50</f>
        <v/>
      </c>
      <c r="GW50" s="12">
        <f>ROUND(GU50*EssentialMix,0)</f>
        <v/>
      </c>
      <c r="GX50" s="12">
        <f>ROUND(GU50*PremiumMix,0)</f>
        <v/>
      </c>
      <c r="GY50" s="12">
        <f>GU50-GW50-GX50</f>
        <v/>
      </c>
      <c r="GZ50" s="12">
        <f>ROUND(GV50*EssentialMix,0)</f>
        <v/>
      </c>
      <c r="HA50" s="12">
        <f>ROUND(GV50*PremiumMix,0)</f>
        <v/>
      </c>
      <c r="HB50" s="12">
        <f>GV50-GZ50-HA50</f>
        <v/>
      </c>
      <c r="HC50" s="12">
        <f>GW50+GW49+GW48+MAX(0,HC49-GW49-GW48)*(1-GP50)</f>
        <v/>
      </c>
      <c r="HD50" s="12">
        <f>GX50+GX49+GX48+MAX(0,HD49-GX49-GX48)*(1-GP50)</f>
        <v/>
      </c>
      <c r="HE50" s="12">
        <f>GY50+GY49+GY48+MAX(0,HE49-GY49-GY48)*(1-GP50)</f>
        <v/>
      </c>
      <c r="HF50" s="12">
        <f>HF49+GZ50-GZ38*(AnnualChurn*VLOOKUP(GL50,ChurnSeasonTable,4,FALSE))*POWER(1-(AnnualChurn*VLOOKUP(GL50,ChurnSeasonTable,4,FALSE)),0)+GZ26*(AnnualChurn*VLOOKUP(GL50,ChurnSeasonTable,4,FALSE))*POWER(1-(AnnualChurn*VLOOKUP(GL50,ChurnSeasonTable,4,FALSE)),1)+GZ14*(AnnualChurn*VLOOKUP(GL50,ChurnSeasonTable,4,FALSE))*POWER(1-(AnnualChurn*VLOOKUP(GL50,ChurnSeasonTable,4,FALSE)),2)</f>
        <v/>
      </c>
      <c r="HG50" s="12">
        <f>HG49+HA50-HA38*(AnnualChurn*VLOOKUP(GL50,ChurnSeasonTable,4,FALSE))*POWER(1-(AnnualChurn*VLOOKUP(GL50,ChurnSeasonTable,4,FALSE)),0)+HA26*(AnnualChurn*VLOOKUP(GL50,ChurnSeasonTable,4,FALSE))*POWER(1-(AnnualChurn*VLOOKUP(GL50,ChurnSeasonTable,4,FALSE)),1)+HA14*(AnnualChurn*VLOOKUP(GL50,ChurnSeasonTable,4,FALSE))*POWER(1-(AnnualChurn*VLOOKUP(GL50,ChurnSeasonTable,4,FALSE)),2)</f>
        <v/>
      </c>
      <c r="HH50" s="12">
        <f>HH49+HB50-HB38*(AnnualChurn*VLOOKUP(GL50,ChurnSeasonTable,4,FALSE))*POWER(1-(AnnualChurn*VLOOKUP(GL50,ChurnSeasonTable,4,FALSE)),0)+HB26*(AnnualChurn*VLOOKUP(GL50,ChurnSeasonTable,4,FALSE))*POWER(1-(AnnualChurn*VLOOKUP(GL50,ChurnSeasonTable,4,FALSE)),1)+HB14*(AnnualChurn*VLOOKUP(GL50,ChurnSeasonTable,4,FALSE))*POWER(1-(AnnualChurn*VLOOKUP(GL50,ChurnSeasonTable,4,FALSE)),2)</f>
        <v/>
      </c>
      <c r="HI50" s="12">
        <f>HC50+HD50+HE50+HF50+HG50+HH50</f>
        <v/>
      </c>
      <c r="HJ50" s="9">
        <f>HC50*BlendedPriceEssMonthly*GO50+HD50*BlendedPricePremMonthly*GO50+HE50*BlendedPriceEliteMonthly*GO50+HF50*BlendedPriceEssAnnual*GO50/12+HG50*BlendedPricePremAnnual*GO50/12+HH50*BlendedPriceEliteAnnual*GO50/12</f>
        <v/>
      </c>
      <c r="HK50" s="9">
        <f>HJ50*12</f>
        <v/>
      </c>
      <c r="HL50" s="12">
        <f>HC50*BlendedPriceEssMonthly*GO50+HD50*BlendedPricePremMonthly*GO50+HE50*BlendedPriceEliteMonthly*GO50</f>
        <v/>
      </c>
      <c r="HM50" s="12">
        <f>GZ50*BlendedPriceEssAnnual*GO50+HA50*BlendedPricePremAnnual*GO50+HB50*BlendedPriceEliteAnnual*GO50</f>
        <v/>
      </c>
      <c r="HN50" s="12">
        <f>GZ38*POWER(1-(AnnualChurn*VLOOKUP(GL50,ChurnSeasonTable,4,FALSE)),1)*BlendedPriceEssAnnual*GO50+GZ26*POWER(1-(AnnualChurn*VLOOKUP(GL50,ChurnSeasonTable,4,FALSE)),2)*BlendedPriceEssAnnual*GO50+GZ14*POWER(1-(AnnualChurn*VLOOKUP(GL50,ChurnSeasonTable,4,FALSE)),3)*BlendedPriceEssAnnual*GO50+HA38*POWER(1-(AnnualChurn*VLOOKUP(GL50,ChurnSeasonTable,4,FALSE)),1)*BlendedPricePremAnnual*GO50+HA26*POWER(1-(AnnualChurn*VLOOKUP(GL50,ChurnSeasonTable,4,FALSE)),2)*BlendedPricePremAnnual*GO50+HA14*POWER(1-(AnnualChurn*VLOOKUP(GL50,ChurnSeasonTable,4,FALSE)),3)*BlendedPricePremAnnual*GO50+HB38*POWER(1-(AnnualChurn*VLOOKUP(GL50,ChurnSeasonTable,4,FALSE)),1)*BlendedPriceEliteAnnual*GO50+HB26*POWER(1-(AnnualChurn*VLOOKUP(GL50,ChurnSeasonTable,4,FALSE)),2)*BlendedPriceEliteAnnual*GO50+HB14*POWER(1-(AnnualChurn*VLOOKUP(GL50,ChurnSeasonTable,4,FALSE)),3)*BlendedPriceEliteAnnual*GO50</f>
        <v/>
      </c>
      <c r="HO50" s="9">
        <f>HL50+HM50+HN50</f>
        <v/>
      </c>
      <c r="HP50" s="12">
        <f>SUM(HO39:HO50)</f>
        <v/>
      </c>
      <c r="HQ50" s="12">
        <f>OR(HQ49,IF(VATAgentMode,SUM($HO39:$HO50)-SUM($HV39:$HV50)&gt;=VATThreshold,SUM($HO39:$HO50)&gt;=VATThreshold))</f>
        <v/>
      </c>
      <c r="HR50" s="9">
        <f>IF(HQ50,IF(VATAgentMode,HO50-((HO50-HV50)-(HO50-HV50)/(1+VATRate)),HO50/(1+VATRate)),HO50)</f>
        <v/>
      </c>
      <c r="HS50" s="12">
        <f>HO50-HR50</f>
        <v/>
      </c>
      <c r="HT50" s="12">
        <f>IF(HQ50=0,0,IF(GL50=1,SUMPRODUCT(--(($GM$5:$GM50=$GM50-1)*($GL$5:$GL50&gt;=10)*($GL$5:$GL50&lt;=12)),$HS$5:$HS50),IF(GL50=4,SUMPRODUCT(--(($GM$5:$GM50=$GM50)*($GL$5:$GL50&gt;=1)*($GL$5:$GL50&lt;=3)),$HS$5:$HS50),IF(GL50=7,SUMPRODUCT(--(($GM$5:$GM50=$GM50)*($GL$5:$GL50&gt;=4)*($GL$5:$GL50&lt;=6)),$HS$5:$HS50),IF(GL50=10,SUMPRODUCT(--(($GM$5:$GM50=$GM50)*($GL$5:$GL50&gt;=7)*($GL$5:$GL50&lt;=9)),$HS$5:$HS50),0)))))</f>
        <v/>
      </c>
      <c r="HU50" s="12">
        <f>HU49+HS50-HT50</f>
        <v/>
      </c>
      <c r="HV50" s="12">
        <f>IF(ProviderDelay&gt;=1,HC49*BlendedProvPayEss+HD49*BlendedProvPayPrem+HE49*BlendedProvPayElite+HF49*BlendedProvPayEss+HG49*BlendedProvPayPrem+HH49*BlendedProvPayElite,HC50*BlendedProvPayEss+HD50*BlendedProvPayPrem+HE50*BlendedProvPayElite+HF50*BlendedProvPayEss+HG50*BlendedProvPayPrem+HH50*BlendedProvPayElite)</f>
        <v/>
      </c>
      <c r="HW50" s="12">
        <f>HO50*PaymentFee</f>
        <v/>
      </c>
      <c r="HX50" s="12">
        <f>HI50*OpsAI</f>
        <v/>
      </c>
      <c r="HY50" s="12">
        <f>MonthlyFixed</f>
        <v/>
      </c>
      <c r="HZ50" s="12">
        <f>GS50*ReferralReward</f>
        <v/>
      </c>
      <c r="IA50" s="12">
        <f>GQ50</f>
        <v/>
      </c>
      <c r="IB50" s="9">
        <f>HR50-HV50-HW50-HX50-HY50-HZ50-IA50</f>
        <v/>
      </c>
      <c r="IC50" s="9">
        <f>IC49+HO50-(HV50+HW50+HX50+HY50+HZ50+IA50+HT50)</f>
        <v/>
      </c>
      <c r="ID50" s="12">
        <f>IF(HI50&gt;0,HJ50/HI50,0)</f>
        <v/>
      </c>
      <c r="IE50" s="11">
        <f>IF(HI49&gt;0,MAX(0,(HI49+GT50-HI50)/HI49),0)</f>
        <v/>
      </c>
      <c r="IG50" s="12" t="n">
        <v>46</v>
      </c>
      <c r="IH50" s="12">
        <f>MOD(IG50-1+LaunchMonth-1,12)+1</f>
        <v/>
      </c>
      <c r="II50" s="12">
        <f>INT((IG50-1+LaunchMonth-1)/12)+1</f>
        <v/>
      </c>
      <c r="IJ50" s="12">
        <f>VLOOKUP(IH50,SeasonTable,2,FALSE)</f>
        <v/>
      </c>
      <c r="IK50" s="12">
        <f>(1+InflationRate)^INT((IG50-1)/12)</f>
        <v/>
      </c>
      <c r="IL50" s="11">
        <f>'Sens - Churn'!$A$15*VLOOKUP(IH50,ChurnSeasonTable,4,FALSE)</f>
        <v/>
      </c>
      <c r="IM50" s="12">
        <f>MIN(MAX(MktMin19plus,JK49*MktPct19plus),MAX(0,JY49-CashBuffer))</f>
        <v/>
      </c>
      <c r="IN50" s="12">
        <f>IF(IM50&gt;0,MAX(1,ROUND(IM50/CAC*IJ50,0)),0)</f>
        <v/>
      </c>
      <c r="IO50" s="12">
        <f>IF(IN50&gt;0,ROUND(IN50*ReferralMix/(1-ReferralMix),0),0)</f>
        <v/>
      </c>
      <c r="IP50" s="12">
        <f>IN50+IO50</f>
        <v/>
      </c>
      <c r="IQ50" s="12">
        <f>ROUND(IP50*(1-AnnualMix),0)</f>
        <v/>
      </c>
      <c r="IR50" s="12">
        <f>IP50-IQ50</f>
        <v/>
      </c>
      <c r="IS50" s="12">
        <f>ROUND(IQ50*EssentialMix,0)</f>
        <v/>
      </c>
      <c r="IT50" s="12">
        <f>ROUND(IQ50*PremiumMix,0)</f>
        <v/>
      </c>
      <c r="IU50" s="12">
        <f>IQ50-IS50-IT50</f>
        <v/>
      </c>
      <c r="IV50" s="12">
        <f>ROUND(IR50*EssentialMix,0)</f>
        <v/>
      </c>
      <c r="IW50" s="12">
        <f>ROUND(IR50*PremiumMix,0)</f>
        <v/>
      </c>
      <c r="IX50" s="12">
        <f>IR50-IV50-IW50</f>
        <v/>
      </c>
      <c r="IY50" s="12">
        <f>IS50+IS49+IS48+MAX(0,IY49-IS49-IS48)*(1-IL50)</f>
        <v/>
      </c>
      <c r="IZ50" s="12">
        <f>IT50+IT49+IT48+MAX(0,IZ49-IT49-IT48)*(1-IL50)</f>
        <v/>
      </c>
      <c r="JA50" s="12">
        <f>IU50+IU49+IU48+MAX(0,JA49-IU49-IU48)*(1-IL50)</f>
        <v/>
      </c>
      <c r="JB50" s="12">
        <f>JB49+IV50-IV38*(AnnualChurn*VLOOKUP(IH50,ChurnSeasonTable,4,FALSE))*POWER(1-(AnnualChurn*VLOOKUP(IH50,ChurnSeasonTable,4,FALSE)),0)+IV26*(AnnualChurn*VLOOKUP(IH50,ChurnSeasonTable,4,FALSE))*POWER(1-(AnnualChurn*VLOOKUP(IH50,ChurnSeasonTable,4,FALSE)),1)+IV14*(AnnualChurn*VLOOKUP(IH50,ChurnSeasonTable,4,FALSE))*POWER(1-(AnnualChurn*VLOOKUP(IH50,ChurnSeasonTable,4,FALSE)),2)</f>
        <v/>
      </c>
      <c r="JC50" s="12">
        <f>JC49+IW50-IW38*(AnnualChurn*VLOOKUP(IH50,ChurnSeasonTable,4,FALSE))*POWER(1-(AnnualChurn*VLOOKUP(IH50,ChurnSeasonTable,4,FALSE)),0)+IW26*(AnnualChurn*VLOOKUP(IH50,ChurnSeasonTable,4,FALSE))*POWER(1-(AnnualChurn*VLOOKUP(IH50,ChurnSeasonTable,4,FALSE)),1)+IW14*(AnnualChurn*VLOOKUP(IH50,ChurnSeasonTable,4,FALSE))*POWER(1-(AnnualChurn*VLOOKUP(IH50,ChurnSeasonTable,4,FALSE)),2)</f>
        <v/>
      </c>
      <c r="JD50" s="12">
        <f>JD49+IX50-IX38*(AnnualChurn*VLOOKUP(IH50,ChurnSeasonTable,4,FALSE))*POWER(1-(AnnualChurn*VLOOKUP(IH50,ChurnSeasonTable,4,FALSE)),0)+IX26*(AnnualChurn*VLOOKUP(IH50,ChurnSeasonTable,4,FALSE))*POWER(1-(AnnualChurn*VLOOKUP(IH50,ChurnSeasonTable,4,FALSE)),1)+IX14*(AnnualChurn*VLOOKUP(IH50,ChurnSeasonTable,4,FALSE))*POWER(1-(AnnualChurn*VLOOKUP(IH50,ChurnSeasonTable,4,FALSE)),2)</f>
        <v/>
      </c>
      <c r="JE50" s="12">
        <f>IY50+IZ50+JA50+JB50+JC50+JD50</f>
        <v/>
      </c>
      <c r="JF50" s="9">
        <f>IY50*BlendedPriceEssMonthly*IK50+IZ50*BlendedPricePremMonthly*IK50+JA50*BlendedPriceEliteMonthly*IK50+JB50*BlendedPriceEssAnnual*IK50/12+JC50*BlendedPricePremAnnual*IK50/12+JD50*BlendedPriceEliteAnnual*IK50/12</f>
        <v/>
      </c>
      <c r="JG50" s="9">
        <f>JF50*12</f>
        <v/>
      </c>
      <c r="JH50" s="12">
        <f>IY50*BlendedPriceEssMonthly*IK50+IZ50*BlendedPricePremMonthly*IK50+JA50*BlendedPriceEliteMonthly*IK50</f>
        <v/>
      </c>
      <c r="JI50" s="12">
        <f>IV50*BlendedPriceEssAnnual*IK50+IW50*BlendedPricePremAnnual*IK50+IX50*BlendedPriceEliteAnnual*IK50</f>
        <v/>
      </c>
      <c r="JJ50" s="12">
        <f>IV38*POWER(1-(AnnualChurn*VLOOKUP(IH50,ChurnSeasonTable,4,FALSE)),1)*BlendedPriceEssAnnual*IK50+IV26*POWER(1-(AnnualChurn*VLOOKUP(IH50,ChurnSeasonTable,4,FALSE)),2)*BlendedPriceEssAnnual*IK50+IV14*POWER(1-(AnnualChurn*VLOOKUP(IH50,ChurnSeasonTable,4,FALSE)),3)*BlendedPriceEssAnnual*IK50+IW38*POWER(1-(AnnualChurn*VLOOKUP(IH50,ChurnSeasonTable,4,FALSE)),1)*BlendedPricePremAnnual*IK50+IW26*POWER(1-(AnnualChurn*VLOOKUP(IH50,ChurnSeasonTable,4,FALSE)),2)*BlendedPricePremAnnual*IK50+IW14*POWER(1-(AnnualChurn*VLOOKUP(IH50,ChurnSeasonTable,4,FALSE)),3)*BlendedPricePremAnnual*IK50+IX38*POWER(1-(AnnualChurn*VLOOKUP(IH50,ChurnSeasonTable,4,FALSE)),1)*BlendedPriceEliteAnnual*IK50+IX26*POWER(1-(AnnualChurn*VLOOKUP(IH50,ChurnSeasonTable,4,FALSE)),2)*BlendedPriceEliteAnnual*IK50+IX14*POWER(1-(AnnualChurn*VLOOKUP(IH50,ChurnSeasonTable,4,FALSE)),3)*BlendedPriceEliteAnnual*IK50</f>
        <v/>
      </c>
      <c r="JK50" s="9">
        <f>JH50+JI50+JJ50</f>
        <v/>
      </c>
      <c r="JL50" s="12">
        <f>SUM(JK39:JK50)</f>
        <v/>
      </c>
      <c r="JM50" s="12">
        <f>OR(JM49,IF(VATAgentMode,SUM($JK39:$JK50)-SUM($JR39:$JR50)&gt;=VATThreshold,SUM($JK39:$JK50)&gt;=VATThreshold))</f>
        <v/>
      </c>
      <c r="JN50" s="9">
        <f>IF(JM50,IF(VATAgentMode,JK50-((JK50-JR50)-(JK50-JR50)/(1+VATRate)),JK50/(1+VATRate)),JK50)</f>
        <v/>
      </c>
      <c r="JO50" s="12">
        <f>JK50-JN50</f>
        <v/>
      </c>
      <c r="JP50" s="12">
        <f>IF(JM50=0,0,IF(IH50=1,SUMPRODUCT(--(($II$5:$II50=$II50-1)*($IH$5:$IH50&gt;=10)*($IH$5:$IH50&lt;=12)),$JO$5:$JO50),IF(IH50=4,SUMPRODUCT(--(($II$5:$II50=$II50)*($IH$5:$IH50&gt;=1)*($IH$5:$IH50&lt;=3)),$JO$5:$JO50),IF(IH50=7,SUMPRODUCT(--(($II$5:$II50=$II50)*($IH$5:$IH50&gt;=4)*($IH$5:$IH50&lt;=6)),$JO$5:$JO50),IF(IH50=10,SUMPRODUCT(--(($II$5:$II50=$II50)*($IH$5:$IH50&gt;=7)*($IH$5:$IH50&lt;=9)),$JO$5:$JO50),0)))))</f>
        <v/>
      </c>
      <c r="JQ50" s="12">
        <f>JQ49+JO50-JP50</f>
        <v/>
      </c>
      <c r="JR50" s="12">
        <f>IF(ProviderDelay&gt;=1,IY49*BlendedProvPayEss+IZ49*BlendedProvPayPrem+JA49*BlendedProvPayElite+JB49*BlendedProvPayEss+JC49*BlendedProvPayPrem+JD49*BlendedProvPayElite,IY50*BlendedProvPayEss+IZ50*BlendedProvPayPrem+JA50*BlendedProvPayElite+JB50*BlendedProvPayEss+JC50*BlendedProvPayPrem+JD50*BlendedProvPayElite)</f>
        <v/>
      </c>
      <c r="JS50" s="12">
        <f>JK50*PaymentFee</f>
        <v/>
      </c>
      <c r="JT50" s="12">
        <f>JE50*OpsAI</f>
        <v/>
      </c>
      <c r="JU50" s="12">
        <f>MonthlyFixed</f>
        <v/>
      </c>
      <c r="JV50" s="12">
        <f>IO50*ReferralReward</f>
        <v/>
      </c>
      <c r="JW50" s="12">
        <f>IM50</f>
        <v/>
      </c>
      <c r="JX50" s="9">
        <f>JN50-JR50-JS50-JT50-JU50-JV50-JW50</f>
        <v/>
      </c>
      <c r="JY50" s="9">
        <f>JY49+JK50-(JR50+JS50+JT50+JU50+JV50+JW50+JP50)</f>
        <v/>
      </c>
      <c r="JZ50" s="12">
        <f>IF(JE50&gt;0,JF50/JE50,0)</f>
        <v/>
      </c>
      <c r="KA50" s="11">
        <f>IF(JE49&gt;0,MAX(0,(JE49+IP50-JE50)/JE49),0)</f>
        <v/>
      </c>
      <c r="KC50" s="12" t="n">
        <v>46</v>
      </c>
      <c r="KD50" s="12">
        <f>MOD(KC50-1+LaunchMonth-1,12)+1</f>
        <v/>
      </c>
      <c r="KE50" s="12">
        <f>INT((KC50-1+LaunchMonth-1)/12)+1</f>
        <v/>
      </c>
      <c r="KF50" s="12">
        <f>VLOOKUP(KD50,SeasonTable,2,FALSE)</f>
        <v/>
      </c>
      <c r="KG50" s="12">
        <f>(1+InflationRate)^INT((KC50-1)/12)</f>
        <v/>
      </c>
      <c r="KH50" s="11">
        <f>'Sens - Churn'!$A$16*VLOOKUP(KD50,ChurnSeasonTable,4,FALSE)</f>
        <v/>
      </c>
      <c r="KI50" s="12">
        <f>MIN(MAX(MktMin19plus,LG49*MktPct19plus),MAX(0,LU49-CashBuffer))</f>
        <v/>
      </c>
      <c r="KJ50" s="12">
        <f>IF(KI50&gt;0,MAX(1,ROUND(KI50/CAC*KF50,0)),0)</f>
        <v/>
      </c>
      <c r="KK50" s="12">
        <f>IF(KJ50&gt;0,ROUND(KJ50*ReferralMix/(1-ReferralMix),0),0)</f>
        <v/>
      </c>
      <c r="KL50" s="12">
        <f>KJ50+KK50</f>
        <v/>
      </c>
      <c r="KM50" s="12">
        <f>ROUND(KL50*(1-AnnualMix),0)</f>
        <v/>
      </c>
      <c r="KN50" s="12">
        <f>KL50-KM50</f>
        <v/>
      </c>
      <c r="KO50" s="12">
        <f>ROUND(KM50*EssentialMix,0)</f>
        <v/>
      </c>
      <c r="KP50" s="12">
        <f>ROUND(KM50*PremiumMix,0)</f>
        <v/>
      </c>
      <c r="KQ50" s="12">
        <f>KM50-KO50-KP50</f>
        <v/>
      </c>
      <c r="KR50" s="12">
        <f>ROUND(KN50*EssentialMix,0)</f>
        <v/>
      </c>
      <c r="KS50" s="12">
        <f>ROUND(KN50*PremiumMix,0)</f>
        <v/>
      </c>
      <c r="KT50" s="12">
        <f>KN50-KR50-KS50</f>
        <v/>
      </c>
      <c r="KU50" s="12">
        <f>KO50+KO49+KO48+MAX(0,KU49-KO49-KO48)*(1-KH50)</f>
        <v/>
      </c>
      <c r="KV50" s="12">
        <f>KP50+KP49+KP48+MAX(0,KV49-KP49-KP48)*(1-KH50)</f>
        <v/>
      </c>
      <c r="KW50" s="12">
        <f>KQ50+KQ49+KQ48+MAX(0,KW49-KQ49-KQ48)*(1-KH50)</f>
        <v/>
      </c>
      <c r="KX50" s="12">
        <f>KX49+KR50-KR38*(AnnualChurn*VLOOKUP(KD50,ChurnSeasonTable,4,FALSE))*POWER(1-(AnnualChurn*VLOOKUP(KD50,ChurnSeasonTable,4,FALSE)),0)+KR26*(AnnualChurn*VLOOKUP(KD50,ChurnSeasonTable,4,FALSE))*POWER(1-(AnnualChurn*VLOOKUP(KD50,ChurnSeasonTable,4,FALSE)),1)+KR14*(AnnualChurn*VLOOKUP(KD50,ChurnSeasonTable,4,FALSE))*POWER(1-(AnnualChurn*VLOOKUP(KD50,ChurnSeasonTable,4,FALSE)),2)</f>
        <v/>
      </c>
      <c r="KY50" s="12">
        <f>KY49+KS50-KS38*(AnnualChurn*VLOOKUP(KD50,ChurnSeasonTable,4,FALSE))*POWER(1-(AnnualChurn*VLOOKUP(KD50,ChurnSeasonTable,4,FALSE)),0)+KS26*(AnnualChurn*VLOOKUP(KD50,ChurnSeasonTable,4,FALSE))*POWER(1-(AnnualChurn*VLOOKUP(KD50,ChurnSeasonTable,4,FALSE)),1)+KS14*(AnnualChurn*VLOOKUP(KD50,ChurnSeasonTable,4,FALSE))*POWER(1-(AnnualChurn*VLOOKUP(KD50,ChurnSeasonTable,4,FALSE)),2)</f>
        <v/>
      </c>
      <c r="KZ50" s="12">
        <f>KZ49+KT50-KT38*(AnnualChurn*VLOOKUP(KD50,ChurnSeasonTable,4,FALSE))*POWER(1-(AnnualChurn*VLOOKUP(KD50,ChurnSeasonTable,4,FALSE)),0)+KT26*(AnnualChurn*VLOOKUP(KD50,ChurnSeasonTable,4,FALSE))*POWER(1-(AnnualChurn*VLOOKUP(KD50,ChurnSeasonTable,4,FALSE)),1)+KT14*(AnnualChurn*VLOOKUP(KD50,ChurnSeasonTable,4,FALSE))*POWER(1-(AnnualChurn*VLOOKUP(KD50,ChurnSeasonTable,4,FALSE)),2)</f>
        <v/>
      </c>
      <c r="LA50" s="12">
        <f>KU50+KV50+KW50+KX50+KY50+KZ50</f>
        <v/>
      </c>
      <c r="LB50" s="9">
        <f>KU50*BlendedPriceEssMonthly*KG50+KV50*BlendedPricePremMonthly*KG50+KW50*BlendedPriceEliteMonthly*KG50+KX50*BlendedPriceEssAnnual*KG50/12+KY50*BlendedPricePremAnnual*KG50/12+KZ50*BlendedPriceEliteAnnual*KG50/12</f>
        <v/>
      </c>
      <c r="LC50" s="9">
        <f>LB50*12</f>
        <v/>
      </c>
      <c r="LD50" s="12">
        <f>KU50*BlendedPriceEssMonthly*KG50+KV50*BlendedPricePremMonthly*KG50+KW50*BlendedPriceEliteMonthly*KG50</f>
        <v/>
      </c>
      <c r="LE50" s="12">
        <f>KR50*BlendedPriceEssAnnual*KG50+KS50*BlendedPricePremAnnual*KG50+KT50*BlendedPriceEliteAnnual*KG50</f>
        <v/>
      </c>
      <c r="LF50" s="12">
        <f>KR38*POWER(1-(AnnualChurn*VLOOKUP(KD50,ChurnSeasonTable,4,FALSE)),1)*BlendedPriceEssAnnual*KG50+KR26*POWER(1-(AnnualChurn*VLOOKUP(KD50,ChurnSeasonTable,4,FALSE)),2)*BlendedPriceEssAnnual*KG50+KR14*POWER(1-(AnnualChurn*VLOOKUP(KD50,ChurnSeasonTable,4,FALSE)),3)*BlendedPriceEssAnnual*KG50+KS38*POWER(1-(AnnualChurn*VLOOKUP(KD50,ChurnSeasonTable,4,FALSE)),1)*BlendedPricePremAnnual*KG50+KS26*POWER(1-(AnnualChurn*VLOOKUP(KD50,ChurnSeasonTable,4,FALSE)),2)*BlendedPricePremAnnual*KG50+KS14*POWER(1-(AnnualChurn*VLOOKUP(KD50,ChurnSeasonTable,4,FALSE)),3)*BlendedPricePremAnnual*KG50+KT38*POWER(1-(AnnualChurn*VLOOKUP(KD50,ChurnSeasonTable,4,FALSE)),1)*BlendedPriceEliteAnnual*KG50+KT26*POWER(1-(AnnualChurn*VLOOKUP(KD50,ChurnSeasonTable,4,FALSE)),2)*BlendedPriceEliteAnnual*KG50+KT14*POWER(1-(AnnualChurn*VLOOKUP(KD50,ChurnSeasonTable,4,FALSE)),3)*BlendedPriceEliteAnnual*KG50</f>
        <v/>
      </c>
      <c r="LG50" s="9">
        <f>LD50+LE50+LF50</f>
        <v/>
      </c>
      <c r="LH50" s="12">
        <f>SUM(LG39:LG50)</f>
        <v/>
      </c>
      <c r="LI50" s="12">
        <f>OR(LI49,IF(VATAgentMode,SUM($LG39:$LG50)-SUM($LN39:$LN50)&gt;=VATThreshold,SUM($LG39:$LG50)&gt;=VATThreshold))</f>
        <v/>
      </c>
      <c r="LJ50" s="9">
        <f>IF(LI50,IF(VATAgentMode,LG50-((LG50-LN50)-(LG50-LN50)/(1+VATRate)),LG50/(1+VATRate)),LG50)</f>
        <v/>
      </c>
      <c r="LK50" s="12">
        <f>LG50-LJ50</f>
        <v/>
      </c>
      <c r="LL50" s="12">
        <f>IF(LI50=0,0,IF(KD50=1,SUMPRODUCT(--(($KE$5:$KE50=$KE50-1)*($KD$5:$KD50&gt;=10)*($KD$5:$KD50&lt;=12)),$LK$5:$LK50),IF(KD50=4,SUMPRODUCT(--(($KE$5:$KE50=$KE50)*($KD$5:$KD50&gt;=1)*($KD$5:$KD50&lt;=3)),$LK$5:$LK50),IF(KD50=7,SUMPRODUCT(--(($KE$5:$KE50=$KE50)*($KD$5:$KD50&gt;=4)*($KD$5:$KD50&lt;=6)),$LK$5:$LK50),IF(KD50=10,SUMPRODUCT(--(($KE$5:$KE50=$KE50)*($KD$5:$KD50&gt;=7)*($KD$5:$KD50&lt;=9)),$LK$5:$LK50),0)))))</f>
        <v/>
      </c>
      <c r="LM50" s="12">
        <f>LM49+LK50-LL50</f>
        <v/>
      </c>
      <c r="LN50" s="12">
        <f>IF(ProviderDelay&gt;=1,KU49*BlendedProvPayEss+KV49*BlendedProvPayPrem+KW49*BlendedProvPayElite+KX49*BlendedProvPayEss+KY49*BlendedProvPayPrem+KZ49*BlendedProvPayElite,KU50*BlendedProvPayEss+KV50*BlendedProvPayPrem+KW50*BlendedProvPayElite+KX50*BlendedProvPayEss+KY50*BlendedProvPayPrem+KZ50*BlendedProvPayElite)</f>
        <v/>
      </c>
      <c r="LO50" s="12">
        <f>LG50*PaymentFee</f>
        <v/>
      </c>
      <c r="LP50" s="12">
        <f>LA50*OpsAI</f>
        <v/>
      </c>
      <c r="LQ50" s="12">
        <f>MonthlyFixed</f>
        <v/>
      </c>
      <c r="LR50" s="12">
        <f>KK50*ReferralReward</f>
        <v/>
      </c>
      <c r="LS50" s="12">
        <f>KI50</f>
        <v/>
      </c>
      <c r="LT50" s="9">
        <f>LJ50-LN50-LO50-LP50-LQ50-LR50-LS50</f>
        <v/>
      </c>
      <c r="LU50" s="9">
        <f>LU49+LG50-(LN50+LO50+LP50+LQ50+LR50+LS50+LL50)</f>
        <v/>
      </c>
      <c r="LV50" s="12">
        <f>IF(LA50&gt;0,LB50/LA50,0)</f>
        <v/>
      </c>
      <c r="LW50" s="11">
        <f>IF(LA49&gt;0,MAX(0,(LA49+KL50-LA50)/LA49),0)</f>
        <v/>
      </c>
      <c r="LY50" s="12" t="n">
        <v>46</v>
      </c>
      <c r="LZ50" s="12">
        <f>MOD(LY50-1+LaunchMonth-1,12)+1</f>
        <v/>
      </c>
      <c r="MA50" s="12">
        <f>INT((LY50-1+LaunchMonth-1)/12)+1</f>
        <v/>
      </c>
      <c r="MB50" s="12">
        <f>VLOOKUP(LZ50,SeasonTable,2,FALSE)</f>
        <v/>
      </c>
      <c r="MC50" s="12">
        <f>(1+InflationRate)^INT((LY50-1)/12)</f>
        <v/>
      </c>
      <c r="MD50" s="11">
        <f>'Sens - Churn'!$A$17*VLOOKUP(LZ50,ChurnSeasonTable,4,FALSE)</f>
        <v/>
      </c>
      <c r="ME50" s="12">
        <f>MIN(MAX(MktMin19plus,NC49*MktPct19plus),MAX(0,NQ49-CashBuffer))</f>
        <v/>
      </c>
      <c r="MF50" s="12">
        <f>IF(ME50&gt;0,MAX(1,ROUND(ME50/CAC*MB50,0)),0)</f>
        <v/>
      </c>
      <c r="MG50" s="12">
        <f>IF(MF50&gt;0,ROUND(MF50*ReferralMix/(1-ReferralMix),0),0)</f>
        <v/>
      </c>
      <c r="MH50" s="12">
        <f>MF50+MG50</f>
        <v/>
      </c>
      <c r="MI50" s="12">
        <f>ROUND(MH50*(1-AnnualMix),0)</f>
        <v/>
      </c>
      <c r="MJ50" s="12">
        <f>MH50-MI50</f>
        <v/>
      </c>
      <c r="MK50" s="12">
        <f>ROUND(MI50*EssentialMix,0)</f>
        <v/>
      </c>
      <c r="ML50" s="12">
        <f>ROUND(MI50*PremiumMix,0)</f>
        <v/>
      </c>
      <c r="MM50" s="12">
        <f>MI50-MK50-ML50</f>
        <v/>
      </c>
      <c r="MN50" s="12">
        <f>ROUND(MJ50*EssentialMix,0)</f>
        <v/>
      </c>
      <c r="MO50" s="12">
        <f>ROUND(MJ50*PremiumMix,0)</f>
        <v/>
      </c>
      <c r="MP50" s="12">
        <f>MJ50-MN50-MO50</f>
        <v/>
      </c>
      <c r="MQ50" s="12">
        <f>MK50+MK49+MK48+MAX(0,MQ49-MK49-MK48)*(1-MD50)</f>
        <v/>
      </c>
      <c r="MR50" s="12">
        <f>ML50+ML49+ML48+MAX(0,MR49-ML49-ML48)*(1-MD50)</f>
        <v/>
      </c>
      <c r="MS50" s="12">
        <f>MM50+MM49+MM48+MAX(0,MS49-MM49-MM48)*(1-MD50)</f>
        <v/>
      </c>
      <c r="MT50" s="12">
        <f>MT49+MN50-MN38*(AnnualChurn*VLOOKUP(LZ50,ChurnSeasonTable,4,FALSE))*POWER(1-(AnnualChurn*VLOOKUP(LZ50,ChurnSeasonTable,4,FALSE)),0)+MN26*(AnnualChurn*VLOOKUP(LZ50,ChurnSeasonTable,4,FALSE))*POWER(1-(AnnualChurn*VLOOKUP(LZ50,ChurnSeasonTable,4,FALSE)),1)+MN14*(AnnualChurn*VLOOKUP(LZ50,ChurnSeasonTable,4,FALSE))*POWER(1-(AnnualChurn*VLOOKUP(LZ50,ChurnSeasonTable,4,FALSE)),2)</f>
        <v/>
      </c>
      <c r="MU50" s="12">
        <f>MU49+MO50-MO38*(AnnualChurn*VLOOKUP(LZ50,ChurnSeasonTable,4,FALSE))*POWER(1-(AnnualChurn*VLOOKUP(LZ50,ChurnSeasonTable,4,FALSE)),0)+MO26*(AnnualChurn*VLOOKUP(LZ50,ChurnSeasonTable,4,FALSE))*POWER(1-(AnnualChurn*VLOOKUP(LZ50,ChurnSeasonTable,4,FALSE)),1)+MO14*(AnnualChurn*VLOOKUP(LZ50,ChurnSeasonTable,4,FALSE))*POWER(1-(AnnualChurn*VLOOKUP(LZ50,ChurnSeasonTable,4,FALSE)),2)</f>
        <v/>
      </c>
      <c r="MV50" s="12">
        <f>MV49+MP50-MP38*(AnnualChurn*VLOOKUP(LZ50,ChurnSeasonTable,4,FALSE))*POWER(1-(AnnualChurn*VLOOKUP(LZ50,ChurnSeasonTable,4,FALSE)),0)+MP26*(AnnualChurn*VLOOKUP(LZ50,ChurnSeasonTable,4,FALSE))*POWER(1-(AnnualChurn*VLOOKUP(LZ50,ChurnSeasonTable,4,FALSE)),1)+MP14*(AnnualChurn*VLOOKUP(LZ50,ChurnSeasonTable,4,FALSE))*POWER(1-(AnnualChurn*VLOOKUP(LZ50,ChurnSeasonTable,4,FALSE)),2)</f>
        <v/>
      </c>
      <c r="MW50" s="12">
        <f>MQ50+MR50+MS50+MT50+MU50+MV50</f>
        <v/>
      </c>
      <c r="MX50" s="9">
        <f>MQ50*BlendedPriceEssMonthly*MC50+MR50*BlendedPricePremMonthly*MC50+MS50*BlendedPriceEliteMonthly*MC50+MT50*BlendedPriceEssAnnual*MC50/12+MU50*BlendedPricePremAnnual*MC50/12+MV50*BlendedPriceEliteAnnual*MC50/12</f>
        <v/>
      </c>
      <c r="MY50" s="9">
        <f>MX50*12</f>
        <v/>
      </c>
      <c r="MZ50" s="12">
        <f>MQ50*BlendedPriceEssMonthly*MC50+MR50*BlendedPricePremMonthly*MC50+MS50*BlendedPriceEliteMonthly*MC50</f>
        <v/>
      </c>
      <c r="NA50" s="12">
        <f>MN50*BlendedPriceEssAnnual*MC50+MO50*BlendedPricePremAnnual*MC50+MP50*BlendedPriceEliteAnnual*MC50</f>
        <v/>
      </c>
      <c r="NB50" s="12">
        <f>MN38*POWER(1-(AnnualChurn*VLOOKUP(LZ50,ChurnSeasonTable,4,FALSE)),1)*BlendedPriceEssAnnual*MC50+MN26*POWER(1-(AnnualChurn*VLOOKUP(LZ50,ChurnSeasonTable,4,FALSE)),2)*BlendedPriceEssAnnual*MC50+MN14*POWER(1-(AnnualChurn*VLOOKUP(LZ50,ChurnSeasonTable,4,FALSE)),3)*BlendedPriceEssAnnual*MC50+MO38*POWER(1-(AnnualChurn*VLOOKUP(LZ50,ChurnSeasonTable,4,FALSE)),1)*BlendedPricePremAnnual*MC50+MO26*POWER(1-(AnnualChurn*VLOOKUP(LZ50,ChurnSeasonTable,4,FALSE)),2)*BlendedPricePremAnnual*MC50+MO14*POWER(1-(AnnualChurn*VLOOKUP(LZ50,ChurnSeasonTable,4,FALSE)),3)*BlendedPricePremAnnual*MC50+MP38*POWER(1-(AnnualChurn*VLOOKUP(LZ50,ChurnSeasonTable,4,FALSE)),1)*BlendedPriceEliteAnnual*MC50+MP26*POWER(1-(AnnualChurn*VLOOKUP(LZ50,ChurnSeasonTable,4,FALSE)),2)*BlendedPriceEliteAnnual*MC50+MP14*POWER(1-(AnnualChurn*VLOOKUP(LZ50,ChurnSeasonTable,4,FALSE)),3)*BlendedPriceEliteAnnual*MC50</f>
        <v/>
      </c>
      <c r="NC50" s="9">
        <f>MZ50+NA50+NB50</f>
        <v/>
      </c>
      <c r="ND50" s="12">
        <f>SUM(NC39:NC50)</f>
        <v/>
      </c>
      <c r="NE50" s="12">
        <f>OR(NE49,IF(VATAgentMode,SUM($NC39:$NC50)-SUM($NJ39:$NJ50)&gt;=VATThreshold,SUM($NC39:$NC50)&gt;=VATThreshold))</f>
        <v/>
      </c>
      <c r="NF50" s="9">
        <f>IF(NE50,IF(VATAgentMode,NC50-((NC50-NJ50)-(NC50-NJ50)/(1+VATRate)),NC50/(1+VATRate)),NC50)</f>
        <v/>
      </c>
      <c r="NG50" s="12">
        <f>NC50-NF50</f>
        <v/>
      </c>
      <c r="NH50" s="12">
        <f>IF(NE50=0,0,IF(LZ50=1,SUMPRODUCT(--(($MA$5:$MA50=$MA50-1)*($LZ$5:$LZ50&gt;=10)*($LZ$5:$LZ50&lt;=12)),$NG$5:$NG50),IF(LZ50=4,SUMPRODUCT(--(($MA$5:$MA50=$MA50)*($LZ$5:$LZ50&gt;=1)*($LZ$5:$LZ50&lt;=3)),$NG$5:$NG50),IF(LZ50=7,SUMPRODUCT(--(($MA$5:$MA50=$MA50)*($LZ$5:$LZ50&gt;=4)*($LZ$5:$LZ50&lt;=6)),$NG$5:$NG50),IF(LZ50=10,SUMPRODUCT(--(($MA$5:$MA50=$MA50)*($LZ$5:$LZ50&gt;=7)*($LZ$5:$LZ50&lt;=9)),$NG$5:$NG50),0)))))</f>
        <v/>
      </c>
      <c r="NI50" s="12">
        <f>NI49+NG50-NH50</f>
        <v/>
      </c>
      <c r="NJ50" s="12">
        <f>IF(ProviderDelay&gt;=1,MQ49*BlendedProvPayEss+MR49*BlendedProvPayPrem+MS49*BlendedProvPayElite+MT49*BlendedProvPayEss+MU49*BlendedProvPayPrem+MV49*BlendedProvPayElite,MQ50*BlendedProvPayEss+MR50*BlendedProvPayPrem+MS50*BlendedProvPayElite+MT50*BlendedProvPayEss+MU50*BlendedProvPayPrem+MV50*BlendedProvPayElite)</f>
        <v/>
      </c>
      <c r="NK50" s="12">
        <f>NC50*PaymentFee</f>
        <v/>
      </c>
      <c r="NL50" s="12">
        <f>MW50*OpsAI</f>
        <v/>
      </c>
      <c r="NM50" s="12">
        <f>MonthlyFixed</f>
        <v/>
      </c>
      <c r="NN50" s="12">
        <f>MG50*ReferralReward</f>
        <v/>
      </c>
      <c r="NO50" s="12">
        <f>ME50</f>
        <v/>
      </c>
      <c r="NP50" s="9">
        <f>NF50-NJ50-NK50-NL50-NM50-NN50-NO50</f>
        <v/>
      </c>
      <c r="NQ50" s="9">
        <f>NQ49+NC50-(NJ50+NK50+NL50+NM50+NN50+NO50+NH50)</f>
        <v/>
      </c>
      <c r="NR50" s="12">
        <f>IF(MW50&gt;0,MX50/MW50,0)</f>
        <v/>
      </c>
      <c r="NS50" s="11">
        <f>IF(MW49&gt;0,MAX(0,(MW49+MH50-MW50)/MW49),0)</f>
        <v/>
      </c>
      <c r="NU50" s="12" t="n">
        <v>46</v>
      </c>
      <c r="NV50" s="12">
        <f>MOD(NU50-1+LaunchMonth-1,12)+1</f>
        <v/>
      </c>
      <c r="NW50" s="12">
        <f>INT((NU50-1+LaunchMonth-1)/12)+1</f>
        <v/>
      </c>
      <c r="NX50" s="12">
        <f>VLOOKUP(NV50,SeasonTable,2,FALSE)</f>
        <v/>
      </c>
      <c r="NY50" s="12">
        <f>(1+InflationRate)^INT((NU50-1)/12)</f>
        <v/>
      </c>
      <c r="NZ50" s="11">
        <f>'Sens - Churn'!$A$18*VLOOKUP(NV50,ChurnSeasonTable,4,FALSE)</f>
        <v/>
      </c>
      <c r="OA50" s="12">
        <f>MIN(MAX(MktMin19plus,OY49*MktPct19plus),MAX(0,PM49-CashBuffer))</f>
        <v/>
      </c>
      <c r="OB50" s="12">
        <f>IF(OA50&gt;0,MAX(1,ROUND(OA50/CAC*NX50,0)),0)</f>
        <v/>
      </c>
      <c r="OC50" s="12">
        <f>IF(OB50&gt;0,ROUND(OB50*ReferralMix/(1-ReferralMix),0),0)</f>
        <v/>
      </c>
      <c r="OD50" s="12">
        <f>OB50+OC50</f>
        <v/>
      </c>
      <c r="OE50" s="12">
        <f>ROUND(OD50*(1-AnnualMix),0)</f>
        <v/>
      </c>
      <c r="OF50" s="12">
        <f>OD50-OE50</f>
        <v/>
      </c>
      <c r="OG50" s="12">
        <f>ROUND(OE50*EssentialMix,0)</f>
        <v/>
      </c>
      <c r="OH50" s="12">
        <f>ROUND(OE50*PremiumMix,0)</f>
        <v/>
      </c>
      <c r="OI50" s="12">
        <f>OE50-OG50-OH50</f>
        <v/>
      </c>
      <c r="OJ50" s="12">
        <f>ROUND(OF50*EssentialMix,0)</f>
        <v/>
      </c>
      <c r="OK50" s="12">
        <f>ROUND(OF50*PremiumMix,0)</f>
        <v/>
      </c>
      <c r="OL50" s="12">
        <f>OF50-OJ50-OK50</f>
        <v/>
      </c>
      <c r="OM50" s="12">
        <f>OG50+OG49+OG48+MAX(0,OM49-OG49-OG48)*(1-NZ50)</f>
        <v/>
      </c>
      <c r="ON50" s="12">
        <f>OH50+OH49+OH48+MAX(0,ON49-OH49-OH48)*(1-NZ50)</f>
        <v/>
      </c>
      <c r="OO50" s="12">
        <f>OI50+OI49+OI48+MAX(0,OO49-OI49-OI48)*(1-NZ50)</f>
        <v/>
      </c>
      <c r="OP50" s="12">
        <f>OP49+OJ50-OJ38*(AnnualChurn*VLOOKUP(NV50,ChurnSeasonTable,4,FALSE))*POWER(1-(AnnualChurn*VLOOKUP(NV50,ChurnSeasonTable,4,FALSE)),0)+OJ26*(AnnualChurn*VLOOKUP(NV50,ChurnSeasonTable,4,FALSE))*POWER(1-(AnnualChurn*VLOOKUP(NV50,ChurnSeasonTable,4,FALSE)),1)+OJ14*(AnnualChurn*VLOOKUP(NV50,ChurnSeasonTable,4,FALSE))*POWER(1-(AnnualChurn*VLOOKUP(NV50,ChurnSeasonTable,4,FALSE)),2)</f>
        <v/>
      </c>
      <c r="OQ50" s="12">
        <f>OQ49+OK50-OK38*(AnnualChurn*VLOOKUP(NV50,ChurnSeasonTable,4,FALSE))*POWER(1-(AnnualChurn*VLOOKUP(NV50,ChurnSeasonTable,4,FALSE)),0)+OK26*(AnnualChurn*VLOOKUP(NV50,ChurnSeasonTable,4,FALSE))*POWER(1-(AnnualChurn*VLOOKUP(NV50,ChurnSeasonTable,4,FALSE)),1)+OK14*(AnnualChurn*VLOOKUP(NV50,ChurnSeasonTable,4,FALSE))*POWER(1-(AnnualChurn*VLOOKUP(NV50,ChurnSeasonTable,4,FALSE)),2)</f>
        <v/>
      </c>
      <c r="OR50" s="12">
        <f>OR49+OL50-OL38*(AnnualChurn*VLOOKUP(NV50,ChurnSeasonTable,4,FALSE))*POWER(1-(AnnualChurn*VLOOKUP(NV50,ChurnSeasonTable,4,FALSE)),0)+OL26*(AnnualChurn*VLOOKUP(NV50,ChurnSeasonTable,4,FALSE))*POWER(1-(AnnualChurn*VLOOKUP(NV50,ChurnSeasonTable,4,FALSE)),1)+OL14*(AnnualChurn*VLOOKUP(NV50,ChurnSeasonTable,4,FALSE))*POWER(1-(AnnualChurn*VLOOKUP(NV50,ChurnSeasonTable,4,FALSE)),2)</f>
        <v/>
      </c>
      <c r="OS50" s="12">
        <f>OM50+ON50+OO50+OP50+OQ50+OR50</f>
        <v/>
      </c>
      <c r="OT50" s="9">
        <f>OM50*BlendedPriceEssMonthly*NY50+ON50*BlendedPricePremMonthly*NY50+OO50*BlendedPriceEliteMonthly*NY50+OP50*BlendedPriceEssAnnual*NY50/12+OQ50*BlendedPricePremAnnual*NY50/12+OR50*BlendedPriceEliteAnnual*NY50/12</f>
        <v/>
      </c>
      <c r="OU50" s="9">
        <f>OT50*12</f>
        <v/>
      </c>
      <c r="OV50" s="12">
        <f>OM50*BlendedPriceEssMonthly*NY50+ON50*BlendedPricePremMonthly*NY50+OO50*BlendedPriceEliteMonthly*NY50</f>
        <v/>
      </c>
      <c r="OW50" s="12">
        <f>OJ50*BlendedPriceEssAnnual*NY50+OK50*BlendedPricePremAnnual*NY50+OL50*BlendedPriceEliteAnnual*NY50</f>
        <v/>
      </c>
      <c r="OX50" s="12">
        <f>OJ38*POWER(1-(AnnualChurn*VLOOKUP(NV50,ChurnSeasonTable,4,FALSE)),1)*BlendedPriceEssAnnual*NY50+OJ26*POWER(1-(AnnualChurn*VLOOKUP(NV50,ChurnSeasonTable,4,FALSE)),2)*BlendedPriceEssAnnual*NY50+OJ14*POWER(1-(AnnualChurn*VLOOKUP(NV50,ChurnSeasonTable,4,FALSE)),3)*BlendedPriceEssAnnual*NY50+OK38*POWER(1-(AnnualChurn*VLOOKUP(NV50,ChurnSeasonTable,4,FALSE)),1)*BlendedPricePremAnnual*NY50+OK26*POWER(1-(AnnualChurn*VLOOKUP(NV50,ChurnSeasonTable,4,FALSE)),2)*BlendedPricePremAnnual*NY50+OK14*POWER(1-(AnnualChurn*VLOOKUP(NV50,ChurnSeasonTable,4,FALSE)),3)*BlendedPricePremAnnual*NY50+OL38*POWER(1-(AnnualChurn*VLOOKUP(NV50,ChurnSeasonTable,4,FALSE)),1)*BlendedPriceEliteAnnual*NY50+OL26*POWER(1-(AnnualChurn*VLOOKUP(NV50,ChurnSeasonTable,4,FALSE)),2)*BlendedPriceEliteAnnual*NY50+OL14*POWER(1-(AnnualChurn*VLOOKUP(NV50,ChurnSeasonTable,4,FALSE)),3)*BlendedPriceEliteAnnual*NY50</f>
        <v/>
      </c>
      <c r="OY50" s="9">
        <f>OV50+OW50+OX50</f>
        <v/>
      </c>
      <c r="OZ50" s="12">
        <f>SUM(OY39:OY50)</f>
        <v/>
      </c>
      <c r="PA50" s="12">
        <f>OR(PA49,IF(VATAgentMode,SUM($OY39:$OY50)-SUM($PF39:$PF50)&gt;=VATThreshold,SUM($OY39:$OY50)&gt;=VATThreshold))</f>
        <v/>
      </c>
      <c r="PB50" s="9">
        <f>IF(PA50,IF(VATAgentMode,OY50-((OY50-PF50)-(OY50-PF50)/(1+VATRate)),OY50/(1+VATRate)),OY50)</f>
        <v/>
      </c>
      <c r="PC50" s="12">
        <f>OY50-PB50</f>
        <v/>
      </c>
      <c r="PD50" s="12">
        <f>IF(PA50=0,0,IF(NV50=1,SUMPRODUCT(--(($NW$5:$NW50=$NW50-1)*($NV$5:$NV50&gt;=10)*($NV$5:$NV50&lt;=12)),$PC$5:$PC50),IF(NV50=4,SUMPRODUCT(--(($NW$5:$NW50=$NW50)*($NV$5:$NV50&gt;=1)*($NV$5:$NV50&lt;=3)),$PC$5:$PC50),IF(NV50=7,SUMPRODUCT(--(($NW$5:$NW50=$NW50)*($NV$5:$NV50&gt;=4)*($NV$5:$NV50&lt;=6)),$PC$5:$PC50),IF(NV50=10,SUMPRODUCT(--(($NW$5:$NW50=$NW50)*($NV$5:$NV50&gt;=7)*($NV$5:$NV50&lt;=9)),$PC$5:$PC50),0)))))</f>
        <v/>
      </c>
      <c r="PE50" s="12">
        <f>PE49+PC50-PD50</f>
        <v/>
      </c>
      <c r="PF50" s="12">
        <f>IF(ProviderDelay&gt;=1,OM49*BlendedProvPayEss+ON49*BlendedProvPayPrem+OO49*BlendedProvPayElite+OP49*BlendedProvPayEss+OQ49*BlendedProvPayPrem+OR49*BlendedProvPayElite,OM50*BlendedProvPayEss+ON50*BlendedProvPayPrem+OO50*BlendedProvPayElite+OP50*BlendedProvPayEss+OQ50*BlendedProvPayPrem+OR50*BlendedProvPayElite)</f>
        <v/>
      </c>
      <c r="PG50" s="12">
        <f>OY50*PaymentFee</f>
        <v/>
      </c>
      <c r="PH50" s="12">
        <f>OS50*OpsAI</f>
        <v/>
      </c>
      <c r="PI50" s="12">
        <f>MonthlyFixed</f>
        <v/>
      </c>
      <c r="PJ50" s="12">
        <f>OC50*ReferralReward</f>
        <v/>
      </c>
      <c r="PK50" s="12">
        <f>OA50</f>
        <v/>
      </c>
      <c r="PL50" s="9">
        <f>PB50-PF50-PG50-PH50-PI50-PJ50-PK50</f>
        <v/>
      </c>
      <c r="PM50" s="9">
        <f>PM49+OY50-(PF50+PG50+PH50+PI50+PJ50+PK50+PD50)</f>
        <v/>
      </c>
      <c r="PN50" s="12">
        <f>IF(OS50&gt;0,OT50/OS50,0)</f>
        <v/>
      </c>
      <c r="PO50" s="11">
        <f>IF(OS49&gt;0,MAX(0,(OS49+OD50-OS50)/OS49),0)</f>
        <v/>
      </c>
      <c r="PQ50" s="12" t="n">
        <v>46</v>
      </c>
      <c r="PR50" s="12">
        <f>MOD(PQ50-1+LaunchMonth-1,12)+1</f>
        <v/>
      </c>
      <c r="PS50" s="12">
        <f>INT((PQ50-1+LaunchMonth-1)/12)+1</f>
        <v/>
      </c>
      <c r="PT50" s="12">
        <f>VLOOKUP(PR50,SeasonTable,2,FALSE)</f>
        <v/>
      </c>
      <c r="PU50" s="12">
        <f>(1+InflationRate)^INT((PQ50-1)/12)</f>
        <v/>
      </c>
      <c r="PV50" s="11">
        <f>'Sens - Churn'!$A$19*VLOOKUP(PR50,ChurnSeasonTable,4,FALSE)</f>
        <v/>
      </c>
      <c r="PW50" s="12">
        <f>MIN(MAX(MktMin19plus,QU49*MktPct19plus),MAX(0,RI49-CashBuffer))</f>
        <v/>
      </c>
      <c r="PX50" s="12">
        <f>IF(PW50&gt;0,MAX(1,ROUND(PW50/CAC*PT50,0)),0)</f>
        <v/>
      </c>
      <c r="PY50" s="12">
        <f>IF(PX50&gt;0,ROUND(PX50*ReferralMix/(1-ReferralMix),0),0)</f>
        <v/>
      </c>
      <c r="PZ50" s="12">
        <f>PX50+PY50</f>
        <v/>
      </c>
      <c r="QA50" s="12">
        <f>ROUND(PZ50*(1-AnnualMix),0)</f>
        <v/>
      </c>
      <c r="QB50" s="12">
        <f>PZ50-QA50</f>
        <v/>
      </c>
      <c r="QC50" s="12">
        <f>ROUND(QA50*EssentialMix,0)</f>
        <v/>
      </c>
      <c r="QD50" s="12">
        <f>ROUND(QA50*PremiumMix,0)</f>
        <v/>
      </c>
      <c r="QE50" s="12">
        <f>QA50-QC50-QD50</f>
        <v/>
      </c>
      <c r="QF50" s="12">
        <f>ROUND(QB50*EssentialMix,0)</f>
        <v/>
      </c>
      <c r="QG50" s="12">
        <f>ROUND(QB50*PremiumMix,0)</f>
        <v/>
      </c>
      <c r="QH50" s="12">
        <f>QB50-QF50-QG50</f>
        <v/>
      </c>
      <c r="QI50" s="12">
        <f>QC50+QC49+QC48+MAX(0,QI49-QC49-QC48)*(1-PV50)</f>
        <v/>
      </c>
      <c r="QJ50" s="12">
        <f>QD50+QD49+QD48+MAX(0,QJ49-QD49-QD48)*(1-PV50)</f>
        <v/>
      </c>
      <c r="QK50" s="12">
        <f>QE50+QE49+QE48+MAX(0,QK49-QE49-QE48)*(1-PV50)</f>
        <v/>
      </c>
      <c r="QL50" s="12">
        <f>QL49+QF50-QF38*(AnnualChurn*VLOOKUP(PR50,ChurnSeasonTable,4,FALSE))*POWER(1-(AnnualChurn*VLOOKUP(PR50,ChurnSeasonTable,4,FALSE)),0)+QF26*(AnnualChurn*VLOOKUP(PR50,ChurnSeasonTable,4,FALSE))*POWER(1-(AnnualChurn*VLOOKUP(PR50,ChurnSeasonTable,4,FALSE)),1)+QF14*(AnnualChurn*VLOOKUP(PR50,ChurnSeasonTable,4,FALSE))*POWER(1-(AnnualChurn*VLOOKUP(PR50,ChurnSeasonTable,4,FALSE)),2)</f>
        <v/>
      </c>
      <c r="QM50" s="12">
        <f>QM49+QG50-QG38*(AnnualChurn*VLOOKUP(PR50,ChurnSeasonTable,4,FALSE))*POWER(1-(AnnualChurn*VLOOKUP(PR50,ChurnSeasonTable,4,FALSE)),0)+QG26*(AnnualChurn*VLOOKUP(PR50,ChurnSeasonTable,4,FALSE))*POWER(1-(AnnualChurn*VLOOKUP(PR50,ChurnSeasonTable,4,FALSE)),1)+QG14*(AnnualChurn*VLOOKUP(PR50,ChurnSeasonTable,4,FALSE))*POWER(1-(AnnualChurn*VLOOKUP(PR50,ChurnSeasonTable,4,FALSE)),2)</f>
        <v/>
      </c>
      <c r="QN50" s="12">
        <f>QN49+QH50-QH38*(AnnualChurn*VLOOKUP(PR50,ChurnSeasonTable,4,FALSE))*POWER(1-(AnnualChurn*VLOOKUP(PR50,ChurnSeasonTable,4,FALSE)),0)+QH26*(AnnualChurn*VLOOKUP(PR50,ChurnSeasonTable,4,FALSE))*POWER(1-(AnnualChurn*VLOOKUP(PR50,ChurnSeasonTable,4,FALSE)),1)+QH14*(AnnualChurn*VLOOKUP(PR50,ChurnSeasonTable,4,FALSE))*POWER(1-(AnnualChurn*VLOOKUP(PR50,ChurnSeasonTable,4,FALSE)),2)</f>
        <v/>
      </c>
      <c r="QO50" s="12">
        <f>QI50+QJ50+QK50+QL50+QM50+QN50</f>
        <v/>
      </c>
      <c r="QP50" s="9">
        <f>QI50*BlendedPriceEssMonthly*PU50+QJ50*BlendedPricePremMonthly*PU50+QK50*BlendedPriceEliteMonthly*PU50+QL50*BlendedPriceEssAnnual*PU50/12+QM50*BlendedPricePremAnnual*PU50/12+QN50*BlendedPriceEliteAnnual*PU50/12</f>
        <v/>
      </c>
      <c r="QQ50" s="9">
        <f>QP50*12</f>
        <v/>
      </c>
      <c r="QR50" s="12">
        <f>QI50*BlendedPriceEssMonthly*PU50+QJ50*BlendedPricePremMonthly*PU50+QK50*BlendedPriceEliteMonthly*PU50</f>
        <v/>
      </c>
      <c r="QS50" s="12">
        <f>QF50*BlendedPriceEssAnnual*PU50+QG50*BlendedPricePremAnnual*PU50+QH50*BlendedPriceEliteAnnual*PU50</f>
        <v/>
      </c>
      <c r="QT50" s="12">
        <f>QF38*POWER(1-(AnnualChurn*VLOOKUP(PR50,ChurnSeasonTable,4,FALSE)),1)*BlendedPriceEssAnnual*PU50+QF26*POWER(1-(AnnualChurn*VLOOKUP(PR50,ChurnSeasonTable,4,FALSE)),2)*BlendedPriceEssAnnual*PU50+QF14*POWER(1-(AnnualChurn*VLOOKUP(PR50,ChurnSeasonTable,4,FALSE)),3)*BlendedPriceEssAnnual*PU50+QG38*POWER(1-(AnnualChurn*VLOOKUP(PR50,ChurnSeasonTable,4,FALSE)),1)*BlendedPricePremAnnual*PU50+QG26*POWER(1-(AnnualChurn*VLOOKUP(PR50,ChurnSeasonTable,4,FALSE)),2)*BlendedPricePremAnnual*PU50+QG14*POWER(1-(AnnualChurn*VLOOKUP(PR50,ChurnSeasonTable,4,FALSE)),3)*BlendedPricePremAnnual*PU50+QH38*POWER(1-(AnnualChurn*VLOOKUP(PR50,ChurnSeasonTable,4,FALSE)),1)*BlendedPriceEliteAnnual*PU50+QH26*POWER(1-(AnnualChurn*VLOOKUP(PR50,ChurnSeasonTable,4,FALSE)),2)*BlendedPriceEliteAnnual*PU50+QH14*POWER(1-(AnnualChurn*VLOOKUP(PR50,ChurnSeasonTable,4,FALSE)),3)*BlendedPriceEliteAnnual*PU50</f>
        <v/>
      </c>
      <c r="QU50" s="9">
        <f>QR50+QS50+QT50</f>
        <v/>
      </c>
      <c r="QV50" s="12">
        <f>SUM(QU39:QU50)</f>
        <v/>
      </c>
      <c r="QW50" s="12">
        <f>OR(QW49,IF(VATAgentMode,SUM($QU39:$QU50)-SUM($RB39:$RB50)&gt;=VATThreshold,SUM($QU39:$QU50)&gt;=VATThreshold))</f>
        <v/>
      </c>
      <c r="QX50" s="9">
        <f>IF(QW50,IF(VATAgentMode,QU50-((QU50-RB50)-(QU50-RB50)/(1+VATRate)),QU50/(1+VATRate)),QU50)</f>
        <v/>
      </c>
      <c r="QY50" s="12">
        <f>QU50-QX50</f>
        <v/>
      </c>
      <c r="QZ50" s="12">
        <f>IF(QW50=0,0,IF(PR50=1,SUMPRODUCT(--(($PS$5:$PS50=$PS50-1)*($PR$5:$PR50&gt;=10)*($PR$5:$PR50&lt;=12)),$QY$5:$QY50),IF(PR50=4,SUMPRODUCT(--(($PS$5:$PS50=$PS50)*($PR$5:$PR50&gt;=1)*($PR$5:$PR50&lt;=3)),$QY$5:$QY50),IF(PR50=7,SUMPRODUCT(--(($PS$5:$PS50=$PS50)*($PR$5:$PR50&gt;=4)*($PR$5:$PR50&lt;=6)),$QY$5:$QY50),IF(PR50=10,SUMPRODUCT(--(($PS$5:$PS50=$PS50)*($PR$5:$PR50&gt;=7)*($PR$5:$PR50&lt;=9)),$QY$5:$QY50),0)))))</f>
        <v/>
      </c>
      <c r="RA50" s="12">
        <f>RA49+QY50-QZ50</f>
        <v/>
      </c>
      <c r="RB50" s="12">
        <f>IF(ProviderDelay&gt;=1,QI49*BlendedProvPayEss+QJ49*BlendedProvPayPrem+QK49*BlendedProvPayElite+QL49*BlendedProvPayEss+QM49*BlendedProvPayPrem+QN49*BlendedProvPayElite,QI50*BlendedProvPayEss+QJ50*BlendedProvPayPrem+QK50*BlendedProvPayElite+QL50*BlendedProvPayEss+QM50*BlendedProvPayPrem+QN50*BlendedProvPayElite)</f>
        <v/>
      </c>
      <c r="RC50" s="12">
        <f>QU50*PaymentFee</f>
        <v/>
      </c>
      <c r="RD50" s="12">
        <f>QO50*OpsAI</f>
        <v/>
      </c>
      <c r="RE50" s="12">
        <f>MonthlyFixed</f>
        <v/>
      </c>
      <c r="RF50" s="12">
        <f>PY50*ReferralReward</f>
        <v/>
      </c>
      <c r="RG50" s="12">
        <f>PW50</f>
        <v/>
      </c>
      <c r="RH50" s="9">
        <f>QX50-RB50-RC50-RD50-RE50-RF50-RG50</f>
        <v/>
      </c>
      <c r="RI50" s="9">
        <f>RI49+QU50-(RB50+RC50+RD50+RE50+RF50+RG50+QZ50)</f>
        <v/>
      </c>
      <c r="RJ50" s="12">
        <f>IF(QO50&gt;0,QP50/QO50,0)</f>
        <v/>
      </c>
      <c r="RK50" s="11">
        <f>IF(QO49&gt;0,MAX(0,(QO49+PZ50-QO50)/QO49),0)</f>
        <v/>
      </c>
      <c r="RM50" s="12" t="n">
        <v>46</v>
      </c>
      <c r="RN50" s="12">
        <f>MOD(RM50-1+LaunchMonth-1,12)+1</f>
        <v/>
      </c>
      <c r="RO50" s="12">
        <f>INT((RM50-1+LaunchMonth-1)/12)+1</f>
        <v/>
      </c>
      <c r="RP50" s="12">
        <f>VLOOKUP(RN50,SeasonTable,2,FALSE)</f>
        <v/>
      </c>
      <c r="RQ50" s="12">
        <f>(1+InflationRate)^INT((RM50-1)/12)</f>
        <v/>
      </c>
      <c r="RR50" s="11">
        <f>'Sens - Churn'!$A$20*VLOOKUP(RN50,ChurnSeasonTable,4,FALSE)</f>
        <v/>
      </c>
      <c r="RS50" s="12">
        <f>MIN(MAX(MktMin19plus,SQ49*MktPct19plus),MAX(0,TE49-CashBuffer))</f>
        <v/>
      </c>
      <c r="RT50" s="12">
        <f>IF(RS50&gt;0,MAX(1,ROUND(RS50/CAC*RP50,0)),0)</f>
        <v/>
      </c>
      <c r="RU50" s="12">
        <f>IF(RT50&gt;0,ROUND(RT50*ReferralMix/(1-ReferralMix),0),0)</f>
        <v/>
      </c>
      <c r="RV50" s="12">
        <f>RT50+RU50</f>
        <v/>
      </c>
      <c r="RW50" s="12">
        <f>ROUND(RV50*(1-AnnualMix),0)</f>
        <v/>
      </c>
      <c r="RX50" s="12">
        <f>RV50-RW50</f>
        <v/>
      </c>
      <c r="RY50" s="12">
        <f>ROUND(RW50*EssentialMix,0)</f>
        <v/>
      </c>
      <c r="RZ50" s="12">
        <f>ROUND(RW50*PremiumMix,0)</f>
        <v/>
      </c>
      <c r="SA50" s="12">
        <f>RW50-RY50-RZ50</f>
        <v/>
      </c>
      <c r="SB50" s="12">
        <f>ROUND(RX50*EssentialMix,0)</f>
        <v/>
      </c>
      <c r="SC50" s="12">
        <f>ROUND(RX50*PremiumMix,0)</f>
        <v/>
      </c>
      <c r="SD50" s="12">
        <f>RX50-SB50-SC50</f>
        <v/>
      </c>
      <c r="SE50" s="12">
        <f>RY50+RY49+RY48+MAX(0,SE49-RY49-RY48)*(1-RR50)</f>
        <v/>
      </c>
      <c r="SF50" s="12">
        <f>RZ50+RZ49+RZ48+MAX(0,SF49-RZ49-RZ48)*(1-RR50)</f>
        <v/>
      </c>
      <c r="SG50" s="12">
        <f>SA50+SA49+SA48+MAX(0,SG49-SA49-SA48)*(1-RR50)</f>
        <v/>
      </c>
      <c r="SH50" s="12">
        <f>SH49+SB50-SB38*(AnnualChurn*VLOOKUP(RN50,ChurnSeasonTable,4,FALSE))*POWER(1-(AnnualChurn*VLOOKUP(RN50,ChurnSeasonTable,4,FALSE)),0)+SB26*(AnnualChurn*VLOOKUP(RN50,ChurnSeasonTable,4,FALSE))*POWER(1-(AnnualChurn*VLOOKUP(RN50,ChurnSeasonTable,4,FALSE)),1)+SB14*(AnnualChurn*VLOOKUP(RN50,ChurnSeasonTable,4,FALSE))*POWER(1-(AnnualChurn*VLOOKUP(RN50,ChurnSeasonTable,4,FALSE)),2)</f>
        <v/>
      </c>
      <c r="SI50" s="12">
        <f>SI49+SC50-SC38*(AnnualChurn*VLOOKUP(RN50,ChurnSeasonTable,4,FALSE))*POWER(1-(AnnualChurn*VLOOKUP(RN50,ChurnSeasonTable,4,FALSE)),0)+SC26*(AnnualChurn*VLOOKUP(RN50,ChurnSeasonTable,4,FALSE))*POWER(1-(AnnualChurn*VLOOKUP(RN50,ChurnSeasonTable,4,FALSE)),1)+SC14*(AnnualChurn*VLOOKUP(RN50,ChurnSeasonTable,4,FALSE))*POWER(1-(AnnualChurn*VLOOKUP(RN50,ChurnSeasonTable,4,FALSE)),2)</f>
        <v/>
      </c>
      <c r="SJ50" s="12">
        <f>SJ49+SD50-SD38*(AnnualChurn*VLOOKUP(RN50,ChurnSeasonTable,4,FALSE))*POWER(1-(AnnualChurn*VLOOKUP(RN50,ChurnSeasonTable,4,FALSE)),0)+SD26*(AnnualChurn*VLOOKUP(RN50,ChurnSeasonTable,4,FALSE))*POWER(1-(AnnualChurn*VLOOKUP(RN50,ChurnSeasonTable,4,FALSE)),1)+SD14*(AnnualChurn*VLOOKUP(RN50,ChurnSeasonTable,4,FALSE))*POWER(1-(AnnualChurn*VLOOKUP(RN50,ChurnSeasonTable,4,FALSE)),2)</f>
        <v/>
      </c>
      <c r="SK50" s="12">
        <f>SE50+SF50+SG50+SH50+SI50+SJ50</f>
        <v/>
      </c>
      <c r="SL50" s="9">
        <f>SE50*BlendedPriceEssMonthly*RQ50+SF50*BlendedPricePremMonthly*RQ50+SG50*BlendedPriceEliteMonthly*RQ50+SH50*BlendedPriceEssAnnual*RQ50/12+SI50*BlendedPricePremAnnual*RQ50/12+SJ50*BlendedPriceEliteAnnual*RQ50/12</f>
        <v/>
      </c>
      <c r="SM50" s="9">
        <f>SL50*12</f>
        <v/>
      </c>
      <c r="SN50" s="12">
        <f>SE50*BlendedPriceEssMonthly*RQ50+SF50*BlendedPricePremMonthly*RQ50+SG50*BlendedPriceEliteMonthly*RQ50</f>
        <v/>
      </c>
      <c r="SO50" s="12">
        <f>SB50*BlendedPriceEssAnnual*RQ50+SC50*BlendedPricePremAnnual*RQ50+SD50*BlendedPriceEliteAnnual*RQ50</f>
        <v/>
      </c>
      <c r="SP50" s="12">
        <f>SB38*POWER(1-(AnnualChurn*VLOOKUP(RN50,ChurnSeasonTable,4,FALSE)),1)*BlendedPriceEssAnnual*RQ50+SB26*POWER(1-(AnnualChurn*VLOOKUP(RN50,ChurnSeasonTable,4,FALSE)),2)*BlendedPriceEssAnnual*RQ50+SB14*POWER(1-(AnnualChurn*VLOOKUP(RN50,ChurnSeasonTable,4,FALSE)),3)*BlendedPriceEssAnnual*RQ50+SC38*POWER(1-(AnnualChurn*VLOOKUP(RN50,ChurnSeasonTable,4,FALSE)),1)*BlendedPricePremAnnual*RQ50+SC26*POWER(1-(AnnualChurn*VLOOKUP(RN50,ChurnSeasonTable,4,FALSE)),2)*BlendedPricePremAnnual*RQ50+SC14*POWER(1-(AnnualChurn*VLOOKUP(RN50,ChurnSeasonTable,4,FALSE)),3)*BlendedPricePremAnnual*RQ50+SD38*POWER(1-(AnnualChurn*VLOOKUP(RN50,ChurnSeasonTable,4,FALSE)),1)*BlendedPriceEliteAnnual*RQ50+SD26*POWER(1-(AnnualChurn*VLOOKUP(RN50,ChurnSeasonTable,4,FALSE)),2)*BlendedPriceEliteAnnual*RQ50+SD14*POWER(1-(AnnualChurn*VLOOKUP(RN50,ChurnSeasonTable,4,FALSE)),3)*BlendedPriceEliteAnnual*RQ50</f>
        <v/>
      </c>
      <c r="SQ50" s="9">
        <f>SN50+SO50+SP50</f>
        <v/>
      </c>
      <c r="SR50" s="12">
        <f>SUM(SQ39:SQ50)</f>
        <v/>
      </c>
      <c r="SS50" s="12">
        <f>OR(SS49,IF(VATAgentMode,SUM($SQ39:$SQ50)-SUM($SX39:$SX50)&gt;=VATThreshold,SUM($SQ39:$SQ50)&gt;=VATThreshold))</f>
        <v/>
      </c>
      <c r="ST50" s="9">
        <f>IF(SS50,IF(VATAgentMode,SQ50-((SQ50-SX50)-(SQ50-SX50)/(1+VATRate)),SQ50/(1+VATRate)),SQ50)</f>
        <v/>
      </c>
      <c r="SU50" s="12">
        <f>SQ50-ST50</f>
        <v/>
      </c>
      <c r="SV50" s="12">
        <f>IF(SS50=0,0,IF(RN50=1,SUMPRODUCT(--(($RO$5:$RO50=$RO50-1)*($RN$5:$RN50&gt;=10)*($RN$5:$RN50&lt;=12)),$SU$5:$SU50),IF(RN50=4,SUMPRODUCT(--(($RO$5:$RO50=$RO50)*($RN$5:$RN50&gt;=1)*($RN$5:$RN50&lt;=3)),$SU$5:$SU50),IF(RN50=7,SUMPRODUCT(--(($RO$5:$RO50=$RO50)*($RN$5:$RN50&gt;=4)*($RN$5:$RN50&lt;=6)),$SU$5:$SU50),IF(RN50=10,SUMPRODUCT(--(($RO$5:$RO50=$RO50)*($RN$5:$RN50&gt;=7)*($RN$5:$RN50&lt;=9)),$SU$5:$SU50),0)))))</f>
        <v/>
      </c>
      <c r="SW50" s="12">
        <f>SW49+SU50-SV50</f>
        <v/>
      </c>
      <c r="SX50" s="12">
        <f>IF(ProviderDelay&gt;=1,SE49*BlendedProvPayEss+SF49*BlendedProvPayPrem+SG49*BlendedProvPayElite+SH49*BlendedProvPayEss+SI49*BlendedProvPayPrem+SJ49*BlendedProvPayElite,SE50*BlendedProvPayEss+SF50*BlendedProvPayPrem+SG50*BlendedProvPayElite+SH50*BlendedProvPayEss+SI50*BlendedProvPayPrem+SJ50*BlendedProvPayElite)</f>
        <v/>
      </c>
      <c r="SY50" s="12">
        <f>SQ50*PaymentFee</f>
        <v/>
      </c>
      <c r="SZ50" s="12">
        <f>SK50*OpsAI</f>
        <v/>
      </c>
      <c r="TA50" s="12">
        <f>MonthlyFixed</f>
        <v/>
      </c>
      <c r="TB50" s="12">
        <f>RU50*ReferralReward</f>
        <v/>
      </c>
      <c r="TC50" s="12">
        <f>RS50</f>
        <v/>
      </c>
      <c r="TD50" s="9">
        <f>ST50-SX50-SY50-SZ50-TA50-TB50-TC50</f>
        <v/>
      </c>
      <c r="TE50" s="9">
        <f>TE49+SQ50-(SX50+SY50+SZ50+TA50+TB50+TC50+SV50)</f>
        <v/>
      </c>
      <c r="TF50" s="12">
        <f>IF(SK50&gt;0,SL50/SK50,0)</f>
        <v/>
      </c>
      <c r="TG50" s="11">
        <f>IF(SK49&gt;0,MAX(0,(SK49+RV50-SK50)/SK49),0)</f>
        <v/>
      </c>
      <c r="TI50" s="12" t="n">
        <v>46</v>
      </c>
      <c r="TJ50" s="12">
        <f>MOD(TI50-1+LaunchMonth-1,12)+1</f>
        <v/>
      </c>
      <c r="TK50" s="12">
        <f>INT((TI50-1+LaunchMonth-1)/12)+1</f>
        <v/>
      </c>
      <c r="TL50" s="12">
        <f>VLOOKUP(TJ50,SeasonTable,2,FALSE)</f>
        <v/>
      </c>
      <c r="TM50" s="12">
        <f>(1+InflationRate)^INT((TI50-1)/12)</f>
        <v/>
      </c>
      <c r="TN50" s="11">
        <f>'Sens - Churn'!$A$21*VLOOKUP(TJ50,ChurnSeasonTable,4,FALSE)</f>
        <v/>
      </c>
      <c r="TO50" s="12">
        <f>MIN(MAX(MktMin19plus,UM49*MktPct19plus),MAX(0,VA49-CashBuffer))</f>
        <v/>
      </c>
      <c r="TP50" s="12">
        <f>IF(TO50&gt;0,MAX(1,ROUND(TO50/CAC*TL50,0)),0)</f>
        <v/>
      </c>
      <c r="TQ50" s="12">
        <f>IF(TP50&gt;0,ROUND(TP50*ReferralMix/(1-ReferralMix),0),0)</f>
        <v/>
      </c>
      <c r="TR50" s="12">
        <f>TP50+TQ50</f>
        <v/>
      </c>
      <c r="TS50" s="12">
        <f>ROUND(TR50*(1-AnnualMix),0)</f>
        <v/>
      </c>
      <c r="TT50" s="12">
        <f>TR50-TS50</f>
        <v/>
      </c>
      <c r="TU50" s="12">
        <f>ROUND(TS50*EssentialMix,0)</f>
        <v/>
      </c>
      <c r="TV50" s="12">
        <f>ROUND(TS50*PremiumMix,0)</f>
        <v/>
      </c>
      <c r="TW50" s="12">
        <f>TS50-TU50-TV50</f>
        <v/>
      </c>
      <c r="TX50" s="12">
        <f>ROUND(TT50*EssentialMix,0)</f>
        <v/>
      </c>
      <c r="TY50" s="12">
        <f>ROUND(TT50*PremiumMix,0)</f>
        <v/>
      </c>
      <c r="TZ50" s="12">
        <f>TT50-TX50-TY50</f>
        <v/>
      </c>
      <c r="UA50" s="12">
        <f>TU50+TU49+TU48+MAX(0,UA49-TU49-TU48)*(1-TN50)</f>
        <v/>
      </c>
      <c r="UB50" s="12">
        <f>TV50+TV49+TV48+MAX(0,UB49-TV49-TV48)*(1-TN50)</f>
        <v/>
      </c>
      <c r="UC50" s="12">
        <f>TW50+TW49+TW48+MAX(0,UC49-TW49-TW48)*(1-TN50)</f>
        <v/>
      </c>
      <c r="UD50" s="12">
        <f>UD49+TX50-TX38*(AnnualChurn*VLOOKUP(TJ50,ChurnSeasonTable,4,FALSE))*POWER(1-(AnnualChurn*VLOOKUP(TJ50,ChurnSeasonTable,4,FALSE)),0)+TX26*(AnnualChurn*VLOOKUP(TJ50,ChurnSeasonTable,4,FALSE))*POWER(1-(AnnualChurn*VLOOKUP(TJ50,ChurnSeasonTable,4,FALSE)),1)+TX14*(AnnualChurn*VLOOKUP(TJ50,ChurnSeasonTable,4,FALSE))*POWER(1-(AnnualChurn*VLOOKUP(TJ50,ChurnSeasonTable,4,FALSE)),2)</f>
        <v/>
      </c>
      <c r="UE50" s="12">
        <f>UE49+TY50-TY38*(AnnualChurn*VLOOKUP(TJ50,ChurnSeasonTable,4,FALSE))*POWER(1-(AnnualChurn*VLOOKUP(TJ50,ChurnSeasonTable,4,FALSE)),0)+TY26*(AnnualChurn*VLOOKUP(TJ50,ChurnSeasonTable,4,FALSE))*POWER(1-(AnnualChurn*VLOOKUP(TJ50,ChurnSeasonTable,4,FALSE)),1)+TY14*(AnnualChurn*VLOOKUP(TJ50,ChurnSeasonTable,4,FALSE))*POWER(1-(AnnualChurn*VLOOKUP(TJ50,ChurnSeasonTable,4,FALSE)),2)</f>
        <v/>
      </c>
      <c r="UF50" s="12">
        <f>UF49+TZ50-TZ38*(AnnualChurn*VLOOKUP(TJ50,ChurnSeasonTable,4,FALSE))*POWER(1-(AnnualChurn*VLOOKUP(TJ50,ChurnSeasonTable,4,FALSE)),0)+TZ26*(AnnualChurn*VLOOKUP(TJ50,ChurnSeasonTable,4,FALSE))*POWER(1-(AnnualChurn*VLOOKUP(TJ50,ChurnSeasonTable,4,FALSE)),1)+TZ14*(AnnualChurn*VLOOKUP(TJ50,ChurnSeasonTable,4,FALSE))*POWER(1-(AnnualChurn*VLOOKUP(TJ50,ChurnSeasonTable,4,FALSE)),2)</f>
        <v/>
      </c>
      <c r="UG50" s="12">
        <f>UA50+UB50+UC50+UD50+UE50+UF50</f>
        <v/>
      </c>
      <c r="UH50" s="9">
        <f>UA50*BlendedPriceEssMonthly*TM50+UB50*BlendedPricePremMonthly*TM50+UC50*BlendedPriceEliteMonthly*TM50+UD50*BlendedPriceEssAnnual*TM50/12+UE50*BlendedPricePremAnnual*TM50/12+UF50*BlendedPriceEliteAnnual*TM50/12</f>
        <v/>
      </c>
      <c r="UI50" s="9">
        <f>UH50*12</f>
        <v/>
      </c>
      <c r="UJ50" s="12">
        <f>UA50*BlendedPriceEssMonthly*TM50+UB50*BlendedPricePremMonthly*TM50+UC50*BlendedPriceEliteMonthly*TM50</f>
        <v/>
      </c>
      <c r="UK50" s="12">
        <f>TX50*BlendedPriceEssAnnual*TM50+TY50*BlendedPricePremAnnual*TM50+TZ50*BlendedPriceEliteAnnual*TM50</f>
        <v/>
      </c>
      <c r="UL50" s="12">
        <f>TX38*POWER(1-(AnnualChurn*VLOOKUP(TJ50,ChurnSeasonTable,4,FALSE)),1)*BlendedPriceEssAnnual*TM50+TX26*POWER(1-(AnnualChurn*VLOOKUP(TJ50,ChurnSeasonTable,4,FALSE)),2)*BlendedPriceEssAnnual*TM50+TX14*POWER(1-(AnnualChurn*VLOOKUP(TJ50,ChurnSeasonTable,4,FALSE)),3)*BlendedPriceEssAnnual*TM50+TY38*POWER(1-(AnnualChurn*VLOOKUP(TJ50,ChurnSeasonTable,4,FALSE)),1)*BlendedPricePremAnnual*TM50+TY26*POWER(1-(AnnualChurn*VLOOKUP(TJ50,ChurnSeasonTable,4,FALSE)),2)*BlendedPricePremAnnual*TM50+TY14*POWER(1-(AnnualChurn*VLOOKUP(TJ50,ChurnSeasonTable,4,FALSE)),3)*BlendedPricePremAnnual*TM50+TZ38*POWER(1-(AnnualChurn*VLOOKUP(TJ50,ChurnSeasonTable,4,FALSE)),1)*BlendedPriceEliteAnnual*TM50+TZ26*POWER(1-(AnnualChurn*VLOOKUP(TJ50,ChurnSeasonTable,4,FALSE)),2)*BlendedPriceEliteAnnual*TM50+TZ14*POWER(1-(AnnualChurn*VLOOKUP(TJ50,ChurnSeasonTable,4,FALSE)),3)*BlendedPriceEliteAnnual*TM50</f>
        <v/>
      </c>
      <c r="UM50" s="9">
        <f>UJ50+UK50+UL50</f>
        <v/>
      </c>
      <c r="UN50" s="12">
        <f>SUM(UM39:UM50)</f>
        <v/>
      </c>
      <c r="UO50" s="12">
        <f>OR(UO49,IF(VATAgentMode,SUM($UM39:$UM50)-SUM($UT39:$UT50)&gt;=VATThreshold,SUM($UM39:$UM50)&gt;=VATThreshold))</f>
        <v/>
      </c>
      <c r="UP50" s="9">
        <f>IF(UO50,IF(VATAgentMode,UM50-((UM50-UT50)-(UM50-UT50)/(1+VATRate)),UM50/(1+VATRate)),UM50)</f>
        <v/>
      </c>
      <c r="UQ50" s="12">
        <f>UM50-UP50</f>
        <v/>
      </c>
      <c r="UR50" s="12">
        <f>IF(UO50=0,0,IF(TJ50=1,SUMPRODUCT(--(($TK$5:$TK50=$TK50-1)*($TJ$5:$TJ50&gt;=10)*($TJ$5:$TJ50&lt;=12)),$UQ$5:$UQ50),IF(TJ50=4,SUMPRODUCT(--(($TK$5:$TK50=$TK50)*($TJ$5:$TJ50&gt;=1)*($TJ$5:$TJ50&lt;=3)),$UQ$5:$UQ50),IF(TJ50=7,SUMPRODUCT(--(($TK$5:$TK50=$TK50)*($TJ$5:$TJ50&gt;=4)*($TJ$5:$TJ50&lt;=6)),$UQ$5:$UQ50),IF(TJ50=10,SUMPRODUCT(--(($TK$5:$TK50=$TK50)*($TJ$5:$TJ50&gt;=7)*($TJ$5:$TJ50&lt;=9)),$UQ$5:$UQ50),0)))))</f>
        <v/>
      </c>
      <c r="US50" s="12">
        <f>US49+UQ50-UR50</f>
        <v/>
      </c>
      <c r="UT50" s="12">
        <f>IF(ProviderDelay&gt;=1,UA49*BlendedProvPayEss+UB49*BlendedProvPayPrem+UC49*BlendedProvPayElite+UD49*BlendedProvPayEss+UE49*BlendedProvPayPrem+UF49*BlendedProvPayElite,UA50*BlendedProvPayEss+UB50*BlendedProvPayPrem+UC50*BlendedProvPayElite+UD50*BlendedProvPayEss+UE50*BlendedProvPayPrem+UF50*BlendedProvPayElite)</f>
        <v/>
      </c>
      <c r="UU50" s="12">
        <f>UM50*PaymentFee</f>
        <v/>
      </c>
      <c r="UV50" s="12">
        <f>UG50*OpsAI</f>
        <v/>
      </c>
      <c r="UW50" s="12">
        <f>MonthlyFixed</f>
        <v/>
      </c>
      <c r="UX50" s="12">
        <f>TQ50*ReferralReward</f>
        <v/>
      </c>
      <c r="UY50" s="12">
        <f>TO50</f>
        <v/>
      </c>
      <c r="UZ50" s="9">
        <f>UP50-UT50-UU50-UV50-UW50-UX50-UY50</f>
        <v/>
      </c>
      <c r="VA50" s="9">
        <f>VA49+UM50-(UT50+UU50+UV50+UW50+UX50+UY50+UR50)</f>
        <v/>
      </c>
      <c r="VB50" s="12">
        <f>IF(UG50&gt;0,UH50/UG50,0)</f>
        <v/>
      </c>
      <c r="VC50" s="11">
        <f>IF(UG49&gt;0,MAX(0,(UG49+TR50-UG50)/UG49),0)</f>
        <v/>
      </c>
      <c r="VE50" s="12" t="n">
        <v>46</v>
      </c>
      <c r="VF50" s="12">
        <f>MOD(VE50-1+LaunchMonth-1,12)+1</f>
        <v/>
      </c>
      <c r="VG50" s="12">
        <f>INT((VE50-1+LaunchMonth-1)/12)+1</f>
        <v/>
      </c>
      <c r="VH50" s="12">
        <f>VLOOKUP(VF50,SeasonTable,2,FALSE)</f>
        <v/>
      </c>
      <c r="VI50" s="12">
        <f>(1+InflationRate)^INT((VE50-1)/12)</f>
        <v/>
      </c>
      <c r="VJ50" s="11">
        <f>MonthlyChurn*VLOOKUP(VF50,ChurnSeasonTable,4,FALSE)</f>
        <v/>
      </c>
      <c r="VK50" s="12">
        <f>MIN(MAX(MktMin19plus,WI49*MktPct19plus),MAX(0,WW49-CashBuffer))</f>
        <v/>
      </c>
      <c r="VL50" s="12">
        <f>IF(VK50&gt;0,MAX(1,ROUND(VK50/CAC*VH50,0)),0)</f>
        <v/>
      </c>
      <c r="VM50" s="12">
        <f>IF(VL50&gt;0,ROUND(VL50*ReferralMix/(1-ReferralMix),0),0)</f>
        <v/>
      </c>
      <c r="VN50" s="12">
        <f>VL50+VM50</f>
        <v/>
      </c>
      <c r="VO50" s="12">
        <f>ROUND(VN50*(1-'Sens - Annual Mix'!$A$9),0)</f>
        <v/>
      </c>
      <c r="VP50" s="12">
        <f>VN50-VO50</f>
        <v/>
      </c>
      <c r="VQ50" s="12">
        <f>ROUND(VO50*EssentialMix,0)</f>
        <v/>
      </c>
      <c r="VR50" s="12">
        <f>ROUND(VO50*PremiumMix,0)</f>
        <v/>
      </c>
      <c r="VS50" s="12">
        <f>VO50-VQ50-VR50</f>
        <v/>
      </c>
      <c r="VT50" s="12">
        <f>ROUND(VP50*EssentialMix,0)</f>
        <v/>
      </c>
      <c r="VU50" s="12">
        <f>ROUND(VP50*PremiumMix,0)</f>
        <v/>
      </c>
      <c r="VV50" s="12">
        <f>VP50-VT50-VU50</f>
        <v/>
      </c>
      <c r="VW50" s="12">
        <f>VQ50+VQ49+VQ48+MAX(0,VW49-VQ49-VQ48)*(1-VJ50)</f>
        <v/>
      </c>
      <c r="VX50" s="12">
        <f>VR50+VR49+VR48+MAX(0,VX49-VR49-VR48)*(1-VJ50)</f>
        <v/>
      </c>
      <c r="VY50" s="12">
        <f>VS50+VS49+VS48+MAX(0,VY49-VS49-VS48)*(1-VJ50)</f>
        <v/>
      </c>
      <c r="VZ50" s="12">
        <f>VZ49+VT50-VT38*(AnnualChurn*VLOOKUP(VF50,ChurnSeasonTable,4,FALSE))*POWER(1-(AnnualChurn*VLOOKUP(VF50,ChurnSeasonTable,4,FALSE)),0)+VT26*(AnnualChurn*VLOOKUP(VF50,ChurnSeasonTable,4,FALSE))*POWER(1-(AnnualChurn*VLOOKUP(VF50,ChurnSeasonTable,4,FALSE)),1)+VT14*(AnnualChurn*VLOOKUP(VF50,ChurnSeasonTable,4,FALSE))*POWER(1-(AnnualChurn*VLOOKUP(VF50,ChurnSeasonTable,4,FALSE)),2)</f>
        <v/>
      </c>
      <c r="WA50" s="12">
        <f>WA49+VU50-VU38*(AnnualChurn*VLOOKUP(VF50,ChurnSeasonTable,4,FALSE))*POWER(1-(AnnualChurn*VLOOKUP(VF50,ChurnSeasonTable,4,FALSE)),0)+VU26*(AnnualChurn*VLOOKUP(VF50,ChurnSeasonTable,4,FALSE))*POWER(1-(AnnualChurn*VLOOKUP(VF50,ChurnSeasonTable,4,FALSE)),1)+VU14*(AnnualChurn*VLOOKUP(VF50,ChurnSeasonTable,4,FALSE))*POWER(1-(AnnualChurn*VLOOKUP(VF50,ChurnSeasonTable,4,FALSE)),2)</f>
        <v/>
      </c>
      <c r="WB50" s="12">
        <f>WB49+VV50-VV38*(AnnualChurn*VLOOKUP(VF50,ChurnSeasonTable,4,FALSE))*POWER(1-(AnnualChurn*VLOOKUP(VF50,ChurnSeasonTable,4,FALSE)),0)+VV26*(AnnualChurn*VLOOKUP(VF50,ChurnSeasonTable,4,FALSE))*POWER(1-(AnnualChurn*VLOOKUP(VF50,ChurnSeasonTable,4,FALSE)),1)+VV14*(AnnualChurn*VLOOKUP(VF50,ChurnSeasonTable,4,FALSE))*POWER(1-(AnnualChurn*VLOOKUP(VF50,ChurnSeasonTable,4,FALSE)),2)</f>
        <v/>
      </c>
      <c r="WC50" s="12">
        <f>VW50+VX50+VY50+VZ50+WA50+WB50</f>
        <v/>
      </c>
      <c r="WD50" s="9">
        <f>VW50*BlendedPriceEssMonthly*VI50+VX50*BlendedPricePremMonthly*VI50+VY50*BlendedPriceEliteMonthly*VI50+VZ50*BlendedPriceEssAnnual*VI50/12+WA50*BlendedPricePremAnnual*VI50/12+WB50*BlendedPriceEliteAnnual*VI50/12</f>
        <v/>
      </c>
      <c r="WE50" s="9">
        <f>WD50*12</f>
        <v/>
      </c>
      <c r="WF50" s="12">
        <f>VW50*BlendedPriceEssMonthly*VI50+VX50*BlendedPricePremMonthly*VI50+VY50*BlendedPriceEliteMonthly*VI50</f>
        <v/>
      </c>
      <c r="WG50" s="12">
        <f>VT50*BlendedPriceEssAnnual*VI50+VU50*BlendedPricePremAnnual*VI50+VV50*BlendedPriceEliteAnnual*VI50</f>
        <v/>
      </c>
      <c r="WH50" s="12">
        <f>VT38*POWER(1-(AnnualChurn*VLOOKUP(VF50,ChurnSeasonTable,4,FALSE)),1)*BlendedPriceEssAnnual*VI50+VT26*POWER(1-(AnnualChurn*VLOOKUP(VF50,ChurnSeasonTable,4,FALSE)),2)*BlendedPriceEssAnnual*VI50+VT14*POWER(1-(AnnualChurn*VLOOKUP(VF50,ChurnSeasonTable,4,FALSE)),3)*BlendedPriceEssAnnual*VI50+VU38*POWER(1-(AnnualChurn*VLOOKUP(VF50,ChurnSeasonTable,4,FALSE)),1)*BlendedPricePremAnnual*VI50+VU26*POWER(1-(AnnualChurn*VLOOKUP(VF50,ChurnSeasonTable,4,FALSE)),2)*BlendedPricePremAnnual*VI50+VU14*POWER(1-(AnnualChurn*VLOOKUP(VF50,ChurnSeasonTable,4,FALSE)),3)*BlendedPricePremAnnual*VI50+VV38*POWER(1-(AnnualChurn*VLOOKUP(VF50,ChurnSeasonTable,4,FALSE)),1)*BlendedPriceEliteAnnual*VI50+VV26*POWER(1-(AnnualChurn*VLOOKUP(VF50,ChurnSeasonTable,4,FALSE)),2)*BlendedPriceEliteAnnual*VI50+VV14*POWER(1-(AnnualChurn*VLOOKUP(VF50,ChurnSeasonTable,4,FALSE)),3)*BlendedPriceEliteAnnual*VI50</f>
        <v/>
      </c>
      <c r="WI50" s="9">
        <f>WF50+WG50+WH50</f>
        <v/>
      </c>
      <c r="WJ50" s="12">
        <f>SUM(WI39:WI50)</f>
        <v/>
      </c>
      <c r="WK50" s="12">
        <f>OR(WK49,IF(VATAgentMode,SUM($WI39:$WI50)-SUM($WP39:$WP50)&gt;=VATThreshold,SUM($WI39:$WI50)&gt;=VATThreshold))</f>
        <v/>
      </c>
      <c r="WL50" s="9">
        <f>IF(WK50,IF(VATAgentMode,WI50-((WI50-WP50)-(WI50-WP50)/(1+VATRate)),WI50/(1+VATRate)),WI50)</f>
        <v/>
      </c>
      <c r="WM50" s="12">
        <f>WI50-WL50</f>
        <v/>
      </c>
      <c r="WN50" s="12">
        <f>IF(WK50=0,0,IF(VF50=1,SUMPRODUCT(--(($VG$5:$VG50=$VG50-1)*($VF$5:$VF50&gt;=10)*($VF$5:$VF50&lt;=12)),$WM$5:$WM50),IF(VF50=4,SUMPRODUCT(--(($VG$5:$VG50=$VG50)*($VF$5:$VF50&gt;=1)*($VF$5:$VF50&lt;=3)),$WM$5:$WM50),IF(VF50=7,SUMPRODUCT(--(($VG$5:$VG50=$VG50)*($VF$5:$VF50&gt;=4)*($VF$5:$VF50&lt;=6)),$WM$5:$WM50),IF(VF50=10,SUMPRODUCT(--(($VG$5:$VG50=$VG50)*($VF$5:$VF50&gt;=7)*($VF$5:$VF50&lt;=9)),$WM$5:$WM50),0)))))</f>
        <v/>
      </c>
      <c r="WO50" s="12">
        <f>WO49+WM50-WN50</f>
        <v/>
      </c>
      <c r="WP50" s="12">
        <f>IF(ProviderDelay&gt;=1,VW49*BlendedProvPayEss+VX49*BlendedProvPayPrem+VY49*BlendedProvPayElite+VZ49*BlendedProvPayEss+WA49*BlendedProvPayPrem+WB49*BlendedProvPayElite,VW50*BlendedProvPayEss+VX50*BlendedProvPayPrem+VY50*BlendedProvPayElite+VZ50*BlendedProvPayEss+WA50*BlendedProvPayPrem+WB50*BlendedProvPayElite)</f>
        <v/>
      </c>
      <c r="WQ50" s="12">
        <f>WI50*PaymentFee</f>
        <v/>
      </c>
      <c r="WR50" s="12">
        <f>WC50*OpsAI</f>
        <v/>
      </c>
      <c r="WS50" s="12">
        <f>MonthlyFixed</f>
        <v/>
      </c>
      <c r="WT50" s="12">
        <f>VM50*ReferralReward</f>
        <v/>
      </c>
      <c r="WU50" s="12">
        <f>VK50</f>
        <v/>
      </c>
      <c r="WV50" s="9">
        <f>WL50-WP50-WQ50-WR50-WS50-WT50-WU50</f>
        <v/>
      </c>
      <c r="WW50" s="9">
        <f>WW49+WI50-(WP50+WQ50+WR50+WS50+WT50+WU50+WN50)</f>
        <v/>
      </c>
      <c r="WX50" s="12">
        <f>IF(WC50&gt;0,WD50/WC50,0)</f>
        <v/>
      </c>
      <c r="WY50" s="11">
        <f>IF(WC49&gt;0,MAX(0,(WC49+VN50-WC50)/WC49),0)</f>
        <v/>
      </c>
      <c r="XA50" s="12" t="n">
        <v>46</v>
      </c>
      <c r="XB50" s="12">
        <f>MOD(XA50-1+LaunchMonth-1,12)+1</f>
        <v/>
      </c>
      <c r="XC50" s="12">
        <f>INT((XA50-1+LaunchMonth-1)/12)+1</f>
        <v/>
      </c>
      <c r="XD50" s="12">
        <f>VLOOKUP(XB50,SeasonTable,2,FALSE)</f>
        <v/>
      </c>
      <c r="XE50" s="12">
        <f>(1+InflationRate)^INT((XA50-1)/12)</f>
        <v/>
      </c>
      <c r="XF50" s="11">
        <f>MonthlyChurn*VLOOKUP(XB50,ChurnSeasonTable,4,FALSE)</f>
        <v/>
      </c>
      <c r="XG50" s="12">
        <f>MIN(MAX(MktMin19plus,YE49*MktPct19plus),MAX(0,YS49-CashBuffer))</f>
        <v/>
      </c>
      <c r="XH50" s="12">
        <f>IF(XG50&gt;0,MAX(1,ROUND(XG50/CAC*XD50,0)),0)</f>
        <v/>
      </c>
      <c r="XI50" s="12">
        <f>IF(XH50&gt;0,ROUND(XH50*ReferralMix/(1-ReferralMix),0),0)</f>
        <v/>
      </c>
      <c r="XJ50" s="12">
        <f>XH50+XI50</f>
        <v/>
      </c>
      <c r="XK50" s="12">
        <f>ROUND(XJ50*(1-'Sens - Annual Mix'!$A$10),0)</f>
        <v/>
      </c>
      <c r="XL50" s="12">
        <f>XJ50-XK50</f>
        <v/>
      </c>
      <c r="XM50" s="12">
        <f>ROUND(XK50*EssentialMix,0)</f>
        <v/>
      </c>
      <c r="XN50" s="12">
        <f>ROUND(XK50*PremiumMix,0)</f>
        <v/>
      </c>
      <c r="XO50" s="12">
        <f>XK50-XM50-XN50</f>
        <v/>
      </c>
      <c r="XP50" s="12">
        <f>ROUND(XL50*EssentialMix,0)</f>
        <v/>
      </c>
      <c r="XQ50" s="12">
        <f>ROUND(XL50*PremiumMix,0)</f>
        <v/>
      </c>
      <c r="XR50" s="12">
        <f>XL50-XP50-XQ50</f>
        <v/>
      </c>
      <c r="XS50" s="12">
        <f>XM50+XM49+XM48+MAX(0,XS49-XM49-XM48)*(1-XF50)</f>
        <v/>
      </c>
      <c r="XT50" s="12">
        <f>XN50+XN49+XN48+MAX(0,XT49-XN49-XN48)*(1-XF50)</f>
        <v/>
      </c>
      <c r="XU50" s="12">
        <f>XO50+XO49+XO48+MAX(0,XU49-XO49-XO48)*(1-XF50)</f>
        <v/>
      </c>
      <c r="XV50" s="12">
        <f>XV49+XP50-XP38*(AnnualChurn*VLOOKUP(XB50,ChurnSeasonTable,4,FALSE))*POWER(1-(AnnualChurn*VLOOKUP(XB50,ChurnSeasonTable,4,FALSE)),0)+XP26*(AnnualChurn*VLOOKUP(XB50,ChurnSeasonTable,4,FALSE))*POWER(1-(AnnualChurn*VLOOKUP(XB50,ChurnSeasonTable,4,FALSE)),1)+XP14*(AnnualChurn*VLOOKUP(XB50,ChurnSeasonTable,4,FALSE))*POWER(1-(AnnualChurn*VLOOKUP(XB50,ChurnSeasonTable,4,FALSE)),2)</f>
        <v/>
      </c>
      <c r="XW50" s="12">
        <f>XW49+XQ50-XQ38*(AnnualChurn*VLOOKUP(XB50,ChurnSeasonTable,4,FALSE))*POWER(1-(AnnualChurn*VLOOKUP(XB50,ChurnSeasonTable,4,FALSE)),0)+XQ26*(AnnualChurn*VLOOKUP(XB50,ChurnSeasonTable,4,FALSE))*POWER(1-(AnnualChurn*VLOOKUP(XB50,ChurnSeasonTable,4,FALSE)),1)+XQ14*(AnnualChurn*VLOOKUP(XB50,ChurnSeasonTable,4,FALSE))*POWER(1-(AnnualChurn*VLOOKUP(XB50,ChurnSeasonTable,4,FALSE)),2)</f>
        <v/>
      </c>
      <c r="XX50" s="12">
        <f>XX49+XR50-XR38*(AnnualChurn*VLOOKUP(XB50,ChurnSeasonTable,4,FALSE))*POWER(1-(AnnualChurn*VLOOKUP(XB50,ChurnSeasonTable,4,FALSE)),0)+XR26*(AnnualChurn*VLOOKUP(XB50,ChurnSeasonTable,4,FALSE))*POWER(1-(AnnualChurn*VLOOKUP(XB50,ChurnSeasonTable,4,FALSE)),1)+XR14*(AnnualChurn*VLOOKUP(XB50,ChurnSeasonTable,4,FALSE))*POWER(1-(AnnualChurn*VLOOKUP(XB50,ChurnSeasonTable,4,FALSE)),2)</f>
        <v/>
      </c>
      <c r="XY50" s="12">
        <f>XS50+XT50+XU50+XV50+XW50+XX50</f>
        <v/>
      </c>
      <c r="XZ50" s="9">
        <f>XS50*BlendedPriceEssMonthly*XE50+XT50*BlendedPricePremMonthly*XE50+XU50*BlendedPriceEliteMonthly*XE50+XV50*BlendedPriceEssAnnual*XE50/12+XW50*BlendedPricePremAnnual*XE50/12+XX50*BlendedPriceEliteAnnual*XE50/12</f>
        <v/>
      </c>
      <c r="YA50" s="9">
        <f>XZ50*12</f>
        <v/>
      </c>
      <c r="YB50" s="12">
        <f>XS50*BlendedPriceEssMonthly*XE50+XT50*BlendedPricePremMonthly*XE50+XU50*BlendedPriceEliteMonthly*XE50</f>
        <v/>
      </c>
      <c r="YC50" s="12">
        <f>XP50*BlendedPriceEssAnnual*XE50+XQ50*BlendedPricePremAnnual*XE50+XR50*BlendedPriceEliteAnnual*XE50</f>
        <v/>
      </c>
      <c r="YD50" s="12">
        <f>XP38*POWER(1-(AnnualChurn*VLOOKUP(XB50,ChurnSeasonTable,4,FALSE)),1)*BlendedPriceEssAnnual*XE50+XP26*POWER(1-(AnnualChurn*VLOOKUP(XB50,ChurnSeasonTable,4,FALSE)),2)*BlendedPriceEssAnnual*XE50+XP14*POWER(1-(AnnualChurn*VLOOKUP(XB50,ChurnSeasonTable,4,FALSE)),3)*BlendedPriceEssAnnual*XE50+XQ38*POWER(1-(AnnualChurn*VLOOKUP(XB50,ChurnSeasonTable,4,FALSE)),1)*BlendedPricePremAnnual*XE50+XQ26*POWER(1-(AnnualChurn*VLOOKUP(XB50,ChurnSeasonTable,4,FALSE)),2)*BlendedPricePremAnnual*XE50+XQ14*POWER(1-(AnnualChurn*VLOOKUP(XB50,ChurnSeasonTable,4,FALSE)),3)*BlendedPricePremAnnual*XE50+XR38*POWER(1-(AnnualChurn*VLOOKUP(XB50,ChurnSeasonTable,4,FALSE)),1)*BlendedPriceEliteAnnual*XE50+XR26*POWER(1-(AnnualChurn*VLOOKUP(XB50,ChurnSeasonTable,4,FALSE)),2)*BlendedPriceEliteAnnual*XE50+XR14*POWER(1-(AnnualChurn*VLOOKUP(XB50,ChurnSeasonTable,4,FALSE)),3)*BlendedPriceEliteAnnual*XE50</f>
        <v/>
      </c>
      <c r="YE50" s="9">
        <f>YB50+YC50+YD50</f>
        <v/>
      </c>
      <c r="YF50" s="12">
        <f>SUM(YE39:YE50)</f>
        <v/>
      </c>
      <c r="YG50" s="12">
        <f>OR(YG49,IF(VATAgentMode,SUM($YE39:$YE50)-SUM($YL39:$YL50)&gt;=VATThreshold,SUM($YE39:$YE50)&gt;=VATThreshold))</f>
        <v/>
      </c>
      <c r="YH50" s="9">
        <f>IF(YG50,IF(VATAgentMode,YE50-((YE50-YL50)-(YE50-YL50)/(1+VATRate)),YE50/(1+VATRate)),YE50)</f>
        <v/>
      </c>
      <c r="YI50" s="12">
        <f>YE50-YH50</f>
        <v/>
      </c>
      <c r="YJ50" s="12">
        <f>IF(YG50=0,0,IF(XB50=1,SUMPRODUCT(--(($XC$5:$XC50=$XC50-1)*($XB$5:$XB50&gt;=10)*($XB$5:$XB50&lt;=12)),$YI$5:$YI50),IF(XB50=4,SUMPRODUCT(--(($XC$5:$XC50=$XC50)*($XB$5:$XB50&gt;=1)*($XB$5:$XB50&lt;=3)),$YI$5:$YI50),IF(XB50=7,SUMPRODUCT(--(($XC$5:$XC50=$XC50)*($XB$5:$XB50&gt;=4)*($XB$5:$XB50&lt;=6)),$YI$5:$YI50),IF(XB50=10,SUMPRODUCT(--(($XC$5:$XC50=$XC50)*($XB$5:$XB50&gt;=7)*($XB$5:$XB50&lt;=9)),$YI$5:$YI50),0)))))</f>
        <v/>
      </c>
      <c r="YK50" s="12">
        <f>YK49+YI50-YJ50</f>
        <v/>
      </c>
      <c r="YL50" s="12">
        <f>IF(ProviderDelay&gt;=1,XS49*BlendedProvPayEss+XT49*BlendedProvPayPrem+XU49*BlendedProvPayElite+XV49*BlendedProvPayEss+XW49*BlendedProvPayPrem+XX49*BlendedProvPayElite,XS50*BlendedProvPayEss+XT50*BlendedProvPayPrem+XU50*BlendedProvPayElite+XV50*BlendedProvPayEss+XW50*BlendedProvPayPrem+XX50*BlendedProvPayElite)</f>
        <v/>
      </c>
      <c r="YM50" s="12">
        <f>YE50*PaymentFee</f>
        <v/>
      </c>
      <c r="YN50" s="12">
        <f>XY50*OpsAI</f>
        <v/>
      </c>
      <c r="YO50" s="12">
        <f>MonthlyFixed</f>
        <v/>
      </c>
      <c r="YP50" s="12">
        <f>XI50*ReferralReward</f>
        <v/>
      </c>
      <c r="YQ50" s="12">
        <f>XG50</f>
        <v/>
      </c>
      <c r="YR50" s="9">
        <f>YH50-YL50-YM50-YN50-YO50-YP50-YQ50</f>
        <v/>
      </c>
      <c r="YS50" s="9">
        <f>YS49+YE50-(YL50+YM50+YN50+YO50+YP50+YQ50+YJ50)</f>
        <v/>
      </c>
      <c r="YT50" s="12">
        <f>IF(XY50&gt;0,XZ50/XY50,0)</f>
        <v/>
      </c>
      <c r="YU50" s="11">
        <f>IF(XY49&gt;0,MAX(0,(XY49+XJ50-XY50)/XY49),0)</f>
        <v/>
      </c>
      <c r="YW50" s="12" t="n">
        <v>46</v>
      </c>
      <c r="YX50" s="12">
        <f>MOD(YW50-1+LaunchMonth-1,12)+1</f>
        <v/>
      </c>
      <c r="YY50" s="12">
        <f>INT((YW50-1+LaunchMonth-1)/12)+1</f>
        <v/>
      </c>
      <c r="YZ50" s="12">
        <f>VLOOKUP(YX50,SeasonTable,2,FALSE)</f>
        <v/>
      </c>
      <c r="ZA50" s="12">
        <f>(1+InflationRate)^INT((YW50-1)/12)</f>
        <v/>
      </c>
      <c r="ZB50" s="11">
        <f>MonthlyChurn*VLOOKUP(YX50,ChurnSeasonTable,4,FALSE)</f>
        <v/>
      </c>
      <c r="ZC50" s="12">
        <f>MIN(MAX(MktMin19plus,AAA49*MktPct19plus),MAX(0,AAO49-CashBuffer))</f>
        <v/>
      </c>
      <c r="ZD50" s="12">
        <f>IF(ZC50&gt;0,MAX(1,ROUND(ZC50/CAC*YZ50,0)),0)</f>
        <v/>
      </c>
      <c r="ZE50" s="12">
        <f>IF(ZD50&gt;0,ROUND(ZD50*ReferralMix/(1-ReferralMix),0),0)</f>
        <v/>
      </c>
      <c r="ZF50" s="12">
        <f>ZD50+ZE50</f>
        <v/>
      </c>
      <c r="ZG50" s="12">
        <f>ROUND(ZF50*(1-'Sens - Annual Mix'!$A$11),0)</f>
        <v/>
      </c>
      <c r="ZH50" s="12">
        <f>ZF50-ZG50</f>
        <v/>
      </c>
      <c r="ZI50" s="12">
        <f>ROUND(ZG50*EssentialMix,0)</f>
        <v/>
      </c>
      <c r="ZJ50" s="12">
        <f>ROUND(ZG50*PremiumMix,0)</f>
        <v/>
      </c>
      <c r="ZK50" s="12">
        <f>ZG50-ZI50-ZJ50</f>
        <v/>
      </c>
      <c r="ZL50" s="12">
        <f>ROUND(ZH50*EssentialMix,0)</f>
        <v/>
      </c>
      <c r="ZM50" s="12">
        <f>ROUND(ZH50*PremiumMix,0)</f>
        <v/>
      </c>
      <c r="ZN50" s="12">
        <f>ZH50-ZL50-ZM50</f>
        <v/>
      </c>
      <c r="ZO50" s="12">
        <f>ZI50+ZI49+ZI48+MAX(0,ZO49-ZI49-ZI48)*(1-ZB50)</f>
        <v/>
      </c>
      <c r="ZP50" s="12">
        <f>ZJ50+ZJ49+ZJ48+MAX(0,ZP49-ZJ49-ZJ48)*(1-ZB50)</f>
        <v/>
      </c>
      <c r="ZQ50" s="12">
        <f>ZK50+ZK49+ZK48+MAX(0,ZQ49-ZK49-ZK48)*(1-ZB50)</f>
        <v/>
      </c>
      <c r="ZR50" s="12">
        <f>ZR49+ZL50-ZL38*(AnnualChurn*VLOOKUP(YX50,ChurnSeasonTable,4,FALSE))*POWER(1-(AnnualChurn*VLOOKUP(YX50,ChurnSeasonTable,4,FALSE)),0)+ZL26*(AnnualChurn*VLOOKUP(YX50,ChurnSeasonTable,4,FALSE))*POWER(1-(AnnualChurn*VLOOKUP(YX50,ChurnSeasonTable,4,FALSE)),1)+ZL14*(AnnualChurn*VLOOKUP(YX50,ChurnSeasonTable,4,FALSE))*POWER(1-(AnnualChurn*VLOOKUP(YX50,ChurnSeasonTable,4,FALSE)),2)</f>
        <v/>
      </c>
      <c r="ZS50" s="12">
        <f>ZS49+ZM50-ZM38*(AnnualChurn*VLOOKUP(YX50,ChurnSeasonTable,4,FALSE))*POWER(1-(AnnualChurn*VLOOKUP(YX50,ChurnSeasonTable,4,FALSE)),0)+ZM26*(AnnualChurn*VLOOKUP(YX50,ChurnSeasonTable,4,FALSE))*POWER(1-(AnnualChurn*VLOOKUP(YX50,ChurnSeasonTable,4,FALSE)),1)+ZM14*(AnnualChurn*VLOOKUP(YX50,ChurnSeasonTable,4,FALSE))*POWER(1-(AnnualChurn*VLOOKUP(YX50,ChurnSeasonTable,4,FALSE)),2)</f>
        <v/>
      </c>
      <c r="ZT50" s="12">
        <f>ZT49+ZN50-ZN38*(AnnualChurn*VLOOKUP(YX50,ChurnSeasonTable,4,FALSE))*POWER(1-(AnnualChurn*VLOOKUP(YX50,ChurnSeasonTable,4,FALSE)),0)+ZN26*(AnnualChurn*VLOOKUP(YX50,ChurnSeasonTable,4,FALSE))*POWER(1-(AnnualChurn*VLOOKUP(YX50,ChurnSeasonTable,4,FALSE)),1)+ZN14*(AnnualChurn*VLOOKUP(YX50,ChurnSeasonTable,4,FALSE))*POWER(1-(AnnualChurn*VLOOKUP(YX50,ChurnSeasonTable,4,FALSE)),2)</f>
        <v/>
      </c>
      <c r="ZU50" s="12">
        <f>ZO50+ZP50+ZQ50+ZR50+ZS50+ZT50</f>
        <v/>
      </c>
      <c r="ZV50" s="9">
        <f>ZO50*BlendedPriceEssMonthly*ZA50+ZP50*BlendedPricePremMonthly*ZA50+ZQ50*BlendedPriceEliteMonthly*ZA50+ZR50*BlendedPriceEssAnnual*ZA50/12+ZS50*BlendedPricePremAnnual*ZA50/12+ZT50*BlendedPriceEliteAnnual*ZA50/12</f>
        <v/>
      </c>
      <c r="ZW50" s="9">
        <f>ZV50*12</f>
        <v/>
      </c>
      <c r="ZX50" s="12">
        <f>ZO50*BlendedPriceEssMonthly*ZA50+ZP50*BlendedPricePremMonthly*ZA50+ZQ50*BlendedPriceEliteMonthly*ZA50</f>
        <v/>
      </c>
      <c r="ZY50" s="12">
        <f>ZL50*BlendedPriceEssAnnual*ZA50+ZM50*BlendedPricePremAnnual*ZA50+ZN50*BlendedPriceEliteAnnual*ZA50</f>
        <v/>
      </c>
      <c r="ZZ50" s="12">
        <f>ZL38*POWER(1-(AnnualChurn*VLOOKUP(YX50,ChurnSeasonTable,4,FALSE)),1)*BlendedPriceEssAnnual*ZA50+ZL26*POWER(1-(AnnualChurn*VLOOKUP(YX50,ChurnSeasonTable,4,FALSE)),2)*BlendedPriceEssAnnual*ZA50+ZL14*POWER(1-(AnnualChurn*VLOOKUP(YX50,ChurnSeasonTable,4,FALSE)),3)*BlendedPriceEssAnnual*ZA50+ZM38*POWER(1-(AnnualChurn*VLOOKUP(YX50,ChurnSeasonTable,4,FALSE)),1)*BlendedPricePremAnnual*ZA50+ZM26*POWER(1-(AnnualChurn*VLOOKUP(YX50,ChurnSeasonTable,4,FALSE)),2)*BlendedPricePremAnnual*ZA50+ZM14*POWER(1-(AnnualChurn*VLOOKUP(YX50,ChurnSeasonTable,4,FALSE)),3)*BlendedPricePremAnnual*ZA50+ZN38*POWER(1-(AnnualChurn*VLOOKUP(YX50,ChurnSeasonTable,4,FALSE)),1)*BlendedPriceEliteAnnual*ZA50+ZN26*POWER(1-(AnnualChurn*VLOOKUP(YX50,ChurnSeasonTable,4,FALSE)),2)*BlendedPriceEliteAnnual*ZA50+ZN14*POWER(1-(AnnualChurn*VLOOKUP(YX50,ChurnSeasonTable,4,FALSE)),3)*BlendedPriceEliteAnnual*ZA50</f>
        <v/>
      </c>
      <c r="AAA50" s="9">
        <f>ZX50+ZY50+ZZ50</f>
        <v/>
      </c>
      <c r="AAB50" s="12">
        <f>SUM(AAA39:AAA50)</f>
        <v/>
      </c>
      <c r="AAC50" s="12">
        <f>OR(AAC49,IF(VATAgentMode,SUM($AAA39:$AAA50)-SUM($AAH39:$AAH50)&gt;=VATThreshold,SUM($AAA39:$AAA50)&gt;=VATThreshold))</f>
        <v/>
      </c>
      <c r="AAD50" s="9">
        <f>IF(AAC50,IF(VATAgentMode,AAA50-((AAA50-AAH50)-(AAA50-AAH50)/(1+VATRate)),AAA50/(1+VATRate)),AAA50)</f>
        <v/>
      </c>
      <c r="AAE50" s="12">
        <f>AAA50-AAD50</f>
        <v/>
      </c>
      <c r="AAF50" s="12">
        <f>IF(AAC50=0,0,IF(YX50=1,SUMPRODUCT(--(($YY$5:$YY50=$YY50-1)*($YX$5:$YX50&gt;=10)*($YX$5:$YX50&lt;=12)),$AAE$5:$AAE50),IF(YX50=4,SUMPRODUCT(--(($YY$5:$YY50=$YY50)*($YX$5:$YX50&gt;=1)*($YX$5:$YX50&lt;=3)),$AAE$5:$AAE50),IF(YX50=7,SUMPRODUCT(--(($YY$5:$YY50=$YY50)*($YX$5:$YX50&gt;=4)*($YX$5:$YX50&lt;=6)),$AAE$5:$AAE50),IF(YX50=10,SUMPRODUCT(--(($YY$5:$YY50=$YY50)*($YX$5:$YX50&gt;=7)*($YX$5:$YX50&lt;=9)),$AAE$5:$AAE50),0)))))</f>
        <v/>
      </c>
      <c r="AAG50" s="12">
        <f>AAG49+AAE50-AAF50</f>
        <v/>
      </c>
      <c r="AAH50" s="12">
        <f>IF(ProviderDelay&gt;=1,ZO49*BlendedProvPayEss+ZP49*BlendedProvPayPrem+ZQ49*BlendedProvPayElite+ZR49*BlendedProvPayEss+ZS49*BlendedProvPayPrem+ZT49*BlendedProvPayElite,ZO50*BlendedProvPayEss+ZP50*BlendedProvPayPrem+ZQ50*BlendedProvPayElite+ZR50*BlendedProvPayEss+ZS50*BlendedProvPayPrem+ZT50*BlendedProvPayElite)</f>
        <v/>
      </c>
      <c r="AAI50" s="12">
        <f>AAA50*PaymentFee</f>
        <v/>
      </c>
      <c r="AAJ50" s="12">
        <f>ZU50*OpsAI</f>
        <v/>
      </c>
      <c r="AAK50" s="12">
        <f>MonthlyFixed</f>
        <v/>
      </c>
      <c r="AAL50" s="12">
        <f>ZE50*ReferralReward</f>
        <v/>
      </c>
      <c r="AAM50" s="12">
        <f>ZC50</f>
        <v/>
      </c>
      <c r="AAN50" s="9">
        <f>AAD50-AAH50-AAI50-AAJ50-AAK50-AAL50-AAM50</f>
        <v/>
      </c>
      <c r="AAO50" s="9">
        <f>AAO49+AAA50-(AAH50+AAI50+AAJ50+AAK50+AAL50+AAM50+AAF50)</f>
        <v/>
      </c>
      <c r="AAP50" s="12">
        <f>IF(ZU50&gt;0,ZV50/ZU50,0)</f>
        <v/>
      </c>
      <c r="AAQ50" s="11">
        <f>IF(ZU49&gt;0,MAX(0,(ZU49+ZF50-ZU50)/ZU49),0)</f>
        <v/>
      </c>
      <c r="AAS50" s="12" t="n">
        <v>46</v>
      </c>
      <c r="AAT50" s="12">
        <f>MOD(AAS50-1+LaunchMonth-1,12)+1</f>
        <v/>
      </c>
      <c r="AAU50" s="12">
        <f>INT((AAS50-1+LaunchMonth-1)/12)+1</f>
        <v/>
      </c>
      <c r="AAV50" s="12">
        <f>VLOOKUP(AAT50,SeasonTable,2,FALSE)</f>
        <v/>
      </c>
      <c r="AAW50" s="12">
        <f>(1+InflationRate)^INT((AAS50-1)/12)</f>
        <v/>
      </c>
      <c r="AAX50" s="11">
        <f>MonthlyChurn*VLOOKUP(AAT50,ChurnSeasonTable,4,FALSE)</f>
        <v/>
      </c>
      <c r="AAY50" s="12">
        <f>MIN(MAX(MktMin19plus,ABW49*MktPct19plus),MAX(0,ACK49-CashBuffer))</f>
        <v/>
      </c>
      <c r="AAZ50" s="12">
        <f>IF(AAY50&gt;0,MAX(1,ROUND(AAY50/CAC*AAV50,0)),0)</f>
        <v/>
      </c>
      <c r="ABA50" s="12">
        <f>IF(AAZ50&gt;0,ROUND(AAZ50*ReferralMix/(1-ReferralMix),0),0)</f>
        <v/>
      </c>
      <c r="ABB50" s="12">
        <f>AAZ50+ABA50</f>
        <v/>
      </c>
      <c r="ABC50" s="12">
        <f>ROUND(ABB50*(1-'Sens - Annual Mix'!$A$12),0)</f>
        <v/>
      </c>
      <c r="ABD50" s="12">
        <f>ABB50-ABC50</f>
        <v/>
      </c>
      <c r="ABE50" s="12">
        <f>ROUND(ABC50*EssentialMix,0)</f>
        <v/>
      </c>
      <c r="ABF50" s="12">
        <f>ROUND(ABC50*PremiumMix,0)</f>
        <v/>
      </c>
      <c r="ABG50" s="12">
        <f>ABC50-ABE50-ABF50</f>
        <v/>
      </c>
      <c r="ABH50" s="12">
        <f>ROUND(ABD50*EssentialMix,0)</f>
        <v/>
      </c>
      <c r="ABI50" s="12">
        <f>ROUND(ABD50*PremiumMix,0)</f>
        <v/>
      </c>
      <c r="ABJ50" s="12">
        <f>ABD50-ABH50-ABI50</f>
        <v/>
      </c>
      <c r="ABK50" s="12">
        <f>ABE50+ABE49+ABE48+MAX(0,ABK49-ABE49-ABE48)*(1-AAX50)</f>
        <v/>
      </c>
      <c r="ABL50" s="12">
        <f>ABF50+ABF49+ABF48+MAX(0,ABL49-ABF49-ABF48)*(1-AAX50)</f>
        <v/>
      </c>
      <c r="ABM50" s="12">
        <f>ABG50+ABG49+ABG48+MAX(0,ABM49-ABG49-ABG48)*(1-AAX50)</f>
        <v/>
      </c>
      <c r="ABN50" s="12">
        <f>ABN49+ABH50-ABH38*(AnnualChurn*VLOOKUP(AAT50,ChurnSeasonTable,4,FALSE))*POWER(1-(AnnualChurn*VLOOKUP(AAT50,ChurnSeasonTable,4,FALSE)),0)+ABH26*(AnnualChurn*VLOOKUP(AAT50,ChurnSeasonTable,4,FALSE))*POWER(1-(AnnualChurn*VLOOKUP(AAT50,ChurnSeasonTable,4,FALSE)),1)+ABH14*(AnnualChurn*VLOOKUP(AAT50,ChurnSeasonTable,4,FALSE))*POWER(1-(AnnualChurn*VLOOKUP(AAT50,ChurnSeasonTable,4,FALSE)),2)</f>
        <v/>
      </c>
      <c r="ABO50" s="12">
        <f>ABO49+ABI50-ABI38*(AnnualChurn*VLOOKUP(AAT50,ChurnSeasonTable,4,FALSE))*POWER(1-(AnnualChurn*VLOOKUP(AAT50,ChurnSeasonTable,4,FALSE)),0)+ABI26*(AnnualChurn*VLOOKUP(AAT50,ChurnSeasonTable,4,FALSE))*POWER(1-(AnnualChurn*VLOOKUP(AAT50,ChurnSeasonTable,4,FALSE)),1)+ABI14*(AnnualChurn*VLOOKUP(AAT50,ChurnSeasonTable,4,FALSE))*POWER(1-(AnnualChurn*VLOOKUP(AAT50,ChurnSeasonTable,4,FALSE)),2)</f>
        <v/>
      </c>
      <c r="ABP50" s="12">
        <f>ABP49+ABJ50-ABJ38*(AnnualChurn*VLOOKUP(AAT50,ChurnSeasonTable,4,FALSE))*POWER(1-(AnnualChurn*VLOOKUP(AAT50,ChurnSeasonTable,4,FALSE)),0)+ABJ26*(AnnualChurn*VLOOKUP(AAT50,ChurnSeasonTable,4,FALSE))*POWER(1-(AnnualChurn*VLOOKUP(AAT50,ChurnSeasonTable,4,FALSE)),1)+ABJ14*(AnnualChurn*VLOOKUP(AAT50,ChurnSeasonTable,4,FALSE))*POWER(1-(AnnualChurn*VLOOKUP(AAT50,ChurnSeasonTable,4,FALSE)),2)</f>
        <v/>
      </c>
      <c r="ABQ50" s="12">
        <f>ABK50+ABL50+ABM50+ABN50+ABO50+ABP50</f>
        <v/>
      </c>
      <c r="ABR50" s="9">
        <f>ABK50*BlendedPriceEssMonthly*AAW50+ABL50*BlendedPricePremMonthly*AAW50+ABM50*BlendedPriceEliteMonthly*AAW50+ABN50*BlendedPriceEssAnnual*AAW50/12+ABO50*BlendedPricePremAnnual*AAW50/12+ABP50*BlendedPriceEliteAnnual*AAW50/12</f>
        <v/>
      </c>
      <c r="ABS50" s="9">
        <f>ABR50*12</f>
        <v/>
      </c>
      <c r="ABT50" s="12">
        <f>ABK50*BlendedPriceEssMonthly*AAW50+ABL50*BlendedPricePremMonthly*AAW50+ABM50*BlendedPriceEliteMonthly*AAW50</f>
        <v/>
      </c>
      <c r="ABU50" s="12">
        <f>ABH50*BlendedPriceEssAnnual*AAW50+ABI50*BlendedPricePremAnnual*AAW50+ABJ50*BlendedPriceEliteAnnual*AAW50</f>
        <v/>
      </c>
      <c r="ABV50" s="12">
        <f>ABH38*POWER(1-(AnnualChurn*VLOOKUP(AAT50,ChurnSeasonTable,4,FALSE)),1)*BlendedPriceEssAnnual*AAW50+ABH26*POWER(1-(AnnualChurn*VLOOKUP(AAT50,ChurnSeasonTable,4,FALSE)),2)*BlendedPriceEssAnnual*AAW50+ABH14*POWER(1-(AnnualChurn*VLOOKUP(AAT50,ChurnSeasonTable,4,FALSE)),3)*BlendedPriceEssAnnual*AAW50+ABI38*POWER(1-(AnnualChurn*VLOOKUP(AAT50,ChurnSeasonTable,4,FALSE)),1)*BlendedPricePremAnnual*AAW50+ABI26*POWER(1-(AnnualChurn*VLOOKUP(AAT50,ChurnSeasonTable,4,FALSE)),2)*BlendedPricePremAnnual*AAW50+ABI14*POWER(1-(AnnualChurn*VLOOKUP(AAT50,ChurnSeasonTable,4,FALSE)),3)*BlendedPricePremAnnual*AAW50+ABJ38*POWER(1-(AnnualChurn*VLOOKUP(AAT50,ChurnSeasonTable,4,FALSE)),1)*BlendedPriceEliteAnnual*AAW50+ABJ26*POWER(1-(AnnualChurn*VLOOKUP(AAT50,ChurnSeasonTable,4,FALSE)),2)*BlendedPriceEliteAnnual*AAW50+ABJ14*POWER(1-(AnnualChurn*VLOOKUP(AAT50,ChurnSeasonTable,4,FALSE)),3)*BlendedPriceEliteAnnual*AAW50</f>
        <v/>
      </c>
      <c r="ABW50" s="9">
        <f>ABT50+ABU50+ABV50</f>
        <v/>
      </c>
      <c r="ABX50" s="12">
        <f>SUM(ABW39:ABW50)</f>
        <v/>
      </c>
      <c r="ABY50" s="12">
        <f>OR(ABY49,IF(VATAgentMode,SUM($ABW39:$ABW50)-SUM($ACD39:$ACD50)&gt;=VATThreshold,SUM($ABW39:$ABW50)&gt;=VATThreshold))</f>
        <v/>
      </c>
      <c r="ABZ50" s="9">
        <f>IF(ABY50,IF(VATAgentMode,ABW50-((ABW50-ACD50)-(ABW50-ACD50)/(1+VATRate)),ABW50/(1+VATRate)),ABW50)</f>
        <v/>
      </c>
      <c r="ACA50" s="12">
        <f>ABW50-ABZ50</f>
        <v/>
      </c>
      <c r="ACB50" s="12">
        <f>IF(ABY50=0,0,IF(AAT50=1,SUMPRODUCT(--(($AAU$5:$AAU50=$AAU50-1)*($AAT$5:$AAT50&gt;=10)*($AAT$5:$AAT50&lt;=12)),$ACA$5:$ACA50),IF(AAT50=4,SUMPRODUCT(--(($AAU$5:$AAU50=$AAU50)*($AAT$5:$AAT50&gt;=1)*($AAT$5:$AAT50&lt;=3)),$ACA$5:$ACA50),IF(AAT50=7,SUMPRODUCT(--(($AAU$5:$AAU50=$AAU50)*($AAT$5:$AAT50&gt;=4)*($AAT$5:$AAT50&lt;=6)),$ACA$5:$ACA50),IF(AAT50=10,SUMPRODUCT(--(($AAU$5:$AAU50=$AAU50)*($AAT$5:$AAT50&gt;=7)*($AAT$5:$AAT50&lt;=9)),$ACA$5:$ACA50),0)))))</f>
        <v/>
      </c>
      <c r="ACC50" s="12">
        <f>ACC49+ACA50-ACB50</f>
        <v/>
      </c>
      <c r="ACD50" s="12">
        <f>IF(ProviderDelay&gt;=1,ABK49*BlendedProvPayEss+ABL49*BlendedProvPayPrem+ABM49*BlendedProvPayElite+ABN49*BlendedProvPayEss+ABO49*BlendedProvPayPrem+ABP49*BlendedProvPayElite,ABK50*BlendedProvPayEss+ABL50*BlendedProvPayPrem+ABM50*BlendedProvPayElite+ABN50*BlendedProvPayEss+ABO50*BlendedProvPayPrem+ABP50*BlendedProvPayElite)</f>
        <v/>
      </c>
      <c r="ACE50" s="12">
        <f>ABW50*PaymentFee</f>
        <v/>
      </c>
      <c r="ACF50" s="12">
        <f>ABQ50*OpsAI</f>
        <v/>
      </c>
      <c r="ACG50" s="12">
        <f>MonthlyFixed</f>
        <v/>
      </c>
      <c r="ACH50" s="12">
        <f>ABA50*ReferralReward</f>
        <v/>
      </c>
      <c r="ACI50" s="12">
        <f>AAY50</f>
        <v/>
      </c>
      <c r="ACJ50" s="9">
        <f>ABZ50-ACD50-ACE50-ACF50-ACG50-ACH50-ACI50</f>
        <v/>
      </c>
      <c r="ACK50" s="9">
        <f>ACK49+ABW50-(ACD50+ACE50+ACF50+ACG50+ACH50+ACI50+ACB50)</f>
        <v/>
      </c>
      <c r="ACL50" s="12">
        <f>IF(ABQ50&gt;0,ABR50/ABQ50,0)</f>
        <v/>
      </c>
      <c r="ACM50" s="11">
        <f>IF(ABQ49&gt;0,MAX(0,(ABQ49+ABB50-ABQ50)/ABQ49),0)</f>
        <v/>
      </c>
      <c r="ACO50" s="12" t="n">
        <v>46</v>
      </c>
      <c r="ACP50" s="12">
        <f>MOD(ACO50-1+LaunchMonth-1,12)+1</f>
        <v/>
      </c>
      <c r="ACQ50" s="12">
        <f>INT((ACO50-1+LaunchMonth-1)/12)+1</f>
        <v/>
      </c>
      <c r="ACR50" s="12">
        <f>VLOOKUP(ACP50,SeasonTable,2,FALSE)</f>
        <v/>
      </c>
      <c r="ACS50" s="12">
        <f>(1+InflationRate)^INT((ACO50-1)/12)</f>
        <v/>
      </c>
      <c r="ACT50" s="11">
        <f>MonthlyChurn*VLOOKUP(ACP50,ChurnSeasonTable,4,FALSE)</f>
        <v/>
      </c>
      <c r="ACU50" s="12">
        <f>MIN(MAX(MktMin19plus,ADS49*MktPct19plus),MAX(0,AEG49-CashBuffer))</f>
        <v/>
      </c>
      <c r="ACV50" s="12">
        <f>IF(ACU50&gt;0,MAX(1,ROUND(ACU50/CAC*ACR50,0)),0)</f>
        <v/>
      </c>
      <c r="ACW50" s="12">
        <f>IF(ACV50&gt;0,ROUND(ACV50*ReferralMix/(1-ReferralMix),0),0)</f>
        <v/>
      </c>
      <c r="ACX50" s="12">
        <f>ACV50+ACW50</f>
        <v/>
      </c>
      <c r="ACY50" s="12">
        <f>ROUND(ACX50*(1-'Sens - Annual Mix'!$A$13),0)</f>
        <v/>
      </c>
      <c r="ACZ50" s="12">
        <f>ACX50-ACY50</f>
        <v/>
      </c>
      <c r="ADA50" s="12">
        <f>ROUND(ACY50*EssentialMix,0)</f>
        <v/>
      </c>
      <c r="ADB50" s="12">
        <f>ROUND(ACY50*PremiumMix,0)</f>
        <v/>
      </c>
      <c r="ADC50" s="12">
        <f>ACY50-ADA50-ADB50</f>
        <v/>
      </c>
      <c r="ADD50" s="12">
        <f>ROUND(ACZ50*EssentialMix,0)</f>
        <v/>
      </c>
      <c r="ADE50" s="12">
        <f>ROUND(ACZ50*PremiumMix,0)</f>
        <v/>
      </c>
      <c r="ADF50" s="12">
        <f>ACZ50-ADD50-ADE50</f>
        <v/>
      </c>
      <c r="ADG50" s="12">
        <f>ADA50+ADA49+ADA48+MAX(0,ADG49-ADA49-ADA48)*(1-ACT50)</f>
        <v/>
      </c>
      <c r="ADH50" s="12">
        <f>ADB50+ADB49+ADB48+MAX(0,ADH49-ADB49-ADB48)*(1-ACT50)</f>
        <v/>
      </c>
      <c r="ADI50" s="12">
        <f>ADC50+ADC49+ADC48+MAX(0,ADI49-ADC49-ADC48)*(1-ACT50)</f>
        <v/>
      </c>
      <c r="ADJ50" s="12">
        <f>ADJ49+ADD50-ADD38*(AnnualChurn*VLOOKUP(ACP50,ChurnSeasonTable,4,FALSE))*POWER(1-(AnnualChurn*VLOOKUP(ACP50,ChurnSeasonTable,4,FALSE)),0)+ADD26*(AnnualChurn*VLOOKUP(ACP50,ChurnSeasonTable,4,FALSE))*POWER(1-(AnnualChurn*VLOOKUP(ACP50,ChurnSeasonTable,4,FALSE)),1)+ADD14*(AnnualChurn*VLOOKUP(ACP50,ChurnSeasonTable,4,FALSE))*POWER(1-(AnnualChurn*VLOOKUP(ACP50,ChurnSeasonTable,4,FALSE)),2)</f>
        <v/>
      </c>
      <c r="ADK50" s="12">
        <f>ADK49+ADE50-ADE38*(AnnualChurn*VLOOKUP(ACP50,ChurnSeasonTable,4,FALSE))*POWER(1-(AnnualChurn*VLOOKUP(ACP50,ChurnSeasonTable,4,FALSE)),0)+ADE26*(AnnualChurn*VLOOKUP(ACP50,ChurnSeasonTable,4,FALSE))*POWER(1-(AnnualChurn*VLOOKUP(ACP50,ChurnSeasonTable,4,FALSE)),1)+ADE14*(AnnualChurn*VLOOKUP(ACP50,ChurnSeasonTable,4,FALSE))*POWER(1-(AnnualChurn*VLOOKUP(ACP50,ChurnSeasonTable,4,FALSE)),2)</f>
        <v/>
      </c>
      <c r="ADL50" s="12">
        <f>ADL49+ADF50-ADF38*(AnnualChurn*VLOOKUP(ACP50,ChurnSeasonTable,4,FALSE))*POWER(1-(AnnualChurn*VLOOKUP(ACP50,ChurnSeasonTable,4,FALSE)),0)+ADF26*(AnnualChurn*VLOOKUP(ACP50,ChurnSeasonTable,4,FALSE))*POWER(1-(AnnualChurn*VLOOKUP(ACP50,ChurnSeasonTable,4,FALSE)),1)+ADF14*(AnnualChurn*VLOOKUP(ACP50,ChurnSeasonTable,4,FALSE))*POWER(1-(AnnualChurn*VLOOKUP(ACP50,ChurnSeasonTable,4,FALSE)),2)</f>
        <v/>
      </c>
      <c r="ADM50" s="12">
        <f>ADG50+ADH50+ADI50+ADJ50+ADK50+ADL50</f>
        <v/>
      </c>
      <c r="ADN50" s="9">
        <f>ADG50*BlendedPriceEssMonthly*ACS50+ADH50*BlendedPricePremMonthly*ACS50+ADI50*BlendedPriceEliteMonthly*ACS50+ADJ50*BlendedPriceEssAnnual*ACS50/12+ADK50*BlendedPricePremAnnual*ACS50/12+ADL50*BlendedPriceEliteAnnual*ACS50/12</f>
        <v/>
      </c>
      <c r="ADO50" s="9">
        <f>ADN50*12</f>
        <v/>
      </c>
      <c r="ADP50" s="12">
        <f>ADG50*BlendedPriceEssMonthly*ACS50+ADH50*BlendedPricePremMonthly*ACS50+ADI50*BlendedPriceEliteMonthly*ACS50</f>
        <v/>
      </c>
      <c r="ADQ50" s="12">
        <f>ADD50*BlendedPriceEssAnnual*ACS50+ADE50*BlendedPricePremAnnual*ACS50+ADF50*BlendedPriceEliteAnnual*ACS50</f>
        <v/>
      </c>
      <c r="ADR50" s="12">
        <f>ADD38*POWER(1-(AnnualChurn*VLOOKUP(ACP50,ChurnSeasonTable,4,FALSE)),1)*BlendedPriceEssAnnual*ACS50+ADD26*POWER(1-(AnnualChurn*VLOOKUP(ACP50,ChurnSeasonTable,4,FALSE)),2)*BlendedPriceEssAnnual*ACS50+ADD14*POWER(1-(AnnualChurn*VLOOKUP(ACP50,ChurnSeasonTable,4,FALSE)),3)*BlendedPriceEssAnnual*ACS50+ADE38*POWER(1-(AnnualChurn*VLOOKUP(ACP50,ChurnSeasonTable,4,FALSE)),1)*BlendedPricePremAnnual*ACS50+ADE26*POWER(1-(AnnualChurn*VLOOKUP(ACP50,ChurnSeasonTable,4,FALSE)),2)*BlendedPricePremAnnual*ACS50+ADE14*POWER(1-(AnnualChurn*VLOOKUP(ACP50,ChurnSeasonTable,4,FALSE)),3)*BlendedPricePremAnnual*ACS50+ADF38*POWER(1-(AnnualChurn*VLOOKUP(ACP50,ChurnSeasonTable,4,FALSE)),1)*BlendedPriceEliteAnnual*ACS50+ADF26*POWER(1-(AnnualChurn*VLOOKUP(ACP50,ChurnSeasonTable,4,FALSE)),2)*BlendedPriceEliteAnnual*ACS50+ADF14*POWER(1-(AnnualChurn*VLOOKUP(ACP50,ChurnSeasonTable,4,FALSE)),3)*BlendedPriceEliteAnnual*ACS50</f>
        <v/>
      </c>
      <c r="ADS50" s="9">
        <f>ADP50+ADQ50+ADR50</f>
        <v/>
      </c>
      <c r="ADT50" s="12">
        <f>SUM(ADS39:ADS50)</f>
        <v/>
      </c>
      <c r="ADU50" s="12">
        <f>OR(ADU49,IF(VATAgentMode,SUM($ADS39:$ADS50)-SUM($ADZ39:$ADZ50)&gt;=VATThreshold,SUM($ADS39:$ADS50)&gt;=VATThreshold))</f>
        <v/>
      </c>
      <c r="ADV50" s="9">
        <f>IF(ADU50,IF(VATAgentMode,ADS50-((ADS50-ADZ50)-(ADS50-ADZ50)/(1+VATRate)),ADS50/(1+VATRate)),ADS50)</f>
        <v/>
      </c>
      <c r="ADW50" s="12">
        <f>ADS50-ADV50</f>
        <v/>
      </c>
      <c r="ADX50" s="12">
        <f>IF(ADU50=0,0,IF(ACP50=1,SUMPRODUCT(--(($ACQ$5:$ACQ50=$ACQ50-1)*($ACP$5:$ACP50&gt;=10)*($ACP$5:$ACP50&lt;=12)),$ADW$5:$ADW50),IF(ACP50=4,SUMPRODUCT(--(($ACQ$5:$ACQ50=$ACQ50)*($ACP$5:$ACP50&gt;=1)*($ACP$5:$ACP50&lt;=3)),$ADW$5:$ADW50),IF(ACP50=7,SUMPRODUCT(--(($ACQ$5:$ACQ50=$ACQ50)*($ACP$5:$ACP50&gt;=4)*($ACP$5:$ACP50&lt;=6)),$ADW$5:$ADW50),IF(ACP50=10,SUMPRODUCT(--(($ACQ$5:$ACQ50=$ACQ50)*($ACP$5:$ACP50&gt;=7)*($ACP$5:$ACP50&lt;=9)),$ADW$5:$ADW50),0)))))</f>
        <v/>
      </c>
      <c r="ADY50" s="12">
        <f>ADY49+ADW50-ADX50</f>
        <v/>
      </c>
      <c r="ADZ50" s="12">
        <f>IF(ProviderDelay&gt;=1,ADG49*BlendedProvPayEss+ADH49*BlendedProvPayPrem+ADI49*BlendedProvPayElite+ADJ49*BlendedProvPayEss+ADK49*BlendedProvPayPrem+ADL49*BlendedProvPayElite,ADG50*BlendedProvPayEss+ADH50*BlendedProvPayPrem+ADI50*BlendedProvPayElite+ADJ50*BlendedProvPayEss+ADK50*BlendedProvPayPrem+ADL50*BlendedProvPayElite)</f>
        <v/>
      </c>
      <c r="AEA50" s="12">
        <f>ADS50*PaymentFee</f>
        <v/>
      </c>
      <c r="AEB50" s="12">
        <f>ADM50*OpsAI</f>
        <v/>
      </c>
      <c r="AEC50" s="12">
        <f>MonthlyFixed</f>
        <v/>
      </c>
      <c r="AED50" s="12">
        <f>ACW50*ReferralReward</f>
        <v/>
      </c>
      <c r="AEE50" s="12">
        <f>ACU50</f>
        <v/>
      </c>
      <c r="AEF50" s="9">
        <f>ADV50-ADZ50-AEA50-AEB50-AEC50-AED50-AEE50</f>
        <v/>
      </c>
      <c r="AEG50" s="9">
        <f>AEG49+ADS50-(ADZ50+AEA50+AEB50+AEC50+AED50+AEE50+ADX50)</f>
        <v/>
      </c>
      <c r="AEH50" s="12">
        <f>IF(ADM50&gt;0,ADN50/ADM50,0)</f>
        <v/>
      </c>
      <c r="AEI50" s="11">
        <f>IF(ADM49&gt;0,MAX(0,(ADM49+ACX50-ADM50)/ADM49),0)</f>
        <v/>
      </c>
      <c r="AEK50" s="12" t="n">
        <v>46</v>
      </c>
      <c r="AEL50" s="12">
        <f>MOD(AEK50-1+LaunchMonth-1,12)+1</f>
        <v/>
      </c>
      <c r="AEM50" s="12">
        <f>INT((AEK50-1+LaunchMonth-1)/12)+1</f>
        <v/>
      </c>
      <c r="AEN50" s="12">
        <f>VLOOKUP(AEL50,SeasonTable,2,FALSE)</f>
        <v/>
      </c>
      <c r="AEO50" s="12">
        <f>(1+InflationRate)^INT((AEK50-1)/12)</f>
        <v/>
      </c>
      <c r="AEP50" s="11">
        <f>MonthlyChurn*VLOOKUP(AEL50,ChurnSeasonTable,4,FALSE)</f>
        <v/>
      </c>
      <c r="AEQ50" s="12">
        <f>MIN(MAX(MktMin19plus,AFO49*MktPct19plus),MAX(0,AGC49-CashBuffer))</f>
        <v/>
      </c>
      <c r="AER50" s="12">
        <f>IF(AEQ50&gt;0,MAX(1,ROUND(AEQ50/CAC*AEN50,0)),0)</f>
        <v/>
      </c>
      <c r="AES50" s="12">
        <f>IF(AER50&gt;0,ROUND(AER50*ReferralMix/(1-ReferralMix),0),0)</f>
        <v/>
      </c>
      <c r="AET50" s="12">
        <f>AER50+AES50</f>
        <v/>
      </c>
      <c r="AEU50" s="12">
        <f>ROUND(AET50*(1-'Sens - Annual Mix'!$A$14),0)</f>
        <v/>
      </c>
      <c r="AEV50" s="12">
        <f>AET50-AEU50</f>
        <v/>
      </c>
      <c r="AEW50" s="12">
        <f>ROUND(AEU50*EssentialMix,0)</f>
        <v/>
      </c>
      <c r="AEX50" s="12">
        <f>ROUND(AEU50*PremiumMix,0)</f>
        <v/>
      </c>
      <c r="AEY50" s="12">
        <f>AEU50-AEW50-AEX50</f>
        <v/>
      </c>
      <c r="AEZ50" s="12">
        <f>ROUND(AEV50*EssentialMix,0)</f>
        <v/>
      </c>
      <c r="AFA50" s="12">
        <f>ROUND(AEV50*PremiumMix,0)</f>
        <v/>
      </c>
      <c r="AFB50" s="12">
        <f>AEV50-AEZ50-AFA50</f>
        <v/>
      </c>
      <c r="AFC50" s="12">
        <f>AEW50+AEW49+AEW48+MAX(0,AFC49-AEW49-AEW48)*(1-AEP50)</f>
        <v/>
      </c>
      <c r="AFD50" s="12">
        <f>AEX50+AEX49+AEX48+MAX(0,AFD49-AEX49-AEX48)*(1-AEP50)</f>
        <v/>
      </c>
      <c r="AFE50" s="12">
        <f>AEY50+AEY49+AEY48+MAX(0,AFE49-AEY49-AEY48)*(1-AEP50)</f>
        <v/>
      </c>
      <c r="AFF50" s="12">
        <f>AFF49+AEZ50-AEZ38*(AnnualChurn*VLOOKUP(AEL50,ChurnSeasonTable,4,FALSE))*POWER(1-(AnnualChurn*VLOOKUP(AEL50,ChurnSeasonTable,4,FALSE)),0)+AEZ26*(AnnualChurn*VLOOKUP(AEL50,ChurnSeasonTable,4,FALSE))*POWER(1-(AnnualChurn*VLOOKUP(AEL50,ChurnSeasonTable,4,FALSE)),1)+AEZ14*(AnnualChurn*VLOOKUP(AEL50,ChurnSeasonTable,4,FALSE))*POWER(1-(AnnualChurn*VLOOKUP(AEL50,ChurnSeasonTable,4,FALSE)),2)</f>
        <v/>
      </c>
      <c r="AFG50" s="12">
        <f>AFG49+AFA50-AFA38*(AnnualChurn*VLOOKUP(AEL50,ChurnSeasonTable,4,FALSE))*POWER(1-(AnnualChurn*VLOOKUP(AEL50,ChurnSeasonTable,4,FALSE)),0)+AFA26*(AnnualChurn*VLOOKUP(AEL50,ChurnSeasonTable,4,FALSE))*POWER(1-(AnnualChurn*VLOOKUP(AEL50,ChurnSeasonTable,4,FALSE)),1)+AFA14*(AnnualChurn*VLOOKUP(AEL50,ChurnSeasonTable,4,FALSE))*POWER(1-(AnnualChurn*VLOOKUP(AEL50,ChurnSeasonTable,4,FALSE)),2)</f>
        <v/>
      </c>
      <c r="AFH50" s="12">
        <f>AFH49+AFB50-AFB38*(AnnualChurn*VLOOKUP(AEL50,ChurnSeasonTable,4,FALSE))*POWER(1-(AnnualChurn*VLOOKUP(AEL50,ChurnSeasonTable,4,FALSE)),0)+AFB26*(AnnualChurn*VLOOKUP(AEL50,ChurnSeasonTable,4,FALSE))*POWER(1-(AnnualChurn*VLOOKUP(AEL50,ChurnSeasonTable,4,FALSE)),1)+AFB14*(AnnualChurn*VLOOKUP(AEL50,ChurnSeasonTable,4,FALSE))*POWER(1-(AnnualChurn*VLOOKUP(AEL50,ChurnSeasonTable,4,FALSE)),2)</f>
        <v/>
      </c>
      <c r="AFI50" s="12">
        <f>AFC50+AFD50+AFE50+AFF50+AFG50+AFH50</f>
        <v/>
      </c>
      <c r="AFJ50" s="9">
        <f>AFC50*BlendedPriceEssMonthly*AEO50+AFD50*BlendedPricePremMonthly*AEO50+AFE50*BlendedPriceEliteMonthly*AEO50+AFF50*BlendedPriceEssAnnual*AEO50/12+AFG50*BlendedPricePremAnnual*AEO50/12+AFH50*BlendedPriceEliteAnnual*AEO50/12</f>
        <v/>
      </c>
      <c r="AFK50" s="9">
        <f>AFJ50*12</f>
        <v/>
      </c>
      <c r="AFL50" s="12">
        <f>AFC50*BlendedPriceEssMonthly*AEO50+AFD50*BlendedPricePremMonthly*AEO50+AFE50*BlendedPriceEliteMonthly*AEO50</f>
        <v/>
      </c>
      <c r="AFM50" s="12">
        <f>AEZ50*BlendedPriceEssAnnual*AEO50+AFA50*BlendedPricePremAnnual*AEO50+AFB50*BlendedPriceEliteAnnual*AEO50</f>
        <v/>
      </c>
      <c r="AFN50" s="12">
        <f>AEZ38*POWER(1-(AnnualChurn*VLOOKUP(AEL50,ChurnSeasonTable,4,FALSE)),1)*BlendedPriceEssAnnual*AEO50+AEZ26*POWER(1-(AnnualChurn*VLOOKUP(AEL50,ChurnSeasonTable,4,FALSE)),2)*BlendedPriceEssAnnual*AEO50+AEZ14*POWER(1-(AnnualChurn*VLOOKUP(AEL50,ChurnSeasonTable,4,FALSE)),3)*BlendedPriceEssAnnual*AEO50+AFA38*POWER(1-(AnnualChurn*VLOOKUP(AEL50,ChurnSeasonTable,4,FALSE)),1)*BlendedPricePremAnnual*AEO50+AFA26*POWER(1-(AnnualChurn*VLOOKUP(AEL50,ChurnSeasonTable,4,FALSE)),2)*BlendedPricePremAnnual*AEO50+AFA14*POWER(1-(AnnualChurn*VLOOKUP(AEL50,ChurnSeasonTable,4,FALSE)),3)*BlendedPricePremAnnual*AEO50+AFB38*POWER(1-(AnnualChurn*VLOOKUP(AEL50,ChurnSeasonTable,4,FALSE)),1)*BlendedPriceEliteAnnual*AEO50+AFB26*POWER(1-(AnnualChurn*VLOOKUP(AEL50,ChurnSeasonTable,4,FALSE)),2)*BlendedPriceEliteAnnual*AEO50+AFB14*POWER(1-(AnnualChurn*VLOOKUP(AEL50,ChurnSeasonTable,4,FALSE)),3)*BlendedPriceEliteAnnual*AEO50</f>
        <v/>
      </c>
      <c r="AFO50" s="9">
        <f>AFL50+AFM50+AFN50</f>
        <v/>
      </c>
      <c r="AFP50" s="12">
        <f>SUM(AFO39:AFO50)</f>
        <v/>
      </c>
      <c r="AFQ50" s="12">
        <f>OR(AFQ49,IF(VATAgentMode,SUM($AFO39:$AFO50)-SUM($AFV39:$AFV50)&gt;=VATThreshold,SUM($AFO39:$AFO50)&gt;=VATThreshold))</f>
        <v/>
      </c>
      <c r="AFR50" s="9">
        <f>IF(AFQ50,IF(VATAgentMode,AFO50-((AFO50-AFV50)-(AFO50-AFV50)/(1+VATRate)),AFO50/(1+VATRate)),AFO50)</f>
        <v/>
      </c>
      <c r="AFS50" s="12">
        <f>AFO50-AFR50</f>
        <v/>
      </c>
      <c r="AFT50" s="12">
        <f>IF(AFQ50=0,0,IF(AEL50=1,SUMPRODUCT(--(($AEM$5:$AEM50=$AEM50-1)*($AEL$5:$AEL50&gt;=10)*($AEL$5:$AEL50&lt;=12)),$AFS$5:$AFS50),IF(AEL50=4,SUMPRODUCT(--(($AEM$5:$AEM50=$AEM50)*($AEL$5:$AEL50&gt;=1)*($AEL$5:$AEL50&lt;=3)),$AFS$5:$AFS50),IF(AEL50=7,SUMPRODUCT(--(($AEM$5:$AEM50=$AEM50)*($AEL$5:$AEL50&gt;=4)*($AEL$5:$AEL50&lt;=6)),$AFS$5:$AFS50),IF(AEL50=10,SUMPRODUCT(--(($AEM$5:$AEM50=$AEM50)*($AEL$5:$AEL50&gt;=7)*($AEL$5:$AEL50&lt;=9)),$AFS$5:$AFS50),0)))))</f>
        <v/>
      </c>
      <c r="AFU50" s="12">
        <f>AFU49+AFS50-AFT50</f>
        <v/>
      </c>
      <c r="AFV50" s="12">
        <f>IF(ProviderDelay&gt;=1,AFC49*BlendedProvPayEss+AFD49*BlendedProvPayPrem+AFE49*BlendedProvPayElite+AFF49*BlendedProvPayEss+AFG49*BlendedProvPayPrem+AFH49*BlendedProvPayElite,AFC50*BlendedProvPayEss+AFD50*BlendedProvPayPrem+AFE50*BlendedProvPayElite+AFF50*BlendedProvPayEss+AFG50*BlendedProvPayPrem+AFH50*BlendedProvPayElite)</f>
        <v/>
      </c>
      <c r="AFW50" s="12">
        <f>AFO50*PaymentFee</f>
        <v/>
      </c>
      <c r="AFX50" s="12">
        <f>AFI50*OpsAI</f>
        <v/>
      </c>
      <c r="AFY50" s="12">
        <f>MonthlyFixed</f>
        <v/>
      </c>
      <c r="AFZ50" s="12">
        <f>AES50*ReferralReward</f>
        <v/>
      </c>
      <c r="AGA50" s="12">
        <f>AEQ50</f>
        <v/>
      </c>
      <c r="AGB50" s="9">
        <f>AFR50-AFV50-AFW50-AFX50-AFY50-AFZ50-AGA50</f>
        <v/>
      </c>
      <c r="AGC50" s="9">
        <f>AGC49+AFO50-(AFV50+AFW50+AFX50+AFY50+AFZ50+AGA50+AFT50)</f>
        <v/>
      </c>
      <c r="AGD50" s="12">
        <f>IF(AFI50&gt;0,AFJ50/AFI50,0)</f>
        <v/>
      </c>
      <c r="AGE50" s="11">
        <f>IF(AFI49&gt;0,MAX(0,(AFI49+AET50-AFI50)/AFI49),0)</f>
        <v/>
      </c>
      <c r="AGG50" s="12" t="n">
        <v>46</v>
      </c>
      <c r="AGH50" s="12">
        <f>MOD(AGG50-1+LaunchMonth-1,12)+1</f>
        <v/>
      </c>
      <c r="AGI50" s="12">
        <f>INT((AGG50-1+LaunchMonth-1)/12)+1</f>
        <v/>
      </c>
      <c r="AGJ50" s="12">
        <f>VLOOKUP(AGH50,SeasonTable,2,FALSE)</f>
        <v/>
      </c>
      <c r="AGK50" s="12">
        <f>(1+InflationRate)^INT((AGG50-1)/12)</f>
        <v/>
      </c>
      <c r="AGL50" s="11">
        <f>MonthlyChurn*VLOOKUP(AGH50,ChurnSeasonTable,4,FALSE)</f>
        <v/>
      </c>
      <c r="AGM50" s="12">
        <f>MIN(MAX(MktMin19plus,AHK49*MktPct19plus),MAX(0,AHY49-CashBuffer))</f>
        <v/>
      </c>
      <c r="AGN50" s="12">
        <f>IF(AGM50&gt;0,MAX(1,ROUND(AGM50/CAC*AGJ50,0)),0)</f>
        <v/>
      </c>
      <c r="AGO50" s="12">
        <f>IF(AGN50&gt;0,ROUND(AGN50*ReferralMix/(1-ReferralMix),0),0)</f>
        <v/>
      </c>
      <c r="AGP50" s="12">
        <f>AGN50+AGO50</f>
        <v/>
      </c>
      <c r="AGQ50" s="12">
        <f>ROUND(AGP50*(1-'Sens - Annual Mix'!$A$15),0)</f>
        <v/>
      </c>
      <c r="AGR50" s="12">
        <f>AGP50-AGQ50</f>
        <v/>
      </c>
      <c r="AGS50" s="12">
        <f>ROUND(AGQ50*EssentialMix,0)</f>
        <v/>
      </c>
      <c r="AGT50" s="12">
        <f>ROUND(AGQ50*PremiumMix,0)</f>
        <v/>
      </c>
      <c r="AGU50" s="12">
        <f>AGQ50-AGS50-AGT50</f>
        <v/>
      </c>
      <c r="AGV50" s="12">
        <f>ROUND(AGR50*EssentialMix,0)</f>
        <v/>
      </c>
      <c r="AGW50" s="12">
        <f>ROUND(AGR50*PremiumMix,0)</f>
        <v/>
      </c>
      <c r="AGX50" s="12">
        <f>AGR50-AGV50-AGW50</f>
        <v/>
      </c>
      <c r="AGY50" s="12">
        <f>AGS50+AGS49+AGS48+MAX(0,AGY49-AGS49-AGS48)*(1-AGL50)</f>
        <v/>
      </c>
      <c r="AGZ50" s="12">
        <f>AGT50+AGT49+AGT48+MAX(0,AGZ49-AGT49-AGT48)*(1-AGL50)</f>
        <v/>
      </c>
      <c r="AHA50" s="12">
        <f>AGU50+AGU49+AGU48+MAX(0,AHA49-AGU49-AGU48)*(1-AGL50)</f>
        <v/>
      </c>
      <c r="AHB50" s="12">
        <f>AHB49+AGV50-AGV38*(AnnualChurn*VLOOKUP(AGH50,ChurnSeasonTable,4,FALSE))*POWER(1-(AnnualChurn*VLOOKUP(AGH50,ChurnSeasonTable,4,FALSE)),0)+AGV26*(AnnualChurn*VLOOKUP(AGH50,ChurnSeasonTable,4,FALSE))*POWER(1-(AnnualChurn*VLOOKUP(AGH50,ChurnSeasonTable,4,FALSE)),1)+AGV14*(AnnualChurn*VLOOKUP(AGH50,ChurnSeasonTable,4,FALSE))*POWER(1-(AnnualChurn*VLOOKUP(AGH50,ChurnSeasonTable,4,FALSE)),2)</f>
        <v/>
      </c>
      <c r="AHC50" s="12">
        <f>AHC49+AGW50-AGW38*(AnnualChurn*VLOOKUP(AGH50,ChurnSeasonTable,4,FALSE))*POWER(1-(AnnualChurn*VLOOKUP(AGH50,ChurnSeasonTable,4,FALSE)),0)+AGW26*(AnnualChurn*VLOOKUP(AGH50,ChurnSeasonTable,4,FALSE))*POWER(1-(AnnualChurn*VLOOKUP(AGH50,ChurnSeasonTable,4,FALSE)),1)+AGW14*(AnnualChurn*VLOOKUP(AGH50,ChurnSeasonTable,4,FALSE))*POWER(1-(AnnualChurn*VLOOKUP(AGH50,ChurnSeasonTable,4,FALSE)),2)</f>
        <v/>
      </c>
      <c r="AHD50" s="12">
        <f>AHD49+AGX50-AGX38*(AnnualChurn*VLOOKUP(AGH50,ChurnSeasonTable,4,FALSE))*POWER(1-(AnnualChurn*VLOOKUP(AGH50,ChurnSeasonTable,4,FALSE)),0)+AGX26*(AnnualChurn*VLOOKUP(AGH50,ChurnSeasonTable,4,FALSE))*POWER(1-(AnnualChurn*VLOOKUP(AGH50,ChurnSeasonTable,4,FALSE)),1)+AGX14*(AnnualChurn*VLOOKUP(AGH50,ChurnSeasonTable,4,FALSE))*POWER(1-(AnnualChurn*VLOOKUP(AGH50,ChurnSeasonTable,4,FALSE)),2)</f>
        <v/>
      </c>
      <c r="AHE50" s="12">
        <f>AGY50+AGZ50+AHA50+AHB50+AHC50+AHD50</f>
        <v/>
      </c>
      <c r="AHF50" s="9">
        <f>AGY50*BlendedPriceEssMonthly*AGK50+AGZ50*BlendedPricePremMonthly*AGK50+AHA50*BlendedPriceEliteMonthly*AGK50+AHB50*BlendedPriceEssAnnual*AGK50/12+AHC50*BlendedPricePremAnnual*AGK50/12+AHD50*BlendedPriceEliteAnnual*AGK50/12</f>
        <v/>
      </c>
      <c r="AHG50" s="9">
        <f>AHF50*12</f>
        <v/>
      </c>
      <c r="AHH50" s="12">
        <f>AGY50*BlendedPriceEssMonthly*AGK50+AGZ50*BlendedPricePremMonthly*AGK50+AHA50*BlendedPriceEliteMonthly*AGK50</f>
        <v/>
      </c>
      <c r="AHI50" s="12">
        <f>AGV50*BlendedPriceEssAnnual*AGK50+AGW50*BlendedPricePremAnnual*AGK50+AGX50*BlendedPriceEliteAnnual*AGK50</f>
        <v/>
      </c>
      <c r="AHJ50" s="12">
        <f>AGV38*POWER(1-(AnnualChurn*VLOOKUP(AGH50,ChurnSeasonTable,4,FALSE)),1)*BlendedPriceEssAnnual*AGK50+AGV26*POWER(1-(AnnualChurn*VLOOKUP(AGH50,ChurnSeasonTable,4,FALSE)),2)*BlendedPriceEssAnnual*AGK50+AGV14*POWER(1-(AnnualChurn*VLOOKUP(AGH50,ChurnSeasonTable,4,FALSE)),3)*BlendedPriceEssAnnual*AGK50+AGW38*POWER(1-(AnnualChurn*VLOOKUP(AGH50,ChurnSeasonTable,4,FALSE)),1)*BlendedPricePremAnnual*AGK50+AGW26*POWER(1-(AnnualChurn*VLOOKUP(AGH50,ChurnSeasonTable,4,FALSE)),2)*BlendedPricePremAnnual*AGK50+AGW14*POWER(1-(AnnualChurn*VLOOKUP(AGH50,ChurnSeasonTable,4,FALSE)),3)*BlendedPricePremAnnual*AGK50+AGX38*POWER(1-(AnnualChurn*VLOOKUP(AGH50,ChurnSeasonTable,4,FALSE)),1)*BlendedPriceEliteAnnual*AGK50+AGX26*POWER(1-(AnnualChurn*VLOOKUP(AGH50,ChurnSeasonTable,4,FALSE)),2)*BlendedPriceEliteAnnual*AGK50+AGX14*POWER(1-(AnnualChurn*VLOOKUP(AGH50,ChurnSeasonTable,4,FALSE)),3)*BlendedPriceEliteAnnual*AGK50</f>
        <v/>
      </c>
      <c r="AHK50" s="9">
        <f>AHH50+AHI50+AHJ50</f>
        <v/>
      </c>
      <c r="AHL50" s="12">
        <f>SUM(AHK39:AHK50)</f>
        <v/>
      </c>
      <c r="AHM50" s="12">
        <f>OR(AHM49,IF(VATAgentMode,SUM($AHK39:$AHK50)-SUM($AHR39:$AHR50)&gt;=VATThreshold,SUM($AHK39:$AHK50)&gt;=VATThreshold))</f>
        <v/>
      </c>
      <c r="AHN50" s="9">
        <f>IF(AHM50,IF(VATAgentMode,AHK50-((AHK50-AHR50)-(AHK50-AHR50)/(1+VATRate)),AHK50/(1+VATRate)),AHK50)</f>
        <v/>
      </c>
      <c r="AHO50" s="12">
        <f>AHK50-AHN50</f>
        <v/>
      </c>
      <c r="AHP50" s="12">
        <f>IF(AHM50=0,0,IF(AGH50=1,SUMPRODUCT(--(($AGI$5:$AGI50=$AGI50-1)*($AGH$5:$AGH50&gt;=10)*($AGH$5:$AGH50&lt;=12)),$AHO$5:$AHO50),IF(AGH50=4,SUMPRODUCT(--(($AGI$5:$AGI50=$AGI50)*($AGH$5:$AGH50&gt;=1)*($AGH$5:$AGH50&lt;=3)),$AHO$5:$AHO50),IF(AGH50=7,SUMPRODUCT(--(($AGI$5:$AGI50=$AGI50)*($AGH$5:$AGH50&gt;=4)*($AGH$5:$AGH50&lt;=6)),$AHO$5:$AHO50),IF(AGH50=10,SUMPRODUCT(--(($AGI$5:$AGI50=$AGI50)*($AGH$5:$AGH50&gt;=7)*($AGH$5:$AGH50&lt;=9)),$AHO$5:$AHO50),0)))))</f>
        <v/>
      </c>
      <c r="AHQ50" s="12">
        <f>AHQ49+AHO50-AHP50</f>
        <v/>
      </c>
      <c r="AHR50" s="12">
        <f>IF(ProviderDelay&gt;=1,AGY49*BlendedProvPayEss+AGZ49*BlendedProvPayPrem+AHA49*BlendedProvPayElite+AHB49*BlendedProvPayEss+AHC49*BlendedProvPayPrem+AHD49*BlendedProvPayElite,AGY50*BlendedProvPayEss+AGZ50*BlendedProvPayPrem+AHA50*BlendedProvPayElite+AHB50*BlendedProvPayEss+AHC50*BlendedProvPayPrem+AHD50*BlendedProvPayElite)</f>
        <v/>
      </c>
      <c r="AHS50" s="12">
        <f>AHK50*PaymentFee</f>
        <v/>
      </c>
      <c r="AHT50" s="12">
        <f>AHE50*OpsAI</f>
        <v/>
      </c>
      <c r="AHU50" s="12">
        <f>MonthlyFixed</f>
        <v/>
      </c>
      <c r="AHV50" s="12">
        <f>AGO50*ReferralReward</f>
        <v/>
      </c>
      <c r="AHW50" s="12">
        <f>AGM50</f>
        <v/>
      </c>
      <c r="AHX50" s="9">
        <f>AHN50-AHR50-AHS50-AHT50-AHU50-AHV50-AHW50</f>
        <v/>
      </c>
      <c r="AHY50" s="9">
        <f>AHY49+AHK50-(AHR50+AHS50+AHT50+AHU50+AHV50+AHW50+AHP50)</f>
        <v/>
      </c>
      <c r="AHZ50" s="12">
        <f>IF(AHE50&gt;0,AHF50/AHE50,0)</f>
        <v/>
      </c>
      <c r="AIA50" s="11">
        <f>IF(AHE49&gt;0,MAX(0,(AHE49+AGP50-AHE50)/AHE49),0)</f>
        <v/>
      </c>
      <c r="AIC50" s="12" t="n">
        <v>46</v>
      </c>
      <c r="AID50" s="12">
        <f>MOD(AIC50-1+LaunchMonth-1,12)+1</f>
        <v/>
      </c>
      <c r="AIE50" s="12">
        <f>INT((AIC50-1+LaunchMonth-1)/12)+1</f>
        <v/>
      </c>
      <c r="AIF50" s="12">
        <f>VLOOKUP(AID50,SeasonTable,2,FALSE)</f>
        <v/>
      </c>
      <c r="AIG50" s="12">
        <f>(1+InflationRate)^INT((AIC50-1)/12)</f>
        <v/>
      </c>
      <c r="AIH50" s="11">
        <f>MonthlyChurn*VLOOKUP(AID50,ChurnSeasonTable,4,FALSE)</f>
        <v/>
      </c>
      <c r="AII50" s="12">
        <f>MIN(MAX(MktMin19plus,AJG49*MktPct19plus),MAX(0,AJU49-CashBuffer))</f>
        <v/>
      </c>
      <c r="AIJ50" s="12">
        <f>IF(AII50&gt;0,MAX(1,ROUND(AII50/'Sens - CAC &amp; Marketing'!$A$9*AIF50,0)),0)</f>
        <v/>
      </c>
      <c r="AIK50" s="12">
        <f>IF(AIJ50&gt;0,ROUND(AIJ50*ReferralMix/(1-ReferralMix),0),0)</f>
        <v/>
      </c>
      <c r="AIL50" s="12">
        <f>AIJ50+AIK50</f>
        <v/>
      </c>
      <c r="AIM50" s="12">
        <f>ROUND(AIL50*(1-AnnualMix),0)</f>
        <v/>
      </c>
      <c r="AIN50" s="12">
        <f>AIL50-AIM50</f>
        <v/>
      </c>
      <c r="AIO50" s="12">
        <f>ROUND(AIM50*EssentialMix,0)</f>
        <v/>
      </c>
      <c r="AIP50" s="12">
        <f>ROUND(AIM50*PremiumMix,0)</f>
        <v/>
      </c>
      <c r="AIQ50" s="12">
        <f>AIM50-AIO50-AIP50</f>
        <v/>
      </c>
      <c r="AIR50" s="12">
        <f>ROUND(AIN50*EssentialMix,0)</f>
        <v/>
      </c>
      <c r="AIS50" s="12">
        <f>ROUND(AIN50*PremiumMix,0)</f>
        <v/>
      </c>
      <c r="AIT50" s="12">
        <f>AIN50-AIR50-AIS50</f>
        <v/>
      </c>
      <c r="AIU50" s="12">
        <f>AIO50+AIO49+AIO48+MAX(0,AIU49-AIO49-AIO48)*(1-AIH50)</f>
        <v/>
      </c>
      <c r="AIV50" s="12">
        <f>AIP50+AIP49+AIP48+MAX(0,AIV49-AIP49-AIP48)*(1-AIH50)</f>
        <v/>
      </c>
      <c r="AIW50" s="12">
        <f>AIQ50+AIQ49+AIQ48+MAX(0,AIW49-AIQ49-AIQ48)*(1-AIH50)</f>
        <v/>
      </c>
      <c r="AIX50" s="12">
        <f>AIX49+AIR50-AIR38*(AnnualChurn*VLOOKUP(AID50,ChurnSeasonTable,4,FALSE))*POWER(1-(AnnualChurn*VLOOKUP(AID50,ChurnSeasonTable,4,FALSE)),0)+AIR26*(AnnualChurn*VLOOKUP(AID50,ChurnSeasonTable,4,FALSE))*POWER(1-(AnnualChurn*VLOOKUP(AID50,ChurnSeasonTable,4,FALSE)),1)+AIR14*(AnnualChurn*VLOOKUP(AID50,ChurnSeasonTable,4,FALSE))*POWER(1-(AnnualChurn*VLOOKUP(AID50,ChurnSeasonTable,4,FALSE)),2)</f>
        <v/>
      </c>
      <c r="AIY50" s="12">
        <f>AIY49+AIS50-AIS38*(AnnualChurn*VLOOKUP(AID50,ChurnSeasonTable,4,FALSE))*POWER(1-(AnnualChurn*VLOOKUP(AID50,ChurnSeasonTable,4,FALSE)),0)+AIS26*(AnnualChurn*VLOOKUP(AID50,ChurnSeasonTable,4,FALSE))*POWER(1-(AnnualChurn*VLOOKUP(AID50,ChurnSeasonTable,4,FALSE)),1)+AIS14*(AnnualChurn*VLOOKUP(AID50,ChurnSeasonTable,4,FALSE))*POWER(1-(AnnualChurn*VLOOKUP(AID50,ChurnSeasonTable,4,FALSE)),2)</f>
        <v/>
      </c>
      <c r="AIZ50" s="12">
        <f>AIZ49+AIT50-AIT38*(AnnualChurn*VLOOKUP(AID50,ChurnSeasonTable,4,FALSE))*POWER(1-(AnnualChurn*VLOOKUP(AID50,ChurnSeasonTable,4,FALSE)),0)+AIT26*(AnnualChurn*VLOOKUP(AID50,ChurnSeasonTable,4,FALSE))*POWER(1-(AnnualChurn*VLOOKUP(AID50,ChurnSeasonTable,4,FALSE)),1)+AIT14*(AnnualChurn*VLOOKUP(AID50,ChurnSeasonTable,4,FALSE))*POWER(1-(AnnualChurn*VLOOKUP(AID50,ChurnSeasonTable,4,FALSE)),2)</f>
        <v/>
      </c>
      <c r="AJA50" s="12">
        <f>AIU50+AIV50+AIW50+AIX50+AIY50+AIZ50</f>
        <v/>
      </c>
      <c r="AJB50" s="9">
        <f>AIU50*BlendedPriceEssMonthly*AIG50+AIV50*BlendedPricePremMonthly*AIG50+AIW50*BlendedPriceEliteMonthly*AIG50+AIX50*BlendedPriceEssAnnual*AIG50/12+AIY50*BlendedPricePremAnnual*AIG50/12+AIZ50*BlendedPriceEliteAnnual*AIG50/12</f>
        <v/>
      </c>
      <c r="AJC50" s="9">
        <f>AJB50*12</f>
        <v/>
      </c>
      <c r="AJD50" s="12">
        <f>AIU50*BlendedPriceEssMonthly*AIG50+AIV50*BlendedPricePremMonthly*AIG50+AIW50*BlendedPriceEliteMonthly*AIG50</f>
        <v/>
      </c>
      <c r="AJE50" s="12">
        <f>AIR50*BlendedPriceEssAnnual*AIG50+AIS50*BlendedPricePremAnnual*AIG50+AIT50*BlendedPriceEliteAnnual*AIG50</f>
        <v/>
      </c>
      <c r="AJF50" s="12">
        <f>AIR38*POWER(1-(AnnualChurn*VLOOKUP(AID50,ChurnSeasonTable,4,FALSE)),1)*BlendedPriceEssAnnual*AIG50+AIR26*POWER(1-(AnnualChurn*VLOOKUP(AID50,ChurnSeasonTable,4,FALSE)),2)*BlendedPriceEssAnnual*AIG50+AIR14*POWER(1-(AnnualChurn*VLOOKUP(AID50,ChurnSeasonTable,4,FALSE)),3)*BlendedPriceEssAnnual*AIG50+AIS38*POWER(1-(AnnualChurn*VLOOKUP(AID50,ChurnSeasonTable,4,FALSE)),1)*BlendedPricePremAnnual*AIG50+AIS26*POWER(1-(AnnualChurn*VLOOKUP(AID50,ChurnSeasonTable,4,FALSE)),2)*BlendedPricePremAnnual*AIG50+AIS14*POWER(1-(AnnualChurn*VLOOKUP(AID50,ChurnSeasonTable,4,FALSE)),3)*BlendedPricePremAnnual*AIG50+AIT38*POWER(1-(AnnualChurn*VLOOKUP(AID50,ChurnSeasonTable,4,FALSE)),1)*BlendedPriceEliteAnnual*AIG50+AIT26*POWER(1-(AnnualChurn*VLOOKUP(AID50,ChurnSeasonTable,4,FALSE)),2)*BlendedPriceEliteAnnual*AIG50+AIT14*POWER(1-(AnnualChurn*VLOOKUP(AID50,ChurnSeasonTable,4,FALSE)),3)*BlendedPriceEliteAnnual*AIG50</f>
        <v/>
      </c>
      <c r="AJG50" s="9">
        <f>AJD50+AJE50+AJF50</f>
        <v/>
      </c>
      <c r="AJH50" s="12">
        <f>SUM(AJG39:AJG50)</f>
        <v/>
      </c>
      <c r="AJI50" s="12">
        <f>OR(AJI49,IF(VATAgentMode,SUM($AJG39:$AJG50)-SUM($AJN39:$AJN50)&gt;=VATThreshold,SUM($AJG39:$AJG50)&gt;=VATThreshold))</f>
        <v/>
      </c>
      <c r="AJJ50" s="9">
        <f>IF(AJI50,IF(VATAgentMode,AJG50-((AJG50-AJN50)-(AJG50-AJN50)/(1+VATRate)),AJG50/(1+VATRate)),AJG50)</f>
        <v/>
      </c>
      <c r="AJK50" s="12">
        <f>AJG50-AJJ50</f>
        <v/>
      </c>
      <c r="AJL50" s="12">
        <f>IF(AJI50=0,0,IF(AID50=1,SUMPRODUCT(--(($AIE$5:$AIE50=$AIE50-1)*($AID$5:$AID50&gt;=10)*($AID$5:$AID50&lt;=12)),$AJK$5:$AJK50),IF(AID50=4,SUMPRODUCT(--(($AIE$5:$AIE50=$AIE50)*($AID$5:$AID50&gt;=1)*($AID$5:$AID50&lt;=3)),$AJK$5:$AJK50),IF(AID50=7,SUMPRODUCT(--(($AIE$5:$AIE50=$AIE50)*($AID$5:$AID50&gt;=4)*($AID$5:$AID50&lt;=6)),$AJK$5:$AJK50),IF(AID50=10,SUMPRODUCT(--(($AIE$5:$AIE50=$AIE50)*($AID$5:$AID50&gt;=7)*($AID$5:$AID50&lt;=9)),$AJK$5:$AJK50),0)))))</f>
        <v/>
      </c>
      <c r="AJM50" s="12">
        <f>AJM49+AJK50-AJL50</f>
        <v/>
      </c>
      <c r="AJN50" s="12">
        <f>IF(ProviderDelay&gt;=1,AIU49*BlendedProvPayEss+AIV49*BlendedProvPayPrem+AIW49*BlendedProvPayElite+AIX49*BlendedProvPayEss+AIY49*BlendedProvPayPrem+AIZ49*BlendedProvPayElite,AIU50*BlendedProvPayEss+AIV50*BlendedProvPayPrem+AIW50*BlendedProvPayElite+AIX50*BlendedProvPayEss+AIY50*BlendedProvPayPrem+AIZ50*BlendedProvPayElite)</f>
        <v/>
      </c>
      <c r="AJO50" s="12">
        <f>AJG50*PaymentFee</f>
        <v/>
      </c>
      <c r="AJP50" s="12">
        <f>AJA50*OpsAI</f>
        <v/>
      </c>
      <c r="AJQ50" s="12">
        <f>MonthlyFixed</f>
        <v/>
      </c>
      <c r="AJR50" s="12">
        <f>AIK50*ReferralReward</f>
        <v/>
      </c>
      <c r="AJS50" s="12">
        <f>AII50</f>
        <v/>
      </c>
      <c r="AJT50" s="9">
        <f>AJJ50-AJN50-AJO50-AJP50-AJQ50-AJR50-AJS50</f>
        <v/>
      </c>
      <c r="AJU50" s="9">
        <f>AJU49+AJG50-(AJN50+AJO50+AJP50+AJQ50+AJR50+AJS50+AJL50)</f>
        <v/>
      </c>
      <c r="AJV50" s="12">
        <f>IF(AJA50&gt;0,AJB50/AJA50,0)</f>
        <v/>
      </c>
      <c r="AJW50" s="11">
        <f>IF(AJA49&gt;0,MAX(0,(AJA49+AIL50-AJA50)/AJA49),0)</f>
        <v/>
      </c>
      <c r="AJY50" s="12" t="n">
        <v>46</v>
      </c>
      <c r="AJZ50" s="12">
        <f>MOD(AJY50-1+LaunchMonth-1,12)+1</f>
        <v/>
      </c>
      <c r="AKA50" s="12">
        <f>INT((AJY50-1+LaunchMonth-1)/12)+1</f>
        <v/>
      </c>
      <c r="AKB50" s="12">
        <f>VLOOKUP(AJZ50,SeasonTable,2,FALSE)</f>
        <v/>
      </c>
      <c r="AKC50" s="12">
        <f>(1+InflationRate)^INT((AJY50-1)/12)</f>
        <v/>
      </c>
      <c r="AKD50" s="11">
        <f>MonthlyChurn*VLOOKUP(AJZ50,ChurnSeasonTable,4,FALSE)</f>
        <v/>
      </c>
      <c r="AKE50" s="12">
        <f>MIN(MAX(MktMin19plus,ALC49*MktPct19plus),MAX(0,ALQ49-CashBuffer))</f>
        <v/>
      </c>
      <c r="AKF50" s="12">
        <f>IF(AKE50&gt;0,MAX(1,ROUND(AKE50/'Sens - CAC &amp; Marketing'!$A$10*AKB50,0)),0)</f>
        <v/>
      </c>
      <c r="AKG50" s="12">
        <f>IF(AKF50&gt;0,ROUND(AKF50*ReferralMix/(1-ReferralMix),0),0)</f>
        <v/>
      </c>
      <c r="AKH50" s="12">
        <f>AKF50+AKG50</f>
        <v/>
      </c>
      <c r="AKI50" s="12">
        <f>ROUND(AKH50*(1-AnnualMix),0)</f>
        <v/>
      </c>
      <c r="AKJ50" s="12">
        <f>AKH50-AKI50</f>
        <v/>
      </c>
      <c r="AKK50" s="12">
        <f>ROUND(AKI50*EssentialMix,0)</f>
        <v/>
      </c>
      <c r="AKL50" s="12">
        <f>ROUND(AKI50*PremiumMix,0)</f>
        <v/>
      </c>
      <c r="AKM50" s="12">
        <f>AKI50-AKK50-AKL50</f>
        <v/>
      </c>
      <c r="AKN50" s="12">
        <f>ROUND(AKJ50*EssentialMix,0)</f>
        <v/>
      </c>
      <c r="AKO50" s="12">
        <f>ROUND(AKJ50*PremiumMix,0)</f>
        <v/>
      </c>
      <c r="AKP50" s="12">
        <f>AKJ50-AKN50-AKO50</f>
        <v/>
      </c>
      <c r="AKQ50" s="12">
        <f>AKK50+AKK49+AKK48+MAX(0,AKQ49-AKK49-AKK48)*(1-AKD50)</f>
        <v/>
      </c>
      <c r="AKR50" s="12">
        <f>AKL50+AKL49+AKL48+MAX(0,AKR49-AKL49-AKL48)*(1-AKD50)</f>
        <v/>
      </c>
      <c r="AKS50" s="12">
        <f>AKM50+AKM49+AKM48+MAX(0,AKS49-AKM49-AKM48)*(1-AKD50)</f>
        <v/>
      </c>
      <c r="AKT50" s="12">
        <f>AKT49+AKN50-AKN38*(AnnualChurn*VLOOKUP(AJZ50,ChurnSeasonTable,4,FALSE))*POWER(1-(AnnualChurn*VLOOKUP(AJZ50,ChurnSeasonTable,4,FALSE)),0)+AKN26*(AnnualChurn*VLOOKUP(AJZ50,ChurnSeasonTable,4,FALSE))*POWER(1-(AnnualChurn*VLOOKUP(AJZ50,ChurnSeasonTable,4,FALSE)),1)+AKN14*(AnnualChurn*VLOOKUP(AJZ50,ChurnSeasonTable,4,FALSE))*POWER(1-(AnnualChurn*VLOOKUP(AJZ50,ChurnSeasonTable,4,FALSE)),2)</f>
        <v/>
      </c>
      <c r="AKU50" s="12">
        <f>AKU49+AKO50-AKO38*(AnnualChurn*VLOOKUP(AJZ50,ChurnSeasonTable,4,FALSE))*POWER(1-(AnnualChurn*VLOOKUP(AJZ50,ChurnSeasonTable,4,FALSE)),0)+AKO26*(AnnualChurn*VLOOKUP(AJZ50,ChurnSeasonTable,4,FALSE))*POWER(1-(AnnualChurn*VLOOKUP(AJZ50,ChurnSeasonTable,4,FALSE)),1)+AKO14*(AnnualChurn*VLOOKUP(AJZ50,ChurnSeasonTable,4,FALSE))*POWER(1-(AnnualChurn*VLOOKUP(AJZ50,ChurnSeasonTable,4,FALSE)),2)</f>
        <v/>
      </c>
      <c r="AKV50" s="12">
        <f>AKV49+AKP50-AKP38*(AnnualChurn*VLOOKUP(AJZ50,ChurnSeasonTable,4,FALSE))*POWER(1-(AnnualChurn*VLOOKUP(AJZ50,ChurnSeasonTable,4,FALSE)),0)+AKP26*(AnnualChurn*VLOOKUP(AJZ50,ChurnSeasonTable,4,FALSE))*POWER(1-(AnnualChurn*VLOOKUP(AJZ50,ChurnSeasonTable,4,FALSE)),1)+AKP14*(AnnualChurn*VLOOKUP(AJZ50,ChurnSeasonTable,4,FALSE))*POWER(1-(AnnualChurn*VLOOKUP(AJZ50,ChurnSeasonTable,4,FALSE)),2)</f>
        <v/>
      </c>
      <c r="AKW50" s="12">
        <f>AKQ50+AKR50+AKS50+AKT50+AKU50+AKV50</f>
        <v/>
      </c>
      <c r="AKX50" s="9">
        <f>AKQ50*BlendedPriceEssMonthly*AKC50+AKR50*BlendedPricePremMonthly*AKC50+AKS50*BlendedPriceEliteMonthly*AKC50+AKT50*BlendedPriceEssAnnual*AKC50/12+AKU50*BlendedPricePremAnnual*AKC50/12+AKV50*BlendedPriceEliteAnnual*AKC50/12</f>
        <v/>
      </c>
      <c r="AKY50" s="9">
        <f>AKX50*12</f>
        <v/>
      </c>
      <c r="AKZ50" s="12">
        <f>AKQ50*BlendedPriceEssMonthly*AKC50+AKR50*BlendedPricePremMonthly*AKC50+AKS50*BlendedPriceEliteMonthly*AKC50</f>
        <v/>
      </c>
      <c r="ALA50" s="12">
        <f>AKN50*BlendedPriceEssAnnual*AKC50+AKO50*BlendedPricePremAnnual*AKC50+AKP50*BlendedPriceEliteAnnual*AKC50</f>
        <v/>
      </c>
      <c r="ALB50" s="12">
        <f>AKN38*POWER(1-(AnnualChurn*VLOOKUP(AJZ50,ChurnSeasonTable,4,FALSE)),1)*BlendedPriceEssAnnual*AKC50+AKN26*POWER(1-(AnnualChurn*VLOOKUP(AJZ50,ChurnSeasonTable,4,FALSE)),2)*BlendedPriceEssAnnual*AKC50+AKN14*POWER(1-(AnnualChurn*VLOOKUP(AJZ50,ChurnSeasonTable,4,FALSE)),3)*BlendedPriceEssAnnual*AKC50+AKO38*POWER(1-(AnnualChurn*VLOOKUP(AJZ50,ChurnSeasonTable,4,FALSE)),1)*BlendedPricePremAnnual*AKC50+AKO26*POWER(1-(AnnualChurn*VLOOKUP(AJZ50,ChurnSeasonTable,4,FALSE)),2)*BlendedPricePremAnnual*AKC50+AKO14*POWER(1-(AnnualChurn*VLOOKUP(AJZ50,ChurnSeasonTable,4,FALSE)),3)*BlendedPricePremAnnual*AKC50+AKP38*POWER(1-(AnnualChurn*VLOOKUP(AJZ50,ChurnSeasonTable,4,FALSE)),1)*BlendedPriceEliteAnnual*AKC50+AKP26*POWER(1-(AnnualChurn*VLOOKUP(AJZ50,ChurnSeasonTable,4,FALSE)),2)*BlendedPriceEliteAnnual*AKC50+AKP14*POWER(1-(AnnualChurn*VLOOKUP(AJZ50,ChurnSeasonTable,4,FALSE)),3)*BlendedPriceEliteAnnual*AKC50</f>
        <v/>
      </c>
      <c r="ALC50" s="9">
        <f>AKZ50+ALA50+ALB50</f>
        <v/>
      </c>
      <c r="ALD50" s="12">
        <f>SUM(ALC39:ALC50)</f>
        <v/>
      </c>
      <c r="ALE50" s="12">
        <f>OR(ALE49,IF(VATAgentMode,SUM($ALC39:$ALC50)-SUM($ALJ39:$ALJ50)&gt;=VATThreshold,SUM($ALC39:$ALC50)&gt;=VATThreshold))</f>
        <v/>
      </c>
      <c r="ALF50" s="9">
        <f>IF(ALE50,IF(VATAgentMode,ALC50-((ALC50-ALJ50)-(ALC50-ALJ50)/(1+VATRate)),ALC50/(1+VATRate)),ALC50)</f>
        <v/>
      </c>
      <c r="ALG50" s="12">
        <f>ALC50-ALF50</f>
        <v/>
      </c>
      <c r="ALH50" s="12">
        <f>IF(ALE50=0,0,IF(AJZ50=1,SUMPRODUCT(--(($AKA$5:$AKA50=$AKA50-1)*($AJZ$5:$AJZ50&gt;=10)*($AJZ$5:$AJZ50&lt;=12)),$ALG$5:$ALG50),IF(AJZ50=4,SUMPRODUCT(--(($AKA$5:$AKA50=$AKA50)*($AJZ$5:$AJZ50&gt;=1)*($AJZ$5:$AJZ50&lt;=3)),$ALG$5:$ALG50),IF(AJZ50=7,SUMPRODUCT(--(($AKA$5:$AKA50=$AKA50)*($AJZ$5:$AJZ50&gt;=4)*($AJZ$5:$AJZ50&lt;=6)),$ALG$5:$ALG50),IF(AJZ50=10,SUMPRODUCT(--(($AKA$5:$AKA50=$AKA50)*($AJZ$5:$AJZ50&gt;=7)*($AJZ$5:$AJZ50&lt;=9)),$ALG$5:$ALG50),0)))))</f>
        <v/>
      </c>
      <c r="ALI50" s="12">
        <f>ALI49+ALG50-ALH50</f>
        <v/>
      </c>
      <c r="ALJ50" s="12">
        <f>IF(ProviderDelay&gt;=1,AKQ49*BlendedProvPayEss+AKR49*BlendedProvPayPrem+AKS49*BlendedProvPayElite+AKT49*BlendedProvPayEss+AKU49*BlendedProvPayPrem+AKV49*BlendedProvPayElite,AKQ50*BlendedProvPayEss+AKR50*BlendedProvPayPrem+AKS50*BlendedProvPayElite+AKT50*BlendedProvPayEss+AKU50*BlendedProvPayPrem+AKV50*BlendedProvPayElite)</f>
        <v/>
      </c>
      <c r="ALK50" s="12">
        <f>ALC50*PaymentFee</f>
        <v/>
      </c>
      <c r="ALL50" s="12">
        <f>AKW50*OpsAI</f>
        <v/>
      </c>
      <c r="ALM50" s="12">
        <f>MonthlyFixed</f>
        <v/>
      </c>
      <c r="ALN50" s="12">
        <f>AKG50*ReferralReward</f>
        <v/>
      </c>
      <c r="ALO50" s="12">
        <f>AKE50</f>
        <v/>
      </c>
      <c r="ALP50" s="9">
        <f>ALF50-ALJ50-ALK50-ALL50-ALM50-ALN50-ALO50</f>
        <v/>
      </c>
      <c r="ALQ50" s="9">
        <f>ALQ49+ALC50-(ALJ50+ALK50+ALL50+ALM50+ALN50+ALO50+ALH50)</f>
        <v/>
      </c>
      <c r="ALR50" s="12">
        <f>IF(AKW50&gt;0,AKX50/AKW50,0)</f>
        <v/>
      </c>
      <c r="ALS50" s="11">
        <f>IF(AKW49&gt;0,MAX(0,(AKW49+AKH50-AKW50)/AKW49),0)</f>
        <v/>
      </c>
      <c r="ALU50" s="12" t="n">
        <v>46</v>
      </c>
      <c r="ALV50" s="12">
        <f>MOD(ALU50-1+LaunchMonth-1,12)+1</f>
        <v/>
      </c>
      <c r="ALW50" s="12">
        <f>INT((ALU50-1+LaunchMonth-1)/12)+1</f>
        <v/>
      </c>
      <c r="ALX50" s="12">
        <f>VLOOKUP(ALV50,SeasonTable,2,FALSE)</f>
        <v/>
      </c>
      <c r="ALY50" s="12">
        <f>(1+InflationRate)^INT((ALU50-1)/12)</f>
        <v/>
      </c>
      <c r="ALZ50" s="11">
        <f>MonthlyChurn*VLOOKUP(ALV50,ChurnSeasonTable,4,FALSE)</f>
        <v/>
      </c>
      <c r="AMA50" s="12">
        <f>MIN(MAX(MktMin19plus,AMY49*MktPct19plus),MAX(0,ANM49-CashBuffer))</f>
        <v/>
      </c>
      <c r="AMB50" s="12">
        <f>IF(AMA50&gt;0,MAX(1,ROUND(AMA50/'Sens - CAC &amp; Marketing'!$A$11*ALX50,0)),0)</f>
        <v/>
      </c>
      <c r="AMC50" s="12">
        <f>IF(AMB50&gt;0,ROUND(AMB50*ReferralMix/(1-ReferralMix),0),0)</f>
        <v/>
      </c>
      <c r="AMD50" s="12">
        <f>AMB50+AMC50</f>
        <v/>
      </c>
      <c r="AME50" s="12">
        <f>ROUND(AMD50*(1-AnnualMix),0)</f>
        <v/>
      </c>
      <c r="AMF50" s="12">
        <f>AMD50-AME50</f>
        <v/>
      </c>
      <c r="AMG50" s="12">
        <f>ROUND(AME50*EssentialMix,0)</f>
        <v/>
      </c>
      <c r="AMH50" s="12">
        <f>ROUND(AME50*PremiumMix,0)</f>
        <v/>
      </c>
      <c r="AMI50" s="12">
        <f>AME50-AMG50-AMH50</f>
        <v/>
      </c>
      <c r="AMJ50" s="12">
        <f>ROUND(AMF50*EssentialMix,0)</f>
        <v/>
      </c>
      <c r="AMK50" s="12">
        <f>ROUND(AMF50*PremiumMix,0)</f>
        <v/>
      </c>
      <c r="AML50" s="12">
        <f>AMF50-AMJ50-AMK50</f>
        <v/>
      </c>
      <c r="AMM50" s="12">
        <f>AMG50+AMG49+AMG48+MAX(0,AMM49-AMG49-AMG48)*(1-ALZ50)</f>
        <v/>
      </c>
      <c r="AMN50" s="12">
        <f>AMH50+AMH49+AMH48+MAX(0,AMN49-AMH49-AMH48)*(1-ALZ50)</f>
        <v/>
      </c>
      <c r="AMO50" s="12">
        <f>AMI50+AMI49+AMI48+MAX(0,AMO49-AMI49-AMI48)*(1-ALZ50)</f>
        <v/>
      </c>
      <c r="AMP50" s="12">
        <f>AMP49+AMJ50-AMJ38*(AnnualChurn*VLOOKUP(ALV50,ChurnSeasonTable,4,FALSE))*POWER(1-(AnnualChurn*VLOOKUP(ALV50,ChurnSeasonTable,4,FALSE)),0)+AMJ26*(AnnualChurn*VLOOKUP(ALV50,ChurnSeasonTable,4,FALSE))*POWER(1-(AnnualChurn*VLOOKUP(ALV50,ChurnSeasonTable,4,FALSE)),1)+AMJ14*(AnnualChurn*VLOOKUP(ALV50,ChurnSeasonTable,4,FALSE))*POWER(1-(AnnualChurn*VLOOKUP(ALV50,ChurnSeasonTable,4,FALSE)),2)</f>
        <v/>
      </c>
      <c r="AMQ50" s="12">
        <f>AMQ49+AMK50-AMK38*(AnnualChurn*VLOOKUP(ALV50,ChurnSeasonTable,4,FALSE))*POWER(1-(AnnualChurn*VLOOKUP(ALV50,ChurnSeasonTable,4,FALSE)),0)+AMK26*(AnnualChurn*VLOOKUP(ALV50,ChurnSeasonTable,4,FALSE))*POWER(1-(AnnualChurn*VLOOKUP(ALV50,ChurnSeasonTable,4,FALSE)),1)+AMK14*(AnnualChurn*VLOOKUP(ALV50,ChurnSeasonTable,4,FALSE))*POWER(1-(AnnualChurn*VLOOKUP(ALV50,ChurnSeasonTable,4,FALSE)),2)</f>
        <v/>
      </c>
      <c r="AMR50" s="12">
        <f>AMR49+AML50-AML38*(AnnualChurn*VLOOKUP(ALV50,ChurnSeasonTable,4,FALSE))*POWER(1-(AnnualChurn*VLOOKUP(ALV50,ChurnSeasonTable,4,FALSE)),0)+AML26*(AnnualChurn*VLOOKUP(ALV50,ChurnSeasonTable,4,FALSE))*POWER(1-(AnnualChurn*VLOOKUP(ALV50,ChurnSeasonTable,4,FALSE)),1)+AML14*(AnnualChurn*VLOOKUP(ALV50,ChurnSeasonTable,4,FALSE))*POWER(1-(AnnualChurn*VLOOKUP(ALV50,ChurnSeasonTable,4,FALSE)),2)</f>
        <v/>
      </c>
      <c r="AMS50" s="12">
        <f>AMM50+AMN50+AMO50+AMP50+AMQ50+AMR50</f>
        <v/>
      </c>
      <c r="AMT50" s="9">
        <f>AMM50*BlendedPriceEssMonthly*ALY50+AMN50*BlendedPricePremMonthly*ALY50+AMO50*BlendedPriceEliteMonthly*ALY50+AMP50*BlendedPriceEssAnnual*ALY50/12+AMQ50*BlendedPricePremAnnual*ALY50/12+AMR50*BlendedPriceEliteAnnual*ALY50/12</f>
        <v/>
      </c>
      <c r="AMU50" s="9">
        <f>AMT50*12</f>
        <v/>
      </c>
      <c r="AMV50" s="12">
        <f>AMM50*BlendedPriceEssMonthly*ALY50+AMN50*BlendedPricePremMonthly*ALY50+AMO50*BlendedPriceEliteMonthly*ALY50</f>
        <v/>
      </c>
      <c r="AMW50" s="12">
        <f>AMJ50*BlendedPriceEssAnnual*ALY50+AMK50*BlendedPricePremAnnual*ALY50+AML50*BlendedPriceEliteAnnual*ALY50</f>
        <v/>
      </c>
      <c r="AMX50" s="12">
        <f>AMJ38*POWER(1-(AnnualChurn*VLOOKUP(ALV50,ChurnSeasonTable,4,FALSE)),1)*BlendedPriceEssAnnual*ALY50+AMJ26*POWER(1-(AnnualChurn*VLOOKUP(ALV50,ChurnSeasonTable,4,FALSE)),2)*BlendedPriceEssAnnual*ALY50+AMJ14*POWER(1-(AnnualChurn*VLOOKUP(ALV50,ChurnSeasonTable,4,FALSE)),3)*BlendedPriceEssAnnual*ALY50+AMK38*POWER(1-(AnnualChurn*VLOOKUP(ALV50,ChurnSeasonTable,4,FALSE)),1)*BlendedPricePremAnnual*ALY50+AMK26*POWER(1-(AnnualChurn*VLOOKUP(ALV50,ChurnSeasonTable,4,FALSE)),2)*BlendedPricePremAnnual*ALY50+AMK14*POWER(1-(AnnualChurn*VLOOKUP(ALV50,ChurnSeasonTable,4,FALSE)),3)*BlendedPricePremAnnual*ALY50+AML38*POWER(1-(AnnualChurn*VLOOKUP(ALV50,ChurnSeasonTable,4,FALSE)),1)*BlendedPriceEliteAnnual*ALY50+AML26*POWER(1-(AnnualChurn*VLOOKUP(ALV50,ChurnSeasonTable,4,FALSE)),2)*BlendedPriceEliteAnnual*ALY50+AML14*POWER(1-(AnnualChurn*VLOOKUP(ALV50,ChurnSeasonTable,4,FALSE)),3)*BlendedPriceEliteAnnual*ALY50</f>
        <v/>
      </c>
      <c r="AMY50" s="9">
        <f>AMV50+AMW50+AMX50</f>
        <v/>
      </c>
      <c r="AMZ50" s="12">
        <f>SUM(AMY39:AMY50)</f>
        <v/>
      </c>
      <c r="ANA50" s="12">
        <f>OR(ANA49,IF(VATAgentMode,SUM($AMY39:$AMY50)-SUM($ANF39:$ANF50)&gt;=VATThreshold,SUM($AMY39:$AMY50)&gt;=VATThreshold))</f>
        <v/>
      </c>
      <c r="ANB50" s="9">
        <f>IF(ANA50,IF(VATAgentMode,AMY50-((AMY50-ANF50)-(AMY50-ANF50)/(1+VATRate)),AMY50/(1+VATRate)),AMY50)</f>
        <v/>
      </c>
      <c r="ANC50" s="12">
        <f>AMY50-ANB50</f>
        <v/>
      </c>
      <c r="AND50" s="12">
        <f>IF(ANA50=0,0,IF(ALV50=1,SUMPRODUCT(--(($ALW$5:$ALW50=$ALW50-1)*($ALV$5:$ALV50&gt;=10)*($ALV$5:$ALV50&lt;=12)),$ANC$5:$ANC50),IF(ALV50=4,SUMPRODUCT(--(($ALW$5:$ALW50=$ALW50)*($ALV$5:$ALV50&gt;=1)*($ALV$5:$ALV50&lt;=3)),$ANC$5:$ANC50),IF(ALV50=7,SUMPRODUCT(--(($ALW$5:$ALW50=$ALW50)*($ALV$5:$ALV50&gt;=4)*($ALV$5:$ALV50&lt;=6)),$ANC$5:$ANC50),IF(ALV50=10,SUMPRODUCT(--(($ALW$5:$ALW50=$ALW50)*($ALV$5:$ALV50&gt;=7)*($ALV$5:$ALV50&lt;=9)),$ANC$5:$ANC50),0)))))</f>
        <v/>
      </c>
      <c r="ANE50" s="12">
        <f>ANE49+ANC50-AND50</f>
        <v/>
      </c>
      <c r="ANF50" s="12">
        <f>IF(ProviderDelay&gt;=1,AMM49*BlendedProvPayEss+AMN49*BlendedProvPayPrem+AMO49*BlendedProvPayElite+AMP49*BlendedProvPayEss+AMQ49*BlendedProvPayPrem+AMR49*BlendedProvPayElite,AMM50*BlendedProvPayEss+AMN50*BlendedProvPayPrem+AMO50*BlendedProvPayElite+AMP50*BlendedProvPayEss+AMQ50*BlendedProvPayPrem+AMR50*BlendedProvPayElite)</f>
        <v/>
      </c>
      <c r="ANG50" s="12">
        <f>AMY50*PaymentFee</f>
        <v/>
      </c>
      <c r="ANH50" s="12">
        <f>AMS50*OpsAI</f>
        <v/>
      </c>
      <c r="ANI50" s="12">
        <f>MonthlyFixed</f>
        <v/>
      </c>
      <c r="ANJ50" s="12">
        <f>AMC50*ReferralReward</f>
        <v/>
      </c>
      <c r="ANK50" s="12">
        <f>AMA50</f>
        <v/>
      </c>
      <c r="ANL50" s="9">
        <f>ANB50-ANF50-ANG50-ANH50-ANI50-ANJ50-ANK50</f>
        <v/>
      </c>
      <c r="ANM50" s="9">
        <f>ANM49+AMY50-(ANF50+ANG50+ANH50+ANI50+ANJ50+ANK50+AND50)</f>
        <v/>
      </c>
      <c r="ANN50" s="12">
        <f>IF(AMS50&gt;0,AMT50/AMS50,0)</f>
        <v/>
      </c>
      <c r="ANO50" s="11">
        <f>IF(AMS49&gt;0,MAX(0,(AMS49+AMD50-AMS50)/AMS49),0)</f>
        <v/>
      </c>
      <c r="ANQ50" s="12" t="n">
        <v>46</v>
      </c>
      <c r="ANR50" s="12">
        <f>MOD(ANQ50-1+LaunchMonth-1,12)+1</f>
        <v/>
      </c>
      <c r="ANS50" s="12">
        <f>INT((ANQ50-1+LaunchMonth-1)/12)+1</f>
        <v/>
      </c>
      <c r="ANT50" s="12">
        <f>VLOOKUP(ANR50,SeasonTable,2,FALSE)</f>
        <v/>
      </c>
      <c r="ANU50" s="12">
        <f>(1+InflationRate)^INT((ANQ50-1)/12)</f>
        <v/>
      </c>
      <c r="ANV50" s="11">
        <f>MonthlyChurn*VLOOKUP(ANR50,ChurnSeasonTable,4,FALSE)</f>
        <v/>
      </c>
      <c r="ANW50" s="12">
        <f>MIN(MAX(MktMin19plus,AOU49*MktPct19plus),MAX(0,API49-CashBuffer))</f>
        <v/>
      </c>
      <c r="ANX50" s="12">
        <f>IF(ANW50&gt;0,MAX(1,ROUND(ANW50/'Sens - CAC &amp; Marketing'!$A$12*ANT50,0)),0)</f>
        <v/>
      </c>
      <c r="ANY50" s="12">
        <f>IF(ANX50&gt;0,ROUND(ANX50*ReferralMix/(1-ReferralMix),0),0)</f>
        <v/>
      </c>
      <c r="ANZ50" s="12">
        <f>ANX50+ANY50</f>
        <v/>
      </c>
      <c r="AOA50" s="12">
        <f>ROUND(ANZ50*(1-AnnualMix),0)</f>
        <v/>
      </c>
      <c r="AOB50" s="12">
        <f>ANZ50-AOA50</f>
        <v/>
      </c>
      <c r="AOC50" s="12">
        <f>ROUND(AOA50*EssentialMix,0)</f>
        <v/>
      </c>
      <c r="AOD50" s="12">
        <f>ROUND(AOA50*PremiumMix,0)</f>
        <v/>
      </c>
      <c r="AOE50" s="12">
        <f>AOA50-AOC50-AOD50</f>
        <v/>
      </c>
      <c r="AOF50" s="12">
        <f>ROUND(AOB50*EssentialMix,0)</f>
        <v/>
      </c>
      <c r="AOG50" s="12">
        <f>ROUND(AOB50*PremiumMix,0)</f>
        <v/>
      </c>
      <c r="AOH50" s="12">
        <f>AOB50-AOF50-AOG50</f>
        <v/>
      </c>
      <c r="AOI50" s="12">
        <f>AOC50+AOC49+AOC48+MAX(0,AOI49-AOC49-AOC48)*(1-ANV50)</f>
        <v/>
      </c>
      <c r="AOJ50" s="12">
        <f>AOD50+AOD49+AOD48+MAX(0,AOJ49-AOD49-AOD48)*(1-ANV50)</f>
        <v/>
      </c>
      <c r="AOK50" s="12">
        <f>AOE50+AOE49+AOE48+MAX(0,AOK49-AOE49-AOE48)*(1-ANV50)</f>
        <v/>
      </c>
      <c r="AOL50" s="12">
        <f>AOL49+AOF50-AOF38*(AnnualChurn*VLOOKUP(ANR50,ChurnSeasonTable,4,FALSE))*POWER(1-(AnnualChurn*VLOOKUP(ANR50,ChurnSeasonTable,4,FALSE)),0)+AOF26*(AnnualChurn*VLOOKUP(ANR50,ChurnSeasonTable,4,FALSE))*POWER(1-(AnnualChurn*VLOOKUP(ANR50,ChurnSeasonTable,4,FALSE)),1)+AOF14*(AnnualChurn*VLOOKUP(ANR50,ChurnSeasonTable,4,FALSE))*POWER(1-(AnnualChurn*VLOOKUP(ANR50,ChurnSeasonTable,4,FALSE)),2)</f>
        <v/>
      </c>
      <c r="AOM50" s="12">
        <f>AOM49+AOG50-AOG38*(AnnualChurn*VLOOKUP(ANR50,ChurnSeasonTable,4,FALSE))*POWER(1-(AnnualChurn*VLOOKUP(ANR50,ChurnSeasonTable,4,FALSE)),0)+AOG26*(AnnualChurn*VLOOKUP(ANR50,ChurnSeasonTable,4,FALSE))*POWER(1-(AnnualChurn*VLOOKUP(ANR50,ChurnSeasonTable,4,FALSE)),1)+AOG14*(AnnualChurn*VLOOKUP(ANR50,ChurnSeasonTable,4,FALSE))*POWER(1-(AnnualChurn*VLOOKUP(ANR50,ChurnSeasonTable,4,FALSE)),2)</f>
        <v/>
      </c>
      <c r="AON50" s="12">
        <f>AON49+AOH50-AOH38*(AnnualChurn*VLOOKUP(ANR50,ChurnSeasonTable,4,FALSE))*POWER(1-(AnnualChurn*VLOOKUP(ANR50,ChurnSeasonTable,4,FALSE)),0)+AOH26*(AnnualChurn*VLOOKUP(ANR50,ChurnSeasonTable,4,FALSE))*POWER(1-(AnnualChurn*VLOOKUP(ANR50,ChurnSeasonTable,4,FALSE)),1)+AOH14*(AnnualChurn*VLOOKUP(ANR50,ChurnSeasonTable,4,FALSE))*POWER(1-(AnnualChurn*VLOOKUP(ANR50,ChurnSeasonTable,4,FALSE)),2)</f>
        <v/>
      </c>
      <c r="AOO50" s="12">
        <f>AOI50+AOJ50+AOK50+AOL50+AOM50+AON50</f>
        <v/>
      </c>
      <c r="AOP50" s="9">
        <f>AOI50*BlendedPriceEssMonthly*ANU50+AOJ50*BlendedPricePremMonthly*ANU50+AOK50*BlendedPriceEliteMonthly*ANU50+AOL50*BlendedPriceEssAnnual*ANU50/12+AOM50*BlendedPricePremAnnual*ANU50/12+AON50*BlendedPriceEliteAnnual*ANU50/12</f>
        <v/>
      </c>
      <c r="AOQ50" s="9">
        <f>AOP50*12</f>
        <v/>
      </c>
      <c r="AOR50" s="12">
        <f>AOI50*BlendedPriceEssMonthly*ANU50+AOJ50*BlendedPricePremMonthly*ANU50+AOK50*BlendedPriceEliteMonthly*ANU50</f>
        <v/>
      </c>
      <c r="AOS50" s="12">
        <f>AOF50*BlendedPriceEssAnnual*ANU50+AOG50*BlendedPricePremAnnual*ANU50+AOH50*BlendedPriceEliteAnnual*ANU50</f>
        <v/>
      </c>
      <c r="AOT50" s="12">
        <f>AOF38*POWER(1-(AnnualChurn*VLOOKUP(ANR50,ChurnSeasonTable,4,FALSE)),1)*BlendedPriceEssAnnual*ANU50+AOF26*POWER(1-(AnnualChurn*VLOOKUP(ANR50,ChurnSeasonTable,4,FALSE)),2)*BlendedPriceEssAnnual*ANU50+AOF14*POWER(1-(AnnualChurn*VLOOKUP(ANR50,ChurnSeasonTable,4,FALSE)),3)*BlendedPriceEssAnnual*ANU50+AOG38*POWER(1-(AnnualChurn*VLOOKUP(ANR50,ChurnSeasonTable,4,FALSE)),1)*BlendedPricePremAnnual*ANU50+AOG26*POWER(1-(AnnualChurn*VLOOKUP(ANR50,ChurnSeasonTable,4,FALSE)),2)*BlendedPricePremAnnual*ANU50+AOG14*POWER(1-(AnnualChurn*VLOOKUP(ANR50,ChurnSeasonTable,4,FALSE)),3)*BlendedPricePremAnnual*ANU50+AOH38*POWER(1-(AnnualChurn*VLOOKUP(ANR50,ChurnSeasonTable,4,FALSE)),1)*BlendedPriceEliteAnnual*ANU50+AOH26*POWER(1-(AnnualChurn*VLOOKUP(ANR50,ChurnSeasonTable,4,FALSE)),2)*BlendedPriceEliteAnnual*ANU50+AOH14*POWER(1-(AnnualChurn*VLOOKUP(ANR50,ChurnSeasonTable,4,FALSE)),3)*BlendedPriceEliteAnnual*ANU50</f>
        <v/>
      </c>
      <c r="AOU50" s="9">
        <f>AOR50+AOS50+AOT50</f>
        <v/>
      </c>
      <c r="AOV50" s="12">
        <f>SUM(AOU39:AOU50)</f>
        <v/>
      </c>
      <c r="AOW50" s="12">
        <f>OR(AOW49,IF(VATAgentMode,SUM($AOU39:$AOU50)-SUM($APB39:$APB50)&gt;=VATThreshold,SUM($AOU39:$AOU50)&gt;=VATThreshold))</f>
        <v/>
      </c>
      <c r="AOX50" s="9">
        <f>IF(AOW50,IF(VATAgentMode,AOU50-((AOU50-APB50)-(AOU50-APB50)/(1+VATRate)),AOU50/(1+VATRate)),AOU50)</f>
        <v/>
      </c>
      <c r="AOY50" s="12">
        <f>AOU50-AOX50</f>
        <v/>
      </c>
      <c r="AOZ50" s="12">
        <f>IF(AOW50=0,0,IF(ANR50=1,SUMPRODUCT(--(($ANS$5:$ANS50=$ANS50-1)*($ANR$5:$ANR50&gt;=10)*($ANR$5:$ANR50&lt;=12)),$AOY$5:$AOY50),IF(ANR50=4,SUMPRODUCT(--(($ANS$5:$ANS50=$ANS50)*($ANR$5:$ANR50&gt;=1)*($ANR$5:$ANR50&lt;=3)),$AOY$5:$AOY50),IF(ANR50=7,SUMPRODUCT(--(($ANS$5:$ANS50=$ANS50)*($ANR$5:$ANR50&gt;=4)*($ANR$5:$ANR50&lt;=6)),$AOY$5:$AOY50),IF(ANR50=10,SUMPRODUCT(--(($ANS$5:$ANS50=$ANS50)*($ANR$5:$ANR50&gt;=7)*($ANR$5:$ANR50&lt;=9)),$AOY$5:$AOY50),0)))))</f>
        <v/>
      </c>
      <c r="APA50" s="12">
        <f>APA49+AOY50-AOZ50</f>
        <v/>
      </c>
      <c r="APB50" s="12">
        <f>IF(ProviderDelay&gt;=1,AOI49*BlendedProvPayEss+AOJ49*BlendedProvPayPrem+AOK49*BlendedProvPayElite+AOL49*BlendedProvPayEss+AOM49*BlendedProvPayPrem+AON49*BlendedProvPayElite,AOI50*BlendedProvPayEss+AOJ50*BlendedProvPayPrem+AOK50*BlendedProvPayElite+AOL50*BlendedProvPayEss+AOM50*BlendedProvPayPrem+AON50*BlendedProvPayElite)</f>
        <v/>
      </c>
      <c r="APC50" s="12">
        <f>AOU50*PaymentFee</f>
        <v/>
      </c>
      <c r="APD50" s="12">
        <f>AOO50*OpsAI</f>
        <v/>
      </c>
      <c r="APE50" s="12">
        <f>MonthlyFixed</f>
        <v/>
      </c>
      <c r="APF50" s="12">
        <f>ANY50*ReferralReward</f>
        <v/>
      </c>
      <c r="APG50" s="12">
        <f>ANW50</f>
        <v/>
      </c>
      <c r="APH50" s="9">
        <f>AOX50-APB50-APC50-APD50-APE50-APF50-APG50</f>
        <v/>
      </c>
      <c r="API50" s="9">
        <f>API49+AOU50-(APB50+APC50+APD50+APE50+APF50+APG50+AOZ50)</f>
        <v/>
      </c>
      <c r="APJ50" s="12">
        <f>IF(AOO50&gt;0,AOP50/AOO50,0)</f>
        <v/>
      </c>
      <c r="APK50" s="11">
        <f>IF(AOO49&gt;0,MAX(0,(AOO49+ANZ50-AOO50)/AOO49),0)</f>
        <v/>
      </c>
      <c r="APM50" s="12" t="n">
        <v>46</v>
      </c>
      <c r="APN50" s="12">
        <f>MOD(APM50-1+LaunchMonth-1,12)+1</f>
        <v/>
      </c>
      <c r="APO50" s="12">
        <f>INT((APM50-1+LaunchMonth-1)/12)+1</f>
        <v/>
      </c>
      <c r="APP50" s="12">
        <f>VLOOKUP(APN50,SeasonTable,2,FALSE)</f>
        <v/>
      </c>
      <c r="APQ50" s="12">
        <f>(1+InflationRate)^INT((APM50-1)/12)</f>
        <v/>
      </c>
      <c r="APR50" s="11">
        <f>MonthlyChurn*VLOOKUP(APN50,ChurnSeasonTable,4,FALSE)</f>
        <v/>
      </c>
      <c r="APS50" s="12">
        <f>MIN(MAX(MktMin19plus,AQQ49*MktPct19plus),MAX(0,ARE49-CashBuffer))</f>
        <v/>
      </c>
      <c r="APT50" s="12">
        <f>IF(APS50&gt;0,MAX(1,ROUND(APS50/'Sens - CAC &amp; Marketing'!$A$13*APP50,0)),0)</f>
        <v/>
      </c>
      <c r="APU50" s="12">
        <f>IF(APT50&gt;0,ROUND(APT50*ReferralMix/(1-ReferralMix),0),0)</f>
        <v/>
      </c>
      <c r="APV50" s="12">
        <f>APT50+APU50</f>
        <v/>
      </c>
      <c r="APW50" s="12">
        <f>ROUND(APV50*(1-AnnualMix),0)</f>
        <v/>
      </c>
      <c r="APX50" s="12">
        <f>APV50-APW50</f>
        <v/>
      </c>
      <c r="APY50" s="12">
        <f>ROUND(APW50*EssentialMix,0)</f>
        <v/>
      </c>
      <c r="APZ50" s="12">
        <f>ROUND(APW50*PremiumMix,0)</f>
        <v/>
      </c>
      <c r="AQA50" s="12">
        <f>APW50-APY50-APZ50</f>
        <v/>
      </c>
      <c r="AQB50" s="12">
        <f>ROUND(APX50*EssentialMix,0)</f>
        <v/>
      </c>
      <c r="AQC50" s="12">
        <f>ROUND(APX50*PremiumMix,0)</f>
        <v/>
      </c>
      <c r="AQD50" s="12">
        <f>APX50-AQB50-AQC50</f>
        <v/>
      </c>
      <c r="AQE50" s="12">
        <f>APY50+APY49+APY48+MAX(0,AQE49-APY49-APY48)*(1-APR50)</f>
        <v/>
      </c>
      <c r="AQF50" s="12">
        <f>APZ50+APZ49+APZ48+MAX(0,AQF49-APZ49-APZ48)*(1-APR50)</f>
        <v/>
      </c>
      <c r="AQG50" s="12">
        <f>AQA50+AQA49+AQA48+MAX(0,AQG49-AQA49-AQA48)*(1-APR50)</f>
        <v/>
      </c>
      <c r="AQH50" s="12">
        <f>AQH49+AQB50-AQB38*(AnnualChurn*VLOOKUP(APN50,ChurnSeasonTable,4,FALSE))*POWER(1-(AnnualChurn*VLOOKUP(APN50,ChurnSeasonTable,4,FALSE)),0)+AQB26*(AnnualChurn*VLOOKUP(APN50,ChurnSeasonTable,4,FALSE))*POWER(1-(AnnualChurn*VLOOKUP(APN50,ChurnSeasonTable,4,FALSE)),1)+AQB14*(AnnualChurn*VLOOKUP(APN50,ChurnSeasonTable,4,FALSE))*POWER(1-(AnnualChurn*VLOOKUP(APN50,ChurnSeasonTable,4,FALSE)),2)</f>
        <v/>
      </c>
      <c r="AQI50" s="12">
        <f>AQI49+AQC50-AQC38*(AnnualChurn*VLOOKUP(APN50,ChurnSeasonTable,4,FALSE))*POWER(1-(AnnualChurn*VLOOKUP(APN50,ChurnSeasonTable,4,FALSE)),0)+AQC26*(AnnualChurn*VLOOKUP(APN50,ChurnSeasonTable,4,FALSE))*POWER(1-(AnnualChurn*VLOOKUP(APN50,ChurnSeasonTable,4,FALSE)),1)+AQC14*(AnnualChurn*VLOOKUP(APN50,ChurnSeasonTable,4,FALSE))*POWER(1-(AnnualChurn*VLOOKUP(APN50,ChurnSeasonTable,4,FALSE)),2)</f>
        <v/>
      </c>
      <c r="AQJ50" s="12">
        <f>AQJ49+AQD50-AQD38*(AnnualChurn*VLOOKUP(APN50,ChurnSeasonTable,4,FALSE))*POWER(1-(AnnualChurn*VLOOKUP(APN50,ChurnSeasonTable,4,FALSE)),0)+AQD26*(AnnualChurn*VLOOKUP(APN50,ChurnSeasonTable,4,FALSE))*POWER(1-(AnnualChurn*VLOOKUP(APN50,ChurnSeasonTable,4,FALSE)),1)+AQD14*(AnnualChurn*VLOOKUP(APN50,ChurnSeasonTable,4,FALSE))*POWER(1-(AnnualChurn*VLOOKUP(APN50,ChurnSeasonTable,4,FALSE)),2)</f>
        <v/>
      </c>
      <c r="AQK50" s="12">
        <f>AQE50+AQF50+AQG50+AQH50+AQI50+AQJ50</f>
        <v/>
      </c>
      <c r="AQL50" s="9">
        <f>AQE50*BlendedPriceEssMonthly*APQ50+AQF50*BlendedPricePremMonthly*APQ50+AQG50*BlendedPriceEliteMonthly*APQ50+AQH50*BlendedPriceEssAnnual*APQ50/12+AQI50*BlendedPricePremAnnual*APQ50/12+AQJ50*BlendedPriceEliteAnnual*APQ50/12</f>
        <v/>
      </c>
      <c r="AQM50" s="9">
        <f>AQL50*12</f>
        <v/>
      </c>
      <c r="AQN50" s="12">
        <f>AQE50*BlendedPriceEssMonthly*APQ50+AQF50*BlendedPricePremMonthly*APQ50+AQG50*BlendedPriceEliteMonthly*APQ50</f>
        <v/>
      </c>
      <c r="AQO50" s="12">
        <f>AQB50*BlendedPriceEssAnnual*APQ50+AQC50*BlendedPricePremAnnual*APQ50+AQD50*BlendedPriceEliteAnnual*APQ50</f>
        <v/>
      </c>
      <c r="AQP50" s="12">
        <f>AQB38*POWER(1-(AnnualChurn*VLOOKUP(APN50,ChurnSeasonTable,4,FALSE)),1)*BlendedPriceEssAnnual*APQ50+AQB26*POWER(1-(AnnualChurn*VLOOKUP(APN50,ChurnSeasonTable,4,FALSE)),2)*BlendedPriceEssAnnual*APQ50+AQB14*POWER(1-(AnnualChurn*VLOOKUP(APN50,ChurnSeasonTable,4,FALSE)),3)*BlendedPriceEssAnnual*APQ50+AQC38*POWER(1-(AnnualChurn*VLOOKUP(APN50,ChurnSeasonTable,4,FALSE)),1)*BlendedPricePremAnnual*APQ50+AQC26*POWER(1-(AnnualChurn*VLOOKUP(APN50,ChurnSeasonTable,4,FALSE)),2)*BlendedPricePremAnnual*APQ50+AQC14*POWER(1-(AnnualChurn*VLOOKUP(APN50,ChurnSeasonTable,4,FALSE)),3)*BlendedPricePremAnnual*APQ50+AQD38*POWER(1-(AnnualChurn*VLOOKUP(APN50,ChurnSeasonTable,4,FALSE)),1)*BlendedPriceEliteAnnual*APQ50+AQD26*POWER(1-(AnnualChurn*VLOOKUP(APN50,ChurnSeasonTable,4,FALSE)),2)*BlendedPriceEliteAnnual*APQ50+AQD14*POWER(1-(AnnualChurn*VLOOKUP(APN50,ChurnSeasonTable,4,FALSE)),3)*BlendedPriceEliteAnnual*APQ50</f>
        <v/>
      </c>
      <c r="AQQ50" s="9">
        <f>AQN50+AQO50+AQP50</f>
        <v/>
      </c>
      <c r="AQR50" s="12">
        <f>SUM(AQQ39:AQQ50)</f>
        <v/>
      </c>
      <c r="AQS50" s="12">
        <f>OR(AQS49,IF(VATAgentMode,SUM($AQQ39:$AQQ50)-SUM($AQX39:$AQX50)&gt;=VATThreshold,SUM($AQQ39:$AQQ50)&gt;=VATThreshold))</f>
        <v/>
      </c>
      <c r="AQT50" s="9">
        <f>IF(AQS50,IF(VATAgentMode,AQQ50-((AQQ50-AQX50)-(AQQ50-AQX50)/(1+VATRate)),AQQ50/(1+VATRate)),AQQ50)</f>
        <v/>
      </c>
      <c r="AQU50" s="12">
        <f>AQQ50-AQT50</f>
        <v/>
      </c>
      <c r="AQV50" s="12">
        <f>IF(AQS50=0,0,IF(APN50=1,SUMPRODUCT(--(($APO$5:$APO50=$APO50-1)*($APN$5:$APN50&gt;=10)*($APN$5:$APN50&lt;=12)),$AQU$5:$AQU50),IF(APN50=4,SUMPRODUCT(--(($APO$5:$APO50=$APO50)*($APN$5:$APN50&gt;=1)*($APN$5:$APN50&lt;=3)),$AQU$5:$AQU50),IF(APN50=7,SUMPRODUCT(--(($APO$5:$APO50=$APO50)*($APN$5:$APN50&gt;=4)*($APN$5:$APN50&lt;=6)),$AQU$5:$AQU50),IF(APN50=10,SUMPRODUCT(--(($APO$5:$APO50=$APO50)*($APN$5:$APN50&gt;=7)*($APN$5:$APN50&lt;=9)),$AQU$5:$AQU50),0)))))</f>
        <v/>
      </c>
      <c r="AQW50" s="12">
        <f>AQW49+AQU50-AQV50</f>
        <v/>
      </c>
      <c r="AQX50" s="12">
        <f>IF(ProviderDelay&gt;=1,AQE49*BlendedProvPayEss+AQF49*BlendedProvPayPrem+AQG49*BlendedProvPayElite+AQH49*BlendedProvPayEss+AQI49*BlendedProvPayPrem+AQJ49*BlendedProvPayElite,AQE50*BlendedProvPayEss+AQF50*BlendedProvPayPrem+AQG50*BlendedProvPayElite+AQH50*BlendedProvPayEss+AQI50*BlendedProvPayPrem+AQJ50*BlendedProvPayElite)</f>
        <v/>
      </c>
      <c r="AQY50" s="12">
        <f>AQQ50*PaymentFee</f>
        <v/>
      </c>
      <c r="AQZ50" s="12">
        <f>AQK50*OpsAI</f>
        <v/>
      </c>
      <c r="ARA50" s="12">
        <f>MonthlyFixed</f>
        <v/>
      </c>
      <c r="ARB50" s="12">
        <f>APU50*ReferralReward</f>
        <v/>
      </c>
      <c r="ARC50" s="12">
        <f>APS50</f>
        <v/>
      </c>
      <c r="ARD50" s="9">
        <f>AQT50-AQX50-AQY50-AQZ50-ARA50-ARB50-ARC50</f>
        <v/>
      </c>
      <c r="ARE50" s="9">
        <f>ARE49+AQQ50-(AQX50+AQY50+AQZ50+ARA50+ARB50+ARC50+AQV50)</f>
        <v/>
      </c>
      <c r="ARF50" s="12">
        <f>IF(AQK50&gt;0,AQL50/AQK50,0)</f>
        <v/>
      </c>
      <c r="ARG50" s="11">
        <f>IF(AQK49&gt;0,MAX(0,(AQK49+APV50-AQK50)/AQK49),0)</f>
        <v/>
      </c>
      <c r="ARI50" s="12" t="n">
        <v>46</v>
      </c>
      <c r="ARJ50" s="12">
        <f>MOD(ARI50-1+LaunchMonth-1,12)+1</f>
        <v/>
      </c>
      <c r="ARK50" s="12">
        <f>INT((ARI50-1+LaunchMonth-1)/12)+1</f>
        <v/>
      </c>
      <c r="ARL50" s="12">
        <f>VLOOKUP(ARJ50,SeasonTable,2,FALSE)</f>
        <v/>
      </c>
      <c r="ARM50" s="12">
        <f>(1+InflationRate)^INT((ARI50-1)/12)</f>
        <v/>
      </c>
      <c r="ARN50" s="11">
        <f>MonthlyChurn*VLOOKUP(ARJ50,ChurnSeasonTable,4,FALSE)</f>
        <v/>
      </c>
      <c r="ARO50" s="12">
        <f>MIN(MAX(MktMin19plus,ASM49*MktPct19plus),MAX(0,ATA49-CashBuffer))</f>
        <v/>
      </c>
      <c r="ARP50" s="12">
        <f>IF(ARO50&gt;0,MAX(1,ROUND(ARO50/'Sens - CAC &amp; Marketing'!$A$14*ARL50,0)),0)</f>
        <v/>
      </c>
      <c r="ARQ50" s="12">
        <f>IF(ARP50&gt;0,ROUND(ARP50*ReferralMix/(1-ReferralMix),0),0)</f>
        <v/>
      </c>
      <c r="ARR50" s="12">
        <f>ARP50+ARQ50</f>
        <v/>
      </c>
      <c r="ARS50" s="12">
        <f>ROUND(ARR50*(1-AnnualMix),0)</f>
        <v/>
      </c>
      <c r="ART50" s="12">
        <f>ARR50-ARS50</f>
        <v/>
      </c>
      <c r="ARU50" s="12">
        <f>ROUND(ARS50*EssentialMix,0)</f>
        <v/>
      </c>
      <c r="ARV50" s="12">
        <f>ROUND(ARS50*PremiumMix,0)</f>
        <v/>
      </c>
      <c r="ARW50" s="12">
        <f>ARS50-ARU50-ARV50</f>
        <v/>
      </c>
      <c r="ARX50" s="12">
        <f>ROUND(ART50*EssentialMix,0)</f>
        <v/>
      </c>
      <c r="ARY50" s="12">
        <f>ROUND(ART50*PremiumMix,0)</f>
        <v/>
      </c>
      <c r="ARZ50" s="12">
        <f>ART50-ARX50-ARY50</f>
        <v/>
      </c>
      <c r="ASA50" s="12">
        <f>ARU50+ARU49+ARU48+MAX(0,ASA49-ARU49-ARU48)*(1-ARN50)</f>
        <v/>
      </c>
      <c r="ASB50" s="12">
        <f>ARV50+ARV49+ARV48+MAX(0,ASB49-ARV49-ARV48)*(1-ARN50)</f>
        <v/>
      </c>
      <c r="ASC50" s="12">
        <f>ARW50+ARW49+ARW48+MAX(0,ASC49-ARW49-ARW48)*(1-ARN50)</f>
        <v/>
      </c>
      <c r="ASD50" s="12">
        <f>ASD49+ARX50-ARX38*(AnnualChurn*VLOOKUP(ARJ50,ChurnSeasonTable,4,FALSE))*POWER(1-(AnnualChurn*VLOOKUP(ARJ50,ChurnSeasonTable,4,FALSE)),0)+ARX26*(AnnualChurn*VLOOKUP(ARJ50,ChurnSeasonTable,4,FALSE))*POWER(1-(AnnualChurn*VLOOKUP(ARJ50,ChurnSeasonTable,4,FALSE)),1)+ARX14*(AnnualChurn*VLOOKUP(ARJ50,ChurnSeasonTable,4,FALSE))*POWER(1-(AnnualChurn*VLOOKUP(ARJ50,ChurnSeasonTable,4,FALSE)),2)</f>
        <v/>
      </c>
      <c r="ASE50" s="12">
        <f>ASE49+ARY50-ARY38*(AnnualChurn*VLOOKUP(ARJ50,ChurnSeasonTable,4,FALSE))*POWER(1-(AnnualChurn*VLOOKUP(ARJ50,ChurnSeasonTable,4,FALSE)),0)+ARY26*(AnnualChurn*VLOOKUP(ARJ50,ChurnSeasonTable,4,FALSE))*POWER(1-(AnnualChurn*VLOOKUP(ARJ50,ChurnSeasonTable,4,FALSE)),1)+ARY14*(AnnualChurn*VLOOKUP(ARJ50,ChurnSeasonTable,4,FALSE))*POWER(1-(AnnualChurn*VLOOKUP(ARJ50,ChurnSeasonTable,4,FALSE)),2)</f>
        <v/>
      </c>
      <c r="ASF50" s="12">
        <f>ASF49+ARZ50-ARZ38*(AnnualChurn*VLOOKUP(ARJ50,ChurnSeasonTable,4,FALSE))*POWER(1-(AnnualChurn*VLOOKUP(ARJ50,ChurnSeasonTable,4,FALSE)),0)+ARZ26*(AnnualChurn*VLOOKUP(ARJ50,ChurnSeasonTable,4,FALSE))*POWER(1-(AnnualChurn*VLOOKUP(ARJ50,ChurnSeasonTable,4,FALSE)),1)+ARZ14*(AnnualChurn*VLOOKUP(ARJ50,ChurnSeasonTable,4,FALSE))*POWER(1-(AnnualChurn*VLOOKUP(ARJ50,ChurnSeasonTable,4,FALSE)),2)</f>
        <v/>
      </c>
      <c r="ASG50" s="12">
        <f>ASA50+ASB50+ASC50+ASD50+ASE50+ASF50</f>
        <v/>
      </c>
      <c r="ASH50" s="9">
        <f>ASA50*BlendedPriceEssMonthly*ARM50+ASB50*BlendedPricePremMonthly*ARM50+ASC50*BlendedPriceEliteMonthly*ARM50+ASD50*BlendedPriceEssAnnual*ARM50/12+ASE50*BlendedPricePremAnnual*ARM50/12+ASF50*BlendedPriceEliteAnnual*ARM50/12</f>
        <v/>
      </c>
      <c r="ASI50" s="9">
        <f>ASH50*12</f>
        <v/>
      </c>
      <c r="ASJ50" s="12">
        <f>ASA50*BlendedPriceEssMonthly*ARM50+ASB50*BlendedPricePremMonthly*ARM50+ASC50*BlendedPriceEliteMonthly*ARM50</f>
        <v/>
      </c>
      <c r="ASK50" s="12">
        <f>ARX50*BlendedPriceEssAnnual*ARM50+ARY50*BlendedPricePremAnnual*ARM50+ARZ50*BlendedPriceEliteAnnual*ARM50</f>
        <v/>
      </c>
      <c r="ASL50" s="12">
        <f>ARX38*POWER(1-(AnnualChurn*VLOOKUP(ARJ50,ChurnSeasonTable,4,FALSE)),1)*BlendedPriceEssAnnual*ARM50+ARX26*POWER(1-(AnnualChurn*VLOOKUP(ARJ50,ChurnSeasonTable,4,FALSE)),2)*BlendedPriceEssAnnual*ARM50+ARX14*POWER(1-(AnnualChurn*VLOOKUP(ARJ50,ChurnSeasonTable,4,FALSE)),3)*BlendedPriceEssAnnual*ARM50+ARY38*POWER(1-(AnnualChurn*VLOOKUP(ARJ50,ChurnSeasonTable,4,FALSE)),1)*BlendedPricePremAnnual*ARM50+ARY26*POWER(1-(AnnualChurn*VLOOKUP(ARJ50,ChurnSeasonTable,4,FALSE)),2)*BlendedPricePremAnnual*ARM50+ARY14*POWER(1-(AnnualChurn*VLOOKUP(ARJ50,ChurnSeasonTable,4,FALSE)),3)*BlendedPricePremAnnual*ARM50+ARZ38*POWER(1-(AnnualChurn*VLOOKUP(ARJ50,ChurnSeasonTable,4,FALSE)),1)*BlendedPriceEliteAnnual*ARM50+ARZ26*POWER(1-(AnnualChurn*VLOOKUP(ARJ50,ChurnSeasonTable,4,FALSE)),2)*BlendedPriceEliteAnnual*ARM50+ARZ14*POWER(1-(AnnualChurn*VLOOKUP(ARJ50,ChurnSeasonTable,4,FALSE)),3)*BlendedPriceEliteAnnual*ARM50</f>
        <v/>
      </c>
      <c r="ASM50" s="9">
        <f>ASJ50+ASK50+ASL50</f>
        <v/>
      </c>
      <c r="ASN50" s="12">
        <f>SUM(ASM39:ASM50)</f>
        <v/>
      </c>
      <c r="ASO50" s="12">
        <f>OR(ASO49,IF(VATAgentMode,SUM($ASM39:$ASM50)-SUM($AST39:$AST50)&gt;=VATThreshold,SUM($ASM39:$ASM50)&gt;=VATThreshold))</f>
        <v/>
      </c>
      <c r="ASP50" s="9">
        <f>IF(ASO50,IF(VATAgentMode,ASM50-((ASM50-AST50)-(ASM50-AST50)/(1+VATRate)),ASM50/(1+VATRate)),ASM50)</f>
        <v/>
      </c>
      <c r="ASQ50" s="12">
        <f>ASM50-ASP50</f>
        <v/>
      </c>
      <c r="ASR50" s="12">
        <f>IF(ASO50=0,0,IF(ARJ50=1,SUMPRODUCT(--(($ARK$5:$ARK50=$ARK50-1)*($ARJ$5:$ARJ50&gt;=10)*($ARJ$5:$ARJ50&lt;=12)),$ASQ$5:$ASQ50),IF(ARJ50=4,SUMPRODUCT(--(($ARK$5:$ARK50=$ARK50)*($ARJ$5:$ARJ50&gt;=1)*($ARJ$5:$ARJ50&lt;=3)),$ASQ$5:$ASQ50),IF(ARJ50=7,SUMPRODUCT(--(($ARK$5:$ARK50=$ARK50)*($ARJ$5:$ARJ50&gt;=4)*($ARJ$5:$ARJ50&lt;=6)),$ASQ$5:$ASQ50),IF(ARJ50=10,SUMPRODUCT(--(($ARK$5:$ARK50=$ARK50)*($ARJ$5:$ARJ50&gt;=7)*($ARJ$5:$ARJ50&lt;=9)),$ASQ$5:$ASQ50),0)))))</f>
        <v/>
      </c>
      <c r="ASS50" s="12">
        <f>ASS49+ASQ50-ASR50</f>
        <v/>
      </c>
      <c r="AST50" s="12">
        <f>IF(ProviderDelay&gt;=1,ASA49*BlendedProvPayEss+ASB49*BlendedProvPayPrem+ASC49*BlendedProvPayElite+ASD49*BlendedProvPayEss+ASE49*BlendedProvPayPrem+ASF49*BlendedProvPayElite,ASA50*BlendedProvPayEss+ASB50*BlendedProvPayPrem+ASC50*BlendedProvPayElite+ASD50*BlendedProvPayEss+ASE50*BlendedProvPayPrem+ASF50*BlendedProvPayElite)</f>
        <v/>
      </c>
      <c r="ASU50" s="12">
        <f>ASM50*PaymentFee</f>
        <v/>
      </c>
      <c r="ASV50" s="12">
        <f>ASG50*OpsAI</f>
        <v/>
      </c>
      <c r="ASW50" s="12">
        <f>MonthlyFixed</f>
        <v/>
      </c>
      <c r="ASX50" s="12">
        <f>ARQ50*ReferralReward</f>
        <v/>
      </c>
      <c r="ASY50" s="12">
        <f>ARO50</f>
        <v/>
      </c>
      <c r="ASZ50" s="9">
        <f>ASP50-AST50-ASU50-ASV50-ASW50-ASX50-ASY50</f>
        <v/>
      </c>
      <c r="ATA50" s="9">
        <f>ATA49+ASM50-(AST50+ASU50+ASV50+ASW50+ASX50+ASY50+ASR50)</f>
        <v/>
      </c>
      <c r="ATB50" s="12">
        <f>IF(ASG50&gt;0,ASH50/ASG50,0)</f>
        <v/>
      </c>
      <c r="ATC50" s="11">
        <f>IF(ASG49&gt;0,MAX(0,(ASG49+ARR50-ASG50)/ASG49),0)</f>
        <v/>
      </c>
      <c r="ATE50" s="12" t="n">
        <v>46</v>
      </c>
      <c r="ATF50" s="12">
        <f>MOD(ATE50-1+LaunchMonth-1,12)+1</f>
        <v/>
      </c>
      <c r="ATG50" s="12">
        <f>INT((ATE50-1+LaunchMonth-1)/12)+1</f>
        <v/>
      </c>
      <c r="ATH50" s="12">
        <f>VLOOKUP(ATF50,SeasonTable,2,FALSE)</f>
        <v/>
      </c>
      <c r="ATI50" s="12">
        <f>(1+InflationRate)^INT((ATE50-1)/12)</f>
        <v/>
      </c>
      <c r="ATJ50" s="11">
        <f>MonthlyChurn*VLOOKUP(ATF50,ChurnSeasonTable,4,FALSE)</f>
        <v/>
      </c>
      <c r="ATK50" s="12">
        <f>MIN(MAX(MktMin19plus,AUI49*MktPct19plus),MAX(0,AUW49-CashBuffer))</f>
        <v/>
      </c>
      <c r="ATL50" s="12">
        <f>IF(ATK50&gt;0,MAX(1,ROUND(ATK50/'Sens - CAC &amp; Marketing'!$A$15*ATH50,0)),0)</f>
        <v/>
      </c>
      <c r="ATM50" s="12">
        <f>IF(ATL50&gt;0,ROUND(ATL50*ReferralMix/(1-ReferralMix),0),0)</f>
        <v/>
      </c>
      <c r="ATN50" s="12">
        <f>ATL50+ATM50</f>
        <v/>
      </c>
      <c r="ATO50" s="12">
        <f>ROUND(ATN50*(1-AnnualMix),0)</f>
        <v/>
      </c>
      <c r="ATP50" s="12">
        <f>ATN50-ATO50</f>
        <v/>
      </c>
      <c r="ATQ50" s="12">
        <f>ROUND(ATO50*EssentialMix,0)</f>
        <v/>
      </c>
      <c r="ATR50" s="12">
        <f>ROUND(ATO50*PremiumMix,0)</f>
        <v/>
      </c>
      <c r="ATS50" s="12">
        <f>ATO50-ATQ50-ATR50</f>
        <v/>
      </c>
      <c r="ATT50" s="12">
        <f>ROUND(ATP50*EssentialMix,0)</f>
        <v/>
      </c>
      <c r="ATU50" s="12">
        <f>ROUND(ATP50*PremiumMix,0)</f>
        <v/>
      </c>
      <c r="ATV50" s="12">
        <f>ATP50-ATT50-ATU50</f>
        <v/>
      </c>
      <c r="ATW50" s="12">
        <f>ATQ50+ATQ49+ATQ48+MAX(0,ATW49-ATQ49-ATQ48)*(1-ATJ50)</f>
        <v/>
      </c>
      <c r="ATX50" s="12">
        <f>ATR50+ATR49+ATR48+MAX(0,ATX49-ATR49-ATR48)*(1-ATJ50)</f>
        <v/>
      </c>
      <c r="ATY50" s="12">
        <f>ATS50+ATS49+ATS48+MAX(0,ATY49-ATS49-ATS48)*(1-ATJ50)</f>
        <v/>
      </c>
      <c r="ATZ50" s="12">
        <f>ATZ49+ATT50-ATT38*(AnnualChurn*VLOOKUP(ATF50,ChurnSeasonTable,4,FALSE))*POWER(1-(AnnualChurn*VLOOKUP(ATF50,ChurnSeasonTable,4,FALSE)),0)+ATT26*(AnnualChurn*VLOOKUP(ATF50,ChurnSeasonTable,4,FALSE))*POWER(1-(AnnualChurn*VLOOKUP(ATF50,ChurnSeasonTable,4,FALSE)),1)+ATT14*(AnnualChurn*VLOOKUP(ATF50,ChurnSeasonTable,4,FALSE))*POWER(1-(AnnualChurn*VLOOKUP(ATF50,ChurnSeasonTable,4,FALSE)),2)</f>
        <v/>
      </c>
      <c r="AUA50" s="12">
        <f>AUA49+ATU50-ATU38*(AnnualChurn*VLOOKUP(ATF50,ChurnSeasonTable,4,FALSE))*POWER(1-(AnnualChurn*VLOOKUP(ATF50,ChurnSeasonTable,4,FALSE)),0)+ATU26*(AnnualChurn*VLOOKUP(ATF50,ChurnSeasonTable,4,FALSE))*POWER(1-(AnnualChurn*VLOOKUP(ATF50,ChurnSeasonTable,4,FALSE)),1)+ATU14*(AnnualChurn*VLOOKUP(ATF50,ChurnSeasonTable,4,FALSE))*POWER(1-(AnnualChurn*VLOOKUP(ATF50,ChurnSeasonTable,4,FALSE)),2)</f>
        <v/>
      </c>
      <c r="AUB50" s="12">
        <f>AUB49+ATV50-ATV38*(AnnualChurn*VLOOKUP(ATF50,ChurnSeasonTable,4,FALSE))*POWER(1-(AnnualChurn*VLOOKUP(ATF50,ChurnSeasonTable,4,FALSE)),0)+ATV26*(AnnualChurn*VLOOKUP(ATF50,ChurnSeasonTable,4,FALSE))*POWER(1-(AnnualChurn*VLOOKUP(ATF50,ChurnSeasonTable,4,FALSE)),1)+ATV14*(AnnualChurn*VLOOKUP(ATF50,ChurnSeasonTable,4,FALSE))*POWER(1-(AnnualChurn*VLOOKUP(ATF50,ChurnSeasonTable,4,FALSE)),2)</f>
        <v/>
      </c>
      <c r="AUC50" s="12">
        <f>ATW50+ATX50+ATY50+ATZ50+AUA50+AUB50</f>
        <v/>
      </c>
      <c r="AUD50" s="9">
        <f>ATW50*BlendedPriceEssMonthly*ATI50+ATX50*BlendedPricePremMonthly*ATI50+ATY50*BlendedPriceEliteMonthly*ATI50+ATZ50*BlendedPriceEssAnnual*ATI50/12+AUA50*BlendedPricePremAnnual*ATI50/12+AUB50*BlendedPriceEliteAnnual*ATI50/12</f>
        <v/>
      </c>
      <c r="AUE50" s="9">
        <f>AUD50*12</f>
        <v/>
      </c>
      <c r="AUF50" s="12">
        <f>ATW50*BlendedPriceEssMonthly*ATI50+ATX50*BlendedPricePremMonthly*ATI50+ATY50*BlendedPriceEliteMonthly*ATI50</f>
        <v/>
      </c>
      <c r="AUG50" s="12">
        <f>ATT50*BlendedPriceEssAnnual*ATI50+ATU50*BlendedPricePremAnnual*ATI50+ATV50*BlendedPriceEliteAnnual*ATI50</f>
        <v/>
      </c>
      <c r="AUH50" s="12">
        <f>ATT38*POWER(1-(AnnualChurn*VLOOKUP(ATF50,ChurnSeasonTable,4,FALSE)),1)*BlendedPriceEssAnnual*ATI50+ATT26*POWER(1-(AnnualChurn*VLOOKUP(ATF50,ChurnSeasonTable,4,FALSE)),2)*BlendedPriceEssAnnual*ATI50+ATT14*POWER(1-(AnnualChurn*VLOOKUP(ATF50,ChurnSeasonTable,4,FALSE)),3)*BlendedPriceEssAnnual*ATI50+ATU38*POWER(1-(AnnualChurn*VLOOKUP(ATF50,ChurnSeasonTable,4,FALSE)),1)*BlendedPricePremAnnual*ATI50+ATU26*POWER(1-(AnnualChurn*VLOOKUP(ATF50,ChurnSeasonTable,4,FALSE)),2)*BlendedPricePremAnnual*ATI50+ATU14*POWER(1-(AnnualChurn*VLOOKUP(ATF50,ChurnSeasonTable,4,FALSE)),3)*BlendedPricePremAnnual*ATI50+ATV38*POWER(1-(AnnualChurn*VLOOKUP(ATF50,ChurnSeasonTable,4,FALSE)),1)*BlendedPriceEliteAnnual*ATI50+ATV26*POWER(1-(AnnualChurn*VLOOKUP(ATF50,ChurnSeasonTable,4,FALSE)),2)*BlendedPriceEliteAnnual*ATI50+ATV14*POWER(1-(AnnualChurn*VLOOKUP(ATF50,ChurnSeasonTable,4,FALSE)),3)*BlendedPriceEliteAnnual*ATI50</f>
        <v/>
      </c>
      <c r="AUI50" s="9">
        <f>AUF50+AUG50+AUH50</f>
        <v/>
      </c>
      <c r="AUJ50" s="12">
        <f>SUM(AUI39:AUI50)</f>
        <v/>
      </c>
      <c r="AUK50" s="12">
        <f>OR(AUK49,IF(VATAgentMode,SUM($AUI39:$AUI50)-SUM($AUP39:$AUP50)&gt;=VATThreshold,SUM($AUI39:$AUI50)&gt;=VATThreshold))</f>
        <v/>
      </c>
      <c r="AUL50" s="9">
        <f>IF(AUK50,IF(VATAgentMode,AUI50-((AUI50-AUP50)-(AUI50-AUP50)/(1+VATRate)),AUI50/(1+VATRate)),AUI50)</f>
        <v/>
      </c>
      <c r="AUM50" s="12">
        <f>AUI50-AUL50</f>
        <v/>
      </c>
      <c r="AUN50" s="12">
        <f>IF(AUK50=0,0,IF(ATF50=1,SUMPRODUCT(--(($ATG$5:$ATG50=$ATG50-1)*($ATF$5:$ATF50&gt;=10)*($ATF$5:$ATF50&lt;=12)),$AUM$5:$AUM50),IF(ATF50=4,SUMPRODUCT(--(($ATG$5:$ATG50=$ATG50)*($ATF$5:$ATF50&gt;=1)*($ATF$5:$ATF50&lt;=3)),$AUM$5:$AUM50),IF(ATF50=7,SUMPRODUCT(--(($ATG$5:$ATG50=$ATG50)*($ATF$5:$ATF50&gt;=4)*($ATF$5:$ATF50&lt;=6)),$AUM$5:$AUM50),IF(ATF50=10,SUMPRODUCT(--(($ATG$5:$ATG50=$ATG50)*($ATF$5:$ATF50&gt;=7)*($ATF$5:$ATF50&lt;=9)),$AUM$5:$AUM50),0)))))</f>
        <v/>
      </c>
      <c r="AUO50" s="12">
        <f>AUO49+AUM50-AUN50</f>
        <v/>
      </c>
      <c r="AUP50" s="12">
        <f>IF(ProviderDelay&gt;=1,ATW49*BlendedProvPayEss+ATX49*BlendedProvPayPrem+ATY49*BlendedProvPayElite+ATZ49*BlendedProvPayEss+AUA49*BlendedProvPayPrem+AUB49*BlendedProvPayElite,ATW50*BlendedProvPayEss+ATX50*BlendedProvPayPrem+ATY50*BlendedProvPayElite+ATZ50*BlendedProvPayEss+AUA50*BlendedProvPayPrem+AUB50*BlendedProvPayElite)</f>
        <v/>
      </c>
      <c r="AUQ50" s="12">
        <f>AUI50*PaymentFee</f>
        <v/>
      </c>
      <c r="AUR50" s="12">
        <f>AUC50*OpsAI</f>
        <v/>
      </c>
      <c r="AUS50" s="12">
        <f>MonthlyFixed</f>
        <v/>
      </c>
      <c r="AUT50" s="12">
        <f>ATM50*ReferralReward</f>
        <v/>
      </c>
      <c r="AUU50" s="12">
        <f>ATK50</f>
        <v/>
      </c>
      <c r="AUV50" s="9">
        <f>AUL50-AUP50-AUQ50-AUR50-AUS50-AUT50-AUU50</f>
        <v/>
      </c>
      <c r="AUW50" s="9">
        <f>AUW49+AUI50-(AUP50+AUQ50+AUR50+AUS50+AUT50+AUU50+AUN50)</f>
        <v/>
      </c>
      <c r="AUX50" s="12">
        <f>IF(AUC50&gt;0,AUD50/AUC50,0)</f>
        <v/>
      </c>
      <c r="AUY50" s="11">
        <f>IF(AUC49&gt;0,MAX(0,(AUC49+ATN50-AUC50)/AUC49),0)</f>
        <v/>
      </c>
      <c r="AVA50" s="12" t="n">
        <v>46</v>
      </c>
      <c r="AVB50" s="12">
        <f>MOD(AVA50-1+LaunchMonth-1,12)+1</f>
        <v/>
      </c>
      <c r="AVC50" s="12">
        <f>INT((AVA50-1+LaunchMonth-1)/12)+1</f>
        <v/>
      </c>
      <c r="AVD50" s="12">
        <f>VLOOKUP(AVB50,WinterPivotSeasonTable,5,FALSE)</f>
        <v/>
      </c>
      <c r="AVE50" s="12">
        <f>(1+InflationRate)^INT((AVA50-1)/12)</f>
        <v/>
      </c>
      <c r="AVF50" s="11">
        <f>MonthlyChurn*VLOOKUP(AVB50,WinterPivotChurnTable,6,FALSE)</f>
        <v/>
      </c>
      <c r="AVG50" s="12">
        <f>MIN(MAX(MktMin19plus,AWE49*MktPct19plus),MAX(0,AWS49-CashBuffer))</f>
        <v/>
      </c>
      <c r="AVH50" s="12">
        <f>IF(AVG50&gt;0,MAX(1,ROUND(AVG50/CAC*AVD50,0)),0)</f>
        <v/>
      </c>
      <c r="AVI50" s="12">
        <f>IF(AVH50&gt;0,ROUND(AVH50*ReferralMix/(1-ReferralMix),0),0)</f>
        <v/>
      </c>
      <c r="AVJ50" s="12">
        <f>AVH50+AVI50</f>
        <v/>
      </c>
      <c r="AVK50" s="12">
        <f>ROUND(AVJ50*(1-AnnualMix),0)</f>
        <v/>
      </c>
      <c r="AVL50" s="12">
        <f>AVJ50-AVK50</f>
        <v/>
      </c>
      <c r="AVM50" s="12">
        <f>ROUND(AVK50*'Sens - Winter Pivot'!$B$6,0)</f>
        <v/>
      </c>
      <c r="AVN50" s="12">
        <f>ROUND(AVK50*PremiumMix,0)</f>
        <v/>
      </c>
      <c r="AVO50" s="12">
        <f>AVK50-AVM50-AVN50</f>
        <v/>
      </c>
      <c r="AVP50" s="12">
        <f>ROUND(AVL50*'Sens - Winter Pivot'!$B$6,0)</f>
        <v/>
      </c>
      <c r="AVQ50" s="12">
        <f>ROUND(AVL50*PremiumMix,0)</f>
        <v/>
      </c>
      <c r="AVR50" s="12">
        <f>AVL50-AVP50-AVQ50</f>
        <v/>
      </c>
      <c r="AVS50" s="12">
        <f>AVM50+AVM49+AVM48+MAX(0,AVS49-AVM49-AVM48)*(1-AVF50)</f>
        <v/>
      </c>
      <c r="AVT50" s="12">
        <f>AVN50+AVN49+AVN48+MAX(0,AVT49-AVN49-AVN48)*(1-AVF50)</f>
        <v/>
      </c>
      <c r="AVU50" s="12">
        <f>AVO50+AVO49+AVO48+MAX(0,AVU49-AVO49-AVO48)*(1-AVF50)</f>
        <v/>
      </c>
      <c r="AVV50" s="12">
        <f>AVV49+AVP50-AVP38*(AnnualChurn*VLOOKUP(AVB50,ChurnSeasonTable,4,FALSE))*POWER(1-(AnnualChurn*VLOOKUP(AVB50,ChurnSeasonTable,4,FALSE)),0)+AVP26*(AnnualChurn*VLOOKUP(AVB50,ChurnSeasonTable,4,FALSE))*POWER(1-(AnnualChurn*VLOOKUP(AVB50,ChurnSeasonTable,4,FALSE)),1)+AVP14*(AnnualChurn*VLOOKUP(AVB50,ChurnSeasonTable,4,FALSE))*POWER(1-(AnnualChurn*VLOOKUP(AVB50,ChurnSeasonTable,4,FALSE)),2)</f>
        <v/>
      </c>
      <c r="AVW50" s="12">
        <f>AVW49+AVQ50-AVQ38*(AnnualChurn*VLOOKUP(AVB50,ChurnSeasonTable,4,FALSE))*POWER(1-(AnnualChurn*VLOOKUP(AVB50,ChurnSeasonTable,4,FALSE)),0)+AVQ26*(AnnualChurn*VLOOKUP(AVB50,ChurnSeasonTable,4,FALSE))*POWER(1-(AnnualChurn*VLOOKUP(AVB50,ChurnSeasonTable,4,FALSE)),1)+AVQ14*(AnnualChurn*VLOOKUP(AVB50,ChurnSeasonTable,4,FALSE))*POWER(1-(AnnualChurn*VLOOKUP(AVB50,ChurnSeasonTable,4,FALSE)),2)</f>
        <v/>
      </c>
      <c r="AVX50" s="12">
        <f>AVX49+AVR50-AVR38*(AnnualChurn*VLOOKUP(AVB50,ChurnSeasonTable,4,FALSE))*POWER(1-(AnnualChurn*VLOOKUP(AVB50,ChurnSeasonTable,4,FALSE)),0)+AVR26*(AnnualChurn*VLOOKUP(AVB50,ChurnSeasonTable,4,FALSE))*POWER(1-(AnnualChurn*VLOOKUP(AVB50,ChurnSeasonTable,4,FALSE)),1)+AVR14*(AnnualChurn*VLOOKUP(AVB50,ChurnSeasonTable,4,FALSE))*POWER(1-(AnnualChurn*VLOOKUP(AVB50,ChurnSeasonTable,4,FALSE)),2)</f>
        <v/>
      </c>
      <c r="AVY50" s="12">
        <f>AVS50+AVT50+AVU50+AVV50+AVW50+AVX50</f>
        <v/>
      </c>
      <c r="AVZ50" s="9">
        <f>AVS50*BlendedPriceEssMonthly*AVE50+AVT50*(BlendedPricePremMonthly+'Sens - Winter Pivot'!$B$7)*AVE50+AVU50*BlendedPriceEliteMonthly*AVE50+AVV50*BlendedPriceEssAnnual*AVE50/12+AVW50*(BlendedPricePremAnnual+'Sens - Winter Pivot'!$B$7*12)*AVE50/12+AVX50*BlendedPriceEliteAnnual*AVE50/12</f>
        <v/>
      </c>
      <c r="AWA50" s="9">
        <f>AVZ50*12</f>
        <v/>
      </c>
      <c r="AWB50" s="12">
        <f>AVS50*BlendedPriceEssMonthly*AVE50+AVT50*(BlendedPricePremMonthly+'Sens - Winter Pivot'!$B$7)*AVE50+AVU50*BlendedPriceEliteMonthly*AVE50</f>
        <v/>
      </c>
      <c r="AWC50" s="12">
        <f>AVP50*BlendedPriceEssAnnual*AVE50+AVQ50*(BlendedPricePremAnnual+'Sens - Winter Pivot'!$B$7*12)*AVE50+AVR50*BlendedPriceEliteAnnual*AVE50</f>
        <v/>
      </c>
      <c r="AWD50" s="12">
        <f>AVP38*POWER(1-(AnnualChurn*VLOOKUP(AVB50,ChurnSeasonTable,4,FALSE)),1)*BlendedPriceEssAnnual*AVE50+AVP26*POWER(1-(AnnualChurn*VLOOKUP(AVB50,ChurnSeasonTable,4,FALSE)),2)*BlendedPriceEssAnnual*AVE50+AVP14*POWER(1-(AnnualChurn*VLOOKUP(AVB50,ChurnSeasonTable,4,FALSE)),3)*BlendedPriceEssAnnual*AVE50+AVQ38*POWER(1-(AnnualChurn*VLOOKUP(AVB50,ChurnSeasonTable,4,FALSE)),1)*BlendedPricePremAnnual*AVE50+AVQ26*POWER(1-(AnnualChurn*VLOOKUP(AVB50,ChurnSeasonTable,4,FALSE)),2)*BlendedPricePremAnnual*AVE50+AVQ14*POWER(1-(AnnualChurn*VLOOKUP(AVB50,ChurnSeasonTable,4,FALSE)),3)*BlendedPricePremAnnual*AVE50+AVR38*POWER(1-(AnnualChurn*VLOOKUP(AVB50,ChurnSeasonTable,4,FALSE)),1)*BlendedPriceEliteAnnual*AVE50+AVR26*POWER(1-(AnnualChurn*VLOOKUP(AVB50,ChurnSeasonTable,4,FALSE)),2)*BlendedPriceEliteAnnual*AVE50+AVR14*POWER(1-(AnnualChurn*VLOOKUP(AVB50,ChurnSeasonTable,4,FALSE)),3)*BlendedPriceEliteAnnual*AVE50</f>
        <v/>
      </c>
      <c r="AWE50" s="9">
        <f>AWB50+AWC50+AWD50</f>
        <v/>
      </c>
      <c r="AWF50" s="12">
        <f>SUM(AWE39:AWE50)</f>
        <v/>
      </c>
      <c r="AWG50" s="12">
        <f>OR(AWG49,IF(VATAgentMode,SUM($AWE39:$AWE50)-SUM($AWL39:$AWL50)&gt;=VATThreshold,SUM($AWE39:$AWE50)&gt;=VATThreshold))</f>
        <v/>
      </c>
      <c r="AWH50" s="9">
        <f>IF(AWG50,IF(VATAgentMode,AWE50-((AWE50-AWL50)-(AWE50-AWL50)/(1+VATRate)),AWE50/(1+VATRate)),AWE50)</f>
        <v/>
      </c>
      <c r="AWI50" s="12">
        <f>AWE50-AWH50</f>
        <v/>
      </c>
      <c r="AWJ50" s="12">
        <f>IF(AWG50=0,0,IF(AVB50=1,SUMPRODUCT(--(($AVC$5:$AVC50=$AVC50-1)*($AVB$5:$AVB50&gt;=10)*($AVB$5:$AVB50&lt;=12)),$AWI$5:$AWI50),IF(AVB50=4,SUMPRODUCT(--(($AVC$5:$AVC50=$AVC50)*($AVB$5:$AVB50&gt;=1)*($AVB$5:$AVB50&lt;=3)),$AWI$5:$AWI50),IF(AVB50=7,SUMPRODUCT(--(($AVC$5:$AVC50=$AVC50)*($AVB$5:$AVB50&gt;=4)*($AVB$5:$AVB50&lt;=6)),$AWI$5:$AWI50),IF(AVB50=10,SUMPRODUCT(--(($AVC$5:$AVC50=$AVC50)*($AVB$5:$AVB50&gt;=7)*($AVB$5:$AVB50&lt;=9)),$AWI$5:$AWI50),0)))))</f>
        <v/>
      </c>
      <c r="AWK50" s="12">
        <f>AWK49+AWI50-AWJ50</f>
        <v/>
      </c>
      <c r="AWL50" s="12">
        <f>IF(ProviderDelay&gt;=1,AVS49*BlendedProvPayEss+AVT49*BlendedProvPayPrem+AVU49*BlendedProvPayElite+AVV49*BlendedProvPayEss+AVW49*BlendedProvPayPrem+AVX49*BlendedProvPayElite,AVS50*BlendedProvPayEss+AVT50*BlendedProvPayPrem+AVU50*BlendedProvPayElite+AVV50*BlendedProvPayEss+AVW50*BlendedProvPayPrem+AVX50*BlendedProvPayElite)</f>
        <v/>
      </c>
      <c r="AWM50" s="12">
        <f>AWE50*PaymentFee</f>
        <v/>
      </c>
      <c r="AWN50" s="12">
        <f>AVY50*OpsAI</f>
        <v/>
      </c>
      <c r="AWO50" s="12">
        <f>MonthlyFixed</f>
        <v/>
      </c>
      <c r="AWP50" s="12">
        <f>AVI50*ReferralReward</f>
        <v/>
      </c>
      <c r="AWQ50" s="12">
        <f>AVG50</f>
        <v/>
      </c>
      <c r="AWR50" s="9">
        <f>AWH50-AWL50-AWM50-AWN50-AWO50-AWP50-AWQ50</f>
        <v/>
      </c>
      <c r="AWS50" s="9">
        <f>AWS49+AWE50-(AWL50+AWM50+AWN50+AWO50+AWP50+AWQ50+AWJ50)</f>
        <v/>
      </c>
      <c r="AWT50" s="12">
        <f>IF(AVY50&gt;0,AVZ50/AVY50,0)</f>
        <v/>
      </c>
      <c r="AWU50" s="11">
        <f>IF(AVY49&gt;0,MAX(0,(AVY49+AVJ50-AVY50)/AVY49),0)</f>
        <v/>
      </c>
    </row>
    <row r="51">
      <c r="A51" s="12" t="n">
        <v>47</v>
      </c>
      <c r="B51" s="12">
        <f>MOD(A51-1+LaunchMonth-1,12)+1</f>
        <v/>
      </c>
      <c r="C51" s="12">
        <f>INT((A51-1+LaunchMonth-1)/12)+1</f>
        <v/>
      </c>
      <c r="D51" s="12">
        <f>VLOOKUP(B51,SeasonTable,2,FALSE)</f>
        <v/>
      </c>
      <c r="E51" s="12">
        <f>(1+InflationRate)^INT((A51-1)/12)</f>
        <v/>
      </c>
      <c r="F51" s="11">
        <f>'Sens - Scenarios'!$B$5*VLOOKUP(B51,ChurnSeasonTable,4,FALSE)</f>
        <v/>
      </c>
      <c r="G51" s="12">
        <f>MIN(MAX(MktMin19plus,AE50*MktPct19plus),MAX(0,AS50-CashBuffer))</f>
        <v/>
      </c>
      <c r="H51" s="12">
        <f>IF(G51&gt;0,MAX(1,ROUND(G51/'Sens - Scenarios'!$B$8*D51,0)),0)</f>
        <v/>
      </c>
      <c r="I51" s="12">
        <f>IF(H51&gt;0,ROUND(H51*ReferralMix/(1-ReferralMix),0),0)</f>
        <v/>
      </c>
      <c r="J51" s="12">
        <f>H51+I51</f>
        <v/>
      </c>
      <c r="K51" s="12">
        <f>ROUND(J51*(1-'Sens - Scenarios'!$B$7),0)</f>
        <v/>
      </c>
      <c r="L51" s="12">
        <f>J51-K51</f>
        <v/>
      </c>
      <c r="M51" s="12">
        <f>ROUND(K51*EssentialMix,0)</f>
        <v/>
      </c>
      <c r="N51" s="12">
        <f>ROUND(K51*PremiumMix,0)</f>
        <v/>
      </c>
      <c r="O51" s="12">
        <f>K51-M51-N51</f>
        <v/>
      </c>
      <c r="P51" s="12">
        <f>ROUND(L51*EssentialMix,0)</f>
        <v/>
      </c>
      <c r="Q51" s="12">
        <f>ROUND(L51*PremiumMix,0)</f>
        <v/>
      </c>
      <c r="R51" s="12">
        <f>L51-P51-Q51</f>
        <v/>
      </c>
      <c r="S51" s="12">
        <f>M51+M50+M49+MAX(0,S50-M50-M49)*(1-F51)</f>
        <v/>
      </c>
      <c r="T51" s="12">
        <f>N51+N50+N49+MAX(0,T50-N50-N49)*(1-F51)</f>
        <v/>
      </c>
      <c r="U51" s="12">
        <f>O51+O50+O49+MAX(0,U50-O50-O49)*(1-F51)</f>
        <v/>
      </c>
      <c r="V51" s="12">
        <f>V50+P51-P39*('Sens - Scenarios'!$B$6*VLOOKUP(B51,ChurnSeasonTable,4,FALSE))*POWER(1-('Sens - Scenarios'!$B$6*VLOOKUP(B51,ChurnSeasonTable,4,FALSE)),0)+P27*('Sens - Scenarios'!$B$6*VLOOKUP(B51,ChurnSeasonTable,4,FALSE))*POWER(1-('Sens - Scenarios'!$B$6*VLOOKUP(B51,ChurnSeasonTable,4,FALSE)),1)+P15*('Sens - Scenarios'!$B$6*VLOOKUP(B51,ChurnSeasonTable,4,FALSE))*POWER(1-('Sens - Scenarios'!$B$6*VLOOKUP(B51,ChurnSeasonTable,4,FALSE)),2)</f>
        <v/>
      </c>
      <c r="W51" s="12">
        <f>W50+Q51-Q39*('Sens - Scenarios'!$B$6*VLOOKUP(B51,ChurnSeasonTable,4,FALSE))*POWER(1-('Sens - Scenarios'!$B$6*VLOOKUP(B51,ChurnSeasonTable,4,FALSE)),0)+Q27*('Sens - Scenarios'!$B$6*VLOOKUP(B51,ChurnSeasonTable,4,FALSE))*POWER(1-('Sens - Scenarios'!$B$6*VLOOKUP(B51,ChurnSeasonTable,4,FALSE)),1)+Q15*('Sens - Scenarios'!$B$6*VLOOKUP(B51,ChurnSeasonTable,4,FALSE))*POWER(1-('Sens - Scenarios'!$B$6*VLOOKUP(B51,ChurnSeasonTable,4,FALSE)),2)</f>
        <v/>
      </c>
      <c r="X51" s="12">
        <f>X50+R51-R39*('Sens - Scenarios'!$B$6*VLOOKUP(B51,ChurnSeasonTable,4,FALSE))*POWER(1-('Sens - Scenarios'!$B$6*VLOOKUP(B51,ChurnSeasonTable,4,FALSE)),0)+R27*('Sens - Scenarios'!$B$6*VLOOKUP(B51,ChurnSeasonTable,4,FALSE))*POWER(1-('Sens - Scenarios'!$B$6*VLOOKUP(B51,ChurnSeasonTable,4,FALSE)),1)+R15*('Sens - Scenarios'!$B$6*VLOOKUP(B51,ChurnSeasonTable,4,FALSE))*POWER(1-('Sens - Scenarios'!$B$6*VLOOKUP(B51,ChurnSeasonTable,4,FALSE)),2)</f>
        <v/>
      </c>
      <c r="Y51" s="12">
        <f>S51+T51+U51+V51+W51+X51</f>
        <v/>
      </c>
      <c r="Z51" s="9">
        <f>S51*BlendedPriceEssMonthly*E51+T51*BlendedPricePremMonthly*E51+U51*BlendedPriceEliteMonthly*E51+V51*BlendedPriceEssAnnual*E51/12+W51*BlendedPricePremAnnual*E51/12+X51*BlendedPriceEliteAnnual*E51/12</f>
        <v/>
      </c>
      <c r="AA51" s="9">
        <f>Z51*12</f>
        <v/>
      </c>
      <c r="AB51" s="12">
        <f>S51*BlendedPriceEssMonthly*E51+T51*BlendedPricePremMonthly*E51+U51*BlendedPriceEliteMonthly*E51</f>
        <v/>
      </c>
      <c r="AC51" s="12">
        <f>P51*BlendedPriceEssAnnual*E51+Q51*BlendedPricePremAnnual*E51+R51*BlendedPriceEliteAnnual*E51</f>
        <v/>
      </c>
      <c r="AD51" s="12">
        <f>P39*POWER(1-('Sens - Scenarios'!$B$6*VLOOKUP(B51,ChurnSeasonTable,4,FALSE)),1)*BlendedPriceEssAnnual*E51+P27*POWER(1-('Sens - Scenarios'!$B$6*VLOOKUP(B51,ChurnSeasonTable,4,FALSE)),2)*BlendedPriceEssAnnual*E51+P15*POWER(1-('Sens - Scenarios'!$B$6*VLOOKUP(B51,ChurnSeasonTable,4,FALSE)),3)*BlendedPriceEssAnnual*E51+Q39*POWER(1-('Sens - Scenarios'!$B$6*VLOOKUP(B51,ChurnSeasonTable,4,FALSE)),1)*BlendedPricePremAnnual*E51+Q27*POWER(1-('Sens - Scenarios'!$B$6*VLOOKUP(B51,ChurnSeasonTable,4,FALSE)),2)*BlendedPricePremAnnual*E51+Q15*POWER(1-('Sens - Scenarios'!$B$6*VLOOKUP(B51,ChurnSeasonTable,4,FALSE)),3)*BlendedPricePremAnnual*E51+R39*POWER(1-('Sens - Scenarios'!$B$6*VLOOKUP(B51,ChurnSeasonTable,4,FALSE)),1)*BlendedPriceEliteAnnual*E51+R27*POWER(1-('Sens - Scenarios'!$B$6*VLOOKUP(B51,ChurnSeasonTable,4,FALSE)),2)*BlendedPriceEliteAnnual*E51+R15*POWER(1-('Sens - Scenarios'!$B$6*VLOOKUP(B51,ChurnSeasonTable,4,FALSE)),3)*BlendedPriceEliteAnnual*E51</f>
        <v/>
      </c>
      <c r="AE51" s="9">
        <f>AB51+AC51+AD51</f>
        <v/>
      </c>
      <c r="AF51" s="12">
        <f>SUM(AE40:AE51)</f>
        <v/>
      </c>
      <c r="AG51" s="12">
        <f>OR(AG50,IF(VATAgentMode,SUM($AE40:$AE51)-SUM($AL40:$AL51)&gt;=VATThreshold,SUM($AE40:$AE51)&gt;=VATThreshold))</f>
        <v/>
      </c>
      <c r="AH51" s="9">
        <f>IF(AG51,IF(VATAgentMode,AE51-((AE51-AL51)-(AE51-AL51)/(1+VATRate)),AE51/(1+VATRate)),AE51)</f>
        <v/>
      </c>
      <c r="AI51" s="12">
        <f>AE51-AH51</f>
        <v/>
      </c>
      <c r="AJ51" s="12">
        <f>IF(AG51=0,0,IF(B51=1,SUMPRODUCT(--(($C$5:$C51=$C51-1)*($B$5:$B51&gt;=10)*($B$5:$B51&lt;=12)),$AI$5:$AI51),IF(B51=4,SUMPRODUCT(--(($C$5:$C51=$C51)*($B$5:$B51&gt;=1)*($B$5:$B51&lt;=3)),$AI$5:$AI51),IF(B51=7,SUMPRODUCT(--(($C$5:$C51=$C51)*($B$5:$B51&gt;=4)*($B$5:$B51&lt;=6)),$AI$5:$AI51),IF(B51=10,SUMPRODUCT(--(($C$5:$C51=$C51)*($B$5:$B51&gt;=7)*($B$5:$B51&lt;=9)),$AI$5:$AI51),0)))))</f>
        <v/>
      </c>
      <c r="AK51" s="12">
        <f>AK50+AI51-AJ51</f>
        <v/>
      </c>
      <c r="AL51" s="12">
        <f>IF(ProviderDelay&gt;=1,S50*BlendedProvPayEss+T50*BlendedProvPayPrem+U50*BlendedProvPayElite+V50*BlendedProvPayEss+W50*BlendedProvPayPrem+X50*BlendedProvPayElite,S51*BlendedProvPayEss+T51*BlendedProvPayPrem+U51*BlendedProvPayElite+V51*BlendedProvPayEss+W51*BlendedProvPayPrem+X51*BlendedProvPayElite)</f>
        <v/>
      </c>
      <c r="AM51" s="12">
        <f>AE51*PaymentFee</f>
        <v/>
      </c>
      <c r="AN51" s="12">
        <f>Y51*OpsAI</f>
        <v/>
      </c>
      <c r="AO51" s="12">
        <f>MonthlyFixed</f>
        <v/>
      </c>
      <c r="AP51" s="12">
        <f>I51*ReferralReward</f>
        <v/>
      </c>
      <c r="AQ51" s="12">
        <f>G51</f>
        <v/>
      </c>
      <c r="AR51" s="9">
        <f>AH51-AL51-AM51-AN51-AO51-AP51-AQ51</f>
        <v/>
      </c>
      <c r="AS51" s="9">
        <f>AS50+AE51-(AL51+AM51+AN51+AO51+AP51+AQ51+AJ51)</f>
        <v/>
      </c>
      <c r="AT51" s="12">
        <f>IF(Y51&gt;0,Z51/Y51,0)</f>
        <v/>
      </c>
      <c r="AU51" s="11">
        <f>IF(Y50&gt;0,MAX(0,(Y50+J51-Y51)/Y50),0)</f>
        <v/>
      </c>
      <c r="AW51" s="12" t="n">
        <v>47</v>
      </c>
      <c r="AX51" s="12">
        <f>MOD(AW51-1+LaunchMonth-1,12)+1</f>
        <v/>
      </c>
      <c r="AY51" s="12">
        <f>INT((AW51-1+LaunchMonth-1)/12)+1</f>
        <v/>
      </c>
      <c r="AZ51" s="12">
        <f>VLOOKUP(AX51,SeasonTable,2,FALSE)</f>
        <v/>
      </c>
      <c r="BA51" s="12">
        <f>(1+InflationRate)^INT((AW51-1)/12)</f>
        <v/>
      </c>
      <c r="BB51" s="11">
        <f>MonthlyChurn*VLOOKUP(AX51,ChurnSeasonTable,4,FALSE)</f>
        <v/>
      </c>
      <c r="BC51" s="12">
        <f>MIN(MAX(MktMin19plus,CA50*MktPct19plus),MAX(0,CO50-CashBuffer))</f>
        <v/>
      </c>
      <c r="BD51" s="12">
        <f>IF(BC51&gt;0,MAX(1,ROUND(BC51/CAC*AZ51,0)),0)</f>
        <v/>
      </c>
      <c r="BE51" s="12">
        <f>IF(BD51&gt;0,ROUND(BD51*ReferralMix/(1-ReferralMix),0),0)</f>
        <v/>
      </c>
      <c r="BF51" s="12">
        <f>BD51+BE51</f>
        <v/>
      </c>
      <c r="BG51" s="12">
        <f>ROUND(BF51*(1-AnnualMix),0)</f>
        <v/>
      </c>
      <c r="BH51" s="12">
        <f>BF51-BG51</f>
        <v/>
      </c>
      <c r="BI51" s="12">
        <f>ROUND(BG51*EssentialMix,0)</f>
        <v/>
      </c>
      <c r="BJ51" s="12">
        <f>ROUND(BG51*PremiumMix,0)</f>
        <v/>
      </c>
      <c r="BK51" s="12">
        <f>BG51-BI51-BJ51</f>
        <v/>
      </c>
      <c r="BL51" s="12">
        <f>ROUND(BH51*EssentialMix,0)</f>
        <v/>
      </c>
      <c r="BM51" s="12">
        <f>ROUND(BH51*PremiumMix,0)</f>
        <v/>
      </c>
      <c r="BN51" s="12">
        <f>BH51-BL51-BM51</f>
        <v/>
      </c>
      <c r="BO51" s="12">
        <f>BI51+BI50+BI49+MAX(0,BO50-BI50-BI49)*(1-BB51)</f>
        <v/>
      </c>
      <c r="BP51" s="12">
        <f>BJ51+BJ50+BJ49+MAX(0,BP50-BJ50-BJ49)*(1-BB51)</f>
        <v/>
      </c>
      <c r="BQ51" s="12">
        <f>BK51+BK50+BK49+MAX(0,BQ50-BK50-BK49)*(1-BB51)</f>
        <v/>
      </c>
      <c r="BR51" s="12">
        <f>BR50+BL51-BL39*(AnnualChurn*VLOOKUP(AX51,ChurnSeasonTable,4,FALSE))*POWER(1-(AnnualChurn*VLOOKUP(AX51,ChurnSeasonTable,4,FALSE)),0)+BL27*(AnnualChurn*VLOOKUP(AX51,ChurnSeasonTable,4,FALSE))*POWER(1-(AnnualChurn*VLOOKUP(AX51,ChurnSeasonTable,4,FALSE)),1)+BL15*(AnnualChurn*VLOOKUP(AX51,ChurnSeasonTable,4,FALSE))*POWER(1-(AnnualChurn*VLOOKUP(AX51,ChurnSeasonTable,4,FALSE)),2)</f>
        <v/>
      </c>
      <c r="BS51" s="12">
        <f>BS50+BM51-BM39*(AnnualChurn*VLOOKUP(AX51,ChurnSeasonTable,4,FALSE))*POWER(1-(AnnualChurn*VLOOKUP(AX51,ChurnSeasonTable,4,FALSE)),0)+BM27*(AnnualChurn*VLOOKUP(AX51,ChurnSeasonTable,4,FALSE))*POWER(1-(AnnualChurn*VLOOKUP(AX51,ChurnSeasonTable,4,FALSE)),1)+BM15*(AnnualChurn*VLOOKUP(AX51,ChurnSeasonTable,4,FALSE))*POWER(1-(AnnualChurn*VLOOKUP(AX51,ChurnSeasonTable,4,FALSE)),2)</f>
        <v/>
      </c>
      <c r="BT51" s="12">
        <f>BT50+BN51-BN39*(AnnualChurn*VLOOKUP(AX51,ChurnSeasonTable,4,FALSE))*POWER(1-(AnnualChurn*VLOOKUP(AX51,ChurnSeasonTable,4,FALSE)),0)+BN27*(AnnualChurn*VLOOKUP(AX51,ChurnSeasonTable,4,FALSE))*POWER(1-(AnnualChurn*VLOOKUP(AX51,ChurnSeasonTable,4,FALSE)),1)+BN15*(AnnualChurn*VLOOKUP(AX51,ChurnSeasonTable,4,FALSE))*POWER(1-(AnnualChurn*VLOOKUP(AX51,ChurnSeasonTable,4,FALSE)),2)</f>
        <v/>
      </c>
      <c r="BU51" s="12">
        <f>BO51+BP51+BQ51+BR51+BS51+BT51</f>
        <v/>
      </c>
      <c r="BV51" s="9">
        <f>BO51*BlendedPriceEssMonthly*BA51+BP51*BlendedPricePremMonthly*BA51+BQ51*BlendedPriceEliteMonthly*BA51+BR51*BlendedPriceEssAnnual*BA51/12+BS51*BlendedPricePremAnnual*BA51/12+BT51*BlendedPriceEliteAnnual*BA51/12</f>
        <v/>
      </c>
      <c r="BW51" s="9">
        <f>BV51*12</f>
        <v/>
      </c>
      <c r="BX51" s="12">
        <f>BO51*BlendedPriceEssMonthly*BA51+BP51*BlendedPricePremMonthly*BA51+BQ51*BlendedPriceEliteMonthly*BA51</f>
        <v/>
      </c>
      <c r="BY51" s="12">
        <f>BL51*BlendedPriceEssAnnual*BA51+BM51*BlendedPricePremAnnual*BA51+BN51*BlendedPriceEliteAnnual*BA51</f>
        <v/>
      </c>
      <c r="BZ51" s="12">
        <f>BL39*POWER(1-(AnnualChurn*VLOOKUP(AX51,ChurnSeasonTable,4,FALSE)),1)*BlendedPriceEssAnnual*BA51+BL27*POWER(1-(AnnualChurn*VLOOKUP(AX51,ChurnSeasonTable,4,FALSE)),2)*BlendedPriceEssAnnual*BA51+BL15*POWER(1-(AnnualChurn*VLOOKUP(AX51,ChurnSeasonTable,4,FALSE)),3)*BlendedPriceEssAnnual*BA51+BM39*POWER(1-(AnnualChurn*VLOOKUP(AX51,ChurnSeasonTable,4,FALSE)),1)*BlendedPricePremAnnual*BA51+BM27*POWER(1-(AnnualChurn*VLOOKUP(AX51,ChurnSeasonTable,4,FALSE)),2)*BlendedPricePremAnnual*BA51+BM15*POWER(1-(AnnualChurn*VLOOKUP(AX51,ChurnSeasonTable,4,FALSE)),3)*BlendedPricePremAnnual*BA51+BN39*POWER(1-(AnnualChurn*VLOOKUP(AX51,ChurnSeasonTable,4,FALSE)),1)*BlendedPriceEliteAnnual*BA51+BN27*POWER(1-(AnnualChurn*VLOOKUP(AX51,ChurnSeasonTable,4,FALSE)),2)*BlendedPriceEliteAnnual*BA51+BN15*POWER(1-(AnnualChurn*VLOOKUP(AX51,ChurnSeasonTable,4,FALSE)),3)*BlendedPriceEliteAnnual*BA51</f>
        <v/>
      </c>
      <c r="CA51" s="9">
        <f>BX51+BY51+BZ51</f>
        <v/>
      </c>
      <c r="CB51" s="12">
        <f>SUM(CA40:CA51)</f>
        <v/>
      </c>
      <c r="CC51" s="12">
        <f>OR(CC50,IF(VATAgentMode,SUM($CA40:$CA51)-SUM($CH40:$CH51)&gt;=VATThreshold,SUM($CA40:$CA51)&gt;=VATThreshold))</f>
        <v/>
      </c>
      <c r="CD51" s="9">
        <f>IF(CC51,IF(VATAgentMode,CA51-((CA51-CH51)-(CA51-CH51)/(1+VATRate)),CA51/(1+VATRate)),CA51)</f>
        <v/>
      </c>
      <c r="CE51" s="12">
        <f>CA51-CD51</f>
        <v/>
      </c>
      <c r="CF51" s="12">
        <f>IF(CC51=0,0,IF(AX51=1,SUMPRODUCT(--(($AY$5:$AY51=$AY51-1)*($AX$5:$AX51&gt;=10)*($AX$5:$AX51&lt;=12)),$CE$5:$CE51),IF(AX51=4,SUMPRODUCT(--(($AY$5:$AY51=$AY51)*($AX$5:$AX51&gt;=1)*($AX$5:$AX51&lt;=3)),$CE$5:$CE51),IF(AX51=7,SUMPRODUCT(--(($AY$5:$AY51=$AY51)*($AX$5:$AX51&gt;=4)*($AX$5:$AX51&lt;=6)),$CE$5:$CE51),IF(AX51=10,SUMPRODUCT(--(($AY$5:$AY51=$AY51)*($AX$5:$AX51&gt;=7)*($AX$5:$AX51&lt;=9)),$CE$5:$CE51),0)))))</f>
        <v/>
      </c>
      <c r="CG51" s="12">
        <f>CG50+CE51-CF51</f>
        <v/>
      </c>
      <c r="CH51" s="12">
        <f>IF(ProviderDelay&gt;=1,BO50*BlendedProvPayEss+BP50*BlendedProvPayPrem+BQ50*BlendedProvPayElite+BR50*BlendedProvPayEss+BS50*BlendedProvPayPrem+BT50*BlendedProvPayElite,BO51*BlendedProvPayEss+BP51*BlendedProvPayPrem+BQ51*BlendedProvPayElite+BR51*BlendedProvPayEss+BS51*BlendedProvPayPrem+BT51*BlendedProvPayElite)</f>
        <v/>
      </c>
      <c r="CI51" s="12">
        <f>CA51*PaymentFee</f>
        <v/>
      </c>
      <c r="CJ51" s="12">
        <f>BU51*OpsAI</f>
        <v/>
      </c>
      <c r="CK51" s="12">
        <f>MonthlyFixed</f>
        <v/>
      </c>
      <c r="CL51" s="12">
        <f>BE51*ReferralReward</f>
        <v/>
      </c>
      <c r="CM51" s="12">
        <f>BC51</f>
        <v/>
      </c>
      <c r="CN51" s="9">
        <f>CD51-CH51-CI51-CJ51-CK51-CL51-CM51</f>
        <v/>
      </c>
      <c r="CO51" s="9">
        <f>CO50+CA51-(CH51+CI51+CJ51+CK51+CL51+CM51+CF51)</f>
        <v/>
      </c>
      <c r="CP51" s="12">
        <f>IF(BU51&gt;0,BV51/BU51,0)</f>
        <v/>
      </c>
      <c r="CQ51" s="11">
        <f>IF(BU50&gt;0,MAX(0,(BU50+BF51-BU51)/BU50),0)</f>
        <v/>
      </c>
      <c r="CS51" s="12" t="n">
        <v>47</v>
      </c>
      <c r="CT51" s="12">
        <f>MOD(CS51-1+LaunchMonth-1,12)+1</f>
        <v/>
      </c>
      <c r="CU51" s="12">
        <f>INT((CS51-1+LaunchMonth-1)/12)+1</f>
        <v/>
      </c>
      <c r="CV51" s="12">
        <f>VLOOKUP(CT51,SeasonTable,2,FALSE)</f>
        <v/>
      </c>
      <c r="CW51" s="12">
        <f>(1+InflationRate)^INT((CS51-1)/12)</f>
        <v/>
      </c>
      <c r="CX51" s="11">
        <f>'Sens - Scenarios'!$D$5*VLOOKUP(CT51,ChurnSeasonTable,4,FALSE)</f>
        <v/>
      </c>
      <c r="CY51" s="12">
        <f>MIN(MAX(MktMin19plus,DW50*MktPct19plus),MAX(0,EK50-CashBuffer))</f>
        <v/>
      </c>
      <c r="CZ51" s="12">
        <f>IF(CY51&gt;0,MAX(1,ROUND(CY51/'Sens - Scenarios'!$D$8*CV51,0)),0)</f>
        <v/>
      </c>
      <c r="DA51" s="12">
        <f>IF(CZ51&gt;0,ROUND(CZ51*ReferralMix/(1-ReferralMix),0),0)</f>
        <v/>
      </c>
      <c r="DB51" s="12">
        <f>CZ51+DA51</f>
        <v/>
      </c>
      <c r="DC51" s="12">
        <f>ROUND(DB51*(1-'Sens - Scenarios'!$D$7),0)</f>
        <v/>
      </c>
      <c r="DD51" s="12">
        <f>DB51-DC51</f>
        <v/>
      </c>
      <c r="DE51" s="12">
        <f>ROUND(DC51*EssentialMix,0)</f>
        <v/>
      </c>
      <c r="DF51" s="12">
        <f>ROUND(DC51*PremiumMix,0)</f>
        <v/>
      </c>
      <c r="DG51" s="12">
        <f>DC51-DE51-DF51</f>
        <v/>
      </c>
      <c r="DH51" s="12">
        <f>ROUND(DD51*EssentialMix,0)</f>
        <v/>
      </c>
      <c r="DI51" s="12">
        <f>ROUND(DD51*PremiumMix,0)</f>
        <v/>
      </c>
      <c r="DJ51" s="12">
        <f>DD51-DH51-DI51</f>
        <v/>
      </c>
      <c r="DK51" s="12">
        <f>DE51+DE50+DE49+MAX(0,DK50-DE50-DE49)*(1-CX51)</f>
        <v/>
      </c>
      <c r="DL51" s="12">
        <f>DF51+DF50+DF49+MAX(0,DL50-DF50-DF49)*(1-CX51)</f>
        <v/>
      </c>
      <c r="DM51" s="12">
        <f>DG51+DG50+DG49+MAX(0,DM50-DG50-DG49)*(1-CX51)</f>
        <v/>
      </c>
      <c r="DN51" s="12">
        <f>DN50+DH51-DH39*('Sens - Scenarios'!$D$6*VLOOKUP(CT51,ChurnSeasonTable,4,FALSE))*POWER(1-('Sens - Scenarios'!$D$6*VLOOKUP(CT51,ChurnSeasonTable,4,FALSE)),0)+DH27*('Sens - Scenarios'!$D$6*VLOOKUP(CT51,ChurnSeasonTable,4,FALSE))*POWER(1-('Sens - Scenarios'!$D$6*VLOOKUP(CT51,ChurnSeasonTable,4,FALSE)),1)+DH15*('Sens - Scenarios'!$D$6*VLOOKUP(CT51,ChurnSeasonTable,4,FALSE))*POWER(1-('Sens - Scenarios'!$D$6*VLOOKUP(CT51,ChurnSeasonTable,4,FALSE)),2)</f>
        <v/>
      </c>
      <c r="DO51" s="12">
        <f>DO50+DI51-DI39*('Sens - Scenarios'!$D$6*VLOOKUP(CT51,ChurnSeasonTable,4,FALSE))*POWER(1-('Sens - Scenarios'!$D$6*VLOOKUP(CT51,ChurnSeasonTable,4,FALSE)),0)+DI27*('Sens - Scenarios'!$D$6*VLOOKUP(CT51,ChurnSeasonTable,4,FALSE))*POWER(1-('Sens - Scenarios'!$D$6*VLOOKUP(CT51,ChurnSeasonTable,4,FALSE)),1)+DI15*('Sens - Scenarios'!$D$6*VLOOKUP(CT51,ChurnSeasonTable,4,FALSE))*POWER(1-('Sens - Scenarios'!$D$6*VLOOKUP(CT51,ChurnSeasonTable,4,FALSE)),2)</f>
        <v/>
      </c>
      <c r="DP51" s="12">
        <f>DP50+DJ51-DJ39*('Sens - Scenarios'!$D$6*VLOOKUP(CT51,ChurnSeasonTable,4,FALSE))*POWER(1-('Sens - Scenarios'!$D$6*VLOOKUP(CT51,ChurnSeasonTable,4,FALSE)),0)+DJ27*('Sens - Scenarios'!$D$6*VLOOKUP(CT51,ChurnSeasonTable,4,FALSE))*POWER(1-('Sens - Scenarios'!$D$6*VLOOKUP(CT51,ChurnSeasonTable,4,FALSE)),1)+DJ15*('Sens - Scenarios'!$D$6*VLOOKUP(CT51,ChurnSeasonTable,4,FALSE))*POWER(1-('Sens - Scenarios'!$D$6*VLOOKUP(CT51,ChurnSeasonTable,4,FALSE)),2)</f>
        <v/>
      </c>
      <c r="DQ51" s="12">
        <f>DK51+DL51+DM51+DN51+DO51+DP51</f>
        <v/>
      </c>
      <c r="DR51" s="9">
        <f>DK51*BlendedPriceEssMonthly*CW51+DL51*BlendedPricePremMonthly*CW51+DM51*BlendedPriceEliteMonthly*CW51+DN51*BlendedPriceEssAnnual*CW51/12+DO51*BlendedPricePremAnnual*CW51/12+DP51*BlendedPriceEliteAnnual*CW51/12</f>
        <v/>
      </c>
      <c r="DS51" s="9">
        <f>DR51*12</f>
        <v/>
      </c>
      <c r="DT51" s="12">
        <f>DK51*BlendedPriceEssMonthly*CW51+DL51*BlendedPricePremMonthly*CW51+DM51*BlendedPriceEliteMonthly*CW51</f>
        <v/>
      </c>
      <c r="DU51" s="12">
        <f>DH51*BlendedPriceEssAnnual*CW51+DI51*BlendedPricePremAnnual*CW51+DJ51*BlendedPriceEliteAnnual*CW51</f>
        <v/>
      </c>
      <c r="DV51" s="12">
        <f>DH39*POWER(1-('Sens - Scenarios'!$D$6*VLOOKUP(CT51,ChurnSeasonTable,4,FALSE)),1)*BlendedPriceEssAnnual*CW51+DH27*POWER(1-('Sens - Scenarios'!$D$6*VLOOKUP(CT51,ChurnSeasonTable,4,FALSE)),2)*BlendedPriceEssAnnual*CW51+DH15*POWER(1-('Sens - Scenarios'!$D$6*VLOOKUP(CT51,ChurnSeasonTable,4,FALSE)),3)*BlendedPriceEssAnnual*CW51+DI39*POWER(1-('Sens - Scenarios'!$D$6*VLOOKUP(CT51,ChurnSeasonTable,4,FALSE)),1)*BlendedPricePremAnnual*CW51+DI27*POWER(1-('Sens - Scenarios'!$D$6*VLOOKUP(CT51,ChurnSeasonTable,4,FALSE)),2)*BlendedPricePremAnnual*CW51+DI15*POWER(1-('Sens - Scenarios'!$D$6*VLOOKUP(CT51,ChurnSeasonTable,4,FALSE)),3)*BlendedPricePremAnnual*CW51+DJ39*POWER(1-('Sens - Scenarios'!$D$6*VLOOKUP(CT51,ChurnSeasonTable,4,FALSE)),1)*BlendedPriceEliteAnnual*CW51+DJ27*POWER(1-('Sens - Scenarios'!$D$6*VLOOKUP(CT51,ChurnSeasonTable,4,FALSE)),2)*BlendedPriceEliteAnnual*CW51+DJ15*POWER(1-('Sens - Scenarios'!$D$6*VLOOKUP(CT51,ChurnSeasonTable,4,FALSE)),3)*BlendedPriceEliteAnnual*CW51</f>
        <v/>
      </c>
      <c r="DW51" s="9">
        <f>DT51+DU51+DV51</f>
        <v/>
      </c>
      <c r="DX51" s="12">
        <f>SUM(DW40:DW51)</f>
        <v/>
      </c>
      <c r="DY51" s="12">
        <f>OR(DY50,IF(VATAgentMode,SUM($DW40:$DW51)-SUM($ED40:$ED51)&gt;=VATThreshold,SUM($DW40:$DW51)&gt;=VATThreshold))</f>
        <v/>
      </c>
      <c r="DZ51" s="9">
        <f>IF(DY51,IF(VATAgentMode,DW51-((DW51-ED51)-(DW51-ED51)/(1+VATRate)),DW51/(1+VATRate)),DW51)</f>
        <v/>
      </c>
      <c r="EA51" s="12">
        <f>DW51-DZ51</f>
        <v/>
      </c>
      <c r="EB51" s="12">
        <f>IF(DY51=0,0,IF(CT51=1,SUMPRODUCT(--(($CU$5:$CU51=$CU51-1)*($CT$5:$CT51&gt;=10)*($CT$5:$CT51&lt;=12)),$EA$5:$EA51),IF(CT51=4,SUMPRODUCT(--(($CU$5:$CU51=$CU51)*($CT$5:$CT51&gt;=1)*($CT$5:$CT51&lt;=3)),$EA$5:$EA51),IF(CT51=7,SUMPRODUCT(--(($CU$5:$CU51=$CU51)*($CT$5:$CT51&gt;=4)*($CT$5:$CT51&lt;=6)),$EA$5:$EA51),IF(CT51=10,SUMPRODUCT(--(($CU$5:$CU51=$CU51)*($CT$5:$CT51&gt;=7)*($CT$5:$CT51&lt;=9)),$EA$5:$EA51),0)))))</f>
        <v/>
      </c>
      <c r="EC51" s="12">
        <f>EC50+EA51-EB51</f>
        <v/>
      </c>
      <c r="ED51" s="12">
        <f>IF(ProviderDelay&gt;=1,DK50*BlendedProvPayEss+DL50*BlendedProvPayPrem+DM50*BlendedProvPayElite+DN50*BlendedProvPayEss+DO50*BlendedProvPayPrem+DP50*BlendedProvPayElite,DK51*BlendedProvPayEss+DL51*BlendedProvPayPrem+DM51*BlendedProvPayElite+DN51*BlendedProvPayEss+DO51*BlendedProvPayPrem+DP51*BlendedProvPayElite)</f>
        <v/>
      </c>
      <c r="EE51" s="12">
        <f>DW51*PaymentFee</f>
        <v/>
      </c>
      <c r="EF51" s="12">
        <f>DQ51*OpsAI</f>
        <v/>
      </c>
      <c r="EG51" s="12">
        <f>MonthlyFixed</f>
        <v/>
      </c>
      <c r="EH51" s="12">
        <f>DA51*ReferralReward</f>
        <v/>
      </c>
      <c r="EI51" s="12">
        <f>CY51</f>
        <v/>
      </c>
      <c r="EJ51" s="9">
        <f>DZ51-ED51-EE51-EF51-EG51-EH51-EI51</f>
        <v/>
      </c>
      <c r="EK51" s="9">
        <f>EK50+DW51-(ED51+EE51+EF51+EG51+EH51+EI51+EB51)</f>
        <v/>
      </c>
      <c r="EL51" s="12">
        <f>IF(DQ51&gt;0,DR51/DQ51,0)</f>
        <v/>
      </c>
      <c r="EM51" s="11">
        <f>IF(DQ50&gt;0,MAX(0,(DQ50+DB51-DQ51)/DQ50),0)</f>
        <v/>
      </c>
      <c r="EO51" s="12" t="n">
        <v>47</v>
      </c>
      <c r="EP51" s="12">
        <f>MOD(EO51-1+LaunchMonth-1,12)+1</f>
        <v/>
      </c>
      <c r="EQ51" s="12">
        <f>INT((EO51-1+LaunchMonth-1)/12)+1</f>
        <v/>
      </c>
      <c r="ER51" s="12">
        <f>VLOOKUP(EP51,SeasonTable,2,FALSE)</f>
        <v/>
      </c>
      <c r="ES51" s="12">
        <f>(1+InflationRate)^INT((EO51-1)/12)</f>
        <v/>
      </c>
      <c r="ET51" s="11">
        <f>'Sens - Churn'!$A$13*VLOOKUP(EP51,ChurnSeasonTable,4,FALSE)</f>
        <v/>
      </c>
      <c r="EU51" s="12">
        <f>MIN(MAX(MktMin19plus,FS50*MktPct19plus),MAX(0,GG50-CashBuffer))</f>
        <v/>
      </c>
      <c r="EV51" s="12">
        <f>IF(EU51&gt;0,MAX(1,ROUND(EU51/CAC*ER51,0)),0)</f>
        <v/>
      </c>
      <c r="EW51" s="12">
        <f>IF(EV51&gt;0,ROUND(EV51*ReferralMix/(1-ReferralMix),0),0)</f>
        <v/>
      </c>
      <c r="EX51" s="12">
        <f>EV51+EW51</f>
        <v/>
      </c>
      <c r="EY51" s="12">
        <f>ROUND(EX51*(1-AnnualMix),0)</f>
        <v/>
      </c>
      <c r="EZ51" s="12">
        <f>EX51-EY51</f>
        <v/>
      </c>
      <c r="FA51" s="12">
        <f>ROUND(EY51*EssentialMix,0)</f>
        <v/>
      </c>
      <c r="FB51" s="12">
        <f>ROUND(EY51*PremiumMix,0)</f>
        <v/>
      </c>
      <c r="FC51" s="12">
        <f>EY51-FA51-FB51</f>
        <v/>
      </c>
      <c r="FD51" s="12">
        <f>ROUND(EZ51*EssentialMix,0)</f>
        <v/>
      </c>
      <c r="FE51" s="12">
        <f>ROUND(EZ51*PremiumMix,0)</f>
        <v/>
      </c>
      <c r="FF51" s="12">
        <f>EZ51-FD51-FE51</f>
        <v/>
      </c>
      <c r="FG51" s="12">
        <f>FA51+FA50+FA49+MAX(0,FG50-FA50-FA49)*(1-ET51)</f>
        <v/>
      </c>
      <c r="FH51" s="12">
        <f>FB51+FB50+FB49+MAX(0,FH50-FB50-FB49)*(1-ET51)</f>
        <v/>
      </c>
      <c r="FI51" s="12">
        <f>FC51+FC50+FC49+MAX(0,FI50-FC50-FC49)*(1-ET51)</f>
        <v/>
      </c>
      <c r="FJ51" s="12">
        <f>FJ50+FD51-FD39*(AnnualChurn*VLOOKUP(EP51,ChurnSeasonTable,4,FALSE))*POWER(1-(AnnualChurn*VLOOKUP(EP51,ChurnSeasonTable,4,FALSE)),0)+FD27*(AnnualChurn*VLOOKUP(EP51,ChurnSeasonTable,4,FALSE))*POWER(1-(AnnualChurn*VLOOKUP(EP51,ChurnSeasonTable,4,FALSE)),1)+FD15*(AnnualChurn*VLOOKUP(EP51,ChurnSeasonTable,4,FALSE))*POWER(1-(AnnualChurn*VLOOKUP(EP51,ChurnSeasonTable,4,FALSE)),2)</f>
        <v/>
      </c>
      <c r="FK51" s="12">
        <f>FK50+FE51-FE39*(AnnualChurn*VLOOKUP(EP51,ChurnSeasonTable,4,FALSE))*POWER(1-(AnnualChurn*VLOOKUP(EP51,ChurnSeasonTable,4,FALSE)),0)+FE27*(AnnualChurn*VLOOKUP(EP51,ChurnSeasonTable,4,FALSE))*POWER(1-(AnnualChurn*VLOOKUP(EP51,ChurnSeasonTable,4,FALSE)),1)+FE15*(AnnualChurn*VLOOKUP(EP51,ChurnSeasonTable,4,FALSE))*POWER(1-(AnnualChurn*VLOOKUP(EP51,ChurnSeasonTable,4,FALSE)),2)</f>
        <v/>
      </c>
      <c r="FL51" s="12">
        <f>FL50+FF51-FF39*(AnnualChurn*VLOOKUP(EP51,ChurnSeasonTable,4,FALSE))*POWER(1-(AnnualChurn*VLOOKUP(EP51,ChurnSeasonTable,4,FALSE)),0)+FF27*(AnnualChurn*VLOOKUP(EP51,ChurnSeasonTable,4,FALSE))*POWER(1-(AnnualChurn*VLOOKUP(EP51,ChurnSeasonTable,4,FALSE)),1)+FF15*(AnnualChurn*VLOOKUP(EP51,ChurnSeasonTable,4,FALSE))*POWER(1-(AnnualChurn*VLOOKUP(EP51,ChurnSeasonTable,4,FALSE)),2)</f>
        <v/>
      </c>
      <c r="FM51" s="12">
        <f>FG51+FH51+FI51+FJ51+FK51+FL51</f>
        <v/>
      </c>
      <c r="FN51" s="9">
        <f>FG51*BlendedPriceEssMonthly*ES51+FH51*BlendedPricePremMonthly*ES51+FI51*BlendedPriceEliteMonthly*ES51+FJ51*BlendedPriceEssAnnual*ES51/12+FK51*BlendedPricePremAnnual*ES51/12+FL51*BlendedPriceEliteAnnual*ES51/12</f>
        <v/>
      </c>
      <c r="FO51" s="9">
        <f>FN51*12</f>
        <v/>
      </c>
      <c r="FP51" s="12">
        <f>FG51*BlendedPriceEssMonthly*ES51+FH51*BlendedPricePremMonthly*ES51+FI51*BlendedPriceEliteMonthly*ES51</f>
        <v/>
      </c>
      <c r="FQ51" s="12">
        <f>FD51*BlendedPriceEssAnnual*ES51+FE51*BlendedPricePremAnnual*ES51+FF51*BlendedPriceEliteAnnual*ES51</f>
        <v/>
      </c>
      <c r="FR51" s="12">
        <f>FD39*POWER(1-(AnnualChurn*VLOOKUP(EP51,ChurnSeasonTable,4,FALSE)),1)*BlendedPriceEssAnnual*ES51+FD27*POWER(1-(AnnualChurn*VLOOKUP(EP51,ChurnSeasonTable,4,FALSE)),2)*BlendedPriceEssAnnual*ES51+FD15*POWER(1-(AnnualChurn*VLOOKUP(EP51,ChurnSeasonTable,4,FALSE)),3)*BlendedPriceEssAnnual*ES51+FE39*POWER(1-(AnnualChurn*VLOOKUP(EP51,ChurnSeasonTable,4,FALSE)),1)*BlendedPricePremAnnual*ES51+FE27*POWER(1-(AnnualChurn*VLOOKUP(EP51,ChurnSeasonTable,4,FALSE)),2)*BlendedPricePremAnnual*ES51+FE15*POWER(1-(AnnualChurn*VLOOKUP(EP51,ChurnSeasonTable,4,FALSE)),3)*BlendedPricePremAnnual*ES51+FF39*POWER(1-(AnnualChurn*VLOOKUP(EP51,ChurnSeasonTable,4,FALSE)),1)*BlendedPriceEliteAnnual*ES51+FF27*POWER(1-(AnnualChurn*VLOOKUP(EP51,ChurnSeasonTable,4,FALSE)),2)*BlendedPriceEliteAnnual*ES51+FF15*POWER(1-(AnnualChurn*VLOOKUP(EP51,ChurnSeasonTable,4,FALSE)),3)*BlendedPriceEliteAnnual*ES51</f>
        <v/>
      </c>
      <c r="FS51" s="9">
        <f>FP51+FQ51+FR51</f>
        <v/>
      </c>
      <c r="FT51" s="12">
        <f>SUM(FS40:FS51)</f>
        <v/>
      </c>
      <c r="FU51" s="12">
        <f>OR(FU50,IF(VATAgentMode,SUM($FS40:$FS51)-SUM($FZ40:$FZ51)&gt;=VATThreshold,SUM($FS40:$FS51)&gt;=VATThreshold))</f>
        <v/>
      </c>
      <c r="FV51" s="9">
        <f>IF(FU51,IF(VATAgentMode,FS51-((FS51-FZ51)-(FS51-FZ51)/(1+VATRate)),FS51/(1+VATRate)),FS51)</f>
        <v/>
      </c>
      <c r="FW51" s="12">
        <f>FS51-FV51</f>
        <v/>
      </c>
      <c r="FX51" s="12">
        <f>IF(FU51=0,0,IF(EP51=1,SUMPRODUCT(--(($EQ$5:$EQ51=$EQ51-1)*($EP$5:$EP51&gt;=10)*($EP$5:$EP51&lt;=12)),$FW$5:$FW51),IF(EP51=4,SUMPRODUCT(--(($EQ$5:$EQ51=$EQ51)*($EP$5:$EP51&gt;=1)*($EP$5:$EP51&lt;=3)),$FW$5:$FW51),IF(EP51=7,SUMPRODUCT(--(($EQ$5:$EQ51=$EQ51)*($EP$5:$EP51&gt;=4)*($EP$5:$EP51&lt;=6)),$FW$5:$FW51),IF(EP51=10,SUMPRODUCT(--(($EQ$5:$EQ51=$EQ51)*($EP$5:$EP51&gt;=7)*($EP$5:$EP51&lt;=9)),$FW$5:$FW51),0)))))</f>
        <v/>
      </c>
      <c r="FY51" s="12">
        <f>FY50+FW51-FX51</f>
        <v/>
      </c>
      <c r="FZ51" s="12">
        <f>IF(ProviderDelay&gt;=1,FG50*BlendedProvPayEss+FH50*BlendedProvPayPrem+FI50*BlendedProvPayElite+FJ50*BlendedProvPayEss+FK50*BlendedProvPayPrem+FL50*BlendedProvPayElite,FG51*BlendedProvPayEss+FH51*BlendedProvPayPrem+FI51*BlendedProvPayElite+FJ51*BlendedProvPayEss+FK51*BlendedProvPayPrem+FL51*BlendedProvPayElite)</f>
        <v/>
      </c>
      <c r="GA51" s="12">
        <f>FS51*PaymentFee</f>
        <v/>
      </c>
      <c r="GB51" s="12">
        <f>FM51*OpsAI</f>
        <v/>
      </c>
      <c r="GC51" s="12">
        <f>MonthlyFixed</f>
        <v/>
      </c>
      <c r="GD51" s="12">
        <f>EW51*ReferralReward</f>
        <v/>
      </c>
      <c r="GE51" s="12">
        <f>EU51</f>
        <v/>
      </c>
      <c r="GF51" s="9">
        <f>FV51-FZ51-GA51-GB51-GC51-GD51-GE51</f>
        <v/>
      </c>
      <c r="GG51" s="9">
        <f>GG50+FS51-(FZ51+GA51+GB51+GC51+GD51+GE51+FX51)</f>
        <v/>
      </c>
      <c r="GH51" s="12">
        <f>IF(FM51&gt;0,FN51/FM51,0)</f>
        <v/>
      </c>
      <c r="GI51" s="11">
        <f>IF(FM50&gt;0,MAX(0,(FM50+EX51-FM51)/FM50),0)</f>
        <v/>
      </c>
      <c r="GK51" s="12" t="n">
        <v>47</v>
      </c>
      <c r="GL51" s="12">
        <f>MOD(GK51-1+LaunchMonth-1,12)+1</f>
        <v/>
      </c>
      <c r="GM51" s="12">
        <f>INT((GK51-1+LaunchMonth-1)/12)+1</f>
        <v/>
      </c>
      <c r="GN51" s="12">
        <f>VLOOKUP(GL51,SeasonTable,2,FALSE)</f>
        <v/>
      </c>
      <c r="GO51" s="12">
        <f>(1+InflationRate)^INT((GK51-1)/12)</f>
        <v/>
      </c>
      <c r="GP51" s="11">
        <f>'Sens - Churn'!$A$14*VLOOKUP(GL51,ChurnSeasonTable,4,FALSE)</f>
        <v/>
      </c>
      <c r="GQ51" s="12">
        <f>MIN(MAX(MktMin19plus,HO50*MktPct19plus),MAX(0,IC50-CashBuffer))</f>
        <v/>
      </c>
      <c r="GR51" s="12">
        <f>IF(GQ51&gt;0,MAX(1,ROUND(GQ51/CAC*GN51,0)),0)</f>
        <v/>
      </c>
      <c r="GS51" s="12">
        <f>IF(GR51&gt;0,ROUND(GR51*ReferralMix/(1-ReferralMix),0),0)</f>
        <v/>
      </c>
      <c r="GT51" s="12">
        <f>GR51+GS51</f>
        <v/>
      </c>
      <c r="GU51" s="12">
        <f>ROUND(GT51*(1-AnnualMix),0)</f>
        <v/>
      </c>
      <c r="GV51" s="12">
        <f>GT51-GU51</f>
        <v/>
      </c>
      <c r="GW51" s="12">
        <f>ROUND(GU51*EssentialMix,0)</f>
        <v/>
      </c>
      <c r="GX51" s="12">
        <f>ROUND(GU51*PremiumMix,0)</f>
        <v/>
      </c>
      <c r="GY51" s="12">
        <f>GU51-GW51-GX51</f>
        <v/>
      </c>
      <c r="GZ51" s="12">
        <f>ROUND(GV51*EssentialMix,0)</f>
        <v/>
      </c>
      <c r="HA51" s="12">
        <f>ROUND(GV51*PremiumMix,0)</f>
        <v/>
      </c>
      <c r="HB51" s="12">
        <f>GV51-GZ51-HA51</f>
        <v/>
      </c>
      <c r="HC51" s="12">
        <f>GW51+GW50+GW49+MAX(0,HC50-GW50-GW49)*(1-GP51)</f>
        <v/>
      </c>
      <c r="HD51" s="12">
        <f>GX51+GX50+GX49+MAX(0,HD50-GX50-GX49)*(1-GP51)</f>
        <v/>
      </c>
      <c r="HE51" s="12">
        <f>GY51+GY50+GY49+MAX(0,HE50-GY50-GY49)*(1-GP51)</f>
        <v/>
      </c>
      <c r="HF51" s="12">
        <f>HF50+GZ51-GZ39*(AnnualChurn*VLOOKUP(GL51,ChurnSeasonTable,4,FALSE))*POWER(1-(AnnualChurn*VLOOKUP(GL51,ChurnSeasonTable,4,FALSE)),0)+GZ27*(AnnualChurn*VLOOKUP(GL51,ChurnSeasonTable,4,FALSE))*POWER(1-(AnnualChurn*VLOOKUP(GL51,ChurnSeasonTable,4,FALSE)),1)+GZ15*(AnnualChurn*VLOOKUP(GL51,ChurnSeasonTable,4,FALSE))*POWER(1-(AnnualChurn*VLOOKUP(GL51,ChurnSeasonTable,4,FALSE)),2)</f>
        <v/>
      </c>
      <c r="HG51" s="12">
        <f>HG50+HA51-HA39*(AnnualChurn*VLOOKUP(GL51,ChurnSeasonTable,4,FALSE))*POWER(1-(AnnualChurn*VLOOKUP(GL51,ChurnSeasonTable,4,FALSE)),0)+HA27*(AnnualChurn*VLOOKUP(GL51,ChurnSeasonTable,4,FALSE))*POWER(1-(AnnualChurn*VLOOKUP(GL51,ChurnSeasonTable,4,FALSE)),1)+HA15*(AnnualChurn*VLOOKUP(GL51,ChurnSeasonTable,4,FALSE))*POWER(1-(AnnualChurn*VLOOKUP(GL51,ChurnSeasonTable,4,FALSE)),2)</f>
        <v/>
      </c>
      <c r="HH51" s="12">
        <f>HH50+HB51-HB39*(AnnualChurn*VLOOKUP(GL51,ChurnSeasonTable,4,FALSE))*POWER(1-(AnnualChurn*VLOOKUP(GL51,ChurnSeasonTable,4,FALSE)),0)+HB27*(AnnualChurn*VLOOKUP(GL51,ChurnSeasonTable,4,FALSE))*POWER(1-(AnnualChurn*VLOOKUP(GL51,ChurnSeasonTable,4,FALSE)),1)+HB15*(AnnualChurn*VLOOKUP(GL51,ChurnSeasonTable,4,FALSE))*POWER(1-(AnnualChurn*VLOOKUP(GL51,ChurnSeasonTable,4,FALSE)),2)</f>
        <v/>
      </c>
      <c r="HI51" s="12">
        <f>HC51+HD51+HE51+HF51+HG51+HH51</f>
        <v/>
      </c>
      <c r="HJ51" s="9">
        <f>HC51*BlendedPriceEssMonthly*GO51+HD51*BlendedPricePremMonthly*GO51+HE51*BlendedPriceEliteMonthly*GO51+HF51*BlendedPriceEssAnnual*GO51/12+HG51*BlendedPricePremAnnual*GO51/12+HH51*BlendedPriceEliteAnnual*GO51/12</f>
        <v/>
      </c>
      <c r="HK51" s="9">
        <f>HJ51*12</f>
        <v/>
      </c>
      <c r="HL51" s="12">
        <f>HC51*BlendedPriceEssMonthly*GO51+HD51*BlendedPricePremMonthly*GO51+HE51*BlendedPriceEliteMonthly*GO51</f>
        <v/>
      </c>
      <c r="HM51" s="12">
        <f>GZ51*BlendedPriceEssAnnual*GO51+HA51*BlendedPricePremAnnual*GO51+HB51*BlendedPriceEliteAnnual*GO51</f>
        <v/>
      </c>
      <c r="HN51" s="12">
        <f>GZ39*POWER(1-(AnnualChurn*VLOOKUP(GL51,ChurnSeasonTable,4,FALSE)),1)*BlendedPriceEssAnnual*GO51+GZ27*POWER(1-(AnnualChurn*VLOOKUP(GL51,ChurnSeasonTable,4,FALSE)),2)*BlendedPriceEssAnnual*GO51+GZ15*POWER(1-(AnnualChurn*VLOOKUP(GL51,ChurnSeasonTable,4,FALSE)),3)*BlendedPriceEssAnnual*GO51+HA39*POWER(1-(AnnualChurn*VLOOKUP(GL51,ChurnSeasonTable,4,FALSE)),1)*BlendedPricePremAnnual*GO51+HA27*POWER(1-(AnnualChurn*VLOOKUP(GL51,ChurnSeasonTable,4,FALSE)),2)*BlendedPricePremAnnual*GO51+HA15*POWER(1-(AnnualChurn*VLOOKUP(GL51,ChurnSeasonTable,4,FALSE)),3)*BlendedPricePremAnnual*GO51+HB39*POWER(1-(AnnualChurn*VLOOKUP(GL51,ChurnSeasonTable,4,FALSE)),1)*BlendedPriceEliteAnnual*GO51+HB27*POWER(1-(AnnualChurn*VLOOKUP(GL51,ChurnSeasonTable,4,FALSE)),2)*BlendedPriceEliteAnnual*GO51+HB15*POWER(1-(AnnualChurn*VLOOKUP(GL51,ChurnSeasonTable,4,FALSE)),3)*BlendedPriceEliteAnnual*GO51</f>
        <v/>
      </c>
      <c r="HO51" s="9">
        <f>HL51+HM51+HN51</f>
        <v/>
      </c>
      <c r="HP51" s="12">
        <f>SUM(HO40:HO51)</f>
        <v/>
      </c>
      <c r="HQ51" s="12">
        <f>OR(HQ50,IF(VATAgentMode,SUM($HO40:$HO51)-SUM($HV40:$HV51)&gt;=VATThreshold,SUM($HO40:$HO51)&gt;=VATThreshold))</f>
        <v/>
      </c>
      <c r="HR51" s="9">
        <f>IF(HQ51,IF(VATAgentMode,HO51-((HO51-HV51)-(HO51-HV51)/(1+VATRate)),HO51/(1+VATRate)),HO51)</f>
        <v/>
      </c>
      <c r="HS51" s="12">
        <f>HO51-HR51</f>
        <v/>
      </c>
      <c r="HT51" s="12">
        <f>IF(HQ51=0,0,IF(GL51=1,SUMPRODUCT(--(($GM$5:$GM51=$GM51-1)*($GL$5:$GL51&gt;=10)*($GL$5:$GL51&lt;=12)),$HS$5:$HS51),IF(GL51=4,SUMPRODUCT(--(($GM$5:$GM51=$GM51)*($GL$5:$GL51&gt;=1)*($GL$5:$GL51&lt;=3)),$HS$5:$HS51),IF(GL51=7,SUMPRODUCT(--(($GM$5:$GM51=$GM51)*($GL$5:$GL51&gt;=4)*($GL$5:$GL51&lt;=6)),$HS$5:$HS51),IF(GL51=10,SUMPRODUCT(--(($GM$5:$GM51=$GM51)*($GL$5:$GL51&gt;=7)*($GL$5:$GL51&lt;=9)),$HS$5:$HS51),0)))))</f>
        <v/>
      </c>
      <c r="HU51" s="12">
        <f>HU50+HS51-HT51</f>
        <v/>
      </c>
      <c r="HV51" s="12">
        <f>IF(ProviderDelay&gt;=1,HC50*BlendedProvPayEss+HD50*BlendedProvPayPrem+HE50*BlendedProvPayElite+HF50*BlendedProvPayEss+HG50*BlendedProvPayPrem+HH50*BlendedProvPayElite,HC51*BlendedProvPayEss+HD51*BlendedProvPayPrem+HE51*BlendedProvPayElite+HF51*BlendedProvPayEss+HG51*BlendedProvPayPrem+HH51*BlendedProvPayElite)</f>
        <v/>
      </c>
      <c r="HW51" s="12">
        <f>HO51*PaymentFee</f>
        <v/>
      </c>
      <c r="HX51" s="12">
        <f>HI51*OpsAI</f>
        <v/>
      </c>
      <c r="HY51" s="12">
        <f>MonthlyFixed</f>
        <v/>
      </c>
      <c r="HZ51" s="12">
        <f>GS51*ReferralReward</f>
        <v/>
      </c>
      <c r="IA51" s="12">
        <f>GQ51</f>
        <v/>
      </c>
      <c r="IB51" s="9">
        <f>HR51-HV51-HW51-HX51-HY51-HZ51-IA51</f>
        <v/>
      </c>
      <c r="IC51" s="9">
        <f>IC50+HO51-(HV51+HW51+HX51+HY51+HZ51+IA51+HT51)</f>
        <v/>
      </c>
      <c r="ID51" s="12">
        <f>IF(HI51&gt;0,HJ51/HI51,0)</f>
        <v/>
      </c>
      <c r="IE51" s="11">
        <f>IF(HI50&gt;0,MAX(0,(HI50+GT51-HI51)/HI50),0)</f>
        <v/>
      </c>
      <c r="IG51" s="12" t="n">
        <v>47</v>
      </c>
      <c r="IH51" s="12">
        <f>MOD(IG51-1+LaunchMonth-1,12)+1</f>
        <v/>
      </c>
      <c r="II51" s="12">
        <f>INT((IG51-1+LaunchMonth-1)/12)+1</f>
        <v/>
      </c>
      <c r="IJ51" s="12">
        <f>VLOOKUP(IH51,SeasonTable,2,FALSE)</f>
        <v/>
      </c>
      <c r="IK51" s="12">
        <f>(1+InflationRate)^INT((IG51-1)/12)</f>
        <v/>
      </c>
      <c r="IL51" s="11">
        <f>'Sens - Churn'!$A$15*VLOOKUP(IH51,ChurnSeasonTable,4,FALSE)</f>
        <v/>
      </c>
      <c r="IM51" s="12">
        <f>MIN(MAX(MktMin19plus,JK50*MktPct19plus),MAX(0,JY50-CashBuffer))</f>
        <v/>
      </c>
      <c r="IN51" s="12">
        <f>IF(IM51&gt;0,MAX(1,ROUND(IM51/CAC*IJ51,0)),0)</f>
        <v/>
      </c>
      <c r="IO51" s="12">
        <f>IF(IN51&gt;0,ROUND(IN51*ReferralMix/(1-ReferralMix),0),0)</f>
        <v/>
      </c>
      <c r="IP51" s="12">
        <f>IN51+IO51</f>
        <v/>
      </c>
      <c r="IQ51" s="12">
        <f>ROUND(IP51*(1-AnnualMix),0)</f>
        <v/>
      </c>
      <c r="IR51" s="12">
        <f>IP51-IQ51</f>
        <v/>
      </c>
      <c r="IS51" s="12">
        <f>ROUND(IQ51*EssentialMix,0)</f>
        <v/>
      </c>
      <c r="IT51" s="12">
        <f>ROUND(IQ51*PremiumMix,0)</f>
        <v/>
      </c>
      <c r="IU51" s="12">
        <f>IQ51-IS51-IT51</f>
        <v/>
      </c>
      <c r="IV51" s="12">
        <f>ROUND(IR51*EssentialMix,0)</f>
        <v/>
      </c>
      <c r="IW51" s="12">
        <f>ROUND(IR51*PremiumMix,0)</f>
        <v/>
      </c>
      <c r="IX51" s="12">
        <f>IR51-IV51-IW51</f>
        <v/>
      </c>
      <c r="IY51" s="12">
        <f>IS51+IS50+IS49+MAX(0,IY50-IS50-IS49)*(1-IL51)</f>
        <v/>
      </c>
      <c r="IZ51" s="12">
        <f>IT51+IT50+IT49+MAX(0,IZ50-IT50-IT49)*(1-IL51)</f>
        <v/>
      </c>
      <c r="JA51" s="12">
        <f>IU51+IU50+IU49+MAX(0,JA50-IU50-IU49)*(1-IL51)</f>
        <v/>
      </c>
      <c r="JB51" s="12">
        <f>JB50+IV51-IV39*(AnnualChurn*VLOOKUP(IH51,ChurnSeasonTable,4,FALSE))*POWER(1-(AnnualChurn*VLOOKUP(IH51,ChurnSeasonTable,4,FALSE)),0)+IV27*(AnnualChurn*VLOOKUP(IH51,ChurnSeasonTable,4,FALSE))*POWER(1-(AnnualChurn*VLOOKUP(IH51,ChurnSeasonTable,4,FALSE)),1)+IV15*(AnnualChurn*VLOOKUP(IH51,ChurnSeasonTable,4,FALSE))*POWER(1-(AnnualChurn*VLOOKUP(IH51,ChurnSeasonTable,4,FALSE)),2)</f>
        <v/>
      </c>
      <c r="JC51" s="12">
        <f>JC50+IW51-IW39*(AnnualChurn*VLOOKUP(IH51,ChurnSeasonTable,4,FALSE))*POWER(1-(AnnualChurn*VLOOKUP(IH51,ChurnSeasonTable,4,FALSE)),0)+IW27*(AnnualChurn*VLOOKUP(IH51,ChurnSeasonTable,4,FALSE))*POWER(1-(AnnualChurn*VLOOKUP(IH51,ChurnSeasonTable,4,FALSE)),1)+IW15*(AnnualChurn*VLOOKUP(IH51,ChurnSeasonTable,4,FALSE))*POWER(1-(AnnualChurn*VLOOKUP(IH51,ChurnSeasonTable,4,FALSE)),2)</f>
        <v/>
      </c>
      <c r="JD51" s="12">
        <f>JD50+IX51-IX39*(AnnualChurn*VLOOKUP(IH51,ChurnSeasonTable,4,FALSE))*POWER(1-(AnnualChurn*VLOOKUP(IH51,ChurnSeasonTable,4,FALSE)),0)+IX27*(AnnualChurn*VLOOKUP(IH51,ChurnSeasonTable,4,FALSE))*POWER(1-(AnnualChurn*VLOOKUP(IH51,ChurnSeasonTable,4,FALSE)),1)+IX15*(AnnualChurn*VLOOKUP(IH51,ChurnSeasonTable,4,FALSE))*POWER(1-(AnnualChurn*VLOOKUP(IH51,ChurnSeasonTable,4,FALSE)),2)</f>
        <v/>
      </c>
      <c r="JE51" s="12">
        <f>IY51+IZ51+JA51+JB51+JC51+JD51</f>
        <v/>
      </c>
      <c r="JF51" s="9">
        <f>IY51*BlendedPriceEssMonthly*IK51+IZ51*BlendedPricePremMonthly*IK51+JA51*BlendedPriceEliteMonthly*IK51+JB51*BlendedPriceEssAnnual*IK51/12+JC51*BlendedPricePremAnnual*IK51/12+JD51*BlendedPriceEliteAnnual*IK51/12</f>
        <v/>
      </c>
      <c r="JG51" s="9">
        <f>JF51*12</f>
        <v/>
      </c>
      <c r="JH51" s="12">
        <f>IY51*BlendedPriceEssMonthly*IK51+IZ51*BlendedPricePremMonthly*IK51+JA51*BlendedPriceEliteMonthly*IK51</f>
        <v/>
      </c>
      <c r="JI51" s="12">
        <f>IV51*BlendedPriceEssAnnual*IK51+IW51*BlendedPricePremAnnual*IK51+IX51*BlendedPriceEliteAnnual*IK51</f>
        <v/>
      </c>
      <c r="JJ51" s="12">
        <f>IV39*POWER(1-(AnnualChurn*VLOOKUP(IH51,ChurnSeasonTable,4,FALSE)),1)*BlendedPriceEssAnnual*IK51+IV27*POWER(1-(AnnualChurn*VLOOKUP(IH51,ChurnSeasonTable,4,FALSE)),2)*BlendedPriceEssAnnual*IK51+IV15*POWER(1-(AnnualChurn*VLOOKUP(IH51,ChurnSeasonTable,4,FALSE)),3)*BlendedPriceEssAnnual*IK51+IW39*POWER(1-(AnnualChurn*VLOOKUP(IH51,ChurnSeasonTable,4,FALSE)),1)*BlendedPricePremAnnual*IK51+IW27*POWER(1-(AnnualChurn*VLOOKUP(IH51,ChurnSeasonTable,4,FALSE)),2)*BlendedPricePremAnnual*IK51+IW15*POWER(1-(AnnualChurn*VLOOKUP(IH51,ChurnSeasonTable,4,FALSE)),3)*BlendedPricePremAnnual*IK51+IX39*POWER(1-(AnnualChurn*VLOOKUP(IH51,ChurnSeasonTable,4,FALSE)),1)*BlendedPriceEliteAnnual*IK51+IX27*POWER(1-(AnnualChurn*VLOOKUP(IH51,ChurnSeasonTable,4,FALSE)),2)*BlendedPriceEliteAnnual*IK51+IX15*POWER(1-(AnnualChurn*VLOOKUP(IH51,ChurnSeasonTable,4,FALSE)),3)*BlendedPriceEliteAnnual*IK51</f>
        <v/>
      </c>
      <c r="JK51" s="9">
        <f>JH51+JI51+JJ51</f>
        <v/>
      </c>
      <c r="JL51" s="12">
        <f>SUM(JK40:JK51)</f>
        <v/>
      </c>
      <c r="JM51" s="12">
        <f>OR(JM50,IF(VATAgentMode,SUM($JK40:$JK51)-SUM($JR40:$JR51)&gt;=VATThreshold,SUM($JK40:$JK51)&gt;=VATThreshold))</f>
        <v/>
      </c>
      <c r="JN51" s="9">
        <f>IF(JM51,IF(VATAgentMode,JK51-((JK51-JR51)-(JK51-JR51)/(1+VATRate)),JK51/(1+VATRate)),JK51)</f>
        <v/>
      </c>
      <c r="JO51" s="12">
        <f>JK51-JN51</f>
        <v/>
      </c>
      <c r="JP51" s="12">
        <f>IF(JM51=0,0,IF(IH51=1,SUMPRODUCT(--(($II$5:$II51=$II51-1)*($IH$5:$IH51&gt;=10)*($IH$5:$IH51&lt;=12)),$JO$5:$JO51),IF(IH51=4,SUMPRODUCT(--(($II$5:$II51=$II51)*($IH$5:$IH51&gt;=1)*($IH$5:$IH51&lt;=3)),$JO$5:$JO51),IF(IH51=7,SUMPRODUCT(--(($II$5:$II51=$II51)*($IH$5:$IH51&gt;=4)*($IH$5:$IH51&lt;=6)),$JO$5:$JO51),IF(IH51=10,SUMPRODUCT(--(($II$5:$II51=$II51)*($IH$5:$IH51&gt;=7)*($IH$5:$IH51&lt;=9)),$JO$5:$JO51),0)))))</f>
        <v/>
      </c>
      <c r="JQ51" s="12">
        <f>JQ50+JO51-JP51</f>
        <v/>
      </c>
      <c r="JR51" s="12">
        <f>IF(ProviderDelay&gt;=1,IY50*BlendedProvPayEss+IZ50*BlendedProvPayPrem+JA50*BlendedProvPayElite+JB50*BlendedProvPayEss+JC50*BlendedProvPayPrem+JD50*BlendedProvPayElite,IY51*BlendedProvPayEss+IZ51*BlendedProvPayPrem+JA51*BlendedProvPayElite+JB51*BlendedProvPayEss+JC51*BlendedProvPayPrem+JD51*BlendedProvPayElite)</f>
        <v/>
      </c>
      <c r="JS51" s="12">
        <f>JK51*PaymentFee</f>
        <v/>
      </c>
      <c r="JT51" s="12">
        <f>JE51*OpsAI</f>
        <v/>
      </c>
      <c r="JU51" s="12">
        <f>MonthlyFixed</f>
        <v/>
      </c>
      <c r="JV51" s="12">
        <f>IO51*ReferralReward</f>
        <v/>
      </c>
      <c r="JW51" s="12">
        <f>IM51</f>
        <v/>
      </c>
      <c r="JX51" s="9">
        <f>JN51-JR51-JS51-JT51-JU51-JV51-JW51</f>
        <v/>
      </c>
      <c r="JY51" s="9">
        <f>JY50+JK51-(JR51+JS51+JT51+JU51+JV51+JW51+JP51)</f>
        <v/>
      </c>
      <c r="JZ51" s="12">
        <f>IF(JE51&gt;0,JF51/JE51,0)</f>
        <v/>
      </c>
      <c r="KA51" s="11">
        <f>IF(JE50&gt;0,MAX(0,(JE50+IP51-JE51)/JE50),0)</f>
        <v/>
      </c>
      <c r="KC51" s="12" t="n">
        <v>47</v>
      </c>
      <c r="KD51" s="12">
        <f>MOD(KC51-1+LaunchMonth-1,12)+1</f>
        <v/>
      </c>
      <c r="KE51" s="12">
        <f>INT((KC51-1+LaunchMonth-1)/12)+1</f>
        <v/>
      </c>
      <c r="KF51" s="12">
        <f>VLOOKUP(KD51,SeasonTable,2,FALSE)</f>
        <v/>
      </c>
      <c r="KG51" s="12">
        <f>(1+InflationRate)^INT((KC51-1)/12)</f>
        <v/>
      </c>
      <c r="KH51" s="11">
        <f>'Sens - Churn'!$A$16*VLOOKUP(KD51,ChurnSeasonTable,4,FALSE)</f>
        <v/>
      </c>
      <c r="KI51" s="12">
        <f>MIN(MAX(MktMin19plus,LG50*MktPct19plus),MAX(0,LU50-CashBuffer))</f>
        <v/>
      </c>
      <c r="KJ51" s="12">
        <f>IF(KI51&gt;0,MAX(1,ROUND(KI51/CAC*KF51,0)),0)</f>
        <v/>
      </c>
      <c r="KK51" s="12">
        <f>IF(KJ51&gt;0,ROUND(KJ51*ReferralMix/(1-ReferralMix),0),0)</f>
        <v/>
      </c>
      <c r="KL51" s="12">
        <f>KJ51+KK51</f>
        <v/>
      </c>
      <c r="KM51" s="12">
        <f>ROUND(KL51*(1-AnnualMix),0)</f>
        <v/>
      </c>
      <c r="KN51" s="12">
        <f>KL51-KM51</f>
        <v/>
      </c>
      <c r="KO51" s="12">
        <f>ROUND(KM51*EssentialMix,0)</f>
        <v/>
      </c>
      <c r="KP51" s="12">
        <f>ROUND(KM51*PremiumMix,0)</f>
        <v/>
      </c>
      <c r="KQ51" s="12">
        <f>KM51-KO51-KP51</f>
        <v/>
      </c>
      <c r="KR51" s="12">
        <f>ROUND(KN51*EssentialMix,0)</f>
        <v/>
      </c>
      <c r="KS51" s="12">
        <f>ROUND(KN51*PremiumMix,0)</f>
        <v/>
      </c>
      <c r="KT51" s="12">
        <f>KN51-KR51-KS51</f>
        <v/>
      </c>
      <c r="KU51" s="12">
        <f>KO51+KO50+KO49+MAX(0,KU50-KO50-KO49)*(1-KH51)</f>
        <v/>
      </c>
      <c r="KV51" s="12">
        <f>KP51+KP50+KP49+MAX(0,KV50-KP50-KP49)*(1-KH51)</f>
        <v/>
      </c>
      <c r="KW51" s="12">
        <f>KQ51+KQ50+KQ49+MAX(0,KW50-KQ50-KQ49)*(1-KH51)</f>
        <v/>
      </c>
      <c r="KX51" s="12">
        <f>KX50+KR51-KR39*(AnnualChurn*VLOOKUP(KD51,ChurnSeasonTable,4,FALSE))*POWER(1-(AnnualChurn*VLOOKUP(KD51,ChurnSeasonTable,4,FALSE)),0)+KR27*(AnnualChurn*VLOOKUP(KD51,ChurnSeasonTable,4,FALSE))*POWER(1-(AnnualChurn*VLOOKUP(KD51,ChurnSeasonTable,4,FALSE)),1)+KR15*(AnnualChurn*VLOOKUP(KD51,ChurnSeasonTable,4,FALSE))*POWER(1-(AnnualChurn*VLOOKUP(KD51,ChurnSeasonTable,4,FALSE)),2)</f>
        <v/>
      </c>
      <c r="KY51" s="12">
        <f>KY50+KS51-KS39*(AnnualChurn*VLOOKUP(KD51,ChurnSeasonTable,4,FALSE))*POWER(1-(AnnualChurn*VLOOKUP(KD51,ChurnSeasonTable,4,FALSE)),0)+KS27*(AnnualChurn*VLOOKUP(KD51,ChurnSeasonTable,4,FALSE))*POWER(1-(AnnualChurn*VLOOKUP(KD51,ChurnSeasonTable,4,FALSE)),1)+KS15*(AnnualChurn*VLOOKUP(KD51,ChurnSeasonTable,4,FALSE))*POWER(1-(AnnualChurn*VLOOKUP(KD51,ChurnSeasonTable,4,FALSE)),2)</f>
        <v/>
      </c>
      <c r="KZ51" s="12">
        <f>KZ50+KT51-KT39*(AnnualChurn*VLOOKUP(KD51,ChurnSeasonTable,4,FALSE))*POWER(1-(AnnualChurn*VLOOKUP(KD51,ChurnSeasonTable,4,FALSE)),0)+KT27*(AnnualChurn*VLOOKUP(KD51,ChurnSeasonTable,4,FALSE))*POWER(1-(AnnualChurn*VLOOKUP(KD51,ChurnSeasonTable,4,FALSE)),1)+KT15*(AnnualChurn*VLOOKUP(KD51,ChurnSeasonTable,4,FALSE))*POWER(1-(AnnualChurn*VLOOKUP(KD51,ChurnSeasonTable,4,FALSE)),2)</f>
        <v/>
      </c>
      <c r="LA51" s="12">
        <f>KU51+KV51+KW51+KX51+KY51+KZ51</f>
        <v/>
      </c>
      <c r="LB51" s="9">
        <f>KU51*BlendedPriceEssMonthly*KG51+KV51*BlendedPricePremMonthly*KG51+KW51*BlendedPriceEliteMonthly*KG51+KX51*BlendedPriceEssAnnual*KG51/12+KY51*BlendedPricePremAnnual*KG51/12+KZ51*BlendedPriceEliteAnnual*KG51/12</f>
        <v/>
      </c>
      <c r="LC51" s="9">
        <f>LB51*12</f>
        <v/>
      </c>
      <c r="LD51" s="12">
        <f>KU51*BlendedPriceEssMonthly*KG51+KV51*BlendedPricePremMonthly*KG51+KW51*BlendedPriceEliteMonthly*KG51</f>
        <v/>
      </c>
      <c r="LE51" s="12">
        <f>KR51*BlendedPriceEssAnnual*KG51+KS51*BlendedPricePremAnnual*KG51+KT51*BlendedPriceEliteAnnual*KG51</f>
        <v/>
      </c>
      <c r="LF51" s="12">
        <f>KR39*POWER(1-(AnnualChurn*VLOOKUP(KD51,ChurnSeasonTable,4,FALSE)),1)*BlendedPriceEssAnnual*KG51+KR27*POWER(1-(AnnualChurn*VLOOKUP(KD51,ChurnSeasonTable,4,FALSE)),2)*BlendedPriceEssAnnual*KG51+KR15*POWER(1-(AnnualChurn*VLOOKUP(KD51,ChurnSeasonTable,4,FALSE)),3)*BlendedPriceEssAnnual*KG51+KS39*POWER(1-(AnnualChurn*VLOOKUP(KD51,ChurnSeasonTable,4,FALSE)),1)*BlendedPricePremAnnual*KG51+KS27*POWER(1-(AnnualChurn*VLOOKUP(KD51,ChurnSeasonTable,4,FALSE)),2)*BlendedPricePremAnnual*KG51+KS15*POWER(1-(AnnualChurn*VLOOKUP(KD51,ChurnSeasonTable,4,FALSE)),3)*BlendedPricePremAnnual*KG51+KT39*POWER(1-(AnnualChurn*VLOOKUP(KD51,ChurnSeasonTable,4,FALSE)),1)*BlendedPriceEliteAnnual*KG51+KT27*POWER(1-(AnnualChurn*VLOOKUP(KD51,ChurnSeasonTable,4,FALSE)),2)*BlendedPriceEliteAnnual*KG51+KT15*POWER(1-(AnnualChurn*VLOOKUP(KD51,ChurnSeasonTable,4,FALSE)),3)*BlendedPriceEliteAnnual*KG51</f>
        <v/>
      </c>
      <c r="LG51" s="9">
        <f>LD51+LE51+LF51</f>
        <v/>
      </c>
      <c r="LH51" s="12">
        <f>SUM(LG40:LG51)</f>
        <v/>
      </c>
      <c r="LI51" s="12">
        <f>OR(LI50,IF(VATAgentMode,SUM($LG40:$LG51)-SUM($LN40:$LN51)&gt;=VATThreshold,SUM($LG40:$LG51)&gt;=VATThreshold))</f>
        <v/>
      </c>
      <c r="LJ51" s="9">
        <f>IF(LI51,IF(VATAgentMode,LG51-((LG51-LN51)-(LG51-LN51)/(1+VATRate)),LG51/(1+VATRate)),LG51)</f>
        <v/>
      </c>
      <c r="LK51" s="12">
        <f>LG51-LJ51</f>
        <v/>
      </c>
      <c r="LL51" s="12">
        <f>IF(LI51=0,0,IF(KD51=1,SUMPRODUCT(--(($KE$5:$KE51=$KE51-1)*($KD$5:$KD51&gt;=10)*($KD$5:$KD51&lt;=12)),$LK$5:$LK51),IF(KD51=4,SUMPRODUCT(--(($KE$5:$KE51=$KE51)*($KD$5:$KD51&gt;=1)*($KD$5:$KD51&lt;=3)),$LK$5:$LK51),IF(KD51=7,SUMPRODUCT(--(($KE$5:$KE51=$KE51)*($KD$5:$KD51&gt;=4)*($KD$5:$KD51&lt;=6)),$LK$5:$LK51),IF(KD51=10,SUMPRODUCT(--(($KE$5:$KE51=$KE51)*($KD$5:$KD51&gt;=7)*($KD$5:$KD51&lt;=9)),$LK$5:$LK51),0)))))</f>
        <v/>
      </c>
      <c r="LM51" s="12">
        <f>LM50+LK51-LL51</f>
        <v/>
      </c>
      <c r="LN51" s="12">
        <f>IF(ProviderDelay&gt;=1,KU50*BlendedProvPayEss+KV50*BlendedProvPayPrem+KW50*BlendedProvPayElite+KX50*BlendedProvPayEss+KY50*BlendedProvPayPrem+KZ50*BlendedProvPayElite,KU51*BlendedProvPayEss+KV51*BlendedProvPayPrem+KW51*BlendedProvPayElite+KX51*BlendedProvPayEss+KY51*BlendedProvPayPrem+KZ51*BlendedProvPayElite)</f>
        <v/>
      </c>
      <c r="LO51" s="12">
        <f>LG51*PaymentFee</f>
        <v/>
      </c>
      <c r="LP51" s="12">
        <f>LA51*OpsAI</f>
        <v/>
      </c>
      <c r="LQ51" s="12">
        <f>MonthlyFixed</f>
        <v/>
      </c>
      <c r="LR51" s="12">
        <f>KK51*ReferralReward</f>
        <v/>
      </c>
      <c r="LS51" s="12">
        <f>KI51</f>
        <v/>
      </c>
      <c r="LT51" s="9">
        <f>LJ51-LN51-LO51-LP51-LQ51-LR51-LS51</f>
        <v/>
      </c>
      <c r="LU51" s="9">
        <f>LU50+LG51-(LN51+LO51+LP51+LQ51+LR51+LS51+LL51)</f>
        <v/>
      </c>
      <c r="LV51" s="12">
        <f>IF(LA51&gt;0,LB51/LA51,0)</f>
        <v/>
      </c>
      <c r="LW51" s="11">
        <f>IF(LA50&gt;0,MAX(0,(LA50+KL51-LA51)/LA50),0)</f>
        <v/>
      </c>
      <c r="LY51" s="12" t="n">
        <v>47</v>
      </c>
      <c r="LZ51" s="12">
        <f>MOD(LY51-1+LaunchMonth-1,12)+1</f>
        <v/>
      </c>
      <c r="MA51" s="12">
        <f>INT((LY51-1+LaunchMonth-1)/12)+1</f>
        <v/>
      </c>
      <c r="MB51" s="12">
        <f>VLOOKUP(LZ51,SeasonTable,2,FALSE)</f>
        <v/>
      </c>
      <c r="MC51" s="12">
        <f>(1+InflationRate)^INT((LY51-1)/12)</f>
        <v/>
      </c>
      <c r="MD51" s="11">
        <f>'Sens - Churn'!$A$17*VLOOKUP(LZ51,ChurnSeasonTable,4,FALSE)</f>
        <v/>
      </c>
      <c r="ME51" s="12">
        <f>MIN(MAX(MktMin19plus,NC50*MktPct19plus),MAX(0,NQ50-CashBuffer))</f>
        <v/>
      </c>
      <c r="MF51" s="12">
        <f>IF(ME51&gt;0,MAX(1,ROUND(ME51/CAC*MB51,0)),0)</f>
        <v/>
      </c>
      <c r="MG51" s="12">
        <f>IF(MF51&gt;0,ROUND(MF51*ReferralMix/(1-ReferralMix),0),0)</f>
        <v/>
      </c>
      <c r="MH51" s="12">
        <f>MF51+MG51</f>
        <v/>
      </c>
      <c r="MI51" s="12">
        <f>ROUND(MH51*(1-AnnualMix),0)</f>
        <v/>
      </c>
      <c r="MJ51" s="12">
        <f>MH51-MI51</f>
        <v/>
      </c>
      <c r="MK51" s="12">
        <f>ROUND(MI51*EssentialMix,0)</f>
        <v/>
      </c>
      <c r="ML51" s="12">
        <f>ROUND(MI51*PremiumMix,0)</f>
        <v/>
      </c>
      <c r="MM51" s="12">
        <f>MI51-MK51-ML51</f>
        <v/>
      </c>
      <c r="MN51" s="12">
        <f>ROUND(MJ51*EssentialMix,0)</f>
        <v/>
      </c>
      <c r="MO51" s="12">
        <f>ROUND(MJ51*PremiumMix,0)</f>
        <v/>
      </c>
      <c r="MP51" s="12">
        <f>MJ51-MN51-MO51</f>
        <v/>
      </c>
      <c r="MQ51" s="12">
        <f>MK51+MK50+MK49+MAX(0,MQ50-MK50-MK49)*(1-MD51)</f>
        <v/>
      </c>
      <c r="MR51" s="12">
        <f>ML51+ML50+ML49+MAX(0,MR50-ML50-ML49)*(1-MD51)</f>
        <v/>
      </c>
      <c r="MS51" s="12">
        <f>MM51+MM50+MM49+MAX(0,MS50-MM50-MM49)*(1-MD51)</f>
        <v/>
      </c>
      <c r="MT51" s="12">
        <f>MT50+MN51-MN39*(AnnualChurn*VLOOKUP(LZ51,ChurnSeasonTable,4,FALSE))*POWER(1-(AnnualChurn*VLOOKUP(LZ51,ChurnSeasonTable,4,FALSE)),0)+MN27*(AnnualChurn*VLOOKUP(LZ51,ChurnSeasonTable,4,FALSE))*POWER(1-(AnnualChurn*VLOOKUP(LZ51,ChurnSeasonTable,4,FALSE)),1)+MN15*(AnnualChurn*VLOOKUP(LZ51,ChurnSeasonTable,4,FALSE))*POWER(1-(AnnualChurn*VLOOKUP(LZ51,ChurnSeasonTable,4,FALSE)),2)</f>
        <v/>
      </c>
      <c r="MU51" s="12">
        <f>MU50+MO51-MO39*(AnnualChurn*VLOOKUP(LZ51,ChurnSeasonTable,4,FALSE))*POWER(1-(AnnualChurn*VLOOKUP(LZ51,ChurnSeasonTable,4,FALSE)),0)+MO27*(AnnualChurn*VLOOKUP(LZ51,ChurnSeasonTable,4,FALSE))*POWER(1-(AnnualChurn*VLOOKUP(LZ51,ChurnSeasonTable,4,FALSE)),1)+MO15*(AnnualChurn*VLOOKUP(LZ51,ChurnSeasonTable,4,FALSE))*POWER(1-(AnnualChurn*VLOOKUP(LZ51,ChurnSeasonTable,4,FALSE)),2)</f>
        <v/>
      </c>
      <c r="MV51" s="12">
        <f>MV50+MP51-MP39*(AnnualChurn*VLOOKUP(LZ51,ChurnSeasonTable,4,FALSE))*POWER(1-(AnnualChurn*VLOOKUP(LZ51,ChurnSeasonTable,4,FALSE)),0)+MP27*(AnnualChurn*VLOOKUP(LZ51,ChurnSeasonTable,4,FALSE))*POWER(1-(AnnualChurn*VLOOKUP(LZ51,ChurnSeasonTable,4,FALSE)),1)+MP15*(AnnualChurn*VLOOKUP(LZ51,ChurnSeasonTable,4,FALSE))*POWER(1-(AnnualChurn*VLOOKUP(LZ51,ChurnSeasonTable,4,FALSE)),2)</f>
        <v/>
      </c>
      <c r="MW51" s="12">
        <f>MQ51+MR51+MS51+MT51+MU51+MV51</f>
        <v/>
      </c>
      <c r="MX51" s="9">
        <f>MQ51*BlendedPriceEssMonthly*MC51+MR51*BlendedPricePremMonthly*MC51+MS51*BlendedPriceEliteMonthly*MC51+MT51*BlendedPriceEssAnnual*MC51/12+MU51*BlendedPricePremAnnual*MC51/12+MV51*BlendedPriceEliteAnnual*MC51/12</f>
        <v/>
      </c>
      <c r="MY51" s="9">
        <f>MX51*12</f>
        <v/>
      </c>
      <c r="MZ51" s="12">
        <f>MQ51*BlendedPriceEssMonthly*MC51+MR51*BlendedPricePremMonthly*MC51+MS51*BlendedPriceEliteMonthly*MC51</f>
        <v/>
      </c>
      <c r="NA51" s="12">
        <f>MN51*BlendedPriceEssAnnual*MC51+MO51*BlendedPricePremAnnual*MC51+MP51*BlendedPriceEliteAnnual*MC51</f>
        <v/>
      </c>
      <c r="NB51" s="12">
        <f>MN39*POWER(1-(AnnualChurn*VLOOKUP(LZ51,ChurnSeasonTable,4,FALSE)),1)*BlendedPriceEssAnnual*MC51+MN27*POWER(1-(AnnualChurn*VLOOKUP(LZ51,ChurnSeasonTable,4,FALSE)),2)*BlendedPriceEssAnnual*MC51+MN15*POWER(1-(AnnualChurn*VLOOKUP(LZ51,ChurnSeasonTable,4,FALSE)),3)*BlendedPriceEssAnnual*MC51+MO39*POWER(1-(AnnualChurn*VLOOKUP(LZ51,ChurnSeasonTable,4,FALSE)),1)*BlendedPricePremAnnual*MC51+MO27*POWER(1-(AnnualChurn*VLOOKUP(LZ51,ChurnSeasonTable,4,FALSE)),2)*BlendedPricePremAnnual*MC51+MO15*POWER(1-(AnnualChurn*VLOOKUP(LZ51,ChurnSeasonTable,4,FALSE)),3)*BlendedPricePremAnnual*MC51+MP39*POWER(1-(AnnualChurn*VLOOKUP(LZ51,ChurnSeasonTable,4,FALSE)),1)*BlendedPriceEliteAnnual*MC51+MP27*POWER(1-(AnnualChurn*VLOOKUP(LZ51,ChurnSeasonTable,4,FALSE)),2)*BlendedPriceEliteAnnual*MC51+MP15*POWER(1-(AnnualChurn*VLOOKUP(LZ51,ChurnSeasonTable,4,FALSE)),3)*BlendedPriceEliteAnnual*MC51</f>
        <v/>
      </c>
      <c r="NC51" s="9">
        <f>MZ51+NA51+NB51</f>
        <v/>
      </c>
      <c r="ND51" s="12">
        <f>SUM(NC40:NC51)</f>
        <v/>
      </c>
      <c r="NE51" s="12">
        <f>OR(NE50,IF(VATAgentMode,SUM($NC40:$NC51)-SUM($NJ40:$NJ51)&gt;=VATThreshold,SUM($NC40:$NC51)&gt;=VATThreshold))</f>
        <v/>
      </c>
      <c r="NF51" s="9">
        <f>IF(NE51,IF(VATAgentMode,NC51-((NC51-NJ51)-(NC51-NJ51)/(1+VATRate)),NC51/(1+VATRate)),NC51)</f>
        <v/>
      </c>
      <c r="NG51" s="12">
        <f>NC51-NF51</f>
        <v/>
      </c>
      <c r="NH51" s="12">
        <f>IF(NE51=0,0,IF(LZ51=1,SUMPRODUCT(--(($MA$5:$MA51=$MA51-1)*($LZ$5:$LZ51&gt;=10)*($LZ$5:$LZ51&lt;=12)),$NG$5:$NG51),IF(LZ51=4,SUMPRODUCT(--(($MA$5:$MA51=$MA51)*($LZ$5:$LZ51&gt;=1)*($LZ$5:$LZ51&lt;=3)),$NG$5:$NG51),IF(LZ51=7,SUMPRODUCT(--(($MA$5:$MA51=$MA51)*($LZ$5:$LZ51&gt;=4)*($LZ$5:$LZ51&lt;=6)),$NG$5:$NG51),IF(LZ51=10,SUMPRODUCT(--(($MA$5:$MA51=$MA51)*($LZ$5:$LZ51&gt;=7)*($LZ$5:$LZ51&lt;=9)),$NG$5:$NG51),0)))))</f>
        <v/>
      </c>
      <c r="NI51" s="12">
        <f>NI50+NG51-NH51</f>
        <v/>
      </c>
      <c r="NJ51" s="12">
        <f>IF(ProviderDelay&gt;=1,MQ50*BlendedProvPayEss+MR50*BlendedProvPayPrem+MS50*BlendedProvPayElite+MT50*BlendedProvPayEss+MU50*BlendedProvPayPrem+MV50*BlendedProvPayElite,MQ51*BlendedProvPayEss+MR51*BlendedProvPayPrem+MS51*BlendedProvPayElite+MT51*BlendedProvPayEss+MU51*BlendedProvPayPrem+MV51*BlendedProvPayElite)</f>
        <v/>
      </c>
      <c r="NK51" s="12">
        <f>NC51*PaymentFee</f>
        <v/>
      </c>
      <c r="NL51" s="12">
        <f>MW51*OpsAI</f>
        <v/>
      </c>
      <c r="NM51" s="12">
        <f>MonthlyFixed</f>
        <v/>
      </c>
      <c r="NN51" s="12">
        <f>MG51*ReferralReward</f>
        <v/>
      </c>
      <c r="NO51" s="12">
        <f>ME51</f>
        <v/>
      </c>
      <c r="NP51" s="9">
        <f>NF51-NJ51-NK51-NL51-NM51-NN51-NO51</f>
        <v/>
      </c>
      <c r="NQ51" s="9">
        <f>NQ50+NC51-(NJ51+NK51+NL51+NM51+NN51+NO51+NH51)</f>
        <v/>
      </c>
      <c r="NR51" s="12">
        <f>IF(MW51&gt;0,MX51/MW51,0)</f>
        <v/>
      </c>
      <c r="NS51" s="11">
        <f>IF(MW50&gt;0,MAX(0,(MW50+MH51-MW51)/MW50),0)</f>
        <v/>
      </c>
      <c r="NU51" s="12" t="n">
        <v>47</v>
      </c>
      <c r="NV51" s="12">
        <f>MOD(NU51-1+LaunchMonth-1,12)+1</f>
        <v/>
      </c>
      <c r="NW51" s="12">
        <f>INT((NU51-1+LaunchMonth-1)/12)+1</f>
        <v/>
      </c>
      <c r="NX51" s="12">
        <f>VLOOKUP(NV51,SeasonTable,2,FALSE)</f>
        <v/>
      </c>
      <c r="NY51" s="12">
        <f>(1+InflationRate)^INT((NU51-1)/12)</f>
        <v/>
      </c>
      <c r="NZ51" s="11">
        <f>'Sens - Churn'!$A$18*VLOOKUP(NV51,ChurnSeasonTable,4,FALSE)</f>
        <v/>
      </c>
      <c r="OA51" s="12">
        <f>MIN(MAX(MktMin19plus,OY50*MktPct19plus),MAX(0,PM50-CashBuffer))</f>
        <v/>
      </c>
      <c r="OB51" s="12">
        <f>IF(OA51&gt;0,MAX(1,ROUND(OA51/CAC*NX51,0)),0)</f>
        <v/>
      </c>
      <c r="OC51" s="12">
        <f>IF(OB51&gt;0,ROUND(OB51*ReferralMix/(1-ReferralMix),0),0)</f>
        <v/>
      </c>
      <c r="OD51" s="12">
        <f>OB51+OC51</f>
        <v/>
      </c>
      <c r="OE51" s="12">
        <f>ROUND(OD51*(1-AnnualMix),0)</f>
        <v/>
      </c>
      <c r="OF51" s="12">
        <f>OD51-OE51</f>
        <v/>
      </c>
      <c r="OG51" s="12">
        <f>ROUND(OE51*EssentialMix,0)</f>
        <v/>
      </c>
      <c r="OH51" s="12">
        <f>ROUND(OE51*PremiumMix,0)</f>
        <v/>
      </c>
      <c r="OI51" s="12">
        <f>OE51-OG51-OH51</f>
        <v/>
      </c>
      <c r="OJ51" s="12">
        <f>ROUND(OF51*EssentialMix,0)</f>
        <v/>
      </c>
      <c r="OK51" s="12">
        <f>ROUND(OF51*PremiumMix,0)</f>
        <v/>
      </c>
      <c r="OL51" s="12">
        <f>OF51-OJ51-OK51</f>
        <v/>
      </c>
      <c r="OM51" s="12">
        <f>OG51+OG50+OG49+MAX(0,OM50-OG50-OG49)*(1-NZ51)</f>
        <v/>
      </c>
      <c r="ON51" s="12">
        <f>OH51+OH50+OH49+MAX(0,ON50-OH50-OH49)*(1-NZ51)</f>
        <v/>
      </c>
      <c r="OO51" s="12">
        <f>OI51+OI50+OI49+MAX(0,OO50-OI50-OI49)*(1-NZ51)</f>
        <v/>
      </c>
      <c r="OP51" s="12">
        <f>OP50+OJ51-OJ39*(AnnualChurn*VLOOKUP(NV51,ChurnSeasonTable,4,FALSE))*POWER(1-(AnnualChurn*VLOOKUP(NV51,ChurnSeasonTable,4,FALSE)),0)+OJ27*(AnnualChurn*VLOOKUP(NV51,ChurnSeasonTable,4,FALSE))*POWER(1-(AnnualChurn*VLOOKUP(NV51,ChurnSeasonTable,4,FALSE)),1)+OJ15*(AnnualChurn*VLOOKUP(NV51,ChurnSeasonTable,4,FALSE))*POWER(1-(AnnualChurn*VLOOKUP(NV51,ChurnSeasonTable,4,FALSE)),2)</f>
        <v/>
      </c>
      <c r="OQ51" s="12">
        <f>OQ50+OK51-OK39*(AnnualChurn*VLOOKUP(NV51,ChurnSeasonTable,4,FALSE))*POWER(1-(AnnualChurn*VLOOKUP(NV51,ChurnSeasonTable,4,FALSE)),0)+OK27*(AnnualChurn*VLOOKUP(NV51,ChurnSeasonTable,4,FALSE))*POWER(1-(AnnualChurn*VLOOKUP(NV51,ChurnSeasonTable,4,FALSE)),1)+OK15*(AnnualChurn*VLOOKUP(NV51,ChurnSeasonTable,4,FALSE))*POWER(1-(AnnualChurn*VLOOKUP(NV51,ChurnSeasonTable,4,FALSE)),2)</f>
        <v/>
      </c>
      <c r="OR51" s="12">
        <f>OR50+OL51-OL39*(AnnualChurn*VLOOKUP(NV51,ChurnSeasonTable,4,FALSE))*POWER(1-(AnnualChurn*VLOOKUP(NV51,ChurnSeasonTable,4,FALSE)),0)+OL27*(AnnualChurn*VLOOKUP(NV51,ChurnSeasonTable,4,FALSE))*POWER(1-(AnnualChurn*VLOOKUP(NV51,ChurnSeasonTable,4,FALSE)),1)+OL15*(AnnualChurn*VLOOKUP(NV51,ChurnSeasonTable,4,FALSE))*POWER(1-(AnnualChurn*VLOOKUP(NV51,ChurnSeasonTable,4,FALSE)),2)</f>
        <v/>
      </c>
      <c r="OS51" s="12">
        <f>OM51+ON51+OO51+OP51+OQ51+OR51</f>
        <v/>
      </c>
      <c r="OT51" s="9">
        <f>OM51*BlendedPriceEssMonthly*NY51+ON51*BlendedPricePremMonthly*NY51+OO51*BlendedPriceEliteMonthly*NY51+OP51*BlendedPriceEssAnnual*NY51/12+OQ51*BlendedPricePremAnnual*NY51/12+OR51*BlendedPriceEliteAnnual*NY51/12</f>
        <v/>
      </c>
      <c r="OU51" s="9">
        <f>OT51*12</f>
        <v/>
      </c>
      <c r="OV51" s="12">
        <f>OM51*BlendedPriceEssMonthly*NY51+ON51*BlendedPricePremMonthly*NY51+OO51*BlendedPriceEliteMonthly*NY51</f>
        <v/>
      </c>
      <c r="OW51" s="12">
        <f>OJ51*BlendedPriceEssAnnual*NY51+OK51*BlendedPricePremAnnual*NY51+OL51*BlendedPriceEliteAnnual*NY51</f>
        <v/>
      </c>
      <c r="OX51" s="12">
        <f>OJ39*POWER(1-(AnnualChurn*VLOOKUP(NV51,ChurnSeasonTable,4,FALSE)),1)*BlendedPriceEssAnnual*NY51+OJ27*POWER(1-(AnnualChurn*VLOOKUP(NV51,ChurnSeasonTable,4,FALSE)),2)*BlendedPriceEssAnnual*NY51+OJ15*POWER(1-(AnnualChurn*VLOOKUP(NV51,ChurnSeasonTable,4,FALSE)),3)*BlendedPriceEssAnnual*NY51+OK39*POWER(1-(AnnualChurn*VLOOKUP(NV51,ChurnSeasonTable,4,FALSE)),1)*BlendedPricePremAnnual*NY51+OK27*POWER(1-(AnnualChurn*VLOOKUP(NV51,ChurnSeasonTable,4,FALSE)),2)*BlendedPricePremAnnual*NY51+OK15*POWER(1-(AnnualChurn*VLOOKUP(NV51,ChurnSeasonTable,4,FALSE)),3)*BlendedPricePremAnnual*NY51+OL39*POWER(1-(AnnualChurn*VLOOKUP(NV51,ChurnSeasonTable,4,FALSE)),1)*BlendedPriceEliteAnnual*NY51+OL27*POWER(1-(AnnualChurn*VLOOKUP(NV51,ChurnSeasonTable,4,FALSE)),2)*BlendedPriceEliteAnnual*NY51+OL15*POWER(1-(AnnualChurn*VLOOKUP(NV51,ChurnSeasonTable,4,FALSE)),3)*BlendedPriceEliteAnnual*NY51</f>
        <v/>
      </c>
      <c r="OY51" s="9">
        <f>OV51+OW51+OX51</f>
        <v/>
      </c>
      <c r="OZ51" s="12">
        <f>SUM(OY40:OY51)</f>
        <v/>
      </c>
      <c r="PA51" s="12">
        <f>OR(PA50,IF(VATAgentMode,SUM($OY40:$OY51)-SUM($PF40:$PF51)&gt;=VATThreshold,SUM($OY40:$OY51)&gt;=VATThreshold))</f>
        <v/>
      </c>
      <c r="PB51" s="9">
        <f>IF(PA51,IF(VATAgentMode,OY51-((OY51-PF51)-(OY51-PF51)/(1+VATRate)),OY51/(1+VATRate)),OY51)</f>
        <v/>
      </c>
      <c r="PC51" s="12">
        <f>OY51-PB51</f>
        <v/>
      </c>
      <c r="PD51" s="12">
        <f>IF(PA51=0,0,IF(NV51=1,SUMPRODUCT(--(($NW$5:$NW51=$NW51-1)*($NV$5:$NV51&gt;=10)*($NV$5:$NV51&lt;=12)),$PC$5:$PC51),IF(NV51=4,SUMPRODUCT(--(($NW$5:$NW51=$NW51)*($NV$5:$NV51&gt;=1)*($NV$5:$NV51&lt;=3)),$PC$5:$PC51),IF(NV51=7,SUMPRODUCT(--(($NW$5:$NW51=$NW51)*($NV$5:$NV51&gt;=4)*($NV$5:$NV51&lt;=6)),$PC$5:$PC51),IF(NV51=10,SUMPRODUCT(--(($NW$5:$NW51=$NW51)*($NV$5:$NV51&gt;=7)*($NV$5:$NV51&lt;=9)),$PC$5:$PC51),0)))))</f>
        <v/>
      </c>
      <c r="PE51" s="12">
        <f>PE50+PC51-PD51</f>
        <v/>
      </c>
      <c r="PF51" s="12">
        <f>IF(ProviderDelay&gt;=1,OM50*BlendedProvPayEss+ON50*BlendedProvPayPrem+OO50*BlendedProvPayElite+OP50*BlendedProvPayEss+OQ50*BlendedProvPayPrem+OR50*BlendedProvPayElite,OM51*BlendedProvPayEss+ON51*BlendedProvPayPrem+OO51*BlendedProvPayElite+OP51*BlendedProvPayEss+OQ51*BlendedProvPayPrem+OR51*BlendedProvPayElite)</f>
        <v/>
      </c>
      <c r="PG51" s="12">
        <f>OY51*PaymentFee</f>
        <v/>
      </c>
      <c r="PH51" s="12">
        <f>OS51*OpsAI</f>
        <v/>
      </c>
      <c r="PI51" s="12">
        <f>MonthlyFixed</f>
        <v/>
      </c>
      <c r="PJ51" s="12">
        <f>OC51*ReferralReward</f>
        <v/>
      </c>
      <c r="PK51" s="12">
        <f>OA51</f>
        <v/>
      </c>
      <c r="PL51" s="9">
        <f>PB51-PF51-PG51-PH51-PI51-PJ51-PK51</f>
        <v/>
      </c>
      <c r="PM51" s="9">
        <f>PM50+OY51-(PF51+PG51+PH51+PI51+PJ51+PK51+PD51)</f>
        <v/>
      </c>
      <c r="PN51" s="12">
        <f>IF(OS51&gt;0,OT51/OS51,0)</f>
        <v/>
      </c>
      <c r="PO51" s="11">
        <f>IF(OS50&gt;0,MAX(0,(OS50+OD51-OS51)/OS50),0)</f>
        <v/>
      </c>
      <c r="PQ51" s="12" t="n">
        <v>47</v>
      </c>
      <c r="PR51" s="12">
        <f>MOD(PQ51-1+LaunchMonth-1,12)+1</f>
        <v/>
      </c>
      <c r="PS51" s="12">
        <f>INT((PQ51-1+LaunchMonth-1)/12)+1</f>
        <v/>
      </c>
      <c r="PT51" s="12">
        <f>VLOOKUP(PR51,SeasonTable,2,FALSE)</f>
        <v/>
      </c>
      <c r="PU51" s="12">
        <f>(1+InflationRate)^INT((PQ51-1)/12)</f>
        <v/>
      </c>
      <c r="PV51" s="11">
        <f>'Sens - Churn'!$A$19*VLOOKUP(PR51,ChurnSeasonTable,4,FALSE)</f>
        <v/>
      </c>
      <c r="PW51" s="12">
        <f>MIN(MAX(MktMin19plus,QU50*MktPct19plus),MAX(0,RI50-CashBuffer))</f>
        <v/>
      </c>
      <c r="PX51" s="12">
        <f>IF(PW51&gt;0,MAX(1,ROUND(PW51/CAC*PT51,0)),0)</f>
        <v/>
      </c>
      <c r="PY51" s="12">
        <f>IF(PX51&gt;0,ROUND(PX51*ReferralMix/(1-ReferralMix),0),0)</f>
        <v/>
      </c>
      <c r="PZ51" s="12">
        <f>PX51+PY51</f>
        <v/>
      </c>
      <c r="QA51" s="12">
        <f>ROUND(PZ51*(1-AnnualMix),0)</f>
        <v/>
      </c>
      <c r="QB51" s="12">
        <f>PZ51-QA51</f>
        <v/>
      </c>
      <c r="QC51" s="12">
        <f>ROUND(QA51*EssentialMix,0)</f>
        <v/>
      </c>
      <c r="QD51" s="12">
        <f>ROUND(QA51*PremiumMix,0)</f>
        <v/>
      </c>
      <c r="QE51" s="12">
        <f>QA51-QC51-QD51</f>
        <v/>
      </c>
      <c r="QF51" s="12">
        <f>ROUND(QB51*EssentialMix,0)</f>
        <v/>
      </c>
      <c r="QG51" s="12">
        <f>ROUND(QB51*PremiumMix,0)</f>
        <v/>
      </c>
      <c r="QH51" s="12">
        <f>QB51-QF51-QG51</f>
        <v/>
      </c>
      <c r="QI51" s="12">
        <f>QC51+QC50+QC49+MAX(0,QI50-QC50-QC49)*(1-PV51)</f>
        <v/>
      </c>
      <c r="QJ51" s="12">
        <f>QD51+QD50+QD49+MAX(0,QJ50-QD50-QD49)*(1-PV51)</f>
        <v/>
      </c>
      <c r="QK51" s="12">
        <f>QE51+QE50+QE49+MAX(0,QK50-QE50-QE49)*(1-PV51)</f>
        <v/>
      </c>
      <c r="QL51" s="12">
        <f>QL50+QF51-QF39*(AnnualChurn*VLOOKUP(PR51,ChurnSeasonTable,4,FALSE))*POWER(1-(AnnualChurn*VLOOKUP(PR51,ChurnSeasonTable,4,FALSE)),0)+QF27*(AnnualChurn*VLOOKUP(PR51,ChurnSeasonTable,4,FALSE))*POWER(1-(AnnualChurn*VLOOKUP(PR51,ChurnSeasonTable,4,FALSE)),1)+QF15*(AnnualChurn*VLOOKUP(PR51,ChurnSeasonTable,4,FALSE))*POWER(1-(AnnualChurn*VLOOKUP(PR51,ChurnSeasonTable,4,FALSE)),2)</f>
        <v/>
      </c>
      <c r="QM51" s="12">
        <f>QM50+QG51-QG39*(AnnualChurn*VLOOKUP(PR51,ChurnSeasonTable,4,FALSE))*POWER(1-(AnnualChurn*VLOOKUP(PR51,ChurnSeasonTable,4,FALSE)),0)+QG27*(AnnualChurn*VLOOKUP(PR51,ChurnSeasonTable,4,FALSE))*POWER(1-(AnnualChurn*VLOOKUP(PR51,ChurnSeasonTable,4,FALSE)),1)+QG15*(AnnualChurn*VLOOKUP(PR51,ChurnSeasonTable,4,FALSE))*POWER(1-(AnnualChurn*VLOOKUP(PR51,ChurnSeasonTable,4,FALSE)),2)</f>
        <v/>
      </c>
      <c r="QN51" s="12">
        <f>QN50+QH51-QH39*(AnnualChurn*VLOOKUP(PR51,ChurnSeasonTable,4,FALSE))*POWER(1-(AnnualChurn*VLOOKUP(PR51,ChurnSeasonTable,4,FALSE)),0)+QH27*(AnnualChurn*VLOOKUP(PR51,ChurnSeasonTable,4,FALSE))*POWER(1-(AnnualChurn*VLOOKUP(PR51,ChurnSeasonTable,4,FALSE)),1)+QH15*(AnnualChurn*VLOOKUP(PR51,ChurnSeasonTable,4,FALSE))*POWER(1-(AnnualChurn*VLOOKUP(PR51,ChurnSeasonTable,4,FALSE)),2)</f>
        <v/>
      </c>
      <c r="QO51" s="12">
        <f>QI51+QJ51+QK51+QL51+QM51+QN51</f>
        <v/>
      </c>
      <c r="QP51" s="9">
        <f>QI51*BlendedPriceEssMonthly*PU51+QJ51*BlendedPricePremMonthly*PU51+QK51*BlendedPriceEliteMonthly*PU51+QL51*BlendedPriceEssAnnual*PU51/12+QM51*BlendedPricePremAnnual*PU51/12+QN51*BlendedPriceEliteAnnual*PU51/12</f>
        <v/>
      </c>
      <c r="QQ51" s="9">
        <f>QP51*12</f>
        <v/>
      </c>
      <c r="QR51" s="12">
        <f>QI51*BlendedPriceEssMonthly*PU51+QJ51*BlendedPricePremMonthly*PU51+QK51*BlendedPriceEliteMonthly*PU51</f>
        <v/>
      </c>
      <c r="QS51" s="12">
        <f>QF51*BlendedPriceEssAnnual*PU51+QG51*BlendedPricePremAnnual*PU51+QH51*BlendedPriceEliteAnnual*PU51</f>
        <v/>
      </c>
      <c r="QT51" s="12">
        <f>QF39*POWER(1-(AnnualChurn*VLOOKUP(PR51,ChurnSeasonTable,4,FALSE)),1)*BlendedPriceEssAnnual*PU51+QF27*POWER(1-(AnnualChurn*VLOOKUP(PR51,ChurnSeasonTable,4,FALSE)),2)*BlendedPriceEssAnnual*PU51+QF15*POWER(1-(AnnualChurn*VLOOKUP(PR51,ChurnSeasonTable,4,FALSE)),3)*BlendedPriceEssAnnual*PU51+QG39*POWER(1-(AnnualChurn*VLOOKUP(PR51,ChurnSeasonTable,4,FALSE)),1)*BlendedPricePremAnnual*PU51+QG27*POWER(1-(AnnualChurn*VLOOKUP(PR51,ChurnSeasonTable,4,FALSE)),2)*BlendedPricePremAnnual*PU51+QG15*POWER(1-(AnnualChurn*VLOOKUP(PR51,ChurnSeasonTable,4,FALSE)),3)*BlendedPricePremAnnual*PU51+QH39*POWER(1-(AnnualChurn*VLOOKUP(PR51,ChurnSeasonTable,4,FALSE)),1)*BlendedPriceEliteAnnual*PU51+QH27*POWER(1-(AnnualChurn*VLOOKUP(PR51,ChurnSeasonTable,4,FALSE)),2)*BlendedPriceEliteAnnual*PU51+QH15*POWER(1-(AnnualChurn*VLOOKUP(PR51,ChurnSeasonTable,4,FALSE)),3)*BlendedPriceEliteAnnual*PU51</f>
        <v/>
      </c>
      <c r="QU51" s="9">
        <f>QR51+QS51+QT51</f>
        <v/>
      </c>
      <c r="QV51" s="12">
        <f>SUM(QU40:QU51)</f>
        <v/>
      </c>
      <c r="QW51" s="12">
        <f>OR(QW50,IF(VATAgentMode,SUM($QU40:$QU51)-SUM($RB40:$RB51)&gt;=VATThreshold,SUM($QU40:$QU51)&gt;=VATThreshold))</f>
        <v/>
      </c>
      <c r="QX51" s="9">
        <f>IF(QW51,IF(VATAgentMode,QU51-((QU51-RB51)-(QU51-RB51)/(1+VATRate)),QU51/(1+VATRate)),QU51)</f>
        <v/>
      </c>
      <c r="QY51" s="12">
        <f>QU51-QX51</f>
        <v/>
      </c>
      <c r="QZ51" s="12">
        <f>IF(QW51=0,0,IF(PR51=1,SUMPRODUCT(--(($PS$5:$PS51=$PS51-1)*($PR$5:$PR51&gt;=10)*($PR$5:$PR51&lt;=12)),$QY$5:$QY51),IF(PR51=4,SUMPRODUCT(--(($PS$5:$PS51=$PS51)*($PR$5:$PR51&gt;=1)*($PR$5:$PR51&lt;=3)),$QY$5:$QY51),IF(PR51=7,SUMPRODUCT(--(($PS$5:$PS51=$PS51)*($PR$5:$PR51&gt;=4)*($PR$5:$PR51&lt;=6)),$QY$5:$QY51),IF(PR51=10,SUMPRODUCT(--(($PS$5:$PS51=$PS51)*($PR$5:$PR51&gt;=7)*($PR$5:$PR51&lt;=9)),$QY$5:$QY51),0)))))</f>
        <v/>
      </c>
      <c r="RA51" s="12">
        <f>RA50+QY51-QZ51</f>
        <v/>
      </c>
      <c r="RB51" s="12">
        <f>IF(ProviderDelay&gt;=1,QI50*BlendedProvPayEss+QJ50*BlendedProvPayPrem+QK50*BlendedProvPayElite+QL50*BlendedProvPayEss+QM50*BlendedProvPayPrem+QN50*BlendedProvPayElite,QI51*BlendedProvPayEss+QJ51*BlendedProvPayPrem+QK51*BlendedProvPayElite+QL51*BlendedProvPayEss+QM51*BlendedProvPayPrem+QN51*BlendedProvPayElite)</f>
        <v/>
      </c>
      <c r="RC51" s="12">
        <f>QU51*PaymentFee</f>
        <v/>
      </c>
      <c r="RD51" s="12">
        <f>QO51*OpsAI</f>
        <v/>
      </c>
      <c r="RE51" s="12">
        <f>MonthlyFixed</f>
        <v/>
      </c>
      <c r="RF51" s="12">
        <f>PY51*ReferralReward</f>
        <v/>
      </c>
      <c r="RG51" s="12">
        <f>PW51</f>
        <v/>
      </c>
      <c r="RH51" s="9">
        <f>QX51-RB51-RC51-RD51-RE51-RF51-RG51</f>
        <v/>
      </c>
      <c r="RI51" s="9">
        <f>RI50+QU51-(RB51+RC51+RD51+RE51+RF51+RG51+QZ51)</f>
        <v/>
      </c>
      <c r="RJ51" s="12">
        <f>IF(QO51&gt;0,QP51/QO51,0)</f>
        <v/>
      </c>
      <c r="RK51" s="11">
        <f>IF(QO50&gt;0,MAX(0,(QO50+PZ51-QO51)/QO50),0)</f>
        <v/>
      </c>
      <c r="RM51" s="12" t="n">
        <v>47</v>
      </c>
      <c r="RN51" s="12">
        <f>MOD(RM51-1+LaunchMonth-1,12)+1</f>
        <v/>
      </c>
      <c r="RO51" s="12">
        <f>INT((RM51-1+LaunchMonth-1)/12)+1</f>
        <v/>
      </c>
      <c r="RP51" s="12">
        <f>VLOOKUP(RN51,SeasonTable,2,FALSE)</f>
        <v/>
      </c>
      <c r="RQ51" s="12">
        <f>(1+InflationRate)^INT((RM51-1)/12)</f>
        <v/>
      </c>
      <c r="RR51" s="11">
        <f>'Sens - Churn'!$A$20*VLOOKUP(RN51,ChurnSeasonTable,4,FALSE)</f>
        <v/>
      </c>
      <c r="RS51" s="12">
        <f>MIN(MAX(MktMin19plus,SQ50*MktPct19plus),MAX(0,TE50-CashBuffer))</f>
        <v/>
      </c>
      <c r="RT51" s="12">
        <f>IF(RS51&gt;0,MAX(1,ROUND(RS51/CAC*RP51,0)),0)</f>
        <v/>
      </c>
      <c r="RU51" s="12">
        <f>IF(RT51&gt;0,ROUND(RT51*ReferralMix/(1-ReferralMix),0),0)</f>
        <v/>
      </c>
      <c r="RV51" s="12">
        <f>RT51+RU51</f>
        <v/>
      </c>
      <c r="RW51" s="12">
        <f>ROUND(RV51*(1-AnnualMix),0)</f>
        <v/>
      </c>
      <c r="RX51" s="12">
        <f>RV51-RW51</f>
        <v/>
      </c>
      <c r="RY51" s="12">
        <f>ROUND(RW51*EssentialMix,0)</f>
        <v/>
      </c>
      <c r="RZ51" s="12">
        <f>ROUND(RW51*PremiumMix,0)</f>
        <v/>
      </c>
      <c r="SA51" s="12">
        <f>RW51-RY51-RZ51</f>
        <v/>
      </c>
      <c r="SB51" s="12">
        <f>ROUND(RX51*EssentialMix,0)</f>
        <v/>
      </c>
      <c r="SC51" s="12">
        <f>ROUND(RX51*PremiumMix,0)</f>
        <v/>
      </c>
      <c r="SD51" s="12">
        <f>RX51-SB51-SC51</f>
        <v/>
      </c>
      <c r="SE51" s="12">
        <f>RY51+RY50+RY49+MAX(0,SE50-RY50-RY49)*(1-RR51)</f>
        <v/>
      </c>
      <c r="SF51" s="12">
        <f>RZ51+RZ50+RZ49+MAX(0,SF50-RZ50-RZ49)*(1-RR51)</f>
        <v/>
      </c>
      <c r="SG51" s="12">
        <f>SA51+SA50+SA49+MAX(0,SG50-SA50-SA49)*(1-RR51)</f>
        <v/>
      </c>
      <c r="SH51" s="12">
        <f>SH50+SB51-SB39*(AnnualChurn*VLOOKUP(RN51,ChurnSeasonTable,4,FALSE))*POWER(1-(AnnualChurn*VLOOKUP(RN51,ChurnSeasonTable,4,FALSE)),0)+SB27*(AnnualChurn*VLOOKUP(RN51,ChurnSeasonTable,4,FALSE))*POWER(1-(AnnualChurn*VLOOKUP(RN51,ChurnSeasonTable,4,FALSE)),1)+SB15*(AnnualChurn*VLOOKUP(RN51,ChurnSeasonTable,4,FALSE))*POWER(1-(AnnualChurn*VLOOKUP(RN51,ChurnSeasonTable,4,FALSE)),2)</f>
        <v/>
      </c>
      <c r="SI51" s="12">
        <f>SI50+SC51-SC39*(AnnualChurn*VLOOKUP(RN51,ChurnSeasonTable,4,FALSE))*POWER(1-(AnnualChurn*VLOOKUP(RN51,ChurnSeasonTable,4,FALSE)),0)+SC27*(AnnualChurn*VLOOKUP(RN51,ChurnSeasonTable,4,FALSE))*POWER(1-(AnnualChurn*VLOOKUP(RN51,ChurnSeasonTable,4,FALSE)),1)+SC15*(AnnualChurn*VLOOKUP(RN51,ChurnSeasonTable,4,FALSE))*POWER(1-(AnnualChurn*VLOOKUP(RN51,ChurnSeasonTable,4,FALSE)),2)</f>
        <v/>
      </c>
      <c r="SJ51" s="12">
        <f>SJ50+SD51-SD39*(AnnualChurn*VLOOKUP(RN51,ChurnSeasonTable,4,FALSE))*POWER(1-(AnnualChurn*VLOOKUP(RN51,ChurnSeasonTable,4,FALSE)),0)+SD27*(AnnualChurn*VLOOKUP(RN51,ChurnSeasonTable,4,FALSE))*POWER(1-(AnnualChurn*VLOOKUP(RN51,ChurnSeasonTable,4,FALSE)),1)+SD15*(AnnualChurn*VLOOKUP(RN51,ChurnSeasonTable,4,FALSE))*POWER(1-(AnnualChurn*VLOOKUP(RN51,ChurnSeasonTable,4,FALSE)),2)</f>
        <v/>
      </c>
      <c r="SK51" s="12">
        <f>SE51+SF51+SG51+SH51+SI51+SJ51</f>
        <v/>
      </c>
      <c r="SL51" s="9">
        <f>SE51*BlendedPriceEssMonthly*RQ51+SF51*BlendedPricePremMonthly*RQ51+SG51*BlendedPriceEliteMonthly*RQ51+SH51*BlendedPriceEssAnnual*RQ51/12+SI51*BlendedPricePremAnnual*RQ51/12+SJ51*BlendedPriceEliteAnnual*RQ51/12</f>
        <v/>
      </c>
      <c r="SM51" s="9">
        <f>SL51*12</f>
        <v/>
      </c>
      <c r="SN51" s="12">
        <f>SE51*BlendedPriceEssMonthly*RQ51+SF51*BlendedPricePremMonthly*RQ51+SG51*BlendedPriceEliteMonthly*RQ51</f>
        <v/>
      </c>
      <c r="SO51" s="12">
        <f>SB51*BlendedPriceEssAnnual*RQ51+SC51*BlendedPricePremAnnual*RQ51+SD51*BlendedPriceEliteAnnual*RQ51</f>
        <v/>
      </c>
      <c r="SP51" s="12">
        <f>SB39*POWER(1-(AnnualChurn*VLOOKUP(RN51,ChurnSeasonTable,4,FALSE)),1)*BlendedPriceEssAnnual*RQ51+SB27*POWER(1-(AnnualChurn*VLOOKUP(RN51,ChurnSeasonTable,4,FALSE)),2)*BlendedPriceEssAnnual*RQ51+SB15*POWER(1-(AnnualChurn*VLOOKUP(RN51,ChurnSeasonTable,4,FALSE)),3)*BlendedPriceEssAnnual*RQ51+SC39*POWER(1-(AnnualChurn*VLOOKUP(RN51,ChurnSeasonTable,4,FALSE)),1)*BlendedPricePremAnnual*RQ51+SC27*POWER(1-(AnnualChurn*VLOOKUP(RN51,ChurnSeasonTable,4,FALSE)),2)*BlendedPricePremAnnual*RQ51+SC15*POWER(1-(AnnualChurn*VLOOKUP(RN51,ChurnSeasonTable,4,FALSE)),3)*BlendedPricePremAnnual*RQ51+SD39*POWER(1-(AnnualChurn*VLOOKUP(RN51,ChurnSeasonTable,4,FALSE)),1)*BlendedPriceEliteAnnual*RQ51+SD27*POWER(1-(AnnualChurn*VLOOKUP(RN51,ChurnSeasonTable,4,FALSE)),2)*BlendedPriceEliteAnnual*RQ51+SD15*POWER(1-(AnnualChurn*VLOOKUP(RN51,ChurnSeasonTable,4,FALSE)),3)*BlendedPriceEliteAnnual*RQ51</f>
        <v/>
      </c>
      <c r="SQ51" s="9">
        <f>SN51+SO51+SP51</f>
        <v/>
      </c>
      <c r="SR51" s="12">
        <f>SUM(SQ40:SQ51)</f>
        <v/>
      </c>
      <c r="SS51" s="12">
        <f>OR(SS50,IF(VATAgentMode,SUM($SQ40:$SQ51)-SUM($SX40:$SX51)&gt;=VATThreshold,SUM($SQ40:$SQ51)&gt;=VATThreshold))</f>
        <v/>
      </c>
      <c r="ST51" s="9">
        <f>IF(SS51,IF(VATAgentMode,SQ51-((SQ51-SX51)-(SQ51-SX51)/(1+VATRate)),SQ51/(1+VATRate)),SQ51)</f>
        <v/>
      </c>
      <c r="SU51" s="12">
        <f>SQ51-ST51</f>
        <v/>
      </c>
      <c r="SV51" s="12">
        <f>IF(SS51=0,0,IF(RN51=1,SUMPRODUCT(--(($RO$5:$RO51=$RO51-1)*($RN$5:$RN51&gt;=10)*($RN$5:$RN51&lt;=12)),$SU$5:$SU51),IF(RN51=4,SUMPRODUCT(--(($RO$5:$RO51=$RO51)*($RN$5:$RN51&gt;=1)*($RN$5:$RN51&lt;=3)),$SU$5:$SU51),IF(RN51=7,SUMPRODUCT(--(($RO$5:$RO51=$RO51)*($RN$5:$RN51&gt;=4)*($RN$5:$RN51&lt;=6)),$SU$5:$SU51),IF(RN51=10,SUMPRODUCT(--(($RO$5:$RO51=$RO51)*($RN$5:$RN51&gt;=7)*($RN$5:$RN51&lt;=9)),$SU$5:$SU51),0)))))</f>
        <v/>
      </c>
      <c r="SW51" s="12">
        <f>SW50+SU51-SV51</f>
        <v/>
      </c>
      <c r="SX51" s="12">
        <f>IF(ProviderDelay&gt;=1,SE50*BlendedProvPayEss+SF50*BlendedProvPayPrem+SG50*BlendedProvPayElite+SH50*BlendedProvPayEss+SI50*BlendedProvPayPrem+SJ50*BlendedProvPayElite,SE51*BlendedProvPayEss+SF51*BlendedProvPayPrem+SG51*BlendedProvPayElite+SH51*BlendedProvPayEss+SI51*BlendedProvPayPrem+SJ51*BlendedProvPayElite)</f>
        <v/>
      </c>
      <c r="SY51" s="12">
        <f>SQ51*PaymentFee</f>
        <v/>
      </c>
      <c r="SZ51" s="12">
        <f>SK51*OpsAI</f>
        <v/>
      </c>
      <c r="TA51" s="12">
        <f>MonthlyFixed</f>
        <v/>
      </c>
      <c r="TB51" s="12">
        <f>RU51*ReferralReward</f>
        <v/>
      </c>
      <c r="TC51" s="12">
        <f>RS51</f>
        <v/>
      </c>
      <c r="TD51" s="9">
        <f>ST51-SX51-SY51-SZ51-TA51-TB51-TC51</f>
        <v/>
      </c>
      <c r="TE51" s="9">
        <f>TE50+SQ51-(SX51+SY51+SZ51+TA51+TB51+TC51+SV51)</f>
        <v/>
      </c>
      <c r="TF51" s="12">
        <f>IF(SK51&gt;0,SL51/SK51,0)</f>
        <v/>
      </c>
      <c r="TG51" s="11">
        <f>IF(SK50&gt;0,MAX(0,(SK50+RV51-SK51)/SK50),0)</f>
        <v/>
      </c>
      <c r="TI51" s="12" t="n">
        <v>47</v>
      </c>
      <c r="TJ51" s="12">
        <f>MOD(TI51-1+LaunchMonth-1,12)+1</f>
        <v/>
      </c>
      <c r="TK51" s="12">
        <f>INT((TI51-1+LaunchMonth-1)/12)+1</f>
        <v/>
      </c>
      <c r="TL51" s="12">
        <f>VLOOKUP(TJ51,SeasonTable,2,FALSE)</f>
        <v/>
      </c>
      <c r="TM51" s="12">
        <f>(1+InflationRate)^INT((TI51-1)/12)</f>
        <v/>
      </c>
      <c r="TN51" s="11">
        <f>'Sens - Churn'!$A$21*VLOOKUP(TJ51,ChurnSeasonTable,4,FALSE)</f>
        <v/>
      </c>
      <c r="TO51" s="12">
        <f>MIN(MAX(MktMin19plus,UM50*MktPct19plus),MAX(0,VA50-CashBuffer))</f>
        <v/>
      </c>
      <c r="TP51" s="12">
        <f>IF(TO51&gt;0,MAX(1,ROUND(TO51/CAC*TL51,0)),0)</f>
        <v/>
      </c>
      <c r="TQ51" s="12">
        <f>IF(TP51&gt;0,ROUND(TP51*ReferralMix/(1-ReferralMix),0),0)</f>
        <v/>
      </c>
      <c r="TR51" s="12">
        <f>TP51+TQ51</f>
        <v/>
      </c>
      <c r="TS51" s="12">
        <f>ROUND(TR51*(1-AnnualMix),0)</f>
        <v/>
      </c>
      <c r="TT51" s="12">
        <f>TR51-TS51</f>
        <v/>
      </c>
      <c r="TU51" s="12">
        <f>ROUND(TS51*EssentialMix,0)</f>
        <v/>
      </c>
      <c r="TV51" s="12">
        <f>ROUND(TS51*PremiumMix,0)</f>
        <v/>
      </c>
      <c r="TW51" s="12">
        <f>TS51-TU51-TV51</f>
        <v/>
      </c>
      <c r="TX51" s="12">
        <f>ROUND(TT51*EssentialMix,0)</f>
        <v/>
      </c>
      <c r="TY51" s="12">
        <f>ROUND(TT51*PremiumMix,0)</f>
        <v/>
      </c>
      <c r="TZ51" s="12">
        <f>TT51-TX51-TY51</f>
        <v/>
      </c>
      <c r="UA51" s="12">
        <f>TU51+TU50+TU49+MAX(0,UA50-TU50-TU49)*(1-TN51)</f>
        <v/>
      </c>
      <c r="UB51" s="12">
        <f>TV51+TV50+TV49+MAX(0,UB50-TV50-TV49)*(1-TN51)</f>
        <v/>
      </c>
      <c r="UC51" s="12">
        <f>TW51+TW50+TW49+MAX(0,UC50-TW50-TW49)*(1-TN51)</f>
        <v/>
      </c>
      <c r="UD51" s="12">
        <f>UD50+TX51-TX39*(AnnualChurn*VLOOKUP(TJ51,ChurnSeasonTable,4,FALSE))*POWER(1-(AnnualChurn*VLOOKUP(TJ51,ChurnSeasonTable,4,FALSE)),0)+TX27*(AnnualChurn*VLOOKUP(TJ51,ChurnSeasonTable,4,FALSE))*POWER(1-(AnnualChurn*VLOOKUP(TJ51,ChurnSeasonTable,4,FALSE)),1)+TX15*(AnnualChurn*VLOOKUP(TJ51,ChurnSeasonTable,4,FALSE))*POWER(1-(AnnualChurn*VLOOKUP(TJ51,ChurnSeasonTable,4,FALSE)),2)</f>
        <v/>
      </c>
      <c r="UE51" s="12">
        <f>UE50+TY51-TY39*(AnnualChurn*VLOOKUP(TJ51,ChurnSeasonTable,4,FALSE))*POWER(1-(AnnualChurn*VLOOKUP(TJ51,ChurnSeasonTable,4,FALSE)),0)+TY27*(AnnualChurn*VLOOKUP(TJ51,ChurnSeasonTable,4,FALSE))*POWER(1-(AnnualChurn*VLOOKUP(TJ51,ChurnSeasonTable,4,FALSE)),1)+TY15*(AnnualChurn*VLOOKUP(TJ51,ChurnSeasonTable,4,FALSE))*POWER(1-(AnnualChurn*VLOOKUP(TJ51,ChurnSeasonTable,4,FALSE)),2)</f>
        <v/>
      </c>
      <c r="UF51" s="12">
        <f>UF50+TZ51-TZ39*(AnnualChurn*VLOOKUP(TJ51,ChurnSeasonTable,4,FALSE))*POWER(1-(AnnualChurn*VLOOKUP(TJ51,ChurnSeasonTable,4,FALSE)),0)+TZ27*(AnnualChurn*VLOOKUP(TJ51,ChurnSeasonTable,4,FALSE))*POWER(1-(AnnualChurn*VLOOKUP(TJ51,ChurnSeasonTable,4,FALSE)),1)+TZ15*(AnnualChurn*VLOOKUP(TJ51,ChurnSeasonTable,4,FALSE))*POWER(1-(AnnualChurn*VLOOKUP(TJ51,ChurnSeasonTable,4,FALSE)),2)</f>
        <v/>
      </c>
      <c r="UG51" s="12">
        <f>UA51+UB51+UC51+UD51+UE51+UF51</f>
        <v/>
      </c>
      <c r="UH51" s="9">
        <f>UA51*BlendedPriceEssMonthly*TM51+UB51*BlendedPricePremMonthly*TM51+UC51*BlendedPriceEliteMonthly*TM51+UD51*BlendedPriceEssAnnual*TM51/12+UE51*BlendedPricePremAnnual*TM51/12+UF51*BlendedPriceEliteAnnual*TM51/12</f>
        <v/>
      </c>
      <c r="UI51" s="9">
        <f>UH51*12</f>
        <v/>
      </c>
      <c r="UJ51" s="12">
        <f>UA51*BlendedPriceEssMonthly*TM51+UB51*BlendedPricePremMonthly*TM51+UC51*BlendedPriceEliteMonthly*TM51</f>
        <v/>
      </c>
      <c r="UK51" s="12">
        <f>TX51*BlendedPriceEssAnnual*TM51+TY51*BlendedPricePremAnnual*TM51+TZ51*BlendedPriceEliteAnnual*TM51</f>
        <v/>
      </c>
      <c r="UL51" s="12">
        <f>TX39*POWER(1-(AnnualChurn*VLOOKUP(TJ51,ChurnSeasonTable,4,FALSE)),1)*BlendedPriceEssAnnual*TM51+TX27*POWER(1-(AnnualChurn*VLOOKUP(TJ51,ChurnSeasonTable,4,FALSE)),2)*BlendedPriceEssAnnual*TM51+TX15*POWER(1-(AnnualChurn*VLOOKUP(TJ51,ChurnSeasonTable,4,FALSE)),3)*BlendedPriceEssAnnual*TM51+TY39*POWER(1-(AnnualChurn*VLOOKUP(TJ51,ChurnSeasonTable,4,FALSE)),1)*BlendedPricePremAnnual*TM51+TY27*POWER(1-(AnnualChurn*VLOOKUP(TJ51,ChurnSeasonTable,4,FALSE)),2)*BlendedPricePremAnnual*TM51+TY15*POWER(1-(AnnualChurn*VLOOKUP(TJ51,ChurnSeasonTable,4,FALSE)),3)*BlendedPricePremAnnual*TM51+TZ39*POWER(1-(AnnualChurn*VLOOKUP(TJ51,ChurnSeasonTable,4,FALSE)),1)*BlendedPriceEliteAnnual*TM51+TZ27*POWER(1-(AnnualChurn*VLOOKUP(TJ51,ChurnSeasonTable,4,FALSE)),2)*BlendedPriceEliteAnnual*TM51+TZ15*POWER(1-(AnnualChurn*VLOOKUP(TJ51,ChurnSeasonTable,4,FALSE)),3)*BlendedPriceEliteAnnual*TM51</f>
        <v/>
      </c>
      <c r="UM51" s="9">
        <f>UJ51+UK51+UL51</f>
        <v/>
      </c>
      <c r="UN51" s="12">
        <f>SUM(UM40:UM51)</f>
        <v/>
      </c>
      <c r="UO51" s="12">
        <f>OR(UO50,IF(VATAgentMode,SUM($UM40:$UM51)-SUM($UT40:$UT51)&gt;=VATThreshold,SUM($UM40:$UM51)&gt;=VATThreshold))</f>
        <v/>
      </c>
      <c r="UP51" s="9">
        <f>IF(UO51,IF(VATAgentMode,UM51-((UM51-UT51)-(UM51-UT51)/(1+VATRate)),UM51/(1+VATRate)),UM51)</f>
        <v/>
      </c>
      <c r="UQ51" s="12">
        <f>UM51-UP51</f>
        <v/>
      </c>
      <c r="UR51" s="12">
        <f>IF(UO51=0,0,IF(TJ51=1,SUMPRODUCT(--(($TK$5:$TK51=$TK51-1)*($TJ$5:$TJ51&gt;=10)*($TJ$5:$TJ51&lt;=12)),$UQ$5:$UQ51),IF(TJ51=4,SUMPRODUCT(--(($TK$5:$TK51=$TK51)*($TJ$5:$TJ51&gt;=1)*($TJ$5:$TJ51&lt;=3)),$UQ$5:$UQ51),IF(TJ51=7,SUMPRODUCT(--(($TK$5:$TK51=$TK51)*($TJ$5:$TJ51&gt;=4)*($TJ$5:$TJ51&lt;=6)),$UQ$5:$UQ51),IF(TJ51=10,SUMPRODUCT(--(($TK$5:$TK51=$TK51)*($TJ$5:$TJ51&gt;=7)*($TJ$5:$TJ51&lt;=9)),$UQ$5:$UQ51),0)))))</f>
        <v/>
      </c>
      <c r="US51" s="12">
        <f>US50+UQ51-UR51</f>
        <v/>
      </c>
      <c r="UT51" s="12">
        <f>IF(ProviderDelay&gt;=1,UA50*BlendedProvPayEss+UB50*BlendedProvPayPrem+UC50*BlendedProvPayElite+UD50*BlendedProvPayEss+UE50*BlendedProvPayPrem+UF50*BlendedProvPayElite,UA51*BlendedProvPayEss+UB51*BlendedProvPayPrem+UC51*BlendedProvPayElite+UD51*BlendedProvPayEss+UE51*BlendedProvPayPrem+UF51*BlendedProvPayElite)</f>
        <v/>
      </c>
      <c r="UU51" s="12">
        <f>UM51*PaymentFee</f>
        <v/>
      </c>
      <c r="UV51" s="12">
        <f>UG51*OpsAI</f>
        <v/>
      </c>
      <c r="UW51" s="12">
        <f>MonthlyFixed</f>
        <v/>
      </c>
      <c r="UX51" s="12">
        <f>TQ51*ReferralReward</f>
        <v/>
      </c>
      <c r="UY51" s="12">
        <f>TO51</f>
        <v/>
      </c>
      <c r="UZ51" s="9">
        <f>UP51-UT51-UU51-UV51-UW51-UX51-UY51</f>
        <v/>
      </c>
      <c r="VA51" s="9">
        <f>VA50+UM51-(UT51+UU51+UV51+UW51+UX51+UY51+UR51)</f>
        <v/>
      </c>
      <c r="VB51" s="12">
        <f>IF(UG51&gt;0,UH51/UG51,0)</f>
        <v/>
      </c>
      <c r="VC51" s="11">
        <f>IF(UG50&gt;0,MAX(0,(UG50+TR51-UG51)/UG50),0)</f>
        <v/>
      </c>
      <c r="VE51" s="12" t="n">
        <v>47</v>
      </c>
      <c r="VF51" s="12">
        <f>MOD(VE51-1+LaunchMonth-1,12)+1</f>
        <v/>
      </c>
      <c r="VG51" s="12">
        <f>INT((VE51-1+LaunchMonth-1)/12)+1</f>
        <v/>
      </c>
      <c r="VH51" s="12">
        <f>VLOOKUP(VF51,SeasonTable,2,FALSE)</f>
        <v/>
      </c>
      <c r="VI51" s="12">
        <f>(1+InflationRate)^INT((VE51-1)/12)</f>
        <v/>
      </c>
      <c r="VJ51" s="11">
        <f>MonthlyChurn*VLOOKUP(VF51,ChurnSeasonTable,4,FALSE)</f>
        <v/>
      </c>
      <c r="VK51" s="12">
        <f>MIN(MAX(MktMin19plus,WI50*MktPct19plus),MAX(0,WW50-CashBuffer))</f>
        <v/>
      </c>
      <c r="VL51" s="12">
        <f>IF(VK51&gt;0,MAX(1,ROUND(VK51/CAC*VH51,0)),0)</f>
        <v/>
      </c>
      <c r="VM51" s="12">
        <f>IF(VL51&gt;0,ROUND(VL51*ReferralMix/(1-ReferralMix),0),0)</f>
        <v/>
      </c>
      <c r="VN51" s="12">
        <f>VL51+VM51</f>
        <v/>
      </c>
      <c r="VO51" s="12">
        <f>ROUND(VN51*(1-'Sens - Annual Mix'!$A$9),0)</f>
        <v/>
      </c>
      <c r="VP51" s="12">
        <f>VN51-VO51</f>
        <v/>
      </c>
      <c r="VQ51" s="12">
        <f>ROUND(VO51*EssentialMix,0)</f>
        <v/>
      </c>
      <c r="VR51" s="12">
        <f>ROUND(VO51*PremiumMix,0)</f>
        <v/>
      </c>
      <c r="VS51" s="12">
        <f>VO51-VQ51-VR51</f>
        <v/>
      </c>
      <c r="VT51" s="12">
        <f>ROUND(VP51*EssentialMix,0)</f>
        <v/>
      </c>
      <c r="VU51" s="12">
        <f>ROUND(VP51*PremiumMix,0)</f>
        <v/>
      </c>
      <c r="VV51" s="12">
        <f>VP51-VT51-VU51</f>
        <v/>
      </c>
      <c r="VW51" s="12">
        <f>VQ51+VQ50+VQ49+MAX(0,VW50-VQ50-VQ49)*(1-VJ51)</f>
        <v/>
      </c>
      <c r="VX51" s="12">
        <f>VR51+VR50+VR49+MAX(0,VX50-VR50-VR49)*(1-VJ51)</f>
        <v/>
      </c>
      <c r="VY51" s="12">
        <f>VS51+VS50+VS49+MAX(0,VY50-VS50-VS49)*(1-VJ51)</f>
        <v/>
      </c>
      <c r="VZ51" s="12">
        <f>VZ50+VT51-VT39*(AnnualChurn*VLOOKUP(VF51,ChurnSeasonTable,4,FALSE))*POWER(1-(AnnualChurn*VLOOKUP(VF51,ChurnSeasonTable,4,FALSE)),0)+VT27*(AnnualChurn*VLOOKUP(VF51,ChurnSeasonTable,4,FALSE))*POWER(1-(AnnualChurn*VLOOKUP(VF51,ChurnSeasonTable,4,FALSE)),1)+VT15*(AnnualChurn*VLOOKUP(VF51,ChurnSeasonTable,4,FALSE))*POWER(1-(AnnualChurn*VLOOKUP(VF51,ChurnSeasonTable,4,FALSE)),2)</f>
        <v/>
      </c>
      <c r="WA51" s="12">
        <f>WA50+VU51-VU39*(AnnualChurn*VLOOKUP(VF51,ChurnSeasonTable,4,FALSE))*POWER(1-(AnnualChurn*VLOOKUP(VF51,ChurnSeasonTable,4,FALSE)),0)+VU27*(AnnualChurn*VLOOKUP(VF51,ChurnSeasonTable,4,FALSE))*POWER(1-(AnnualChurn*VLOOKUP(VF51,ChurnSeasonTable,4,FALSE)),1)+VU15*(AnnualChurn*VLOOKUP(VF51,ChurnSeasonTable,4,FALSE))*POWER(1-(AnnualChurn*VLOOKUP(VF51,ChurnSeasonTable,4,FALSE)),2)</f>
        <v/>
      </c>
      <c r="WB51" s="12">
        <f>WB50+VV51-VV39*(AnnualChurn*VLOOKUP(VF51,ChurnSeasonTable,4,FALSE))*POWER(1-(AnnualChurn*VLOOKUP(VF51,ChurnSeasonTable,4,FALSE)),0)+VV27*(AnnualChurn*VLOOKUP(VF51,ChurnSeasonTable,4,FALSE))*POWER(1-(AnnualChurn*VLOOKUP(VF51,ChurnSeasonTable,4,FALSE)),1)+VV15*(AnnualChurn*VLOOKUP(VF51,ChurnSeasonTable,4,FALSE))*POWER(1-(AnnualChurn*VLOOKUP(VF51,ChurnSeasonTable,4,FALSE)),2)</f>
        <v/>
      </c>
      <c r="WC51" s="12">
        <f>VW51+VX51+VY51+VZ51+WA51+WB51</f>
        <v/>
      </c>
      <c r="WD51" s="9">
        <f>VW51*BlendedPriceEssMonthly*VI51+VX51*BlendedPricePremMonthly*VI51+VY51*BlendedPriceEliteMonthly*VI51+VZ51*BlendedPriceEssAnnual*VI51/12+WA51*BlendedPricePremAnnual*VI51/12+WB51*BlendedPriceEliteAnnual*VI51/12</f>
        <v/>
      </c>
      <c r="WE51" s="9">
        <f>WD51*12</f>
        <v/>
      </c>
      <c r="WF51" s="12">
        <f>VW51*BlendedPriceEssMonthly*VI51+VX51*BlendedPricePremMonthly*VI51+VY51*BlendedPriceEliteMonthly*VI51</f>
        <v/>
      </c>
      <c r="WG51" s="12">
        <f>VT51*BlendedPriceEssAnnual*VI51+VU51*BlendedPricePremAnnual*VI51+VV51*BlendedPriceEliteAnnual*VI51</f>
        <v/>
      </c>
      <c r="WH51" s="12">
        <f>VT39*POWER(1-(AnnualChurn*VLOOKUP(VF51,ChurnSeasonTable,4,FALSE)),1)*BlendedPriceEssAnnual*VI51+VT27*POWER(1-(AnnualChurn*VLOOKUP(VF51,ChurnSeasonTable,4,FALSE)),2)*BlendedPriceEssAnnual*VI51+VT15*POWER(1-(AnnualChurn*VLOOKUP(VF51,ChurnSeasonTable,4,FALSE)),3)*BlendedPriceEssAnnual*VI51+VU39*POWER(1-(AnnualChurn*VLOOKUP(VF51,ChurnSeasonTable,4,FALSE)),1)*BlendedPricePremAnnual*VI51+VU27*POWER(1-(AnnualChurn*VLOOKUP(VF51,ChurnSeasonTable,4,FALSE)),2)*BlendedPricePremAnnual*VI51+VU15*POWER(1-(AnnualChurn*VLOOKUP(VF51,ChurnSeasonTable,4,FALSE)),3)*BlendedPricePremAnnual*VI51+VV39*POWER(1-(AnnualChurn*VLOOKUP(VF51,ChurnSeasonTable,4,FALSE)),1)*BlendedPriceEliteAnnual*VI51+VV27*POWER(1-(AnnualChurn*VLOOKUP(VF51,ChurnSeasonTable,4,FALSE)),2)*BlendedPriceEliteAnnual*VI51+VV15*POWER(1-(AnnualChurn*VLOOKUP(VF51,ChurnSeasonTable,4,FALSE)),3)*BlendedPriceEliteAnnual*VI51</f>
        <v/>
      </c>
      <c r="WI51" s="9">
        <f>WF51+WG51+WH51</f>
        <v/>
      </c>
      <c r="WJ51" s="12">
        <f>SUM(WI40:WI51)</f>
        <v/>
      </c>
      <c r="WK51" s="12">
        <f>OR(WK50,IF(VATAgentMode,SUM($WI40:$WI51)-SUM($WP40:$WP51)&gt;=VATThreshold,SUM($WI40:$WI51)&gt;=VATThreshold))</f>
        <v/>
      </c>
      <c r="WL51" s="9">
        <f>IF(WK51,IF(VATAgentMode,WI51-((WI51-WP51)-(WI51-WP51)/(1+VATRate)),WI51/(1+VATRate)),WI51)</f>
        <v/>
      </c>
      <c r="WM51" s="12">
        <f>WI51-WL51</f>
        <v/>
      </c>
      <c r="WN51" s="12">
        <f>IF(WK51=0,0,IF(VF51=1,SUMPRODUCT(--(($VG$5:$VG51=$VG51-1)*($VF$5:$VF51&gt;=10)*($VF$5:$VF51&lt;=12)),$WM$5:$WM51),IF(VF51=4,SUMPRODUCT(--(($VG$5:$VG51=$VG51)*($VF$5:$VF51&gt;=1)*($VF$5:$VF51&lt;=3)),$WM$5:$WM51),IF(VF51=7,SUMPRODUCT(--(($VG$5:$VG51=$VG51)*($VF$5:$VF51&gt;=4)*($VF$5:$VF51&lt;=6)),$WM$5:$WM51),IF(VF51=10,SUMPRODUCT(--(($VG$5:$VG51=$VG51)*($VF$5:$VF51&gt;=7)*($VF$5:$VF51&lt;=9)),$WM$5:$WM51),0)))))</f>
        <v/>
      </c>
      <c r="WO51" s="12">
        <f>WO50+WM51-WN51</f>
        <v/>
      </c>
      <c r="WP51" s="12">
        <f>IF(ProviderDelay&gt;=1,VW50*BlendedProvPayEss+VX50*BlendedProvPayPrem+VY50*BlendedProvPayElite+VZ50*BlendedProvPayEss+WA50*BlendedProvPayPrem+WB50*BlendedProvPayElite,VW51*BlendedProvPayEss+VX51*BlendedProvPayPrem+VY51*BlendedProvPayElite+VZ51*BlendedProvPayEss+WA51*BlendedProvPayPrem+WB51*BlendedProvPayElite)</f>
        <v/>
      </c>
      <c r="WQ51" s="12">
        <f>WI51*PaymentFee</f>
        <v/>
      </c>
      <c r="WR51" s="12">
        <f>WC51*OpsAI</f>
        <v/>
      </c>
      <c r="WS51" s="12">
        <f>MonthlyFixed</f>
        <v/>
      </c>
      <c r="WT51" s="12">
        <f>VM51*ReferralReward</f>
        <v/>
      </c>
      <c r="WU51" s="12">
        <f>VK51</f>
        <v/>
      </c>
      <c r="WV51" s="9">
        <f>WL51-WP51-WQ51-WR51-WS51-WT51-WU51</f>
        <v/>
      </c>
      <c r="WW51" s="9">
        <f>WW50+WI51-(WP51+WQ51+WR51+WS51+WT51+WU51+WN51)</f>
        <v/>
      </c>
      <c r="WX51" s="12">
        <f>IF(WC51&gt;0,WD51/WC51,0)</f>
        <v/>
      </c>
      <c r="WY51" s="11">
        <f>IF(WC50&gt;0,MAX(0,(WC50+VN51-WC51)/WC50),0)</f>
        <v/>
      </c>
      <c r="XA51" s="12" t="n">
        <v>47</v>
      </c>
      <c r="XB51" s="12">
        <f>MOD(XA51-1+LaunchMonth-1,12)+1</f>
        <v/>
      </c>
      <c r="XC51" s="12">
        <f>INT((XA51-1+LaunchMonth-1)/12)+1</f>
        <v/>
      </c>
      <c r="XD51" s="12">
        <f>VLOOKUP(XB51,SeasonTable,2,FALSE)</f>
        <v/>
      </c>
      <c r="XE51" s="12">
        <f>(1+InflationRate)^INT((XA51-1)/12)</f>
        <v/>
      </c>
      <c r="XF51" s="11">
        <f>MonthlyChurn*VLOOKUP(XB51,ChurnSeasonTable,4,FALSE)</f>
        <v/>
      </c>
      <c r="XG51" s="12">
        <f>MIN(MAX(MktMin19plus,YE50*MktPct19plus),MAX(0,YS50-CashBuffer))</f>
        <v/>
      </c>
      <c r="XH51" s="12">
        <f>IF(XG51&gt;0,MAX(1,ROUND(XG51/CAC*XD51,0)),0)</f>
        <v/>
      </c>
      <c r="XI51" s="12">
        <f>IF(XH51&gt;0,ROUND(XH51*ReferralMix/(1-ReferralMix),0),0)</f>
        <v/>
      </c>
      <c r="XJ51" s="12">
        <f>XH51+XI51</f>
        <v/>
      </c>
      <c r="XK51" s="12">
        <f>ROUND(XJ51*(1-'Sens - Annual Mix'!$A$10),0)</f>
        <v/>
      </c>
      <c r="XL51" s="12">
        <f>XJ51-XK51</f>
        <v/>
      </c>
      <c r="XM51" s="12">
        <f>ROUND(XK51*EssentialMix,0)</f>
        <v/>
      </c>
      <c r="XN51" s="12">
        <f>ROUND(XK51*PremiumMix,0)</f>
        <v/>
      </c>
      <c r="XO51" s="12">
        <f>XK51-XM51-XN51</f>
        <v/>
      </c>
      <c r="XP51" s="12">
        <f>ROUND(XL51*EssentialMix,0)</f>
        <v/>
      </c>
      <c r="XQ51" s="12">
        <f>ROUND(XL51*PremiumMix,0)</f>
        <v/>
      </c>
      <c r="XR51" s="12">
        <f>XL51-XP51-XQ51</f>
        <v/>
      </c>
      <c r="XS51" s="12">
        <f>XM51+XM50+XM49+MAX(0,XS50-XM50-XM49)*(1-XF51)</f>
        <v/>
      </c>
      <c r="XT51" s="12">
        <f>XN51+XN50+XN49+MAX(0,XT50-XN50-XN49)*(1-XF51)</f>
        <v/>
      </c>
      <c r="XU51" s="12">
        <f>XO51+XO50+XO49+MAX(0,XU50-XO50-XO49)*(1-XF51)</f>
        <v/>
      </c>
      <c r="XV51" s="12">
        <f>XV50+XP51-XP39*(AnnualChurn*VLOOKUP(XB51,ChurnSeasonTable,4,FALSE))*POWER(1-(AnnualChurn*VLOOKUP(XB51,ChurnSeasonTable,4,FALSE)),0)+XP27*(AnnualChurn*VLOOKUP(XB51,ChurnSeasonTable,4,FALSE))*POWER(1-(AnnualChurn*VLOOKUP(XB51,ChurnSeasonTable,4,FALSE)),1)+XP15*(AnnualChurn*VLOOKUP(XB51,ChurnSeasonTable,4,FALSE))*POWER(1-(AnnualChurn*VLOOKUP(XB51,ChurnSeasonTable,4,FALSE)),2)</f>
        <v/>
      </c>
      <c r="XW51" s="12">
        <f>XW50+XQ51-XQ39*(AnnualChurn*VLOOKUP(XB51,ChurnSeasonTable,4,FALSE))*POWER(1-(AnnualChurn*VLOOKUP(XB51,ChurnSeasonTable,4,FALSE)),0)+XQ27*(AnnualChurn*VLOOKUP(XB51,ChurnSeasonTable,4,FALSE))*POWER(1-(AnnualChurn*VLOOKUP(XB51,ChurnSeasonTable,4,FALSE)),1)+XQ15*(AnnualChurn*VLOOKUP(XB51,ChurnSeasonTable,4,FALSE))*POWER(1-(AnnualChurn*VLOOKUP(XB51,ChurnSeasonTable,4,FALSE)),2)</f>
        <v/>
      </c>
      <c r="XX51" s="12">
        <f>XX50+XR51-XR39*(AnnualChurn*VLOOKUP(XB51,ChurnSeasonTable,4,FALSE))*POWER(1-(AnnualChurn*VLOOKUP(XB51,ChurnSeasonTable,4,FALSE)),0)+XR27*(AnnualChurn*VLOOKUP(XB51,ChurnSeasonTable,4,FALSE))*POWER(1-(AnnualChurn*VLOOKUP(XB51,ChurnSeasonTable,4,FALSE)),1)+XR15*(AnnualChurn*VLOOKUP(XB51,ChurnSeasonTable,4,FALSE))*POWER(1-(AnnualChurn*VLOOKUP(XB51,ChurnSeasonTable,4,FALSE)),2)</f>
        <v/>
      </c>
      <c r="XY51" s="12">
        <f>XS51+XT51+XU51+XV51+XW51+XX51</f>
        <v/>
      </c>
      <c r="XZ51" s="9">
        <f>XS51*BlendedPriceEssMonthly*XE51+XT51*BlendedPricePremMonthly*XE51+XU51*BlendedPriceEliteMonthly*XE51+XV51*BlendedPriceEssAnnual*XE51/12+XW51*BlendedPricePremAnnual*XE51/12+XX51*BlendedPriceEliteAnnual*XE51/12</f>
        <v/>
      </c>
      <c r="YA51" s="9">
        <f>XZ51*12</f>
        <v/>
      </c>
      <c r="YB51" s="12">
        <f>XS51*BlendedPriceEssMonthly*XE51+XT51*BlendedPricePremMonthly*XE51+XU51*BlendedPriceEliteMonthly*XE51</f>
        <v/>
      </c>
      <c r="YC51" s="12">
        <f>XP51*BlendedPriceEssAnnual*XE51+XQ51*BlendedPricePremAnnual*XE51+XR51*BlendedPriceEliteAnnual*XE51</f>
        <v/>
      </c>
      <c r="YD51" s="12">
        <f>XP39*POWER(1-(AnnualChurn*VLOOKUP(XB51,ChurnSeasonTable,4,FALSE)),1)*BlendedPriceEssAnnual*XE51+XP27*POWER(1-(AnnualChurn*VLOOKUP(XB51,ChurnSeasonTable,4,FALSE)),2)*BlendedPriceEssAnnual*XE51+XP15*POWER(1-(AnnualChurn*VLOOKUP(XB51,ChurnSeasonTable,4,FALSE)),3)*BlendedPriceEssAnnual*XE51+XQ39*POWER(1-(AnnualChurn*VLOOKUP(XB51,ChurnSeasonTable,4,FALSE)),1)*BlendedPricePremAnnual*XE51+XQ27*POWER(1-(AnnualChurn*VLOOKUP(XB51,ChurnSeasonTable,4,FALSE)),2)*BlendedPricePremAnnual*XE51+XQ15*POWER(1-(AnnualChurn*VLOOKUP(XB51,ChurnSeasonTable,4,FALSE)),3)*BlendedPricePremAnnual*XE51+XR39*POWER(1-(AnnualChurn*VLOOKUP(XB51,ChurnSeasonTable,4,FALSE)),1)*BlendedPriceEliteAnnual*XE51+XR27*POWER(1-(AnnualChurn*VLOOKUP(XB51,ChurnSeasonTable,4,FALSE)),2)*BlendedPriceEliteAnnual*XE51+XR15*POWER(1-(AnnualChurn*VLOOKUP(XB51,ChurnSeasonTable,4,FALSE)),3)*BlendedPriceEliteAnnual*XE51</f>
        <v/>
      </c>
      <c r="YE51" s="9">
        <f>YB51+YC51+YD51</f>
        <v/>
      </c>
      <c r="YF51" s="12">
        <f>SUM(YE40:YE51)</f>
        <v/>
      </c>
      <c r="YG51" s="12">
        <f>OR(YG50,IF(VATAgentMode,SUM($YE40:$YE51)-SUM($YL40:$YL51)&gt;=VATThreshold,SUM($YE40:$YE51)&gt;=VATThreshold))</f>
        <v/>
      </c>
      <c r="YH51" s="9">
        <f>IF(YG51,IF(VATAgentMode,YE51-((YE51-YL51)-(YE51-YL51)/(1+VATRate)),YE51/(1+VATRate)),YE51)</f>
        <v/>
      </c>
      <c r="YI51" s="12">
        <f>YE51-YH51</f>
        <v/>
      </c>
      <c r="YJ51" s="12">
        <f>IF(YG51=0,0,IF(XB51=1,SUMPRODUCT(--(($XC$5:$XC51=$XC51-1)*($XB$5:$XB51&gt;=10)*($XB$5:$XB51&lt;=12)),$YI$5:$YI51),IF(XB51=4,SUMPRODUCT(--(($XC$5:$XC51=$XC51)*($XB$5:$XB51&gt;=1)*($XB$5:$XB51&lt;=3)),$YI$5:$YI51),IF(XB51=7,SUMPRODUCT(--(($XC$5:$XC51=$XC51)*($XB$5:$XB51&gt;=4)*($XB$5:$XB51&lt;=6)),$YI$5:$YI51),IF(XB51=10,SUMPRODUCT(--(($XC$5:$XC51=$XC51)*($XB$5:$XB51&gt;=7)*($XB$5:$XB51&lt;=9)),$YI$5:$YI51),0)))))</f>
        <v/>
      </c>
      <c r="YK51" s="12">
        <f>YK50+YI51-YJ51</f>
        <v/>
      </c>
      <c r="YL51" s="12">
        <f>IF(ProviderDelay&gt;=1,XS50*BlendedProvPayEss+XT50*BlendedProvPayPrem+XU50*BlendedProvPayElite+XV50*BlendedProvPayEss+XW50*BlendedProvPayPrem+XX50*BlendedProvPayElite,XS51*BlendedProvPayEss+XT51*BlendedProvPayPrem+XU51*BlendedProvPayElite+XV51*BlendedProvPayEss+XW51*BlendedProvPayPrem+XX51*BlendedProvPayElite)</f>
        <v/>
      </c>
      <c r="YM51" s="12">
        <f>YE51*PaymentFee</f>
        <v/>
      </c>
      <c r="YN51" s="12">
        <f>XY51*OpsAI</f>
        <v/>
      </c>
      <c r="YO51" s="12">
        <f>MonthlyFixed</f>
        <v/>
      </c>
      <c r="YP51" s="12">
        <f>XI51*ReferralReward</f>
        <v/>
      </c>
      <c r="YQ51" s="12">
        <f>XG51</f>
        <v/>
      </c>
      <c r="YR51" s="9">
        <f>YH51-YL51-YM51-YN51-YO51-YP51-YQ51</f>
        <v/>
      </c>
      <c r="YS51" s="9">
        <f>YS50+YE51-(YL51+YM51+YN51+YO51+YP51+YQ51+YJ51)</f>
        <v/>
      </c>
      <c r="YT51" s="12">
        <f>IF(XY51&gt;0,XZ51/XY51,0)</f>
        <v/>
      </c>
      <c r="YU51" s="11">
        <f>IF(XY50&gt;0,MAX(0,(XY50+XJ51-XY51)/XY50),0)</f>
        <v/>
      </c>
      <c r="YW51" s="12" t="n">
        <v>47</v>
      </c>
      <c r="YX51" s="12">
        <f>MOD(YW51-1+LaunchMonth-1,12)+1</f>
        <v/>
      </c>
      <c r="YY51" s="12">
        <f>INT((YW51-1+LaunchMonth-1)/12)+1</f>
        <v/>
      </c>
      <c r="YZ51" s="12">
        <f>VLOOKUP(YX51,SeasonTable,2,FALSE)</f>
        <v/>
      </c>
      <c r="ZA51" s="12">
        <f>(1+InflationRate)^INT((YW51-1)/12)</f>
        <v/>
      </c>
      <c r="ZB51" s="11">
        <f>MonthlyChurn*VLOOKUP(YX51,ChurnSeasonTable,4,FALSE)</f>
        <v/>
      </c>
      <c r="ZC51" s="12">
        <f>MIN(MAX(MktMin19plus,AAA50*MktPct19plus),MAX(0,AAO50-CashBuffer))</f>
        <v/>
      </c>
      <c r="ZD51" s="12">
        <f>IF(ZC51&gt;0,MAX(1,ROUND(ZC51/CAC*YZ51,0)),0)</f>
        <v/>
      </c>
      <c r="ZE51" s="12">
        <f>IF(ZD51&gt;0,ROUND(ZD51*ReferralMix/(1-ReferralMix),0),0)</f>
        <v/>
      </c>
      <c r="ZF51" s="12">
        <f>ZD51+ZE51</f>
        <v/>
      </c>
      <c r="ZG51" s="12">
        <f>ROUND(ZF51*(1-'Sens - Annual Mix'!$A$11),0)</f>
        <v/>
      </c>
      <c r="ZH51" s="12">
        <f>ZF51-ZG51</f>
        <v/>
      </c>
      <c r="ZI51" s="12">
        <f>ROUND(ZG51*EssentialMix,0)</f>
        <v/>
      </c>
      <c r="ZJ51" s="12">
        <f>ROUND(ZG51*PremiumMix,0)</f>
        <v/>
      </c>
      <c r="ZK51" s="12">
        <f>ZG51-ZI51-ZJ51</f>
        <v/>
      </c>
      <c r="ZL51" s="12">
        <f>ROUND(ZH51*EssentialMix,0)</f>
        <v/>
      </c>
      <c r="ZM51" s="12">
        <f>ROUND(ZH51*PremiumMix,0)</f>
        <v/>
      </c>
      <c r="ZN51" s="12">
        <f>ZH51-ZL51-ZM51</f>
        <v/>
      </c>
      <c r="ZO51" s="12">
        <f>ZI51+ZI50+ZI49+MAX(0,ZO50-ZI50-ZI49)*(1-ZB51)</f>
        <v/>
      </c>
      <c r="ZP51" s="12">
        <f>ZJ51+ZJ50+ZJ49+MAX(0,ZP50-ZJ50-ZJ49)*(1-ZB51)</f>
        <v/>
      </c>
      <c r="ZQ51" s="12">
        <f>ZK51+ZK50+ZK49+MAX(0,ZQ50-ZK50-ZK49)*(1-ZB51)</f>
        <v/>
      </c>
      <c r="ZR51" s="12">
        <f>ZR50+ZL51-ZL39*(AnnualChurn*VLOOKUP(YX51,ChurnSeasonTable,4,FALSE))*POWER(1-(AnnualChurn*VLOOKUP(YX51,ChurnSeasonTable,4,FALSE)),0)+ZL27*(AnnualChurn*VLOOKUP(YX51,ChurnSeasonTable,4,FALSE))*POWER(1-(AnnualChurn*VLOOKUP(YX51,ChurnSeasonTable,4,FALSE)),1)+ZL15*(AnnualChurn*VLOOKUP(YX51,ChurnSeasonTable,4,FALSE))*POWER(1-(AnnualChurn*VLOOKUP(YX51,ChurnSeasonTable,4,FALSE)),2)</f>
        <v/>
      </c>
      <c r="ZS51" s="12">
        <f>ZS50+ZM51-ZM39*(AnnualChurn*VLOOKUP(YX51,ChurnSeasonTable,4,FALSE))*POWER(1-(AnnualChurn*VLOOKUP(YX51,ChurnSeasonTable,4,FALSE)),0)+ZM27*(AnnualChurn*VLOOKUP(YX51,ChurnSeasonTable,4,FALSE))*POWER(1-(AnnualChurn*VLOOKUP(YX51,ChurnSeasonTable,4,FALSE)),1)+ZM15*(AnnualChurn*VLOOKUP(YX51,ChurnSeasonTable,4,FALSE))*POWER(1-(AnnualChurn*VLOOKUP(YX51,ChurnSeasonTable,4,FALSE)),2)</f>
        <v/>
      </c>
      <c r="ZT51" s="12">
        <f>ZT50+ZN51-ZN39*(AnnualChurn*VLOOKUP(YX51,ChurnSeasonTable,4,FALSE))*POWER(1-(AnnualChurn*VLOOKUP(YX51,ChurnSeasonTable,4,FALSE)),0)+ZN27*(AnnualChurn*VLOOKUP(YX51,ChurnSeasonTable,4,FALSE))*POWER(1-(AnnualChurn*VLOOKUP(YX51,ChurnSeasonTable,4,FALSE)),1)+ZN15*(AnnualChurn*VLOOKUP(YX51,ChurnSeasonTable,4,FALSE))*POWER(1-(AnnualChurn*VLOOKUP(YX51,ChurnSeasonTable,4,FALSE)),2)</f>
        <v/>
      </c>
      <c r="ZU51" s="12">
        <f>ZO51+ZP51+ZQ51+ZR51+ZS51+ZT51</f>
        <v/>
      </c>
      <c r="ZV51" s="9">
        <f>ZO51*BlendedPriceEssMonthly*ZA51+ZP51*BlendedPricePremMonthly*ZA51+ZQ51*BlendedPriceEliteMonthly*ZA51+ZR51*BlendedPriceEssAnnual*ZA51/12+ZS51*BlendedPricePremAnnual*ZA51/12+ZT51*BlendedPriceEliteAnnual*ZA51/12</f>
        <v/>
      </c>
      <c r="ZW51" s="9">
        <f>ZV51*12</f>
        <v/>
      </c>
      <c r="ZX51" s="12">
        <f>ZO51*BlendedPriceEssMonthly*ZA51+ZP51*BlendedPricePremMonthly*ZA51+ZQ51*BlendedPriceEliteMonthly*ZA51</f>
        <v/>
      </c>
      <c r="ZY51" s="12">
        <f>ZL51*BlendedPriceEssAnnual*ZA51+ZM51*BlendedPricePremAnnual*ZA51+ZN51*BlendedPriceEliteAnnual*ZA51</f>
        <v/>
      </c>
      <c r="ZZ51" s="12">
        <f>ZL39*POWER(1-(AnnualChurn*VLOOKUP(YX51,ChurnSeasonTable,4,FALSE)),1)*BlendedPriceEssAnnual*ZA51+ZL27*POWER(1-(AnnualChurn*VLOOKUP(YX51,ChurnSeasonTable,4,FALSE)),2)*BlendedPriceEssAnnual*ZA51+ZL15*POWER(1-(AnnualChurn*VLOOKUP(YX51,ChurnSeasonTable,4,FALSE)),3)*BlendedPriceEssAnnual*ZA51+ZM39*POWER(1-(AnnualChurn*VLOOKUP(YX51,ChurnSeasonTable,4,FALSE)),1)*BlendedPricePremAnnual*ZA51+ZM27*POWER(1-(AnnualChurn*VLOOKUP(YX51,ChurnSeasonTable,4,FALSE)),2)*BlendedPricePremAnnual*ZA51+ZM15*POWER(1-(AnnualChurn*VLOOKUP(YX51,ChurnSeasonTable,4,FALSE)),3)*BlendedPricePremAnnual*ZA51+ZN39*POWER(1-(AnnualChurn*VLOOKUP(YX51,ChurnSeasonTable,4,FALSE)),1)*BlendedPriceEliteAnnual*ZA51+ZN27*POWER(1-(AnnualChurn*VLOOKUP(YX51,ChurnSeasonTable,4,FALSE)),2)*BlendedPriceEliteAnnual*ZA51+ZN15*POWER(1-(AnnualChurn*VLOOKUP(YX51,ChurnSeasonTable,4,FALSE)),3)*BlendedPriceEliteAnnual*ZA51</f>
        <v/>
      </c>
      <c r="AAA51" s="9">
        <f>ZX51+ZY51+ZZ51</f>
        <v/>
      </c>
      <c r="AAB51" s="12">
        <f>SUM(AAA40:AAA51)</f>
        <v/>
      </c>
      <c r="AAC51" s="12">
        <f>OR(AAC50,IF(VATAgentMode,SUM($AAA40:$AAA51)-SUM($AAH40:$AAH51)&gt;=VATThreshold,SUM($AAA40:$AAA51)&gt;=VATThreshold))</f>
        <v/>
      </c>
      <c r="AAD51" s="9">
        <f>IF(AAC51,IF(VATAgentMode,AAA51-((AAA51-AAH51)-(AAA51-AAH51)/(1+VATRate)),AAA51/(1+VATRate)),AAA51)</f>
        <v/>
      </c>
      <c r="AAE51" s="12">
        <f>AAA51-AAD51</f>
        <v/>
      </c>
      <c r="AAF51" s="12">
        <f>IF(AAC51=0,0,IF(YX51=1,SUMPRODUCT(--(($YY$5:$YY51=$YY51-1)*($YX$5:$YX51&gt;=10)*($YX$5:$YX51&lt;=12)),$AAE$5:$AAE51),IF(YX51=4,SUMPRODUCT(--(($YY$5:$YY51=$YY51)*($YX$5:$YX51&gt;=1)*($YX$5:$YX51&lt;=3)),$AAE$5:$AAE51),IF(YX51=7,SUMPRODUCT(--(($YY$5:$YY51=$YY51)*($YX$5:$YX51&gt;=4)*($YX$5:$YX51&lt;=6)),$AAE$5:$AAE51),IF(YX51=10,SUMPRODUCT(--(($YY$5:$YY51=$YY51)*($YX$5:$YX51&gt;=7)*($YX$5:$YX51&lt;=9)),$AAE$5:$AAE51),0)))))</f>
        <v/>
      </c>
      <c r="AAG51" s="12">
        <f>AAG50+AAE51-AAF51</f>
        <v/>
      </c>
      <c r="AAH51" s="12">
        <f>IF(ProviderDelay&gt;=1,ZO50*BlendedProvPayEss+ZP50*BlendedProvPayPrem+ZQ50*BlendedProvPayElite+ZR50*BlendedProvPayEss+ZS50*BlendedProvPayPrem+ZT50*BlendedProvPayElite,ZO51*BlendedProvPayEss+ZP51*BlendedProvPayPrem+ZQ51*BlendedProvPayElite+ZR51*BlendedProvPayEss+ZS51*BlendedProvPayPrem+ZT51*BlendedProvPayElite)</f>
        <v/>
      </c>
      <c r="AAI51" s="12">
        <f>AAA51*PaymentFee</f>
        <v/>
      </c>
      <c r="AAJ51" s="12">
        <f>ZU51*OpsAI</f>
        <v/>
      </c>
      <c r="AAK51" s="12">
        <f>MonthlyFixed</f>
        <v/>
      </c>
      <c r="AAL51" s="12">
        <f>ZE51*ReferralReward</f>
        <v/>
      </c>
      <c r="AAM51" s="12">
        <f>ZC51</f>
        <v/>
      </c>
      <c r="AAN51" s="9">
        <f>AAD51-AAH51-AAI51-AAJ51-AAK51-AAL51-AAM51</f>
        <v/>
      </c>
      <c r="AAO51" s="9">
        <f>AAO50+AAA51-(AAH51+AAI51+AAJ51+AAK51+AAL51+AAM51+AAF51)</f>
        <v/>
      </c>
      <c r="AAP51" s="12">
        <f>IF(ZU51&gt;0,ZV51/ZU51,0)</f>
        <v/>
      </c>
      <c r="AAQ51" s="11">
        <f>IF(ZU50&gt;0,MAX(0,(ZU50+ZF51-ZU51)/ZU50),0)</f>
        <v/>
      </c>
      <c r="AAS51" s="12" t="n">
        <v>47</v>
      </c>
      <c r="AAT51" s="12">
        <f>MOD(AAS51-1+LaunchMonth-1,12)+1</f>
        <v/>
      </c>
      <c r="AAU51" s="12">
        <f>INT((AAS51-1+LaunchMonth-1)/12)+1</f>
        <v/>
      </c>
      <c r="AAV51" s="12">
        <f>VLOOKUP(AAT51,SeasonTable,2,FALSE)</f>
        <v/>
      </c>
      <c r="AAW51" s="12">
        <f>(1+InflationRate)^INT((AAS51-1)/12)</f>
        <v/>
      </c>
      <c r="AAX51" s="11">
        <f>MonthlyChurn*VLOOKUP(AAT51,ChurnSeasonTable,4,FALSE)</f>
        <v/>
      </c>
      <c r="AAY51" s="12">
        <f>MIN(MAX(MktMin19plus,ABW50*MktPct19plus),MAX(0,ACK50-CashBuffer))</f>
        <v/>
      </c>
      <c r="AAZ51" s="12">
        <f>IF(AAY51&gt;0,MAX(1,ROUND(AAY51/CAC*AAV51,0)),0)</f>
        <v/>
      </c>
      <c r="ABA51" s="12">
        <f>IF(AAZ51&gt;0,ROUND(AAZ51*ReferralMix/(1-ReferralMix),0),0)</f>
        <v/>
      </c>
      <c r="ABB51" s="12">
        <f>AAZ51+ABA51</f>
        <v/>
      </c>
      <c r="ABC51" s="12">
        <f>ROUND(ABB51*(1-'Sens - Annual Mix'!$A$12),0)</f>
        <v/>
      </c>
      <c r="ABD51" s="12">
        <f>ABB51-ABC51</f>
        <v/>
      </c>
      <c r="ABE51" s="12">
        <f>ROUND(ABC51*EssentialMix,0)</f>
        <v/>
      </c>
      <c r="ABF51" s="12">
        <f>ROUND(ABC51*PremiumMix,0)</f>
        <v/>
      </c>
      <c r="ABG51" s="12">
        <f>ABC51-ABE51-ABF51</f>
        <v/>
      </c>
      <c r="ABH51" s="12">
        <f>ROUND(ABD51*EssentialMix,0)</f>
        <v/>
      </c>
      <c r="ABI51" s="12">
        <f>ROUND(ABD51*PremiumMix,0)</f>
        <v/>
      </c>
      <c r="ABJ51" s="12">
        <f>ABD51-ABH51-ABI51</f>
        <v/>
      </c>
      <c r="ABK51" s="12">
        <f>ABE51+ABE50+ABE49+MAX(0,ABK50-ABE50-ABE49)*(1-AAX51)</f>
        <v/>
      </c>
      <c r="ABL51" s="12">
        <f>ABF51+ABF50+ABF49+MAX(0,ABL50-ABF50-ABF49)*(1-AAX51)</f>
        <v/>
      </c>
      <c r="ABM51" s="12">
        <f>ABG51+ABG50+ABG49+MAX(0,ABM50-ABG50-ABG49)*(1-AAX51)</f>
        <v/>
      </c>
      <c r="ABN51" s="12">
        <f>ABN50+ABH51-ABH39*(AnnualChurn*VLOOKUP(AAT51,ChurnSeasonTable,4,FALSE))*POWER(1-(AnnualChurn*VLOOKUP(AAT51,ChurnSeasonTable,4,FALSE)),0)+ABH27*(AnnualChurn*VLOOKUP(AAT51,ChurnSeasonTable,4,FALSE))*POWER(1-(AnnualChurn*VLOOKUP(AAT51,ChurnSeasonTable,4,FALSE)),1)+ABH15*(AnnualChurn*VLOOKUP(AAT51,ChurnSeasonTable,4,FALSE))*POWER(1-(AnnualChurn*VLOOKUP(AAT51,ChurnSeasonTable,4,FALSE)),2)</f>
        <v/>
      </c>
      <c r="ABO51" s="12">
        <f>ABO50+ABI51-ABI39*(AnnualChurn*VLOOKUP(AAT51,ChurnSeasonTable,4,FALSE))*POWER(1-(AnnualChurn*VLOOKUP(AAT51,ChurnSeasonTable,4,FALSE)),0)+ABI27*(AnnualChurn*VLOOKUP(AAT51,ChurnSeasonTable,4,FALSE))*POWER(1-(AnnualChurn*VLOOKUP(AAT51,ChurnSeasonTable,4,FALSE)),1)+ABI15*(AnnualChurn*VLOOKUP(AAT51,ChurnSeasonTable,4,FALSE))*POWER(1-(AnnualChurn*VLOOKUP(AAT51,ChurnSeasonTable,4,FALSE)),2)</f>
        <v/>
      </c>
      <c r="ABP51" s="12">
        <f>ABP50+ABJ51-ABJ39*(AnnualChurn*VLOOKUP(AAT51,ChurnSeasonTable,4,FALSE))*POWER(1-(AnnualChurn*VLOOKUP(AAT51,ChurnSeasonTable,4,FALSE)),0)+ABJ27*(AnnualChurn*VLOOKUP(AAT51,ChurnSeasonTable,4,FALSE))*POWER(1-(AnnualChurn*VLOOKUP(AAT51,ChurnSeasonTable,4,FALSE)),1)+ABJ15*(AnnualChurn*VLOOKUP(AAT51,ChurnSeasonTable,4,FALSE))*POWER(1-(AnnualChurn*VLOOKUP(AAT51,ChurnSeasonTable,4,FALSE)),2)</f>
        <v/>
      </c>
      <c r="ABQ51" s="12">
        <f>ABK51+ABL51+ABM51+ABN51+ABO51+ABP51</f>
        <v/>
      </c>
      <c r="ABR51" s="9">
        <f>ABK51*BlendedPriceEssMonthly*AAW51+ABL51*BlendedPricePremMonthly*AAW51+ABM51*BlendedPriceEliteMonthly*AAW51+ABN51*BlendedPriceEssAnnual*AAW51/12+ABO51*BlendedPricePremAnnual*AAW51/12+ABP51*BlendedPriceEliteAnnual*AAW51/12</f>
        <v/>
      </c>
      <c r="ABS51" s="9">
        <f>ABR51*12</f>
        <v/>
      </c>
      <c r="ABT51" s="12">
        <f>ABK51*BlendedPriceEssMonthly*AAW51+ABL51*BlendedPricePremMonthly*AAW51+ABM51*BlendedPriceEliteMonthly*AAW51</f>
        <v/>
      </c>
      <c r="ABU51" s="12">
        <f>ABH51*BlendedPriceEssAnnual*AAW51+ABI51*BlendedPricePremAnnual*AAW51+ABJ51*BlendedPriceEliteAnnual*AAW51</f>
        <v/>
      </c>
      <c r="ABV51" s="12">
        <f>ABH39*POWER(1-(AnnualChurn*VLOOKUP(AAT51,ChurnSeasonTable,4,FALSE)),1)*BlendedPriceEssAnnual*AAW51+ABH27*POWER(1-(AnnualChurn*VLOOKUP(AAT51,ChurnSeasonTable,4,FALSE)),2)*BlendedPriceEssAnnual*AAW51+ABH15*POWER(1-(AnnualChurn*VLOOKUP(AAT51,ChurnSeasonTable,4,FALSE)),3)*BlendedPriceEssAnnual*AAW51+ABI39*POWER(1-(AnnualChurn*VLOOKUP(AAT51,ChurnSeasonTable,4,FALSE)),1)*BlendedPricePremAnnual*AAW51+ABI27*POWER(1-(AnnualChurn*VLOOKUP(AAT51,ChurnSeasonTable,4,FALSE)),2)*BlendedPricePremAnnual*AAW51+ABI15*POWER(1-(AnnualChurn*VLOOKUP(AAT51,ChurnSeasonTable,4,FALSE)),3)*BlendedPricePremAnnual*AAW51+ABJ39*POWER(1-(AnnualChurn*VLOOKUP(AAT51,ChurnSeasonTable,4,FALSE)),1)*BlendedPriceEliteAnnual*AAW51+ABJ27*POWER(1-(AnnualChurn*VLOOKUP(AAT51,ChurnSeasonTable,4,FALSE)),2)*BlendedPriceEliteAnnual*AAW51+ABJ15*POWER(1-(AnnualChurn*VLOOKUP(AAT51,ChurnSeasonTable,4,FALSE)),3)*BlendedPriceEliteAnnual*AAW51</f>
        <v/>
      </c>
      <c r="ABW51" s="9">
        <f>ABT51+ABU51+ABV51</f>
        <v/>
      </c>
      <c r="ABX51" s="12">
        <f>SUM(ABW40:ABW51)</f>
        <v/>
      </c>
      <c r="ABY51" s="12">
        <f>OR(ABY50,IF(VATAgentMode,SUM($ABW40:$ABW51)-SUM($ACD40:$ACD51)&gt;=VATThreshold,SUM($ABW40:$ABW51)&gt;=VATThreshold))</f>
        <v/>
      </c>
      <c r="ABZ51" s="9">
        <f>IF(ABY51,IF(VATAgentMode,ABW51-((ABW51-ACD51)-(ABW51-ACD51)/(1+VATRate)),ABW51/(1+VATRate)),ABW51)</f>
        <v/>
      </c>
      <c r="ACA51" s="12">
        <f>ABW51-ABZ51</f>
        <v/>
      </c>
      <c r="ACB51" s="12">
        <f>IF(ABY51=0,0,IF(AAT51=1,SUMPRODUCT(--(($AAU$5:$AAU51=$AAU51-1)*($AAT$5:$AAT51&gt;=10)*($AAT$5:$AAT51&lt;=12)),$ACA$5:$ACA51),IF(AAT51=4,SUMPRODUCT(--(($AAU$5:$AAU51=$AAU51)*($AAT$5:$AAT51&gt;=1)*($AAT$5:$AAT51&lt;=3)),$ACA$5:$ACA51),IF(AAT51=7,SUMPRODUCT(--(($AAU$5:$AAU51=$AAU51)*($AAT$5:$AAT51&gt;=4)*($AAT$5:$AAT51&lt;=6)),$ACA$5:$ACA51),IF(AAT51=10,SUMPRODUCT(--(($AAU$5:$AAU51=$AAU51)*($AAT$5:$AAT51&gt;=7)*($AAT$5:$AAT51&lt;=9)),$ACA$5:$ACA51),0)))))</f>
        <v/>
      </c>
      <c r="ACC51" s="12">
        <f>ACC50+ACA51-ACB51</f>
        <v/>
      </c>
      <c r="ACD51" s="12">
        <f>IF(ProviderDelay&gt;=1,ABK50*BlendedProvPayEss+ABL50*BlendedProvPayPrem+ABM50*BlendedProvPayElite+ABN50*BlendedProvPayEss+ABO50*BlendedProvPayPrem+ABP50*BlendedProvPayElite,ABK51*BlendedProvPayEss+ABL51*BlendedProvPayPrem+ABM51*BlendedProvPayElite+ABN51*BlendedProvPayEss+ABO51*BlendedProvPayPrem+ABP51*BlendedProvPayElite)</f>
        <v/>
      </c>
      <c r="ACE51" s="12">
        <f>ABW51*PaymentFee</f>
        <v/>
      </c>
      <c r="ACF51" s="12">
        <f>ABQ51*OpsAI</f>
        <v/>
      </c>
      <c r="ACG51" s="12">
        <f>MonthlyFixed</f>
        <v/>
      </c>
      <c r="ACH51" s="12">
        <f>ABA51*ReferralReward</f>
        <v/>
      </c>
      <c r="ACI51" s="12">
        <f>AAY51</f>
        <v/>
      </c>
      <c r="ACJ51" s="9">
        <f>ABZ51-ACD51-ACE51-ACF51-ACG51-ACH51-ACI51</f>
        <v/>
      </c>
      <c r="ACK51" s="9">
        <f>ACK50+ABW51-(ACD51+ACE51+ACF51+ACG51+ACH51+ACI51+ACB51)</f>
        <v/>
      </c>
      <c r="ACL51" s="12">
        <f>IF(ABQ51&gt;0,ABR51/ABQ51,0)</f>
        <v/>
      </c>
      <c r="ACM51" s="11">
        <f>IF(ABQ50&gt;0,MAX(0,(ABQ50+ABB51-ABQ51)/ABQ50),0)</f>
        <v/>
      </c>
      <c r="ACO51" s="12" t="n">
        <v>47</v>
      </c>
      <c r="ACP51" s="12">
        <f>MOD(ACO51-1+LaunchMonth-1,12)+1</f>
        <v/>
      </c>
      <c r="ACQ51" s="12">
        <f>INT((ACO51-1+LaunchMonth-1)/12)+1</f>
        <v/>
      </c>
      <c r="ACR51" s="12">
        <f>VLOOKUP(ACP51,SeasonTable,2,FALSE)</f>
        <v/>
      </c>
      <c r="ACS51" s="12">
        <f>(1+InflationRate)^INT((ACO51-1)/12)</f>
        <v/>
      </c>
      <c r="ACT51" s="11">
        <f>MonthlyChurn*VLOOKUP(ACP51,ChurnSeasonTable,4,FALSE)</f>
        <v/>
      </c>
      <c r="ACU51" s="12">
        <f>MIN(MAX(MktMin19plus,ADS50*MktPct19plus),MAX(0,AEG50-CashBuffer))</f>
        <v/>
      </c>
      <c r="ACV51" s="12">
        <f>IF(ACU51&gt;0,MAX(1,ROUND(ACU51/CAC*ACR51,0)),0)</f>
        <v/>
      </c>
      <c r="ACW51" s="12">
        <f>IF(ACV51&gt;0,ROUND(ACV51*ReferralMix/(1-ReferralMix),0),0)</f>
        <v/>
      </c>
      <c r="ACX51" s="12">
        <f>ACV51+ACW51</f>
        <v/>
      </c>
      <c r="ACY51" s="12">
        <f>ROUND(ACX51*(1-'Sens - Annual Mix'!$A$13),0)</f>
        <v/>
      </c>
      <c r="ACZ51" s="12">
        <f>ACX51-ACY51</f>
        <v/>
      </c>
      <c r="ADA51" s="12">
        <f>ROUND(ACY51*EssentialMix,0)</f>
        <v/>
      </c>
      <c r="ADB51" s="12">
        <f>ROUND(ACY51*PremiumMix,0)</f>
        <v/>
      </c>
      <c r="ADC51" s="12">
        <f>ACY51-ADA51-ADB51</f>
        <v/>
      </c>
      <c r="ADD51" s="12">
        <f>ROUND(ACZ51*EssentialMix,0)</f>
        <v/>
      </c>
      <c r="ADE51" s="12">
        <f>ROUND(ACZ51*PremiumMix,0)</f>
        <v/>
      </c>
      <c r="ADF51" s="12">
        <f>ACZ51-ADD51-ADE51</f>
        <v/>
      </c>
      <c r="ADG51" s="12">
        <f>ADA51+ADA50+ADA49+MAX(0,ADG50-ADA50-ADA49)*(1-ACT51)</f>
        <v/>
      </c>
      <c r="ADH51" s="12">
        <f>ADB51+ADB50+ADB49+MAX(0,ADH50-ADB50-ADB49)*(1-ACT51)</f>
        <v/>
      </c>
      <c r="ADI51" s="12">
        <f>ADC51+ADC50+ADC49+MAX(0,ADI50-ADC50-ADC49)*(1-ACT51)</f>
        <v/>
      </c>
      <c r="ADJ51" s="12">
        <f>ADJ50+ADD51-ADD39*(AnnualChurn*VLOOKUP(ACP51,ChurnSeasonTable,4,FALSE))*POWER(1-(AnnualChurn*VLOOKUP(ACP51,ChurnSeasonTable,4,FALSE)),0)+ADD27*(AnnualChurn*VLOOKUP(ACP51,ChurnSeasonTable,4,FALSE))*POWER(1-(AnnualChurn*VLOOKUP(ACP51,ChurnSeasonTable,4,FALSE)),1)+ADD15*(AnnualChurn*VLOOKUP(ACP51,ChurnSeasonTable,4,FALSE))*POWER(1-(AnnualChurn*VLOOKUP(ACP51,ChurnSeasonTable,4,FALSE)),2)</f>
        <v/>
      </c>
      <c r="ADK51" s="12">
        <f>ADK50+ADE51-ADE39*(AnnualChurn*VLOOKUP(ACP51,ChurnSeasonTable,4,FALSE))*POWER(1-(AnnualChurn*VLOOKUP(ACP51,ChurnSeasonTable,4,FALSE)),0)+ADE27*(AnnualChurn*VLOOKUP(ACP51,ChurnSeasonTable,4,FALSE))*POWER(1-(AnnualChurn*VLOOKUP(ACP51,ChurnSeasonTable,4,FALSE)),1)+ADE15*(AnnualChurn*VLOOKUP(ACP51,ChurnSeasonTable,4,FALSE))*POWER(1-(AnnualChurn*VLOOKUP(ACP51,ChurnSeasonTable,4,FALSE)),2)</f>
        <v/>
      </c>
      <c r="ADL51" s="12">
        <f>ADL50+ADF51-ADF39*(AnnualChurn*VLOOKUP(ACP51,ChurnSeasonTable,4,FALSE))*POWER(1-(AnnualChurn*VLOOKUP(ACP51,ChurnSeasonTable,4,FALSE)),0)+ADF27*(AnnualChurn*VLOOKUP(ACP51,ChurnSeasonTable,4,FALSE))*POWER(1-(AnnualChurn*VLOOKUP(ACP51,ChurnSeasonTable,4,FALSE)),1)+ADF15*(AnnualChurn*VLOOKUP(ACP51,ChurnSeasonTable,4,FALSE))*POWER(1-(AnnualChurn*VLOOKUP(ACP51,ChurnSeasonTable,4,FALSE)),2)</f>
        <v/>
      </c>
      <c r="ADM51" s="12">
        <f>ADG51+ADH51+ADI51+ADJ51+ADK51+ADL51</f>
        <v/>
      </c>
      <c r="ADN51" s="9">
        <f>ADG51*BlendedPriceEssMonthly*ACS51+ADH51*BlendedPricePremMonthly*ACS51+ADI51*BlendedPriceEliteMonthly*ACS51+ADJ51*BlendedPriceEssAnnual*ACS51/12+ADK51*BlendedPricePremAnnual*ACS51/12+ADL51*BlendedPriceEliteAnnual*ACS51/12</f>
        <v/>
      </c>
      <c r="ADO51" s="9">
        <f>ADN51*12</f>
        <v/>
      </c>
      <c r="ADP51" s="12">
        <f>ADG51*BlendedPriceEssMonthly*ACS51+ADH51*BlendedPricePremMonthly*ACS51+ADI51*BlendedPriceEliteMonthly*ACS51</f>
        <v/>
      </c>
      <c r="ADQ51" s="12">
        <f>ADD51*BlendedPriceEssAnnual*ACS51+ADE51*BlendedPricePremAnnual*ACS51+ADF51*BlendedPriceEliteAnnual*ACS51</f>
        <v/>
      </c>
      <c r="ADR51" s="12">
        <f>ADD39*POWER(1-(AnnualChurn*VLOOKUP(ACP51,ChurnSeasonTable,4,FALSE)),1)*BlendedPriceEssAnnual*ACS51+ADD27*POWER(1-(AnnualChurn*VLOOKUP(ACP51,ChurnSeasonTable,4,FALSE)),2)*BlendedPriceEssAnnual*ACS51+ADD15*POWER(1-(AnnualChurn*VLOOKUP(ACP51,ChurnSeasonTable,4,FALSE)),3)*BlendedPriceEssAnnual*ACS51+ADE39*POWER(1-(AnnualChurn*VLOOKUP(ACP51,ChurnSeasonTable,4,FALSE)),1)*BlendedPricePremAnnual*ACS51+ADE27*POWER(1-(AnnualChurn*VLOOKUP(ACP51,ChurnSeasonTable,4,FALSE)),2)*BlendedPricePremAnnual*ACS51+ADE15*POWER(1-(AnnualChurn*VLOOKUP(ACP51,ChurnSeasonTable,4,FALSE)),3)*BlendedPricePremAnnual*ACS51+ADF39*POWER(1-(AnnualChurn*VLOOKUP(ACP51,ChurnSeasonTable,4,FALSE)),1)*BlendedPriceEliteAnnual*ACS51+ADF27*POWER(1-(AnnualChurn*VLOOKUP(ACP51,ChurnSeasonTable,4,FALSE)),2)*BlendedPriceEliteAnnual*ACS51+ADF15*POWER(1-(AnnualChurn*VLOOKUP(ACP51,ChurnSeasonTable,4,FALSE)),3)*BlendedPriceEliteAnnual*ACS51</f>
        <v/>
      </c>
      <c r="ADS51" s="9">
        <f>ADP51+ADQ51+ADR51</f>
        <v/>
      </c>
      <c r="ADT51" s="12">
        <f>SUM(ADS40:ADS51)</f>
        <v/>
      </c>
      <c r="ADU51" s="12">
        <f>OR(ADU50,IF(VATAgentMode,SUM($ADS40:$ADS51)-SUM($ADZ40:$ADZ51)&gt;=VATThreshold,SUM($ADS40:$ADS51)&gt;=VATThreshold))</f>
        <v/>
      </c>
      <c r="ADV51" s="9">
        <f>IF(ADU51,IF(VATAgentMode,ADS51-((ADS51-ADZ51)-(ADS51-ADZ51)/(1+VATRate)),ADS51/(1+VATRate)),ADS51)</f>
        <v/>
      </c>
      <c r="ADW51" s="12">
        <f>ADS51-ADV51</f>
        <v/>
      </c>
      <c r="ADX51" s="12">
        <f>IF(ADU51=0,0,IF(ACP51=1,SUMPRODUCT(--(($ACQ$5:$ACQ51=$ACQ51-1)*($ACP$5:$ACP51&gt;=10)*($ACP$5:$ACP51&lt;=12)),$ADW$5:$ADW51),IF(ACP51=4,SUMPRODUCT(--(($ACQ$5:$ACQ51=$ACQ51)*($ACP$5:$ACP51&gt;=1)*($ACP$5:$ACP51&lt;=3)),$ADW$5:$ADW51),IF(ACP51=7,SUMPRODUCT(--(($ACQ$5:$ACQ51=$ACQ51)*($ACP$5:$ACP51&gt;=4)*($ACP$5:$ACP51&lt;=6)),$ADW$5:$ADW51),IF(ACP51=10,SUMPRODUCT(--(($ACQ$5:$ACQ51=$ACQ51)*($ACP$5:$ACP51&gt;=7)*($ACP$5:$ACP51&lt;=9)),$ADW$5:$ADW51),0)))))</f>
        <v/>
      </c>
      <c r="ADY51" s="12">
        <f>ADY50+ADW51-ADX51</f>
        <v/>
      </c>
      <c r="ADZ51" s="12">
        <f>IF(ProviderDelay&gt;=1,ADG50*BlendedProvPayEss+ADH50*BlendedProvPayPrem+ADI50*BlendedProvPayElite+ADJ50*BlendedProvPayEss+ADK50*BlendedProvPayPrem+ADL50*BlendedProvPayElite,ADG51*BlendedProvPayEss+ADH51*BlendedProvPayPrem+ADI51*BlendedProvPayElite+ADJ51*BlendedProvPayEss+ADK51*BlendedProvPayPrem+ADL51*BlendedProvPayElite)</f>
        <v/>
      </c>
      <c r="AEA51" s="12">
        <f>ADS51*PaymentFee</f>
        <v/>
      </c>
      <c r="AEB51" s="12">
        <f>ADM51*OpsAI</f>
        <v/>
      </c>
      <c r="AEC51" s="12">
        <f>MonthlyFixed</f>
        <v/>
      </c>
      <c r="AED51" s="12">
        <f>ACW51*ReferralReward</f>
        <v/>
      </c>
      <c r="AEE51" s="12">
        <f>ACU51</f>
        <v/>
      </c>
      <c r="AEF51" s="9">
        <f>ADV51-ADZ51-AEA51-AEB51-AEC51-AED51-AEE51</f>
        <v/>
      </c>
      <c r="AEG51" s="9">
        <f>AEG50+ADS51-(ADZ51+AEA51+AEB51+AEC51+AED51+AEE51+ADX51)</f>
        <v/>
      </c>
      <c r="AEH51" s="12">
        <f>IF(ADM51&gt;0,ADN51/ADM51,0)</f>
        <v/>
      </c>
      <c r="AEI51" s="11">
        <f>IF(ADM50&gt;0,MAX(0,(ADM50+ACX51-ADM51)/ADM50),0)</f>
        <v/>
      </c>
      <c r="AEK51" s="12" t="n">
        <v>47</v>
      </c>
      <c r="AEL51" s="12">
        <f>MOD(AEK51-1+LaunchMonth-1,12)+1</f>
        <v/>
      </c>
      <c r="AEM51" s="12">
        <f>INT((AEK51-1+LaunchMonth-1)/12)+1</f>
        <v/>
      </c>
      <c r="AEN51" s="12">
        <f>VLOOKUP(AEL51,SeasonTable,2,FALSE)</f>
        <v/>
      </c>
      <c r="AEO51" s="12">
        <f>(1+InflationRate)^INT((AEK51-1)/12)</f>
        <v/>
      </c>
      <c r="AEP51" s="11">
        <f>MonthlyChurn*VLOOKUP(AEL51,ChurnSeasonTable,4,FALSE)</f>
        <v/>
      </c>
      <c r="AEQ51" s="12">
        <f>MIN(MAX(MktMin19plus,AFO50*MktPct19plus),MAX(0,AGC50-CashBuffer))</f>
        <v/>
      </c>
      <c r="AER51" s="12">
        <f>IF(AEQ51&gt;0,MAX(1,ROUND(AEQ51/CAC*AEN51,0)),0)</f>
        <v/>
      </c>
      <c r="AES51" s="12">
        <f>IF(AER51&gt;0,ROUND(AER51*ReferralMix/(1-ReferralMix),0),0)</f>
        <v/>
      </c>
      <c r="AET51" s="12">
        <f>AER51+AES51</f>
        <v/>
      </c>
      <c r="AEU51" s="12">
        <f>ROUND(AET51*(1-'Sens - Annual Mix'!$A$14),0)</f>
        <v/>
      </c>
      <c r="AEV51" s="12">
        <f>AET51-AEU51</f>
        <v/>
      </c>
      <c r="AEW51" s="12">
        <f>ROUND(AEU51*EssentialMix,0)</f>
        <v/>
      </c>
      <c r="AEX51" s="12">
        <f>ROUND(AEU51*PremiumMix,0)</f>
        <v/>
      </c>
      <c r="AEY51" s="12">
        <f>AEU51-AEW51-AEX51</f>
        <v/>
      </c>
      <c r="AEZ51" s="12">
        <f>ROUND(AEV51*EssentialMix,0)</f>
        <v/>
      </c>
      <c r="AFA51" s="12">
        <f>ROUND(AEV51*PremiumMix,0)</f>
        <v/>
      </c>
      <c r="AFB51" s="12">
        <f>AEV51-AEZ51-AFA51</f>
        <v/>
      </c>
      <c r="AFC51" s="12">
        <f>AEW51+AEW50+AEW49+MAX(0,AFC50-AEW50-AEW49)*(1-AEP51)</f>
        <v/>
      </c>
      <c r="AFD51" s="12">
        <f>AEX51+AEX50+AEX49+MAX(0,AFD50-AEX50-AEX49)*(1-AEP51)</f>
        <v/>
      </c>
      <c r="AFE51" s="12">
        <f>AEY51+AEY50+AEY49+MAX(0,AFE50-AEY50-AEY49)*(1-AEP51)</f>
        <v/>
      </c>
      <c r="AFF51" s="12">
        <f>AFF50+AEZ51-AEZ39*(AnnualChurn*VLOOKUP(AEL51,ChurnSeasonTable,4,FALSE))*POWER(1-(AnnualChurn*VLOOKUP(AEL51,ChurnSeasonTable,4,FALSE)),0)+AEZ27*(AnnualChurn*VLOOKUP(AEL51,ChurnSeasonTable,4,FALSE))*POWER(1-(AnnualChurn*VLOOKUP(AEL51,ChurnSeasonTable,4,FALSE)),1)+AEZ15*(AnnualChurn*VLOOKUP(AEL51,ChurnSeasonTable,4,FALSE))*POWER(1-(AnnualChurn*VLOOKUP(AEL51,ChurnSeasonTable,4,FALSE)),2)</f>
        <v/>
      </c>
      <c r="AFG51" s="12">
        <f>AFG50+AFA51-AFA39*(AnnualChurn*VLOOKUP(AEL51,ChurnSeasonTable,4,FALSE))*POWER(1-(AnnualChurn*VLOOKUP(AEL51,ChurnSeasonTable,4,FALSE)),0)+AFA27*(AnnualChurn*VLOOKUP(AEL51,ChurnSeasonTable,4,FALSE))*POWER(1-(AnnualChurn*VLOOKUP(AEL51,ChurnSeasonTable,4,FALSE)),1)+AFA15*(AnnualChurn*VLOOKUP(AEL51,ChurnSeasonTable,4,FALSE))*POWER(1-(AnnualChurn*VLOOKUP(AEL51,ChurnSeasonTable,4,FALSE)),2)</f>
        <v/>
      </c>
      <c r="AFH51" s="12">
        <f>AFH50+AFB51-AFB39*(AnnualChurn*VLOOKUP(AEL51,ChurnSeasonTable,4,FALSE))*POWER(1-(AnnualChurn*VLOOKUP(AEL51,ChurnSeasonTable,4,FALSE)),0)+AFB27*(AnnualChurn*VLOOKUP(AEL51,ChurnSeasonTable,4,FALSE))*POWER(1-(AnnualChurn*VLOOKUP(AEL51,ChurnSeasonTable,4,FALSE)),1)+AFB15*(AnnualChurn*VLOOKUP(AEL51,ChurnSeasonTable,4,FALSE))*POWER(1-(AnnualChurn*VLOOKUP(AEL51,ChurnSeasonTable,4,FALSE)),2)</f>
        <v/>
      </c>
      <c r="AFI51" s="12">
        <f>AFC51+AFD51+AFE51+AFF51+AFG51+AFH51</f>
        <v/>
      </c>
      <c r="AFJ51" s="9">
        <f>AFC51*BlendedPriceEssMonthly*AEO51+AFD51*BlendedPricePremMonthly*AEO51+AFE51*BlendedPriceEliteMonthly*AEO51+AFF51*BlendedPriceEssAnnual*AEO51/12+AFG51*BlendedPricePremAnnual*AEO51/12+AFH51*BlendedPriceEliteAnnual*AEO51/12</f>
        <v/>
      </c>
      <c r="AFK51" s="9">
        <f>AFJ51*12</f>
        <v/>
      </c>
      <c r="AFL51" s="12">
        <f>AFC51*BlendedPriceEssMonthly*AEO51+AFD51*BlendedPricePremMonthly*AEO51+AFE51*BlendedPriceEliteMonthly*AEO51</f>
        <v/>
      </c>
      <c r="AFM51" s="12">
        <f>AEZ51*BlendedPriceEssAnnual*AEO51+AFA51*BlendedPricePremAnnual*AEO51+AFB51*BlendedPriceEliteAnnual*AEO51</f>
        <v/>
      </c>
      <c r="AFN51" s="12">
        <f>AEZ39*POWER(1-(AnnualChurn*VLOOKUP(AEL51,ChurnSeasonTable,4,FALSE)),1)*BlendedPriceEssAnnual*AEO51+AEZ27*POWER(1-(AnnualChurn*VLOOKUP(AEL51,ChurnSeasonTable,4,FALSE)),2)*BlendedPriceEssAnnual*AEO51+AEZ15*POWER(1-(AnnualChurn*VLOOKUP(AEL51,ChurnSeasonTable,4,FALSE)),3)*BlendedPriceEssAnnual*AEO51+AFA39*POWER(1-(AnnualChurn*VLOOKUP(AEL51,ChurnSeasonTable,4,FALSE)),1)*BlendedPricePremAnnual*AEO51+AFA27*POWER(1-(AnnualChurn*VLOOKUP(AEL51,ChurnSeasonTable,4,FALSE)),2)*BlendedPricePremAnnual*AEO51+AFA15*POWER(1-(AnnualChurn*VLOOKUP(AEL51,ChurnSeasonTable,4,FALSE)),3)*BlendedPricePremAnnual*AEO51+AFB39*POWER(1-(AnnualChurn*VLOOKUP(AEL51,ChurnSeasonTable,4,FALSE)),1)*BlendedPriceEliteAnnual*AEO51+AFB27*POWER(1-(AnnualChurn*VLOOKUP(AEL51,ChurnSeasonTable,4,FALSE)),2)*BlendedPriceEliteAnnual*AEO51+AFB15*POWER(1-(AnnualChurn*VLOOKUP(AEL51,ChurnSeasonTable,4,FALSE)),3)*BlendedPriceEliteAnnual*AEO51</f>
        <v/>
      </c>
      <c r="AFO51" s="9">
        <f>AFL51+AFM51+AFN51</f>
        <v/>
      </c>
      <c r="AFP51" s="12">
        <f>SUM(AFO40:AFO51)</f>
        <v/>
      </c>
      <c r="AFQ51" s="12">
        <f>OR(AFQ50,IF(VATAgentMode,SUM($AFO40:$AFO51)-SUM($AFV40:$AFV51)&gt;=VATThreshold,SUM($AFO40:$AFO51)&gt;=VATThreshold))</f>
        <v/>
      </c>
      <c r="AFR51" s="9">
        <f>IF(AFQ51,IF(VATAgentMode,AFO51-((AFO51-AFV51)-(AFO51-AFV51)/(1+VATRate)),AFO51/(1+VATRate)),AFO51)</f>
        <v/>
      </c>
      <c r="AFS51" s="12">
        <f>AFO51-AFR51</f>
        <v/>
      </c>
      <c r="AFT51" s="12">
        <f>IF(AFQ51=0,0,IF(AEL51=1,SUMPRODUCT(--(($AEM$5:$AEM51=$AEM51-1)*($AEL$5:$AEL51&gt;=10)*($AEL$5:$AEL51&lt;=12)),$AFS$5:$AFS51),IF(AEL51=4,SUMPRODUCT(--(($AEM$5:$AEM51=$AEM51)*($AEL$5:$AEL51&gt;=1)*($AEL$5:$AEL51&lt;=3)),$AFS$5:$AFS51),IF(AEL51=7,SUMPRODUCT(--(($AEM$5:$AEM51=$AEM51)*($AEL$5:$AEL51&gt;=4)*($AEL$5:$AEL51&lt;=6)),$AFS$5:$AFS51),IF(AEL51=10,SUMPRODUCT(--(($AEM$5:$AEM51=$AEM51)*($AEL$5:$AEL51&gt;=7)*($AEL$5:$AEL51&lt;=9)),$AFS$5:$AFS51),0)))))</f>
        <v/>
      </c>
      <c r="AFU51" s="12">
        <f>AFU50+AFS51-AFT51</f>
        <v/>
      </c>
      <c r="AFV51" s="12">
        <f>IF(ProviderDelay&gt;=1,AFC50*BlendedProvPayEss+AFD50*BlendedProvPayPrem+AFE50*BlendedProvPayElite+AFF50*BlendedProvPayEss+AFG50*BlendedProvPayPrem+AFH50*BlendedProvPayElite,AFC51*BlendedProvPayEss+AFD51*BlendedProvPayPrem+AFE51*BlendedProvPayElite+AFF51*BlendedProvPayEss+AFG51*BlendedProvPayPrem+AFH51*BlendedProvPayElite)</f>
        <v/>
      </c>
      <c r="AFW51" s="12">
        <f>AFO51*PaymentFee</f>
        <v/>
      </c>
      <c r="AFX51" s="12">
        <f>AFI51*OpsAI</f>
        <v/>
      </c>
      <c r="AFY51" s="12">
        <f>MonthlyFixed</f>
        <v/>
      </c>
      <c r="AFZ51" s="12">
        <f>AES51*ReferralReward</f>
        <v/>
      </c>
      <c r="AGA51" s="12">
        <f>AEQ51</f>
        <v/>
      </c>
      <c r="AGB51" s="9">
        <f>AFR51-AFV51-AFW51-AFX51-AFY51-AFZ51-AGA51</f>
        <v/>
      </c>
      <c r="AGC51" s="9">
        <f>AGC50+AFO51-(AFV51+AFW51+AFX51+AFY51+AFZ51+AGA51+AFT51)</f>
        <v/>
      </c>
      <c r="AGD51" s="12">
        <f>IF(AFI51&gt;0,AFJ51/AFI51,0)</f>
        <v/>
      </c>
      <c r="AGE51" s="11">
        <f>IF(AFI50&gt;0,MAX(0,(AFI50+AET51-AFI51)/AFI50),0)</f>
        <v/>
      </c>
      <c r="AGG51" s="12" t="n">
        <v>47</v>
      </c>
      <c r="AGH51" s="12">
        <f>MOD(AGG51-1+LaunchMonth-1,12)+1</f>
        <v/>
      </c>
      <c r="AGI51" s="12">
        <f>INT((AGG51-1+LaunchMonth-1)/12)+1</f>
        <v/>
      </c>
      <c r="AGJ51" s="12">
        <f>VLOOKUP(AGH51,SeasonTable,2,FALSE)</f>
        <v/>
      </c>
      <c r="AGK51" s="12">
        <f>(1+InflationRate)^INT((AGG51-1)/12)</f>
        <v/>
      </c>
      <c r="AGL51" s="11">
        <f>MonthlyChurn*VLOOKUP(AGH51,ChurnSeasonTable,4,FALSE)</f>
        <v/>
      </c>
      <c r="AGM51" s="12">
        <f>MIN(MAX(MktMin19plus,AHK50*MktPct19plus),MAX(0,AHY50-CashBuffer))</f>
        <v/>
      </c>
      <c r="AGN51" s="12">
        <f>IF(AGM51&gt;0,MAX(1,ROUND(AGM51/CAC*AGJ51,0)),0)</f>
        <v/>
      </c>
      <c r="AGO51" s="12">
        <f>IF(AGN51&gt;0,ROUND(AGN51*ReferralMix/(1-ReferralMix),0),0)</f>
        <v/>
      </c>
      <c r="AGP51" s="12">
        <f>AGN51+AGO51</f>
        <v/>
      </c>
      <c r="AGQ51" s="12">
        <f>ROUND(AGP51*(1-'Sens - Annual Mix'!$A$15),0)</f>
        <v/>
      </c>
      <c r="AGR51" s="12">
        <f>AGP51-AGQ51</f>
        <v/>
      </c>
      <c r="AGS51" s="12">
        <f>ROUND(AGQ51*EssentialMix,0)</f>
        <v/>
      </c>
      <c r="AGT51" s="12">
        <f>ROUND(AGQ51*PremiumMix,0)</f>
        <v/>
      </c>
      <c r="AGU51" s="12">
        <f>AGQ51-AGS51-AGT51</f>
        <v/>
      </c>
      <c r="AGV51" s="12">
        <f>ROUND(AGR51*EssentialMix,0)</f>
        <v/>
      </c>
      <c r="AGW51" s="12">
        <f>ROUND(AGR51*PremiumMix,0)</f>
        <v/>
      </c>
      <c r="AGX51" s="12">
        <f>AGR51-AGV51-AGW51</f>
        <v/>
      </c>
      <c r="AGY51" s="12">
        <f>AGS51+AGS50+AGS49+MAX(0,AGY50-AGS50-AGS49)*(1-AGL51)</f>
        <v/>
      </c>
      <c r="AGZ51" s="12">
        <f>AGT51+AGT50+AGT49+MAX(0,AGZ50-AGT50-AGT49)*(1-AGL51)</f>
        <v/>
      </c>
      <c r="AHA51" s="12">
        <f>AGU51+AGU50+AGU49+MAX(0,AHA50-AGU50-AGU49)*(1-AGL51)</f>
        <v/>
      </c>
      <c r="AHB51" s="12">
        <f>AHB50+AGV51-AGV39*(AnnualChurn*VLOOKUP(AGH51,ChurnSeasonTable,4,FALSE))*POWER(1-(AnnualChurn*VLOOKUP(AGH51,ChurnSeasonTable,4,FALSE)),0)+AGV27*(AnnualChurn*VLOOKUP(AGH51,ChurnSeasonTable,4,FALSE))*POWER(1-(AnnualChurn*VLOOKUP(AGH51,ChurnSeasonTable,4,FALSE)),1)+AGV15*(AnnualChurn*VLOOKUP(AGH51,ChurnSeasonTable,4,FALSE))*POWER(1-(AnnualChurn*VLOOKUP(AGH51,ChurnSeasonTable,4,FALSE)),2)</f>
        <v/>
      </c>
      <c r="AHC51" s="12">
        <f>AHC50+AGW51-AGW39*(AnnualChurn*VLOOKUP(AGH51,ChurnSeasonTable,4,FALSE))*POWER(1-(AnnualChurn*VLOOKUP(AGH51,ChurnSeasonTable,4,FALSE)),0)+AGW27*(AnnualChurn*VLOOKUP(AGH51,ChurnSeasonTable,4,FALSE))*POWER(1-(AnnualChurn*VLOOKUP(AGH51,ChurnSeasonTable,4,FALSE)),1)+AGW15*(AnnualChurn*VLOOKUP(AGH51,ChurnSeasonTable,4,FALSE))*POWER(1-(AnnualChurn*VLOOKUP(AGH51,ChurnSeasonTable,4,FALSE)),2)</f>
        <v/>
      </c>
      <c r="AHD51" s="12">
        <f>AHD50+AGX51-AGX39*(AnnualChurn*VLOOKUP(AGH51,ChurnSeasonTable,4,FALSE))*POWER(1-(AnnualChurn*VLOOKUP(AGH51,ChurnSeasonTable,4,FALSE)),0)+AGX27*(AnnualChurn*VLOOKUP(AGH51,ChurnSeasonTable,4,FALSE))*POWER(1-(AnnualChurn*VLOOKUP(AGH51,ChurnSeasonTable,4,FALSE)),1)+AGX15*(AnnualChurn*VLOOKUP(AGH51,ChurnSeasonTable,4,FALSE))*POWER(1-(AnnualChurn*VLOOKUP(AGH51,ChurnSeasonTable,4,FALSE)),2)</f>
        <v/>
      </c>
      <c r="AHE51" s="12">
        <f>AGY51+AGZ51+AHA51+AHB51+AHC51+AHD51</f>
        <v/>
      </c>
      <c r="AHF51" s="9">
        <f>AGY51*BlendedPriceEssMonthly*AGK51+AGZ51*BlendedPricePremMonthly*AGK51+AHA51*BlendedPriceEliteMonthly*AGK51+AHB51*BlendedPriceEssAnnual*AGK51/12+AHC51*BlendedPricePremAnnual*AGK51/12+AHD51*BlendedPriceEliteAnnual*AGK51/12</f>
        <v/>
      </c>
      <c r="AHG51" s="9">
        <f>AHF51*12</f>
        <v/>
      </c>
      <c r="AHH51" s="12">
        <f>AGY51*BlendedPriceEssMonthly*AGK51+AGZ51*BlendedPricePremMonthly*AGK51+AHA51*BlendedPriceEliteMonthly*AGK51</f>
        <v/>
      </c>
      <c r="AHI51" s="12">
        <f>AGV51*BlendedPriceEssAnnual*AGK51+AGW51*BlendedPricePremAnnual*AGK51+AGX51*BlendedPriceEliteAnnual*AGK51</f>
        <v/>
      </c>
      <c r="AHJ51" s="12">
        <f>AGV39*POWER(1-(AnnualChurn*VLOOKUP(AGH51,ChurnSeasonTable,4,FALSE)),1)*BlendedPriceEssAnnual*AGK51+AGV27*POWER(1-(AnnualChurn*VLOOKUP(AGH51,ChurnSeasonTable,4,FALSE)),2)*BlendedPriceEssAnnual*AGK51+AGV15*POWER(1-(AnnualChurn*VLOOKUP(AGH51,ChurnSeasonTable,4,FALSE)),3)*BlendedPriceEssAnnual*AGK51+AGW39*POWER(1-(AnnualChurn*VLOOKUP(AGH51,ChurnSeasonTable,4,FALSE)),1)*BlendedPricePremAnnual*AGK51+AGW27*POWER(1-(AnnualChurn*VLOOKUP(AGH51,ChurnSeasonTable,4,FALSE)),2)*BlendedPricePremAnnual*AGK51+AGW15*POWER(1-(AnnualChurn*VLOOKUP(AGH51,ChurnSeasonTable,4,FALSE)),3)*BlendedPricePremAnnual*AGK51+AGX39*POWER(1-(AnnualChurn*VLOOKUP(AGH51,ChurnSeasonTable,4,FALSE)),1)*BlendedPriceEliteAnnual*AGK51+AGX27*POWER(1-(AnnualChurn*VLOOKUP(AGH51,ChurnSeasonTable,4,FALSE)),2)*BlendedPriceEliteAnnual*AGK51+AGX15*POWER(1-(AnnualChurn*VLOOKUP(AGH51,ChurnSeasonTable,4,FALSE)),3)*BlendedPriceEliteAnnual*AGK51</f>
        <v/>
      </c>
      <c r="AHK51" s="9">
        <f>AHH51+AHI51+AHJ51</f>
        <v/>
      </c>
      <c r="AHL51" s="12">
        <f>SUM(AHK40:AHK51)</f>
        <v/>
      </c>
      <c r="AHM51" s="12">
        <f>OR(AHM50,IF(VATAgentMode,SUM($AHK40:$AHK51)-SUM($AHR40:$AHR51)&gt;=VATThreshold,SUM($AHK40:$AHK51)&gt;=VATThreshold))</f>
        <v/>
      </c>
      <c r="AHN51" s="9">
        <f>IF(AHM51,IF(VATAgentMode,AHK51-((AHK51-AHR51)-(AHK51-AHR51)/(1+VATRate)),AHK51/(1+VATRate)),AHK51)</f>
        <v/>
      </c>
      <c r="AHO51" s="12">
        <f>AHK51-AHN51</f>
        <v/>
      </c>
      <c r="AHP51" s="12">
        <f>IF(AHM51=0,0,IF(AGH51=1,SUMPRODUCT(--(($AGI$5:$AGI51=$AGI51-1)*($AGH$5:$AGH51&gt;=10)*($AGH$5:$AGH51&lt;=12)),$AHO$5:$AHO51),IF(AGH51=4,SUMPRODUCT(--(($AGI$5:$AGI51=$AGI51)*($AGH$5:$AGH51&gt;=1)*($AGH$5:$AGH51&lt;=3)),$AHO$5:$AHO51),IF(AGH51=7,SUMPRODUCT(--(($AGI$5:$AGI51=$AGI51)*($AGH$5:$AGH51&gt;=4)*($AGH$5:$AGH51&lt;=6)),$AHO$5:$AHO51),IF(AGH51=10,SUMPRODUCT(--(($AGI$5:$AGI51=$AGI51)*($AGH$5:$AGH51&gt;=7)*($AGH$5:$AGH51&lt;=9)),$AHO$5:$AHO51),0)))))</f>
        <v/>
      </c>
      <c r="AHQ51" s="12">
        <f>AHQ50+AHO51-AHP51</f>
        <v/>
      </c>
      <c r="AHR51" s="12">
        <f>IF(ProviderDelay&gt;=1,AGY50*BlendedProvPayEss+AGZ50*BlendedProvPayPrem+AHA50*BlendedProvPayElite+AHB50*BlendedProvPayEss+AHC50*BlendedProvPayPrem+AHD50*BlendedProvPayElite,AGY51*BlendedProvPayEss+AGZ51*BlendedProvPayPrem+AHA51*BlendedProvPayElite+AHB51*BlendedProvPayEss+AHC51*BlendedProvPayPrem+AHD51*BlendedProvPayElite)</f>
        <v/>
      </c>
      <c r="AHS51" s="12">
        <f>AHK51*PaymentFee</f>
        <v/>
      </c>
      <c r="AHT51" s="12">
        <f>AHE51*OpsAI</f>
        <v/>
      </c>
      <c r="AHU51" s="12">
        <f>MonthlyFixed</f>
        <v/>
      </c>
      <c r="AHV51" s="12">
        <f>AGO51*ReferralReward</f>
        <v/>
      </c>
      <c r="AHW51" s="12">
        <f>AGM51</f>
        <v/>
      </c>
      <c r="AHX51" s="9">
        <f>AHN51-AHR51-AHS51-AHT51-AHU51-AHV51-AHW51</f>
        <v/>
      </c>
      <c r="AHY51" s="9">
        <f>AHY50+AHK51-(AHR51+AHS51+AHT51+AHU51+AHV51+AHW51+AHP51)</f>
        <v/>
      </c>
      <c r="AHZ51" s="12">
        <f>IF(AHE51&gt;0,AHF51/AHE51,0)</f>
        <v/>
      </c>
      <c r="AIA51" s="11">
        <f>IF(AHE50&gt;0,MAX(0,(AHE50+AGP51-AHE51)/AHE50),0)</f>
        <v/>
      </c>
      <c r="AIC51" s="12" t="n">
        <v>47</v>
      </c>
      <c r="AID51" s="12">
        <f>MOD(AIC51-1+LaunchMonth-1,12)+1</f>
        <v/>
      </c>
      <c r="AIE51" s="12">
        <f>INT((AIC51-1+LaunchMonth-1)/12)+1</f>
        <v/>
      </c>
      <c r="AIF51" s="12">
        <f>VLOOKUP(AID51,SeasonTable,2,FALSE)</f>
        <v/>
      </c>
      <c r="AIG51" s="12">
        <f>(1+InflationRate)^INT((AIC51-1)/12)</f>
        <v/>
      </c>
      <c r="AIH51" s="11">
        <f>MonthlyChurn*VLOOKUP(AID51,ChurnSeasonTable,4,FALSE)</f>
        <v/>
      </c>
      <c r="AII51" s="12">
        <f>MIN(MAX(MktMin19plus,AJG50*MktPct19plus),MAX(0,AJU50-CashBuffer))</f>
        <v/>
      </c>
      <c r="AIJ51" s="12">
        <f>IF(AII51&gt;0,MAX(1,ROUND(AII51/'Sens - CAC &amp; Marketing'!$A$9*AIF51,0)),0)</f>
        <v/>
      </c>
      <c r="AIK51" s="12">
        <f>IF(AIJ51&gt;0,ROUND(AIJ51*ReferralMix/(1-ReferralMix),0),0)</f>
        <v/>
      </c>
      <c r="AIL51" s="12">
        <f>AIJ51+AIK51</f>
        <v/>
      </c>
      <c r="AIM51" s="12">
        <f>ROUND(AIL51*(1-AnnualMix),0)</f>
        <v/>
      </c>
      <c r="AIN51" s="12">
        <f>AIL51-AIM51</f>
        <v/>
      </c>
      <c r="AIO51" s="12">
        <f>ROUND(AIM51*EssentialMix,0)</f>
        <v/>
      </c>
      <c r="AIP51" s="12">
        <f>ROUND(AIM51*PremiumMix,0)</f>
        <v/>
      </c>
      <c r="AIQ51" s="12">
        <f>AIM51-AIO51-AIP51</f>
        <v/>
      </c>
      <c r="AIR51" s="12">
        <f>ROUND(AIN51*EssentialMix,0)</f>
        <v/>
      </c>
      <c r="AIS51" s="12">
        <f>ROUND(AIN51*PremiumMix,0)</f>
        <v/>
      </c>
      <c r="AIT51" s="12">
        <f>AIN51-AIR51-AIS51</f>
        <v/>
      </c>
      <c r="AIU51" s="12">
        <f>AIO51+AIO50+AIO49+MAX(0,AIU50-AIO50-AIO49)*(1-AIH51)</f>
        <v/>
      </c>
      <c r="AIV51" s="12">
        <f>AIP51+AIP50+AIP49+MAX(0,AIV50-AIP50-AIP49)*(1-AIH51)</f>
        <v/>
      </c>
      <c r="AIW51" s="12">
        <f>AIQ51+AIQ50+AIQ49+MAX(0,AIW50-AIQ50-AIQ49)*(1-AIH51)</f>
        <v/>
      </c>
      <c r="AIX51" s="12">
        <f>AIX50+AIR51-AIR39*(AnnualChurn*VLOOKUP(AID51,ChurnSeasonTable,4,FALSE))*POWER(1-(AnnualChurn*VLOOKUP(AID51,ChurnSeasonTable,4,FALSE)),0)+AIR27*(AnnualChurn*VLOOKUP(AID51,ChurnSeasonTable,4,FALSE))*POWER(1-(AnnualChurn*VLOOKUP(AID51,ChurnSeasonTable,4,FALSE)),1)+AIR15*(AnnualChurn*VLOOKUP(AID51,ChurnSeasonTable,4,FALSE))*POWER(1-(AnnualChurn*VLOOKUP(AID51,ChurnSeasonTable,4,FALSE)),2)</f>
        <v/>
      </c>
      <c r="AIY51" s="12">
        <f>AIY50+AIS51-AIS39*(AnnualChurn*VLOOKUP(AID51,ChurnSeasonTable,4,FALSE))*POWER(1-(AnnualChurn*VLOOKUP(AID51,ChurnSeasonTable,4,FALSE)),0)+AIS27*(AnnualChurn*VLOOKUP(AID51,ChurnSeasonTable,4,FALSE))*POWER(1-(AnnualChurn*VLOOKUP(AID51,ChurnSeasonTable,4,FALSE)),1)+AIS15*(AnnualChurn*VLOOKUP(AID51,ChurnSeasonTable,4,FALSE))*POWER(1-(AnnualChurn*VLOOKUP(AID51,ChurnSeasonTable,4,FALSE)),2)</f>
        <v/>
      </c>
      <c r="AIZ51" s="12">
        <f>AIZ50+AIT51-AIT39*(AnnualChurn*VLOOKUP(AID51,ChurnSeasonTable,4,FALSE))*POWER(1-(AnnualChurn*VLOOKUP(AID51,ChurnSeasonTable,4,FALSE)),0)+AIT27*(AnnualChurn*VLOOKUP(AID51,ChurnSeasonTable,4,FALSE))*POWER(1-(AnnualChurn*VLOOKUP(AID51,ChurnSeasonTable,4,FALSE)),1)+AIT15*(AnnualChurn*VLOOKUP(AID51,ChurnSeasonTable,4,FALSE))*POWER(1-(AnnualChurn*VLOOKUP(AID51,ChurnSeasonTable,4,FALSE)),2)</f>
        <v/>
      </c>
      <c r="AJA51" s="12">
        <f>AIU51+AIV51+AIW51+AIX51+AIY51+AIZ51</f>
        <v/>
      </c>
      <c r="AJB51" s="9">
        <f>AIU51*BlendedPriceEssMonthly*AIG51+AIV51*BlendedPricePremMonthly*AIG51+AIW51*BlendedPriceEliteMonthly*AIG51+AIX51*BlendedPriceEssAnnual*AIG51/12+AIY51*BlendedPricePremAnnual*AIG51/12+AIZ51*BlendedPriceEliteAnnual*AIG51/12</f>
        <v/>
      </c>
      <c r="AJC51" s="9">
        <f>AJB51*12</f>
        <v/>
      </c>
      <c r="AJD51" s="12">
        <f>AIU51*BlendedPriceEssMonthly*AIG51+AIV51*BlendedPricePremMonthly*AIG51+AIW51*BlendedPriceEliteMonthly*AIG51</f>
        <v/>
      </c>
      <c r="AJE51" s="12">
        <f>AIR51*BlendedPriceEssAnnual*AIG51+AIS51*BlendedPricePremAnnual*AIG51+AIT51*BlendedPriceEliteAnnual*AIG51</f>
        <v/>
      </c>
      <c r="AJF51" s="12">
        <f>AIR39*POWER(1-(AnnualChurn*VLOOKUP(AID51,ChurnSeasonTable,4,FALSE)),1)*BlendedPriceEssAnnual*AIG51+AIR27*POWER(1-(AnnualChurn*VLOOKUP(AID51,ChurnSeasonTable,4,FALSE)),2)*BlendedPriceEssAnnual*AIG51+AIR15*POWER(1-(AnnualChurn*VLOOKUP(AID51,ChurnSeasonTable,4,FALSE)),3)*BlendedPriceEssAnnual*AIG51+AIS39*POWER(1-(AnnualChurn*VLOOKUP(AID51,ChurnSeasonTable,4,FALSE)),1)*BlendedPricePremAnnual*AIG51+AIS27*POWER(1-(AnnualChurn*VLOOKUP(AID51,ChurnSeasonTable,4,FALSE)),2)*BlendedPricePremAnnual*AIG51+AIS15*POWER(1-(AnnualChurn*VLOOKUP(AID51,ChurnSeasonTable,4,FALSE)),3)*BlendedPricePremAnnual*AIG51+AIT39*POWER(1-(AnnualChurn*VLOOKUP(AID51,ChurnSeasonTable,4,FALSE)),1)*BlendedPriceEliteAnnual*AIG51+AIT27*POWER(1-(AnnualChurn*VLOOKUP(AID51,ChurnSeasonTable,4,FALSE)),2)*BlendedPriceEliteAnnual*AIG51+AIT15*POWER(1-(AnnualChurn*VLOOKUP(AID51,ChurnSeasonTable,4,FALSE)),3)*BlendedPriceEliteAnnual*AIG51</f>
        <v/>
      </c>
      <c r="AJG51" s="9">
        <f>AJD51+AJE51+AJF51</f>
        <v/>
      </c>
      <c r="AJH51" s="12">
        <f>SUM(AJG40:AJG51)</f>
        <v/>
      </c>
      <c r="AJI51" s="12">
        <f>OR(AJI50,IF(VATAgentMode,SUM($AJG40:$AJG51)-SUM($AJN40:$AJN51)&gt;=VATThreshold,SUM($AJG40:$AJG51)&gt;=VATThreshold))</f>
        <v/>
      </c>
      <c r="AJJ51" s="9">
        <f>IF(AJI51,IF(VATAgentMode,AJG51-((AJG51-AJN51)-(AJG51-AJN51)/(1+VATRate)),AJG51/(1+VATRate)),AJG51)</f>
        <v/>
      </c>
      <c r="AJK51" s="12">
        <f>AJG51-AJJ51</f>
        <v/>
      </c>
      <c r="AJL51" s="12">
        <f>IF(AJI51=0,0,IF(AID51=1,SUMPRODUCT(--(($AIE$5:$AIE51=$AIE51-1)*($AID$5:$AID51&gt;=10)*($AID$5:$AID51&lt;=12)),$AJK$5:$AJK51),IF(AID51=4,SUMPRODUCT(--(($AIE$5:$AIE51=$AIE51)*($AID$5:$AID51&gt;=1)*($AID$5:$AID51&lt;=3)),$AJK$5:$AJK51),IF(AID51=7,SUMPRODUCT(--(($AIE$5:$AIE51=$AIE51)*($AID$5:$AID51&gt;=4)*($AID$5:$AID51&lt;=6)),$AJK$5:$AJK51),IF(AID51=10,SUMPRODUCT(--(($AIE$5:$AIE51=$AIE51)*($AID$5:$AID51&gt;=7)*($AID$5:$AID51&lt;=9)),$AJK$5:$AJK51),0)))))</f>
        <v/>
      </c>
      <c r="AJM51" s="12">
        <f>AJM50+AJK51-AJL51</f>
        <v/>
      </c>
      <c r="AJN51" s="12">
        <f>IF(ProviderDelay&gt;=1,AIU50*BlendedProvPayEss+AIV50*BlendedProvPayPrem+AIW50*BlendedProvPayElite+AIX50*BlendedProvPayEss+AIY50*BlendedProvPayPrem+AIZ50*BlendedProvPayElite,AIU51*BlendedProvPayEss+AIV51*BlendedProvPayPrem+AIW51*BlendedProvPayElite+AIX51*BlendedProvPayEss+AIY51*BlendedProvPayPrem+AIZ51*BlendedProvPayElite)</f>
        <v/>
      </c>
      <c r="AJO51" s="12">
        <f>AJG51*PaymentFee</f>
        <v/>
      </c>
      <c r="AJP51" s="12">
        <f>AJA51*OpsAI</f>
        <v/>
      </c>
      <c r="AJQ51" s="12">
        <f>MonthlyFixed</f>
        <v/>
      </c>
      <c r="AJR51" s="12">
        <f>AIK51*ReferralReward</f>
        <v/>
      </c>
      <c r="AJS51" s="12">
        <f>AII51</f>
        <v/>
      </c>
      <c r="AJT51" s="9">
        <f>AJJ51-AJN51-AJO51-AJP51-AJQ51-AJR51-AJS51</f>
        <v/>
      </c>
      <c r="AJU51" s="9">
        <f>AJU50+AJG51-(AJN51+AJO51+AJP51+AJQ51+AJR51+AJS51+AJL51)</f>
        <v/>
      </c>
      <c r="AJV51" s="12">
        <f>IF(AJA51&gt;0,AJB51/AJA51,0)</f>
        <v/>
      </c>
      <c r="AJW51" s="11">
        <f>IF(AJA50&gt;0,MAX(0,(AJA50+AIL51-AJA51)/AJA50),0)</f>
        <v/>
      </c>
      <c r="AJY51" s="12" t="n">
        <v>47</v>
      </c>
      <c r="AJZ51" s="12">
        <f>MOD(AJY51-1+LaunchMonth-1,12)+1</f>
        <v/>
      </c>
      <c r="AKA51" s="12">
        <f>INT((AJY51-1+LaunchMonth-1)/12)+1</f>
        <v/>
      </c>
      <c r="AKB51" s="12">
        <f>VLOOKUP(AJZ51,SeasonTable,2,FALSE)</f>
        <v/>
      </c>
      <c r="AKC51" s="12">
        <f>(1+InflationRate)^INT((AJY51-1)/12)</f>
        <v/>
      </c>
      <c r="AKD51" s="11">
        <f>MonthlyChurn*VLOOKUP(AJZ51,ChurnSeasonTable,4,FALSE)</f>
        <v/>
      </c>
      <c r="AKE51" s="12">
        <f>MIN(MAX(MktMin19plus,ALC50*MktPct19plus),MAX(0,ALQ50-CashBuffer))</f>
        <v/>
      </c>
      <c r="AKF51" s="12">
        <f>IF(AKE51&gt;0,MAX(1,ROUND(AKE51/'Sens - CAC &amp; Marketing'!$A$10*AKB51,0)),0)</f>
        <v/>
      </c>
      <c r="AKG51" s="12">
        <f>IF(AKF51&gt;0,ROUND(AKF51*ReferralMix/(1-ReferralMix),0),0)</f>
        <v/>
      </c>
      <c r="AKH51" s="12">
        <f>AKF51+AKG51</f>
        <v/>
      </c>
      <c r="AKI51" s="12">
        <f>ROUND(AKH51*(1-AnnualMix),0)</f>
        <v/>
      </c>
      <c r="AKJ51" s="12">
        <f>AKH51-AKI51</f>
        <v/>
      </c>
      <c r="AKK51" s="12">
        <f>ROUND(AKI51*EssentialMix,0)</f>
        <v/>
      </c>
      <c r="AKL51" s="12">
        <f>ROUND(AKI51*PremiumMix,0)</f>
        <v/>
      </c>
      <c r="AKM51" s="12">
        <f>AKI51-AKK51-AKL51</f>
        <v/>
      </c>
      <c r="AKN51" s="12">
        <f>ROUND(AKJ51*EssentialMix,0)</f>
        <v/>
      </c>
      <c r="AKO51" s="12">
        <f>ROUND(AKJ51*PremiumMix,0)</f>
        <v/>
      </c>
      <c r="AKP51" s="12">
        <f>AKJ51-AKN51-AKO51</f>
        <v/>
      </c>
      <c r="AKQ51" s="12">
        <f>AKK51+AKK50+AKK49+MAX(0,AKQ50-AKK50-AKK49)*(1-AKD51)</f>
        <v/>
      </c>
      <c r="AKR51" s="12">
        <f>AKL51+AKL50+AKL49+MAX(0,AKR50-AKL50-AKL49)*(1-AKD51)</f>
        <v/>
      </c>
      <c r="AKS51" s="12">
        <f>AKM51+AKM50+AKM49+MAX(0,AKS50-AKM50-AKM49)*(1-AKD51)</f>
        <v/>
      </c>
      <c r="AKT51" s="12">
        <f>AKT50+AKN51-AKN39*(AnnualChurn*VLOOKUP(AJZ51,ChurnSeasonTable,4,FALSE))*POWER(1-(AnnualChurn*VLOOKUP(AJZ51,ChurnSeasonTable,4,FALSE)),0)+AKN27*(AnnualChurn*VLOOKUP(AJZ51,ChurnSeasonTable,4,FALSE))*POWER(1-(AnnualChurn*VLOOKUP(AJZ51,ChurnSeasonTable,4,FALSE)),1)+AKN15*(AnnualChurn*VLOOKUP(AJZ51,ChurnSeasonTable,4,FALSE))*POWER(1-(AnnualChurn*VLOOKUP(AJZ51,ChurnSeasonTable,4,FALSE)),2)</f>
        <v/>
      </c>
      <c r="AKU51" s="12">
        <f>AKU50+AKO51-AKO39*(AnnualChurn*VLOOKUP(AJZ51,ChurnSeasonTable,4,FALSE))*POWER(1-(AnnualChurn*VLOOKUP(AJZ51,ChurnSeasonTable,4,FALSE)),0)+AKO27*(AnnualChurn*VLOOKUP(AJZ51,ChurnSeasonTable,4,FALSE))*POWER(1-(AnnualChurn*VLOOKUP(AJZ51,ChurnSeasonTable,4,FALSE)),1)+AKO15*(AnnualChurn*VLOOKUP(AJZ51,ChurnSeasonTable,4,FALSE))*POWER(1-(AnnualChurn*VLOOKUP(AJZ51,ChurnSeasonTable,4,FALSE)),2)</f>
        <v/>
      </c>
      <c r="AKV51" s="12">
        <f>AKV50+AKP51-AKP39*(AnnualChurn*VLOOKUP(AJZ51,ChurnSeasonTable,4,FALSE))*POWER(1-(AnnualChurn*VLOOKUP(AJZ51,ChurnSeasonTable,4,FALSE)),0)+AKP27*(AnnualChurn*VLOOKUP(AJZ51,ChurnSeasonTable,4,FALSE))*POWER(1-(AnnualChurn*VLOOKUP(AJZ51,ChurnSeasonTable,4,FALSE)),1)+AKP15*(AnnualChurn*VLOOKUP(AJZ51,ChurnSeasonTable,4,FALSE))*POWER(1-(AnnualChurn*VLOOKUP(AJZ51,ChurnSeasonTable,4,FALSE)),2)</f>
        <v/>
      </c>
      <c r="AKW51" s="12">
        <f>AKQ51+AKR51+AKS51+AKT51+AKU51+AKV51</f>
        <v/>
      </c>
      <c r="AKX51" s="9">
        <f>AKQ51*BlendedPriceEssMonthly*AKC51+AKR51*BlendedPricePremMonthly*AKC51+AKS51*BlendedPriceEliteMonthly*AKC51+AKT51*BlendedPriceEssAnnual*AKC51/12+AKU51*BlendedPricePremAnnual*AKC51/12+AKV51*BlendedPriceEliteAnnual*AKC51/12</f>
        <v/>
      </c>
      <c r="AKY51" s="9">
        <f>AKX51*12</f>
        <v/>
      </c>
      <c r="AKZ51" s="12">
        <f>AKQ51*BlendedPriceEssMonthly*AKC51+AKR51*BlendedPricePremMonthly*AKC51+AKS51*BlendedPriceEliteMonthly*AKC51</f>
        <v/>
      </c>
      <c r="ALA51" s="12">
        <f>AKN51*BlendedPriceEssAnnual*AKC51+AKO51*BlendedPricePremAnnual*AKC51+AKP51*BlendedPriceEliteAnnual*AKC51</f>
        <v/>
      </c>
      <c r="ALB51" s="12">
        <f>AKN39*POWER(1-(AnnualChurn*VLOOKUP(AJZ51,ChurnSeasonTable,4,FALSE)),1)*BlendedPriceEssAnnual*AKC51+AKN27*POWER(1-(AnnualChurn*VLOOKUP(AJZ51,ChurnSeasonTable,4,FALSE)),2)*BlendedPriceEssAnnual*AKC51+AKN15*POWER(1-(AnnualChurn*VLOOKUP(AJZ51,ChurnSeasonTable,4,FALSE)),3)*BlendedPriceEssAnnual*AKC51+AKO39*POWER(1-(AnnualChurn*VLOOKUP(AJZ51,ChurnSeasonTable,4,FALSE)),1)*BlendedPricePremAnnual*AKC51+AKO27*POWER(1-(AnnualChurn*VLOOKUP(AJZ51,ChurnSeasonTable,4,FALSE)),2)*BlendedPricePremAnnual*AKC51+AKO15*POWER(1-(AnnualChurn*VLOOKUP(AJZ51,ChurnSeasonTable,4,FALSE)),3)*BlendedPricePremAnnual*AKC51+AKP39*POWER(1-(AnnualChurn*VLOOKUP(AJZ51,ChurnSeasonTable,4,FALSE)),1)*BlendedPriceEliteAnnual*AKC51+AKP27*POWER(1-(AnnualChurn*VLOOKUP(AJZ51,ChurnSeasonTable,4,FALSE)),2)*BlendedPriceEliteAnnual*AKC51+AKP15*POWER(1-(AnnualChurn*VLOOKUP(AJZ51,ChurnSeasonTable,4,FALSE)),3)*BlendedPriceEliteAnnual*AKC51</f>
        <v/>
      </c>
      <c r="ALC51" s="9">
        <f>AKZ51+ALA51+ALB51</f>
        <v/>
      </c>
      <c r="ALD51" s="12">
        <f>SUM(ALC40:ALC51)</f>
        <v/>
      </c>
      <c r="ALE51" s="12">
        <f>OR(ALE50,IF(VATAgentMode,SUM($ALC40:$ALC51)-SUM($ALJ40:$ALJ51)&gt;=VATThreshold,SUM($ALC40:$ALC51)&gt;=VATThreshold))</f>
        <v/>
      </c>
      <c r="ALF51" s="9">
        <f>IF(ALE51,IF(VATAgentMode,ALC51-((ALC51-ALJ51)-(ALC51-ALJ51)/(1+VATRate)),ALC51/(1+VATRate)),ALC51)</f>
        <v/>
      </c>
      <c r="ALG51" s="12">
        <f>ALC51-ALF51</f>
        <v/>
      </c>
      <c r="ALH51" s="12">
        <f>IF(ALE51=0,0,IF(AJZ51=1,SUMPRODUCT(--(($AKA$5:$AKA51=$AKA51-1)*($AJZ$5:$AJZ51&gt;=10)*($AJZ$5:$AJZ51&lt;=12)),$ALG$5:$ALG51),IF(AJZ51=4,SUMPRODUCT(--(($AKA$5:$AKA51=$AKA51)*($AJZ$5:$AJZ51&gt;=1)*($AJZ$5:$AJZ51&lt;=3)),$ALG$5:$ALG51),IF(AJZ51=7,SUMPRODUCT(--(($AKA$5:$AKA51=$AKA51)*($AJZ$5:$AJZ51&gt;=4)*($AJZ$5:$AJZ51&lt;=6)),$ALG$5:$ALG51),IF(AJZ51=10,SUMPRODUCT(--(($AKA$5:$AKA51=$AKA51)*($AJZ$5:$AJZ51&gt;=7)*($AJZ$5:$AJZ51&lt;=9)),$ALG$5:$ALG51),0)))))</f>
        <v/>
      </c>
      <c r="ALI51" s="12">
        <f>ALI50+ALG51-ALH51</f>
        <v/>
      </c>
      <c r="ALJ51" s="12">
        <f>IF(ProviderDelay&gt;=1,AKQ50*BlendedProvPayEss+AKR50*BlendedProvPayPrem+AKS50*BlendedProvPayElite+AKT50*BlendedProvPayEss+AKU50*BlendedProvPayPrem+AKV50*BlendedProvPayElite,AKQ51*BlendedProvPayEss+AKR51*BlendedProvPayPrem+AKS51*BlendedProvPayElite+AKT51*BlendedProvPayEss+AKU51*BlendedProvPayPrem+AKV51*BlendedProvPayElite)</f>
        <v/>
      </c>
      <c r="ALK51" s="12">
        <f>ALC51*PaymentFee</f>
        <v/>
      </c>
      <c r="ALL51" s="12">
        <f>AKW51*OpsAI</f>
        <v/>
      </c>
      <c r="ALM51" s="12">
        <f>MonthlyFixed</f>
        <v/>
      </c>
      <c r="ALN51" s="12">
        <f>AKG51*ReferralReward</f>
        <v/>
      </c>
      <c r="ALO51" s="12">
        <f>AKE51</f>
        <v/>
      </c>
      <c r="ALP51" s="9">
        <f>ALF51-ALJ51-ALK51-ALL51-ALM51-ALN51-ALO51</f>
        <v/>
      </c>
      <c r="ALQ51" s="9">
        <f>ALQ50+ALC51-(ALJ51+ALK51+ALL51+ALM51+ALN51+ALO51+ALH51)</f>
        <v/>
      </c>
      <c r="ALR51" s="12">
        <f>IF(AKW51&gt;0,AKX51/AKW51,0)</f>
        <v/>
      </c>
      <c r="ALS51" s="11">
        <f>IF(AKW50&gt;0,MAX(0,(AKW50+AKH51-AKW51)/AKW50),0)</f>
        <v/>
      </c>
      <c r="ALU51" s="12" t="n">
        <v>47</v>
      </c>
      <c r="ALV51" s="12">
        <f>MOD(ALU51-1+LaunchMonth-1,12)+1</f>
        <v/>
      </c>
      <c r="ALW51" s="12">
        <f>INT((ALU51-1+LaunchMonth-1)/12)+1</f>
        <v/>
      </c>
      <c r="ALX51" s="12">
        <f>VLOOKUP(ALV51,SeasonTable,2,FALSE)</f>
        <v/>
      </c>
      <c r="ALY51" s="12">
        <f>(1+InflationRate)^INT((ALU51-1)/12)</f>
        <v/>
      </c>
      <c r="ALZ51" s="11">
        <f>MonthlyChurn*VLOOKUP(ALV51,ChurnSeasonTable,4,FALSE)</f>
        <v/>
      </c>
      <c r="AMA51" s="12">
        <f>MIN(MAX(MktMin19plus,AMY50*MktPct19plus),MAX(0,ANM50-CashBuffer))</f>
        <v/>
      </c>
      <c r="AMB51" s="12">
        <f>IF(AMA51&gt;0,MAX(1,ROUND(AMA51/'Sens - CAC &amp; Marketing'!$A$11*ALX51,0)),0)</f>
        <v/>
      </c>
      <c r="AMC51" s="12">
        <f>IF(AMB51&gt;0,ROUND(AMB51*ReferralMix/(1-ReferralMix),0),0)</f>
        <v/>
      </c>
      <c r="AMD51" s="12">
        <f>AMB51+AMC51</f>
        <v/>
      </c>
      <c r="AME51" s="12">
        <f>ROUND(AMD51*(1-AnnualMix),0)</f>
        <v/>
      </c>
      <c r="AMF51" s="12">
        <f>AMD51-AME51</f>
        <v/>
      </c>
      <c r="AMG51" s="12">
        <f>ROUND(AME51*EssentialMix,0)</f>
        <v/>
      </c>
      <c r="AMH51" s="12">
        <f>ROUND(AME51*PremiumMix,0)</f>
        <v/>
      </c>
      <c r="AMI51" s="12">
        <f>AME51-AMG51-AMH51</f>
        <v/>
      </c>
      <c r="AMJ51" s="12">
        <f>ROUND(AMF51*EssentialMix,0)</f>
        <v/>
      </c>
      <c r="AMK51" s="12">
        <f>ROUND(AMF51*PremiumMix,0)</f>
        <v/>
      </c>
      <c r="AML51" s="12">
        <f>AMF51-AMJ51-AMK51</f>
        <v/>
      </c>
      <c r="AMM51" s="12">
        <f>AMG51+AMG50+AMG49+MAX(0,AMM50-AMG50-AMG49)*(1-ALZ51)</f>
        <v/>
      </c>
      <c r="AMN51" s="12">
        <f>AMH51+AMH50+AMH49+MAX(0,AMN50-AMH50-AMH49)*(1-ALZ51)</f>
        <v/>
      </c>
      <c r="AMO51" s="12">
        <f>AMI51+AMI50+AMI49+MAX(0,AMO50-AMI50-AMI49)*(1-ALZ51)</f>
        <v/>
      </c>
      <c r="AMP51" s="12">
        <f>AMP50+AMJ51-AMJ39*(AnnualChurn*VLOOKUP(ALV51,ChurnSeasonTable,4,FALSE))*POWER(1-(AnnualChurn*VLOOKUP(ALV51,ChurnSeasonTable,4,FALSE)),0)+AMJ27*(AnnualChurn*VLOOKUP(ALV51,ChurnSeasonTable,4,FALSE))*POWER(1-(AnnualChurn*VLOOKUP(ALV51,ChurnSeasonTable,4,FALSE)),1)+AMJ15*(AnnualChurn*VLOOKUP(ALV51,ChurnSeasonTable,4,FALSE))*POWER(1-(AnnualChurn*VLOOKUP(ALV51,ChurnSeasonTable,4,FALSE)),2)</f>
        <v/>
      </c>
      <c r="AMQ51" s="12">
        <f>AMQ50+AMK51-AMK39*(AnnualChurn*VLOOKUP(ALV51,ChurnSeasonTable,4,FALSE))*POWER(1-(AnnualChurn*VLOOKUP(ALV51,ChurnSeasonTable,4,FALSE)),0)+AMK27*(AnnualChurn*VLOOKUP(ALV51,ChurnSeasonTable,4,FALSE))*POWER(1-(AnnualChurn*VLOOKUP(ALV51,ChurnSeasonTable,4,FALSE)),1)+AMK15*(AnnualChurn*VLOOKUP(ALV51,ChurnSeasonTable,4,FALSE))*POWER(1-(AnnualChurn*VLOOKUP(ALV51,ChurnSeasonTable,4,FALSE)),2)</f>
        <v/>
      </c>
      <c r="AMR51" s="12">
        <f>AMR50+AML51-AML39*(AnnualChurn*VLOOKUP(ALV51,ChurnSeasonTable,4,FALSE))*POWER(1-(AnnualChurn*VLOOKUP(ALV51,ChurnSeasonTable,4,FALSE)),0)+AML27*(AnnualChurn*VLOOKUP(ALV51,ChurnSeasonTable,4,FALSE))*POWER(1-(AnnualChurn*VLOOKUP(ALV51,ChurnSeasonTable,4,FALSE)),1)+AML15*(AnnualChurn*VLOOKUP(ALV51,ChurnSeasonTable,4,FALSE))*POWER(1-(AnnualChurn*VLOOKUP(ALV51,ChurnSeasonTable,4,FALSE)),2)</f>
        <v/>
      </c>
      <c r="AMS51" s="12">
        <f>AMM51+AMN51+AMO51+AMP51+AMQ51+AMR51</f>
        <v/>
      </c>
      <c r="AMT51" s="9">
        <f>AMM51*BlendedPriceEssMonthly*ALY51+AMN51*BlendedPricePremMonthly*ALY51+AMO51*BlendedPriceEliteMonthly*ALY51+AMP51*BlendedPriceEssAnnual*ALY51/12+AMQ51*BlendedPricePremAnnual*ALY51/12+AMR51*BlendedPriceEliteAnnual*ALY51/12</f>
        <v/>
      </c>
      <c r="AMU51" s="9">
        <f>AMT51*12</f>
        <v/>
      </c>
      <c r="AMV51" s="12">
        <f>AMM51*BlendedPriceEssMonthly*ALY51+AMN51*BlendedPricePremMonthly*ALY51+AMO51*BlendedPriceEliteMonthly*ALY51</f>
        <v/>
      </c>
      <c r="AMW51" s="12">
        <f>AMJ51*BlendedPriceEssAnnual*ALY51+AMK51*BlendedPricePremAnnual*ALY51+AML51*BlendedPriceEliteAnnual*ALY51</f>
        <v/>
      </c>
      <c r="AMX51" s="12">
        <f>AMJ39*POWER(1-(AnnualChurn*VLOOKUP(ALV51,ChurnSeasonTable,4,FALSE)),1)*BlendedPriceEssAnnual*ALY51+AMJ27*POWER(1-(AnnualChurn*VLOOKUP(ALV51,ChurnSeasonTable,4,FALSE)),2)*BlendedPriceEssAnnual*ALY51+AMJ15*POWER(1-(AnnualChurn*VLOOKUP(ALV51,ChurnSeasonTable,4,FALSE)),3)*BlendedPriceEssAnnual*ALY51+AMK39*POWER(1-(AnnualChurn*VLOOKUP(ALV51,ChurnSeasonTable,4,FALSE)),1)*BlendedPricePremAnnual*ALY51+AMK27*POWER(1-(AnnualChurn*VLOOKUP(ALV51,ChurnSeasonTable,4,FALSE)),2)*BlendedPricePremAnnual*ALY51+AMK15*POWER(1-(AnnualChurn*VLOOKUP(ALV51,ChurnSeasonTable,4,FALSE)),3)*BlendedPricePremAnnual*ALY51+AML39*POWER(1-(AnnualChurn*VLOOKUP(ALV51,ChurnSeasonTable,4,FALSE)),1)*BlendedPriceEliteAnnual*ALY51+AML27*POWER(1-(AnnualChurn*VLOOKUP(ALV51,ChurnSeasonTable,4,FALSE)),2)*BlendedPriceEliteAnnual*ALY51+AML15*POWER(1-(AnnualChurn*VLOOKUP(ALV51,ChurnSeasonTable,4,FALSE)),3)*BlendedPriceEliteAnnual*ALY51</f>
        <v/>
      </c>
      <c r="AMY51" s="9">
        <f>AMV51+AMW51+AMX51</f>
        <v/>
      </c>
      <c r="AMZ51" s="12">
        <f>SUM(AMY40:AMY51)</f>
        <v/>
      </c>
      <c r="ANA51" s="12">
        <f>OR(ANA50,IF(VATAgentMode,SUM($AMY40:$AMY51)-SUM($ANF40:$ANF51)&gt;=VATThreshold,SUM($AMY40:$AMY51)&gt;=VATThreshold))</f>
        <v/>
      </c>
      <c r="ANB51" s="9">
        <f>IF(ANA51,IF(VATAgentMode,AMY51-((AMY51-ANF51)-(AMY51-ANF51)/(1+VATRate)),AMY51/(1+VATRate)),AMY51)</f>
        <v/>
      </c>
      <c r="ANC51" s="12">
        <f>AMY51-ANB51</f>
        <v/>
      </c>
      <c r="AND51" s="12">
        <f>IF(ANA51=0,0,IF(ALV51=1,SUMPRODUCT(--(($ALW$5:$ALW51=$ALW51-1)*($ALV$5:$ALV51&gt;=10)*($ALV$5:$ALV51&lt;=12)),$ANC$5:$ANC51),IF(ALV51=4,SUMPRODUCT(--(($ALW$5:$ALW51=$ALW51)*($ALV$5:$ALV51&gt;=1)*($ALV$5:$ALV51&lt;=3)),$ANC$5:$ANC51),IF(ALV51=7,SUMPRODUCT(--(($ALW$5:$ALW51=$ALW51)*($ALV$5:$ALV51&gt;=4)*($ALV$5:$ALV51&lt;=6)),$ANC$5:$ANC51),IF(ALV51=10,SUMPRODUCT(--(($ALW$5:$ALW51=$ALW51)*($ALV$5:$ALV51&gt;=7)*($ALV$5:$ALV51&lt;=9)),$ANC$5:$ANC51),0)))))</f>
        <v/>
      </c>
      <c r="ANE51" s="12">
        <f>ANE50+ANC51-AND51</f>
        <v/>
      </c>
      <c r="ANF51" s="12">
        <f>IF(ProviderDelay&gt;=1,AMM50*BlendedProvPayEss+AMN50*BlendedProvPayPrem+AMO50*BlendedProvPayElite+AMP50*BlendedProvPayEss+AMQ50*BlendedProvPayPrem+AMR50*BlendedProvPayElite,AMM51*BlendedProvPayEss+AMN51*BlendedProvPayPrem+AMO51*BlendedProvPayElite+AMP51*BlendedProvPayEss+AMQ51*BlendedProvPayPrem+AMR51*BlendedProvPayElite)</f>
        <v/>
      </c>
      <c r="ANG51" s="12">
        <f>AMY51*PaymentFee</f>
        <v/>
      </c>
      <c r="ANH51" s="12">
        <f>AMS51*OpsAI</f>
        <v/>
      </c>
      <c r="ANI51" s="12">
        <f>MonthlyFixed</f>
        <v/>
      </c>
      <c r="ANJ51" s="12">
        <f>AMC51*ReferralReward</f>
        <v/>
      </c>
      <c r="ANK51" s="12">
        <f>AMA51</f>
        <v/>
      </c>
      <c r="ANL51" s="9">
        <f>ANB51-ANF51-ANG51-ANH51-ANI51-ANJ51-ANK51</f>
        <v/>
      </c>
      <c r="ANM51" s="9">
        <f>ANM50+AMY51-(ANF51+ANG51+ANH51+ANI51+ANJ51+ANK51+AND51)</f>
        <v/>
      </c>
      <c r="ANN51" s="12">
        <f>IF(AMS51&gt;0,AMT51/AMS51,0)</f>
        <v/>
      </c>
      <c r="ANO51" s="11">
        <f>IF(AMS50&gt;0,MAX(0,(AMS50+AMD51-AMS51)/AMS50),0)</f>
        <v/>
      </c>
      <c r="ANQ51" s="12" t="n">
        <v>47</v>
      </c>
      <c r="ANR51" s="12">
        <f>MOD(ANQ51-1+LaunchMonth-1,12)+1</f>
        <v/>
      </c>
      <c r="ANS51" s="12">
        <f>INT((ANQ51-1+LaunchMonth-1)/12)+1</f>
        <v/>
      </c>
      <c r="ANT51" s="12">
        <f>VLOOKUP(ANR51,SeasonTable,2,FALSE)</f>
        <v/>
      </c>
      <c r="ANU51" s="12">
        <f>(1+InflationRate)^INT((ANQ51-1)/12)</f>
        <v/>
      </c>
      <c r="ANV51" s="11">
        <f>MonthlyChurn*VLOOKUP(ANR51,ChurnSeasonTable,4,FALSE)</f>
        <v/>
      </c>
      <c r="ANW51" s="12">
        <f>MIN(MAX(MktMin19plus,AOU50*MktPct19plus),MAX(0,API50-CashBuffer))</f>
        <v/>
      </c>
      <c r="ANX51" s="12">
        <f>IF(ANW51&gt;0,MAX(1,ROUND(ANW51/'Sens - CAC &amp; Marketing'!$A$12*ANT51,0)),0)</f>
        <v/>
      </c>
      <c r="ANY51" s="12">
        <f>IF(ANX51&gt;0,ROUND(ANX51*ReferralMix/(1-ReferralMix),0),0)</f>
        <v/>
      </c>
      <c r="ANZ51" s="12">
        <f>ANX51+ANY51</f>
        <v/>
      </c>
      <c r="AOA51" s="12">
        <f>ROUND(ANZ51*(1-AnnualMix),0)</f>
        <v/>
      </c>
      <c r="AOB51" s="12">
        <f>ANZ51-AOA51</f>
        <v/>
      </c>
      <c r="AOC51" s="12">
        <f>ROUND(AOA51*EssentialMix,0)</f>
        <v/>
      </c>
      <c r="AOD51" s="12">
        <f>ROUND(AOA51*PremiumMix,0)</f>
        <v/>
      </c>
      <c r="AOE51" s="12">
        <f>AOA51-AOC51-AOD51</f>
        <v/>
      </c>
      <c r="AOF51" s="12">
        <f>ROUND(AOB51*EssentialMix,0)</f>
        <v/>
      </c>
      <c r="AOG51" s="12">
        <f>ROUND(AOB51*PremiumMix,0)</f>
        <v/>
      </c>
      <c r="AOH51" s="12">
        <f>AOB51-AOF51-AOG51</f>
        <v/>
      </c>
      <c r="AOI51" s="12">
        <f>AOC51+AOC50+AOC49+MAX(0,AOI50-AOC50-AOC49)*(1-ANV51)</f>
        <v/>
      </c>
      <c r="AOJ51" s="12">
        <f>AOD51+AOD50+AOD49+MAX(0,AOJ50-AOD50-AOD49)*(1-ANV51)</f>
        <v/>
      </c>
      <c r="AOK51" s="12">
        <f>AOE51+AOE50+AOE49+MAX(0,AOK50-AOE50-AOE49)*(1-ANV51)</f>
        <v/>
      </c>
      <c r="AOL51" s="12">
        <f>AOL50+AOF51-AOF39*(AnnualChurn*VLOOKUP(ANR51,ChurnSeasonTable,4,FALSE))*POWER(1-(AnnualChurn*VLOOKUP(ANR51,ChurnSeasonTable,4,FALSE)),0)+AOF27*(AnnualChurn*VLOOKUP(ANR51,ChurnSeasonTable,4,FALSE))*POWER(1-(AnnualChurn*VLOOKUP(ANR51,ChurnSeasonTable,4,FALSE)),1)+AOF15*(AnnualChurn*VLOOKUP(ANR51,ChurnSeasonTable,4,FALSE))*POWER(1-(AnnualChurn*VLOOKUP(ANR51,ChurnSeasonTable,4,FALSE)),2)</f>
        <v/>
      </c>
      <c r="AOM51" s="12">
        <f>AOM50+AOG51-AOG39*(AnnualChurn*VLOOKUP(ANR51,ChurnSeasonTable,4,FALSE))*POWER(1-(AnnualChurn*VLOOKUP(ANR51,ChurnSeasonTable,4,FALSE)),0)+AOG27*(AnnualChurn*VLOOKUP(ANR51,ChurnSeasonTable,4,FALSE))*POWER(1-(AnnualChurn*VLOOKUP(ANR51,ChurnSeasonTable,4,FALSE)),1)+AOG15*(AnnualChurn*VLOOKUP(ANR51,ChurnSeasonTable,4,FALSE))*POWER(1-(AnnualChurn*VLOOKUP(ANR51,ChurnSeasonTable,4,FALSE)),2)</f>
        <v/>
      </c>
      <c r="AON51" s="12">
        <f>AON50+AOH51-AOH39*(AnnualChurn*VLOOKUP(ANR51,ChurnSeasonTable,4,FALSE))*POWER(1-(AnnualChurn*VLOOKUP(ANR51,ChurnSeasonTable,4,FALSE)),0)+AOH27*(AnnualChurn*VLOOKUP(ANR51,ChurnSeasonTable,4,FALSE))*POWER(1-(AnnualChurn*VLOOKUP(ANR51,ChurnSeasonTable,4,FALSE)),1)+AOH15*(AnnualChurn*VLOOKUP(ANR51,ChurnSeasonTable,4,FALSE))*POWER(1-(AnnualChurn*VLOOKUP(ANR51,ChurnSeasonTable,4,FALSE)),2)</f>
        <v/>
      </c>
      <c r="AOO51" s="12">
        <f>AOI51+AOJ51+AOK51+AOL51+AOM51+AON51</f>
        <v/>
      </c>
      <c r="AOP51" s="9">
        <f>AOI51*BlendedPriceEssMonthly*ANU51+AOJ51*BlendedPricePremMonthly*ANU51+AOK51*BlendedPriceEliteMonthly*ANU51+AOL51*BlendedPriceEssAnnual*ANU51/12+AOM51*BlendedPricePremAnnual*ANU51/12+AON51*BlendedPriceEliteAnnual*ANU51/12</f>
        <v/>
      </c>
      <c r="AOQ51" s="9">
        <f>AOP51*12</f>
        <v/>
      </c>
      <c r="AOR51" s="12">
        <f>AOI51*BlendedPriceEssMonthly*ANU51+AOJ51*BlendedPricePremMonthly*ANU51+AOK51*BlendedPriceEliteMonthly*ANU51</f>
        <v/>
      </c>
      <c r="AOS51" s="12">
        <f>AOF51*BlendedPriceEssAnnual*ANU51+AOG51*BlendedPricePremAnnual*ANU51+AOH51*BlendedPriceEliteAnnual*ANU51</f>
        <v/>
      </c>
      <c r="AOT51" s="12">
        <f>AOF39*POWER(1-(AnnualChurn*VLOOKUP(ANR51,ChurnSeasonTable,4,FALSE)),1)*BlendedPriceEssAnnual*ANU51+AOF27*POWER(1-(AnnualChurn*VLOOKUP(ANR51,ChurnSeasonTable,4,FALSE)),2)*BlendedPriceEssAnnual*ANU51+AOF15*POWER(1-(AnnualChurn*VLOOKUP(ANR51,ChurnSeasonTable,4,FALSE)),3)*BlendedPriceEssAnnual*ANU51+AOG39*POWER(1-(AnnualChurn*VLOOKUP(ANR51,ChurnSeasonTable,4,FALSE)),1)*BlendedPricePremAnnual*ANU51+AOG27*POWER(1-(AnnualChurn*VLOOKUP(ANR51,ChurnSeasonTable,4,FALSE)),2)*BlendedPricePremAnnual*ANU51+AOG15*POWER(1-(AnnualChurn*VLOOKUP(ANR51,ChurnSeasonTable,4,FALSE)),3)*BlendedPricePremAnnual*ANU51+AOH39*POWER(1-(AnnualChurn*VLOOKUP(ANR51,ChurnSeasonTable,4,FALSE)),1)*BlendedPriceEliteAnnual*ANU51+AOH27*POWER(1-(AnnualChurn*VLOOKUP(ANR51,ChurnSeasonTable,4,FALSE)),2)*BlendedPriceEliteAnnual*ANU51+AOH15*POWER(1-(AnnualChurn*VLOOKUP(ANR51,ChurnSeasonTable,4,FALSE)),3)*BlendedPriceEliteAnnual*ANU51</f>
        <v/>
      </c>
      <c r="AOU51" s="9">
        <f>AOR51+AOS51+AOT51</f>
        <v/>
      </c>
      <c r="AOV51" s="12">
        <f>SUM(AOU40:AOU51)</f>
        <v/>
      </c>
      <c r="AOW51" s="12">
        <f>OR(AOW50,IF(VATAgentMode,SUM($AOU40:$AOU51)-SUM($APB40:$APB51)&gt;=VATThreshold,SUM($AOU40:$AOU51)&gt;=VATThreshold))</f>
        <v/>
      </c>
      <c r="AOX51" s="9">
        <f>IF(AOW51,IF(VATAgentMode,AOU51-((AOU51-APB51)-(AOU51-APB51)/(1+VATRate)),AOU51/(1+VATRate)),AOU51)</f>
        <v/>
      </c>
      <c r="AOY51" s="12">
        <f>AOU51-AOX51</f>
        <v/>
      </c>
      <c r="AOZ51" s="12">
        <f>IF(AOW51=0,0,IF(ANR51=1,SUMPRODUCT(--(($ANS$5:$ANS51=$ANS51-1)*($ANR$5:$ANR51&gt;=10)*($ANR$5:$ANR51&lt;=12)),$AOY$5:$AOY51),IF(ANR51=4,SUMPRODUCT(--(($ANS$5:$ANS51=$ANS51)*($ANR$5:$ANR51&gt;=1)*($ANR$5:$ANR51&lt;=3)),$AOY$5:$AOY51),IF(ANR51=7,SUMPRODUCT(--(($ANS$5:$ANS51=$ANS51)*($ANR$5:$ANR51&gt;=4)*($ANR$5:$ANR51&lt;=6)),$AOY$5:$AOY51),IF(ANR51=10,SUMPRODUCT(--(($ANS$5:$ANS51=$ANS51)*($ANR$5:$ANR51&gt;=7)*($ANR$5:$ANR51&lt;=9)),$AOY$5:$AOY51),0)))))</f>
        <v/>
      </c>
      <c r="APA51" s="12">
        <f>APA50+AOY51-AOZ51</f>
        <v/>
      </c>
      <c r="APB51" s="12">
        <f>IF(ProviderDelay&gt;=1,AOI50*BlendedProvPayEss+AOJ50*BlendedProvPayPrem+AOK50*BlendedProvPayElite+AOL50*BlendedProvPayEss+AOM50*BlendedProvPayPrem+AON50*BlendedProvPayElite,AOI51*BlendedProvPayEss+AOJ51*BlendedProvPayPrem+AOK51*BlendedProvPayElite+AOL51*BlendedProvPayEss+AOM51*BlendedProvPayPrem+AON51*BlendedProvPayElite)</f>
        <v/>
      </c>
      <c r="APC51" s="12">
        <f>AOU51*PaymentFee</f>
        <v/>
      </c>
      <c r="APD51" s="12">
        <f>AOO51*OpsAI</f>
        <v/>
      </c>
      <c r="APE51" s="12">
        <f>MonthlyFixed</f>
        <v/>
      </c>
      <c r="APF51" s="12">
        <f>ANY51*ReferralReward</f>
        <v/>
      </c>
      <c r="APG51" s="12">
        <f>ANW51</f>
        <v/>
      </c>
      <c r="APH51" s="9">
        <f>AOX51-APB51-APC51-APD51-APE51-APF51-APG51</f>
        <v/>
      </c>
      <c r="API51" s="9">
        <f>API50+AOU51-(APB51+APC51+APD51+APE51+APF51+APG51+AOZ51)</f>
        <v/>
      </c>
      <c r="APJ51" s="12">
        <f>IF(AOO51&gt;0,AOP51/AOO51,0)</f>
        <v/>
      </c>
      <c r="APK51" s="11">
        <f>IF(AOO50&gt;0,MAX(0,(AOO50+ANZ51-AOO51)/AOO50),0)</f>
        <v/>
      </c>
      <c r="APM51" s="12" t="n">
        <v>47</v>
      </c>
      <c r="APN51" s="12">
        <f>MOD(APM51-1+LaunchMonth-1,12)+1</f>
        <v/>
      </c>
      <c r="APO51" s="12">
        <f>INT((APM51-1+LaunchMonth-1)/12)+1</f>
        <v/>
      </c>
      <c r="APP51" s="12">
        <f>VLOOKUP(APN51,SeasonTable,2,FALSE)</f>
        <v/>
      </c>
      <c r="APQ51" s="12">
        <f>(1+InflationRate)^INT((APM51-1)/12)</f>
        <v/>
      </c>
      <c r="APR51" s="11">
        <f>MonthlyChurn*VLOOKUP(APN51,ChurnSeasonTable,4,FALSE)</f>
        <v/>
      </c>
      <c r="APS51" s="12">
        <f>MIN(MAX(MktMin19plus,AQQ50*MktPct19plus),MAX(0,ARE50-CashBuffer))</f>
        <v/>
      </c>
      <c r="APT51" s="12">
        <f>IF(APS51&gt;0,MAX(1,ROUND(APS51/'Sens - CAC &amp; Marketing'!$A$13*APP51,0)),0)</f>
        <v/>
      </c>
      <c r="APU51" s="12">
        <f>IF(APT51&gt;0,ROUND(APT51*ReferralMix/(1-ReferralMix),0),0)</f>
        <v/>
      </c>
      <c r="APV51" s="12">
        <f>APT51+APU51</f>
        <v/>
      </c>
      <c r="APW51" s="12">
        <f>ROUND(APV51*(1-AnnualMix),0)</f>
        <v/>
      </c>
      <c r="APX51" s="12">
        <f>APV51-APW51</f>
        <v/>
      </c>
      <c r="APY51" s="12">
        <f>ROUND(APW51*EssentialMix,0)</f>
        <v/>
      </c>
      <c r="APZ51" s="12">
        <f>ROUND(APW51*PremiumMix,0)</f>
        <v/>
      </c>
      <c r="AQA51" s="12">
        <f>APW51-APY51-APZ51</f>
        <v/>
      </c>
      <c r="AQB51" s="12">
        <f>ROUND(APX51*EssentialMix,0)</f>
        <v/>
      </c>
      <c r="AQC51" s="12">
        <f>ROUND(APX51*PremiumMix,0)</f>
        <v/>
      </c>
      <c r="AQD51" s="12">
        <f>APX51-AQB51-AQC51</f>
        <v/>
      </c>
      <c r="AQE51" s="12">
        <f>APY51+APY50+APY49+MAX(0,AQE50-APY50-APY49)*(1-APR51)</f>
        <v/>
      </c>
      <c r="AQF51" s="12">
        <f>APZ51+APZ50+APZ49+MAX(0,AQF50-APZ50-APZ49)*(1-APR51)</f>
        <v/>
      </c>
      <c r="AQG51" s="12">
        <f>AQA51+AQA50+AQA49+MAX(0,AQG50-AQA50-AQA49)*(1-APR51)</f>
        <v/>
      </c>
      <c r="AQH51" s="12">
        <f>AQH50+AQB51-AQB39*(AnnualChurn*VLOOKUP(APN51,ChurnSeasonTable,4,FALSE))*POWER(1-(AnnualChurn*VLOOKUP(APN51,ChurnSeasonTable,4,FALSE)),0)+AQB27*(AnnualChurn*VLOOKUP(APN51,ChurnSeasonTable,4,FALSE))*POWER(1-(AnnualChurn*VLOOKUP(APN51,ChurnSeasonTable,4,FALSE)),1)+AQB15*(AnnualChurn*VLOOKUP(APN51,ChurnSeasonTable,4,FALSE))*POWER(1-(AnnualChurn*VLOOKUP(APN51,ChurnSeasonTable,4,FALSE)),2)</f>
        <v/>
      </c>
      <c r="AQI51" s="12">
        <f>AQI50+AQC51-AQC39*(AnnualChurn*VLOOKUP(APN51,ChurnSeasonTable,4,FALSE))*POWER(1-(AnnualChurn*VLOOKUP(APN51,ChurnSeasonTable,4,FALSE)),0)+AQC27*(AnnualChurn*VLOOKUP(APN51,ChurnSeasonTable,4,FALSE))*POWER(1-(AnnualChurn*VLOOKUP(APN51,ChurnSeasonTable,4,FALSE)),1)+AQC15*(AnnualChurn*VLOOKUP(APN51,ChurnSeasonTable,4,FALSE))*POWER(1-(AnnualChurn*VLOOKUP(APN51,ChurnSeasonTable,4,FALSE)),2)</f>
        <v/>
      </c>
      <c r="AQJ51" s="12">
        <f>AQJ50+AQD51-AQD39*(AnnualChurn*VLOOKUP(APN51,ChurnSeasonTable,4,FALSE))*POWER(1-(AnnualChurn*VLOOKUP(APN51,ChurnSeasonTable,4,FALSE)),0)+AQD27*(AnnualChurn*VLOOKUP(APN51,ChurnSeasonTable,4,FALSE))*POWER(1-(AnnualChurn*VLOOKUP(APN51,ChurnSeasonTable,4,FALSE)),1)+AQD15*(AnnualChurn*VLOOKUP(APN51,ChurnSeasonTable,4,FALSE))*POWER(1-(AnnualChurn*VLOOKUP(APN51,ChurnSeasonTable,4,FALSE)),2)</f>
        <v/>
      </c>
      <c r="AQK51" s="12">
        <f>AQE51+AQF51+AQG51+AQH51+AQI51+AQJ51</f>
        <v/>
      </c>
      <c r="AQL51" s="9">
        <f>AQE51*BlendedPriceEssMonthly*APQ51+AQF51*BlendedPricePremMonthly*APQ51+AQG51*BlendedPriceEliteMonthly*APQ51+AQH51*BlendedPriceEssAnnual*APQ51/12+AQI51*BlendedPricePremAnnual*APQ51/12+AQJ51*BlendedPriceEliteAnnual*APQ51/12</f>
        <v/>
      </c>
      <c r="AQM51" s="9">
        <f>AQL51*12</f>
        <v/>
      </c>
      <c r="AQN51" s="12">
        <f>AQE51*BlendedPriceEssMonthly*APQ51+AQF51*BlendedPricePremMonthly*APQ51+AQG51*BlendedPriceEliteMonthly*APQ51</f>
        <v/>
      </c>
      <c r="AQO51" s="12">
        <f>AQB51*BlendedPriceEssAnnual*APQ51+AQC51*BlendedPricePremAnnual*APQ51+AQD51*BlendedPriceEliteAnnual*APQ51</f>
        <v/>
      </c>
      <c r="AQP51" s="12">
        <f>AQB39*POWER(1-(AnnualChurn*VLOOKUP(APN51,ChurnSeasonTable,4,FALSE)),1)*BlendedPriceEssAnnual*APQ51+AQB27*POWER(1-(AnnualChurn*VLOOKUP(APN51,ChurnSeasonTable,4,FALSE)),2)*BlendedPriceEssAnnual*APQ51+AQB15*POWER(1-(AnnualChurn*VLOOKUP(APN51,ChurnSeasonTable,4,FALSE)),3)*BlendedPriceEssAnnual*APQ51+AQC39*POWER(1-(AnnualChurn*VLOOKUP(APN51,ChurnSeasonTable,4,FALSE)),1)*BlendedPricePremAnnual*APQ51+AQC27*POWER(1-(AnnualChurn*VLOOKUP(APN51,ChurnSeasonTable,4,FALSE)),2)*BlendedPricePremAnnual*APQ51+AQC15*POWER(1-(AnnualChurn*VLOOKUP(APN51,ChurnSeasonTable,4,FALSE)),3)*BlendedPricePremAnnual*APQ51+AQD39*POWER(1-(AnnualChurn*VLOOKUP(APN51,ChurnSeasonTable,4,FALSE)),1)*BlendedPriceEliteAnnual*APQ51+AQD27*POWER(1-(AnnualChurn*VLOOKUP(APN51,ChurnSeasonTable,4,FALSE)),2)*BlendedPriceEliteAnnual*APQ51+AQD15*POWER(1-(AnnualChurn*VLOOKUP(APN51,ChurnSeasonTable,4,FALSE)),3)*BlendedPriceEliteAnnual*APQ51</f>
        <v/>
      </c>
      <c r="AQQ51" s="9">
        <f>AQN51+AQO51+AQP51</f>
        <v/>
      </c>
      <c r="AQR51" s="12">
        <f>SUM(AQQ40:AQQ51)</f>
        <v/>
      </c>
      <c r="AQS51" s="12">
        <f>OR(AQS50,IF(VATAgentMode,SUM($AQQ40:$AQQ51)-SUM($AQX40:$AQX51)&gt;=VATThreshold,SUM($AQQ40:$AQQ51)&gt;=VATThreshold))</f>
        <v/>
      </c>
      <c r="AQT51" s="9">
        <f>IF(AQS51,IF(VATAgentMode,AQQ51-((AQQ51-AQX51)-(AQQ51-AQX51)/(1+VATRate)),AQQ51/(1+VATRate)),AQQ51)</f>
        <v/>
      </c>
      <c r="AQU51" s="12">
        <f>AQQ51-AQT51</f>
        <v/>
      </c>
      <c r="AQV51" s="12">
        <f>IF(AQS51=0,0,IF(APN51=1,SUMPRODUCT(--(($APO$5:$APO51=$APO51-1)*($APN$5:$APN51&gt;=10)*($APN$5:$APN51&lt;=12)),$AQU$5:$AQU51),IF(APN51=4,SUMPRODUCT(--(($APO$5:$APO51=$APO51)*($APN$5:$APN51&gt;=1)*($APN$5:$APN51&lt;=3)),$AQU$5:$AQU51),IF(APN51=7,SUMPRODUCT(--(($APO$5:$APO51=$APO51)*($APN$5:$APN51&gt;=4)*($APN$5:$APN51&lt;=6)),$AQU$5:$AQU51),IF(APN51=10,SUMPRODUCT(--(($APO$5:$APO51=$APO51)*($APN$5:$APN51&gt;=7)*($APN$5:$APN51&lt;=9)),$AQU$5:$AQU51),0)))))</f>
        <v/>
      </c>
      <c r="AQW51" s="12">
        <f>AQW50+AQU51-AQV51</f>
        <v/>
      </c>
      <c r="AQX51" s="12">
        <f>IF(ProviderDelay&gt;=1,AQE50*BlendedProvPayEss+AQF50*BlendedProvPayPrem+AQG50*BlendedProvPayElite+AQH50*BlendedProvPayEss+AQI50*BlendedProvPayPrem+AQJ50*BlendedProvPayElite,AQE51*BlendedProvPayEss+AQF51*BlendedProvPayPrem+AQG51*BlendedProvPayElite+AQH51*BlendedProvPayEss+AQI51*BlendedProvPayPrem+AQJ51*BlendedProvPayElite)</f>
        <v/>
      </c>
      <c r="AQY51" s="12">
        <f>AQQ51*PaymentFee</f>
        <v/>
      </c>
      <c r="AQZ51" s="12">
        <f>AQK51*OpsAI</f>
        <v/>
      </c>
      <c r="ARA51" s="12">
        <f>MonthlyFixed</f>
        <v/>
      </c>
      <c r="ARB51" s="12">
        <f>APU51*ReferralReward</f>
        <v/>
      </c>
      <c r="ARC51" s="12">
        <f>APS51</f>
        <v/>
      </c>
      <c r="ARD51" s="9">
        <f>AQT51-AQX51-AQY51-AQZ51-ARA51-ARB51-ARC51</f>
        <v/>
      </c>
      <c r="ARE51" s="9">
        <f>ARE50+AQQ51-(AQX51+AQY51+AQZ51+ARA51+ARB51+ARC51+AQV51)</f>
        <v/>
      </c>
      <c r="ARF51" s="12">
        <f>IF(AQK51&gt;0,AQL51/AQK51,0)</f>
        <v/>
      </c>
      <c r="ARG51" s="11">
        <f>IF(AQK50&gt;0,MAX(0,(AQK50+APV51-AQK51)/AQK50),0)</f>
        <v/>
      </c>
      <c r="ARI51" s="12" t="n">
        <v>47</v>
      </c>
      <c r="ARJ51" s="12">
        <f>MOD(ARI51-1+LaunchMonth-1,12)+1</f>
        <v/>
      </c>
      <c r="ARK51" s="12">
        <f>INT((ARI51-1+LaunchMonth-1)/12)+1</f>
        <v/>
      </c>
      <c r="ARL51" s="12">
        <f>VLOOKUP(ARJ51,SeasonTable,2,FALSE)</f>
        <v/>
      </c>
      <c r="ARM51" s="12">
        <f>(1+InflationRate)^INT((ARI51-1)/12)</f>
        <v/>
      </c>
      <c r="ARN51" s="11">
        <f>MonthlyChurn*VLOOKUP(ARJ51,ChurnSeasonTable,4,FALSE)</f>
        <v/>
      </c>
      <c r="ARO51" s="12">
        <f>MIN(MAX(MktMin19plus,ASM50*MktPct19plus),MAX(0,ATA50-CashBuffer))</f>
        <v/>
      </c>
      <c r="ARP51" s="12">
        <f>IF(ARO51&gt;0,MAX(1,ROUND(ARO51/'Sens - CAC &amp; Marketing'!$A$14*ARL51,0)),0)</f>
        <v/>
      </c>
      <c r="ARQ51" s="12">
        <f>IF(ARP51&gt;0,ROUND(ARP51*ReferralMix/(1-ReferralMix),0),0)</f>
        <v/>
      </c>
      <c r="ARR51" s="12">
        <f>ARP51+ARQ51</f>
        <v/>
      </c>
      <c r="ARS51" s="12">
        <f>ROUND(ARR51*(1-AnnualMix),0)</f>
        <v/>
      </c>
      <c r="ART51" s="12">
        <f>ARR51-ARS51</f>
        <v/>
      </c>
      <c r="ARU51" s="12">
        <f>ROUND(ARS51*EssentialMix,0)</f>
        <v/>
      </c>
      <c r="ARV51" s="12">
        <f>ROUND(ARS51*PremiumMix,0)</f>
        <v/>
      </c>
      <c r="ARW51" s="12">
        <f>ARS51-ARU51-ARV51</f>
        <v/>
      </c>
      <c r="ARX51" s="12">
        <f>ROUND(ART51*EssentialMix,0)</f>
        <v/>
      </c>
      <c r="ARY51" s="12">
        <f>ROUND(ART51*PremiumMix,0)</f>
        <v/>
      </c>
      <c r="ARZ51" s="12">
        <f>ART51-ARX51-ARY51</f>
        <v/>
      </c>
      <c r="ASA51" s="12">
        <f>ARU51+ARU50+ARU49+MAX(0,ASA50-ARU50-ARU49)*(1-ARN51)</f>
        <v/>
      </c>
      <c r="ASB51" s="12">
        <f>ARV51+ARV50+ARV49+MAX(0,ASB50-ARV50-ARV49)*(1-ARN51)</f>
        <v/>
      </c>
      <c r="ASC51" s="12">
        <f>ARW51+ARW50+ARW49+MAX(0,ASC50-ARW50-ARW49)*(1-ARN51)</f>
        <v/>
      </c>
      <c r="ASD51" s="12">
        <f>ASD50+ARX51-ARX39*(AnnualChurn*VLOOKUP(ARJ51,ChurnSeasonTable,4,FALSE))*POWER(1-(AnnualChurn*VLOOKUP(ARJ51,ChurnSeasonTable,4,FALSE)),0)+ARX27*(AnnualChurn*VLOOKUP(ARJ51,ChurnSeasonTable,4,FALSE))*POWER(1-(AnnualChurn*VLOOKUP(ARJ51,ChurnSeasonTable,4,FALSE)),1)+ARX15*(AnnualChurn*VLOOKUP(ARJ51,ChurnSeasonTable,4,FALSE))*POWER(1-(AnnualChurn*VLOOKUP(ARJ51,ChurnSeasonTable,4,FALSE)),2)</f>
        <v/>
      </c>
      <c r="ASE51" s="12">
        <f>ASE50+ARY51-ARY39*(AnnualChurn*VLOOKUP(ARJ51,ChurnSeasonTable,4,FALSE))*POWER(1-(AnnualChurn*VLOOKUP(ARJ51,ChurnSeasonTable,4,FALSE)),0)+ARY27*(AnnualChurn*VLOOKUP(ARJ51,ChurnSeasonTable,4,FALSE))*POWER(1-(AnnualChurn*VLOOKUP(ARJ51,ChurnSeasonTable,4,FALSE)),1)+ARY15*(AnnualChurn*VLOOKUP(ARJ51,ChurnSeasonTable,4,FALSE))*POWER(1-(AnnualChurn*VLOOKUP(ARJ51,ChurnSeasonTable,4,FALSE)),2)</f>
        <v/>
      </c>
      <c r="ASF51" s="12">
        <f>ASF50+ARZ51-ARZ39*(AnnualChurn*VLOOKUP(ARJ51,ChurnSeasonTable,4,FALSE))*POWER(1-(AnnualChurn*VLOOKUP(ARJ51,ChurnSeasonTable,4,FALSE)),0)+ARZ27*(AnnualChurn*VLOOKUP(ARJ51,ChurnSeasonTable,4,FALSE))*POWER(1-(AnnualChurn*VLOOKUP(ARJ51,ChurnSeasonTable,4,FALSE)),1)+ARZ15*(AnnualChurn*VLOOKUP(ARJ51,ChurnSeasonTable,4,FALSE))*POWER(1-(AnnualChurn*VLOOKUP(ARJ51,ChurnSeasonTable,4,FALSE)),2)</f>
        <v/>
      </c>
      <c r="ASG51" s="12">
        <f>ASA51+ASB51+ASC51+ASD51+ASE51+ASF51</f>
        <v/>
      </c>
      <c r="ASH51" s="9">
        <f>ASA51*BlendedPriceEssMonthly*ARM51+ASB51*BlendedPricePremMonthly*ARM51+ASC51*BlendedPriceEliteMonthly*ARM51+ASD51*BlendedPriceEssAnnual*ARM51/12+ASE51*BlendedPricePremAnnual*ARM51/12+ASF51*BlendedPriceEliteAnnual*ARM51/12</f>
        <v/>
      </c>
      <c r="ASI51" s="9">
        <f>ASH51*12</f>
        <v/>
      </c>
      <c r="ASJ51" s="12">
        <f>ASA51*BlendedPriceEssMonthly*ARM51+ASB51*BlendedPricePremMonthly*ARM51+ASC51*BlendedPriceEliteMonthly*ARM51</f>
        <v/>
      </c>
      <c r="ASK51" s="12">
        <f>ARX51*BlendedPriceEssAnnual*ARM51+ARY51*BlendedPricePremAnnual*ARM51+ARZ51*BlendedPriceEliteAnnual*ARM51</f>
        <v/>
      </c>
      <c r="ASL51" s="12">
        <f>ARX39*POWER(1-(AnnualChurn*VLOOKUP(ARJ51,ChurnSeasonTable,4,FALSE)),1)*BlendedPriceEssAnnual*ARM51+ARX27*POWER(1-(AnnualChurn*VLOOKUP(ARJ51,ChurnSeasonTable,4,FALSE)),2)*BlendedPriceEssAnnual*ARM51+ARX15*POWER(1-(AnnualChurn*VLOOKUP(ARJ51,ChurnSeasonTable,4,FALSE)),3)*BlendedPriceEssAnnual*ARM51+ARY39*POWER(1-(AnnualChurn*VLOOKUP(ARJ51,ChurnSeasonTable,4,FALSE)),1)*BlendedPricePremAnnual*ARM51+ARY27*POWER(1-(AnnualChurn*VLOOKUP(ARJ51,ChurnSeasonTable,4,FALSE)),2)*BlendedPricePremAnnual*ARM51+ARY15*POWER(1-(AnnualChurn*VLOOKUP(ARJ51,ChurnSeasonTable,4,FALSE)),3)*BlendedPricePremAnnual*ARM51+ARZ39*POWER(1-(AnnualChurn*VLOOKUP(ARJ51,ChurnSeasonTable,4,FALSE)),1)*BlendedPriceEliteAnnual*ARM51+ARZ27*POWER(1-(AnnualChurn*VLOOKUP(ARJ51,ChurnSeasonTable,4,FALSE)),2)*BlendedPriceEliteAnnual*ARM51+ARZ15*POWER(1-(AnnualChurn*VLOOKUP(ARJ51,ChurnSeasonTable,4,FALSE)),3)*BlendedPriceEliteAnnual*ARM51</f>
        <v/>
      </c>
      <c r="ASM51" s="9">
        <f>ASJ51+ASK51+ASL51</f>
        <v/>
      </c>
      <c r="ASN51" s="12">
        <f>SUM(ASM40:ASM51)</f>
        <v/>
      </c>
      <c r="ASO51" s="12">
        <f>OR(ASO50,IF(VATAgentMode,SUM($ASM40:$ASM51)-SUM($AST40:$AST51)&gt;=VATThreshold,SUM($ASM40:$ASM51)&gt;=VATThreshold))</f>
        <v/>
      </c>
      <c r="ASP51" s="9">
        <f>IF(ASO51,IF(VATAgentMode,ASM51-((ASM51-AST51)-(ASM51-AST51)/(1+VATRate)),ASM51/(1+VATRate)),ASM51)</f>
        <v/>
      </c>
      <c r="ASQ51" s="12">
        <f>ASM51-ASP51</f>
        <v/>
      </c>
      <c r="ASR51" s="12">
        <f>IF(ASO51=0,0,IF(ARJ51=1,SUMPRODUCT(--(($ARK$5:$ARK51=$ARK51-1)*($ARJ$5:$ARJ51&gt;=10)*($ARJ$5:$ARJ51&lt;=12)),$ASQ$5:$ASQ51),IF(ARJ51=4,SUMPRODUCT(--(($ARK$5:$ARK51=$ARK51)*($ARJ$5:$ARJ51&gt;=1)*($ARJ$5:$ARJ51&lt;=3)),$ASQ$5:$ASQ51),IF(ARJ51=7,SUMPRODUCT(--(($ARK$5:$ARK51=$ARK51)*($ARJ$5:$ARJ51&gt;=4)*($ARJ$5:$ARJ51&lt;=6)),$ASQ$5:$ASQ51),IF(ARJ51=10,SUMPRODUCT(--(($ARK$5:$ARK51=$ARK51)*($ARJ$5:$ARJ51&gt;=7)*($ARJ$5:$ARJ51&lt;=9)),$ASQ$5:$ASQ51),0)))))</f>
        <v/>
      </c>
      <c r="ASS51" s="12">
        <f>ASS50+ASQ51-ASR51</f>
        <v/>
      </c>
      <c r="AST51" s="12">
        <f>IF(ProviderDelay&gt;=1,ASA50*BlendedProvPayEss+ASB50*BlendedProvPayPrem+ASC50*BlendedProvPayElite+ASD50*BlendedProvPayEss+ASE50*BlendedProvPayPrem+ASF50*BlendedProvPayElite,ASA51*BlendedProvPayEss+ASB51*BlendedProvPayPrem+ASC51*BlendedProvPayElite+ASD51*BlendedProvPayEss+ASE51*BlendedProvPayPrem+ASF51*BlendedProvPayElite)</f>
        <v/>
      </c>
      <c r="ASU51" s="12">
        <f>ASM51*PaymentFee</f>
        <v/>
      </c>
      <c r="ASV51" s="12">
        <f>ASG51*OpsAI</f>
        <v/>
      </c>
      <c r="ASW51" s="12">
        <f>MonthlyFixed</f>
        <v/>
      </c>
      <c r="ASX51" s="12">
        <f>ARQ51*ReferralReward</f>
        <v/>
      </c>
      <c r="ASY51" s="12">
        <f>ARO51</f>
        <v/>
      </c>
      <c r="ASZ51" s="9">
        <f>ASP51-AST51-ASU51-ASV51-ASW51-ASX51-ASY51</f>
        <v/>
      </c>
      <c r="ATA51" s="9">
        <f>ATA50+ASM51-(AST51+ASU51+ASV51+ASW51+ASX51+ASY51+ASR51)</f>
        <v/>
      </c>
      <c r="ATB51" s="12">
        <f>IF(ASG51&gt;0,ASH51/ASG51,0)</f>
        <v/>
      </c>
      <c r="ATC51" s="11">
        <f>IF(ASG50&gt;0,MAX(0,(ASG50+ARR51-ASG51)/ASG50),0)</f>
        <v/>
      </c>
      <c r="ATE51" s="12" t="n">
        <v>47</v>
      </c>
      <c r="ATF51" s="12">
        <f>MOD(ATE51-1+LaunchMonth-1,12)+1</f>
        <v/>
      </c>
      <c r="ATG51" s="12">
        <f>INT((ATE51-1+LaunchMonth-1)/12)+1</f>
        <v/>
      </c>
      <c r="ATH51" s="12">
        <f>VLOOKUP(ATF51,SeasonTable,2,FALSE)</f>
        <v/>
      </c>
      <c r="ATI51" s="12">
        <f>(1+InflationRate)^INT((ATE51-1)/12)</f>
        <v/>
      </c>
      <c r="ATJ51" s="11">
        <f>MonthlyChurn*VLOOKUP(ATF51,ChurnSeasonTable,4,FALSE)</f>
        <v/>
      </c>
      <c r="ATK51" s="12">
        <f>MIN(MAX(MktMin19plus,AUI50*MktPct19plus),MAX(0,AUW50-CashBuffer))</f>
        <v/>
      </c>
      <c r="ATL51" s="12">
        <f>IF(ATK51&gt;0,MAX(1,ROUND(ATK51/'Sens - CAC &amp; Marketing'!$A$15*ATH51,0)),0)</f>
        <v/>
      </c>
      <c r="ATM51" s="12">
        <f>IF(ATL51&gt;0,ROUND(ATL51*ReferralMix/(1-ReferralMix),0),0)</f>
        <v/>
      </c>
      <c r="ATN51" s="12">
        <f>ATL51+ATM51</f>
        <v/>
      </c>
      <c r="ATO51" s="12">
        <f>ROUND(ATN51*(1-AnnualMix),0)</f>
        <v/>
      </c>
      <c r="ATP51" s="12">
        <f>ATN51-ATO51</f>
        <v/>
      </c>
      <c r="ATQ51" s="12">
        <f>ROUND(ATO51*EssentialMix,0)</f>
        <v/>
      </c>
      <c r="ATR51" s="12">
        <f>ROUND(ATO51*PremiumMix,0)</f>
        <v/>
      </c>
      <c r="ATS51" s="12">
        <f>ATO51-ATQ51-ATR51</f>
        <v/>
      </c>
      <c r="ATT51" s="12">
        <f>ROUND(ATP51*EssentialMix,0)</f>
        <v/>
      </c>
      <c r="ATU51" s="12">
        <f>ROUND(ATP51*PremiumMix,0)</f>
        <v/>
      </c>
      <c r="ATV51" s="12">
        <f>ATP51-ATT51-ATU51</f>
        <v/>
      </c>
      <c r="ATW51" s="12">
        <f>ATQ51+ATQ50+ATQ49+MAX(0,ATW50-ATQ50-ATQ49)*(1-ATJ51)</f>
        <v/>
      </c>
      <c r="ATX51" s="12">
        <f>ATR51+ATR50+ATR49+MAX(0,ATX50-ATR50-ATR49)*(1-ATJ51)</f>
        <v/>
      </c>
      <c r="ATY51" s="12">
        <f>ATS51+ATS50+ATS49+MAX(0,ATY50-ATS50-ATS49)*(1-ATJ51)</f>
        <v/>
      </c>
      <c r="ATZ51" s="12">
        <f>ATZ50+ATT51-ATT39*(AnnualChurn*VLOOKUP(ATF51,ChurnSeasonTable,4,FALSE))*POWER(1-(AnnualChurn*VLOOKUP(ATF51,ChurnSeasonTable,4,FALSE)),0)+ATT27*(AnnualChurn*VLOOKUP(ATF51,ChurnSeasonTable,4,FALSE))*POWER(1-(AnnualChurn*VLOOKUP(ATF51,ChurnSeasonTable,4,FALSE)),1)+ATT15*(AnnualChurn*VLOOKUP(ATF51,ChurnSeasonTable,4,FALSE))*POWER(1-(AnnualChurn*VLOOKUP(ATF51,ChurnSeasonTable,4,FALSE)),2)</f>
        <v/>
      </c>
      <c r="AUA51" s="12">
        <f>AUA50+ATU51-ATU39*(AnnualChurn*VLOOKUP(ATF51,ChurnSeasonTable,4,FALSE))*POWER(1-(AnnualChurn*VLOOKUP(ATF51,ChurnSeasonTable,4,FALSE)),0)+ATU27*(AnnualChurn*VLOOKUP(ATF51,ChurnSeasonTable,4,FALSE))*POWER(1-(AnnualChurn*VLOOKUP(ATF51,ChurnSeasonTable,4,FALSE)),1)+ATU15*(AnnualChurn*VLOOKUP(ATF51,ChurnSeasonTable,4,FALSE))*POWER(1-(AnnualChurn*VLOOKUP(ATF51,ChurnSeasonTable,4,FALSE)),2)</f>
        <v/>
      </c>
      <c r="AUB51" s="12">
        <f>AUB50+ATV51-ATV39*(AnnualChurn*VLOOKUP(ATF51,ChurnSeasonTable,4,FALSE))*POWER(1-(AnnualChurn*VLOOKUP(ATF51,ChurnSeasonTable,4,FALSE)),0)+ATV27*(AnnualChurn*VLOOKUP(ATF51,ChurnSeasonTable,4,FALSE))*POWER(1-(AnnualChurn*VLOOKUP(ATF51,ChurnSeasonTable,4,FALSE)),1)+ATV15*(AnnualChurn*VLOOKUP(ATF51,ChurnSeasonTable,4,FALSE))*POWER(1-(AnnualChurn*VLOOKUP(ATF51,ChurnSeasonTable,4,FALSE)),2)</f>
        <v/>
      </c>
      <c r="AUC51" s="12">
        <f>ATW51+ATX51+ATY51+ATZ51+AUA51+AUB51</f>
        <v/>
      </c>
      <c r="AUD51" s="9">
        <f>ATW51*BlendedPriceEssMonthly*ATI51+ATX51*BlendedPricePremMonthly*ATI51+ATY51*BlendedPriceEliteMonthly*ATI51+ATZ51*BlendedPriceEssAnnual*ATI51/12+AUA51*BlendedPricePremAnnual*ATI51/12+AUB51*BlendedPriceEliteAnnual*ATI51/12</f>
        <v/>
      </c>
      <c r="AUE51" s="9">
        <f>AUD51*12</f>
        <v/>
      </c>
      <c r="AUF51" s="12">
        <f>ATW51*BlendedPriceEssMonthly*ATI51+ATX51*BlendedPricePremMonthly*ATI51+ATY51*BlendedPriceEliteMonthly*ATI51</f>
        <v/>
      </c>
      <c r="AUG51" s="12">
        <f>ATT51*BlendedPriceEssAnnual*ATI51+ATU51*BlendedPricePremAnnual*ATI51+ATV51*BlendedPriceEliteAnnual*ATI51</f>
        <v/>
      </c>
      <c r="AUH51" s="12">
        <f>ATT39*POWER(1-(AnnualChurn*VLOOKUP(ATF51,ChurnSeasonTable,4,FALSE)),1)*BlendedPriceEssAnnual*ATI51+ATT27*POWER(1-(AnnualChurn*VLOOKUP(ATF51,ChurnSeasonTable,4,FALSE)),2)*BlendedPriceEssAnnual*ATI51+ATT15*POWER(1-(AnnualChurn*VLOOKUP(ATF51,ChurnSeasonTable,4,FALSE)),3)*BlendedPriceEssAnnual*ATI51+ATU39*POWER(1-(AnnualChurn*VLOOKUP(ATF51,ChurnSeasonTable,4,FALSE)),1)*BlendedPricePremAnnual*ATI51+ATU27*POWER(1-(AnnualChurn*VLOOKUP(ATF51,ChurnSeasonTable,4,FALSE)),2)*BlendedPricePremAnnual*ATI51+ATU15*POWER(1-(AnnualChurn*VLOOKUP(ATF51,ChurnSeasonTable,4,FALSE)),3)*BlendedPricePremAnnual*ATI51+ATV39*POWER(1-(AnnualChurn*VLOOKUP(ATF51,ChurnSeasonTable,4,FALSE)),1)*BlendedPriceEliteAnnual*ATI51+ATV27*POWER(1-(AnnualChurn*VLOOKUP(ATF51,ChurnSeasonTable,4,FALSE)),2)*BlendedPriceEliteAnnual*ATI51+ATV15*POWER(1-(AnnualChurn*VLOOKUP(ATF51,ChurnSeasonTable,4,FALSE)),3)*BlendedPriceEliteAnnual*ATI51</f>
        <v/>
      </c>
      <c r="AUI51" s="9">
        <f>AUF51+AUG51+AUH51</f>
        <v/>
      </c>
      <c r="AUJ51" s="12">
        <f>SUM(AUI40:AUI51)</f>
        <v/>
      </c>
      <c r="AUK51" s="12">
        <f>OR(AUK50,IF(VATAgentMode,SUM($AUI40:$AUI51)-SUM($AUP40:$AUP51)&gt;=VATThreshold,SUM($AUI40:$AUI51)&gt;=VATThreshold))</f>
        <v/>
      </c>
      <c r="AUL51" s="9">
        <f>IF(AUK51,IF(VATAgentMode,AUI51-((AUI51-AUP51)-(AUI51-AUP51)/(1+VATRate)),AUI51/(1+VATRate)),AUI51)</f>
        <v/>
      </c>
      <c r="AUM51" s="12">
        <f>AUI51-AUL51</f>
        <v/>
      </c>
      <c r="AUN51" s="12">
        <f>IF(AUK51=0,0,IF(ATF51=1,SUMPRODUCT(--(($ATG$5:$ATG51=$ATG51-1)*($ATF$5:$ATF51&gt;=10)*($ATF$5:$ATF51&lt;=12)),$AUM$5:$AUM51),IF(ATF51=4,SUMPRODUCT(--(($ATG$5:$ATG51=$ATG51)*($ATF$5:$ATF51&gt;=1)*($ATF$5:$ATF51&lt;=3)),$AUM$5:$AUM51),IF(ATF51=7,SUMPRODUCT(--(($ATG$5:$ATG51=$ATG51)*($ATF$5:$ATF51&gt;=4)*($ATF$5:$ATF51&lt;=6)),$AUM$5:$AUM51),IF(ATF51=10,SUMPRODUCT(--(($ATG$5:$ATG51=$ATG51)*($ATF$5:$ATF51&gt;=7)*($ATF$5:$ATF51&lt;=9)),$AUM$5:$AUM51),0)))))</f>
        <v/>
      </c>
      <c r="AUO51" s="12">
        <f>AUO50+AUM51-AUN51</f>
        <v/>
      </c>
      <c r="AUP51" s="12">
        <f>IF(ProviderDelay&gt;=1,ATW50*BlendedProvPayEss+ATX50*BlendedProvPayPrem+ATY50*BlendedProvPayElite+ATZ50*BlendedProvPayEss+AUA50*BlendedProvPayPrem+AUB50*BlendedProvPayElite,ATW51*BlendedProvPayEss+ATX51*BlendedProvPayPrem+ATY51*BlendedProvPayElite+ATZ51*BlendedProvPayEss+AUA51*BlendedProvPayPrem+AUB51*BlendedProvPayElite)</f>
        <v/>
      </c>
      <c r="AUQ51" s="12">
        <f>AUI51*PaymentFee</f>
        <v/>
      </c>
      <c r="AUR51" s="12">
        <f>AUC51*OpsAI</f>
        <v/>
      </c>
      <c r="AUS51" s="12">
        <f>MonthlyFixed</f>
        <v/>
      </c>
      <c r="AUT51" s="12">
        <f>ATM51*ReferralReward</f>
        <v/>
      </c>
      <c r="AUU51" s="12">
        <f>ATK51</f>
        <v/>
      </c>
      <c r="AUV51" s="9">
        <f>AUL51-AUP51-AUQ51-AUR51-AUS51-AUT51-AUU51</f>
        <v/>
      </c>
      <c r="AUW51" s="9">
        <f>AUW50+AUI51-(AUP51+AUQ51+AUR51+AUS51+AUT51+AUU51+AUN51)</f>
        <v/>
      </c>
      <c r="AUX51" s="12">
        <f>IF(AUC51&gt;0,AUD51/AUC51,0)</f>
        <v/>
      </c>
      <c r="AUY51" s="11">
        <f>IF(AUC50&gt;0,MAX(0,(AUC50+ATN51-AUC51)/AUC50),0)</f>
        <v/>
      </c>
      <c r="AVA51" s="12" t="n">
        <v>47</v>
      </c>
      <c r="AVB51" s="12">
        <f>MOD(AVA51-1+LaunchMonth-1,12)+1</f>
        <v/>
      </c>
      <c r="AVC51" s="12">
        <f>INT((AVA51-1+LaunchMonth-1)/12)+1</f>
        <v/>
      </c>
      <c r="AVD51" s="12">
        <f>VLOOKUP(AVB51,WinterPivotSeasonTable,5,FALSE)</f>
        <v/>
      </c>
      <c r="AVE51" s="12">
        <f>(1+InflationRate)^INT((AVA51-1)/12)</f>
        <v/>
      </c>
      <c r="AVF51" s="11">
        <f>MonthlyChurn*VLOOKUP(AVB51,WinterPivotChurnTable,6,FALSE)</f>
        <v/>
      </c>
      <c r="AVG51" s="12">
        <f>MIN(MAX(MktMin19plus,AWE50*MktPct19plus),MAX(0,AWS50-CashBuffer))</f>
        <v/>
      </c>
      <c r="AVH51" s="12">
        <f>IF(AVG51&gt;0,MAX(1,ROUND(AVG51/CAC*AVD51,0)),0)</f>
        <v/>
      </c>
      <c r="AVI51" s="12">
        <f>IF(AVH51&gt;0,ROUND(AVH51*ReferralMix/(1-ReferralMix),0),0)</f>
        <v/>
      </c>
      <c r="AVJ51" s="12">
        <f>AVH51+AVI51</f>
        <v/>
      </c>
      <c r="AVK51" s="12">
        <f>ROUND(AVJ51*(1-AnnualMix),0)</f>
        <v/>
      </c>
      <c r="AVL51" s="12">
        <f>AVJ51-AVK51</f>
        <v/>
      </c>
      <c r="AVM51" s="12">
        <f>ROUND(AVK51*'Sens - Winter Pivot'!$B$6,0)</f>
        <v/>
      </c>
      <c r="AVN51" s="12">
        <f>ROUND(AVK51*PremiumMix,0)</f>
        <v/>
      </c>
      <c r="AVO51" s="12">
        <f>AVK51-AVM51-AVN51</f>
        <v/>
      </c>
      <c r="AVP51" s="12">
        <f>ROUND(AVL51*'Sens - Winter Pivot'!$B$6,0)</f>
        <v/>
      </c>
      <c r="AVQ51" s="12">
        <f>ROUND(AVL51*PremiumMix,0)</f>
        <v/>
      </c>
      <c r="AVR51" s="12">
        <f>AVL51-AVP51-AVQ51</f>
        <v/>
      </c>
      <c r="AVS51" s="12">
        <f>AVM51+AVM50+AVM49+MAX(0,AVS50-AVM50-AVM49)*(1-AVF51)</f>
        <v/>
      </c>
      <c r="AVT51" s="12">
        <f>AVN51+AVN50+AVN49+MAX(0,AVT50-AVN50-AVN49)*(1-AVF51)</f>
        <v/>
      </c>
      <c r="AVU51" s="12">
        <f>AVO51+AVO50+AVO49+MAX(0,AVU50-AVO50-AVO49)*(1-AVF51)</f>
        <v/>
      </c>
      <c r="AVV51" s="12">
        <f>AVV50+AVP51-AVP39*(AnnualChurn*VLOOKUP(AVB51,ChurnSeasonTable,4,FALSE))*POWER(1-(AnnualChurn*VLOOKUP(AVB51,ChurnSeasonTable,4,FALSE)),0)+AVP27*(AnnualChurn*VLOOKUP(AVB51,ChurnSeasonTable,4,FALSE))*POWER(1-(AnnualChurn*VLOOKUP(AVB51,ChurnSeasonTable,4,FALSE)),1)+AVP15*(AnnualChurn*VLOOKUP(AVB51,ChurnSeasonTable,4,FALSE))*POWER(1-(AnnualChurn*VLOOKUP(AVB51,ChurnSeasonTable,4,FALSE)),2)</f>
        <v/>
      </c>
      <c r="AVW51" s="12">
        <f>AVW50+AVQ51-AVQ39*(AnnualChurn*VLOOKUP(AVB51,ChurnSeasonTable,4,FALSE))*POWER(1-(AnnualChurn*VLOOKUP(AVB51,ChurnSeasonTable,4,FALSE)),0)+AVQ27*(AnnualChurn*VLOOKUP(AVB51,ChurnSeasonTable,4,FALSE))*POWER(1-(AnnualChurn*VLOOKUP(AVB51,ChurnSeasonTable,4,FALSE)),1)+AVQ15*(AnnualChurn*VLOOKUP(AVB51,ChurnSeasonTable,4,FALSE))*POWER(1-(AnnualChurn*VLOOKUP(AVB51,ChurnSeasonTable,4,FALSE)),2)</f>
        <v/>
      </c>
      <c r="AVX51" s="12">
        <f>AVX50+AVR51-AVR39*(AnnualChurn*VLOOKUP(AVB51,ChurnSeasonTable,4,FALSE))*POWER(1-(AnnualChurn*VLOOKUP(AVB51,ChurnSeasonTable,4,FALSE)),0)+AVR27*(AnnualChurn*VLOOKUP(AVB51,ChurnSeasonTable,4,FALSE))*POWER(1-(AnnualChurn*VLOOKUP(AVB51,ChurnSeasonTable,4,FALSE)),1)+AVR15*(AnnualChurn*VLOOKUP(AVB51,ChurnSeasonTable,4,FALSE))*POWER(1-(AnnualChurn*VLOOKUP(AVB51,ChurnSeasonTable,4,FALSE)),2)</f>
        <v/>
      </c>
      <c r="AVY51" s="12">
        <f>AVS51+AVT51+AVU51+AVV51+AVW51+AVX51</f>
        <v/>
      </c>
      <c r="AVZ51" s="9">
        <f>AVS51*BlendedPriceEssMonthly*AVE51+AVT51*(BlendedPricePremMonthly+'Sens - Winter Pivot'!$B$7)*AVE51+AVU51*BlendedPriceEliteMonthly*AVE51+AVV51*BlendedPriceEssAnnual*AVE51/12+AVW51*(BlendedPricePremAnnual+'Sens - Winter Pivot'!$B$7*12)*AVE51/12+AVX51*BlendedPriceEliteAnnual*AVE51/12</f>
        <v/>
      </c>
      <c r="AWA51" s="9">
        <f>AVZ51*12</f>
        <v/>
      </c>
      <c r="AWB51" s="12">
        <f>AVS51*BlendedPriceEssMonthly*AVE51+AVT51*(BlendedPricePremMonthly+'Sens - Winter Pivot'!$B$7)*AVE51+AVU51*BlendedPriceEliteMonthly*AVE51</f>
        <v/>
      </c>
      <c r="AWC51" s="12">
        <f>AVP51*BlendedPriceEssAnnual*AVE51+AVQ51*(BlendedPricePremAnnual+'Sens - Winter Pivot'!$B$7*12)*AVE51+AVR51*BlendedPriceEliteAnnual*AVE51</f>
        <v/>
      </c>
      <c r="AWD51" s="12">
        <f>AVP39*POWER(1-(AnnualChurn*VLOOKUP(AVB51,ChurnSeasonTable,4,FALSE)),1)*BlendedPriceEssAnnual*AVE51+AVP27*POWER(1-(AnnualChurn*VLOOKUP(AVB51,ChurnSeasonTable,4,FALSE)),2)*BlendedPriceEssAnnual*AVE51+AVP15*POWER(1-(AnnualChurn*VLOOKUP(AVB51,ChurnSeasonTable,4,FALSE)),3)*BlendedPriceEssAnnual*AVE51+AVQ39*POWER(1-(AnnualChurn*VLOOKUP(AVB51,ChurnSeasonTable,4,FALSE)),1)*BlendedPricePremAnnual*AVE51+AVQ27*POWER(1-(AnnualChurn*VLOOKUP(AVB51,ChurnSeasonTable,4,FALSE)),2)*BlendedPricePremAnnual*AVE51+AVQ15*POWER(1-(AnnualChurn*VLOOKUP(AVB51,ChurnSeasonTable,4,FALSE)),3)*BlendedPricePremAnnual*AVE51+AVR39*POWER(1-(AnnualChurn*VLOOKUP(AVB51,ChurnSeasonTable,4,FALSE)),1)*BlendedPriceEliteAnnual*AVE51+AVR27*POWER(1-(AnnualChurn*VLOOKUP(AVB51,ChurnSeasonTable,4,FALSE)),2)*BlendedPriceEliteAnnual*AVE51+AVR15*POWER(1-(AnnualChurn*VLOOKUP(AVB51,ChurnSeasonTable,4,FALSE)),3)*BlendedPriceEliteAnnual*AVE51</f>
        <v/>
      </c>
      <c r="AWE51" s="9">
        <f>AWB51+AWC51+AWD51</f>
        <v/>
      </c>
      <c r="AWF51" s="12">
        <f>SUM(AWE40:AWE51)</f>
        <v/>
      </c>
      <c r="AWG51" s="12">
        <f>OR(AWG50,IF(VATAgentMode,SUM($AWE40:$AWE51)-SUM($AWL40:$AWL51)&gt;=VATThreshold,SUM($AWE40:$AWE51)&gt;=VATThreshold))</f>
        <v/>
      </c>
      <c r="AWH51" s="9">
        <f>IF(AWG51,IF(VATAgentMode,AWE51-((AWE51-AWL51)-(AWE51-AWL51)/(1+VATRate)),AWE51/(1+VATRate)),AWE51)</f>
        <v/>
      </c>
      <c r="AWI51" s="12">
        <f>AWE51-AWH51</f>
        <v/>
      </c>
      <c r="AWJ51" s="12">
        <f>IF(AWG51=0,0,IF(AVB51=1,SUMPRODUCT(--(($AVC$5:$AVC51=$AVC51-1)*($AVB$5:$AVB51&gt;=10)*($AVB$5:$AVB51&lt;=12)),$AWI$5:$AWI51),IF(AVB51=4,SUMPRODUCT(--(($AVC$5:$AVC51=$AVC51)*($AVB$5:$AVB51&gt;=1)*($AVB$5:$AVB51&lt;=3)),$AWI$5:$AWI51),IF(AVB51=7,SUMPRODUCT(--(($AVC$5:$AVC51=$AVC51)*($AVB$5:$AVB51&gt;=4)*($AVB$5:$AVB51&lt;=6)),$AWI$5:$AWI51),IF(AVB51=10,SUMPRODUCT(--(($AVC$5:$AVC51=$AVC51)*($AVB$5:$AVB51&gt;=7)*($AVB$5:$AVB51&lt;=9)),$AWI$5:$AWI51),0)))))</f>
        <v/>
      </c>
      <c r="AWK51" s="12">
        <f>AWK50+AWI51-AWJ51</f>
        <v/>
      </c>
      <c r="AWL51" s="12">
        <f>IF(ProviderDelay&gt;=1,AVS50*BlendedProvPayEss+AVT50*BlendedProvPayPrem+AVU50*BlendedProvPayElite+AVV50*BlendedProvPayEss+AVW50*BlendedProvPayPrem+AVX50*BlendedProvPayElite,AVS51*BlendedProvPayEss+AVT51*BlendedProvPayPrem+AVU51*BlendedProvPayElite+AVV51*BlendedProvPayEss+AVW51*BlendedProvPayPrem+AVX51*BlendedProvPayElite)</f>
        <v/>
      </c>
      <c r="AWM51" s="12">
        <f>AWE51*PaymentFee</f>
        <v/>
      </c>
      <c r="AWN51" s="12">
        <f>AVY51*OpsAI</f>
        <v/>
      </c>
      <c r="AWO51" s="12">
        <f>MonthlyFixed</f>
        <v/>
      </c>
      <c r="AWP51" s="12">
        <f>AVI51*ReferralReward</f>
        <v/>
      </c>
      <c r="AWQ51" s="12">
        <f>AVG51</f>
        <v/>
      </c>
      <c r="AWR51" s="9">
        <f>AWH51-AWL51-AWM51-AWN51-AWO51-AWP51-AWQ51</f>
        <v/>
      </c>
      <c r="AWS51" s="9">
        <f>AWS50+AWE51-(AWL51+AWM51+AWN51+AWO51+AWP51+AWQ51+AWJ51)</f>
        <v/>
      </c>
      <c r="AWT51" s="12">
        <f>IF(AVY51&gt;0,AVZ51/AVY51,0)</f>
        <v/>
      </c>
      <c r="AWU51" s="11">
        <f>IF(AVY50&gt;0,MAX(0,(AVY50+AVJ51-AVY51)/AVY50),0)</f>
        <v/>
      </c>
    </row>
    <row r="52">
      <c r="A52" s="12" t="n">
        <v>48</v>
      </c>
      <c r="B52" s="12">
        <f>MOD(A52-1+LaunchMonth-1,12)+1</f>
        <v/>
      </c>
      <c r="C52" s="12">
        <f>INT((A52-1+LaunchMonth-1)/12)+1</f>
        <v/>
      </c>
      <c r="D52" s="12">
        <f>VLOOKUP(B52,SeasonTable,2,FALSE)</f>
        <v/>
      </c>
      <c r="E52" s="12">
        <f>(1+InflationRate)^INT((A52-1)/12)</f>
        <v/>
      </c>
      <c r="F52" s="11">
        <f>'Sens - Scenarios'!$B$5*VLOOKUP(B52,ChurnSeasonTable,4,FALSE)</f>
        <v/>
      </c>
      <c r="G52" s="12">
        <f>MIN(MAX(MktMin19plus,AE51*MktPct19plus),MAX(0,AS51-CashBuffer))</f>
        <v/>
      </c>
      <c r="H52" s="12">
        <f>IF(G52&gt;0,MAX(1,ROUND(G52/'Sens - Scenarios'!$B$8*D52,0)),0)</f>
        <v/>
      </c>
      <c r="I52" s="12">
        <f>IF(H52&gt;0,ROUND(H52*ReferralMix/(1-ReferralMix),0),0)</f>
        <v/>
      </c>
      <c r="J52" s="12">
        <f>H52+I52</f>
        <v/>
      </c>
      <c r="K52" s="12">
        <f>ROUND(J52*(1-'Sens - Scenarios'!$B$7),0)</f>
        <v/>
      </c>
      <c r="L52" s="12">
        <f>J52-K52</f>
        <v/>
      </c>
      <c r="M52" s="12">
        <f>ROUND(K52*EssentialMix,0)</f>
        <v/>
      </c>
      <c r="N52" s="12">
        <f>ROUND(K52*PremiumMix,0)</f>
        <v/>
      </c>
      <c r="O52" s="12">
        <f>K52-M52-N52</f>
        <v/>
      </c>
      <c r="P52" s="12">
        <f>ROUND(L52*EssentialMix,0)</f>
        <v/>
      </c>
      <c r="Q52" s="12">
        <f>ROUND(L52*PremiumMix,0)</f>
        <v/>
      </c>
      <c r="R52" s="12">
        <f>L52-P52-Q52</f>
        <v/>
      </c>
      <c r="S52" s="12">
        <f>M52+M51+M50+MAX(0,S51-M51-M50)*(1-F52)</f>
        <v/>
      </c>
      <c r="T52" s="12">
        <f>N52+N51+N50+MAX(0,T51-N51-N50)*(1-F52)</f>
        <v/>
      </c>
      <c r="U52" s="12">
        <f>O52+O51+O50+MAX(0,U51-O51-O50)*(1-F52)</f>
        <v/>
      </c>
      <c r="V52" s="12">
        <f>V51+P52-P40*('Sens - Scenarios'!$B$6*VLOOKUP(B52,ChurnSeasonTable,4,FALSE))*POWER(1-('Sens - Scenarios'!$B$6*VLOOKUP(B52,ChurnSeasonTable,4,FALSE)),0)+P28*('Sens - Scenarios'!$B$6*VLOOKUP(B52,ChurnSeasonTable,4,FALSE))*POWER(1-('Sens - Scenarios'!$B$6*VLOOKUP(B52,ChurnSeasonTable,4,FALSE)),1)+P16*('Sens - Scenarios'!$B$6*VLOOKUP(B52,ChurnSeasonTable,4,FALSE))*POWER(1-('Sens - Scenarios'!$B$6*VLOOKUP(B52,ChurnSeasonTable,4,FALSE)),2)</f>
        <v/>
      </c>
      <c r="W52" s="12">
        <f>W51+Q52-Q40*('Sens - Scenarios'!$B$6*VLOOKUP(B52,ChurnSeasonTable,4,FALSE))*POWER(1-('Sens - Scenarios'!$B$6*VLOOKUP(B52,ChurnSeasonTable,4,FALSE)),0)+Q28*('Sens - Scenarios'!$B$6*VLOOKUP(B52,ChurnSeasonTable,4,FALSE))*POWER(1-('Sens - Scenarios'!$B$6*VLOOKUP(B52,ChurnSeasonTable,4,FALSE)),1)+Q16*('Sens - Scenarios'!$B$6*VLOOKUP(B52,ChurnSeasonTable,4,FALSE))*POWER(1-('Sens - Scenarios'!$B$6*VLOOKUP(B52,ChurnSeasonTable,4,FALSE)),2)</f>
        <v/>
      </c>
      <c r="X52" s="12">
        <f>X51+R52-R40*('Sens - Scenarios'!$B$6*VLOOKUP(B52,ChurnSeasonTable,4,FALSE))*POWER(1-('Sens - Scenarios'!$B$6*VLOOKUP(B52,ChurnSeasonTable,4,FALSE)),0)+R28*('Sens - Scenarios'!$B$6*VLOOKUP(B52,ChurnSeasonTable,4,FALSE))*POWER(1-('Sens - Scenarios'!$B$6*VLOOKUP(B52,ChurnSeasonTable,4,FALSE)),1)+R16*('Sens - Scenarios'!$B$6*VLOOKUP(B52,ChurnSeasonTable,4,FALSE))*POWER(1-('Sens - Scenarios'!$B$6*VLOOKUP(B52,ChurnSeasonTable,4,FALSE)),2)</f>
        <v/>
      </c>
      <c r="Y52" s="12">
        <f>S52+T52+U52+V52+W52+X52</f>
        <v/>
      </c>
      <c r="Z52" s="9">
        <f>S52*BlendedPriceEssMonthly*E52+T52*BlendedPricePremMonthly*E52+U52*BlendedPriceEliteMonthly*E52+V52*BlendedPriceEssAnnual*E52/12+W52*BlendedPricePremAnnual*E52/12+X52*BlendedPriceEliteAnnual*E52/12</f>
        <v/>
      </c>
      <c r="AA52" s="9">
        <f>Z52*12</f>
        <v/>
      </c>
      <c r="AB52" s="12">
        <f>S52*BlendedPriceEssMonthly*E52+T52*BlendedPricePremMonthly*E52+U52*BlendedPriceEliteMonthly*E52</f>
        <v/>
      </c>
      <c r="AC52" s="12">
        <f>P52*BlendedPriceEssAnnual*E52+Q52*BlendedPricePremAnnual*E52+R52*BlendedPriceEliteAnnual*E52</f>
        <v/>
      </c>
      <c r="AD52" s="12">
        <f>P40*POWER(1-('Sens - Scenarios'!$B$6*VLOOKUP(B52,ChurnSeasonTable,4,FALSE)),1)*BlendedPriceEssAnnual*E52+P28*POWER(1-('Sens - Scenarios'!$B$6*VLOOKUP(B52,ChurnSeasonTable,4,FALSE)),2)*BlendedPriceEssAnnual*E52+P16*POWER(1-('Sens - Scenarios'!$B$6*VLOOKUP(B52,ChurnSeasonTable,4,FALSE)),3)*BlendedPriceEssAnnual*E52+Q40*POWER(1-('Sens - Scenarios'!$B$6*VLOOKUP(B52,ChurnSeasonTable,4,FALSE)),1)*BlendedPricePremAnnual*E52+Q28*POWER(1-('Sens - Scenarios'!$B$6*VLOOKUP(B52,ChurnSeasonTable,4,FALSE)),2)*BlendedPricePremAnnual*E52+Q16*POWER(1-('Sens - Scenarios'!$B$6*VLOOKUP(B52,ChurnSeasonTable,4,FALSE)),3)*BlendedPricePremAnnual*E52+R40*POWER(1-('Sens - Scenarios'!$B$6*VLOOKUP(B52,ChurnSeasonTable,4,FALSE)),1)*BlendedPriceEliteAnnual*E52+R28*POWER(1-('Sens - Scenarios'!$B$6*VLOOKUP(B52,ChurnSeasonTable,4,FALSE)),2)*BlendedPriceEliteAnnual*E52+R16*POWER(1-('Sens - Scenarios'!$B$6*VLOOKUP(B52,ChurnSeasonTable,4,FALSE)),3)*BlendedPriceEliteAnnual*E52</f>
        <v/>
      </c>
      <c r="AE52" s="9">
        <f>AB52+AC52+AD52</f>
        <v/>
      </c>
      <c r="AF52" s="12">
        <f>SUM(AE41:AE52)</f>
        <v/>
      </c>
      <c r="AG52" s="12">
        <f>OR(AG51,IF(VATAgentMode,SUM($AE41:$AE52)-SUM($AL41:$AL52)&gt;=VATThreshold,SUM($AE41:$AE52)&gt;=VATThreshold))</f>
        <v/>
      </c>
      <c r="AH52" s="9">
        <f>IF(AG52,IF(VATAgentMode,AE52-((AE52-AL52)-(AE52-AL52)/(1+VATRate)),AE52/(1+VATRate)),AE52)</f>
        <v/>
      </c>
      <c r="AI52" s="12">
        <f>AE52-AH52</f>
        <v/>
      </c>
      <c r="AJ52" s="12">
        <f>IF(AG52=0,0,IF(B52=1,SUMPRODUCT(--(($C$5:$C52=$C52-1)*($B$5:$B52&gt;=10)*($B$5:$B52&lt;=12)),$AI$5:$AI52),IF(B52=4,SUMPRODUCT(--(($C$5:$C52=$C52)*($B$5:$B52&gt;=1)*($B$5:$B52&lt;=3)),$AI$5:$AI52),IF(B52=7,SUMPRODUCT(--(($C$5:$C52=$C52)*($B$5:$B52&gt;=4)*($B$5:$B52&lt;=6)),$AI$5:$AI52),IF(B52=10,SUMPRODUCT(--(($C$5:$C52=$C52)*($B$5:$B52&gt;=7)*($B$5:$B52&lt;=9)),$AI$5:$AI52),0)))))</f>
        <v/>
      </c>
      <c r="AK52" s="12">
        <f>AK51+AI52-AJ52</f>
        <v/>
      </c>
      <c r="AL52" s="12">
        <f>IF(ProviderDelay&gt;=1,S51*BlendedProvPayEss+T51*BlendedProvPayPrem+U51*BlendedProvPayElite+V51*BlendedProvPayEss+W51*BlendedProvPayPrem+X51*BlendedProvPayElite,S52*BlendedProvPayEss+T52*BlendedProvPayPrem+U52*BlendedProvPayElite+V52*BlendedProvPayEss+W52*BlendedProvPayPrem+X52*BlendedProvPayElite)</f>
        <v/>
      </c>
      <c r="AM52" s="12">
        <f>AE52*PaymentFee</f>
        <v/>
      </c>
      <c r="AN52" s="12">
        <f>Y52*OpsAI</f>
        <v/>
      </c>
      <c r="AO52" s="12">
        <f>MonthlyFixed</f>
        <v/>
      </c>
      <c r="AP52" s="12">
        <f>I52*ReferralReward</f>
        <v/>
      </c>
      <c r="AQ52" s="12">
        <f>G52</f>
        <v/>
      </c>
      <c r="AR52" s="9">
        <f>AH52-AL52-AM52-AN52-AO52-AP52-AQ52</f>
        <v/>
      </c>
      <c r="AS52" s="9">
        <f>AS51+AE52-(AL52+AM52+AN52+AO52+AP52+AQ52+AJ52)</f>
        <v/>
      </c>
      <c r="AT52" s="12">
        <f>IF(Y52&gt;0,Z52/Y52,0)</f>
        <v/>
      </c>
      <c r="AU52" s="11">
        <f>IF(Y51&gt;0,MAX(0,(Y51+J52-Y52)/Y51),0)</f>
        <v/>
      </c>
      <c r="AW52" s="12" t="n">
        <v>48</v>
      </c>
      <c r="AX52" s="12">
        <f>MOD(AW52-1+LaunchMonth-1,12)+1</f>
        <v/>
      </c>
      <c r="AY52" s="12">
        <f>INT((AW52-1+LaunchMonth-1)/12)+1</f>
        <v/>
      </c>
      <c r="AZ52" s="12">
        <f>VLOOKUP(AX52,SeasonTable,2,FALSE)</f>
        <v/>
      </c>
      <c r="BA52" s="12">
        <f>(1+InflationRate)^INT((AW52-1)/12)</f>
        <v/>
      </c>
      <c r="BB52" s="11">
        <f>MonthlyChurn*VLOOKUP(AX52,ChurnSeasonTable,4,FALSE)</f>
        <v/>
      </c>
      <c r="BC52" s="12">
        <f>MIN(MAX(MktMin19plus,CA51*MktPct19plus),MAX(0,CO51-CashBuffer))</f>
        <v/>
      </c>
      <c r="BD52" s="12">
        <f>IF(BC52&gt;0,MAX(1,ROUND(BC52/CAC*AZ52,0)),0)</f>
        <v/>
      </c>
      <c r="BE52" s="12">
        <f>IF(BD52&gt;0,ROUND(BD52*ReferralMix/(1-ReferralMix),0),0)</f>
        <v/>
      </c>
      <c r="BF52" s="12">
        <f>BD52+BE52</f>
        <v/>
      </c>
      <c r="BG52" s="12">
        <f>ROUND(BF52*(1-AnnualMix),0)</f>
        <v/>
      </c>
      <c r="BH52" s="12">
        <f>BF52-BG52</f>
        <v/>
      </c>
      <c r="BI52" s="12">
        <f>ROUND(BG52*EssentialMix,0)</f>
        <v/>
      </c>
      <c r="BJ52" s="12">
        <f>ROUND(BG52*PremiumMix,0)</f>
        <v/>
      </c>
      <c r="BK52" s="12">
        <f>BG52-BI52-BJ52</f>
        <v/>
      </c>
      <c r="BL52" s="12">
        <f>ROUND(BH52*EssentialMix,0)</f>
        <v/>
      </c>
      <c r="BM52" s="12">
        <f>ROUND(BH52*PremiumMix,0)</f>
        <v/>
      </c>
      <c r="BN52" s="12">
        <f>BH52-BL52-BM52</f>
        <v/>
      </c>
      <c r="BO52" s="12">
        <f>BI52+BI51+BI50+MAX(0,BO51-BI51-BI50)*(1-BB52)</f>
        <v/>
      </c>
      <c r="BP52" s="12">
        <f>BJ52+BJ51+BJ50+MAX(0,BP51-BJ51-BJ50)*(1-BB52)</f>
        <v/>
      </c>
      <c r="BQ52" s="12">
        <f>BK52+BK51+BK50+MAX(0,BQ51-BK51-BK50)*(1-BB52)</f>
        <v/>
      </c>
      <c r="BR52" s="12">
        <f>BR51+BL52-BL40*(AnnualChurn*VLOOKUP(AX52,ChurnSeasonTable,4,FALSE))*POWER(1-(AnnualChurn*VLOOKUP(AX52,ChurnSeasonTable,4,FALSE)),0)+BL28*(AnnualChurn*VLOOKUP(AX52,ChurnSeasonTable,4,FALSE))*POWER(1-(AnnualChurn*VLOOKUP(AX52,ChurnSeasonTable,4,FALSE)),1)+BL16*(AnnualChurn*VLOOKUP(AX52,ChurnSeasonTable,4,FALSE))*POWER(1-(AnnualChurn*VLOOKUP(AX52,ChurnSeasonTable,4,FALSE)),2)</f>
        <v/>
      </c>
      <c r="BS52" s="12">
        <f>BS51+BM52-BM40*(AnnualChurn*VLOOKUP(AX52,ChurnSeasonTable,4,FALSE))*POWER(1-(AnnualChurn*VLOOKUP(AX52,ChurnSeasonTable,4,FALSE)),0)+BM28*(AnnualChurn*VLOOKUP(AX52,ChurnSeasonTable,4,FALSE))*POWER(1-(AnnualChurn*VLOOKUP(AX52,ChurnSeasonTable,4,FALSE)),1)+BM16*(AnnualChurn*VLOOKUP(AX52,ChurnSeasonTable,4,FALSE))*POWER(1-(AnnualChurn*VLOOKUP(AX52,ChurnSeasonTable,4,FALSE)),2)</f>
        <v/>
      </c>
      <c r="BT52" s="12">
        <f>BT51+BN52-BN40*(AnnualChurn*VLOOKUP(AX52,ChurnSeasonTable,4,FALSE))*POWER(1-(AnnualChurn*VLOOKUP(AX52,ChurnSeasonTable,4,FALSE)),0)+BN28*(AnnualChurn*VLOOKUP(AX52,ChurnSeasonTable,4,FALSE))*POWER(1-(AnnualChurn*VLOOKUP(AX52,ChurnSeasonTable,4,FALSE)),1)+BN16*(AnnualChurn*VLOOKUP(AX52,ChurnSeasonTable,4,FALSE))*POWER(1-(AnnualChurn*VLOOKUP(AX52,ChurnSeasonTable,4,FALSE)),2)</f>
        <v/>
      </c>
      <c r="BU52" s="12">
        <f>BO52+BP52+BQ52+BR52+BS52+BT52</f>
        <v/>
      </c>
      <c r="BV52" s="9">
        <f>BO52*BlendedPriceEssMonthly*BA52+BP52*BlendedPricePremMonthly*BA52+BQ52*BlendedPriceEliteMonthly*BA52+BR52*BlendedPriceEssAnnual*BA52/12+BS52*BlendedPricePremAnnual*BA52/12+BT52*BlendedPriceEliteAnnual*BA52/12</f>
        <v/>
      </c>
      <c r="BW52" s="9">
        <f>BV52*12</f>
        <v/>
      </c>
      <c r="BX52" s="12">
        <f>BO52*BlendedPriceEssMonthly*BA52+BP52*BlendedPricePremMonthly*BA52+BQ52*BlendedPriceEliteMonthly*BA52</f>
        <v/>
      </c>
      <c r="BY52" s="12">
        <f>BL52*BlendedPriceEssAnnual*BA52+BM52*BlendedPricePremAnnual*BA52+BN52*BlendedPriceEliteAnnual*BA52</f>
        <v/>
      </c>
      <c r="BZ52" s="12">
        <f>BL40*POWER(1-(AnnualChurn*VLOOKUP(AX52,ChurnSeasonTable,4,FALSE)),1)*BlendedPriceEssAnnual*BA52+BL28*POWER(1-(AnnualChurn*VLOOKUP(AX52,ChurnSeasonTable,4,FALSE)),2)*BlendedPriceEssAnnual*BA52+BL16*POWER(1-(AnnualChurn*VLOOKUP(AX52,ChurnSeasonTable,4,FALSE)),3)*BlendedPriceEssAnnual*BA52+BM40*POWER(1-(AnnualChurn*VLOOKUP(AX52,ChurnSeasonTable,4,FALSE)),1)*BlendedPricePremAnnual*BA52+BM28*POWER(1-(AnnualChurn*VLOOKUP(AX52,ChurnSeasonTable,4,FALSE)),2)*BlendedPricePremAnnual*BA52+BM16*POWER(1-(AnnualChurn*VLOOKUP(AX52,ChurnSeasonTable,4,FALSE)),3)*BlendedPricePremAnnual*BA52+BN40*POWER(1-(AnnualChurn*VLOOKUP(AX52,ChurnSeasonTable,4,FALSE)),1)*BlendedPriceEliteAnnual*BA52+BN28*POWER(1-(AnnualChurn*VLOOKUP(AX52,ChurnSeasonTable,4,FALSE)),2)*BlendedPriceEliteAnnual*BA52+BN16*POWER(1-(AnnualChurn*VLOOKUP(AX52,ChurnSeasonTable,4,FALSE)),3)*BlendedPriceEliteAnnual*BA52</f>
        <v/>
      </c>
      <c r="CA52" s="9">
        <f>BX52+BY52+BZ52</f>
        <v/>
      </c>
      <c r="CB52" s="12">
        <f>SUM(CA41:CA52)</f>
        <v/>
      </c>
      <c r="CC52" s="12">
        <f>OR(CC51,IF(VATAgentMode,SUM($CA41:$CA52)-SUM($CH41:$CH52)&gt;=VATThreshold,SUM($CA41:$CA52)&gt;=VATThreshold))</f>
        <v/>
      </c>
      <c r="CD52" s="9">
        <f>IF(CC52,IF(VATAgentMode,CA52-((CA52-CH52)-(CA52-CH52)/(1+VATRate)),CA52/(1+VATRate)),CA52)</f>
        <v/>
      </c>
      <c r="CE52" s="12">
        <f>CA52-CD52</f>
        <v/>
      </c>
      <c r="CF52" s="12">
        <f>IF(CC52=0,0,IF(AX52=1,SUMPRODUCT(--(($AY$5:$AY52=$AY52-1)*($AX$5:$AX52&gt;=10)*($AX$5:$AX52&lt;=12)),$CE$5:$CE52),IF(AX52=4,SUMPRODUCT(--(($AY$5:$AY52=$AY52)*($AX$5:$AX52&gt;=1)*($AX$5:$AX52&lt;=3)),$CE$5:$CE52),IF(AX52=7,SUMPRODUCT(--(($AY$5:$AY52=$AY52)*($AX$5:$AX52&gt;=4)*($AX$5:$AX52&lt;=6)),$CE$5:$CE52),IF(AX52=10,SUMPRODUCT(--(($AY$5:$AY52=$AY52)*($AX$5:$AX52&gt;=7)*($AX$5:$AX52&lt;=9)),$CE$5:$CE52),0)))))</f>
        <v/>
      </c>
      <c r="CG52" s="12">
        <f>CG51+CE52-CF52</f>
        <v/>
      </c>
      <c r="CH52" s="12">
        <f>IF(ProviderDelay&gt;=1,BO51*BlendedProvPayEss+BP51*BlendedProvPayPrem+BQ51*BlendedProvPayElite+BR51*BlendedProvPayEss+BS51*BlendedProvPayPrem+BT51*BlendedProvPayElite,BO52*BlendedProvPayEss+BP52*BlendedProvPayPrem+BQ52*BlendedProvPayElite+BR52*BlendedProvPayEss+BS52*BlendedProvPayPrem+BT52*BlendedProvPayElite)</f>
        <v/>
      </c>
      <c r="CI52" s="12">
        <f>CA52*PaymentFee</f>
        <v/>
      </c>
      <c r="CJ52" s="12">
        <f>BU52*OpsAI</f>
        <v/>
      </c>
      <c r="CK52" s="12">
        <f>MonthlyFixed</f>
        <v/>
      </c>
      <c r="CL52" s="12">
        <f>BE52*ReferralReward</f>
        <v/>
      </c>
      <c r="CM52" s="12">
        <f>BC52</f>
        <v/>
      </c>
      <c r="CN52" s="9">
        <f>CD52-CH52-CI52-CJ52-CK52-CL52-CM52</f>
        <v/>
      </c>
      <c r="CO52" s="9">
        <f>CO51+CA52-(CH52+CI52+CJ52+CK52+CL52+CM52+CF52)</f>
        <v/>
      </c>
      <c r="CP52" s="12">
        <f>IF(BU52&gt;0,BV52/BU52,0)</f>
        <v/>
      </c>
      <c r="CQ52" s="11">
        <f>IF(BU51&gt;0,MAX(0,(BU51+BF52-BU52)/BU51),0)</f>
        <v/>
      </c>
      <c r="CS52" s="12" t="n">
        <v>48</v>
      </c>
      <c r="CT52" s="12">
        <f>MOD(CS52-1+LaunchMonth-1,12)+1</f>
        <v/>
      </c>
      <c r="CU52" s="12">
        <f>INT((CS52-1+LaunchMonth-1)/12)+1</f>
        <v/>
      </c>
      <c r="CV52" s="12">
        <f>VLOOKUP(CT52,SeasonTable,2,FALSE)</f>
        <v/>
      </c>
      <c r="CW52" s="12">
        <f>(1+InflationRate)^INT((CS52-1)/12)</f>
        <v/>
      </c>
      <c r="CX52" s="11">
        <f>'Sens - Scenarios'!$D$5*VLOOKUP(CT52,ChurnSeasonTable,4,FALSE)</f>
        <v/>
      </c>
      <c r="CY52" s="12">
        <f>MIN(MAX(MktMin19plus,DW51*MktPct19plus),MAX(0,EK51-CashBuffer))</f>
        <v/>
      </c>
      <c r="CZ52" s="12">
        <f>IF(CY52&gt;0,MAX(1,ROUND(CY52/'Sens - Scenarios'!$D$8*CV52,0)),0)</f>
        <v/>
      </c>
      <c r="DA52" s="12">
        <f>IF(CZ52&gt;0,ROUND(CZ52*ReferralMix/(1-ReferralMix),0),0)</f>
        <v/>
      </c>
      <c r="DB52" s="12">
        <f>CZ52+DA52</f>
        <v/>
      </c>
      <c r="DC52" s="12">
        <f>ROUND(DB52*(1-'Sens - Scenarios'!$D$7),0)</f>
        <v/>
      </c>
      <c r="DD52" s="12">
        <f>DB52-DC52</f>
        <v/>
      </c>
      <c r="DE52" s="12">
        <f>ROUND(DC52*EssentialMix,0)</f>
        <v/>
      </c>
      <c r="DF52" s="12">
        <f>ROUND(DC52*PremiumMix,0)</f>
        <v/>
      </c>
      <c r="DG52" s="12">
        <f>DC52-DE52-DF52</f>
        <v/>
      </c>
      <c r="DH52" s="12">
        <f>ROUND(DD52*EssentialMix,0)</f>
        <v/>
      </c>
      <c r="DI52" s="12">
        <f>ROUND(DD52*PremiumMix,0)</f>
        <v/>
      </c>
      <c r="DJ52" s="12">
        <f>DD52-DH52-DI52</f>
        <v/>
      </c>
      <c r="DK52" s="12">
        <f>DE52+DE51+DE50+MAX(0,DK51-DE51-DE50)*(1-CX52)</f>
        <v/>
      </c>
      <c r="DL52" s="12">
        <f>DF52+DF51+DF50+MAX(0,DL51-DF51-DF50)*(1-CX52)</f>
        <v/>
      </c>
      <c r="DM52" s="12">
        <f>DG52+DG51+DG50+MAX(0,DM51-DG51-DG50)*(1-CX52)</f>
        <v/>
      </c>
      <c r="DN52" s="12">
        <f>DN51+DH52-DH40*('Sens - Scenarios'!$D$6*VLOOKUP(CT52,ChurnSeasonTable,4,FALSE))*POWER(1-('Sens - Scenarios'!$D$6*VLOOKUP(CT52,ChurnSeasonTable,4,FALSE)),0)+DH28*('Sens - Scenarios'!$D$6*VLOOKUP(CT52,ChurnSeasonTable,4,FALSE))*POWER(1-('Sens - Scenarios'!$D$6*VLOOKUP(CT52,ChurnSeasonTable,4,FALSE)),1)+DH16*('Sens - Scenarios'!$D$6*VLOOKUP(CT52,ChurnSeasonTable,4,FALSE))*POWER(1-('Sens - Scenarios'!$D$6*VLOOKUP(CT52,ChurnSeasonTable,4,FALSE)),2)</f>
        <v/>
      </c>
      <c r="DO52" s="12">
        <f>DO51+DI52-DI40*('Sens - Scenarios'!$D$6*VLOOKUP(CT52,ChurnSeasonTable,4,FALSE))*POWER(1-('Sens - Scenarios'!$D$6*VLOOKUP(CT52,ChurnSeasonTable,4,FALSE)),0)+DI28*('Sens - Scenarios'!$D$6*VLOOKUP(CT52,ChurnSeasonTable,4,FALSE))*POWER(1-('Sens - Scenarios'!$D$6*VLOOKUP(CT52,ChurnSeasonTable,4,FALSE)),1)+DI16*('Sens - Scenarios'!$D$6*VLOOKUP(CT52,ChurnSeasonTable,4,FALSE))*POWER(1-('Sens - Scenarios'!$D$6*VLOOKUP(CT52,ChurnSeasonTable,4,FALSE)),2)</f>
        <v/>
      </c>
      <c r="DP52" s="12">
        <f>DP51+DJ52-DJ40*('Sens - Scenarios'!$D$6*VLOOKUP(CT52,ChurnSeasonTable,4,FALSE))*POWER(1-('Sens - Scenarios'!$D$6*VLOOKUP(CT52,ChurnSeasonTable,4,FALSE)),0)+DJ28*('Sens - Scenarios'!$D$6*VLOOKUP(CT52,ChurnSeasonTable,4,FALSE))*POWER(1-('Sens - Scenarios'!$D$6*VLOOKUP(CT52,ChurnSeasonTable,4,FALSE)),1)+DJ16*('Sens - Scenarios'!$D$6*VLOOKUP(CT52,ChurnSeasonTable,4,FALSE))*POWER(1-('Sens - Scenarios'!$D$6*VLOOKUP(CT52,ChurnSeasonTable,4,FALSE)),2)</f>
        <v/>
      </c>
      <c r="DQ52" s="12">
        <f>DK52+DL52+DM52+DN52+DO52+DP52</f>
        <v/>
      </c>
      <c r="DR52" s="9">
        <f>DK52*BlendedPriceEssMonthly*CW52+DL52*BlendedPricePremMonthly*CW52+DM52*BlendedPriceEliteMonthly*CW52+DN52*BlendedPriceEssAnnual*CW52/12+DO52*BlendedPricePremAnnual*CW52/12+DP52*BlendedPriceEliteAnnual*CW52/12</f>
        <v/>
      </c>
      <c r="DS52" s="9">
        <f>DR52*12</f>
        <v/>
      </c>
      <c r="DT52" s="12">
        <f>DK52*BlendedPriceEssMonthly*CW52+DL52*BlendedPricePremMonthly*CW52+DM52*BlendedPriceEliteMonthly*CW52</f>
        <v/>
      </c>
      <c r="DU52" s="12">
        <f>DH52*BlendedPriceEssAnnual*CW52+DI52*BlendedPricePremAnnual*CW52+DJ52*BlendedPriceEliteAnnual*CW52</f>
        <v/>
      </c>
      <c r="DV52" s="12">
        <f>DH40*POWER(1-('Sens - Scenarios'!$D$6*VLOOKUP(CT52,ChurnSeasonTable,4,FALSE)),1)*BlendedPriceEssAnnual*CW52+DH28*POWER(1-('Sens - Scenarios'!$D$6*VLOOKUP(CT52,ChurnSeasonTable,4,FALSE)),2)*BlendedPriceEssAnnual*CW52+DH16*POWER(1-('Sens - Scenarios'!$D$6*VLOOKUP(CT52,ChurnSeasonTable,4,FALSE)),3)*BlendedPriceEssAnnual*CW52+DI40*POWER(1-('Sens - Scenarios'!$D$6*VLOOKUP(CT52,ChurnSeasonTable,4,FALSE)),1)*BlendedPricePremAnnual*CW52+DI28*POWER(1-('Sens - Scenarios'!$D$6*VLOOKUP(CT52,ChurnSeasonTable,4,FALSE)),2)*BlendedPricePremAnnual*CW52+DI16*POWER(1-('Sens - Scenarios'!$D$6*VLOOKUP(CT52,ChurnSeasonTable,4,FALSE)),3)*BlendedPricePremAnnual*CW52+DJ40*POWER(1-('Sens - Scenarios'!$D$6*VLOOKUP(CT52,ChurnSeasonTable,4,FALSE)),1)*BlendedPriceEliteAnnual*CW52+DJ28*POWER(1-('Sens - Scenarios'!$D$6*VLOOKUP(CT52,ChurnSeasonTable,4,FALSE)),2)*BlendedPriceEliteAnnual*CW52+DJ16*POWER(1-('Sens - Scenarios'!$D$6*VLOOKUP(CT52,ChurnSeasonTable,4,FALSE)),3)*BlendedPriceEliteAnnual*CW52</f>
        <v/>
      </c>
      <c r="DW52" s="9">
        <f>DT52+DU52+DV52</f>
        <v/>
      </c>
      <c r="DX52" s="12">
        <f>SUM(DW41:DW52)</f>
        <v/>
      </c>
      <c r="DY52" s="12">
        <f>OR(DY51,IF(VATAgentMode,SUM($DW41:$DW52)-SUM($ED41:$ED52)&gt;=VATThreshold,SUM($DW41:$DW52)&gt;=VATThreshold))</f>
        <v/>
      </c>
      <c r="DZ52" s="9">
        <f>IF(DY52,IF(VATAgentMode,DW52-((DW52-ED52)-(DW52-ED52)/(1+VATRate)),DW52/(1+VATRate)),DW52)</f>
        <v/>
      </c>
      <c r="EA52" s="12">
        <f>DW52-DZ52</f>
        <v/>
      </c>
      <c r="EB52" s="12">
        <f>IF(DY52=0,0,IF(CT52=1,SUMPRODUCT(--(($CU$5:$CU52=$CU52-1)*($CT$5:$CT52&gt;=10)*($CT$5:$CT52&lt;=12)),$EA$5:$EA52),IF(CT52=4,SUMPRODUCT(--(($CU$5:$CU52=$CU52)*($CT$5:$CT52&gt;=1)*($CT$5:$CT52&lt;=3)),$EA$5:$EA52),IF(CT52=7,SUMPRODUCT(--(($CU$5:$CU52=$CU52)*($CT$5:$CT52&gt;=4)*($CT$5:$CT52&lt;=6)),$EA$5:$EA52),IF(CT52=10,SUMPRODUCT(--(($CU$5:$CU52=$CU52)*($CT$5:$CT52&gt;=7)*($CT$5:$CT52&lt;=9)),$EA$5:$EA52),0)))))</f>
        <v/>
      </c>
      <c r="EC52" s="12">
        <f>EC51+EA52-EB52</f>
        <v/>
      </c>
      <c r="ED52" s="12">
        <f>IF(ProviderDelay&gt;=1,DK51*BlendedProvPayEss+DL51*BlendedProvPayPrem+DM51*BlendedProvPayElite+DN51*BlendedProvPayEss+DO51*BlendedProvPayPrem+DP51*BlendedProvPayElite,DK52*BlendedProvPayEss+DL52*BlendedProvPayPrem+DM52*BlendedProvPayElite+DN52*BlendedProvPayEss+DO52*BlendedProvPayPrem+DP52*BlendedProvPayElite)</f>
        <v/>
      </c>
      <c r="EE52" s="12">
        <f>DW52*PaymentFee</f>
        <v/>
      </c>
      <c r="EF52" s="12">
        <f>DQ52*OpsAI</f>
        <v/>
      </c>
      <c r="EG52" s="12">
        <f>MonthlyFixed</f>
        <v/>
      </c>
      <c r="EH52" s="12">
        <f>DA52*ReferralReward</f>
        <v/>
      </c>
      <c r="EI52" s="12">
        <f>CY52</f>
        <v/>
      </c>
      <c r="EJ52" s="9">
        <f>DZ52-ED52-EE52-EF52-EG52-EH52-EI52</f>
        <v/>
      </c>
      <c r="EK52" s="9">
        <f>EK51+DW52-(ED52+EE52+EF52+EG52+EH52+EI52+EB52)</f>
        <v/>
      </c>
      <c r="EL52" s="12">
        <f>IF(DQ52&gt;0,DR52/DQ52,0)</f>
        <v/>
      </c>
      <c r="EM52" s="11">
        <f>IF(DQ51&gt;0,MAX(0,(DQ51+DB52-DQ52)/DQ51),0)</f>
        <v/>
      </c>
      <c r="EO52" s="12" t="n">
        <v>48</v>
      </c>
      <c r="EP52" s="12">
        <f>MOD(EO52-1+LaunchMonth-1,12)+1</f>
        <v/>
      </c>
      <c r="EQ52" s="12">
        <f>INT((EO52-1+LaunchMonth-1)/12)+1</f>
        <v/>
      </c>
      <c r="ER52" s="12">
        <f>VLOOKUP(EP52,SeasonTable,2,FALSE)</f>
        <v/>
      </c>
      <c r="ES52" s="12">
        <f>(1+InflationRate)^INT((EO52-1)/12)</f>
        <v/>
      </c>
      <c r="ET52" s="11">
        <f>'Sens - Churn'!$A$13*VLOOKUP(EP52,ChurnSeasonTable,4,FALSE)</f>
        <v/>
      </c>
      <c r="EU52" s="12">
        <f>MIN(MAX(MktMin19plus,FS51*MktPct19plus),MAX(0,GG51-CashBuffer))</f>
        <v/>
      </c>
      <c r="EV52" s="12">
        <f>IF(EU52&gt;0,MAX(1,ROUND(EU52/CAC*ER52,0)),0)</f>
        <v/>
      </c>
      <c r="EW52" s="12">
        <f>IF(EV52&gt;0,ROUND(EV52*ReferralMix/(1-ReferralMix),0),0)</f>
        <v/>
      </c>
      <c r="EX52" s="12">
        <f>EV52+EW52</f>
        <v/>
      </c>
      <c r="EY52" s="12">
        <f>ROUND(EX52*(1-AnnualMix),0)</f>
        <v/>
      </c>
      <c r="EZ52" s="12">
        <f>EX52-EY52</f>
        <v/>
      </c>
      <c r="FA52" s="12">
        <f>ROUND(EY52*EssentialMix,0)</f>
        <v/>
      </c>
      <c r="FB52" s="12">
        <f>ROUND(EY52*PremiumMix,0)</f>
        <v/>
      </c>
      <c r="FC52" s="12">
        <f>EY52-FA52-FB52</f>
        <v/>
      </c>
      <c r="FD52" s="12">
        <f>ROUND(EZ52*EssentialMix,0)</f>
        <v/>
      </c>
      <c r="FE52" s="12">
        <f>ROUND(EZ52*PremiumMix,0)</f>
        <v/>
      </c>
      <c r="FF52" s="12">
        <f>EZ52-FD52-FE52</f>
        <v/>
      </c>
      <c r="FG52" s="12">
        <f>FA52+FA51+FA50+MAX(0,FG51-FA51-FA50)*(1-ET52)</f>
        <v/>
      </c>
      <c r="FH52" s="12">
        <f>FB52+FB51+FB50+MAX(0,FH51-FB51-FB50)*(1-ET52)</f>
        <v/>
      </c>
      <c r="FI52" s="12">
        <f>FC52+FC51+FC50+MAX(0,FI51-FC51-FC50)*(1-ET52)</f>
        <v/>
      </c>
      <c r="FJ52" s="12">
        <f>FJ51+FD52-FD40*(AnnualChurn*VLOOKUP(EP52,ChurnSeasonTable,4,FALSE))*POWER(1-(AnnualChurn*VLOOKUP(EP52,ChurnSeasonTable,4,FALSE)),0)+FD28*(AnnualChurn*VLOOKUP(EP52,ChurnSeasonTable,4,FALSE))*POWER(1-(AnnualChurn*VLOOKUP(EP52,ChurnSeasonTable,4,FALSE)),1)+FD16*(AnnualChurn*VLOOKUP(EP52,ChurnSeasonTable,4,FALSE))*POWER(1-(AnnualChurn*VLOOKUP(EP52,ChurnSeasonTable,4,FALSE)),2)</f>
        <v/>
      </c>
      <c r="FK52" s="12">
        <f>FK51+FE52-FE40*(AnnualChurn*VLOOKUP(EP52,ChurnSeasonTable,4,FALSE))*POWER(1-(AnnualChurn*VLOOKUP(EP52,ChurnSeasonTable,4,FALSE)),0)+FE28*(AnnualChurn*VLOOKUP(EP52,ChurnSeasonTable,4,FALSE))*POWER(1-(AnnualChurn*VLOOKUP(EP52,ChurnSeasonTable,4,FALSE)),1)+FE16*(AnnualChurn*VLOOKUP(EP52,ChurnSeasonTable,4,FALSE))*POWER(1-(AnnualChurn*VLOOKUP(EP52,ChurnSeasonTable,4,FALSE)),2)</f>
        <v/>
      </c>
      <c r="FL52" s="12">
        <f>FL51+FF52-FF40*(AnnualChurn*VLOOKUP(EP52,ChurnSeasonTable,4,FALSE))*POWER(1-(AnnualChurn*VLOOKUP(EP52,ChurnSeasonTable,4,FALSE)),0)+FF28*(AnnualChurn*VLOOKUP(EP52,ChurnSeasonTable,4,FALSE))*POWER(1-(AnnualChurn*VLOOKUP(EP52,ChurnSeasonTable,4,FALSE)),1)+FF16*(AnnualChurn*VLOOKUP(EP52,ChurnSeasonTable,4,FALSE))*POWER(1-(AnnualChurn*VLOOKUP(EP52,ChurnSeasonTable,4,FALSE)),2)</f>
        <v/>
      </c>
      <c r="FM52" s="12">
        <f>FG52+FH52+FI52+FJ52+FK52+FL52</f>
        <v/>
      </c>
      <c r="FN52" s="9">
        <f>FG52*BlendedPriceEssMonthly*ES52+FH52*BlendedPricePremMonthly*ES52+FI52*BlendedPriceEliteMonthly*ES52+FJ52*BlendedPriceEssAnnual*ES52/12+FK52*BlendedPricePremAnnual*ES52/12+FL52*BlendedPriceEliteAnnual*ES52/12</f>
        <v/>
      </c>
      <c r="FO52" s="9">
        <f>FN52*12</f>
        <v/>
      </c>
      <c r="FP52" s="12">
        <f>FG52*BlendedPriceEssMonthly*ES52+FH52*BlendedPricePremMonthly*ES52+FI52*BlendedPriceEliteMonthly*ES52</f>
        <v/>
      </c>
      <c r="FQ52" s="12">
        <f>FD52*BlendedPriceEssAnnual*ES52+FE52*BlendedPricePremAnnual*ES52+FF52*BlendedPriceEliteAnnual*ES52</f>
        <v/>
      </c>
      <c r="FR52" s="12">
        <f>FD40*POWER(1-(AnnualChurn*VLOOKUP(EP52,ChurnSeasonTable,4,FALSE)),1)*BlendedPriceEssAnnual*ES52+FD28*POWER(1-(AnnualChurn*VLOOKUP(EP52,ChurnSeasonTable,4,FALSE)),2)*BlendedPriceEssAnnual*ES52+FD16*POWER(1-(AnnualChurn*VLOOKUP(EP52,ChurnSeasonTable,4,FALSE)),3)*BlendedPriceEssAnnual*ES52+FE40*POWER(1-(AnnualChurn*VLOOKUP(EP52,ChurnSeasonTable,4,FALSE)),1)*BlendedPricePremAnnual*ES52+FE28*POWER(1-(AnnualChurn*VLOOKUP(EP52,ChurnSeasonTable,4,FALSE)),2)*BlendedPricePremAnnual*ES52+FE16*POWER(1-(AnnualChurn*VLOOKUP(EP52,ChurnSeasonTable,4,FALSE)),3)*BlendedPricePremAnnual*ES52+FF40*POWER(1-(AnnualChurn*VLOOKUP(EP52,ChurnSeasonTable,4,FALSE)),1)*BlendedPriceEliteAnnual*ES52+FF28*POWER(1-(AnnualChurn*VLOOKUP(EP52,ChurnSeasonTable,4,FALSE)),2)*BlendedPriceEliteAnnual*ES52+FF16*POWER(1-(AnnualChurn*VLOOKUP(EP52,ChurnSeasonTable,4,FALSE)),3)*BlendedPriceEliteAnnual*ES52</f>
        <v/>
      </c>
      <c r="FS52" s="9">
        <f>FP52+FQ52+FR52</f>
        <v/>
      </c>
      <c r="FT52" s="12">
        <f>SUM(FS41:FS52)</f>
        <v/>
      </c>
      <c r="FU52" s="12">
        <f>OR(FU51,IF(VATAgentMode,SUM($FS41:$FS52)-SUM($FZ41:$FZ52)&gt;=VATThreshold,SUM($FS41:$FS52)&gt;=VATThreshold))</f>
        <v/>
      </c>
      <c r="FV52" s="9">
        <f>IF(FU52,IF(VATAgentMode,FS52-((FS52-FZ52)-(FS52-FZ52)/(1+VATRate)),FS52/(1+VATRate)),FS52)</f>
        <v/>
      </c>
      <c r="FW52" s="12">
        <f>FS52-FV52</f>
        <v/>
      </c>
      <c r="FX52" s="12">
        <f>IF(FU52=0,0,IF(EP52=1,SUMPRODUCT(--(($EQ$5:$EQ52=$EQ52-1)*($EP$5:$EP52&gt;=10)*($EP$5:$EP52&lt;=12)),$FW$5:$FW52),IF(EP52=4,SUMPRODUCT(--(($EQ$5:$EQ52=$EQ52)*($EP$5:$EP52&gt;=1)*($EP$5:$EP52&lt;=3)),$FW$5:$FW52),IF(EP52=7,SUMPRODUCT(--(($EQ$5:$EQ52=$EQ52)*($EP$5:$EP52&gt;=4)*($EP$5:$EP52&lt;=6)),$FW$5:$FW52),IF(EP52=10,SUMPRODUCT(--(($EQ$5:$EQ52=$EQ52)*($EP$5:$EP52&gt;=7)*($EP$5:$EP52&lt;=9)),$FW$5:$FW52),0)))))</f>
        <v/>
      </c>
      <c r="FY52" s="12">
        <f>FY51+FW52-FX52</f>
        <v/>
      </c>
      <c r="FZ52" s="12">
        <f>IF(ProviderDelay&gt;=1,FG51*BlendedProvPayEss+FH51*BlendedProvPayPrem+FI51*BlendedProvPayElite+FJ51*BlendedProvPayEss+FK51*BlendedProvPayPrem+FL51*BlendedProvPayElite,FG52*BlendedProvPayEss+FH52*BlendedProvPayPrem+FI52*BlendedProvPayElite+FJ52*BlendedProvPayEss+FK52*BlendedProvPayPrem+FL52*BlendedProvPayElite)</f>
        <v/>
      </c>
      <c r="GA52" s="12">
        <f>FS52*PaymentFee</f>
        <v/>
      </c>
      <c r="GB52" s="12">
        <f>FM52*OpsAI</f>
        <v/>
      </c>
      <c r="GC52" s="12">
        <f>MonthlyFixed</f>
        <v/>
      </c>
      <c r="GD52" s="12">
        <f>EW52*ReferralReward</f>
        <v/>
      </c>
      <c r="GE52" s="12">
        <f>EU52</f>
        <v/>
      </c>
      <c r="GF52" s="9">
        <f>FV52-FZ52-GA52-GB52-GC52-GD52-GE52</f>
        <v/>
      </c>
      <c r="GG52" s="9">
        <f>GG51+FS52-(FZ52+GA52+GB52+GC52+GD52+GE52+FX52)</f>
        <v/>
      </c>
      <c r="GH52" s="12">
        <f>IF(FM52&gt;0,FN52/FM52,0)</f>
        <v/>
      </c>
      <c r="GI52" s="11">
        <f>IF(FM51&gt;0,MAX(0,(FM51+EX52-FM52)/FM51),0)</f>
        <v/>
      </c>
      <c r="GK52" s="12" t="n">
        <v>48</v>
      </c>
      <c r="GL52" s="12">
        <f>MOD(GK52-1+LaunchMonth-1,12)+1</f>
        <v/>
      </c>
      <c r="GM52" s="12">
        <f>INT((GK52-1+LaunchMonth-1)/12)+1</f>
        <v/>
      </c>
      <c r="GN52" s="12">
        <f>VLOOKUP(GL52,SeasonTable,2,FALSE)</f>
        <v/>
      </c>
      <c r="GO52" s="12">
        <f>(1+InflationRate)^INT((GK52-1)/12)</f>
        <v/>
      </c>
      <c r="GP52" s="11">
        <f>'Sens - Churn'!$A$14*VLOOKUP(GL52,ChurnSeasonTable,4,FALSE)</f>
        <v/>
      </c>
      <c r="GQ52" s="12">
        <f>MIN(MAX(MktMin19plus,HO51*MktPct19plus),MAX(0,IC51-CashBuffer))</f>
        <v/>
      </c>
      <c r="GR52" s="12">
        <f>IF(GQ52&gt;0,MAX(1,ROUND(GQ52/CAC*GN52,0)),0)</f>
        <v/>
      </c>
      <c r="GS52" s="12">
        <f>IF(GR52&gt;0,ROUND(GR52*ReferralMix/(1-ReferralMix),0),0)</f>
        <v/>
      </c>
      <c r="GT52" s="12">
        <f>GR52+GS52</f>
        <v/>
      </c>
      <c r="GU52" s="12">
        <f>ROUND(GT52*(1-AnnualMix),0)</f>
        <v/>
      </c>
      <c r="GV52" s="12">
        <f>GT52-GU52</f>
        <v/>
      </c>
      <c r="GW52" s="12">
        <f>ROUND(GU52*EssentialMix,0)</f>
        <v/>
      </c>
      <c r="GX52" s="12">
        <f>ROUND(GU52*PremiumMix,0)</f>
        <v/>
      </c>
      <c r="GY52" s="12">
        <f>GU52-GW52-GX52</f>
        <v/>
      </c>
      <c r="GZ52" s="12">
        <f>ROUND(GV52*EssentialMix,0)</f>
        <v/>
      </c>
      <c r="HA52" s="12">
        <f>ROUND(GV52*PremiumMix,0)</f>
        <v/>
      </c>
      <c r="HB52" s="12">
        <f>GV52-GZ52-HA52</f>
        <v/>
      </c>
      <c r="HC52" s="12">
        <f>GW52+GW51+GW50+MAX(0,HC51-GW51-GW50)*(1-GP52)</f>
        <v/>
      </c>
      <c r="HD52" s="12">
        <f>GX52+GX51+GX50+MAX(0,HD51-GX51-GX50)*(1-GP52)</f>
        <v/>
      </c>
      <c r="HE52" s="12">
        <f>GY52+GY51+GY50+MAX(0,HE51-GY51-GY50)*(1-GP52)</f>
        <v/>
      </c>
      <c r="HF52" s="12">
        <f>HF51+GZ52-GZ40*(AnnualChurn*VLOOKUP(GL52,ChurnSeasonTable,4,FALSE))*POWER(1-(AnnualChurn*VLOOKUP(GL52,ChurnSeasonTable,4,FALSE)),0)+GZ28*(AnnualChurn*VLOOKUP(GL52,ChurnSeasonTable,4,FALSE))*POWER(1-(AnnualChurn*VLOOKUP(GL52,ChurnSeasonTable,4,FALSE)),1)+GZ16*(AnnualChurn*VLOOKUP(GL52,ChurnSeasonTable,4,FALSE))*POWER(1-(AnnualChurn*VLOOKUP(GL52,ChurnSeasonTable,4,FALSE)),2)</f>
        <v/>
      </c>
      <c r="HG52" s="12">
        <f>HG51+HA52-HA40*(AnnualChurn*VLOOKUP(GL52,ChurnSeasonTable,4,FALSE))*POWER(1-(AnnualChurn*VLOOKUP(GL52,ChurnSeasonTable,4,FALSE)),0)+HA28*(AnnualChurn*VLOOKUP(GL52,ChurnSeasonTable,4,FALSE))*POWER(1-(AnnualChurn*VLOOKUP(GL52,ChurnSeasonTable,4,FALSE)),1)+HA16*(AnnualChurn*VLOOKUP(GL52,ChurnSeasonTable,4,FALSE))*POWER(1-(AnnualChurn*VLOOKUP(GL52,ChurnSeasonTable,4,FALSE)),2)</f>
        <v/>
      </c>
      <c r="HH52" s="12">
        <f>HH51+HB52-HB40*(AnnualChurn*VLOOKUP(GL52,ChurnSeasonTable,4,FALSE))*POWER(1-(AnnualChurn*VLOOKUP(GL52,ChurnSeasonTable,4,FALSE)),0)+HB28*(AnnualChurn*VLOOKUP(GL52,ChurnSeasonTable,4,FALSE))*POWER(1-(AnnualChurn*VLOOKUP(GL52,ChurnSeasonTable,4,FALSE)),1)+HB16*(AnnualChurn*VLOOKUP(GL52,ChurnSeasonTable,4,FALSE))*POWER(1-(AnnualChurn*VLOOKUP(GL52,ChurnSeasonTable,4,FALSE)),2)</f>
        <v/>
      </c>
      <c r="HI52" s="12">
        <f>HC52+HD52+HE52+HF52+HG52+HH52</f>
        <v/>
      </c>
      <c r="HJ52" s="9">
        <f>HC52*BlendedPriceEssMonthly*GO52+HD52*BlendedPricePremMonthly*GO52+HE52*BlendedPriceEliteMonthly*GO52+HF52*BlendedPriceEssAnnual*GO52/12+HG52*BlendedPricePremAnnual*GO52/12+HH52*BlendedPriceEliteAnnual*GO52/12</f>
        <v/>
      </c>
      <c r="HK52" s="9">
        <f>HJ52*12</f>
        <v/>
      </c>
      <c r="HL52" s="12">
        <f>HC52*BlendedPriceEssMonthly*GO52+HD52*BlendedPricePremMonthly*GO52+HE52*BlendedPriceEliteMonthly*GO52</f>
        <v/>
      </c>
      <c r="HM52" s="12">
        <f>GZ52*BlendedPriceEssAnnual*GO52+HA52*BlendedPricePremAnnual*GO52+HB52*BlendedPriceEliteAnnual*GO52</f>
        <v/>
      </c>
      <c r="HN52" s="12">
        <f>GZ40*POWER(1-(AnnualChurn*VLOOKUP(GL52,ChurnSeasonTable,4,FALSE)),1)*BlendedPriceEssAnnual*GO52+GZ28*POWER(1-(AnnualChurn*VLOOKUP(GL52,ChurnSeasonTable,4,FALSE)),2)*BlendedPriceEssAnnual*GO52+GZ16*POWER(1-(AnnualChurn*VLOOKUP(GL52,ChurnSeasonTable,4,FALSE)),3)*BlendedPriceEssAnnual*GO52+HA40*POWER(1-(AnnualChurn*VLOOKUP(GL52,ChurnSeasonTable,4,FALSE)),1)*BlendedPricePremAnnual*GO52+HA28*POWER(1-(AnnualChurn*VLOOKUP(GL52,ChurnSeasonTable,4,FALSE)),2)*BlendedPricePremAnnual*GO52+HA16*POWER(1-(AnnualChurn*VLOOKUP(GL52,ChurnSeasonTable,4,FALSE)),3)*BlendedPricePremAnnual*GO52+HB40*POWER(1-(AnnualChurn*VLOOKUP(GL52,ChurnSeasonTable,4,FALSE)),1)*BlendedPriceEliteAnnual*GO52+HB28*POWER(1-(AnnualChurn*VLOOKUP(GL52,ChurnSeasonTable,4,FALSE)),2)*BlendedPriceEliteAnnual*GO52+HB16*POWER(1-(AnnualChurn*VLOOKUP(GL52,ChurnSeasonTable,4,FALSE)),3)*BlendedPriceEliteAnnual*GO52</f>
        <v/>
      </c>
      <c r="HO52" s="9">
        <f>HL52+HM52+HN52</f>
        <v/>
      </c>
      <c r="HP52" s="12">
        <f>SUM(HO41:HO52)</f>
        <v/>
      </c>
      <c r="HQ52" s="12">
        <f>OR(HQ51,IF(VATAgentMode,SUM($HO41:$HO52)-SUM($HV41:$HV52)&gt;=VATThreshold,SUM($HO41:$HO52)&gt;=VATThreshold))</f>
        <v/>
      </c>
      <c r="HR52" s="9">
        <f>IF(HQ52,IF(VATAgentMode,HO52-((HO52-HV52)-(HO52-HV52)/(1+VATRate)),HO52/(1+VATRate)),HO52)</f>
        <v/>
      </c>
      <c r="HS52" s="12">
        <f>HO52-HR52</f>
        <v/>
      </c>
      <c r="HT52" s="12">
        <f>IF(HQ52=0,0,IF(GL52=1,SUMPRODUCT(--(($GM$5:$GM52=$GM52-1)*($GL$5:$GL52&gt;=10)*($GL$5:$GL52&lt;=12)),$HS$5:$HS52),IF(GL52=4,SUMPRODUCT(--(($GM$5:$GM52=$GM52)*($GL$5:$GL52&gt;=1)*($GL$5:$GL52&lt;=3)),$HS$5:$HS52),IF(GL52=7,SUMPRODUCT(--(($GM$5:$GM52=$GM52)*($GL$5:$GL52&gt;=4)*($GL$5:$GL52&lt;=6)),$HS$5:$HS52),IF(GL52=10,SUMPRODUCT(--(($GM$5:$GM52=$GM52)*($GL$5:$GL52&gt;=7)*($GL$5:$GL52&lt;=9)),$HS$5:$HS52),0)))))</f>
        <v/>
      </c>
      <c r="HU52" s="12">
        <f>HU51+HS52-HT52</f>
        <v/>
      </c>
      <c r="HV52" s="12">
        <f>IF(ProviderDelay&gt;=1,HC51*BlendedProvPayEss+HD51*BlendedProvPayPrem+HE51*BlendedProvPayElite+HF51*BlendedProvPayEss+HG51*BlendedProvPayPrem+HH51*BlendedProvPayElite,HC52*BlendedProvPayEss+HD52*BlendedProvPayPrem+HE52*BlendedProvPayElite+HF52*BlendedProvPayEss+HG52*BlendedProvPayPrem+HH52*BlendedProvPayElite)</f>
        <v/>
      </c>
      <c r="HW52" s="12">
        <f>HO52*PaymentFee</f>
        <v/>
      </c>
      <c r="HX52" s="12">
        <f>HI52*OpsAI</f>
        <v/>
      </c>
      <c r="HY52" s="12">
        <f>MonthlyFixed</f>
        <v/>
      </c>
      <c r="HZ52" s="12">
        <f>GS52*ReferralReward</f>
        <v/>
      </c>
      <c r="IA52" s="12">
        <f>GQ52</f>
        <v/>
      </c>
      <c r="IB52" s="9">
        <f>HR52-HV52-HW52-HX52-HY52-HZ52-IA52</f>
        <v/>
      </c>
      <c r="IC52" s="9">
        <f>IC51+HO52-(HV52+HW52+HX52+HY52+HZ52+IA52+HT52)</f>
        <v/>
      </c>
      <c r="ID52" s="12">
        <f>IF(HI52&gt;0,HJ52/HI52,0)</f>
        <v/>
      </c>
      <c r="IE52" s="11">
        <f>IF(HI51&gt;0,MAX(0,(HI51+GT52-HI52)/HI51),0)</f>
        <v/>
      </c>
      <c r="IG52" s="12" t="n">
        <v>48</v>
      </c>
      <c r="IH52" s="12">
        <f>MOD(IG52-1+LaunchMonth-1,12)+1</f>
        <v/>
      </c>
      <c r="II52" s="12">
        <f>INT((IG52-1+LaunchMonth-1)/12)+1</f>
        <v/>
      </c>
      <c r="IJ52" s="12">
        <f>VLOOKUP(IH52,SeasonTable,2,FALSE)</f>
        <v/>
      </c>
      <c r="IK52" s="12">
        <f>(1+InflationRate)^INT((IG52-1)/12)</f>
        <v/>
      </c>
      <c r="IL52" s="11">
        <f>'Sens - Churn'!$A$15*VLOOKUP(IH52,ChurnSeasonTable,4,FALSE)</f>
        <v/>
      </c>
      <c r="IM52" s="12">
        <f>MIN(MAX(MktMin19plus,JK51*MktPct19plus),MAX(0,JY51-CashBuffer))</f>
        <v/>
      </c>
      <c r="IN52" s="12">
        <f>IF(IM52&gt;0,MAX(1,ROUND(IM52/CAC*IJ52,0)),0)</f>
        <v/>
      </c>
      <c r="IO52" s="12">
        <f>IF(IN52&gt;0,ROUND(IN52*ReferralMix/(1-ReferralMix),0),0)</f>
        <v/>
      </c>
      <c r="IP52" s="12">
        <f>IN52+IO52</f>
        <v/>
      </c>
      <c r="IQ52" s="12">
        <f>ROUND(IP52*(1-AnnualMix),0)</f>
        <v/>
      </c>
      <c r="IR52" s="12">
        <f>IP52-IQ52</f>
        <v/>
      </c>
      <c r="IS52" s="12">
        <f>ROUND(IQ52*EssentialMix,0)</f>
        <v/>
      </c>
      <c r="IT52" s="12">
        <f>ROUND(IQ52*PremiumMix,0)</f>
        <v/>
      </c>
      <c r="IU52" s="12">
        <f>IQ52-IS52-IT52</f>
        <v/>
      </c>
      <c r="IV52" s="12">
        <f>ROUND(IR52*EssentialMix,0)</f>
        <v/>
      </c>
      <c r="IW52" s="12">
        <f>ROUND(IR52*PremiumMix,0)</f>
        <v/>
      </c>
      <c r="IX52" s="12">
        <f>IR52-IV52-IW52</f>
        <v/>
      </c>
      <c r="IY52" s="12">
        <f>IS52+IS51+IS50+MAX(0,IY51-IS51-IS50)*(1-IL52)</f>
        <v/>
      </c>
      <c r="IZ52" s="12">
        <f>IT52+IT51+IT50+MAX(0,IZ51-IT51-IT50)*(1-IL52)</f>
        <v/>
      </c>
      <c r="JA52" s="12">
        <f>IU52+IU51+IU50+MAX(0,JA51-IU51-IU50)*(1-IL52)</f>
        <v/>
      </c>
      <c r="JB52" s="12">
        <f>JB51+IV52-IV40*(AnnualChurn*VLOOKUP(IH52,ChurnSeasonTable,4,FALSE))*POWER(1-(AnnualChurn*VLOOKUP(IH52,ChurnSeasonTable,4,FALSE)),0)+IV28*(AnnualChurn*VLOOKUP(IH52,ChurnSeasonTable,4,FALSE))*POWER(1-(AnnualChurn*VLOOKUP(IH52,ChurnSeasonTable,4,FALSE)),1)+IV16*(AnnualChurn*VLOOKUP(IH52,ChurnSeasonTable,4,FALSE))*POWER(1-(AnnualChurn*VLOOKUP(IH52,ChurnSeasonTable,4,FALSE)),2)</f>
        <v/>
      </c>
      <c r="JC52" s="12">
        <f>JC51+IW52-IW40*(AnnualChurn*VLOOKUP(IH52,ChurnSeasonTable,4,FALSE))*POWER(1-(AnnualChurn*VLOOKUP(IH52,ChurnSeasonTable,4,FALSE)),0)+IW28*(AnnualChurn*VLOOKUP(IH52,ChurnSeasonTable,4,FALSE))*POWER(1-(AnnualChurn*VLOOKUP(IH52,ChurnSeasonTable,4,FALSE)),1)+IW16*(AnnualChurn*VLOOKUP(IH52,ChurnSeasonTable,4,FALSE))*POWER(1-(AnnualChurn*VLOOKUP(IH52,ChurnSeasonTable,4,FALSE)),2)</f>
        <v/>
      </c>
      <c r="JD52" s="12">
        <f>JD51+IX52-IX40*(AnnualChurn*VLOOKUP(IH52,ChurnSeasonTable,4,FALSE))*POWER(1-(AnnualChurn*VLOOKUP(IH52,ChurnSeasonTable,4,FALSE)),0)+IX28*(AnnualChurn*VLOOKUP(IH52,ChurnSeasonTable,4,FALSE))*POWER(1-(AnnualChurn*VLOOKUP(IH52,ChurnSeasonTable,4,FALSE)),1)+IX16*(AnnualChurn*VLOOKUP(IH52,ChurnSeasonTable,4,FALSE))*POWER(1-(AnnualChurn*VLOOKUP(IH52,ChurnSeasonTable,4,FALSE)),2)</f>
        <v/>
      </c>
      <c r="JE52" s="12">
        <f>IY52+IZ52+JA52+JB52+JC52+JD52</f>
        <v/>
      </c>
      <c r="JF52" s="9">
        <f>IY52*BlendedPriceEssMonthly*IK52+IZ52*BlendedPricePremMonthly*IK52+JA52*BlendedPriceEliteMonthly*IK52+JB52*BlendedPriceEssAnnual*IK52/12+JC52*BlendedPricePremAnnual*IK52/12+JD52*BlendedPriceEliteAnnual*IK52/12</f>
        <v/>
      </c>
      <c r="JG52" s="9">
        <f>JF52*12</f>
        <v/>
      </c>
      <c r="JH52" s="12">
        <f>IY52*BlendedPriceEssMonthly*IK52+IZ52*BlendedPricePremMonthly*IK52+JA52*BlendedPriceEliteMonthly*IK52</f>
        <v/>
      </c>
      <c r="JI52" s="12">
        <f>IV52*BlendedPriceEssAnnual*IK52+IW52*BlendedPricePremAnnual*IK52+IX52*BlendedPriceEliteAnnual*IK52</f>
        <v/>
      </c>
      <c r="JJ52" s="12">
        <f>IV40*POWER(1-(AnnualChurn*VLOOKUP(IH52,ChurnSeasonTable,4,FALSE)),1)*BlendedPriceEssAnnual*IK52+IV28*POWER(1-(AnnualChurn*VLOOKUP(IH52,ChurnSeasonTable,4,FALSE)),2)*BlendedPriceEssAnnual*IK52+IV16*POWER(1-(AnnualChurn*VLOOKUP(IH52,ChurnSeasonTable,4,FALSE)),3)*BlendedPriceEssAnnual*IK52+IW40*POWER(1-(AnnualChurn*VLOOKUP(IH52,ChurnSeasonTable,4,FALSE)),1)*BlendedPricePremAnnual*IK52+IW28*POWER(1-(AnnualChurn*VLOOKUP(IH52,ChurnSeasonTable,4,FALSE)),2)*BlendedPricePremAnnual*IK52+IW16*POWER(1-(AnnualChurn*VLOOKUP(IH52,ChurnSeasonTable,4,FALSE)),3)*BlendedPricePremAnnual*IK52+IX40*POWER(1-(AnnualChurn*VLOOKUP(IH52,ChurnSeasonTable,4,FALSE)),1)*BlendedPriceEliteAnnual*IK52+IX28*POWER(1-(AnnualChurn*VLOOKUP(IH52,ChurnSeasonTable,4,FALSE)),2)*BlendedPriceEliteAnnual*IK52+IX16*POWER(1-(AnnualChurn*VLOOKUP(IH52,ChurnSeasonTable,4,FALSE)),3)*BlendedPriceEliteAnnual*IK52</f>
        <v/>
      </c>
      <c r="JK52" s="9">
        <f>JH52+JI52+JJ52</f>
        <v/>
      </c>
      <c r="JL52" s="12">
        <f>SUM(JK41:JK52)</f>
        <v/>
      </c>
      <c r="JM52" s="12">
        <f>OR(JM51,IF(VATAgentMode,SUM($JK41:$JK52)-SUM($JR41:$JR52)&gt;=VATThreshold,SUM($JK41:$JK52)&gt;=VATThreshold))</f>
        <v/>
      </c>
      <c r="JN52" s="9">
        <f>IF(JM52,IF(VATAgentMode,JK52-((JK52-JR52)-(JK52-JR52)/(1+VATRate)),JK52/(1+VATRate)),JK52)</f>
        <v/>
      </c>
      <c r="JO52" s="12">
        <f>JK52-JN52</f>
        <v/>
      </c>
      <c r="JP52" s="12">
        <f>IF(JM52=0,0,IF(IH52=1,SUMPRODUCT(--(($II$5:$II52=$II52-1)*($IH$5:$IH52&gt;=10)*($IH$5:$IH52&lt;=12)),$JO$5:$JO52),IF(IH52=4,SUMPRODUCT(--(($II$5:$II52=$II52)*($IH$5:$IH52&gt;=1)*($IH$5:$IH52&lt;=3)),$JO$5:$JO52),IF(IH52=7,SUMPRODUCT(--(($II$5:$II52=$II52)*($IH$5:$IH52&gt;=4)*($IH$5:$IH52&lt;=6)),$JO$5:$JO52),IF(IH52=10,SUMPRODUCT(--(($II$5:$II52=$II52)*($IH$5:$IH52&gt;=7)*($IH$5:$IH52&lt;=9)),$JO$5:$JO52),0)))))</f>
        <v/>
      </c>
      <c r="JQ52" s="12">
        <f>JQ51+JO52-JP52</f>
        <v/>
      </c>
      <c r="JR52" s="12">
        <f>IF(ProviderDelay&gt;=1,IY51*BlendedProvPayEss+IZ51*BlendedProvPayPrem+JA51*BlendedProvPayElite+JB51*BlendedProvPayEss+JC51*BlendedProvPayPrem+JD51*BlendedProvPayElite,IY52*BlendedProvPayEss+IZ52*BlendedProvPayPrem+JA52*BlendedProvPayElite+JB52*BlendedProvPayEss+JC52*BlendedProvPayPrem+JD52*BlendedProvPayElite)</f>
        <v/>
      </c>
      <c r="JS52" s="12">
        <f>JK52*PaymentFee</f>
        <v/>
      </c>
      <c r="JT52" s="12">
        <f>JE52*OpsAI</f>
        <v/>
      </c>
      <c r="JU52" s="12">
        <f>MonthlyFixed</f>
        <v/>
      </c>
      <c r="JV52" s="12">
        <f>IO52*ReferralReward</f>
        <v/>
      </c>
      <c r="JW52" s="12">
        <f>IM52</f>
        <v/>
      </c>
      <c r="JX52" s="9">
        <f>JN52-JR52-JS52-JT52-JU52-JV52-JW52</f>
        <v/>
      </c>
      <c r="JY52" s="9">
        <f>JY51+JK52-(JR52+JS52+JT52+JU52+JV52+JW52+JP52)</f>
        <v/>
      </c>
      <c r="JZ52" s="12">
        <f>IF(JE52&gt;0,JF52/JE52,0)</f>
        <v/>
      </c>
      <c r="KA52" s="11">
        <f>IF(JE51&gt;0,MAX(0,(JE51+IP52-JE52)/JE51),0)</f>
        <v/>
      </c>
      <c r="KC52" s="12" t="n">
        <v>48</v>
      </c>
      <c r="KD52" s="12">
        <f>MOD(KC52-1+LaunchMonth-1,12)+1</f>
        <v/>
      </c>
      <c r="KE52" s="12">
        <f>INT((KC52-1+LaunchMonth-1)/12)+1</f>
        <v/>
      </c>
      <c r="KF52" s="12">
        <f>VLOOKUP(KD52,SeasonTable,2,FALSE)</f>
        <v/>
      </c>
      <c r="KG52" s="12">
        <f>(1+InflationRate)^INT((KC52-1)/12)</f>
        <v/>
      </c>
      <c r="KH52" s="11">
        <f>'Sens - Churn'!$A$16*VLOOKUP(KD52,ChurnSeasonTable,4,FALSE)</f>
        <v/>
      </c>
      <c r="KI52" s="12">
        <f>MIN(MAX(MktMin19plus,LG51*MktPct19plus),MAX(0,LU51-CashBuffer))</f>
        <v/>
      </c>
      <c r="KJ52" s="12">
        <f>IF(KI52&gt;0,MAX(1,ROUND(KI52/CAC*KF52,0)),0)</f>
        <v/>
      </c>
      <c r="KK52" s="12">
        <f>IF(KJ52&gt;0,ROUND(KJ52*ReferralMix/(1-ReferralMix),0),0)</f>
        <v/>
      </c>
      <c r="KL52" s="12">
        <f>KJ52+KK52</f>
        <v/>
      </c>
      <c r="KM52" s="12">
        <f>ROUND(KL52*(1-AnnualMix),0)</f>
        <v/>
      </c>
      <c r="KN52" s="12">
        <f>KL52-KM52</f>
        <v/>
      </c>
      <c r="KO52" s="12">
        <f>ROUND(KM52*EssentialMix,0)</f>
        <v/>
      </c>
      <c r="KP52" s="12">
        <f>ROUND(KM52*PremiumMix,0)</f>
        <v/>
      </c>
      <c r="KQ52" s="12">
        <f>KM52-KO52-KP52</f>
        <v/>
      </c>
      <c r="KR52" s="12">
        <f>ROUND(KN52*EssentialMix,0)</f>
        <v/>
      </c>
      <c r="KS52" s="12">
        <f>ROUND(KN52*PremiumMix,0)</f>
        <v/>
      </c>
      <c r="KT52" s="12">
        <f>KN52-KR52-KS52</f>
        <v/>
      </c>
      <c r="KU52" s="12">
        <f>KO52+KO51+KO50+MAX(0,KU51-KO51-KO50)*(1-KH52)</f>
        <v/>
      </c>
      <c r="KV52" s="12">
        <f>KP52+KP51+KP50+MAX(0,KV51-KP51-KP50)*(1-KH52)</f>
        <v/>
      </c>
      <c r="KW52" s="12">
        <f>KQ52+KQ51+KQ50+MAX(0,KW51-KQ51-KQ50)*(1-KH52)</f>
        <v/>
      </c>
      <c r="KX52" s="12">
        <f>KX51+KR52-KR40*(AnnualChurn*VLOOKUP(KD52,ChurnSeasonTable,4,FALSE))*POWER(1-(AnnualChurn*VLOOKUP(KD52,ChurnSeasonTable,4,FALSE)),0)+KR28*(AnnualChurn*VLOOKUP(KD52,ChurnSeasonTable,4,FALSE))*POWER(1-(AnnualChurn*VLOOKUP(KD52,ChurnSeasonTable,4,FALSE)),1)+KR16*(AnnualChurn*VLOOKUP(KD52,ChurnSeasonTable,4,FALSE))*POWER(1-(AnnualChurn*VLOOKUP(KD52,ChurnSeasonTable,4,FALSE)),2)</f>
        <v/>
      </c>
      <c r="KY52" s="12">
        <f>KY51+KS52-KS40*(AnnualChurn*VLOOKUP(KD52,ChurnSeasonTable,4,FALSE))*POWER(1-(AnnualChurn*VLOOKUP(KD52,ChurnSeasonTable,4,FALSE)),0)+KS28*(AnnualChurn*VLOOKUP(KD52,ChurnSeasonTable,4,FALSE))*POWER(1-(AnnualChurn*VLOOKUP(KD52,ChurnSeasonTable,4,FALSE)),1)+KS16*(AnnualChurn*VLOOKUP(KD52,ChurnSeasonTable,4,FALSE))*POWER(1-(AnnualChurn*VLOOKUP(KD52,ChurnSeasonTable,4,FALSE)),2)</f>
        <v/>
      </c>
      <c r="KZ52" s="12">
        <f>KZ51+KT52-KT40*(AnnualChurn*VLOOKUP(KD52,ChurnSeasonTable,4,FALSE))*POWER(1-(AnnualChurn*VLOOKUP(KD52,ChurnSeasonTable,4,FALSE)),0)+KT28*(AnnualChurn*VLOOKUP(KD52,ChurnSeasonTable,4,FALSE))*POWER(1-(AnnualChurn*VLOOKUP(KD52,ChurnSeasonTable,4,FALSE)),1)+KT16*(AnnualChurn*VLOOKUP(KD52,ChurnSeasonTable,4,FALSE))*POWER(1-(AnnualChurn*VLOOKUP(KD52,ChurnSeasonTable,4,FALSE)),2)</f>
        <v/>
      </c>
      <c r="LA52" s="12">
        <f>KU52+KV52+KW52+KX52+KY52+KZ52</f>
        <v/>
      </c>
      <c r="LB52" s="9">
        <f>KU52*BlendedPriceEssMonthly*KG52+KV52*BlendedPricePremMonthly*KG52+KW52*BlendedPriceEliteMonthly*KG52+KX52*BlendedPriceEssAnnual*KG52/12+KY52*BlendedPricePremAnnual*KG52/12+KZ52*BlendedPriceEliteAnnual*KG52/12</f>
        <v/>
      </c>
      <c r="LC52" s="9">
        <f>LB52*12</f>
        <v/>
      </c>
      <c r="LD52" s="12">
        <f>KU52*BlendedPriceEssMonthly*KG52+KV52*BlendedPricePremMonthly*KG52+KW52*BlendedPriceEliteMonthly*KG52</f>
        <v/>
      </c>
      <c r="LE52" s="12">
        <f>KR52*BlendedPriceEssAnnual*KG52+KS52*BlendedPricePremAnnual*KG52+KT52*BlendedPriceEliteAnnual*KG52</f>
        <v/>
      </c>
      <c r="LF52" s="12">
        <f>KR40*POWER(1-(AnnualChurn*VLOOKUP(KD52,ChurnSeasonTable,4,FALSE)),1)*BlendedPriceEssAnnual*KG52+KR28*POWER(1-(AnnualChurn*VLOOKUP(KD52,ChurnSeasonTable,4,FALSE)),2)*BlendedPriceEssAnnual*KG52+KR16*POWER(1-(AnnualChurn*VLOOKUP(KD52,ChurnSeasonTable,4,FALSE)),3)*BlendedPriceEssAnnual*KG52+KS40*POWER(1-(AnnualChurn*VLOOKUP(KD52,ChurnSeasonTable,4,FALSE)),1)*BlendedPricePremAnnual*KG52+KS28*POWER(1-(AnnualChurn*VLOOKUP(KD52,ChurnSeasonTable,4,FALSE)),2)*BlendedPricePremAnnual*KG52+KS16*POWER(1-(AnnualChurn*VLOOKUP(KD52,ChurnSeasonTable,4,FALSE)),3)*BlendedPricePremAnnual*KG52+KT40*POWER(1-(AnnualChurn*VLOOKUP(KD52,ChurnSeasonTable,4,FALSE)),1)*BlendedPriceEliteAnnual*KG52+KT28*POWER(1-(AnnualChurn*VLOOKUP(KD52,ChurnSeasonTable,4,FALSE)),2)*BlendedPriceEliteAnnual*KG52+KT16*POWER(1-(AnnualChurn*VLOOKUP(KD52,ChurnSeasonTable,4,FALSE)),3)*BlendedPriceEliteAnnual*KG52</f>
        <v/>
      </c>
      <c r="LG52" s="9">
        <f>LD52+LE52+LF52</f>
        <v/>
      </c>
      <c r="LH52" s="12">
        <f>SUM(LG41:LG52)</f>
        <v/>
      </c>
      <c r="LI52" s="12">
        <f>OR(LI51,IF(VATAgentMode,SUM($LG41:$LG52)-SUM($LN41:$LN52)&gt;=VATThreshold,SUM($LG41:$LG52)&gt;=VATThreshold))</f>
        <v/>
      </c>
      <c r="LJ52" s="9">
        <f>IF(LI52,IF(VATAgentMode,LG52-((LG52-LN52)-(LG52-LN52)/(1+VATRate)),LG52/(1+VATRate)),LG52)</f>
        <v/>
      </c>
      <c r="LK52" s="12">
        <f>LG52-LJ52</f>
        <v/>
      </c>
      <c r="LL52" s="12">
        <f>IF(LI52=0,0,IF(KD52=1,SUMPRODUCT(--(($KE$5:$KE52=$KE52-1)*($KD$5:$KD52&gt;=10)*($KD$5:$KD52&lt;=12)),$LK$5:$LK52),IF(KD52=4,SUMPRODUCT(--(($KE$5:$KE52=$KE52)*($KD$5:$KD52&gt;=1)*($KD$5:$KD52&lt;=3)),$LK$5:$LK52),IF(KD52=7,SUMPRODUCT(--(($KE$5:$KE52=$KE52)*($KD$5:$KD52&gt;=4)*($KD$5:$KD52&lt;=6)),$LK$5:$LK52),IF(KD52=10,SUMPRODUCT(--(($KE$5:$KE52=$KE52)*($KD$5:$KD52&gt;=7)*($KD$5:$KD52&lt;=9)),$LK$5:$LK52),0)))))</f>
        <v/>
      </c>
      <c r="LM52" s="12">
        <f>LM51+LK52-LL52</f>
        <v/>
      </c>
      <c r="LN52" s="12">
        <f>IF(ProviderDelay&gt;=1,KU51*BlendedProvPayEss+KV51*BlendedProvPayPrem+KW51*BlendedProvPayElite+KX51*BlendedProvPayEss+KY51*BlendedProvPayPrem+KZ51*BlendedProvPayElite,KU52*BlendedProvPayEss+KV52*BlendedProvPayPrem+KW52*BlendedProvPayElite+KX52*BlendedProvPayEss+KY52*BlendedProvPayPrem+KZ52*BlendedProvPayElite)</f>
        <v/>
      </c>
      <c r="LO52" s="12">
        <f>LG52*PaymentFee</f>
        <v/>
      </c>
      <c r="LP52" s="12">
        <f>LA52*OpsAI</f>
        <v/>
      </c>
      <c r="LQ52" s="12">
        <f>MonthlyFixed</f>
        <v/>
      </c>
      <c r="LR52" s="12">
        <f>KK52*ReferralReward</f>
        <v/>
      </c>
      <c r="LS52" s="12">
        <f>KI52</f>
        <v/>
      </c>
      <c r="LT52" s="9">
        <f>LJ52-LN52-LO52-LP52-LQ52-LR52-LS52</f>
        <v/>
      </c>
      <c r="LU52" s="9">
        <f>LU51+LG52-(LN52+LO52+LP52+LQ52+LR52+LS52+LL52)</f>
        <v/>
      </c>
      <c r="LV52" s="12">
        <f>IF(LA52&gt;0,LB52/LA52,0)</f>
        <v/>
      </c>
      <c r="LW52" s="11">
        <f>IF(LA51&gt;0,MAX(0,(LA51+KL52-LA52)/LA51),0)</f>
        <v/>
      </c>
      <c r="LY52" s="12" t="n">
        <v>48</v>
      </c>
      <c r="LZ52" s="12">
        <f>MOD(LY52-1+LaunchMonth-1,12)+1</f>
        <v/>
      </c>
      <c r="MA52" s="12">
        <f>INT((LY52-1+LaunchMonth-1)/12)+1</f>
        <v/>
      </c>
      <c r="MB52" s="12">
        <f>VLOOKUP(LZ52,SeasonTable,2,FALSE)</f>
        <v/>
      </c>
      <c r="MC52" s="12">
        <f>(1+InflationRate)^INT((LY52-1)/12)</f>
        <v/>
      </c>
      <c r="MD52" s="11">
        <f>'Sens - Churn'!$A$17*VLOOKUP(LZ52,ChurnSeasonTable,4,FALSE)</f>
        <v/>
      </c>
      <c r="ME52" s="12">
        <f>MIN(MAX(MktMin19plus,NC51*MktPct19plus),MAX(0,NQ51-CashBuffer))</f>
        <v/>
      </c>
      <c r="MF52" s="12">
        <f>IF(ME52&gt;0,MAX(1,ROUND(ME52/CAC*MB52,0)),0)</f>
        <v/>
      </c>
      <c r="MG52" s="12">
        <f>IF(MF52&gt;0,ROUND(MF52*ReferralMix/(1-ReferralMix),0),0)</f>
        <v/>
      </c>
      <c r="MH52" s="12">
        <f>MF52+MG52</f>
        <v/>
      </c>
      <c r="MI52" s="12">
        <f>ROUND(MH52*(1-AnnualMix),0)</f>
        <v/>
      </c>
      <c r="MJ52" s="12">
        <f>MH52-MI52</f>
        <v/>
      </c>
      <c r="MK52" s="12">
        <f>ROUND(MI52*EssentialMix,0)</f>
        <v/>
      </c>
      <c r="ML52" s="12">
        <f>ROUND(MI52*PremiumMix,0)</f>
        <v/>
      </c>
      <c r="MM52" s="12">
        <f>MI52-MK52-ML52</f>
        <v/>
      </c>
      <c r="MN52" s="12">
        <f>ROUND(MJ52*EssentialMix,0)</f>
        <v/>
      </c>
      <c r="MO52" s="12">
        <f>ROUND(MJ52*PremiumMix,0)</f>
        <v/>
      </c>
      <c r="MP52" s="12">
        <f>MJ52-MN52-MO52</f>
        <v/>
      </c>
      <c r="MQ52" s="12">
        <f>MK52+MK51+MK50+MAX(0,MQ51-MK51-MK50)*(1-MD52)</f>
        <v/>
      </c>
      <c r="MR52" s="12">
        <f>ML52+ML51+ML50+MAX(0,MR51-ML51-ML50)*(1-MD52)</f>
        <v/>
      </c>
      <c r="MS52" s="12">
        <f>MM52+MM51+MM50+MAX(0,MS51-MM51-MM50)*(1-MD52)</f>
        <v/>
      </c>
      <c r="MT52" s="12">
        <f>MT51+MN52-MN40*(AnnualChurn*VLOOKUP(LZ52,ChurnSeasonTable,4,FALSE))*POWER(1-(AnnualChurn*VLOOKUP(LZ52,ChurnSeasonTable,4,FALSE)),0)+MN28*(AnnualChurn*VLOOKUP(LZ52,ChurnSeasonTable,4,FALSE))*POWER(1-(AnnualChurn*VLOOKUP(LZ52,ChurnSeasonTable,4,FALSE)),1)+MN16*(AnnualChurn*VLOOKUP(LZ52,ChurnSeasonTable,4,FALSE))*POWER(1-(AnnualChurn*VLOOKUP(LZ52,ChurnSeasonTable,4,FALSE)),2)</f>
        <v/>
      </c>
      <c r="MU52" s="12">
        <f>MU51+MO52-MO40*(AnnualChurn*VLOOKUP(LZ52,ChurnSeasonTable,4,FALSE))*POWER(1-(AnnualChurn*VLOOKUP(LZ52,ChurnSeasonTable,4,FALSE)),0)+MO28*(AnnualChurn*VLOOKUP(LZ52,ChurnSeasonTable,4,FALSE))*POWER(1-(AnnualChurn*VLOOKUP(LZ52,ChurnSeasonTable,4,FALSE)),1)+MO16*(AnnualChurn*VLOOKUP(LZ52,ChurnSeasonTable,4,FALSE))*POWER(1-(AnnualChurn*VLOOKUP(LZ52,ChurnSeasonTable,4,FALSE)),2)</f>
        <v/>
      </c>
      <c r="MV52" s="12">
        <f>MV51+MP52-MP40*(AnnualChurn*VLOOKUP(LZ52,ChurnSeasonTable,4,FALSE))*POWER(1-(AnnualChurn*VLOOKUP(LZ52,ChurnSeasonTable,4,FALSE)),0)+MP28*(AnnualChurn*VLOOKUP(LZ52,ChurnSeasonTable,4,FALSE))*POWER(1-(AnnualChurn*VLOOKUP(LZ52,ChurnSeasonTable,4,FALSE)),1)+MP16*(AnnualChurn*VLOOKUP(LZ52,ChurnSeasonTable,4,FALSE))*POWER(1-(AnnualChurn*VLOOKUP(LZ52,ChurnSeasonTable,4,FALSE)),2)</f>
        <v/>
      </c>
      <c r="MW52" s="12">
        <f>MQ52+MR52+MS52+MT52+MU52+MV52</f>
        <v/>
      </c>
      <c r="MX52" s="9">
        <f>MQ52*BlendedPriceEssMonthly*MC52+MR52*BlendedPricePremMonthly*MC52+MS52*BlendedPriceEliteMonthly*MC52+MT52*BlendedPriceEssAnnual*MC52/12+MU52*BlendedPricePremAnnual*MC52/12+MV52*BlendedPriceEliteAnnual*MC52/12</f>
        <v/>
      </c>
      <c r="MY52" s="9">
        <f>MX52*12</f>
        <v/>
      </c>
      <c r="MZ52" s="12">
        <f>MQ52*BlendedPriceEssMonthly*MC52+MR52*BlendedPricePremMonthly*MC52+MS52*BlendedPriceEliteMonthly*MC52</f>
        <v/>
      </c>
      <c r="NA52" s="12">
        <f>MN52*BlendedPriceEssAnnual*MC52+MO52*BlendedPricePremAnnual*MC52+MP52*BlendedPriceEliteAnnual*MC52</f>
        <v/>
      </c>
      <c r="NB52" s="12">
        <f>MN40*POWER(1-(AnnualChurn*VLOOKUP(LZ52,ChurnSeasonTable,4,FALSE)),1)*BlendedPriceEssAnnual*MC52+MN28*POWER(1-(AnnualChurn*VLOOKUP(LZ52,ChurnSeasonTable,4,FALSE)),2)*BlendedPriceEssAnnual*MC52+MN16*POWER(1-(AnnualChurn*VLOOKUP(LZ52,ChurnSeasonTable,4,FALSE)),3)*BlendedPriceEssAnnual*MC52+MO40*POWER(1-(AnnualChurn*VLOOKUP(LZ52,ChurnSeasonTable,4,FALSE)),1)*BlendedPricePremAnnual*MC52+MO28*POWER(1-(AnnualChurn*VLOOKUP(LZ52,ChurnSeasonTable,4,FALSE)),2)*BlendedPricePremAnnual*MC52+MO16*POWER(1-(AnnualChurn*VLOOKUP(LZ52,ChurnSeasonTable,4,FALSE)),3)*BlendedPricePremAnnual*MC52+MP40*POWER(1-(AnnualChurn*VLOOKUP(LZ52,ChurnSeasonTable,4,FALSE)),1)*BlendedPriceEliteAnnual*MC52+MP28*POWER(1-(AnnualChurn*VLOOKUP(LZ52,ChurnSeasonTable,4,FALSE)),2)*BlendedPriceEliteAnnual*MC52+MP16*POWER(1-(AnnualChurn*VLOOKUP(LZ52,ChurnSeasonTable,4,FALSE)),3)*BlendedPriceEliteAnnual*MC52</f>
        <v/>
      </c>
      <c r="NC52" s="9">
        <f>MZ52+NA52+NB52</f>
        <v/>
      </c>
      <c r="ND52" s="12">
        <f>SUM(NC41:NC52)</f>
        <v/>
      </c>
      <c r="NE52" s="12">
        <f>OR(NE51,IF(VATAgentMode,SUM($NC41:$NC52)-SUM($NJ41:$NJ52)&gt;=VATThreshold,SUM($NC41:$NC52)&gt;=VATThreshold))</f>
        <v/>
      </c>
      <c r="NF52" s="9">
        <f>IF(NE52,IF(VATAgentMode,NC52-((NC52-NJ52)-(NC52-NJ52)/(1+VATRate)),NC52/(1+VATRate)),NC52)</f>
        <v/>
      </c>
      <c r="NG52" s="12">
        <f>NC52-NF52</f>
        <v/>
      </c>
      <c r="NH52" s="12">
        <f>IF(NE52=0,0,IF(LZ52=1,SUMPRODUCT(--(($MA$5:$MA52=$MA52-1)*($LZ$5:$LZ52&gt;=10)*($LZ$5:$LZ52&lt;=12)),$NG$5:$NG52),IF(LZ52=4,SUMPRODUCT(--(($MA$5:$MA52=$MA52)*($LZ$5:$LZ52&gt;=1)*($LZ$5:$LZ52&lt;=3)),$NG$5:$NG52),IF(LZ52=7,SUMPRODUCT(--(($MA$5:$MA52=$MA52)*($LZ$5:$LZ52&gt;=4)*($LZ$5:$LZ52&lt;=6)),$NG$5:$NG52),IF(LZ52=10,SUMPRODUCT(--(($MA$5:$MA52=$MA52)*($LZ$5:$LZ52&gt;=7)*($LZ$5:$LZ52&lt;=9)),$NG$5:$NG52),0)))))</f>
        <v/>
      </c>
      <c r="NI52" s="12">
        <f>NI51+NG52-NH52</f>
        <v/>
      </c>
      <c r="NJ52" s="12">
        <f>IF(ProviderDelay&gt;=1,MQ51*BlendedProvPayEss+MR51*BlendedProvPayPrem+MS51*BlendedProvPayElite+MT51*BlendedProvPayEss+MU51*BlendedProvPayPrem+MV51*BlendedProvPayElite,MQ52*BlendedProvPayEss+MR52*BlendedProvPayPrem+MS52*BlendedProvPayElite+MT52*BlendedProvPayEss+MU52*BlendedProvPayPrem+MV52*BlendedProvPayElite)</f>
        <v/>
      </c>
      <c r="NK52" s="12">
        <f>NC52*PaymentFee</f>
        <v/>
      </c>
      <c r="NL52" s="12">
        <f>MW52*OpsAI</f>
        <v/>
      </c>
      <c r="NM52" s="12">
        <f>MonthlyFixed</f>
        <v/>
      </c>
      <c r="NN52" s="12">
        <f>MG52*ReferralReward</f>
        <v/>
      </c>
      <c r="NO52" s="12">
        <f>ME52</f>
        <v/>
      </c>
      <c r="NP52" s="9">
        <f>NF52-NJ52-NK52-NL52-NM52-NN52-NO52</f>
        <v/>
      </c>
      <c r="NQ52" s="9">
        <f>NQ51+NC52-(NJ52+NK52+NL52+NM52+NN52+NO52+NH52)</f>
        <v/>
      </c>
      <c r="NR52" s="12">
        <f>IF(MW52&gt;0,MX52/MW52,0)</f>
        <v/>
      </c>
      <c r="NS52" s="11">
        <f>IF(MW51&gt;0,MAX(0,(MW51+MH52-MW52)/MW51),0)</f>
        <v/>
      </c>
      <c r="NU52" s="12" t="n">
        <v>48</v>
      </c>
      <c r="NV52" s="12">
        <f>MOD(NU52-1+LaunchMonth-1,12)+1</f>
        <v/>
      </c>
      <c r="NW52" s="12">
        <f>INT((NU52-1+LaunchMonth-1)/12)+1</f>
        <v/>
      </c>
      <c r="NX52" s="12">
        <f>VLOOKUP(NV52,SeasonTable,2,FALSE)</f>
        <v/>
      </c>
      <c r="NY52" s="12">
        <f>(1+InflationRate)^INT((NU52-1)/12)</f>
        <v/>
      </c>
      <c r="NZ52" s="11">
        <f>'Sens - Churn'!$A$18*VLOOKUP(NV52,ChurnSeasonTable,4,FALSE)</f>
        <v/>
      </c>
      <c r="OA52" s="12">
        <f>MIN(MAX(MktMin19plus,OY51*MktPct19plus),MAX(0,PM51-CashBuffer))</f>
        <v/>
      </c>
      <c r="OB52" s="12">
        <f>IF(OA52&gt;0,MAX(1,ROUND(OA52/CAC*NX52,0)),0)</f>
        <v/>
      </c>
      <c r="OC52" s="12">
        <f>IF(OB52&gt;0,ROUND(OB52*ReferralMix/(1-ReferralMix),0),0)</f>
        <v/>
      </c>
      <c r="OD52" s="12">
        <f>OB52+OC52</f>
        <v/>
      </c>
      <c r="OE52" s="12">
        <f>ROUND(OD52*(1-AnnualMix),0)</f>
        <v/>
      </c>
      <c r="OF52" s="12">
        <f>OD52-OE52</f>
        <v/>
      </c>
      <c r="OG52" s="12">
        <f>ROUND(OE52*EssentialMix,0)</f>
        <v/>
      </c>
      <c r="OH52" s="12">
        <f>ROUND(OE52*PremiumMix,0)</f>
        <v/>
      </c>
      <c r="OI52" s="12">
        <f>OE52-OG52-OH52</f>
        <v/>
      </c>
      <c r="OJ52" s="12">
        <f>ROUND(OF52*EssentialMix,0)</f>
        <v/>
      </c>
      <c r="OK52" s="12">
        <f>ROUND(OF52*PremiumMix,0)</f>
        <v/>
      </c>
      <c r="OL52" s="12">
        <f>OF52-OJ52-OK52</f>
        <v/>
      </c>
      <c r="OM52" s="12">
        <f>OG52+OG51+OG50+MAX(0,OM51-OG51-OG50)*(1-NZ52)</f>
        <v/>
      </c>
      <c r="ON52" s="12">
        <f>OH52+OH51+OH50+MAX(0,ON51-OH51-OH50)*(1-NZ52)</f>
        <v/>
      </c>
      <c r="OO52" s="12">
        <f>OI52+OI51+OI50+MAX(0,OO51-OI51-OI50)*(1-NZ52)</f>
        <v/>
      </c>
      <c r="OP52" s="12">
        <f>OP51+OJ52-OJ40*(AnnualChurn*VLOOKUP(NV52,ChurnSeasonTable,4,FALSE))*POWER(1-(AnnualChurn*VLOOKUP(NV52,ChurnSeasonTable,4,FALSE)),0)+OJ28*(AnnualChurn*VLOOKUP(NV52,ChurnSeasonTable,4,FALSE))*POWER(1-(AnnualChurn*VLOOKUP(NV52,ChurnSeasonTable,4,FALSE)),1)+OJ16*(AnnualChurn*VLOOKUP(NV52,ChurnSeasonTable,4,FALSE))*POWER(1-(AnnualChurn*VLOOKUP(NV52,ChurnSeasonTable,4,FALSE)),2)</f>
        <v/>
      </c>
      <c r="OQ52" s="12">
        <f>OQ51+OK52-OK40*(AnnualChurn*VLOOKUP(NV52,ChurnSeasonTable,4,FALSE))*POWER(1-(AnnualChurn*VLOOKUP(NV52,ChurnSeasonTable,4,FALSE)),0)+OK28*(AnnualChurn*VLOOKUP(NV52,ChurnSeasonTable,4,FALSE))*POWER(1-(AnnualChurn*VLOOKUP(NV52,ChurnSeasonTable,4,FALSE)),1)+OK16*(AnnualChurn*VLOOKUP(NV52,ChurnSeasonTable,4,FALSE))*POWER(1-(AnnualChurn*VLOOKUP(NV52,ChurnSeasonTable,4,FALSE)),2)</f>
        <v/>
      </c>
      <c r="OR52" s="12">
        <f>OR51+OL52-OL40*(AnnualChurn*VLOOKUP(NV52,ChurnSeasonTable,4,FALSE))*POWER(1-(AnnualChurn*VLOOKUP(NV52,ChurnSeasonTable,4,FALSE)),0)+OL28*(AnnualChurn*VLOOKUP(NV52,ChurnSeasonTable,4,FALSE))*POWER(1-(AnnualChurn*VLOOKUP(NV52,ChurnSeasonTable,4,FALSE)),1)+OL16*(AnnualChurn*VLOOKUP(NV52,ChurnSeasonTable,4,FALSE))*POWER(1-(AnnualChurn*VLOOKUP(NV52,ChurnSeasonTable,4,FALSE)),2)</f>
        <v/>
      </c>
      <c r="OS52" s="12">
        <f>OM52+ON52+OO52+OP52+OQ52+OR52</f>
        <v/>
      </c>
      <c r="OT52" s="9">
        <f>OM52*BlendedPriceEssMonthly*NY52+ON52*BlendedPricePremMonthly*NY52+OO52*BlendedPriceEliteMonthly*NY52+OP52*BlendedPriceEssAnnual*NY52/12+OQ52*BlendedPricePremAnnual*NY52/12+OR52*BlendedPriceEliteAnnual*NY52/12</f>
        <v/>
      </c>
      <c r="OU52" s="9">
        <f>OT52*12</f>
        <v/>
      </c>
      <c r="OV52" s="12">
        <f>OM52*BlendedPriceEssMonthly*NY52+ON52*BlendedPricePremMonthly*NY52+OO52*BlendedPriceEliteMonthly*NY52</f>
        <v/>
      </c>
      <c r="OW52" s="12">
        <f>OJ52*BlendedPriceEssAnnual*NY52+OK52*BlendedPricePremAnnual*NY52+OL52*BlendedPriceEliteAnnual*NY52</f>
        <v/>
      </c>
      <c r="OX52" s="12">
        <f>OJ40*POWER(1-(AnnualChurn*VLOOKUP(NV52,ChurnSeasonTable,4,FALSE)),1)*BlendedPriceEssAnnual*NY52+OJ28*POWER(1-(AnnualChurn*VLOOKUP(NV52,ChurnSeasonTable,4,FALSE)),2)*BlendedPriceEssAnnual*NY52+OJ16*POWER(1-(AnnualChurn*VLOOKUP(NV52,ChurnSeasonTable,4,FALSE)),3)*BlendedPriceEssAnnual*NY52+OK40*POWER(1-(AnnualChurn*VLOOKUP(NV52,ChurnSeasonTable,4,FALSE)),1)*BlendedPricePremAnnual*NY52+OK28*POWER(1-(AnnualChurn*VLOOKUP(NV52,ChurnSeasonTable,4,FALSE)),2)*BlendedPricePremAnnual*NY52+OK16*POWER(1-(AnnualChurn*VLOOKUP(NV52,ChurnSeasonTable,4,FALSE)),3)*BlendedPricePremAnnual*NY52+OL40*POWER(1-(AnnualChurn*VLOOKUP(NV52,ChurnSeasonTable,4,FALSE)),1)*BlendedPriceEliteAnnual*NY52+OL28*POWER(1-(AnnualChurn*VLOOKUP(NV52,ChurnSeasonTable,4,FALSE)),2)*BlendedPriceEliteAnnual*NY52+OL16*POWER(1-(AnnualChurn*VLOOKUP(NV52,ChurnSeasonTable,4,FALSE)),3)*BlendedPriceEliteAnnual*NY52</f>
        <v/>
      </c>
      <c r="OY52" s="9">
        <f>OV52+OW52+OX52</f>
        <v/>
      </c>
      <c r="OZ52" s="12">
        <f>SUM(OY41:OY52)</f>
        <v/>
      </c>
      <c r="PA52" s="12">
        <f>OR(PA51,IF(VATAgentMode,SUM($OY41:$OY52)-SUM($PF41:$PF52)&gt;=VATThreshold,SUM($OY41:$OY52)&gt;=VATThreshold))</f>
        <v/>
      </c>
      <c r="PB52" s="9">
        <f>IF(PA52,IF(VATAgentMode,OY52-((OY52-PF52)-(OY52-PF52)/(1+VATRate)),OY52/(1+VATRate)),OY52)</f>
        <v/>
      </c>
      <c r="PC52" s="12">
        <f>OY52-PB52</f>
        <v/>
      </c>
      <c r="PD52" s="12">
        <f>IF(PA52=0,0,IF(NV52=1,SUMPRODUCT(--(($NW$5:$NW52=$NW52-1)*($NV$5:$NV52&gt;=10)*($NV$5:$NV52&lt;=12)),$PC$5:$PC52),IF(NV52=4,SUMPRODUCT(--(($NW$5:$NW52=$NW52)*($NV$5:$NV52&gt;=1)*($NV$5:$NV52&lt;=3)),$PC$5:$PC52),IF(NV52=7,SUMPRODUCT(--(($NW$5:$NW52=$NW52)*($NV$5:$NV52&gt;=4)*($NV$5:$NV52&lt;=6)),$PC$5:$PC52),IF(NV52=10,SUMPRODUCT(--(($NW$5:$NW52=$NW52)*($NV$5:$NV52&gt;=7)*($NV$5:$NV52&lt;=9)),$PC$5:$PC52),0)))))</f>
        <v/>
      </c>
      <c r="PE52" s="12">
        <f>PE51+PC52-PD52</f>
        <v/>
      </c>
      <c r="PF52" s="12">
        <f>IF(ProviderDelay&gt;=1,OM51*BlendedProvPayEss+ON51*BlendedProvPayPrem+OO51*BlendedProvPayElite+OP51*BlendedProvPayEss+OQ51*BlendedProvPayPrem+OR51*BlendedProvPayElite,OM52*BlendedProvPayEss+ON52*BlendedProvPayPrem+OO52*BlendedProvPayElite+OP52*BlendedProvPayEss+OQ52*BlendedProvPayPrem+OR52*BlendedProvPayElite)</f>
        <v/>
      </c>
      <c r="PG52" s="12">
        <f>OY52*PaymentFee</f>
        <v/>
      </c>
      <c r="PH52" s="12">
        <f>OS52*OpsAI</f>
        <v/>
      </c>
      <c r="PI52" s="12">
        <f>MonthlyFixed</f>
        <v/>
      </c>
      <c r="PJ52" s="12">
        <f>OC52*ReferralReward</f>
        <v/>
      </c>
      <c r="PK52" s="12">
        <f>OA52</f>
        <v/>
      </c>
      <c r="PL52" s="9">
        <f>PB52-PF52-PG52-PH52-PI52-PJ52-PK52</f>
        <v/>
      </c>
      <c r="PM52" s="9">
        <f>PM51+OY52-(PF52+PG52+PH52+PI52+PJ52+PK52+PD52)</f>
        <v/>
      </c>
      <c r="PN52" s="12">
        <f>IF(OS52&gt;0,OT52/OS52,0)</f>
        <v/>
      </c>
      <c r="PO52" s="11">
        <f>IF(OS51&gt;0,MAX(0,(OS51+OD52-OS52)/OS51),0)</f>
        <v/>
      </c>
      <c r="PQ52" s="12" t="n">
        <v>48</v>
      </c>
      <c r="PR52" s="12">
        <f>MOD(PQ52-1+LaunchMonth-1,12)+1</f>
        <v/>
      </c>
      <c r="PS52" s="12">
        <f>INT((PQ52-1+LaunchMonth-1)/12)+1</f>
        <v/>
      </c>
      <c r="PT52" s="12">
        <f>VLOOKUP(PR52,SeasonTable,2,FALSE)</f>
        <v/>
      </c>
      <c r="PU52" s="12">
        <f>(1+InflationRate)^INT((PQ52-1)/12)</f>
        <v/>
      </c>
      <c r="PV52" s="11">
        <f>'Sens - Churn'!$A$19*VLOOKUP(PR52,ChurnSeasonTable,4,FALSE)</f>
        <v/>
      </c>
      <c r="PW52" s="12">
        <f>MIN(MAX(MktMin19plus,QU51*MktPct19plus),MAX(0,RI51-CashBuffer))</f>
        <v/>
      </c>
      <c r="PX52" s="12">
        <f>IF(PW52&gt;0,MAX(1,ROUND(PW52/CAC*PT52,0)),0)</f>
        <v/>
      </c>
      <c r="PY52" s="12">
        <f>IF(PX52&gt;0,ROUND(PX52*ReferralMix/(1-ReferralMix),0),0)</f>
        <v/>
      </c>
      <c r="PZ52" s="12">
        <f>PX52+PY52</f>
        <v/>
      </c>
      <c r="QA52" s="12">
        <f>ROUND(PZ52*(1-AnnualMix),0)</f>
        <v/>
      </c>
      <c r="QB52" s="12">
        <f>PZ52-QA52</f>
        <v/>
      </c>
      <c r="QC52" s="12">
        <f>ROUND(QA52*EssentialMix,0)</f>
        <v/>
      </c>
      <c r="QD52" s="12">
        <f>ROUND(QA52*PremiumMix,0)</f>
        <v/>
      </c>
      <c r="QE52" s="12">
        <f>QA52-QC52-QD52</f>
        <v/>
      </c>
      <c r="QF52" s="12">
        <f>ROUND(QB52*EssentialMix,0)</f>
        <v/>
      </c>
      <c r="QG52" s="12">
        <f>ROUND(QB52*PremiumMix,0)</f>
        <v/>
      </c>
      <c r="QH52" s="12">
        <f>QB52-QF52-QG52</f>
        <v/>
      </c>
      <c r="QI52" s="12">
        <f>QC52+QC51+QC50+MAX(0,QI51-QC51-QC50)*(1-PV52)</f>
        <v/>
      </c>
      <c r="QJ52" s="12">
        <f>QD52+QD51+QD50+MAX(0,QJ51-QD51-QD50)*(1-PV52)</f>
        <v/>
      </c>
      <c r="QK52" s="12">
        <f>QE52+QE51+QE50+MAX(0,QK51-QE51-QE50)*(1-PV52)</f>
        <v/>
      </c>
      <c r="QL52" s="12">
        <f>QL51+QF52-QF40*(AnnualChurn*VLOOKUP(PR52,ChurnSeasonTable,4,FALSE))*POWER(1-(AnnualChurn*VLOOKUP(PR52,ChurnSeasonTable,4,FALSE)),0)+QF28*(AnnualChurn*VLOOKUP(PR52,ChurnSeasonTable,4,FALSE))*POWER(1-(AnnualChurn*VLOOKUP(PR52,ChurnSeasonTable,4,FALSE)),1)+QF16*(AnnualChurn*VLOOKUP(PR52,ChurnSeasonTable,4,FALSE))*POWER(1-(AnnualChurn*VLOOKUP(PR52,ChurnSeasonTable,4,FALSE)),2)</f>
        <v/>
      </c>
      <c r="QM52" s="12">
        <f>QM51+QG52-QG40*(AnnualChurn*VLOOKUP(PR52,ChurnSeasonTable,4,FALSE))*POWER(1-(AnnualChurn*VLOOKUP(PR52,ChurnSeasonTable,4,FALSE)),0)+QG28*(AnnualChurn*VLOOKUP(PR52,ChurnSeasonTable,4,FALSE))*POWER(1-(AnnualChurn*VLOOKUP(PR52,ChurnSeasonTable,4,FALSE)),1)+QG16*(AnnualChurn*VLOOKUP(PR52,ChurnSeasonTable,4,FALSE))*POWER(1-(AnnualChurn*VLOOKUP(PR52,ChurnSeasonTable,4,FALSE)),2)</f>
        <v/>
      </c>
      <c r="QN52" s="12">
        <f>QN51+QH52-QH40*(AnnualChurn*VLOOKUP(PR52,ChurnSeasonTable,4,FALSE))*POWER(1-(AnnualChurn*VLOOKUP(PR52,ChurnSeasonTable,4,FALSE)),0)+QH28*(AnnualChurn*VLOOKUP(PR52,ChurnSeasonTable,4,FALSE))*POWER(1-(AnnualChurn*VLOOKUP(PR52,ChurnSeasonTable,4,FALSE)),1)+QH16*(AnnualChurn*VLOOKUP(PR52,ChurnSeasonTable,4,FALSE))*POWER(1-(AnnualChurn*VLOOKUP(PR52,ChurnSeasonTable,4,FALSE)),2)</f>
        <v/>
      </c>
      <c r="QO52" s="12">
        <f>QI52+QJ52+QK52+QL52+QM52+QN52</f>
        <v/>
      </c>
      <c r="QP52" s="9">
        <f>QI52*BlendedPriceEssMonthly*PU52+QJ52*BlendedPricePremMonthly*PU52+QK52*BlendedPriceEliteMonthly*PU52+QL52*BlendedPriceEssAnnual*PU52/12+QM52*BlendedPricePremAnnual*PU52/12+QN52*BlendedPriceEliteAnnual*PU52/12</f>
        <v/>
      </c>
      <c r="QQ52" s="9">
        <f>QP52*12</f>
        <v/>
      </c>
      <c r="QR52" s="12">
        <f>QI52*BlendedPriceEssMonthly*PU52+QJ52*BlendedPricePremMonthly*PU52+QK52*BlendedPriceEliteMonthly*PU52</f>
        <v/>
      </c>
      <c r="QS52" s="12">
        <f>QF52*BlendedPriceEssAnnual*PU52+QG52*BlendedPricePremAnnual*PU52+QH52*BlendedPriceEliteAnnual*PU52</f>
        <v/>
      </c>
      <c r="QT52" s="12">
        <f>QF40*POWER(1-(AnnualChurn*VLOOKUP(PR52,ChurnSeasonTable,4,FALSE)),1)*BlendedPriceEssAnnual*PU52+QF28*POWER(1-(AnnualChurn*VLOOKUP(PR52,ChurnSeasonTable,4,FALSE)),2)*BlendedPriceEssAnnual*PU52+QF16*POWER(1-(AnnualChurn*VLOOKUP(PR52,ChurnSeasonTable,4,FALSE)),3)*BlendedPriceEssAnnual*PU52+QG40*POWER(1-(AnnualChurn*VLOOKUP(PR52,ChurnSeasonTable,4,FALSE)),1)*BlendedPricePremAnnual*PU52+QG28*POWER(1-(AnnualChurn*VLOOKUP(PR52,ChurnSeasonTable,4,FALSE)),2)*BlendedPricePremAnnual*PU52+QG16*POWER(1-(AnnualChurn*VLOOKUP(PR52,ChurnSeasonTable,4,FALSE)),3)*BlendedPricePremAnnual*PU52+QH40*POWER(1-(AnnualChurn*VLOOKUP(PR52,ChurnSeasonTable,4,FALSE)),1)*BlendedPriceEliteAnnual*PU52+QH28*POWER(1-(AnnualChurn*VLOOKUP(PR52,ChurnSeasonTable,4,FALSE)),2)*BlendedPriceEliteAnnual*PU52+QH16*POWER(1-(AnnualChurn*VLOOKUP(PR52,ChurnSeasonTable,4,FALSE)),3)*BlendedPriceEliteAnnual*PU52</f>
        <v/>
      </c>
      <c r="QU52" s="9">
        <f>QR52+QS52+QT52</f>
        <v/>
      </c>
      <c r="QV52" s="12">
        <f>SUM(QU41:QU52)</f>
        <v/>
      </c>
      <c r="QW52" s="12">
        <f>OR(QW51,IF(VATAgentMode,SUM($QU41:$QU52)-SUM($RB41:$RB52)&gt;=VATThreshold,SUM($QU41:$QU52)&gt;=VATThreshold))</f>
        <v/>
      </c>
      <c r="QX52" s="9">
        <f>IF(QW52,IF(VATAgentMode,QU52-((QU52-RB52)-(QU52-RB52)/(1+VATRate)),QU52/(1+VATRate)),QU52)</f>
        <v/>
      </c>
      <c r="QY52" s="12">
        <f>QU52-QX52</f>
        <v/>
      </c>
      <c r="QZ52" s="12">
        <f>IF(QW52=0,0,IF(PR52=1,SUMPRODUCT(--(($PS$5:$PS52=$PS52-1)*($PR$5:$PR52&gt;=10)*($PR$5:$PR52&lt;=12)),$QY$5:$QY52),IF(PR52=4,SUMPRODUCT(--(($PS$5:$PS52=$PS52)*($PR$5:$PR52&gt;=1)*($PR$5:$PR52&lt;=3)),$QY$5:$QY52),IF(PR52=7,SUMPRODUCT(--(($PS$5:$PS52=$PS52)*($PR$5:$PR52&gt;=4)*($PR$5:$PR52&lt;=6)),$QY$5:$QY52),IF(PR52=10,SUMPRODUCT(--(($PS$5:$PS52=$PS52)*($PR$5:$PR52&gt;=7)*($PR$5:$PR52&lt;=9)),$QY$5:$QY52),0)))))</f>
        <v/>
      </c>
      <c r="RA52" s="12">
        <f>RA51+QY52-QZ52</f>
        <v/>
      </c>
      <c r="RB52" s="12">
        <f>IF(ProviderDelay&gt;=1,QI51*BlendedProvPayEss+QJ51*BlendedProvPayPrem+QK51*BlendedProvPayElite+QL51*BlendedProvPayEss+QM51*BlendedProvPayPrem+QN51*BlendedProvPayElite,QI52*BlendedProvPayEss+QJ52*BlendedProvPayPrem+QK52*BlendedProvPayElite+QL52*BlendedProvPayEss+QM52*BlendedProvPayPrem+QN52*BlendedProvPayElite)</f>
        <v/>
      </c>
      <c r="RC52" s="12">
        <f>QU52*PaymentFee</f>
        <v/>
      </c>
      <c r="RD52" s="12">
        <f>QO52*OpsAI</f>
        <v/>
      </c>
      <c r="RE52" s="12">
        <f>MonthlyFixed</f>
        <v/>
      </c>
      <c r="RF52" s="12">
        <f>PY52*ReferralReward</f>
        <v/>
      </c>
      <c r="RG52" s="12">
        <f>PW52</f>
        <v/>
      </c>
      <c r="RH52" s="9">
        <f>QX52-RB52-RC52-RD52-RE52-RF52-RG52</f>
        <v/>
      </c>
      <c r="RI52" s="9">
        <f>RI51+QU52-(RB52+RC52+RD52+RE52+RF52+RG52+QZ52)</f>
        <v/>
      </c>
      <c r="RJ52" s="12">
        <f>IF(QO52&gt;0,QP52/QO52,0)</f>
        <v/>
      </c>
      <c r="RK52" s="11">
        <f>IF(QO51&gt;0,MAX(0,(QO51+PZ52-QO52)/QO51),0)</f>
        <v/>
      </c>
      <c r="RM52" s="12" t="n">
        <v>48</v>
      </c>
      <c r="RN52" s="12">
        <f>MOD(RM52-1+LaunchMonth-1,12)+1</f>
        <v/>
      </c>
      <c r="RO52" s="12">
        <f>INT((RM52-1+LaunchMonth-1)/12)+1</f>
        <v/>
      </c>
      <c r="RP52" s="12">
        <f>VLOOKUP(RN52,SeasonTable,2,FALSE)</f>
        <v/>
      </c>
      <c r="RQ52" s="12">
        <f>(1+InflationRate)^INT((RM52-1)/12)</f>
        <v/>
      </c>
      <c r="RR52" s="11">
        <f>'Sens - Churn'!$A$20*VLOOKUP(RN52,ChurnSeasonTable,4,FALSE)</f>
        <v/>
      </c>
      <c r="RS52" s="12">
        <f>MIN(MAX(MktMin19plus,SQ51*MktPct19plus),MAX(0,TE51-CashBuffer))</f>
        <v/>
      </c>
      <c r="RT52" s="12">
        <f>IF(RS52&gt;0,MAX(1,ROUND(RS52/CAC*RP52,0)),0)</f>
        <v/>
      </c>
      <c r="RU52" s="12">
        <f>IF(RT52&gt;0,ROUND(RT52*ReferralMix/(1-ReferralMix),0),0)</f>
        <v/>
      </c>
      <c r="RV52" s="12">
        <f>RT52+RU52</f>
        <v/>
      </c>
      <c r="RW52" s="12">
        <f>ROUND(RV52*(1-AnnualMix),0)</f>
        <v/>
      </c>
      <c r="RX52" s="12">
        <f>RV52-RW52</f>
        <v/>
      </c>
      <c r="RY52" s="12">
        <f>ROUND(RW52*EssentialMix,0)</f>
        <v/>
      </c>
      <c r="RZ52" s="12">
        <f>ROUND(RW52*PremiumMix,0)</f>
        <v/>
      </c>
      <c r="SA52" s="12">
        <f>RW52-RY52-RZ52</f>
        <v/>
      </c>
      <c r="SB52" s="12">
        <f>ROUND(RX52*EssentialMix,0)</f>
        <v/>
      </c>
      <c r="SC52" s="12">
        <f>ROUND(RX52*PremiumMix,0)</f>
        <v/>
      </c>
      <c r="SD52" s="12">
        <f>RX52-SB52-SC52</f>
        <v/>
      </c>
      <c r="SE52" s="12">
        <f>RY52+RY51+RY50+MAX(0,SE51-RY51-RY50)*(1-RR52)</f>
        <v/>
      </c>
      <c r="SF52" s="12">
        <f>RZ52+RZ51+RZ50+MAX(0,SF51-RZ51-RZ50)*(1-RR52)</f>
        <v/>
      </c>
      <c r="SG52" s="12">
        <f>SA52+SA51+SA50+MAX(0,SG51-SA51-SA50)*(1-RR52)</f>
        <v/>
      </c>
      <c r="SH52" s="12">
        <f>SH51+SB52-SB40*(AnnualChurn*VLOOKUP(RN52,ChurnSeasonTable,4,FALSE))*POWER(1-(AnnualChurn*VLOOKUP(RN52,ChurnSeasonTable,4,FALSE)),0)+SB28*(AnnualChurn*VLOOKUP(RN52,ChurnSeasonTable,4,FALSE))*POWER(1-(AnnualChurn*VLOOKUP(RN52,ChurnSeasonTable,4,FALSE)),1)+SB16*(AnnualChurn*VLOOKUP(RN52,ChurnSeasonTable,4,FALSE))*POWER(1-(AnnualChurn*VLOOKUP(RN52,ChurnSeasonTable,4,FALSE)),2)</f>
        <v/>
      </c>
      <c r="SI52" s="12">
        <f>SI51+SC52-SC40*(AnnualChurn*VLOOKUP(RN52,ChurnSeasonTable,4,FALSE))*POWER(1-(AnnualChurn*VLOOKUP(RN52,ChurnSeasonTable,4,FALSE)),0)+SC28*(AnnualChurn*VLOOKUP(RN52,ChurnSeasonTable,4,FALSE))*POWER(1-(AnnualChurn*VLOOKUP(RN52,ChurnSeasonTable,4,FALSE)),1)+SC16*(AnnualChurn*VLOOKUP(RN52,ChurnSeasonTable,4,FALSE))*POWER(1-(AnnualChurn*VLOOKUP(RN52,ChurnSeasonTable,4,FALSE)),2)</f>
        <v/>
      </c>
      <c r="SJ52" s="12">
        <f>SJ51+SD52-SD40*(AnnualChurn*VLOOKUP(RN52,ChurnSeasonTable,4,FALSE))*POWER(1-(AnnualChurn*VLOOKUP(RN52,ChurnSeasonTable,4,FALSE)),0)+SD28*(AnnualChurn*VLOOKUP(RN52,ChurnSeasonTable,4,FALSE))*POWER(1-(AnnualChurn*VLOOKUP(RN52,ChurnSeasonTable,4,FALSE)),1)+SD16*(AnnualChurn*VLOOKUP(RN52,ChurnSeasonTable,4,FALSE))*POWER(1-(AnnualChurn*VLOOKUP(RN52,ChurnSeasonTable,4,FALSE)),2)</f>
        <v/>
      </c>
      <c r="SK52" s="12">
        <f>SE52+SF52+SG52+SH52+SI52+SJ52</f>
        <v/>
      </c>
      <c r="SL52" s="9">
        <f>SE52*BlendedPriceEssMonthly*RQ52+SF52*BlendedPricePremMonthly*RQ52+SG52*BlendedPriceEliteMonthly*RQ52+SH52*BlendedPriceEssAnnual*RQ52/12+SI52*BlendedPricePremAnnual*RQ52/12+SJ52*BlendedPriceEliteAnnual*RQ52/12</f>
        <v/>
      </c>
      <c r="SM52" s="9">
        <f>SL52*12</f>
        <v/>
      </c>
      <c r="SN52" s="12">
        <f>SE52*BlendedPriceEssMonthly*RQ52+SF52*BlendedPricePremMonthly*RQ52+SG52*BlendedPriceEliteMonthly*RQ52</f>
        <v/>
      </c>
      <c r="SO52" s="12">
        <f>SB52*BlendedPriceEssAnnual*RQ52+SC52*BlendedPricePremAnnual*RQ52+SD52*BlendedPriceEliteAnnual*RQ52</f>
        <v/>
      </c>
      <c r="SP52" s="12">
        <f>SB40*POWER(1-(AnnualChurn*VLOOKUP(RN52,ChurnSeasonTable,4,FALSE)),1)*BlendedPriceEssAnnual*RQ52+SB28*POWER(1-(AnnualChurn*VLOOKUP(RN52,ChurnSeasonTable,4,FALSE)),2)*BlendedPriceEssAnnual*RQ52+SB16*POWER(1-(AnnualChurn*VLOOKUP(RN52,ChurnSeasonTable,4,FALSE)),3)*BlendedPriceEssAnnual*RQ52+SC40*POWER(1-(AnnualChurn*VLOOKUP(RN52,ChurnSeasonTable,4,FALSE)),1)*BlendedPricePremAnnual*RQ52+SC28*POWER(1-(AnnualChurn*VLOOKUP(RN52,ChurnSeasonTable,4,FALSE)),2)*BlendedPricePremAnnual*RQ52+SC16*POWER(1-(AnnualChurn*VLOOKUP(RN52,ChurnSeasonTable,4,FALSE)),3)*BlendedPricePremAnnual*RQ52+SD40*POWER(1-(AnnualChurn*VLOOKUP(RN52,ChurnSeasonTable,4,FALSE)),1)*BlendedPriceEliteAnnual*RQ52+SD28*POWER(1-(AnnualChurn*VLOOKUP(RN52,ChurnSeasonTable,4,FALSE)),2)*BlendedPriceEliteAnnual*RQ52+SD16*POWER(1-(AnnualChurn*VLOOKUP(RN52,ChurnSeasonTable,4,FALSE)),3)*BlendedPriceEliteAnnual*RQ52</f>
        <v/>
      </c>
      <c r="SQ52" s="9">
        <f>SN52+SO52+SP52</f>
        <v/>
      </c>
      <c r="SR52" s="12">
        <f>SUM(SQ41:SQ52)</f>
        <v/>
      </c>
      <c r="SS52" s="12">
        <f>OR(SS51,IF(VATAgentMode,SUM($SQ41:$SQ52)-SUM($SX41:$SX52)&gt;=VATThreshold,SUM($SQ41:$SQ52)&gt;=VATThreshold))</f>
        <v/>
      </c>
      <c r="ST52" s="9">
        <f>IF(SS52,IF(VATAgentMode,SQ52-((SQ52-SX52)-(SQ52-SX52)/(1+VATRate)),SQ52/(1+VATRate)),SQ52)</f>
        <v/>
      </c>
      <c r="SU52" s="12">
        <f>SQ52-ST52</f>
        <v/>
      </c>
      <c r="SV52" s="12">
        <f>IF(SS52=0,0,IF(RN52=1,SUMPRODUCT(--(($RO$5:$RO52=$RO52-1)*($RN$5:$RN52&gt;=10)*($RN$5:$RN52&lt;=12)),$SU$5:$SU52),IF(RN52=4,SUMPRODUCT(--(($RO$5:$RO52=$RO52)*($RN$5:$RN52&gt;=1)*($RN$5:$RN52&lt;=3)),$SU$5:$SU52),IF(RN52=7,SUMPRODUCT(--(($RO$5:$RO52=$RO52)*($RN$5:$RN52&gt;=4)*($RN$5:$RN52&lt;=6)),$SU$5:$SU52),IF(RN52=10,SUMPRODUCT(--(($RO$5:$RO52=$RO52)*($RN$5:$RN52&gt;=7)*($RN$5:$RN52&lt;=9)),$SU$5:$SU52),0)))))</f>
        <v/>
      </c>
      <c r="SW52" s="12">
        <f>SW51+SU52-SV52</f>
        <v/>
      </c>
      <c r="SX52" s="12">
        <f>IF(ProviderDelay&gt;=1,SE51*BlendedProvPayEss+SF51*BlendedProvPayPrem+SG51*BlendedProvPayElite+SH51*BlendedProvPayEss+SI51*BlendedProvPayPrem+SJ51*BlendedProvPayElite,SE52*BlendedProvPayEss+SF52*BlendedProvPayPrem+SG52*BlendedProvPayElite+SH52*BlendedProvPayEss+SI52*BlendedProvPayPrem+SJ52*BlendedProvPayElite)</f>
        <v/>
      </c>
      <c r="SY52" s="12">
        <f>SQ52*PaymentFee</f>
        <v/>
      </c>
      <c r="SZ52" s="12">
        <f>SK52*OpsAI</f>
        <v/>
      </c>
      <c r="TA52" s="12">
        <f>MonthlyFixed</f>
        <v/>
      </c>
      <c r="TB52" s="12">
        <f>RU52*ReferralReward</f>
        <v/>
      </c>
      <c r="TC52" s="12">
        <f>RS52</f>
        <v/>
      </c>
      <c r="TD52" s="9">
        <f>ST52-SX52-SY52-SZ52-TA52-TB52-TC52</f>
        <v/>
      </c>
      <c r="TE52" s="9">
        <f>TE51+SQ52-(SX52+SY52+SZ52+TA52+TB52+TC52+SV52)</f>
        <v/>
      </c>
      <c r="TF52" s="12">
        <f>IF(SK52&gt;0,SL52/SK52,0)</f>
        <v/>
      </c>
      <c r="TG52" s="11">
        <f>IF(SK51&gt;0,MAX(0,(SK51+RV52-SK52)/SK51),0)</f>
        <v/>
      </c>
      <c r="TI52" s="12" t="n">
        <v>48</v>
      </c>
      <c r="TJ52" s="12">
        <f>MOD(TI52-1+LaunchMonth-1,12)+1</f>
        <v/>
      </c>
      <c r="TK52" s="12">
        <f>INT((TI52-1+LaunchMonth-1)/12)+1</f>
        <v/>
      </c>
      <c r="TL52" s="12">
        <f>VLOOKUP(TJ52,SeasonTable,2,FALSE)</f>
        <v/>
      </c>
      <c r="TM52" s="12">
        <f>(1+InflationRate)^INT((TI52-1)/12)</f>
        <v/>
      </c>
      <c r="TN52" s="11">
        <f>'Sens - Churn'!$A$21*VLOOKUP(TJ52,ChurnSeasonTable,4,FALSE)</f>
        <v/>
      </c>
      <c r="TO52" s="12">
        <f>MIN(MAX(MktMin19plus,UM51*MktPct19plus),MAX(0,VA51-CashBuffer))</f>
        <v/>
      </c>
      <c r="TP52" s="12">
        <f>IF(TO52&gt;0,MAX(1,ROUND(TO52/CAC*TL52,0)),0)</f>
        <v/>
      </c>
      <c r="TQ52" s="12">
        <f>IF(TP52&gt;0,ROUND(TP52*ReferralMix/(1-ReferralMix),0),0)</f>
        <v/>
      </c>
      <c r="TR52" s="12">
        <f>TP52+TQ52</f>
        <v/>
      </c>
      <c r="TS52" s="12">
        <f>ROUND(TR52*(1-AnnualMix),0)</f>
        <v/>
      </c>
      <c r="TT52" s="12">
        <f>TR52-TS52</f>
        <v/>
      </c>
      <c r="TU52" s="12">
        <f>ROUND(TS52*EssentialMix,0)</f>
        <v/>
      </c>
      <c r="TV52" s="12">
        <f>ROUND(TS52*PremiumMix,0)</f>
        <v/>
      </c>
      <c r="TW52" s="12">
        <f>TS52-TU52-TV52</f>
        <v/>
      </c>
      <c r="TX52" s="12">
        <f>ROUND(TT52*EssentialMix,0)</f>
        <v/>
      </c>
      <c r="TY52" s="12">
        <f>ROUND(TT52*PremiumMix,0)</f>
        <v/>
      </c>
      <c r="TZ52" s="12">
        <f>TT52-TX52-TY52</f>
        <v/>
      </c>
      <c r="UA52" s="12">
        <f>TU52+TU51+TU50+MAX(0,UA51-TU51-TU50)*(1-TN52)</f>
        <v/>
      </c>
      <c r="UB52" s="12">
        <f>TV52+TV51+TV50+MAX(0,UB51-TV51-TV50)*(1-TN52)</f>
        <v/>
      </c>
      <c r="UC52" s="12">
        <f>TW52+TW51+TW50+MAX(0,UC51-TW51-TW50)*(1-TN52)</f>
        <v/>
      </c>
      <c r="UD52" s="12">
        <f>UD51+TX52-TX40*(AnnualChurn*VLOOKUP(TJ52,ChurnSeasonTable,4,FALSE))*POWER(1-(AnnualChurn*VLOOKUP(TJ52,ChurnSeasonTable,4,FALSE)),0)+TX28*(AnnualChurn*VLOOKUP(TJ52,ChurnSeasonTable,4,FALSE))*POWER(1-(AnnualChurn*VLOOKUP(TJ52,ChurnSeasonTable,4,FALSE)),1)+TX16*(AnnualChurn*VLOOKUP(TJ52,ChurnSeasonTable,4,FALSE))*POWER(1-(AnnualChurn*VLOOKUP(TJ52,ChurnSeasonTable,4,FALSE)),2)</f>
        <v/>
      </c>
      <c r="UE52" s="12">
        <f>UE51+TY52-TY40*(AnnualChurn*VLOOKUP(TJ52,ChurnSeasonTable,4,FALSE))*POWER(1-(AnnualChurn*VLOOKUP(TJ52,ChurnSeasonTable,4,FALSE)),0)+TY28*(AnnualChurn*VLOOKUP(TJ52,ChurnSeasonTable,4,FALSE))*POWER(1-(AnnualChurn*VLOOKUP(TJ52,ChurnSeasonTable,4,FALSE)),1)+TY16*(AnnualChurn*VLOOKUP(TJ52,ChurnSeasonTable,4,FALSE))*POWER(1-(AnnualChurn*VLOOKUP(TJ52,ChurnSeasonTable,4,FALSE)),2)</f>
        <v/>
      </c>
      <c r="UF52" s="12">
        <f>UF51+TZ52-TZ40*(AnnualChurn*VLOOKUP(TJ52,ChurnSeasonTable,4,FALSE))*POWER(1-(AnnualChurn*VLOOKUP(TJ52,ChurnSeasonTable,4,FALSE)),0)+TZ28*(AnnualChurn*VLOOKUP(TJ52,ChurnSeasonTable,4,FALSE))*POWER(1-(AnnualChurn*VLOOKUP(TJ52,ChurnSeasonTable,4,FALSE)),1)+TZ16*(AnnualChurn*VLOOKUP(TJ52,ChurnSeasonTable,4,FALSE))*POWER(1-(AnnualChurn*VLOOKUP(TJ52,ChurnSeasonTable,4,FALSE)),2)</f>
        <v/>
      </c>
      <c r="UG52" s="12">
        <f>UA52+UB52+UC52+UD52+UE52+UF52</f>
        <v/>
      </c>
      <c r="UH52" s="9">
        <f>UA52*BlendedPriceEssMonthly*TM52+UB52*BlendedPricePremMonthly*TM52+UC52*BlendedPriceEliteMonthly*TM52+UD52*BlendedPriceEssAnnual*TM52/12+UE52*BlendedPricePremAnnual*TM52/12+UF52*BlendedPriceEliteAnnual*TM52/12</f>
        <v/>
      </c>
      <c r="UI52" s="9">
        <f>UH52*12</f>
        <v/>
      </c>
      <c r="UJ52" s="12">
        <f>UA52*BlendedPriceEssMonthly*TM52+UB52*BlendedPricePremMonthly*TM52+UC52*BlendedPriceEliteMonthly*TM52</f>
        <v/>
      </c>
      <c r="UK52" s="12">
        <f>TX52*BlendedPriceEssAnnual*TM52+TY52*BlendedPricePremAnnual*TM52+TZ52*BlendedPriceEliteAnnual*TM52</f>
        <v/>
      </c>
      <c r="UL52" s="12">
        <f>TX40*POWER(1-(AnnualChurn*VLOOKUP(TJ52,ChurnSeasonTable,4,FALSE)),1)*BlendedPriceEssAnnual*TM52+TX28*POWER(1-(AnnualChurn*VLOOKUP(TJ52,ChurnSeasonTable,4,FALSE)),2)*BlendedPriceEssAnnual*TM52+TX16*POWER(1-(AnnualChurn*VLOOKUP(TJ52,ChurnSeasonTable,4,FALSE)),3)*BlendedPriceEssAnnual*TM52+TY40*POWER(1-(AnnualChurn*VLOOKUP(TJ52,ChurnSeasonTable,4,FALSE)),1)*BlendedPricePremAnnual*TM52+TY28*POWER(1-(AnnualChurn*VLOOKUP(TJ52,ChurnSeasonTable,4,FALSE)),2)*BlendedPricePremAnnual*TM52+TY16*POWER(1-(AnnualChurn*VLOOKUP(TJ52,ChurnSeasonTable,4,FALSE)),3)*BlendedPricePremAnnual*TM52+TZ40*POWER(1-(AnnualChurn*VLOOKUP(TJ52,ChurnSeasonTable,4,FALSE)),1)*BlendedPriceEliteAnnual*TM52+TZ28*POWER(1-(AnnualChurn*VLOOKUP(TJ52,ChurnSeasonTable,4,FALSE)),2)*BlendedPriceEliteAnnual*TM52+TZ16*POWER(1-(AnnualChurn*VLOOKUP(TJ52,ChurnSeasonTable,4,FALSE)),3)*BlendedPriceEliteAnnual*TM52</f>
        <v/>
      </c>
      <c r="UM52" s="9">
        <f>UJ52+UK52+UL52</f>
        <v/>
      </c>
      <c r="UN52" s="12">
        <f>SUM(UM41:UM52)</f>
        <v/>
      </c>
      <c r="UO52" s="12">
        <f>OR(UO51,IF(VATAgentMode,SUM($UM41:$UM52)-SUM($UT41:$UT52)&gt;=VATThreshold,SUM($UM41:$UM52)&gt;=VATThreshold))</f>
        <v/>
      </c>
      <c r="UP52" s="9">
        <f>IF(UO52,IF(VATAgentMode,UM52-((UM52-UT52)-(UM52-UT52)/(1+VATRate)),UM52/(1+VATRate)),UM52)</f>
        <v/>
      </c>
      <c r="UQ52" s="12">
        <f>UM52-UP52</f>
        <v/>
      </c>
      <c r="UR52" s="12">
        <f>IF(UO52=0,0,IF(TJ52=1,SUMPRODUCT(--(($TK$5:$TK52=$TK52-1)*($TJ$5:$TJ52&gt;=10)*($TJ$5:$TJ52&lt;=12)),$UQ$5:$UQ52),IF(TJ52=4,SUMPRODUCT(--(($TK$5:$TK52=$TK52)*($TJ$5:$TJ52&gt;=1)*($TJ$5:$TJ52&lt;=3)),$UQ$5:$UQ52),IF(TJ52=7,SUMPRODUCT(--(($TK$5:$TK52=$TK52)*($TJ$5:$TJ52&gt;=4)*($TJ$5:$TJ52&lt;=6)),$UQ$5:$UQ52),IF(TJ52=10,SUMPRODUCT(--(($TK$5:$TK52=$TK52)*($TJ$5:$TJ52&gt;=7)*($TJ$5:$TJ52&lt;=9)),$UQ$5:$UQ52),0)))))</f>
        <v/>
      </c>
      <c r="US52" s="12">
        <f>US51+UQ52-UR52</f>
        <v/>
      </c>
      <c r="UT52" s="12">
        <f>IF(ProviderDelay&gt;=1,UA51*BlendedProvPayEss+UB51*BlendedProvPayPrem+UC51*BlendedProvPayElite+UD51*BlendedProvPayEss+UE51*BlendedProvPayPrem+UF51*BlendedProvPayElite,UA52*BlendedProvPayEss+UB52*BlendedProvPayPrem+UC52*BlendedProvPayElite+UD52*BlendedProvPayEss+UE52*BlendedProvPayPrem+UF52*BlendedProvPayElite)</f>
        <v/>
      </c>
      <c r="UU52" s="12">
        <f>UM52*PaymentFee</f>
        <v/>
      </c>
      <c r="UV52" s="12">
        <f>UG52*OpsAI</f>
        <v/>
      </c>
      <c r="UW52" s="12">
        <f>MonthlyFixed</f>
        <v/>
      </c>
      <c r="UX52" s="12">
        <f>TQ52*ReferralReward</f>
        <v/>
      </c>
      <c r="UY52" s="12">
        <f>TO52</f>
        <v/>
      </c>
      <c r="UZ52" s="9">
        <f>UP52-UT52-UU52-UV52-UW52-UX52-UY52</f>
        <v/>
      </c>
      <c r="VA52" s="9">
        <f>VA51+UM52-(UT52+UU52+UV52+UW52+UX52+UY52+UR52)</f>
        <v/>
      </c>
      <c r="VB52" s="12">
        <f>IF(UG52&gt;0,UH52/UG52,0)</f>
        <v/>
      </c>
      <c r="VC52" s="11">
        <f>IF(UG51&gt;0,MAX(0,(UG51+TR52-UG52)/UG51),0)</f>
        <v/>
      </c>
      <c r="VE52" s="12" t="n">
        <v>48</v>
      </c>
      <c r="VF52" s="12">
        <f>MOD(VE52-1+LaunchMonth-1,12)+1</f>
        <v/>
      </c>
      <c r="VG52" s="12">
        <f>INT((VE52-1+LaunchMonth-1)/12)+1</f>
        <v/>
      </c>
      <c r="VH52" s="12">
        <f>VLOOKUP(VF52,SeasonTable,2,FALSE)</f>
        <v/>
      </c>
      <c r="VI52" s="12">
        <f>(1+InflationRate)^INT((VE52-1)/12)</f>
        <v/>
      </c>
      <c r="VJ52" s="11">
        <f>MonthlyChurn*VLOOKUP(VF52,ChurnSeasonTable,4,FALSE)</f>
        <v/>
      </c>
      <c r="VK52" s="12">
        <f>MIN(MAX(MktMin19plus,WI51*MktPct19plus),MAX(0,WW51-CashBuffer))</f>
        <v/>
      </c>
      <c r="VL52" s="12">
        <f>IF(VK52&gt;0,MAX(1,ROUND(VK52/CAC*VH52,0)),0)</f>
        <v/>
      </c>
      <c r="VM52" s="12">
        <f>IF(VL52&gt;0,ROUND(VL52*ReferralMix/(1-ReferralMix),0),0)</f>
        <v/>
      </c>
      <c r="VN52" s="12">
        <f>VL52+VM52</f>
        <v/>
      </c>
      <c r="VO52" s="12">
        <f>ROUND(VN52*(1-'Sens - Annual Mix'!$A$9),0)</f>
        <v/>
      </c>
      <c r="VP52" s="12">
        <f>VN52-VO52</f>
        <v/>
      </c>
      <c r="VQ52" s="12">
        <f>ROUND(VO52*EssentialMix,0)</f>
        <v/>
      </c>
      <c r="VR52" s="12">
        <f>ROUND(VO52*PremiumMix,0)</f>
        <v/>
      </c>
      <c r="VS52" s="12">
        <f>VO52-VQ52-VR52</f>
        <v/>
      </c>
      <c r="VT52" s="12">
        <f>ROUND(VP52*EssentialMix,0)</f>
        <v/>
      </c>
      <c r="VU52" s="12">
        <f>ROUND(VP52*PremiumMix,0)</f>
        <v/>
      </c>
      <c r="VV52" s="12">
        <f>VP52-VT52-VU52</f>
        <v/>
      </c>
      <c r="VW52" s="12">
        <f>VQ52+VQ51+VQ50+MAX(0,VW51-VQ51-VQ50)*(1-VJ52)</f>
        <v/>
      </c>
      <c r="VX52" s="12">
        <f>VR52+VR51+VR50+MAX(0,VX51-VR51-VR50)*(1-VJ52)</f>
        <v/>
      </c>
      <c r="VY52" s="12">
        <f>VS52+VS51+VS50+MAX(0,VY51-VS51-VS50)*(1-VJ52)</f>
        <v/>
      </c>
      <c r="VZ52" s="12">
        <f>VZ51+VT52-VT40*(AnnualChurn*VLOOKUP(VF52,ChurnSeasonTable,4,FALSE))*POWER(1-(AnnualChurn*VLOOKUP(VF52,ChurnSeasonTable,4,FALSE)),0)+VT28*(AnnualChurn*VLOOKUP(VF52,ChurnSeasonTable,4,FALSE))*POWER(1-(AnnualChurn*VLOOKUP(VF52,ChurnSeasonTable,4,FALSE)),1)+VT16*(AnnualChurn*VLOOKUP(VF52,ChurnSeasonTable,4,FALSE))*POWER(1-(AnnualChurn*VLOOKUP(VF52,ChurnSeasonTable,4,FALSE)),2)</f>
        <v/>
      </c>
      <c r="WA52" s="12">
        <f>WA51+VU52-VU40*(AnnualChurn*VLOOKUP(VF52,ChurnSeasonTable,4,FALSE))*POWER(1-(AnnualChurn*VLOOKUP(VF52,ChurnSeasonTable,4,FALSE)),0)+VU28*(AnnualChurn*VLOOKUP(VF52,ChurnSeasonTable,4,FALSE))*POWER(1-(AnnualChurn*VLOOKUP(VF52,ChurnSeasonTable,4,FALSE)),1)+VU16*(AnnualChurn*VLOOKUP(VF52,ChurnSeasonTable,4,FALSE))*POWER(1-(AnnualChurn*VLOOKUP(VF52,ChurnSeasonTable,4,FALSE)),2)</f>
        <v/>
      </c>
      <c r="WB52" s="12">
        <f>WB51+VV52-VV40*(AnnualChurn*VLOOKUP(VF52,ChurnSeasonTable,4,FALSE))*POWER(1-(AnnualChurn*VLOOKUP(VF52,ChurnSeasonTable,4,FALSE)),0)+VV28*(AnnualChurn*VLOOKUP(VF52,ChurnSeasonTable,4,FALSE))*POWER(1-(AnnualChurn*VLOOKUP(VF52,ChurnSeasonTable,4,FALSE)),1)+VV16*(AnnualChurn*VLOOKUP(VF52,ChurnSeasonTable,4,FALSE))*POWER(1-(AnnualChurn*VLOOKUP(VF52,ChurnSeasonTable,4,FALSE)),2)</f>
        <v/>
      </c>
      <c r="WC52" s="12">
        <f>VW52+VX52+VY52+VZ52+WA52+WB52</f>
        <v/>
      </c>
      <c r="WD52" s="9">
        <f>VW52*BlendedPriceEssMonthly*VI52+VX52*BlendedPricePremMonthly*VI52+VY52*BlendedPriceEliteMonthly*VI52+VZ52*BlendedPriceEssAnnual*VI52/12+WA52*BlendedPricePremAnnual*VI52/12+WB52*BlendedPriceEliteAnnual*VI52/12</f>
        <v/>
      </c>
      <c r="WE52" s="9">
        <f>WD52*12</f>
        <v/>
      </c>
      <c r="WF52" s="12">
        <f>VW52*BlendedPriceEssMonthly*VI52+VX52*BlendedPricePremMonthly*VI52+VY52*BlendedPriceEliteMonthly*VI52</f>
        <v/>
      </c>
      <c r="WG52" s="12">
        <f>VT52*BlendedPriceEssAnnual*VI52+VU52*BlendedPricePremAnnual*VI52+VV52*BlendedPriceEliteAnnual*VI52</f>
        <v/>
      </c>
      <c r="WH52" s="12">
        <f>VT40*POWER(1-(AnnualChurn*VLOOKUP(VF52,ChurnSeasonTable,4,FALSE)),1)*BlendedPriceEssAnnual*VI52+VT28*POWER(1-(AnnualChurn*VLOOKUP(VF52,ChurnSeasonTable,4,FALSE)),2)*BlendedPriceEssAnnual*VI52+VT16*POWER(1-(AnnualChurn*VLOOKUP(VF52,ChurnSeasonTable,4,FALSE)),3)*BlendedPriceEssAnnual*VI52+VU40*POWER(1-(AnnualChurn*VLOOKUP(VF52,ChurnSeasonTable,4,FALSE)),1)*BlendedPricePremAnnual*VI52+VU28*POWER(1-(AnnualChurn*VLOOKUP(VF52,ChurnSeasonTable,4,FALSE)),2)*BlendedPricePremAnnual*VI52+VU16*POWER(1-(AnnualChurn*VLOOKUP(VF52,ChurnSeasonTable,4,FALSE)),3)*BlendedPricePremAnnual*VI52+VV40*POWER(1-(AnnualChurn*VLOOKUP(VF52,ChurnSeasonTable,4,FALSE)),1)*BlendedPriceEliteAnnual*VI52+VV28*POWER(1-(AnnualChurn*VLOOKUP(VF52,ChurnSeasonTable,4,FALSE)),2)*BlendedPriceEliteAnnual*VI52+VV16*POWER(1-(AnnualChurn*VLOOKUP(VF52,ChurnSeasonTable,4,FALSE)),3)*BlendedPriceEliteAnnual*VI52</f>
        <v/>
      </c>
      <c r="WI52" s="9">
        <f>WF52+WG52+WH52</f>
        <v/>
      </c>
      <c r="WJ52" s="12">
        <f>SUM(WI41:WI52)</f>
        <v/>
      </c>
      <c r="WK52" s="12">
        <f>OR(WK51,IF(VATAgentMode,SUM($WI41:$WI52)-SUM($WP41:$WP52)&gt;=VATThreshold,SUM($WI41:$WI52)&gt;=VATThreshold))</f>
        <v/>
      </c>
      <c r="WL52" s="9">
        <f>IF(WK52,IF(VATAgentMode,WI52-((WI52-WP52)-(WI52-WP52)/(1+VATRate)),WI52/(1+VATRate)),WI52)</f>
        <v/>
      </c>
      <c r="WM52" s="12">
        <f>WI52-WL52</f>
        <v/>
      </c>
      <c r="WN52" s="12">
        <f>IF(WK52=0,0,IF(VF52=1,SUMPRODUCT(--(($VG$5:$VG52=$VG52-1)*($VF$5:$VF52&gt;=10)*($VF$5:$VF52&lt;=12)),$WM$5:$WM52),IF(VF52=4,SUMPRODUCT(--(($VG$5:$VG52=$VG52)*($VF$5:$VF52&gt;=1)*($VF$5:$VF52&lt;=3)),$WM$5:$WM52),IF(VF52=7,SUMPRODUCT(--(($VG$5:$VG52=$VG52)*($VF$5:$VF52&gt;=4)*($VF$5:$VF52&lt;=6)),$WM$5:$WM52),IF(VF52=10,SUMPRODUCT(--(($VG$5:$VG52=$VG52)*($VF$5:$VF52&gt;=7)*($VF$5:$VF52&lt;=9)),$WM$5:$WM52),0)))))</f>
        <v/>
      </c>
      <c r="WO52" s="12">
        <f>WO51+WM52-WN52</f>
        <v/>
      </c>
      <c r="WP52" s="12">
        <f>IF(ProviderDelay&gt;=1,VW51*BlendedProvPayEss+VX51*BlendedProvPayPrem+VY51*BlendedProvPayElite+VZ51*BlendedProvPayEss+WA51*BlendedProvPayPrem+WB51*BlendedProvPayElite,VW52*BlendedProvPayEss+VX52*BlendedProvPayPrem+VY52*BlendedProvPayElite+VZ52*BlendedProvPayEss+WA52*BlendedProvPayPrem+WB52*BlendedProvPayElite)</f>
        <v/>
      </c>
      <c r="WQ52" s="12">
        <f>WI52*PaymentFee</f>
        <v/>
      </c>
      <c r="WR52" s="12">
        <f>WC52*OpsAI</f>
        <v/>
      </c>
      <c r="WS52" s="12">
        <f>MonthlyFixed</f>
        <v/>
      </c>
      <c r="WT52" s="12">
        <f>VM52*ReferralReward</f>
        <v/>
      </c>
      <c r="WU52" s="12">
        <f>VK52</f>
        <v/>
      </c>
      <c r="WV52" s="9">
        <f>WL52-WP52-WQ52-WR52-WS52-WT52-WU52</f>
        <v/>
      </c>
      <c r="WW52" s="9">
        <f>WW51+WI52-(WP52+WQ52+WR52+WS52+WT52+WU52+WN52)</f>
        <v/>
      </c>
      <c r="WX52" s="12">
        <f>IF(WC52&gt;0,WD52/WC52,0)</f>
        <v/>
      </c>
      <c r="WY52" s="11">
        <f>IF(WC51&gt;0,MAX(0,(WC51+VN52-WC52)/WC51),0)</f>
        <v/>
      </c>
      <c r="XA52" s="12" t="n">
        <v>48</v>
      </c>
      <c r="XB52" s="12">
        <f>MOD(XA52-1+LaunchMonth-1,12)+1</f>
        <v/>
      </c>
      <c r="XC52" s="12">
        <f>INT((XA52-1+LaunchMonth-1)/12)+1</f>
        <v/>
      </c>
      <c r="XD52" s="12">
        <f>VLOOKUP(XB52,SeasonTable,2,FALSE)</f>
        <v/>
      </c>
      <c r="XE52" s="12">
        <f>(1+InflationRate)^INT((XA52-1)/12)</f>
        <v/>
      </c>
      <c r="XF52" s="11">
        <f>MonthlyChurn*VLOOKUP(XB52,ChurnSeasonTable,4,FALSE)</f>
        <v/>
      </c>
      <c r="XG52" s="12">
        <f>MIN(MAX(MktMin19plus,YE51*MktPct19plus),MAX(0,YS51-CashBuffer))</f>
        <v/>
      </c>
      <c r="XH52" s="12">
        <f>IF(XG52&gt;0,MAX(1,ROUND(XG52/CAC*XD52,0)),0)</f>
        <v/>
      </c>
      <c r="XI52" s="12">
        <f>IF(XH52&gt;0,ROUND(XH52*ReferralMix/(1-ReferralMix),0),0)</f>
        <v/>
      </c>
      <c r="XJ52" s="12">
        <f>XH52+XI52</f>
        <v/>
      </c>
      <c r="XK52" s="12">
        <f>ROUND(XJ52*(1-'Sens - Annual Mix'!$A$10),0)</f>
        <v/>
      </c>
      <c r="XL52" s="12">
        <f>XJ52-XK52</f>
        <v/>
      </c>
      <c r="XM52" s="12">
        <f>ROUND(XK52*EssentialMix,0)</f>
        <v/>
      </c>
      <c r="XN52" s="12">
        <f>ROUND(XK52*PremiumMix,0)</f>
        <v/>
      </c>
      <c r="XO52" s="12">
        <f>XK52-XM52-XN52</f>
        <v/>
      </c>
      <c r="XP52" s="12">
        <f>ROUND(XL52*EssentialMix,0)</f>
        <v/>
      </c>
      <c r="XQ52" s="12">
        <f>ROUND(XL52*PremiumMix,0)</f>
        <v/>
      </c>
      <c r="XR52" s="12">
        <f>XL52-XP52-XQ52</f>
        <v/>
      </c>
      <c r="XS52" s="12">
        <f>XM52+XM51+XM50+MAX(0,XS51-XM51-XM50)*(1-XF52)</f>
        <v/>
      </c>
      <c r="XT52" s="12">
        <f>XN52+XN51+XN50+MAX(0,XT51-XN51-XN50)*(1-XF52)</f>
        <v/>
      </c>
      <c r="XU52" s="12">
        <f>XO52+XO51+XO50+MAX(0,XU51-XO51-XO50)*(1-XF52)</f>
        <v/>
      </c>
      <c r="XV52" s="12">
        <f>XV51+XP52-XP40*(AnnualChurn*VLOOKUP(XB52,ChurnSeasonTable,4,FALSE))*POWER(1-(AnnualChurn*VLOOKUP(XB52,ChurnSeasonTable,4,FALSE)),0)+XP28*(AnnualChurn*VLOOKUP(XB52,ChurnSeasonTable,4,FALSE))*POWER(1-(AnnualChurn*VLOOKUP(XB52,ChurnSeasonTable,4,FALSE)),1)+XP16*(AnnualChurn*VLOOKUP(XB52,ChurnSeasonTable,4,FALSE))*POWER(1-(AnnualChurn*VLOOKUP(XB52,ChurnSeasonTable,4,FALSE)),2)</f>
        <v/>
      </c>
      <c r="XW52" s="12">
        <f>XW51+XQ52-XQ40*(AnnualChurn*VLOOKUP(XB52,ChurnSeasonTable,4,FALSE))*POWER(1-(AnnualChurn*VLOOKUP(XB52,ChurnSeasonTable,4,FALSE)),0)+XQ28*(AnnualChurn*VLOOKUP(XB52,ChurnSeasonTable,4,FALSE))*POWER(1-(AnnualChurn*VLOOKUP(XB52,ChurnSeasonTable,4,FALSE)),1)+XQ16*(AnnualChurn*VLOOKUP(XB52,ChurnSeasonTable,4,FALSE))*POWER(1-(AnnualChurn*VLOOKUP(XB52,ChurnSeasonTable,4,FALSE)),2)</f>
        <v/>
      </c>
      <c r="XX52" s="12">
        <f>XX51+XR52-XR40*(AnnualChurn*VLOOKUP(XB52,ChurnSeasonTable,4,FALSE))*POWER(1-(AnnualChurn*VLOOKUP(XB52,ChurnSeasonTable,4,FALSE)),0)+XR28*(AnnualChurn*VLOOKUP(XB52,ChurnSeasonTable,4,FALSE))*POWER(1-(AnnualChurn*VLOOKUP(XB52,ChurnSeasonTable,4,FALSE)),1)+XR16*(AnnualChurn*VLOOKUP(XB52,ChurnSeasonTable,4,FALSE))*POWER(1-(AnnualChurn*VLOOKUP(XB52,ChurnSeasonTable,4,FALSE)),2)</f>
        <v/>
      </c>
      <c r="XY52" s="12">
        <f>XS52+XT52+XU52+XV52+XW52+XX52</f>
        <v/>
      </c>
      <c r="XZ52" s="9">
        <f>XS52*BlendedPriceEssMonthly*XE52+XT52*BlendedPricePremMonthly*XE52+XU52*BlendedPriceEliteMonthly*XE52+XV52*BlendedPriceEssAnnual*XE52/12+XW52*BlendedPricePremAnnual*XE52/12+XX52*BlendedPriceEliteAnnual*XE52/12</f>
        <v/>
      </c>
      <c r="YA52" s="9">
        <f>XZ52*12</f>
        <v/>
      </c>
      <c r="YB52" s="12">
        <f>XS52*BlendedPriceEssMonthly*XE52+XT52*BlendedPricePremMonthly*XE52+XU52*BlendedPriceEliteMonthly*XE52</f>
        <v/>
      </c>
      <c r="YC52" s="12">
        <f>XP52*BlendedPriceEssAnnual*XE52+XQ52*BlendedPricePremAnnual*XE52+XR52*BlendedPriceEliteAnnual*XE52</f>
        <v/>
      </c>
      <c r="YD52" s="12">
        <f>XP40*POWER(1-(AnnualChurn*VLOOKUP(XB52,ChurnSeasonTable,4,FALSE)),1)*BlendedPriceEssAnnual*XE52+XP28*POWER(1-(AnnualChurn*VLOOKUP(XB52,ChurnSeasonTable,4,FALSE)),2)*BlendedPriceEssAnnual*XE52+XP16*POWER(1-(AnnualChurn*VLOOKUP(XB52,ChurnSeasonTable,4,FALSE)),3)*BlendedPriceEssAnnual*XE52+XQ40*POWER(1-(AnnualChurn*VLOOKUP(XB52,ChurnSeasonTable,4,FALSE)),1)*BlendedPricePremAnnual*XE52+XQ28*POWER(1-(AnnualChurn*VLOOKUP(XB52,ChurnSeasonTable,4,FALSE)),2)*BlendedPricePremAnnual*XE52+XQ16*POWER(1-(AnnualChurn*VLOOKUP(XB52,ChurnSeasonTable,4,FALSE)),3)*BlendedPricePremAnnual*XE52+XR40*POWER(1-(AnnualChurn*VLOOKUP(XB52,ChurnSeasonTable,4,FALSE)),1)*BlendedPriceEliteAnnual*XE52+XR28*POWER(1-(AnnualChurn*VLOOKUP(XB52,ChurnSeasonTable,4,FALSE)),2)*BlendedPriceEliteAnnual*XE52+XR16*POWER(1-(AnnualChurn*VLOOKUP(XB52,ChurnSeasonTable,4,FALSE)),3)*BlendedPriceEliteAnnual*XE52</f>
        <v/>
      </c>
      <c r="YE52" s="9">
        <f>YB52+YC52+YD52</f>
        <v/>
      </c>
      <c r="YF52" s="12">
        <f>SUM(YE41:YE52)</f>
        <v/>
      </c>
      <c r="YG52" s="12">
        <f>OR(YG51,IF(VATAgentMode,SUM($YE41:$YE52)-SUM($YL41:$YL52)&gt;=VATThreshold,SUM($YE41:$YE52)&gt;=VATThreshold))</f>
        <v/>
      </c>
      <c r="YH52" s="9">
        <f>IF(YG52,IF(VATAgentMode,YE52-((YE52-YL52)-(YE52-YL52)/(1+VATRate)),YE52/(1+VATRate)),YE52)</f>
        <v/>
      </c>
      <c r="YI52" s="12">
        <f>YE52-YH52</f>
        <v/>
      </c>
      <c r="YJ52" s="12">
        <f>IF(YG52=0,0,IF(XB52=1,SUMPRODUCT(--(($XC$5:$XC52=$XC52-1)*($XB$5:$XB52&gt;=10)*($XB$5:$XB52&lt;=12)),$YI$5:$YI52),IF(XB52=4,SUMPRODUCT(--(($XC$5:$XC52=$XC52)*($XB$5:$XB52&gt;=1)*($XB$5:$XB52&lt;=3)),$YI$5:$YI52),IF(XB52=7,SUMPRODUCT(--(($XC$5:$XC52=$XC52)*($XB$5:$XB52&gt;=4)*($XB$5:$XB52&lt;=6)),$YI$5:$YI52),IF(XB52=10,SUMPRODUCT(--(($XC$5:$XC52=$XC52)*($XB$5:$XB52&gt;=7)*($XB$5:$XB52&lt;=9)),$YI$5:$YI52),0)))))</f>
        <v/>
      </c>
      <c r="YK52" s="12">
        <f>YK51+YI52-YJ52</f>
        <v/>
      </c>
      <c r="YL52" s="12">
        <f>IF(ProviderDelay&gt;=1,XS51*BlendedProvPayEss+XT51*BlendedProvPayPrem+XU51*BlendedProvPayElite+XV51*BlendedProvPayEss+XW51*BlendedProvPayPrem+XX51*BlendedProvPayElite,XS52*BlendedProvPayEss+XT52*BlendedProvPayPrem+XU52*BlendedProvPayElite+XV52*BlendedProvPayEss+XW52*BlendedProvPayPrem+XX52*BlendedProvPayElite)</f>
        <v/>
      </c>
      <c r="YM52" s="12">
        <f>YE52*PaymentFee</f>
        <v/>
      </c>
      <c r="YN52" s="12">
        <f>XY52*OpsAI</f>
        <v/>
      </c>
      <c r="YO52" s="12">
        <f>MonthlyFixed</f>
        <v/>
      </c>
      <c r="YP52" s="12">
        <f>XI52*ReferralReward</f>
        <v/>
      </c>
      <c r="YQ52" s="12">
        <f>XG52</f>
        <v/>
      </c>
      <c r="YR52" s="9">
        <f>YH52-YL52-YM52-YN52-YO52-YP52-YQ52</f>
        <v/>
      </c>
      <c r="YS52" s="9">
        <f>YS51+YE52-(YL52+YM52+YN52+YO52+YP52+YQ52+YJ52)</f>
        <v/>
      </c>
      <c r="YT52" s="12">
        <f>IF(XY52&gt;0,XZ52/XY52,0)</f>
        <v/>
      </c>
      <c r="YU52" s="11">
        <f>IF(XY51&gt;0,MAX(0,(XY51+XJ52-XY52)/XY51),0)</f>
        <v/>
      </c>
      <c r="YW52" s="12" t="n">
        <v>48</v>
      </c>
      <c r="YX52" s="12">
        <f>MOD(YW52-1+LaunchMonth-1,12)+1</f>
        <v/>
      </c>
      <c r="YY52" s="12">
        <f>INT((YW52-1+LaunchMonth-1)/12)+1</f>
        <v/>
      </c>
      <c r="YZ52" s="12">
        <f>VLOOKUP(YX52,SeasonTable,2,FALSE)</f>
        <v/>
      </c>
      <c r="ZA52" s="12">
        <f>(1+InflationRate)^INT((YW52-1)/12)</f>
        <v/>
      </c>
      <c r="ZB52" s="11">
        <f>MonthlyChurn*VLOOKUP(YX52,ChurnSeasonTable,4,FALSE)</f>
        <v/>
      </c>
      <c r="ZC52" s="12">
        <f>MIN(MAX(MktMin19plus,AAA51*MktPct19plus),MAX(0,AAO51-CashBuffer))</f>
        <v/>
      </c>
      <c r="ZD52" s="12">
        <f>IF(ZC52&gt;0,MAX(1,ROUND(ZC52/CAC*YZ52,0)),0)</f>
        <v/>
      </c>
      <c r="ZE52" s="12">
        <f>IF(ZD52&gt;0,ROUND(ZD52*ReferralMix/(1-ReferralMix),0),0)</f>
        <v/>
      </c>
      <c r="ZF52" s="12">
        <f>ZD52+ZE52</f>
        <v/>
      </c>
      <c r="ZG52" s="12">
        <f>ROUND(ZF52*(1-'Sens - Annual Mix'!$A$11),0)</f>
        <v/>
      </c>
      <c r="ZH52" s="12">
        <f>ZF52-ZG52</f>
        <v/>
      </c>
      <c r="ZI52" s="12">
        <f>ROUND(ZG52*EssentialMix,0)</f>
        <v/>
      </c>
      <c r="ZJ52" s="12">
        <f>ROUND(ZG52*PremiumMix,0)</f>
        <v/>
      </c>
      <c r="ZK52" s="12">
        <f>ZG52-ZI52-ZJ52</f>
        <v/>
      </c>
      <c r="ZL52" s="12">
        <f>ROUND(ZH52*EssentialMix,0)</f>
        <v/>
      </c>
      <c r="ZM52" s="12">
        <f>ROUND(ZH52*PremiumMix,0)</f>
        <v/>
      </c>
      <c r="ZN52" s="12">
        <f>ZH52-ZL52-ZM52</f>
        <v/>
      </c>
      <c r="ZO52" s="12">
        <f>ZI52+ZI51+ZI50+MAX(0,ZO51-ZI51-ZI50)*(1-ZB52)</f>
        <v/>
      </c>
      <c r="ZP52" s="12">
        <f>ZJ52+ZJ51+ZJ50+MAX(0,ZP51-ZJ51-ZJ50)*(1-ZB52)</f>
        <v/>
      </c>
      <c r="ZQ52" s="12">
        <f>ZK52+ZK51+ZK50+MAX(0,ZQ51-ZK51-ZK50)*(1-ZB52)</f>
        <v/>
      </c>
      <c r="ZR52" s="12">
        <f>ZR51+ZL52-ZL40*(AnnualChurn*VLOOKUP(YX52,ChurnSeasonTable,4,FALSE))*POWER(1-(AnnualChurn*VLOOKUP(YX52,ChurnSeasonTable,4,FALSE)),0)+ZL28*(AnnualChurn*VLOOKUP(YX52,ChurnSeasonTable,4,FALSE))*POWER(1-(AnnualChurn*VLOOKUP(YX52,ChurnSeasonTable,4,FALSE)),1)+ZL16*(AnnualChurn*VLOOKUP(YX52,ChurnSeasonTable,4,FALSE))*POWER(1-(AnnualChurn*VLOOKUP(YX52,ChurnSeasonTable,4,FALSE)),2)</f>
        <v/>
      </c>
      <c r="ZS52" s="12">
        <f>ZS51+ZM52-ZM40*(AnnualChurn*VLOOKUP(YX52,ChurnSeasonTable,4,FALSE))*POWER(1-(AnnualChurn*VLOOKUP(YX52,ChurnSeasonTable,4,FALSE)),0)+ZM28*(AnnualChurn*VLOOKUP(YX52,ChurnSeasonTable,4,FALSE))*POWER(1-(AnnualChurn*VLOOKUP(YX52,ChurnSeasonTable,4,FALSE)),1)+ZM16*(AnnualChurn*VLOOKUP(YX52,ChurnSeasonTable,4,FALSE))*POWER(1-(AnnualChurn*VLOOKUP(YX52,ChurnSeasonTable,4,FALSE)),2)</f>
        <v/>
      </c>
      <c r="ZT52" s="12">
        <f>ZT51+ZN52-ZN40*(AnnualChurn*VLOOKUP(YX52,ChurnSeasonTable,4,FALSE))*POWER(1-(AnnualChurn*VLOOKUP(YX52,ChurnSeasonTable,4,FALSE)),0)+ZN28*(AnnualChurn*VLOOKUP(YX52,ChurnSeasonTable,4,FALSE))*POWER(1-(AnnualChurn*VLOOKUP(YX52,ChurnSeasonTable,4,FALSE)),1)+ZN16*(AnnualChurn*VLOOKUP(YX52,ChurnSeasonTable,4,FALSE))*POWER(1-(AnnualChurn*VLOOKUP(YX52,ChurnSeasonTable,4,FALSE)),2)</f>
        <v/>
      </c>
      <c r="ZU52" s="12">
        <f>ZO52+ZP52+ZQ52+ZR52+ZS52+ZT52</f>
        <v/>
      </c>
      <c r="ZV52" s="9">
        <f>ZO52*BlendedPriceEssMonthly*ZA52+ZP52*BlendedPricePremMonthly*ZA52+ZQ52*BlendedPriceEliteMonthly*ZA52+ZR52*BlendedPriceEssAnnual*ZA52/12+ZS52*BlendedPricePremAnnual*ZA52/12+ZT52*BlendedPriceEliteAnnual*ZA52/12</f>
        <v/>
      </c>
      <c r="ZW52" s="9">
        <f>ZV52*12</f>
        <v/>
      </c>
      <c r="ZX52" s="12">
        <f>ZO52*BlendedPriceEssMonthly*ZA52+ZP52*BlendedPricePremMonthly*ZA52+ZQ52*BlendedPriceEliteMonthly*ZA52</f>
        <v/>
      </c>
      <c r="ZY52" s="12">
        <f>ZL52*BlendedPriceEssAnnual*ZA52+ZM52*BlendedPricePremAnnual*ZA52+ZN52*BlendedPriceEliteAnnual*ZA52</f>
        <v/>
      </c>
      <c r="ZZ52" s="12">
        <f>ZL40*POWER(1-(AnnualChurn*VLOOKUP(YX52,ChurnSeasonTable,4,FALSE)),1)*BlendedPriceEssAnnual*ZA52+ZL28*POWER(1-(AnnualChurn*VLOOKUP(YX52,ChurnSeasonTable,4,FALSE)),2)*BlendedPriceEssAnnual*ZA52+ZL16*POWER(1-(AnnualChurn*VLOOKUP(YX52,ChurnSeasonTable,4,FALSE)),3)*BlendedPriceEssAnnual*ZA52+ZM40*POWER(1-(AnnualChurn*VLOOKUP(YX52,ChurnSeasonTable,4,FALSE)),1)*BlendedPricePremAnnual*ZA52+ZM28*POWER(1-(AnnualChurn*VLOOKUP(YX52,ChurnSeasonTable,4,FALSE)),2)*BlendedPricePremAnnual*ZA52+ZM16*POWER(1-(AnnualChurn*VLOOKUP(YX52,ChurnSeasonTable,4,FALSE)),3)*BlendedPricePremAnnual*ZA52+ZN40*POWER(1-(AnnualChurn*VLOOKUP(YX52,ChurnSeasonTable,4,FALSE)),1)*BlendedPriceEliteAnnual*ZA52+ZN28*POWER(1-(AnnualChurn*VLOOKUP(YX52,ChurnSeasonTable,4,FALSE)),2)*BlendedPriceEliteAnnual*ZA52+ZN16*POWER(1-(AnnualChurn*VLOOKUP(YX52,ChurnSeasonTable,4,FALSE)),3)*BlendedPriceEliteAnnual*ZA52</f>
        <v/>
      </c>
      <c r="AAA52" s="9">
        <f>ZX52+ZY52+ZZ52</f>
        <v/>
      </c>
      <c r="AAB52" s="12">
        <f>SUM(AAA41:AAA52)</f>
        <v/>
      </c>
      <c r="AAC52" s="12">
        <f>OR(AAC51,IF(VATAgentMode,SUM($AAA41:$AAA52)-SUM($AAH41:$AAH52)&gt;=VATThreshold,SUM($AAA41:$AAA52)&gt;=VATThreshold))</f>
        <v/>
      </c>
      <c r="AAD52" s="9">
        <f>IF(AAC52,IF(VATAgentMode,AAA52-((AAA52-AAH52)-(AAA52-AAH52)/(1+VATRate)),AAA52/(1+VATRate)),AAA52)</f>
        <v/>
      </c>
      <c r="AAE52" s="12">
        <f>AAA52-AAD52</f>
        <v/>
      </c>
      <c r="AAF52" s="12">
        <f>IF(AAC52=0,0,IF(YX52=1,SUMPRODUCT(--(($YY$5:$YY52=$YY52-1)*($YX$5:$YX52&gt;=10)*($YX$5:$YX52&lt;=12)),$AAE$5:$AAE52),IF(YX52=4,SUMPRODUCT(--(($YY$5:$YY52=$YY52)*($YX$5:$YX52&gt;=1)*($YX$5:$YX52&lt;=3)),$AAE$5:$AAE52),IF(YX52=7,SUMPRODUCT(--(($YY$5:$YY52=$YY52)*($YX$5:$YX52&gt;=4)*($YX$5:$YX52&lt;=6)),$AAE$5:$AAE52),IF(YX52=10,SUMPRODUCT(--(($YY$5:$YY52=$YY52)*($YX$5:$YX52&gt;=7)*($YX$5:$YX52&lt;=9)),$AAE$5:$AAE52),0)))))</f>
        <v/>
      </c>
      <c r="AAG52" s="12">
        <f>AAG51+AAE52-AAF52</f>
        <v/>
      </c>
      <c r="AAH52" s="12">
        <f>IF(ProviderDelay&gt;=1,ZO51*BlendedProvPayEss+ZP51*BlendedProvPayPrem+ZQ51*BlendedProvPayElite+ZR51*BlendedProvPayEss+ZS51*BlendedProvPayPrem+ZT51*BlendedProvPayElite,ZO52*BlendedProvPayEss+ZP52*BlendedProvPayPrem+ZQ52*BlendedProvPayElite+ZR52*BlendedProvPayEss+ZS52*BlendedProvPayPrem+ZT52*BlendedProvPayElite)</f>
        <v/>
      </c>
      <c r="AAI52" s="12">
        <f>AAA52*PaymentFee</f>
        <v/>
      </c>
      <c r="AAJ52" s="12">
        <f>ZU52*OpsAI</f>
        <v/>
      </c>
      <c r="AAK52" s="12">
        <f>MonthlyFixed</f>
        <v/>
      </c>
      <c r="AAL52" s="12">
        <f>ZE52*ReferralReward</f>
        <v/>
      </c>
      <c r="AAM52" s="12">
        <f>ZC52</f>
        <v/>
      </c>
      <c r="AAN52" s="9">
        <f>AAD52-AAH52-AAI52-AAJ52-AAK52-AAL52-AAM52</f>
        <v/>
      </c>
      <c r="AAO52" s="9">
        <f>AAO51+AAA52-(AAH52+AAI52+AAJ52+AAK52+AAL52+AAM52+AAF52)</f>
        <v/>
      </c>
      <c r="AAP52" s="12">
        <f>IF(ZU52&gt;0,ZV52/ZU52,0)</f>
        <v/>
      </c>
      <c r="AAQ52" s="11">
        <f>IF(ZU51&gt;0,MAX(0,(ZU51+ZF52-ZU52)/ZU51),0)</f>
        <v/>
      </c>
      <c r="AAS52" s="12" t="n">
        <v>48</v>
      </c>
      <c r="AAT52" s="12">
        <f>MOD(AAS52-1+LaunchMonth-1,12)+1</f>
        <v/>
      </c>
      <c r="AAU52" s="12">
        <f>INT((AAS52-1+LaunchMonth-1)/12)+1</f>
        <v/>
      </c>
      <c r="AAV52" s="12">
        <f>VLOOKUP(AAT52,SeasonTable,2,FALSE)</f>
        <v/>
      </c>
      <c r="AAW52" s="12">
        <f>(1+InflationRate)^INT((AAS52-1)/12)</f>
        <v/>
      </c>
      <c r="AAX52" s="11">
        <f>MonthlyChurn*VLOOKUP(AAT52,ChurnSeasonTable,4,FALSE)</f>
        <v/>
      </c>
      <c r="AAY52" s="12">
        <f>MIN(MAX(MktMin19plus,ABW51*MktPct19plus),MAX(0,ACK51-CashBuffer))</f>
        <v/>
      </c>
      <c r="AAZ52" s="12">
        <f>IF(AAY52&gt;0,MAX(1,ROUND(AAY52/CAC*AAV52,0)),0)</f>
        <v/>
      </c>
      <c r="ABA52" s="12">
        <f>IF(AAZ52&gt;0,ROUND(AAZ52*ReferralMix/(1-ReferralMix),0),0)</f>
        <v/>
      </c>
      <c r="ABB52" s="12">
        <f>AAZ52+ABA52</f>
        <v/>
      </c>
      <c r="ABC52" s="12">
        <f>ROUND(ABB52*(1-'Sens - Annual Mix'!$A$12),0)</f>
        <v/>
      </c>
      <c r="ABD52" s="12">
        <f>ABB52-ABC52</f>
        <v/>
      </c>
      <c r="ABE52" s="12">
        <f>ROUND(ABC52*EssentialMix,0)</f>
        <v/>
      </c>
      <c r="ABF52" s="12">
        <f>ROUND(ABC52*PremiumMix,0)</f>
        <v/>
      </c>
      <c r="ABG52" s="12">
        <f>ABC52-ABE52-ABF52</f>
        <v/>
      </c>
      <c r="ABH52" s="12">
        <f>ROUND(ABD52*EssentialMix,0)</f>
        <v/>
      </c>
      <c r="ABI52" s="12">
        <f>ROUND(ABD52*PremiumMix,0)</f>
        <v/>
      </c>
      <c r="ABJ52" s="12">
        <f>ABD52-ABH52-ABI52</f>
        <v/>
      </c>
      <c r="ABK52" s="12">
        <f>ABE52+ABE51+ABE50+MAX(0,ABK51-ABE51-ABE50)*(1-AAX52)</f>
        <v/>
      </c>
      <c r="ABL52" s="12">
        <f>ABF52+ABF51+ABF50+MAX(0,ABL51-ABF51-ABF50)*(1-AAX52)</f>
        <v/>
      </c>
      <c r="ABM52" s="12">
        <f>ABG52+ABG51+ABG50+MAX(0,ABM51-ABG51-ABG50)*(1-AAX52)</f>
        <v/>
      </c>
      <c r="ABN52" s="12">
        <f>ABN51+ABH52-ABH40*(AnnualChurn*VLOOKUP(AAT52,ChurnSeasonTable,4,FALSE))*POWER(1-(AnnualChurn*VLOOKUP(AAT52,ChurnSeasonTable,4,FALSE)),0)+ABH28*(AnnualChurn*VLOOKUP(AAT52,ChurnSeasonTable,4,FALSE))*POWER(1-(AnnualChurn*VLOOKUP(AAT52,ChurnSeasonTable,4,FALSE)),1)+ABH16*(AnnualChurn*VLOOKUP(AAT52,ChurnSeasonTable,4,FALSE))*POWER(1-(AnnualChurn*VLOOKUP(AAT52,ChurnSeasonTable,4,FALSE)),2)</f>
        <v/>
      </c>
      <c r="ABO52" s="12">
        <f>ABO51+ABI52-ABI40*(AnnualChurn*VLOOKUP(AAT52,ChurnSeasonTable,4,FALSE))*POWER(1-(AnnualChurn*VLOOKUP(AAT52,ChurnSeasonTable,4,FALSE)),0)+ABI28*(AnnualChurn*VLOOKUP(AAT52,ChurnSeasonTable,4,FALSE))*POWER(1-(AnnualChurn*VLOOKUP(AAT52,ChurnSeasonTable,4,FALSE)),1)+ABI16*(AnnualChurn*VLOOKUP(AAT52,ChurnSeasonTable,4,FALSE))*POWER(1-(AnnualChurn*VLOOKUP(AAT52,ChurnSeasonTable,4,FALSE)),2)</f>
        <v/>
      </c>
      <c r="ABP52" s="12">
        <f>ABP51+ABJ52-ABJ40*(AnnualChurn*VLOOKUP(AAT52,ChurnSeasonTable,4,FALSE))*POWER(1-(AnnualChurn*VLOOKUP(AAT52,ChurnSeasonTable,4,FALSE)),0)+ABJ28*(AnnualChurn*VLOOKUP(AAT52,ChurnSeasonTable,4,FALSE))*POWER(1-(AnnualChurn*VLOOKUP(AAT52,ChurnSeasonTable,4,FALSE)),1)+ABJ16*(AnnualChurn*VLOOKUP(AAT52,ChurnSeasonTable,4,FALSE))*POWER(1-(AnnualChurn*VLOOKUP(AAT52,ChurnSeasonTable,4,FALSE)),2)</f>
        <v/>
      </c>
      <c r="ABQ52" s="12">
        <f>ABK52+ABL52+ABM52+ABN52+ABO52+ABP52</f>
        <v/>
      </c>
      <c r="ABR52" s="9">
        <f>ABK52*BlendedPriceEssMonthly*AAW52+ABL52*BlendedPricePremMonthly*AAW52+ABM52*BlendedPriceEliteMonthly*AAW52+ABN52*BlendedPriceEssAnnual*AAW52/12+ABO52*BlendedPricePremAnnual*AAW52/12+ABP52*BlendedPriceEliteAnnual*AAW52/12</f>
        <v/>
      </c>
      <c r="ABS52" s="9">
        <f>ABR52*12</f>
        <v/>
      </c>
      <c r="ABT52" s="12">
        <f>ABK52*BlendedPriceEssMonthly*AAW52+ABL52*BlendedPricePremMonthly*AAW52+ABM52*BlendedPriceEliteMonthly*AAW52</f>
        <v/>
      </c>
      <c r="ABU52" s="12">
        <f>ABH52*BlendedPriceEssAnnual*AAW52+ABI52*BlendedPricePremAnnual*AAW52+ABJ52*BlendedPriceEliteAnnual*AAW52</f>
        <v/>
      </c>
      <c r="ABV52" s="12">
        <f>ABH40*POWER(1-(AnnualChurn*VLOOKUP(AAT52,ChurnSeasonTable,4,FALSE)),1)*BlendedPriceEssAnnual*AAW52+ABH28*POWER(1-(AnnualChurn*VLOOKUP(AAT52,ChurnSeasonTable,4,FALSE)),2)*BlendedPriceEssAnnual*AAW52+ABH16*POWER(1-(AnnualChurn*VLOOKUP(AAT52,ChurnSeasonTable,4,FALSE)),3)*BlendedPriceEssAnnual*AAW52+ABI40*POWER(1-(AnnualChurn*VLOOKUP(AAT52,ChurnSeasonTable,4,FALSE)),1)*BlendedPricePremAnnual*AAW52+ABI28*POWER(1-(AnnualChurn*VLOOKUP(AAT52,ChurnSeasonTable,4,FALSE)),2)*BlendedPricePremAnnual*AAW52+ABI16*POWER(1-(AnnualChurn*VLOOKUP(AAT52,ChurnSeasonTable,4,FALSE)),3)*BlendedPricePremAnnual*AAW52+ABJ40*POWER(1-(AnnualChurn*VLOOKUP(AAT52,ChurnSeasonTable,4,FALSE)),1)*BlendedPriceEliteAnnual*AAW52+ABJ28*POWER(1-(AnnualChurn*VLOOKUP(AAT52,ChurnSeasonTable,4,FALSE)),2)*BlendedPriceEliteAnnual*AAW52+ABJ16*POWER(1-(AnnualChurn*VLOOKUP(AAT52,ChurnSeasonTable,4,FALSE)),3)*BlendedPriceEliteAnnual*AAW52</f>
        <v/>
      </c>
      <c r="ABW52" s="9">
        <f>ABT52+ABU52+ABV52</f>
        <v/>
      </c>
      <c r="ABX52" s="12">
        <f>SUM(ABW41:ABW52)</f>
        <v/>
      </c>
      <c r="ABY52" s="12">
        <f>OR(ABY51,IF(VATAgentMode,SUM($ABW41:$ABW52)-SUM($ACD41:$ACD52)&gt;=VATThreshold,SUM($ABW41:$ABW52)&gt;=VATThreshold))</f>
        <v/>
      </c>
      <c r="ABZ52" s="9">
        <f>IF(ABY52,IF(VATAgentMode,ABW52-((ABW52-ACD52)-(ABW52-ACD52)/(1+VATRate)),ABW52/(1+VATRate)),ABW52)</f>
        <v/>
      </c>
      <c r="ACA52" s="12">
        <f>ABW52-ABZ52</f>
        <v/>
      </c>
      <c r="ACB52" s="12">
        <f>IF(ABY52=0,0,IF(AAT52=1,SUMPRODUCT(--(($AAU$5:$AAU52=$AAU52-1)*($AAT$5:$AAT52&gt;=10)*($AAT$5:$AAT52&lt;=12)),$ACA$5:$ACA52),IF(AAT52=4,SUMPRODUCT(--(($AAU$5:$AAU52=$AAU52)*($AAT$5:$AAT52&gt;=1)*($AAT$5:$AAT52&lt;=3)),$ACA$5:$ACA52),IF(AAT52=7,SUMPRODUCT(--(($AAU$5:$AAU52=$AAU52)*($AAT$5:$AAT52&gt;=4)*($AAT$5:$AAT52&lt;=6)),$ACA$5:$ACA52),IF(AAT52=10,SUMPRODUCT(--(($AAU$5:$AAU52=$AAU52)*($AAT$5:$AAT52&gt;=7)*($AAT$5:$AAT52&lt;=9)),$ACA$5:$ACA52),0)))))</f>
        <v/>
      </c>
      <c r="ACC52" s="12">
        <f>ACC51+ACA52-ACB52</f>
        <v/>
      </c>
      <c r="ACD52" s="12">
        <f>IF(ProviderDelay&gt;=1,ABK51*BlendedProvPayEss+ABL51*BlendedProvPayPrem+ABM51*BlendedProvPayElite+ABN51*BlendedProvPayEss+ABO51*BlendedProvPayPrem+ABP51*BlendedProvPayElite,ABK52*BlendedProvPayEss+ABL52*BlendedProvPayPrem+ABM52*BlendedProvPayElite+ABN52*BlendedProvPayEss+ABO52*BlendedProvPayPrem+ABP52*BlendedProvPayElite)</f>
        <v/>
      </c>
      <c r="ACE52" s="12">
        <f>ABW52*PaymentFee</f>
        <v/>
      </c>
      <c r="ACF52" s="12">
        <f>ABQ52*OpsAI</f>
        <v/>
      </c>
      <c r="ACG52" s="12">
        <f>MonthlyFixed</f>
        <v/>
      </c>
      <c r="ACH52" s="12">
        <f>ABA52*ReferralReward</f>
        <v/>
      </c>
      <c r="ACI52" s="12">
        <f>AAY52</f>
        <v/>
      </c>
      <c r="ACJ52" s="9">
        <f>ABZ52-ACD52-ACE52-ACF52-ACG52-ACH52-ACI52</f>
        <v/>
      </c>
      <c r="ACK52" s="9">
        <f>ACK51+ABW52-(ACD52+ACE52+ACF52+ACG52+ACH52+ACI52+ACB52)</f>
        <v/>
      </c>
      <c r="ACL52" s="12">
        <f>IF(ABQ52&gt;0,ABR52/ABQ52,0)</f>
        <v/>
      </c>
      <c r="ACM52" s="11">
        <f>IF(ABQ51&gt;0,MAX(0,(ABQ51+ABB52-ABQ52)/ABQ51),0)</f>
        <v/>
      </c>
      <c r="ACO52" s="12" t="n">
        <v>48</v>
      </c>
      <c r="ACP52" s="12">
        <f>MOD(ACO52-1+LaunchMonth-1,12)+1</f>
        <v/>
      </c>
      <c r="ACQ52" s="12">
        <f>INT((ACO52-1+LaunchMonth-1)/12)+1</f>
        <v/>
      </c>
      <c r="ACR52" s="12">
        <f>VLOOKUP(ACP52,SeasonTable,2,FALSE)</f>
        <v/>
      </c>
      <c r="ACS52" s="12">
        <f>(1+InflationRate)^INT((ACO52-1)/12)</f>
        <v/>
      </c>
      <c r="ACT52" s="11">
        <f>MonthlyChurn*VLOOKUP(ACP52,ChurnSeasonTable,4,FALSE)</f>
        <v/>
      </c>
      <c r="ACU52" s="12">
        <f>MIN(MAX(MktMin19plus,ADS51*MktPct19plus),MAX(0,AEG51-CashBuffer))</f>
        <v/>
      </c>
      <c r="ACV52" s="12">
        <f>IF(ACU52&gt;0,MAX(1,ROUND(ACU52/CAC*ACR52,0)),0)</f>
        <v/>
      </c>
      <c r="ACW52" s="12">
        <f>IF(ACV52&gt;0,ROUND(ACV52*ReferralMix/(1-ReferralMix),0),0)</f>
        <v/>
      </c>
      <c r="ACX52" s="12">
        <f>ACV52+ACW52</f>
        <v/>
      </c>
      <c r="ACY52" s="12">
        <f>ROUND(ACX52*(1-'Sens - Annual Mix'!$A$13),0)</f>
        <v/>
      </c>
      <c r="ACZ52" s="12">
        <f>ACX52-ACY52</f>
        <v/>
      </c>
      <c r="ADA52" s="12">
        <f>ROUND(ACY52*EssentialMix,0)</f>
        <v/>
      </c>
      <c r="ADB52" s="12">
        <f>ROUND(ACY52*PremiumMix,0)</f>
        <v/>
      </c>
      <c r="ADC52" s="12">
        <f>ACY52-ADA52-ADB52</f>
        <v/>
      </c>
      <c r="ADD52" s="12">
        <f>ROUND(ACZ52*EssentialMix,0)</f>
        <v/>
      </c>
      <c r="ADE52" s="12">
        <f>ROUND(ACZ52*PremiumMix,0)</f>
        <v/>
      </c>
      <c r="ADF52" s="12">
        <f>ACZ52-ADD52-ADE52</f>
        <v/>
      </c>
      <c r="ADG52" s="12">
        <f>ADA52+ADA51+ADA50+MAX(0,ADG51-ADA51-ADA50)*(1-ACT52)</f>
        <v/>
      </c>
      <c r="ADH52" s="12">
        <f>ADB52+ADB51+ADB50+MAX(0,ADH51-ADB51-ADB50)*(1-ACT52)</f>
        <v/>
      </c>
      <c r="ADI52" s="12">
        <f>ADC52+ADC51+ADC50+MAX(0,ADI51-ADC51-ADC50)*(1-ACT52)</f>
        <v/>
      </c>
      <c r="ADJ52" s="12">
        <f>ADJ51+ADD52-ADD40*(AnnualChurn*VLOOKUP(ACP52,ChurnSeasonTable,4,FALSE))*POWER(1-(AnnualChurn*VLOOKUP(ACP52,ChurnSeasonTable,4,FALSE)),0)+ADD28*(AnnualChurn*VLOOKUP(ACP52,ChurnSeasonTable,4,FALSE))*POWER(1-(AnnualChurn*VLOOKUP(ACP52,ChurnSeasonTable,4,FALSE)),1)+ADD16*(AnnualChurn*VLOOKUP(ACP52,ChurnSeasonTable,4,FALSE))*POWER(1-(AnnualChurn*VLOOKUP(ACP52,ChurnSeasonTable,4,FALSE)),2)</f>
        <v/>
      </c>
      <c r="ADK52" s="12">
        <f>ADK51+ADE52-ADE40*(AnnualChurn*VLOOKUP(ACP52,ChurnSeasonTable,4,FALSE))*POWER(1-(AnnualChurn*VLOOKUP(ACP52,ChurnSeasonTable,4,FALSE)),0)+ADE28*(AnnualChurn*VLOOKUP(ACP52,ChurnSeasonTable,4,FALSE))*POWER(1-(AnnualChurn*VLOOKUP(ACP52,ChurnSeasonTable,4,FALSE)),1)+ADE16*(AnnualChurn*VLOOKUP(ACP52,ChurnSeasonTable,4,FALSE))*POWER(1-(AnnualChurn*VLOOKUP(ACP52,ChurnSeasonTable,4,FALSE)),2)</f>
        <v/>
      </c>
      <c r="ADL52" s="12">
        <f>ADL51+ADF52-ADF40*(AnnualChurn*VLOOKUP(ACP52,ChurnSeasonTable,4,FALSE))*POWER(1-(AnnualChurn*VLOOKUP(ACP52,ChurnSeasonTable,4,FALSE)),0)+ADF28*(AnnualChurn*VLOOKUP(ACP52,ChurnSeasonTable,4,FALSE))*POWER(1-(AnnualChurn*VLOOKUP(ACP52,ChurnSeasonTable,4,FALSE)),1)+ADF16*(AnnualChurn*VLOOKUP(ACP52,ChurnSeasonTable,4,FALSE))*POWER(1-(AnnualChurn*VLOOKUP(ACP52,ChurnSeasonTable,4,FALSE)),2)</f>
        <v/>
      </c>
      <c r="ADM52" s="12">
        <f>ADG52+ADH52+ADI52+ADJ52+ADK52+ADL52</f>
        <v/>
      </c>
      <c r="ADN52" s="9">
        <f>ADG52*BlendedPriceEssMonthly*ACS52+ADH52*BlendedPricePremMonthly*ACS52+ADI52*BlendedPriceEliteMonthly*ACS52+ADJ52*BlendedPriceEssAnnual*ACS52/12+ADK52*BlendedPricePremAnnual*ACS52/12+ADL52*BlendedPriceEliteAnnual*ACS52/12</f>
        <v/>
      </c>
      <c r="ADO52" s="9">
        <f>ADN52*12</f>
        <v/>
      </c>
      <c r="ADP52" s="12">
        <f>ADG52*BlendedPriceEssMonthly*ACS52+ADH52*BlendedPricePremMonthly*ACS52+ADI52*BlendedPriceEliteMonthly*ACS52</f>
        <v/>
      </c>
      <c r="ADQ52" s="12">
        <f>ADD52*BlendedPriceEssAnnual*ACS52+ADE52*BlendedPricePremAnnual*ACS52+ADF52*BlendedPriceEliteAnnual*ACS52</f>
        <v/>
      </c>
      <c r="ADR52" s="12">
        <f>ADD40*POWER(1-(AnnualChurn*VLOOKUP(ACP52,ChurnSeasonTable,4,FALSE)),1)*BlendedPriceEssAnnual*ACS52+ADD28*POWER(1-(AnnualChurn*VLOOKUP(ACP52,ChurnSeasonTable,4,FALSE)),2)*BlendedPriceEssAnnual*ACS52+ADD16*POWER(1-(AnnualChurn*VLOOKUP(ACP52,ChurnSeasonTable,4,FALSE)),3)*BlendedPriceEssAnnual*ACS52+ADE40*POWER(1-(AnnualChurn*VLOOKUP(ACP52,ChurnSeasonTable,4,FALSE)),1)*BlendedPricePremAnnual*ACS52+ADE28*POWER(1-(AnnualChurn*VLOOKUP(ACP52,ChurnSeasonTable,4,FALSE)),2)*BlendedPricePremAnnual*ACS52+ADE16*POWER(1-(AnnualChurn*VLOOKUP(ACP52,ChurnSeasonTable,4,FALSE)),3)*BlendedPricePremAnnual*ACS52+ADF40*POWER(1-(AnnualChurn*VLOOKUP(ACP52,ChurnSeasonTable,4,FALSE)),1)*BlendedPriceEliteAnnual*ACS52+ADF28*POWER(1-(AnnualChurn*VLOOKUP(ACP52,ChurnSeasonTable,4,FALSE)),2)*BlendedPriceEliteAnnual*ACS52+ADF16*POWER(1-(AnnualChurn*VLOOKUP(ACP52,ChurnSeasonTable,4,FALSE)),3)*BlendedPriceEliteAnnual*ACS52</f>
        <v/>
      </c>
      <c r="ADS52" s="9">
        <f>ADP52+ADQ52+ADR52</f>
        <v/>
      </c>
      <c r="ADT52" s="12">
        <f>SUM(ADS41:ADS52)</f>
        <v/>
      </c>
      <c r="ADU52" s="12">
        <f>OR(ADU51,IF(VATAgentMode,SUM($ADS41:$ADS52)-SUM($ADZ41:$ADZ52)&gt;=VATThreshold,SUM($ADS41:$ADS52)&gt;=VATThreshold))</f>
        <v/>
      </c>
      <c r="ADV52" s="9">
        <f>IF(ADU52,IF(VATAgentMode,ADS52-((ADS52-ADZ52)-(ADS52-ADZ52)/(1+VATRate)),ADS52/(1+VATRate)),ADS52)</f>
        <v/>
      </c>
      <c r="ADW52" s="12">
        <f>ADS52-ADV52</f>
        <v/>
      </c>
      <c r="ADX52" s="12">
        <f>IF(ADU52=0,0,IF(ACP52=1,SUMPRODUCT(--(($ACQ$5:$ACQ52=$ACQ52-1)*($ACP$5:$ACP52&gt;=10)*($ACP$5:$ACP52&lt;=12)),$ADW$5:$ADW52),IF(ACP52=4,SUMPRODUCT(--(($ACQ$5:$ACQ52=$ACQ52)*($ACP$5:$ACP52&gt;=1)*($ACP$5:$ACP52&lt;=3)),$ADW$5:$ADW52),IF(ACP52=7,SUMPRODUCT(--(($ACQ$5:$ACQ52=$ACQ52)*($ACP$5:$ACP52&gt;=4)*($ACP$5:$ACP52&lt;=6)),$ADW$5:$ADW52),IF(ACP52=10,SUMPRODUCT(--(($ACQ$5:$ACQ52=$ACQ52)*($ACP$5:$ACP52&gt;=7)*($ACP$5:$ACP52&lt;=9)),$ADW$5:$ADW52),0)))))</f>
        <v/>
      </c>
      <c r="ADY52" s="12">
        <f>ADY51+ADW52-ADX52</f>
        <v/>
      </c>
      <c r="ADZ52" s="12">
        <f>IF(ProviderDelay&gt;=1,ADG51*BlendedProvPayEss+ADH51*BlendedProvPayPrem+ADI51*BlendedProvPayElite+ADJ51*BlendedProvPayEss+ADK51*BlendedProvPayPrem+ADL51*BlendedProvPayElite,ADG52*BlendedProvPayEss+ADH52*BlendedProvPayPrem+ADI52*BlendedProvPayElite+ADJ52*BlendedProvPayEss+ADK52*BlendedProvPayPrem+ADL52*BlendedProvPayElite)</f>
        <v/>
      </c>
      <c r="AEA52" s="12">
        <f>ADS52*PaymentFee</f>
        <v/>
      </c>
      <c r="AEB52" s="12">
        <f>ADM52*OpsAI</f>
        <v/>
      </c>
      <c r="AEC52" s="12">
        <f>MonthlyFixed</f>
        <v/>
      </c>
      <c r="AED52" s="12">
        <f>ACW52*ReferralReward</f>
        <v/>
      </c>
      <c r="AEE52" s="12">
        <f>ACU52</f>
        <v/>
      </c>
      <c r="AEF52" s="9">
        <f>ADV52-ADZ52-AEA52-AEB52-AEC52-AED52-AEE52</f>
        <v/>
      </c>
      <c r="AEG52" s="9">
        <f>AEG51+ADS52-(ADZ52+AEA52+AEB52+AEC52+AED52+AEE52+ADX52)</f>
        <v/>
      </c>
      <c r="AEH52" s="12">
        <f>IF(ADM52&gt;0,ADN52/ADM52,0)</f>
        <v/>
      </c>
      <c r="AEI52" s="11">
        <f>IF(ADM51&gt;0,MAX(0,(ADM51+ACX52-ADM52)/ADM51),0)</f>
        <v/>
      </c>
      <c r="AEK52" s="12" t="n">
        <v>48</v>
      </c>
      <c r="AEL52" s="12">
        <f>MOD(AEK52-1+LaunchMonth-1,12)+1</f>
        <v/>
      </c>
      <c r="AEM52" s="12">
        <f>INT((AEK52-1+LaunchMonth-1)/12)+1</f>
        <v/>
      </c>
      <c r="AEN52" s="12">
        <f>VLOOKUP(AEL52,SeasonTable,2,FALSE)</f>
        <v/>
      </c>
      <c r="AEO52" s="12">
        <f>(1+InflationRate)^INT((AEK52-1)/12)</f>
        <v/>
      </c>
      <c r="AEP52" s="11">
        <f>MonthlyChurn*VLOOKUP(AEL52,ChurnSeasonTable,4,FALSE)</f>
        <v/>
      </c>
      <c r="AEQ52" s="12">
        <f>MIN(MAX(MktMin19plus,AFO51*MktPct19plus),MAX(0,AGC51-CashBuffer))</f>
        <v/>
      </c>
      <c r="AER52" s="12">
        <f>IF(AEQ52&gt;0,MAX(1,ROUND(AEQ52/CAC*AEN52,0)),0)</f>
        <v/>
      </c>
      <c r="AES52" s="12">
        <f>IF(AER52&gt;0,ROUND(AER52*ReferralMix/(1-ReferralMix),0),0)</f>
        <v/>
      </c>
      <c r="AET52" s="12">
        <f>AER52+AES52</f>
        <v/>
      </c>
      <c r="AEU52" s="12">
        <f>ROUND(AET52*(1-'Sens - Annual Mix'!$A$14),0)</f>
        <v/>
      </c>
      <c r="AEV52" s="12">
        <f>AET52-AEU52</f>
        <v/>
      </c>
      <c r="AEW52" s="12">
        <f>ROUND(AEU52*EssentialMix,0)</f>
        <v/>
      </c>
      <c r="AEX52" s="12">
        <f>ROUND(AEU52*PremiumMix,0)</f>
        <v/>
      </c>
      <c r="AEY52" s="12">
        <f>AEU52-AEW52-AEX52</f>
        <v/>
      </c>
      <c r="AEZ52" s="12">
        <f>ROUND(AEV52*EssentialMix,0)</f>
        <v/>
      </c>
      <c r="AFA52" s="12">
        <f>ROUND(AEV52*PremiumMix,0)</f>
        <v/>
      </c>
      <c r="AFB52" s="12">
        <f>AEV52-AEZ52-AFA52</f>
        <v/>
      </c>
      <c r="AFC52" s="12">
        <f>AEW52+AEW51+AEW50+MAX(0,AFC51-AEW51-AEW50)*(1-AEP52)</f>
        <v/>
      </c>
      <c r="AFD52" s="12">
        <f>AEX52+AEX51+AEX50+MAX(0,AFD51-AEX51-AEX50)*(1-AEP52)</f>
        <v/>
      </c>
      <c r="AFE52" s="12">
        <f>AEY52+AEY51+AEY50+MAX(0,AFE51-AEY51-AEY50)*(1-AEP52)</f>
        <v/>
      </c>
      <c r="AFF52" s="12">
        <f>AFF51+AEZ52-AEZ40*(AnnualChurn*VLOOKUP(AEL52,ChurnSeasonTable,4,FALSE))*POWER(1-(AnnualChurn*VLOOKUP(AEL52,ChurnSeasonTable,4,FALSE)),0)+AEZ28*(AnnualChurn*VLOOKUP(AEL52,ChurnSeasonTable,4,FALSE))*POWER(1-(AnnualChurn*VLOOKUP(AEL52,ChurnSeasonTable,4,FALSE)),1)+AEZ16*(AnnualChurn*VLOOKUP(AEL52,ChurnSeasonTable,4,FALSE))*POWER(1-(AnnualChurn*VLOOKUP(AEL52,ChurnSeasonTable,4,FALSE)),2)</f>
        <v/>
      </c>
      <c r="AFG52" s="12">
        <f>AFG51+AFA52-AFA40*(AnnualChurn*VLOOKUP(AEL52,ChurnSeasonTable,4,FALSE))*POWER(1-(AnnualChurn*VLOOKUP(AEL52,ChurnSeasonTable,4,FALSE)),0)+AFA28*(AnnualChurn*VLOOKUP(AEL52,ChurnSeasonTable,4,FALSE))*POWER(1-(AnnualChurn*VLOOKUP(AEL52,ChurnSeasonTable,4,FALSE)),1)+AFA16*(AnnualChurn*VLOOKUP(AEL52,ChurnSeasonTable,4,FALSE))*POWER(1-(AnnualChurn*VLOOKUP(AEL52,ChurnSeasonTable,4,FALSE)),2)</f>
        <v/>
      </c>
      <c r="AFH52" s="12">
        <f>AFH51+AFB52-AFB40*(AnnualChurn*VLOOKUP(AEL52,ChurnSeasonTable,4,FALSE))*POWER(1-(AnnualChurn*VLOOKUP(AEL52,ChurnSeasonTable,4,FALSE)),0)+AFB28*(AnnualChurn*VLOOKUP(AEL52,ChurnSeasonTable,4,FALSE))*POWER(1-(AnnualChurn*VLOOKUP(AEL52,ChurnSeasonTable,4,FALSE)),1)+AFB16*(AnnualChurn*VLOOKUP(AEL52,ChurnSeasonTable,4,FALSE))*POWER(1-(AnnualChurn*VLOOKUP(AEL52,ChurnSeasonTable,4,FALSE)),2)</f>
        <v/>
      </c>
      <c r="AFI52" s="12">
        <f>AFC52+AFD52+AFE52+AFF52+AFG52+AFH52</f>
        <v/>
      </c>
      <c r="AFJ52" s="9">
        <f>AFC52*BlendedPriceEssMonthly*AEO52+AFD52*BlendedPricePremMonthly*AEO52+AFE52*BlendedPriceEliteMonthly*AEO52+AFF52*BlendedPriceEssAnnual*AEO52/12+AFG52*BlendedPricePremAnnual*AEO52/12+AFH52*BlendedPriceEliteAnnual*AEO52/12</f>
        <v/>
      </c>
      <c r="AFK52" s="9">
        <f>AFJ52*12</f>
        <v/>
      </c>
      <c r="AFL52" s="12">
        <f>AFC52*BlendedPriceEssMonthly*AEO52+AFD52*BlendedPricePremMonthly*AEO52+AFE52*BlendedPriceEliteMonthly*AEO52</f>
        <v/>
      </c>
      <c r="AFM52" s="12">
        <f>AEZ52*BlendedPriceEssAnnual*AEO52+AFA52*BlendedPricePremAnnual*AEO52+AFB52*BlendedPriceEliteAnnual*AEO52</f>
        <v/>
      </c>
      <c r="AFN52" s="12">
        <f>AEZ40*POWER(1-(AnnualChurn*VLOOKUP(AEL52,ChurnSeasonTable,4,FALSE)),1)*BlendedPriceEssAnnual*AEO52+AEZ28*POWER(1-(AnnualChurn*VLOOKUP(AEL52,ChurnSeasonTable,4,FALSE)),2)*BlendedPriceEssAnnual*AEO52+AEZ16*POWER(1-(AnnualChurn*VLOOKUP(AEL52,ChurnSeasonTable,4,FALSE)),3)*BlendedPriceEssAnnual*AEO52+AFA40*POWER(1-(AnnualChurn*VLOOKUP(AEL52,ChurnSeasonTable,4,FALSE)),1)*BlendedPricePremAnnual*AEO52+AFA28*POWER(1-(AnnualChurn*VLOOKUP(AEL52,ChurnSeasonTable,4,FALSE)),2)*BlendedPricePremAnnual*AEO52+AFA16*POWER(1-(AnnualChurn*VLOOKUP(AEL52,ChurnSeasonTable,4,FALSE)),3)*BlendedPricePremAnnual*AEO52+AFB40*POWER(1-(AnnualChurn*VLOOKUP(AEL52,ChurnSeasonTable,4,FALSE)),1)*BlendedPriceEliteAnnual*AEO52+AFB28*POWER(1-(AnnualChurn*VLOOKUP(AEL52,ChurnSeasonTable,4,FALSE)),2)*BlendedPriceEliteAnnual*AEO52+AFB16*POWER(1-(AnnualChurn*VLOOKUP(AEL52,ChurnSeasonTable,4,FALSE)),3)*BlendedPriceEliteAnnual*AEO52</f>
        <v/>
      </c>
      <c r="AFO52" s="9">
        <f>AFL52+AFM52+AFN52</f>
        <v/>
      </c>
      <c r="AFP52" s="12">
        <f>SUM(AFO41:AFO52)</f>
        <v/>
      </c>
      <c r="AFQ52" s="12">
        <f>OR(AFQ51,IF(VATAgentMode,SUM($AFO41:$AFO52)-SUM($AFV41:$AFV52)&gt;=VATThreshold,SUM($AFO41:$AFO52)&gt;=VATThreshold))</f>
        <v/>
      </c>
      <c r="AFR52" s="9">
        <f>IF(AFQ52,IF(VATAgentMode,AFO52-((AFO52-AFV52)-(AFO52-AFV52)/(1+VATRate)),AFO52/(1+VATRate)),AFO52)</f>
        <v/>
      </c>
      <c r="AFS52" s="12">
        <f>AFO52-AFR52</f>
        <v/>
      </c>
      <c r="AFT52" s="12">
        <f>IF(AFQ52=0,0,IF(AEL52=1,SUMPRODUCT(--(($AEM$5:$AEM52=$AEM52-1)*($AEL$5:$AEL52&gt;=10)*($AEL$5:$AEL52&lt;=12)),$AFS$5:$AFS52),IF(AEL52=4,SUMPRODUCT(--(($AEM$5:$AEM52=$AEM52)*($AEL$5:$AEL52&gt;=1)*($AEL$5:$AEL52&lt;=3)),$AFS$5:$AFS52),IF(AEL52=7,SUMPRODUCT(--(($AEM$5:$AEM52=$AEM52)*($AEL$5:$AEL52&gt;=4)*($AEL$5:$AEL52&lt;=6)),$AFS$5:$AFS52),IF(AEL52=10,SUMPRODUCT(--(($AEM$5:$AEM52=$AEM52)*($AEL$5:$AEL52&gt;=7)*($AEL$5:$AEL52&lt;=9)),$AFS$5:$AFS52),0)))))</f>
        <v/>
      </c>
      <c r="AFU52" s="12">
        <f>AFU51+AFS52-AFT52</f>
        <v/>
      </c>
      <c r="AFV52" s="12">
        <f>IF(ProviderDelay&gt;=1,AFC51*BlendedProvPayEss+AFD51*BlendedProvPayPrem+AFE51*BlendedProvPayElite+AFF51*BlendedProvPayEss+AFG51*BlendedProvPayPrem+AFH51*BlendedProvPayElite,AFC52*BlendedProvPayEss+AFD52*BlendedProvPayPrem+AFE52*BlendedProvPayElite+AFF52*BlendedProvPayEss+AFG52*BlendedProvPayPrem+AFH52*BlendedProvPayElite)</f>
        <v/>
      </c>
      <c r="AFW52" s="12">
        <f>AFO52*PaymentFee</f>
        <v/>
      </c>
      <c r="AFX52" s="12">
        <f>AFI52*OpsAI</f>
        <v/>
      </c>
      <c r="AFY52" s="12">
        <f>MonthlyFixed</f>
        <v/>
      </c>
      <c r="AFZ52" s="12">
        <f>AES52*ReferralReward</f>
        <v/>
      </c>
      <c r="AGA52" s="12">
        <f>AEQ52</f>
        <v/>
      </c>
      <c r="AGB52" s="9">
        <f>AFR52-AFV52-AFW52-AFX52-AFY52-AFZ52-AGA52</f>
        <v/>
      </c>
      <c r="AGC52" s="9">
        <f>AGC51+AFO52-(AFV52+AFW52+AFX52+AFY52+AFZ52+AGA52+AFT52)</f>
        <v/>
      </c>
      <c r="AGD52" s="12">
        <f>IF(AFI52&gt;0,AFJ52/AFI52,0)</f>
        <v/>
      </c>
      <c r="AGE52" s="11">
        <f>IF(AFI51&gt;0,MAX(0,(AFI51+AET52-AFI52)/AFI51),0)</f>
        <v/>
      </c>
      <c r="AGG52" s="12" t="n">
        <v>48</v>
      </c>
      <c r="AGH52" s="12">
        <f>MOD(AGG52-1+LaunchMonth-1,12)+1</f>
        <v/>
      </c>
      <c r="AGI52" s="12">
        <f>INT((AGG52-1+LaunchMonth-1)/12)+1</f>
        <v/>
      </c>
      <c r="AGJ52" s="12">
        <f>VLOOKUP(AGH52,SeasonTable,2,FALSE)</f>
        <v/>
      </c>
      <c r="AGK52" s="12">
        <f>(1+InflationRate)^INT((AGG52-1)/12)</f>
        <v/>
      </c>
      <c r="AGL52" s="11">
        <f>MonthlyChurn*VLOOKUP(AGH52,ChurnSeasonTable,4,FALSE)</f>
        <v/>
      </c>
      <c r="AGM52" s="12">
        <f>MIN(MAX(MktMin19plus,AHK51*MktPct19plus),MAX(0,AHY51-CashBuffer))</f>
        <v/>
      </c>
      <c r="AGN52" s="12">
        <f>IF(AGM52&gt;0,MAX(1,ROUND(AGM52/CAC*AGJ52,0)),0)</f>
        <v/>
      </c>
      <c r="AGO52" s="12">
        <f>IF(AGN52&gt;0,ROUND(AGN52*ReferralMix/(1-ReferralMix),0),0)</f>
        <v/>
      </c>
      <c r="AGP52" s="12">
        <f>AGN52+AGO52</f>
        <v/>
      </c>
      <c r="AGQ52" s="12">
        <f>ROUND(AGP52*(1-'Sens - Annual Mix'!$A$15),0)</f>
        <v/>
      </c>
      <c r="AGR52" s="12">
        <f>AGP52-AGQ52</f>
        <v/>
      </c>
      <c r="AGS52" s="12">
        <f>ROUND(AGQ52*EssentialMix,0)</f>
        <v/>
      </c>
      <c r="AGT52" s="12">
        <f>ROUND(AGQ52*PremiumMix,0)</f>
        <v/>
      </c>
      <c r="AGU52" s="12">
        <f>AGQ52-AGS52-AGT52</f>
        <v/>
      </c>
      <c r="AGV52" s="12">
        <f>ROUND(AGR52*EssentialMix,0)</f>
        <v/>
      </c>
      <c r="AGW52" s="12">
        <f>ROUND(AGR52*PremiumMix,0)</f>
        <v/>
      </c>
      <c r="AGX52" s="12">
        <f>AGR52-AGV52-AGW52</f>
        <v/>
      </c>
      <c r="AGY52" s="12">
        <f>AGS52+AGS51+AGS50+MAX(0,AGY51-AGS51-AGS50)*(1-AGL52)</f>
        <v/>
      </c>
      <c r="AGZ52" s="12">
        <f>AGT52+AGT51+AGT50+MAX(0,AGZ51-AGT51-AGT50)*(1-AGL52)</f>
        <v/>
      </c>
      <c r="AHA52" s="12">
        <f>AGU52+AGU51+AGU50+MAX(0,AHA51-AGU51-AGU50)*(1-AGL52)</f>
        <v/>
      </c>
      <c r="AHB52" s="12">
        <f>AHB51+AGV52-AGV40*(AnnualChurn*VLOOKUP(AGH52,ChurnSeasonTable,4,FALSE))*POWER(1-(AnnualChurn*VLOOKUP(AGH52,ChurnSeasonTable,4,FALSE)),0)+AGV28*(AnnualChurn*VLOOKUP(AGH52,ChurnSeasonTable,4,FALSE))*POWER(1-(AnnualChurn*VLOOKUP(AGH52,ChurnSeasonTable,4,FALSE)),1)+AGV16*(AnnualChurn*VLOOKUP(AGH52,ChurnSeasonTable,4,FALSE))*POWER(1-(AnnualChurn*VLOOKUP(AGH52,ChurnSeasonTable,4,FALSE)),2)</f>
        <v/>
      </c>
      <c r="AHC52" s="12">
        <f>AHC51+AGW52-AGW40*(AnnualChurn*VLOOKUP(AGH52,ChurnSeasonTable,4,FALSE))*POWER(1-(AnnualChurn*VLOOKUP(AGH52,ChurnSeasonTable,4,FALSE)),0)+AGW28*(AnnualChurn*VLOOKUP(AGH52,ChurnSeasonTable,4,FALSE))*POWER(1-(AnnualChurn*VLOOKUP(AGH52,ChurnSeasonTable,4,FALSE)),1)+AGW16*(AnnualChurn*VLOOKUP(AGH52,ChurnSeasonTable,4,FALSE))*POWER(1-(AnnualChurn*VLOOKUP(AGH52,ChurnSeasonTable,4,FALSE)),2)</f>
        <v/>
      </c>
      <c r="AHD52" s="12">
        <f>AHD51+AGX52-AGX40*(AnnualChurn*VLOOKUP(AGH52,ChurnSeasonTable,4,FALSE))*POWER(1-(AnnualChurn*VLOOKUP(AGH52,ChurnSeasonTable,4,FALSE)),0)+AGX28*(AnnualChurn*VLOOKUP(AGH52,ChurnSeasonTable,4,FALSE))*POWER(1-(AnnualChurn*VLOOKUP(AGH52,ChurnSeasonTable,4,FALSE)),1)+AGX16*(AnnualChurn*VLOOKUP(AGH52,ChurnSeasonTable,4,FALSE))*POWER(1-(AnnualChurn*VLOOKUP(AGH52,ChurnSeasonTable,4,FALSE)),2)</f>
        <v/>
      </c>
      <c r="AHE52" s="12">
        <f>AGY52+AGZ52+AHA52+AHB52+AHC52+AHD52</f>
        <v/>
      </c>
      <c r="AHF52" s="9">
        <f>AGY52*BlendedPriceEssMonthly*AGK52+AGZ52*BlendedPricePremMonthly*AGK52+AHA52*BlendedPriceEliteMonthly*AGK52+AHB52*BlendedPriceEssAnnual*AGK52/12+AHC52*BlendedPricePremAnnual*AGK52/12+AHD52*BlendedPriceEliteAnnual*AGK52/12</f>
        <v/>
      </c>
      <c r="AHG52" s="9">
        <f>AHF52*12</f>
        <v/>
      </c>
      <c r="AHH52" s="12">
        <f>AGY52*BlendedPriceEssMonthly*AGK52+AGZ52*BlendedPricePremMonthly*AGK52+AHA52*BlendedPriceEliteMonthly*AGK52</f>
        <v/>
      </c>
      <c r="AHI52" s="12">
        <f>AGV52*BlendedPriceEssAnnual*AGK52+AGW52*BlendedPricePremAnnual*AGK52+AGX52*BlendedPriceEliteAnnual*AGK52</f>
        <v/>
      </c>
      <c r="AHJ52" s="12">
        <f>AGV40*POWER(1-(AnnualChurn*VLOOKUP(AGH52,ChurnSeasonTable,4,FALSE)),1)*BlendedPriceEssAnnual*AGK52+AGV28*POWER(1-(AnnualChurn*VLOOKUP(AGH52,ChurnSeasonTable,4,FALSE)),2)*BlendedPriceEssAnnual*AGK52+AGV16*POWER(1-(AnnualChurn*VLOOKUP(AGH52,ChurnSeasonTable,4,FALSE)),3)*BlendedPriceEssAnnual*AGK52+AGW40*POWER(1-(AnnualChurn*VLOOKUP(AGH52,ChurnSeasonTable,4,FALSE)),1)*BlendedPricePremAnnual*AGK52+AGW28*POWER(1-(AnnualChurn*VLOOKUP(AGH52,ChurnSeasonTable,4,FALSE)),2)*BlendedPricePremAnnual*AGK52+AGW16*POWER(1-(AnnualChurn*VLOOKUP(AGH52,ChurnSeasonTable,4,FALSE)),3)*BlendedPricePremAnnual*AGK52+AGX40*POWER(1-(AnnualChurn*VLOOKUP(AGH52,ChurnSeasonTable,4,FALSE)),1)*BlendedPriceEliteAnnual*AGK52+AGX28*POWER(1-(AnnualChurn*VLOOKUP(AGH52,ChurnSeasonTable,4,FALSE)),2)*BlendedPriceEliteAnnual*AGK52+AGX16*POWER(1-(AnnualChurn*VLOOKUP(AGH52,ChurnSeasonTable,4,FALSE)),3)*BlendedPriceEliteAnnual*AGK52</f>
        <v/>
      </c>
      <c r="AHK52" s="9">
        <f>AHH52+AHI52+AHJ52</f>
        <v/>
      </c>
      <c r="AHL52" s="12">
        <f>SUM(AHK41:AHK52)</f>
        <v/>
      </c>
      <c r="AHM52" s="12">
        <f>OR(AHM51,IF(VATAgentMode,SUM($AHK41:$AHK52)-SUM($AHR41:$AHR52)&gt;=VATThreshold,SUM($AHK41:$AHK52)&gt;=VATThreshold))</f>
        <v/>
      </c>
      <c r="AHN52" s="9">
        <f>IF(AHM52,IF(VATAgentMode,AHK52-((AHK52-AHR52)-(AHK52-AHR52)/(1+VATRate)),AHK52/(1+VATRate)),AHK52)</f>
        <v/>
      </c>
      <c r="AHO52" s="12">
        <f>AHK52-AHN52</f>
        <v/>
      </c>
      <c r="AHP52" s="12">
        <f>IF(AHM52=0,0,IF(AGH52=1,SUMPRODUCT(--(($AGI$5:$AGI52=$AGI52-1)*($AGH$5:$AGH52&gt;=10)*($AGH$5:$AGH52&lt;=12)),$AHO$5:$AHO52),IF(AGH52=4,SUMPRODUCT(--(($AGI$5:$AGI52=$AGI52)*($AGH$5:$AGH52&gt;=1)*($AGH$5:$AGH52&lt;=3)),$AHO$5:$AHO52),IF(AGH52=7,SUMPRODUCT(--(($AGI$5:$AGI52=$AGI52)*($AGH$5:$AGH52&gt;=4)*($AGH$5:$AGH52&lt;=6)),$AHO$5:$AHO52),IF(AGH52=10,SUMPRODUCT(--(($AGI$5:$AGI52=$AGI52)*($AGH$5:$AGH52&gt;=7)*($AGH$5:$AGH52&lt;=9)),$AHO$5:$AHO52),0)))))</f>
        <v/>
      </c>
      <c r="AHQ52" s="12">
        <f>AHQ51+AHO52-AHP52</f>
        <v/>
      </c>
      <c r="AHR52" s="12">
        <f>IF(ProviderDelay&gt;=1,AGY51*BlendedProvPayEss+AGZ51*BlendedProvPayPrem+AHA51*BlendedProvPayElite+AHB51*BlendedProvPayEss+AHC51*BlendedProvPayPrem+AHD51*BlendedProvPayElite,AGY52*BlendedProvPayEss+AGZ52*BlendedProvPayPrem+AHA52*BlendedProvPayElite+AHB52*BlendedProvPayEss+AHC52*BlendedProvPayPrem+AHD52*BlendedProvPayElite)</f>
        <v/>
      </c>
      <c r="AHS52" s="12">
        <f>AHK52*PaymentFee</f>
        <v/>
      </c>
      <c r="AHT52" s="12">
        <f>AHE52*OpsAI</f>
        <v/>
      </c>
      <c r="AHU52" s="12">
        <f>MonthlyFixed</f>
        <v/>
      </c>
      <c r="AHV52" s="12">
        <f>AGO52*ReferralReward</f>
        <v/>
      </c>
      <c r="AHW52" s="12">
        <f>AGM52</f>
        <v/>
      </c>
      <c r="AHX52" s="9">
        <f>AHN52-AHR52-AHS52-AHT52-AHU52-AHV52-AHW52</f>
        <v/>
      </c>
      <c r="AHY52" s="9">
        <f>AHY51+AHK52-(AHR52+AHS52+AHT52+AHU52+AHV52+AHW52+AHP52)</f>
        <v/>
      </c>
      <c r="AHZ52" s="12">
        <f>IF(AHE52&gt;0,AHF52/AHE52,0)</f>
        <v/>
      </c>
      <c r="AIA52" s="11">
        <f>IF(AHE51&gt;0,MAX(0,(AHE51+AGP52-AHE52)/AHE51),0)</f>
        <v/>
      </c>
      <c r="AIC52" s="12" t="n">
        <v>48</v>
      </c>
      <c r="AID52" s="12">
        <f>MOD(AIC52-1+LaunchMonth-1,12)+1</f>
        <v/>
      </c>
      <c r="AIE52" s="12">
        <f>INT((AIC52-1+LaunchMonth-1)/12)+1</f>
        <v/>
      </c>
      <c r="AIF52" s="12">
        <f>VLOOKUP(AID52,SeasonTable,2,FALSE)</f>
        <v/>
      </c>
      <c r="AIG52" s="12">
        <f>(1+InflationRate)^INT((AIC52-1)/12)</f>
        <v/>
      </c>
      <c r="AIH52" s="11">
        <f>MonthlyChurn*VLOOKUP(AID52,ChurnSeasonTable,4,FALSE)</f>
        <v/>
      </c>
      <c r="AII52" s="12">
        <f>MIN(MAX(MktMin19plus,AJG51*MktPct19plus),MAX(0,AJU51-CashBuffer))</f>
        <v/>
      </c>
      <c r="AIJ52" s="12">
        <f>IF(AII52&gt;0,MAX(1,ROUND(AII52/'Sens - CAC &amp; Marketing'!$A$9*AIF52,0)),0)</f>
        <v/>
      </c>
      <c r="AIK52" s="12">
        <f>IF(AIJ52&gt;0,ROUND(AIJ52*ReferralMix/(1-ReferralMix),0),0)</f>
        <v/>
      </c>
      <c r="AIL52" s="12">
        <f>AIJ52+AIK52</f>
        <v/>
      </c>
      <c r="AIM52" s="12">
        <f>ROUND(AIL52*(1-AnnualMix),0)</f>
        <v/>
      </c>
      <c r="AIN52" s="12">
        <f>AIL52-AIM52</f>
        <v/>
      </c>
      <c r="AIO52" s="12">
        <f>ROUND(AIM52*EssentialMix,0)</f>
        <v/>
      </c>
      <c r="AIP52" s="12">
        <f>ROUND(AIM52*PremiumMix,0)</f>
        <v/>
      </c>
      <c r="AIQ52" s="12">
        <f>AIM52-AIO52-AIP52</f>
        <v/>
      </c>
      <c r="AIR52" s="12">
        <f>ROUND(AIN52*EssentialMix,0)</f>
        <v/>
      </c>
      <c r="AIS52" s="12">
        <f>ROUND(AIN52*PremiumMix,0)</f>
        <v/>
      </c>
      <c r="AIT52" s="12">
        <f>AIN52-AIR52-AIS52</f>
        <v/>
      </c>
      <c r="AIU52" s="12">
        <f>AIO52+AIO51+AIO50+MAX(0,AIU51-AIO51-AIO50)*(1-AIH52)</f>
        <v/>
      </c>
      <c r="AIV52" s="12">
        <f>AIP52+AIP51+AIP50+MAX(0,AIV51-AIP51-AIP50)*(1-AIH52)</f>
        <v/>
      </c>
      <c r="AIW52" s="12">
        <f>AIQ52+AIQ51+AIQ50+MAX(0,AIW51-AIQ51-AIQ50)*(1-AIH52)</f>
        <v/>
      </c>
      <c r="AIX52" s="12">
        <f>AIX51+AIR52-AIR40*(AnnualChurn*VLOOKUP(AID52,ChurnSeasonTable,4,FALSE))*POWER(1-(AnnualChurn*VLOOKUP(AID52,ChurnSeasonTable,4,FALSE)),0)+AIR28*(AnnualChurn*VLOOKUP(AID52,ChurnSeasonTable,4,FALSE))*POWER(1-(AnnualChurn*VLOOKUP(AID52,ChurnSeasonTable,4,FALSE)),1)+AIR16*(AnnualChurn*VLOOKUP(AID52,ChurnSeasonTable,4,FALSE))*POWER(1-(AnnualChurn*VLOOKUP(AID52,ChurnSeasonTable,4,FALSE)),2)</f>
        <v/>
      </c>
      <c r="AIY52" s="12">
        <f>AIY51+AIS52-AIS40*(AnnualChurn*VLOOKUP(AID52,ChurnSeasonTable,4,FALSE))*POWER(1-(AnnualChurn*VLOOKUP(AID52,ChurnSeasonTable,4,FALSE)),0)+AIS28*(AnnualChurn*VLOOKUP(AID52,ChurnSeasonTable,4,FALSE))*POWER(1-(AnnualChurn*VLOOKUP(AID52,ChurnSeasonTable,4,FALSE)),1)+AIS16*(AnnualChurn*VLOOKUP(AID52,ChurnSeasonTable,4,FALSE))*POWER(1-(AnnualChurn*VLOOKUP(AID52,ChurnSeasonTable,4,FALSE)),2)</f>
        <v/>
      </c>
      <c r="AIZ52" s="12">
        <f>AIZ51+AIT52-AIT40*(AnnualChurn*VLOOKUP(AID52,ChurnSeasonTable,4,FALSE))*POWER(1-(AnnualChurn*VLOOKUP(AID52,ChurnSeasonTable,4,FALSE)),0)+AIT28*(AnnualChurn*VLOOKUP(AID52,ChurnSeasonTable,4,FALSE))*POWER(1-(AnnualChurn*VLOOKUP(AID52,ChurnSeasonTable,4,FALSE)),1)+AIT16*(AnnualChurn*VLOOKUP(AID52,ChurnSeasonTable,4,FALSE))*POWER(1-(AnnualChurn*VLOOKUP(AID52,ChurnSeasonTable,4,FALSE)),2)</f>
        <v/>
      </c>
      <c r="AJA52" s="12">
        <f>AIU52+AIV52+AIW52+AIX52+AIY52+AIZ52</f>
        <v/>
      </c>
      <c r="AJB52" s="9">
        <f>AIU52*BlendedPriceEssMonthly*AIG52+AIV52*BlendedPricePremMonthly*AIG52+AIW52*BlendedPriceEliteMonthly*AIG52+AIX52*BlendedPriceEssAnnual*AIG52/12+AIY52*BlendedPricePremAnnual*AIG52/12+AIZ52*BlendedPriceEliteAnnual*AIG52/12</f>
        <v/>
      </c>
      <c r="AJC52" s="9">
        <f>AJB52*12</f>
        <v/>
      </c>
      <c r="AJD52" s="12">
        <f>AIU52*BlendedPriceEssMonthly*AIG52+AIV52*BlendedPricePremMonthly*AIG52+AIW52*BlendedPriceEliteMonthly*AIG52</f>
        <v/>
      </c>
      <c r="AJE52" s="12">
        <f>AIR52*BlendedPriceEssAnnual*AIG52+AIS52*BlendedPricePremAnnual*AIG52+AIT52*BlendedPriceEliteAnnual*AIG52</f>
        <v/>
      </c>
      <c r="AJF52" s="12">
        <f>AIR40*POWER(1-(AnnualChurn*VLOOKUP(AID52,ChurnSeasonTable,4,FALSE)),1)*BlendedPriceEssAnnual*AIG52+AIR28*POWER(1-(AnnualChurn*VLOOKUP(AID52,ChurnSeasonTable,4,FALSE)),2)*BlendedPriceEssAnnual*AIG52+AIR16*POWER(1-(AnnualChurn*VLOOKUP(AID52,ChurnSeasonTable,4,FALSE)),3)*BlendedPriceEssAnnual*AIG52+AIS40*POWER(1-(AnnualChurn*VLOOKUP(AID52,ChurnSeasonTable,4,FALSE)),1)*BlendedPricePremAnnual*AIG52+AIS28*POWER(1-(AnnualChurn*VLOOKUP(AID52,ChurnSeasonTable,4,FALSE)),2)*BlendedPricePremAnnual*AIG52+AIS16*POWER(1-(AnnualChurn*VLOOKUP(AID52,ChurnSeasonTable,4,FALSE)),3)*BlendedPricePremAnnual*AIG52+AIT40*POWER(1-(AnnualChurn*VLOOKUP(AID52,ChurnSeasonTable,4,FALSE)),1)*BlendedPriceEliteAnnual*AIG52+AIT28*POWER(1-(AnnualChurn*VLOOKUP(AID52,ChurnSeasonTable,4,FALSE)),2)*BlendedPriceEliteAnnual*AIG52+AIT16*POWER(1-(AnnualChurn*VLOOKUP(AID52,ChurnSeasonTable,4,FALSE)),3)*BlendedPriceEliteAnnual*AIG52</f>
        <v/>
      </c>
      <c r="AJG52" s="9">
        <f>AJD52+AJE52+AJF52</f>
        <v/>
      </c>
      <c r="AJH52" s="12">
        <f>SUM(AJG41:AJG52)</f>
        <v/>
      </c>
      <c r="AJI52" s="12">
        <f>OR(AJI51,IF(VATAgentMode,SUM($AJG41:$AJG52)-SUM($AJN41:$AJN52)&gt;=VATThreshold,SUM($AJG41:$AJG52)&gt;=VATThreshold))</f>
        <v/>
      </c>
      <c r="AJJ52" s="9">
        <f>IF(AJI52,IF(VATAgentMode,AJG52-((AJG52-AJN52)-(AJG52-AJN52)/(1+VATRate)),AJG52/(1+VATRate)),AJG52)</f>
        <v/>
      </c>
      <c r="AJK52" s="12">
        <f>AJG52-AJJ52</f>
        <v/>
      </c>
      <c r="AJL52" s="12">
        <f>IF(AJI52=0,0,IF(AID52=1,SUMPRODUCT(--(($AIE$5:$AIE52=$AIE52-1)*($AID$5:$AID52&gt;=10)*($AID$5:$AID52&lt;=12)),$AJK$5:$AJK52),IF(AID52=4,SUMPRODUCT(--(($AIE$5:$AIE52=$AIE52)*($AID$5:$AID52&gt;=1)*($AID$5:$AID52&lt;=3)),$AJK$5:$AJK52),IF(AID52=7,SUMPRODUCT(--(($AIE$5:$AIE52=$AIE52)*($AID$5:$AID52&gt;=4)*($AID$5:$AID52&lt;=6)),$AJK$5:$AJK52),IF(AID52=10,SUMPRODUCT(--(($AIE$5:$AIE52=$AIE52)*($AID$5:$AID52&gt;=7)*($AID$5:$AID52&lt;=9)),$AJK$5:$AJK52),0)))))</f>
        <v/>
      </c>
      <c r="AJM52" s="12">
        <f>AJM51+AJK52-AJL52</f>
        <v/>
      </c>
      <c r="AJN52" s="12">
        <f>IF(ProviderDelay&gt;=1,AIU51*BlendedProvPayEss+AIV51*BlendedProvPayPrem+AIW51*BlendedProvPayElite+AIX51*BlendedProvPayEss+AIY51*BlendedProvPayPrem+AIZ51*BlendedProvPayElite,AIU52*BlendedProvPayEss+AIV52*BlendedProvPayPrem+AIW52*BlendedProvPayElite+AIX52*BlendedProvPayEss+AIY52*BlendedProvPayPrem+AIZ52*BlendedProvPayElite)</f>
        <v/>
      </c>
      <c r="AJO52" s="12">
        <f>AJG52*PaymentFee</f>
        <v/>
      </c>
      <c r="AJP52" s="12">
        <f>AJA52*OpsAI</f>
        <v/>
      </c>
      <c r="AJQ52" s="12">
        <f>MonthlyFixed</f>
        <v/>
      </c>
      <c r="AJR52" s="12">
        <f>AIK52*ReferralReward</f>
        <v/>
      </c>
      <c r="AJS52" s="12">
        <f>AII52</f>
        <v/>
      </c>
      <c r="AJT52" s="9">
        <f>AJJ52-AJN52-AJO52-AJP52-AJQ52-AJR52-AJS52</f>
        <v/>
      </c>
      <c r="AJU52" s="9">
        <f>AJU51+AJG52-(AJN52+AJO52+AJP52+AJQ52+AJR52+AJS52+AJL52)</f>
        <v/>
      </c>
      <c r="AJV52" s="12">
        <f>IF(AJA52&gt;0,AJB52/AJA52,0)</f>
        <v/>
      </c>
      <c r="AJW52" s="11">
        <f>IF(AJA51&gt;0,MAX(0,(AJA51+AIL52-AJA52)/AJA51),0)</f>
        <v/>
      </c>
      <c r="AJY52" s="12" t="n">
        <v>48</v>
      </c>
      <c r="AJZ52" s="12">
        <f>MOD(AJY52-1+LaunchMonth-1,12)+1</f>
        <v/>
      </c>
      <c r="AKA52" s="12">
        <f>INT((AJY52-1+LaunchMonth-1)/12)+1</f>
        <v/>
      </c>
      <c r="AKB52" s="12">
        <f>VLOOKUP(AJZ52,SeasonTable,2,FALSE)</f>
        <v/>
      </c>
      <c r="AKC52" s="12">
        <f>(1+InflationRate)^INT((AJY52-1)/12)</f>
        <v/>
      </c>
      <c r="AKD52" s="11">
        <f>MonthlyChurn*VLOOKUP(AJZ52,ChurnSeasonTable,4,FALSE)</f>
        <v/>
      </c>
      <c r="AKE52" s="12">
        <f>MIN(MAX(MktMin19plus,ALC51*MktPct19plus),MAX(0,ALQ51-CashBuffer))</f>
        <v/>
      </c>
      <c r="AKF52" s="12">
        <f>IF(AKE52&gt;0,MAX(1,ROUND(AKE52/'Sens - CAC &amp; Marketing'!$A$10*AKB52,0)),0)</f>
        <v/>
      </c>
      <c r="AKG52" s="12">
        <f>IF(AKF52&gt;0,ROUND(AKF52*ReferralMix/(1-ReferralMix),0),0)</f>
        <v/>
      </c>
      <c r="AKH52" s="12">
        <f>AKF52+AKG52</f>
        <v/>
      </c>
      <c r="AKI52" s="12">
        <f>ROUND(AKH52*(1-AnnualMix),0)</f>
        <v/>
      </c>
      <c r="AKJ52" s="12">
        <f>AKH52-AKI52</f>
        <v/>
      </c>
      <c r="AKK52" s="12">
        <f>ROUND(AKI52*EssentialMix,0)</f>
        <v/>
      </c>
      <c r="AKL52" s="12">
        <f>ROUND(AKI52*PremiumMix,0)</f>
        <v/>
      </c>
      <c r="AKM52" s="12">
        <f>AKI52-AKK52-AKL52</f>
        <v/>
      </c>
      <c r="AKN52" s="12">
        <f>ROUND(AKJ52*EssentialMix,0)</f>
        <v/>
      </c>
      <c r="AKO52" s="12">
        <f>ROUND(AKJ52*PremiumMix,0)</f>
        <v/>
      </c>
      <c r="AKP52" s="12">
        <f>AKJ52-AKN52-AKO52</f>
        <v/>
      </c>
      <c r="AKQ52" s="12">
        <f>AKK52+AKK51+AKK50+MAX(0,AKQ51-AKK51-AKK50)*(1-AKD52)</f>
        <v/>
      </c>
      <c r="AKR52" s="12">
        <f>AKL52+AKL51+AKL50+MAX(0,AKR51-AKL51-AKL50)*(1-AKD52)</f>
        <v/>
      </c>
      <c r="AKS52" s="12">
        <f>AKM52+AKM51+AKM50+MAX(0,AKS51-AKM51-AKM50)*(1-AKD52)</f>
        <v/>
      </c>
      <c r="AKT52" s="12">
        <f>AKT51+AKN52-AKN40*(AnnualChurn*VLOOKUP(AJZ52,ChurnSeasonTable,4,FALSE))*POWER(1-(AnnualChurn*VLOOKUP(AJZ52,ChurnSeasonTable,4,FALSE)),0)+AKN28*(AnnualChurn*VLOOKUP(AJZ52,ChurnSeasonTable,4,FALSE))*POWER(1-(AnnualChurn*VLOOKUP(AJZ52,ChurnSeasonTable,4,FALSE)),1)+AKN16*(AnnualChurn*VLOOKUP(AJZ52,ChurnSeasonTable,4,FALSE))*POWER(1-(AnnualChurn*VLOOKUP(AJZ52,ChurnSeasonTable,4,FALSE)),2)</f>
        <v/>
      </c>
      <c r="AKU52" s="12">
        <f>AKU51+AKO52-AKO40*(AnnualChurn*VLOOKUP(AJZ52,ChurnSeasonTable,4,FALSE))*POWER(1-(AnnualChurn*VLOOKUP(AJZ52,ChurnSeasonTable,4,FALSE)),0)+AKO28*(AnnualChurn*VLOOKUP(AJZ52,ChurnSeasonTable,4,FALSE))*POWER(1-(AnnualChurn*VLOOKUP(AJZ52,ChurnSeasonTable,4,FALSE)),1)+AKO16*(AnnualChurn*VLOOKUP(AJZ52,ChurnSeasonTable,4,FALSE))*POWER(1-(AnnualChurn*VLOOKUP(AJZ52,ChurnSeasonTable,4,FALSE)),2)</f>
        <v/>
      </c>
      <c r="AKV52" s="12">
        <f>AKV51+AKP52-AKP40*(AnnualChurn*VLOOKUP(AJZ52,ChurnSeasonTable,4,FALSE))*POWER(1-(AnnualChurn*VLOOKUP(AJZ52,ChurnSeasonTable,4,FALSE)),0)+AKP28*(AnnualChurn*VLOOKUP(AJZ52,ChurnSeasonTable,4,FALSE))*POWER(1-(AnnualChurn*VLOOKUP(AJZ52,ChurnSeasonTable,4,FALSE)),1)+AKP16*(AnnualChurn*VLOOKUP(AJZ52,ChurnSeasonTable,4,FALSE))*POWER(1-(AnnualChurn*VLOOKUP(AJZ52,ChurnSeasonTable,4,FALSE)),2)</f>
        <v/>
      </c>
      <c r="AKW52" s="12">
        <f>AKQ52+AKR52+AKS52+AKT52+AKU52+AKV52</f>
        <v/>
      </c>
      <c r="AKX52" s="9">
        <f>AKQ52*BlendedPriceEssMonthly*AKC52+AKR52*BlendedPricePremMonthly*AKC52+AKS52*BlendedPriceEliteMonthly*AKC52+AKT52*BlendedPriceEssAnnual*AKC52/12+AKU52*BlendedPricePremAnnual*AKC52/12+AKV52*BlendedPriceEliteAnnual*AKC52/12</f>
        <v/>
      </c>
      <c r="AKY52" s="9">
        <f>AKX52*12</f>
        <v/>
      </c>
      <c r="AKZ52" s="12">
        <f>AKQ52*BlendedPriceEssMonthly*AKC52+AKR52*BlendedPricePremMonthly*AKC52+AKS52*BlendedPriceEliteMonthly*AKC52</f>
        <v/>
      </c>
      <c r="ALA52" s="12">
        <f>AKN52*BlendedPriceEssAnnual*AKC52+AKO52*BlendedPricePremAnnual*AKC52+AKP52*BlendedPriceEliteAnnual*AKC52</f>
        <v/>
      </c>
      <c r="ALB52" s="12">
        <f>AKN40*POWER(1-(AnnualChurn*VLOOKUP(AJZ52,ChurnSeasonTable,4,FALSE)),1)*BlendedPriceEssAnnual*AKC52+AKN28*POWER(1-(AnnualChurn*VLOOKUP(AJZ52,ChurnSeasonTable,4,FALSE)),2)*BlendedPriceEssAnnual*AKC52+AKN16*POWER(1-(AnnualChurn*VLOOKUP(AJZ52,ChurnSeasonTable,4,FALSE)),3)*BlendedPriceEssAnnual*AKC52+AKO40*POWER(1-(AnnualChurn*VLOOKUP(AJZ52,ChurnSeasonTable,4,FALSE)),1)*BlendedPricePremAnnual*AKC52+AKO28*POWER(1-(AnnualChurn*VLOOKUP(AJZ52,ChurnSeasonTable,4,FALSE)),2)*BlendedPricePremAnnual*AKC52+AKO16*POWER(1-(AnnualChurn*VLOOKUP(AJZ52,ChurnSeasonTable,4,FALSE)),3)*BlendedPricePremAnnual*AKC52+AKP40*POWER(1-(AnnualChurn*VLOOKUP(AJZ52,ChurnSeasonTable,4,FALSE)),1)*BlendedPriceEliteAnnual*AKC52+AKP28*POWER(1-(AnnualChurn*VLOOKUP(AJZ52,ChurnSeasonTable,4,FALSE)),2)*BlendedPriceEliteAnnual*AKC52+AKP16*POWER(1-(AnnualChurn*VLOOKUP(AJZ52,ChurnSeasonTable,4,FALSE)),3)*BlendedPriceEliteAnnual*AKC52</f>
        <v/>
      </c>
      <c r="ALC52" s="9">
        <f>AKZ52+ALA52+ALB52</f>
        <v/>
      </c>
      <c r="ALD52" s="12">
        <f>SUM(ALC41:ALC52)</f>
        <v/>
      </c>
      <c r="ALE52" s="12">
        <f>OR(ALE51,IF(VATAgentMode,SUM($ALC41:$ALC52)-SUM($ALJ41:$ALJ52)&gt;=VATThreshold,SUM($ALC41:$ALC52)&gt;=VATThreshold))</f>
        <v/>
      </c>
      <c r="ALF52" s="9">
        <f>IF(ALE52,IF(VATAgentMode,ALC52-((ALC52-ALJ52)-(ALC52-ALJ52)/(1+VATRate)),ALC52/(1+VATRate)),ALC52)</f>
        <v/>
      </c>
      <c r="ALG52" s="12">
        <f>ALC52-ALF52</f>
        <v/>
      </c>
      <c r="ALH52" s="12">
        <f>IF(ALE52=0,0,IF(AJZ52=1,SUMPRODUCT(--(($AKA$5:$AKA52=$AKA52-1)*($AJZ$5:$AJZ52&gt;=10)*($AJZ$5:$AJZ52&lt;=12)),$ALG$5:$ALG52),IF(AJZ52=4,SUMPRODUCT(--(($AKA$5:$AKA52=$AKA52)*($AJZ$5:$AJZ52&gt;=1)*($AJZ$5:$AJZ52&lt;=3)),$ALG$5:$ALG52),IF(AJZ52=7,SUMPRODUCT(--(($AKA$5:$AKA52=$AKA52)*($AJZ$5:$AJZ52&gt;=4)*($AJZ$5:$AJZ52&lt;=6)),$ALG$5:$ALG52),IF(AJZ52=10,SUMPRODUCT(--(($AKA$5:$AKA52=$AKA52)*($AJZ$5:$AJZ52&gt;=7)*($AJZ$5:$AJZ52&lt;=9)),$ALG$5:$ALG52),0)))))</f>
        <v/>
      </c>
      <c r="ALI52" s="12">
        <f>ALI51+ALG52-ALH52</f>
        <v/>
      </c>
      <c r="ALJ52" s="12">
        <f>IF(ProviderDelay&gt;=1,AKQ51*BlendedProvPayEss+AKR51*BlendedProvPayPrem+AKS51*BlendedProvPayElite+AKT51*BlendedProvPayEss+AKU51*BlendedProvPayPrem+AKV51*BlendedProvPayElite,AKQ52*BlendedProvPayEss+AKR52*BlendedProvPayPrem+AKS52*BlendedProvPayElite+AKT52*BlendedProvPayEss+AKU52*BlendedProvPayPrem+AKV52*BlendedProvPayElite)</f>
        <v/>
      </c>
      <c r="ALK52" s="12">
        <f>ALC52*PaymentFee</f>
        <v/>
      </c>
      <c r="ALL52" s="12">
        <f>AKW52*OpsAI</f>
        <v/>
      </c>
      <c r="ALM52" s="12">
        <f>MonthlyFixed</f>
        <v/>
      </c>
      <c r="ALN52" s="12">
        <f>AKG52*ReferralReward</f>
        <v/>
      </c>
      <c r="ALO52" s="12">
        <f>AKE52</f>
        <v/>
      </c>
      <c r="ALP52" s="9">
        <f>ALF52-ALJ52-ALK52-ALL52-ALM52-ALN52-ALO52</f>
        <v/>
      </c>
      <c r="ALQ52" s="9">
        <f>ALQ51+ALC52-(ALJ52+ALK52+ALL52+ALM52+ALN52+ALO52+ALH52)</f>
        <v/>
      </c>
      <c r="ALR52" s="12">
        <f>IF(AKW52&gt;0,AKX52/AKW52,0)</f>
        <v/>
      </c>
      <c r="ALS52" s="11">
        <f>IF(AKW51&gt;0,MAX(0,(AKW51+AKH52-AKW52)/AKW51),0)</f>
        <v/>
      </c>
      <c r="ALU52" s="12" t="n">
        <v>48</v>
      </c>
      <c r="ALV52" s="12">
        <f>MOD(ALU52-1+LaunchMonth-1,12)+1</f>
        <v/>
      </c>
      <c r="ALW52" s="12">
        <f>INT((ALU52-1+LaunchMonth-1)/12)+1</f>
        <v/>
      </c>
      <c r="ALX52" s="12">
        <f>VLOOKUP(ALV52,SeasonTable,2,FALSE)</f>
        <v/>
      </c>
      <c r="ALY52" s="12">
        <f>(1+InflationRate)^INT((ALU52-1)/12)</f>
        <v/>
      </c>
      <c r="ALZ52" s="11">
        <f>MonthlyChurn*VLOOKUP(ALV52,ChurnSeasonTable,4,FALSE)</f>
        <v/>
      </c>
      <c r="AMA52" s="12">
        <f>MIN(MAX(MktMin19plus,AMY51*MktPct19plus),MAX(0,ANM51-CashBuffer))</f>
        <v/>
      </c>
      <c r="AMB52" s="12">
        <f>IF(AMA52&gt;0,MAX(1,ROUND(AMA52/'Sens - CAC &amp; Marketing'!$A$11*ALX52,0)),0)</f>
        <v/>
      </c>
      <c r="AMC52" s="12">
        <f>IF(AMB52&gt;0,ROUND(AMB52*ReferralMix/(1-ReferralMix),0),0)</f>
        <v/>
      </c>
      <c r="AMD52" s="12">
        <f>AMB52+AMC52</f>
        <v/>
      </c>
      <c r="AME52" s="12">
        <f>ROUND(AMD52*(1-AnnualMix),0)</f>
        <v/>
      </c>
      <c r="AMF52" s="12">
        <f>AMD52-AME52</f>
        <v/>
      </c>
      <c r="AMG52" s="12">
        <f>ROUND(AME52*EssentialMix,0)</f>
        <v/>
      </c>
      <c r="AMH52" s="12">
        <f>ROUND(AME52*PremiumMix,0)</f>
        <v/>
      </c>
      <c r="AMI52" s="12">
        <f>AME52-AMG52-AMH52</f>
        <v/>
      </c>
      <c r="AMJ52" s="12">
        <f>ROUND(AMF52*EssentialMix,0)</f>
        <v/>
      </c>
      <c r="AMK52" s="12">
        <f>ROUND(AMF52*PremiumMix,0)</f>
        <v/>
      </c>
      <c r="AML52" s="12">
        <f>AMF52-AMJ52-AMK52</f>
        <v/>
      </c>
      <c r="AMM52" s="12">
        <f>AMG52+AMG51+AMG50+MAX(0,AMM51-AMG51-AMG50)*(1-ALZ52)</f>
        <v/>
      </c>
      <c r="AMN52" s="12">
        <f>AMH52+AMH51+AMH50+MAX(0,AMN51-AMH51-AMH50)*(1-ALZ52)</f>
        <v/>
      </c>
      <c r="AMO52" s="12">
        <f>AMI52+AMI51+AMI50+MAX(0,AMO51-AMI51-AMI50)*(1-ALZ52)</f>
        <v/>
      </c>
      <c r="AMP52" s="12">
        <f>AMP51+AMJ52-AMJ40*(AnnualChurn*VLOOKUP(ALV52,ChurnSeasonTable,4,FALSE))*POWER(1-(AnnualChurn*VLOOKUP(ALV52,ChurnSeasonTable,4,FALSE)),0)+AMJ28*(AnnualChurn*VLOOKUP(ALV52,ChurnSeasonTable,4,FALSE))*POWER(1-(AnnualChurn*VLOOKUP(ALV52,ChurnSeasonTable,4,FALSE)),1)+AMJ16*(AnnualChurn*VLOOKUP(ALV52,ChurnSeasonTable,4,FALSE))*POWER(1-(AnnualChurn*VLOOKUP(ALV52,ChurnSeasonTable,4,FALSE)),2)</f>
        <v/>
      </c>
      <c r="AMQ52" s="12">
        <f>AMQ51+AMK52-AMK40*(AnnualChurn*VLOOKUP(ALV52,ChurnSeasonTable,4,FALSE))*POWER(1-(AnnualChurn*VLOOKUP(ALV52,ChurnSeasonTable,4,FALSE)),0)+AMK28*(AnnualChurn*VLOOKUP(ALV52,ChurnSeasonTable,4,FALSE))*POWER(1-(AnnualChurn*VLOOKUP(ALV52,ChurnSeasonTable,4,FALSE)),1)+AMK16*(AnnualChurn*VLOOKUP(ALV52,ChurnSeasonTable,4,FALSE))*POWER(1-(AnnualChurn*VLOOKUP(ALV52,ChurnSeasonTable,4,FALSE)),2)</f>
        <v/>
      </c>
      <c r="AMR52" s="12">
        <f>AMR51+AML52-AML40*(AnnualChurn*VLOOKUP(ALV52,ChurnSeasonTable,4,FALSE))*POWER(1-(AnnualChurn*VLOOKUP(ALV52,ChurnSeasonTable,4,FALSE)),0)+AML28*(AnnualChurn*VLOOKUP(ALV52,ChurnSeasonTable,4,FALSE))*POWER(1-(AnnualChurn*VLOOKUP(ALV52,ChurnSeasonTable,4,FALSE)),1)+AML16*(AnnualChurn*VLOOKUP(ALV52,ChurnSeasonTable,4,FALSE))*POWER(1-(AnnualChurn*VLOOKUP(ALV52,ChurnSeasonTable,4,FALSE)),2)</f>
        <v/>
      </c>
      <c r="AMS52" s="12">
        <f>AMM52+AMN52+AMO52+AMP52+AMQ52+AMR52</f>
        <v/>
      </c>
      <c r="AMT52" s="9">
        <f>AMM52*BlendedPriceEssMonthly*ALY52+AMN52*BlendedPricePremMonthly*ALY52+AMO52*BlendedPriceEliteMonthly*ALY52+AMP52*BlendedPriceEssAnnual*ALY52/12+AMQ52*BlendedPricePremAnnual*ALY52/12+AMR52*BlendedPriceEliteAnnual*ALY52/12</f>
        <v/>
      </c>
      <c r="AMU52" s="9">
        <f>AMT52*12</f>
        <v/>
      </c>
      <c r="AMV52" s="12">
        <f>AMM52*BlendedPriceEssMonthly*ALY52+AMN52*BlendedPricePremMonthly*ALY52+AMO52*BlendedPriceEliteMonthly*ALY52</f>
        <v/>
      </c>
      <c r="AMW52" s="12">
        <f>AMJ52*BlendedPriceEssAnnual*ALY52+AMK52*BlendedPricePremAnnual*ALY52+AML52*BlendedPriceEliteAnnual*ALY52</f>
        <v/>
      </c>
      <c r="AMX52" s="12">
        <f>AMJ40*POWER(1-(AnnualChurn*VLOOKUP(ALV52,ChurnSeasonTable,4,FALSE)),1)*BlendedPriceEssAnnual*ALY52+AMJ28*POWER(1-(AnnualChurn*VLOOKUP(ALV52,ChurnSeasonTable,4,FALSE)),2)*BlendedPriceEssAnnual*ALY52+AMJ16*POWER(1-(AnnualChurn*VLOOKUP(ALV52,ChurnSeasonTable,4,FALSE)),3)*BlendedPriceEssAnnual*ALY52+AMK40*POWER(1-(AnnualChurn*VLOOKUP(ALV52,ChurnSeasonTable,4,FALSE)),1)*BlendedPricePremAnnual*ALY52+AMK28*POWER(1-(AnnualChurn*VLOOKUP(ALV52,ChurnSeasonTable,4,FALSE)),2)*BlendedPricePremAnnual*ALY52+AMK16*POWER(1-(AnnualChurn*VLOOKUP(ALV52,ChurnSeasonTable,4,FALSE)),3)*BlendedPricePremAnnual*ALY52+AML40*POWER(1-(AnnualChurn*VLOOKUP(ALV52,ChurnSeasonTable,4,FALSE)),1)*BlendedPriceEliteAnnual*ALY52+AML28*POWER(1-(AnnualChurn*VLOOKUP(ALV52,ChurnSeasonTable,4,FALSE)),2)*BlendedPriceEliteAnnual*ALY52+AML16*POWER(1-(AnnualChurn*VLOOKUP(ALV52,ChurnSeasonTable,4,FALSE)),3)*BlendedPriceEliteAnnual*ALY52</f>
        <v/>
      </c>
      <c r="AMY52" s="9">
        <f>AMV52+AMW52+AMX52</f>
        <v/>
      </c>
      <c r="AMZ52" s="12">
        <f>SUM(AMY41:AMY52)</f>
        <v/>
      </c>
      <c r="ANA52" s="12">
        <f>OR(ANA51,IF(VATAgentMode,SUM($AMY41:$AMY52)-SUM($ANF41:$ANF52)&gt;=VATThreshold,SUM($AMY41:$AMY52)&gt;=VATThreshold))</f>
        <v/>
      </c>
      <c r="ANB52" s="9">
        <f>IF(ANA52,IF(VATAgentMode,AMY52-((AMY52-ANF52)-(AMY52-ANF52)/(1+VATRate)),AMY52/(1+VATRate)),AMY52)</f>
        <v/>
      </c>
      <c r="ANC52" s="12">
        <f>AMY52-ANB52</f>
        <v/>
      </c>
      <c r="AND52" s="12">
        <f>IF(ANA52=0,0,IF(ALV52=1,SUMPRODUCT(--(($ALW$5:$ALW52=$ALW52-1)*($ALV$5:$ALV52&gt;=10)*($ALV$5:$ALV52&lt;=12)),$ANC$5:$ANC52),IF(ALV52=4,SUMPRODUCT(--(($ALW$5:$ALW52=$ALW52)*($ALV$5:$ALV52&gt;=1)*($ALV$5:$ALV52&lt;=3)),$ANC$5:$ANC52),IF(ALV52=7,SUMPRODUCT(--(($ALW$5:$ALW52=$ALW52)*($ALV$5:$ALV52&gt;=4)*($ALV$5:$ALV52&lt;=6)),$ANC$5:$ANC52),IF(ALV52=10,SUMPRODUCT(--(($ALW$5:$ALW52=$ALW52)*($ALV$5:$ALV52&gt;=7)*($ALV$5:$ALV52&lt;=9)),$ANC$5:$ANC52),0)))))</f>
        <v/>
      </c>
      <c r="ANE52" s="12">
        <f>ANE51+ANC52-AND52</f>
        <v/>
      </c>
      <c r="ANF52" s="12">
        <f>IF(ProviderDelay&gt;=1,AMM51*BlendedProvPayEss+AMN51*BlendedProvPayPrem+AMO51*BlendedProvPayElite+AMP51*BlendedProvPayEss+AMQ51*BlendedProvPayPrem+AMR51*BlendedProvPayElite,AMM52*BlendedProvPayEss+AMN52*BlendedProvPayPrem+AMO52*BlendedProvPayElite+AMP52*BlendedProvPayEss+AMQ52*BlendedProvPayPrem+AMR52*BlendedProvPayElite)</f>
        <v/>
      </c>
      <c r="ANG52" s="12">
        <f>AMY52*PaymentFee</f>
        <v/>
      </c>
      <c r="ANH52" s="12">
        <f>AMS52*OpsAI</f>
        <v/>
      </c>
      <c r="ANI52" s="12">
        <f>MonthlyFixed</f>
        <v/>
      </c>
      <c r="ANJ52" s="12">
        <f>AMC52*ReferralReward</f>
        <v/>
      </c>
      <c r="ANK52" s="12">
        <f>AMA52</f>
        <v/>
      </c>
      <c r="ANL52" s="9">
        <f>ANB52-ANF52-ANG52-ANH52-ANI52-ANJ52-ANK52</f>
        <v/>
      </c>
      <c r="ANM52" s="9">
        <f>ANM51+AMY52-(ANF52+ANG52+ANH52+ANI52+ANJ52+ANK52+AND52)</f>
        <v/>
      </c>
      <c r="ANN52" s="12">
        <f>IF(AMS52&gt;0,AMT52/AMS52,0)</f>
        <v/>
      </c>
      <c r="ANO52" s="11">
        <f>IF(AMS51&gt;0,MAX(0,(AMS51+AMD52-AMS52)/AMS51),0)</f>
        <v/>
      </c>
      <c r="ANQ52" s="12" t="n">
        <v>48</v>
      </c>
      <c r="ANR52" s="12">
        <f>MOD(ANQ52-1+LaunchMonth-1,12)+1</f>
        <v/>
      </c>
      <c r="ANS52" s="12">
        <f>INT((ANQ52-1+LaunchMonth-1)/12)+1</f>
        <v/>
      </c>
      <c r="ANT52" s="12">
        <f>VLOOKUP(ANR52,SeasonTable,2,FALSE)</f>
        <v/>
      </c>
      <c r="ANU52" s="12">
        <f>(1+InflationRate)^INT((ANQ52-1)/12)</f>
        <v/>
      </c>
      <c r="ANV52" s="11">
        <f>MonthlyChurn*VLOOKUP(ANR52,ChurnSeasonTable,4,FALSE)</f>
        <v/>
      </c>
      <c r="ANW52" s="12">
        <f>MIN(MAX(MktMin19plus,AOU51*MktPct19plus),MAX(0,API51-CashBuffer))</f>
        <v/>
      </c>
      <c r="ANX52" s="12">
        <f>IF(ANW52&gt;0,MAX(1,ROUND(ANW52/'Sens - CAC &amp; Marketing'!$A$12*ANT52,0)),0)</f>
        <v/>
      </c>
      <c r="ANY52" s="12">
        <f>IF(ANX52&gt;0,ROUND(ANX52*ReferralMix/(1-ReferralMix),0),0)</f>
        <v/>
      </c>
      <c r="ANZ52" s="12">
        <f>ANX52+ANY52</f>
        <v/>
      </c>
      <c r="AOA52" s="12">
        <f>ROUND(ANZ52*(1-AnnualMix),0)</f>
        <v/>
      </c>
      <c r="AOB52" s="12">
        <f>ANZ52-AOA52</f>
        <v/>
      </c>
      <c r="AOC52" s="12">
        <f>ROUND(AOA52*EssentialMix,0)</f>
        <v/>
      </c>
      <c r="AOD52" s="12">
        <f>ROUND(AOA52*PremiumMix,0)</f>
        <v/>
      </c>
      <c r="AOE52" s="12">
        <f>AOA52-AOC52-AOD52</f>
        <v/>
      </c>
      <c r="AOF52" s="12">
        <f>ROUND(AOB52*EssentialMix,0)</f>
        <v/>
      </c>
      <c r="AOG52" s="12">
        <f>ROUND(AOB52*PremiumMix,0)</f>
        <v/>
      </c>
      <c r="AOH52" s="12">
        <f>AOB52-AOF52-AOG52</f>
        <v/>
      </c>
      <c r="AOI52" s="12">
        <f>AOC52+AOC51+AOC50+MAX(0,AOI51-AOC51-AOC50)*(1-ANV52)</f>
        <v/>
      </c>
      <c r="AOJ52" s="12">
        <f>AOD52+AOD51+AOD50+MAX(0,AOJ51-AOD51-AOD50)*(1-ANV52)</f>
        <v/>
      </c>
      <c r="AOK52" s="12">
        <f>AOE52+AOE51+AOE50+MAX(0,AOK51-AOE51-AOE50)*(1-ANV52)</f>
        <v/>
      </c>
      <c r="AOL52" s="12">
        <f>AOL51+AOF52-AOF40*(AnnualChurn*VLOOKUP(ANR52,ChurnSeasonTable,4,FALSE))*POWER(1-(AnnualChurn*VLOOKUP(ANR52,ChurnSeasonTable,4,FALSE)),0)+AOF28*(AnnualChurn*VLOOKUP(ANR52,ChurnSeasonTable,4,FALSE))*POWER(1-(AnnualChurn*VLOOKUP(ANR52,ChurnSeasonTable,4,FALSE)),1)+AOF16*(AnnualChurn*VLOOKUP(ANR52,ChurnSeasonTable,4,FALSE))*POWER(1-(AnnualChurn*VLOOKUP(ANR52,ChurnSeasonTable,4,FALSE)),2)</f>
        <v/>
      </c>
      <c r="AOM52" s="12">
        <f>AOM51+AOG52-AOG40*(AnnualChurn*VLOOKUP(ANR52,ChurnSeasonTable,4,FALSE))*POWER(1-(AnnualChurn*VLOOKUP(ANR52,ChurnSeasonTable,4,FALSE)),0)+AOG28*(AnnualChurn*VLOOKUP(ANR52,ChurnSeasonTable,4,FALSE))*POWER(1-(AnnualChurn*VLOOKUP(ANR52,ChurnSeasonTable,4,FALSE)),1)+AOG16*(AnnualChurn*VLOOKUP(ANR52,ChurnSeasonTable,4,FALSE))*POWER(1-(AnnualChurn*VLOOKUP(ANR52,ChurnSeasonTable,4,FALSE)),2)</f>
        <v/>
      </c>
      <c r="AON52" s="12">
        <f>AON51+AOH52-AOH40*(AnnualChurn*VLOOKUP(ANR52,ChurnSeasonTable,4,FALSE))*POWER(1-(AnnualChurn*VLOOKUP(ANR52,ChurnSeasonTable,4,FALSE)),0)+AOH28*(AnnualChurn*VLOOKUP(ANR52,ChurnSeasonTable,4,FALSE))*POWER(1-(AnnualChurn*VLOOKUP(ANR52,ChurnSeasonTable,4,FALSE)),1)+AOH16*(AnnualChurn*VLOOKUP(ANR52,ChurnSeasonTable,4,FALSE))*POWER(1-(AnnualChurn*VLOOKUP(ANR52,ChurnSeasonTable,4,FALSE)),2)</f>
        <v/>
      </c>
      <c r="AOO52" s="12">
        <f>AOI52+AOJ52+AOK52+AOL52+AOM52+AON52</f>
        <v/>
      </c>
      <c r="AOP52" s="9">
        <f>AOI52*BlendedPriceEssMonthly*ANU52+AOJ52*BlendedPricePremMonthly*ANU52+AOK52*BlendedPriceEliteMonthly*ANU52+AOL52*BlendedPriceEssAnnual*ANU52/12+AOM52*BlendedPricePremAnnual*ANU52/12+AON52*BlendedPriceEliteAnnual*ANU52/12</f>
        <v/>
      </c>
      <c r="AOQ52" s="9">
        <f>AOP52*12</f>
        <v/>
      </c>
      <c r="AOR52" s="12">
        <f>AOI52*BlendedPriceEssMonthly*ANU52+AOJ52*BlendedPricePremMonthly*ANU52+AOK52*BlendedPriceEliteMonthly*ANU52</f>
        <v/>
      </c>
      <c r="AOS52" s="12">
        <f>AOF52*BlendedPriceEssAnnual*ANU52+AOG52*BlendedPricePremAnnual*ANU52+AOH52*BlendedPriceEliteAnnual*ANU52</f>
        <v/>
      </c>
      <c r="AOT52" s="12">
        <f>AOF40*POWER(1-(AnnualChurn*VLOOKUP(ANR52,ChurnSeasonTable,4,FALSE)),1)*BlendedPriceEssAnnual*ANU52+AOF28*POWER(1-(AnnualChurn*VLOOKUP(ANR52,ChurnSeasonTable,4,FALSE)),2)*BlendedPriceEssAnnual*ANU52+AOF16*POWER(1-(AnnualChurn*VLOOKUP(ANR52,ChurnSeasonTable,4,FALSE)),3)*BlendedPriceEssAnnual*ANU52+AOG40*POWER(1-(AnnualChurn*VLOOKUP(ANR52,ChurnSeasonTable,4,FALSE)),1)*BlendedPricePremAnnual*ANU52+AOG28*POWER(1-(AnnualChurn*VLOOKUP(ANR52,ChurnSeasonTable,4,FALSE)),2)*BlendedPricePremAnnual*ANU52+AOG16*POWER(1-(AnnualChurn*VLOOKUP(ANR52,ChurnSeasonTable,4,FALSE)),3)*BlendedPricePremAnnual*ANU52+AOH40*POWER(1-(AnnualChurn*VLOOKUP(ANR52,ChurnSeasonTable,4,FALSE)),1)*BlendedPriceEliteAnnual*ANU52+AOH28*POWER(1-(AnnualChurn*VLOOKUP(ANR52,ChurnSeasonTable,4,FALSE)),2)*BlendedPriceEliteAnnual*ANU52+AOH16*POWER(1-(AnnualChurn*VLOOKUP(ANR52,ChurnSeasonTable,4,FALSE)),3)*BlendedPriceEliteAnnual*ANU52</f>
        <v/>
      </c>
      <c r="AOU52" s="9">
        <f>AOR52+AOS52+AOT52</f>
        <v/>
      </c>
      <c r="AOV52" s="12">
        <f>SUM(AOU41:AOU52)</f>
        <v/>
      </c>
      <c r="AOW52" s="12">
        <f>OR(AOW51,IF(VATAgentMode,SUM($AOU41:$AOU52)-SUM($APB41:$APB52)&gt;=VATThreshold,SUM($AOU41:$AOU52)&gt;=VATThreshold))</f>
        <v/>
      </c>
      <c r="AOX52" s="9">
        <f>IF(AOW52,IF(VATAgentMode,AOU52-((AOU52-APB52)-(AOU52-APB52)/(1+VATRate)),AOU52/(1+VATRate)),AOU52)</f>
        <v/>
      </c>
      <c r="AOY52" s="12">
        <f>AOU52-AOX52</f>
        <v/>
      </c>
      <c r="AOZ52" s="12">
        <f>IF(AOW52=0,0,IF(ANR52=1,SUMPRODUCT(--(($ANS$5:$ANS52=$ANS52-1)*($ANR$5:$ANR52&gt;=10)*($ANR$5:$ANR52&lt;=12)),$AOY$5:$AOY52),IF(ANR52=4,SUMPRODUCT(--(($ANS$5:$ANS52=$ANS52)*($ANR$5:$ANR52&gt;=1)*($ANR$5:$ANR52&lt;=3)),$AOY$5:$AOY52),IF(ANR52=7,SUMPRODUCT(--(($ANS$5:$ANS52=$ANS52)*($ANR$5:$ANR52&gt;=4)*($ANR$5:$ANR52&lt;=6)),$AOY$5:$AOY52),IF(ANR52=10,SUMPRODUCT(--(($ANS$5:$ANS52=$ANS52)*($ANR$5:$ANR52&gt;=7)*($ANR$5:$ANR52&lt;=9)),$AOY$5:$AOY52),0)))))</f>
        <v/>
      </c>
      <c r="APA52" s="12">
        <f>APA51+AOY52-AOZ52</f>
        <v/>
      </c>
      <c r="APB52" s="12">
        <f>IF(ProviderDelay&gt;=1,AOI51*BlendedProvPayEss+AOJ51*BlendedProvPayPrem+AOK51*BlendedProvPayElite+AOL51*BlendedProvPayEss+AOM51*BlendedProvPayPrem+AON51*BlendedProvPayElite,AOI52*BlendedProvPayEss+AOJ52*BlendedProvPayPrem+AOK52*BlendedProvPayElite+AOL52*BlendedProvPayEss+AOM52*BlendedProvPayPrem+AON52*BlendedProvPayElite)</f>
        <v/>
      </c>
      <c r="APC52" s="12">
        <f>AOU52*PaymentFee</f>
        <v/>
      </c>
      <c r="APD52" s="12">
        <f>AOO52*OpsAI</f>
        <v/>
      </c>
      <c r="APE52" s="12">
        <f>MonthlyFixed</f>
        <v/>
      </c>
      <c r="APF52" s="12">
        <f>ANY52*ReferralReward</f>
        <v/>
      </c>
      <c r="APG52" s="12">
        <f>ANW52</f>
        <v/>
      </c>
      <c r="APH52" s="9">
        <f>AOX52-APB52-APC52-APD52-APE52-APF52-APG52</f>
        <v/>
      </c>
      <c r="API52" s="9">
        <f>API51+AOU52-(APB52+APC52+APD52+APE52+APF52+APG52+AOZ52)</f>
        <v/>
      </c>
      <c r="APJ52" s="12">
        <f>IF(AOO52&gt;0,AOP52/AOO52,0)</f>
        <v/>
      </c>
      <c r="APK52" s="11">
        <f>IF(AOO51&gt;0,MAX(0,(AOO51+ANZ52-AOO52)/AOO51),0)</f>
        <v/>
      </c>
      <c r="APM52" s="12" t="n">
        <v>48</v>
      </c>
      <c r="APN52" s="12">
        <f>MOD(APM52-1+LaunchMonth-1,12)+1</f>
        <v/>
      </c>
      <c r="APO52" s="12">
        <f>INT((APM52-1+LaunchMonth-1)/12)+1</f>
        <v/>
      </c>
      <c r="APP52" s="12">
        <f>VLOOKUP(APN52,SeasonTable,2,FALSE)</f>
        <v/>
      </c>
      <c r="APQ52" s="12">
        <f>(1+InflationRate)^INT((APM52-1)/12)</f>
        <v/>
      </c>
      <c r="APR52" s="11">
        <f>MonthlyChurn*VLOOKUP(APN52,ChurnSeasonTable,4,FALSE)</f>
        <v/>
      </c>
      <c r="APS52" s="12">
        <f>MIN(MAX(MktMin19plus,AQQ51*MktPct19plus),MAX(0,ARE51-CashBuffer))</f>
        <v/>
      </c>
      <c r="APT52" s="12">
        <f>IF(APS52&gt;0,MAX(1,ROUND(APS52/'Sens - CAC &amp; Marketing'!$A$13*APP52,0)),0)</f>
        <v/>
      </c>
      <c r="APU52" s="12">
        <f>IF(APT52&gt;0,ROUND(APT52*ReferralMix/(1-ReferralMix),0),0)</f>
        <v/>
      </c>
      <c r="APV52" s="12">
        <f>APT52+APU52</f>
        <v/>
      </c>
      <c r="APW52" s="12">
        <f>ROUND(APV52*(1-AnnualMix),0)</f>
        <v/>
      </c>
      <c r="APX52" s="12">
        <f>APV52-APW52</f>
        <v/>
      </c>
      <c r="APY52" s="12">
        <f>ROUND(APW52*EssentialMix,0)</f>
        <v/>
      </c>
      <c r="APZ52" s="12">
        <f>ROUND(APW52*PremiumMix,0)</f>
        <v/>
      </c>
      <c r="AQA52" s="12">
        <f>APW52-APY52-APZ52</f>
        <v/>
      </c>
      <c r="AQB52" s="12">
        <f>ROUND(APX52*EssentialMix,0)</f>
        <v/>
      </c>
      <c r="AQC52" s="12">
        <f>ROUND(APX52*PremiumMix,0)</f>
        <v/>
      </c>
      <c r="AQD52" s="12">
        <f>APX52-AQB52-AQC52</f>
        <v/>
      </c>
      <c r="AQE52" s="12">
        <f>APY52+APY51+APY50+MAX(0,AQE51-APY51-APY50)*(1-APR52)</f>
        <v/>
      </c>
      <c r="AQF52" s="12">
        <f>APZ52+APZ51+APZ50+MAX(0,AQF51-APZ51-APZ50)*(1-APR52)</f>
        <v/>
      </c>
      <c r="AQG52" s="12">
        <f>AQA52+AQA51+AQA50+MAX(0,AQG51-AQA51-AQA50)*(1-APR52)</f>
        <v/>
      </c>
      <c r="AQH52" s="12">
        <f>AQH51+AQB52-AQB40*(AnnualChurn*VLOOKUP(APN52,ChurnSeasonTable,4,FALSE))*POWER(1-(AnnualChurn*VLOOKUP(APN52,ChurnSeasonTable,4,FALSE)),0)+AQB28*(AnnualChurn*VLOOKUP(APN52,ChurnSeasonTable,4,FALSE))*POWER(1-(AnnualChurn*VLOOKUP(APN52,ChurnSeasonTable,4,FALSE)),1)+AQB16*(AnnualChurn*VLOOKUP(APN52,ChurnSeasonTable,4,FALSE))*POWER(1-(AnnualChurn*VLOOKUP(APN52,ChurnSeasonTable,4,FALSE)),2)</f>
        <v/>
      </c>
      <c r="AQI52" s="12">
        <f>AQI51+AQC52-AQC40*(AnnualChurn*VLOOKUP(APN52,ChurnSeasonTable,4,FALSE))*POWER(1-(AnnualChurn*VLOOKUP(APN52,ChurnSeasonTable,4,FALSE)),0)+AQC28*(AnnualChurn*VLOOKUP(APN52,ChurnSeasonTable,4,FALSE))*POWER(1-(AnnualChurn*VLOOKUP(APN52,ChurnSeasonTable,4,FALSE)),1)+AQC16*(AnnualChurn*VLOOKUP(APN52,ChurnSeasonTable,4,FALSE))*POWER(1-(AnnualChurn*VLOOKUP(APN52,ChurnSeasonTable,4,FALSE)),2)</f>
        <v/>
      </c>
      <c r="AQJ52" s="12">
        <f>AQJ51+AQD52-AQD40*(AnnualChurn*VLOOKUP(APN52,ChurnSeasonTable,4,FALSE))*POWER(1-(AnnualChurn*VLOOKUP(APN52,ChurnSeasonTable,4,FALSE)),0)+AQD28*(AnnualChurn*VLOOKUP(APN52,ChurnSeasonTable,4,FALSE))*POWER(1-(AnnualChurn*VLOOKUP(APN52,ChurnSeasonTable,4,FALSE)),1)+AQD16*(AnnualChurn*VLOOKUP(APN52,ChurnSeasonTable,4,FALSE))*POWER(1-(AnnualChurn*VLOOKUP(APN52,ChurnSeasonTable,4,FALSE)),2)</f>
        <v/>
      </c>
      <c r="AQK52" s="12">
        <f>AQE52+AQF52+AQG52+AQH52+AQI52+AQJ52</f>
        <v/>
      </c>
      <c r="AQL52" s="9">
        <f>AQE52*BlendedPriceEssMonthly*APQ52+AQF52*BlendedPricePremMonthly*APQ52+AQG52*BlendedPriceEliteMonthly*APQ52+AQH52*BlendedPriceEssAnnual*APQ52/12+AQI52*BlendedPricePremAnnual*APQ52/12+AQJ52*BlendedPriceEliteAnnual*APQ52/12</f>
        <v/>
      </c>
      <c r="AQM52" s="9">
        <f>AQL52*12</f>
        <v/>
      </c>
      <c r="AQN52" s="12">
        <f>AQE52*BlendedPriceEssMonthly*APQ52+AQF52*BlendedPricePremMonthly*APQ52+AQG52*BlendedPriceEliteMonthly*APQ52</f>
        <v/>
      </c>
      <c r="AQO52" s="12">
        <f>AQB52*BlendedPriceEssAnnual*APQ52+AQC52*BlendedPricePremAnnual*APQ52+AQD52*BlendedPriceEliteAnnual*APQ52</f>
        <v/>
      </c>
      <c r="AQP52" s="12">
        <f>AQB40*POWER(1-(AnnualChurn*VLOOKUP(APN52,ChurnSeasonTable,4,FALSE)),1)*BlendedPriceEssAnnual*APQ52+AQB28*POWER(1-(AnnualChurn*VLOOKUP(APN52,ChurnSeasonTable,4,FALSE)),2)*BlendedPriceEssAnnual*APQ52+AQB16*POWER(1-(AnnualChurn*VLOOKUP(APN52,ChurnSeasonTable,4,FALSE)),3)*BlendedPriceEssAnnual*APQ52+AQC40*POWER(1-(AnnualChurn*VLOOKUP(APN52,ChurnSeasonTable,4,FALSE)),1)*BlendedPricePremAnnual*APQ52+AQC28*POWER(1-(AnnualChurn*VLOOKUP(APN52,ChurnSeasonTable,4,FALSE)),2)*BlendedPricePremAnnual*APQ52+AQC16*POWER(1-(AnnualChurn*VLOOKUP(APN52,ChurnSeasonTable,4,FALSE)),3)*BlendedPricePremAnnual*APQ52+AQD40*POWER(1-(AnnualChurn*VLOOKUP(APN52,ChurnSeasonTable,4,FALSE)),1)*BlendedPriceEliteAnnual*APQ52+AQD28*POWER(1-(AnnualChurn*VLOOKUP(APN52,ChurnSeasonTable,4,FALSE)),2)*BlendedPriceEliteAnnual*APQ52+AQD16*POWER(1-(AnnualChurn*VLOOKUP(APN52,ChurnSeasonTable,4,FALSE)),3)*BlendedPriceEliteAnnual*APQ52</f>
        <v/>
      </c>
      <c r="AQQ52" s="9">
        <f>AQN52+AQO52+AQP52</f>
        <v/>
      </c>
      <c r="AQR52" s="12">
        <f>SUM(AQQ41:AQQ52)</f>
        <v/>
      </c>
      <c r="AQS52" s="12">
        <f>OR(AQS51,IF(VATAgentMode,SUM($AQQ41:$AQQ52)-SUM($AQX41:$AQX52)&gt;=VATThreshold,SUM($AQQ41:$AQQ52)&gt;=VATThreshold))</f>
        <v/>
      </c>
      <c r="AQT52" s="9">
        <f>IF(AQS52,IF(VATAgentMode,AQQ52-((AQQ52-AQX52)-(AQQ52-AQX52)/(1+VATRate)),AQQ52/(1+VATRate)),AQQ52)</f>
        <v/>
      </c>
      <c r="AQU52" s="12">
        <f>AQQ52-AQT52</f>
        <v/>
      </c>
      <c r="AQV52" s="12">
        <f>IF(AQS52=0,0,IF(APN52=1,SUMPRODUCT(--(($APO$5:$APO52=$APO52-1)*($APN$5:$APN52&gt;=10)*($APN$5:$APN52&lt;=12)),$AQU$5:$AQU52),IF(APN52=4,SUMPRODUCT(--(($APO$5:$APO52=$APO52)*($APN$5:$APN52&gt;=1)*($APN$5:$APN52&lt;=3)),$AQU$5:$AQU52),IF(APN52=7,SUMPRODUCT(--(($APO$5:$APO52=$APO52)*($APN$5:$APN52&gt;=4)*($APN$5:$APN52&lt;=6)),$AQU$5:$AQU52),IF(APN52=10,SUMPRODUCT(--(($APO$5:$APO52=$APO52)*($APN$5:$APN52&gt;=7)*($APN$5:$APN52&lt;=9)),$AQU$5:$AQU52),0)))))</f>
        <v/>
      </c>
      <c r="AQW52" s="12">
        <f>AQW51+AQU52-AQV52</f>
        <v/>
      </c>
      <c r="AQX52" s="12">
        <f>IF(ProviderDelay&gt;=1,AQE51*BlendedProvPayEss+AQF51*BlendedProvPayPrem+AQG51*BlendedProvPayElite+AQH51*BlendedProvPayEss+AQI51*BlendedProvPayPrem+AQJ51*BlendedProvPayElite,AQE52*BlendedProvPayEss+AQF52*BlendedProvPayPrem+AQG52*BlendedProvPayElite+AQH52*BlendedProvPayEss+AQI52*BlendedProvPayPrem+AQJ52*BlendedProvPayElite)</f>
        <v/>
      </c>
      <c r="AQY52" s="12">
        <f>AQQ52*PaymentFee</f>
        <v/>
      </c>
      <c r="AQZ52" s="12">
        <f>AQK52*OpsAI</f>
        <v/>
      </c>
      <c r="ARA52" s="12">
        <f>MonthlyFixed</f>
        <v/>
      </c>
      <c r="ARB52" s="12">
        <f>APU52*ReferralReward</f>
        <v/>
      </c>
      <c r="ARC52" s="12">
        <f>APS52</f>
        <v/>
      </c>
      <c r="ARD52" s="9">
        <f>AQT52-AQX52-AQY52-AQZ52-ARA52-ARB52-ARC52</f>
        <v/>
      </c>
      <c r="ARE52" s="9">
        <f>ARE51+AQQ52-(AQX52+AQY52+AQZ52+ARA52+ARB52+ARC52+AQV52)</f>
        <v/>
      </c>
      <c r="ARF52" s="12">
        <f>IF(AQK52&gt;0,AQL52/AQK52,0)</f>
        <v/>
      </c>
      <c r="ARG52" s="11">
        <f>IF(AQK51&gt;0,MAX(0,(AQK51+APV52-AQK52)/AQK51),0)</f>
        <v/>
      </c>
      <c r="ARI52" s="12" t="n">
        <v>48</v>
      </c>
      <c r="ARJ52" s="12">
        <f>MOD(ARI52-1+LaunchMonth-1,12)+1</f>
        <v/>
      </c>
      <c r="ARK52" s="12">
        <f>INT((ARI52-1+LaunchMonth-1)/12)+1</f>
        <v/>
      </c>
      <c r="ARL52" s="12">
        <f>VLOOKUP(ARJ52,SeasonTable,2,FALSE)</f>
        <v/>
      </c>
      <c r="ARM52" s="12">
        <f>(1+InflationRate)^INT((ARI52-1)/12)</f>
        <v/>
      </c>
      <c r="ARN52" s="11">
        <f>MonthlyChurn*VLOOKUP(ARJ52,ChurnSeasonTable,4,FALSE)</f>
        <v/>
      </c>
      <c r="ARO52" s="12">
        <f>MIN(MAX(MktMin19plus,ASM51*MktPct19plus),MAX(0,ATA51-CashBuffer))</f>
        <v/>
      </c>
      <c r="ARP52" s="12">
        <f>IF(ARO52&gt;0,MAX(1,ROUND(ARO52/'Sens - CAC &amp; Marketing'!$A$14*ARL52,0)),0)</f>
        <v/>
      </c>
      <c r="ARQ52" s="12">
        <f>IF(ARP52&gt;0,ROUND(ARP52*ReferralMix/(1-ReferralMix),0),0)</f>
        <v/>
      </c>
      <c r="ARR52" s="12">
        <f>ARP52+ARQ52</f>
        <v/>
      </c>
      <c r="ARS52" s="12">
        <f>ROUND(ARR52*(1-AnnualMix),0)</f>
        <v/>
      </c>
      <c r="ART52" s="12">
        <f>ARR52-ARS52</f>
        <v/>
      </c>
      <c r="ARU52" s="12">
        <f>ROUND(ARS52*EssentialMix,0)</f>
        <v/>
      </c>
      <c r="ARV52" s="12">
        <f>ROUND(ARS52*PremiumMix,0)</f>
        <v/>
      </c>
      <c r="ARW52" s="12">
        <f>ARS52-ARU52-ARV52</f>
        <v/>
      </c>
      <c r="ARX52" s="12">
        <f>ROUND(ART52*EssentialMix,0)</f>
        <v/>
      </c>
      <c r="ARY52" s="12">
        <f>ROUND(ART52*PremiumMix,0)</f>
        <v/>
      </c>
      <c r="ARZ52" s="12">
        <f>ART52-ARX52-ARY52</f>
        <v/>
      </c>
      <c r="ASA52" s="12">
        <f>ARU52+ARU51+ARU50+MAX(0,ASA51-ARU51-ARU50)*(1-ARN52)</f>
        <v/>
      </c>
      <c r="ASB52" s="12">
        <f>ARV52+ARV51+ARV50+MAX(0,ASB51-ARV51-ARV50)*(1-ARN52)</f>
        <v/>
      </c>
      <c r="ASC52" s="12">
        <f>ARW52+ARW51+ARW50+MAX(0,ASC51-ARW51-ARW50)*(1-ARN52)</f>
        <v/>
      </c>
      <c r="ASD52" s="12">
        <f>ASD51+ARX52-ARX40*(AnnualChurn*VLOOKUP(ARJ52,ChurnSeasonTable,4,FALSE))*POWER(1-(AnnualChurn*VLOOKUP(ARJ52,ChurnSeasonTable,4,FALSE)),0)+ARX28*(AnnualChurn*VLOOKUP(ARJ52,ChurnSeasonTable,4,FALSE))*POWER(1-(AnnualChurn*VLOOKUP(ARJ52,ChurnSeasonTable,4,FALSE)),1)+ARX16*(AnnualChurn*VLOOKUP(ARJ52,ChurnSeasonTable,4,FALSE))*POWER(1-(AnnualChurn*VLOOKUP(ARJ52,ChurnSeasonTable,4,FALSE)),2)</f>
        <v/>
      </c>
      <c r="ASE52" s="12">
        <f>ASE51+ARY52-ARY40*(AnnualChurn*VLOOKUP(ARJ52,ChurnSeasonTable,4,FALSE))*POWER(1-(AnnualChurn*VLOOKUP(ARJ52,ChurnSeasonTable,4,FALSE)),0)+ARY28*(AnnualChurn*VLOOKUP(ARJ52,ChurnSeasonTable,4,FALSE))*POWER(1-(AnnualChurn*VLOOKUP(ARJ52,ChurnSeasonTable,4,FALSE)),1)+ARY16*(AnnualChurn*VLOOKUP(ARJ52,ChurnSeasonTable,4,FALSE))*POWER(1-(AnnualChurn*VLOOKUP(ARJ52,ChurnSeasonTable,4,FALSE)),2)</f>
        <v/>
      </c>
      <c r="ASF52" s="12">
        <f>ASF51+ARZ52-ARZ40*(AnnualChurn*VLOOKUP(ARJ52,ChurnSeasonTable,4,FALSE))*POWER(1-(AnnualChurn*VLOOKUP(ARJ52,ChurnSeasonTable,4,FALSE)),0)+ARZ28*(AnnualChurn*VLOOKUP(ARJ52,ChurnSeasonTable,4,FALSE))*POWER(1-(AnnualChurn*VLOOKUP(ARJ52,ChurnSeasonTable,4,FALSE)),1)+ARZ16*(AnnualChurn*VLOOKUP(ARJ52,ChurnSeasonTable,4,FALSE))*POWER(1-(AnnualChurn*VLOOKUP(ARJ52,ChurnSeasonTable,4,FALSE)),2)</f>
        <v/>
      </c>
      <c r="ASG52" s="12">
        <f>ASA52+ASB52+ASC52+ASD52+ASE52+ASF52</f>
        <v/>
      </c>
      <c r="ASH52" s="9">
        <f>ASA52*BlendedPriceEssMonthly*ARM52+ASB52*BlendedPricePremMonthly*ARM52+ASC52*BlendedPriceEliteMonthly*ARM52+ASD52*BlendedPriceEssAnnual*ARM52/12+ASE52*BlendedPricePremAnnual*ARM52/12+ASF52*BlendedPriceEliteAnnual*ARM52/12</f>
        <v/>
      </c>
      <c r="ASI52" s="9">
        <f>ASH52*12</f>
        <v/>
      </c>
      <c r="ASJ52" s="12">
        <f>ASA52*BlendedPriceEssMonthly*ARM52+ASB52*BlendedPricePremMonthly*ARM52+ASC52*BlendedPriceEliteMonthly*ARM52</f>
        <v/>
      </c>
      <c r="ASK52" s="12">
        <f>ARX52*BlendedPriceEssAnnual*ARM52+ARY52*BlendedPricePremAnnual*ARM52+ARZ52*BlendedPriceEliteAnnual*ARM52</f>
        <v/>
      </c>
      <c r="ASL52" s="12">
        <f>ARX40*POWER(1-(AnnualChurn*VLOOKUP(ARJ52,ChurnSeasonTable,4,FALSE)),1)*BlendedPriceEssAnnual*ARM52+ARX28*POWER(1-(AnnualChurn*VLOOKUP(ARJ52,ChurnSeasonTable,4,FALSE)),2)*BlendedPriceEssAnnual*ARM52+ARX16*POWER(1-(AnnualChurn*VLOOKUP(ARJ52,ChurnSeasonTable,4,FALSE)),3)*BlendedPriceEssAnnual*ARM52+ARY40*POWER(1-(AnnualChurn*VLOOKUP(ARJ52,ChurnSeasonTable,4,FALSE)),1)*BlendedPricePremAnnual*ARM52+ARY28*POWER(1-(AnnualChurn*VLOOKUP(ARJ52,ChurnSeasonTable,4,FALSE)),2)*BlendedPricePremAnnual*ARM52+ARY16*POWER(1-(AnnualChurn*VLOOKUP(ARJ52,ChurnSeasonTable,4,FALSE)),3)*BlendedPricePremAnnual*ARM52+ARZ40*POWER(1-(AnnualChurn*VLOOKUP(ARJ52,ChurnSeasonTable,4,FALSE)),1)*BlendedPriceEliteAnnual*ARM52+ARZ28*POWER(1-(AnnualChurn*VLOOKUP(ARJ52,ChurnSeasonTable,4,FALSE)),2)*BlendedPriceEliteAnnual*ARM52+ARZ16*POWER(1-(AnnualChurn*VLOOKUP(ARJ52,ChurnSeasonTable,4,FALSE)),3)*BlendedPriceEliteAnnual*ARM52</f>
        <v/>
      </c>
      <c r="ASM52" s="9">
        <f>ASJ52+ASK52+ASL52</f>
        <v/>
      </c>
      <c r="ASN52" s="12">
        <f>SUM(ASM41:ASM52)</f>
        <v/>
      </c>
      <c r="ASO52" s="12">
        <f>OR(ASO51,IF(VATAgentMode,SUM($ASM41:$ASM52)-SUM($AST41:$AST52)&gt;=VATThreshold,SUM($ASM41:$ASM52)&gt;=VATThreshold))</f>
        <v/>
      </c>
      <c r="ASP52" s="9">
        <f>IF(ASO52,IF(VATAgentMode,ASM52-((ASM52-AST52)-(ASM52-AST52)/(1+VATRate)),ASM52/(1+VATRate)),ASM52)</f>
        <v/>
      </c>
      <c r="ASQ52" s="12">
        <f>ASM52-ASP52</f>
        <v/>
      </c>
      <c r="ASR52" s="12">
        <f>IF(ASO52=0,0,IF(ARJ52=1,SUMPRODUCT(--(($ARK$5:$ARK52=$ARK52-1)*($ARJ$5:$ARJ52&gt;=10)*($ARJ$5:$ARJ52&lt;=12)),$ASQ$5:$ASQ52),IF(ARJ52=4,SUMPRODUCT(--(($ARK$5:$ARK52=$ARK52)*($ARJ$5:$ARJ52&gt;=1)*($ARJ$5:$ARJ52&lt;=3)),$ASQ$5:$ASQ52),IF(ARJ52=7,SUMPRODUCT(--(($ARK$5:$ARK52=$ARK52)*($ARJ$5:$ARJ52&gt;=4)*($ARJ$5:$ARJ52&lt;=6)),$ASQ$5:$ASQ52),IF(ARJ52=10,SUMPRODUCT(--(($ARK$5:$ARK52=$ARK52)*($ARJ$5:$ARJ52&gt;=7)*($ARJ$5:$ARJ52&lt;=9)),$ASQ$5:$ASQ52),0)))))</f>
        <v/>
      </c>
      <c r="ASS52" s="12">
        <f>ASS51+ASQ52-ASR52</f>
        <v/>
      </c>
      <c r="AST52" s="12">
        <f>IF(ProviderDelay&gt;=1,ASA51*BlendedProvPayEss+ASB51*BlendedProvPayPrem+ASC51*BlendedProvPayElite+ASD51*BlendedProvPayEss+ASE51*BlendedProvPayPrem+ASF51*BlendedProvPayElite,ASA52*BlendedProvPayEss+ASB52*BlendedProvPayPrem+ASC52*BlendedProvPayElite+ASD52*BlendedProvPayEss+ASE52*BlendedProvPayPrem+ASF52*BlendedProvPayElite)</f>
        <v/>
      </c>
      <c r="ASU52" s="12">
        <f>ASM52*PaymentFee</f>
        <v/>
      </c>
      <c r="ASV52" s="12">
        <f>ASG52*OpsAI</f>
        <v/>
      </c>
      <c r="ASW52" s="12">
        <f>MonthlyFixed</f>
        <v/>
      </c>
      <c r="ASX52" s="12">
        <f>ARQ52*ReferralReward</f>
        <v/>
      </c>
      <c r="ASY52" s="12">
        <f>ARO52</f>
        <v/>
      </c>
      <c r="ASZ52" s="9">
        <f>ASP52-AST52-ASU52-ASV52-ASW52-ASX52-ASY52</f>
        <v/>
      </c>
      <c r="ATA52" s="9">
        <f>ATA51+ASM52-(AST52+ASU52+ASV52+ASW52+ASX52+ASY52+ASR52)</f>
        <v/>
      </c>
      <c r="ATB52" s="12">
        <f>IF(ASG52&gt;0,ASH52/ASG52,0)</f>
        <v/>
      </c>
      <c r="ATC52" s="11">
        <f>IF(ASG51&gt;0,MAX(0,(ASG51+ARR52-ASG52)/ASG51),0)</f>
        <v/>
      </c>
      <c r="ATE52" s="12" t="n">
        <v>48</v>
      </c>
      <c r="ATF52" s="12">
        <f>MOD(ATE52-1+LaunchMonth-1,12)+1</f>
        <v/>
      </c>
      <c r="ATG52" s="12">
        <f>INT((ATE52-1+LaunchMonth-1)/12)+1</f>
        <v/>
      </c>
      <c r="ATH52" s="12">
        <f>VLOOKUP(ATF52,SeasonTable,2,FALSE)</f>
        <v/>
      </c>
      <c r="ATI52" s="12">
        <f>(1+InflationRate)^INT((ATE52-1)/12)</f>
        <v/>
      </c>
      <c r="ATJ52" s="11">
        <f>MonthlyChurn*VLOOKUP(ATF52,ChurnSeasonTable,4,FALSE)</f>
        <v/>
      </c>
      <c r="ATK52" s="12">
        <f>MIN(MAX(MktMin19plus,AUI51*MktPct19plus),MAX(0,AUW51-CashBuffer))</f>
        <v/>
      </c>
      <c r="ATL52" s="12">
        <f>IF(ATK52&gt;0,MAX(1,ROUND(ATK52/'Sens - CAC &amp; Marketing'!$A$15*ATH52,0)),0)</f>
        <v/>
      </c>
      <c r="ATM52" s="12">
        <f>IF(ATL52&gt;0,ROUND(ATL52*ReferralMix/(1-ReferralMix),0),0)</f>
        <v/>
      </c>
      <c r="ATN52" s="12">
        <f>ATL52+ATM52</f>
        <v/>
      </c>
      <c r="ATO52" s="12">
        <f>ROUND(ATN52*(1-AnnualMix),0)</f>
        <v/>
      </c>
      <c r="ATP52" s="12">
        <f>ATN52-ATO52</f>
        <v/>
      </c>
      <c r="ATQ52" s="12">
        <f>ROUND(ATO52*EssentialMix,0)</f>
        <v/>
      </c>
      <c r="ATR52" s="12">
        <f>ROUND(ATO52*PremiumMix,0)</f>
        <v/>
      </c>
      <c r="ATS52" s="12">
        <f>ATO52-ATQ52-ATR52</f>
        <v/>
      </c>
      <c r="ATT52" s="12">
        <f>ROUND(ATP52*EssentialMix,0)</f>
        <v/>
      </c>
      <c r="ATU52" s="12">
        <f>ROUND(ATP52*PremiumMix,0)</f>
        <v/>
      </c>
      <c r="ATV52" s="12">
        <f>ATP52-ATT52-ATU52</f>
        <v/>
      </c>
      <c r="ATW52" s="12">
        <f>ATQ52+ATQ51+ATQ50+MAX(0,ATW51-ATQ51-ATQ50)*(1-ATJ52)</f>
        <v/>
      </c>
      <c r="ATX52" s="12">
        <f>ATR52+ATR51+ATR50+MAX(0,ATX51-ATR51-ATR50)*(1-ATJ52)</f>
        <v/>
      </c>
      <c r="ATY52" s="12">
        <f>ATS52+ATS51+ATS50+MAX(0,ATY51-ATS51-ATS50)*(1-ATJ52)</f>
        <v/>
      </c>
      <c r="ATZ52" s="12">
        <f>ATZ51+ATT52-ATT40*(AnnualChurn*VLOOKUP(ATF52,ChurnSeasonTable,4,FALSE))*POWER(1-(AnnualChurn*VLOOKUP(ATF52,ChurnSeasonTable,4,FALSE)),0)+ATT28*(AnnualChurn*VLOOKUP(ATF52,ChurnSeasonTable,4,FALSE))*POWER(1-(AnnualChurn*VLOOKUP(ATF52,ChurnSeasonTable,4,FALSE)),1)+ATT16*(AnnualChurn*VLOOKUP(ATF52,ChurnSeasonTable,4,FALSE))*POWER(1-(AnnualChurn*VLOOKUP(ATF52,ChurnSeasonTable,4,FALSE)),2)</f>
        <v/>
      </c>
      <c r="AUA52" s="12">
        <f>AUA51+ATU52-ATU40*(AnnualChurn*VLOOKUP(ATF52,ChurnSeasonTable,4,FALSE))*POWER(1-(AnnualChurn*VLOOKUP(ATF52,ChurnSeasonTable,4,FALSE)),0)+ATU28*(AnnualChurn*VLOOKUP(ATF52,ChurnSeasonTable,4,FALSE))*POWER(1-(AnnualChurn*VLOOKUP(ATF52,ChurnSeasonTable,4,FALSE)),1)+ATU16*(AnnualChurn*VLOOKUP(ATF52,ChurnSeasonTable,4,FALSE))*POWER(1-(AnnualChurn*VLOOKUP(ATF52,ChurnSeasonTable,4,FALSE)),2)</f>
        <v/>
      </c>
      <c r="AUB52" s="12">
        <f>AUB51+ATV52-ATV40*(AnnualChurn*VLOOKUP(ATF52,ChurnSeasonTable,4,FALSE))*POWER(1-(AnnualChurn*VLOOKUP(ATF52,ChurnSeasonTable,4,FALSE)),0)+ATV28*(AnnualChurn*VLOOKUP(ATF52,ChurnSeasonTable,4,FALSE))*POWER(1-(AnnualChurn*VLOOKUP(ATF52,ChurnSeasonTable,4,FALSE)),1)+ATV16*(AnnualChurn*VLOOKUP(ATF52,ChurnSeasonTable,4,FALSE))*POWER(1-(AnnualChurn*VLOOKUP(ATF52,ChurnSeasonTable,4,FALSE)),2)</f>
        <v/>
      </c>
      <c r="AUC52" s="12">
        <f>ATW52+ATX52+ATY52+ATZ52+AUA52+AUB52</f>
        <v/>
      </c>
      <c r="AUD52" s="9">
        <f>ATW52*BlendedPriceEssMonthly*ATI52+ATX52*BlendedPricePremMonthly*ATI52+ATY52*BlendedPriceEliteMonthly*ATI52+ATZ52*BlendedPriceEssAnnual*ATI52/12+AUA52*BlendedPricePremAnnual*ATI52/12+AUB52*BlendedPriceEliteAnnual*ATI52/12</f>
        <v/>
      </c>
      <c r="AUE52" s="9">
        <f>AUD52*12</f>
        <v/>
      </c>
      <c r="AUF52" s="12">
        <f>ATW52*BlendedPriceEssMonthly*ATI52+ATX52*BlendedPricePremMonthly*ATI52+ATY52*BlendedPriceEliteMonthly*ATI52</f>
        <v/>
      </c>
      <c r="AUG52" s="12">
        <f>ATT52*BlendedPriceEssAnnual*ATI52+ATU52*BlendedPricePremAnnual*ATI52+ATV52*BlendedPriceEliteAnnual*ATI52</f>
        <v/>
      </c>
      <c r="AUH52" s="12">
        <f>ATT40*POWER(1-(AnnualChurn*VLOOKUP(ATF52,ChurnSeasonTable,4,FALSE)),1)*BlendedPriceEssAnnual*ATI52+ATT28*POWER(1-(AnnualChurn*VLOOKUP(ATF52,ChurnSeasonTable,4,FALSE)),2)*BlendedPriceEssAnnual*ATI52+ATT16*POWER(1-(AnnualChurn*VLOOKUP(ATF52,ChurnSeasonTable,4,FALSE)),3)*BlendedPriceEssAnnual*ATI52+ATU40*POWER(1-(AnnualChurn*VLOOKUP(ATF52,ChurnSeasonTable,4,FALSE)),1)*BlendedPricePremAnnual*ATI52+ATU28*POWER(1-(AnnualChurn*VLOOKUP(ATF52,ChurnSeasonTable,4,FALSE)),2)*BlendedPricePremAnnual*ATI52+ATU16*POWER(1-(AnnualChurn*VLOOKUP(ATF52,ChurnSeasonTable,4,FALSE)),3)*BlendedPricePremAnnual*ATI52+ATV40*POWER(1-(AnnualChurn*VLOOKUP(ATF52,ChurnSeasonTable,4,FALSE)),1)*BlendedPriceEliteAnnual*ATI52+ATV28*POWER(1-(AnnualChurn*VLOOKUP(ATF52,ChurnSeasonTable,4,FALSE)),2)*BlendedPriceEliteAnnual*ATI52+ATV16*POWER(1-(AnnualChurn*VLOOKUP(ATF52,ChurnSeasonTable,4,FALSE)),3)*BlendedPriceEliteAnnual*ATI52</f>
        <v/>
      </c>
      <c r="AUI52" s="9">
        <f>AUF52+AUG52+AUH52</f>
        <v/>
      </c>
      <c r="AUJ52" s="12">
        <f>SUM(AUI41:AUI52)</f>
        <v/>
      </c>
      <c r="AUK52" s="12">
        <f>OR(AUK51,IF(VATAgentMode,SUM($AUI41:$AUI52)-SUM($AUP41:$AUP52)&gt;=VATThreshold,SUM($AUI41:$AUI52)&gt;=VATThreshold))</f>
        <v/>
      </c>
      <c r="AUL52" s="9">
        <f>IF(AUK52,IF(VATAgentMode,AUI52-((AUI52-AUP52)-(AUI52-AUP52)/(1+VATRate)),AUI52/(1+VATRate)),AUI52)</f>
        <v/>
      </c>
      <c r="AUM52" s="12">
        <f>AUI52-AUL52</f>
        <v/>
      </c>
      <c r="AUN52" s="12">
        <f>IF(AUK52=0,0,IF(ATF52=1,SUMPRODUCT(--(($ATG$5:$ATG52=$ATG52-1)*($ATF$5:$ATF52&gt;=10)*($ATF$5:$ATF52&lt;=12)),$AUM$5:$AUM52),IF(ATF52=4,SUMPRODUCT(--(($ATG$5:$ATG52=$ATG52)*($ATF$5:$ATF52&gt;=1)*($ATF$5:$ATF52&lt;=3)),$AUM$5:$AUM52),IF(ATF52=7,SUMPRODUCT(--(($ATG$5:$ATG52=$ATG52)*($ATF$5:$ATF52&gt;=4)*($ATF$5:$ATF52&lt;=6)),$AUM$5:$AUM52),IF(ATF52=10,SUMPRODUCT(--(($ATG$5:$ATG52=$ATG52)*($ATF$5:$ATF52&gt;=7)*($ATF$5:$ATF52&lt;=9)),$AUM$5:$AUM52),0)))))</f>
        <v/>
      </c>
      <c r="AUO52" s="12">
        <f>AUO51+AUM52-AUN52</f>
        <v/>
      </c>
      <c r="AUP52" s="12">
        <f>IF(ProviderDelay&gt;=1,ATW51*BlendedProvPayEss+ATX51*BlendedProvPayPrem+ATY51*BlendedProvPayElite+ATZ51*BlendedProvPayEss+AUA51*BlendedProvPayPrem+AUB51*BlendedProvPayElite,ATW52*BlendedProvPayEss+ATX52*BlendedProvPayPrem+ATY52*BlendedProvPayElite+ATZ52*BlendedProvPayEss+AUA52*BlendedProvPayPrem+AUB52*BlendedProvPayElite)</f>
        <v/>
      </c>
      <c r="AUQ52" s="12">
        <f>AUI52*PaymentFee</f>
        <v/>
      </c>
      <c r="AUR52" s="12">
        <f>AUC52*OpsAI</f>
        <v/>
      </c>
      <c r="AUS52" s="12">
        <f>MonthlyFixed</f>
        <v/>
      </c>
      <c r="AUT52" s="12">
        <f>ATM52*ReferralReward</f>
        <v/>
      </c>
      <c r="AUU52" s="12">
        <f>ATK52</f>
        <v/>
      </c>
      <c r="AUV52" s="9">
        <f>AUL52-AUP52-AUQ52-AUR52-AUS52-AUT52-AUU52</f>
        <v/>
      </c>
      <c r="AUW52" s="9">
        <f>AUW51+AUI52-(AUP52+AUQ52+AUR52+AUS52+AUT52+AUU52+AUN52)</f>
        <v/>
      </c>
      <c r="AUX52" s="12">
        <f>IF(AUC52&gt;0,AUD52/AUC52,0)</f>
        <v/>
      </c>
      <c r="AUY52" s="11">
        <f>IF(AUC51&gt;0,MAX(0,(AUC51+ATN52-AUC52)/AUC51),0)</f>
        <v/>
      </c>
      <c r="AVA52" s="12" t="n">
        <v>48</v>
      </c>
      <c r="AVB52" s="12">
        <f>MOD(AVA52-1+LaunchMonth-1,12)+1</f>
        <v/>
      </c>
      <c r="AVC52" s="12">
        <f>INT((AVA52-1+LaunchMonth-1)/12)+1</f>
        <v/>
      </c>
      <c r="AVD52" s="12">
        <f>VLOOKUP(AVB52,WinterPivotSeasonTable,5,FALSE)</f>
        <v/>
      </c>
      <c r="AVE52" s="12">
        <f>(1+InflationRate)^INT((AVA52-1)/12)</f>
        <v/>
      </c>
      <c r="AVF52" s="11">
        <f>MonthlyChurn*VLOOKUP(AVB52,WinterPivotChurnTable,6,FALSE)</f>
        <v/>
      </c>
      <c r="AVG52" s="12">
        <f>MIN(MAX(MktMin19plus,AWE51*MktPct19plus),MAX(0,AWS51-CashBuffer))</f>
        <v/>
      </c>
      <c r="AVH52" s="12">
        <f>IF(AVG52&gt;0,MAX(1,ROUND(AVG52/CAC*AVD52,0)),0)</f>
        <v/>
      </c>
      <c r="AVI52" s="12">
        <f>IF(AVH52&gt;0,ROUND(AVH52*ReferralMix/(1-ReferralMix),0),0)</f>
        <v/>
      </c>
      <c r="AVJ52" s="12">
        <f>AVH52+AVI52</f>
        <v/>
      </c>
      <c r="AVK52" s="12">
        <f>ROUND(AVJ52*(1-AnnualMix),0)</f>
        <v/>
      </c>
      <c r="AVL52" s="12">
        <f>AVJ52-AVK52</f>
        <v/>
      </c>
      <c r="AVM52" s="12">
        <f>ROUND(AVK52*'Sens - Winter Pivot'!$B$6,0)</f>
        <v/>
      </c>
      <c r="AVN52" s="12">
        <f>ROUND(AVK52*PremiumMix,0)</f>
        <v/>
      </c>
      <c r="AVO52" s="12">
        <f>AVK52-AVM52-AVN52</f>
        <v/>
      </c>
      <c r="AVP52" s="12">
        <f>ROUND(AVL52*'Sens - Winter Pivot'!$B$6,0)</f>
        <v/>
      </c>
      <c r="AVQ52" s="12">
        <f>ROUND(AVL52*PremiumMix,0)</f>
        <v/>
      </c>
      <c r="AVR52" s="12">
        <f>AVL52-AVP52-AVQ52</f>
        <v/>
      </c>
      <c r="AVS52" s="12">
        <f>AVM52+AVM51+AVM50+MAX(0,AVS51-AVM51-AVM50)*(1-AVF52)</f>
        <v/>
      </c>
      <c r="AVT52" s="12">
        <f>AVN52+AVN51+AVN50+MAX(0,AVT51-AVN51-AVN50)*(1-AVF52)</f>
        <v/>
      </c>
      <c r="AVU52" s="12">
        <f>AVO52+AVO51+AVO50+MAX(0,AVU51-AVO51-AVO50)*(1-AVF52)</f>
        <v/>
      </c>
      <c r="AVV52" s="12">
        <f>AVV51+AVP52-AVP40*(AnnualChurn*VLOOKUP(AVB52,ChurnSeasonTable,4,FALSE))*POWER(1-(AnnualChurn*VLOOKUP(AVB52,ChurnSeasonTable,4,FALSE)),0)+AVP28*(AnnualChurn*VLOOKUP(AVB52,ChurnSeasonTable,4,FALSE))*POWER(1-(AnnualChurn*VLOOKUP(AVB52,ChurnSeasonTable,4,FALSE)),1)+AVP16*(AnnualChurn*VLOOKUP(AVB52,ChurnSeasonTable,4,FALSE))*POWER(1-(AnnualChurn*VLOOKUP(AVB52,ChurnSeasonTable,4,FALSE)),2)</f>
        <v/>
      </c>
      <c r="AVW52" s="12">
        <f>AVW51+AVQ52-AVQ40*(AnnualChurn*VLOOKUP(AVB52,ChurnSeasonTable,4,FALSE))*POWER(1-(AnnualChurn*VLOOKUP(AVB52,ChurnSeasonTable,4,FALSE)),0)+AVQ28*(AnnualChurn*VLOOKUP(AVB52,ChurnSeasonTable,4,FALSE))*POWER(1-(AnnualChurn*VLOOKUP(AVB52,ChurnSeasonTable,4,FALSE)),1)+AVQ16*(AnnualChurn*VLOOKUP(AVB52,ChurnSeasonTable,4,FALSE))*POWER(1-(AnnualChurn*VLOOKUP(AVB52,ChurnSeasonTable,4,FALSE)),2)</f>
        <v/>
      </c>
      <c r="AVX52" s="12">
        <f>AVX51+AVR52-AVR40*(AnnualChurn*VLOOKUP(AVB52,ChurnSeasonTable,4,FALSE))*POWER(1-(AnnualChurn*VLOOKUP(AVB52,ChurnSeasonTable,4,FALSE)),0)+AVR28*(AnnualChurn*VLOOKUP(AVB52,ChurnSeasonTable,4,FALSE))*POWER(1-(AnnualChurn*VLOOKUP(AVB52,ChurnSeasonTable,4,FALSE)),1)+AVR16*(AnnualChurn*VLOOKUP(AVB52,ChurnSeasonTable,4,FALSE))*POWER(1-(AnnualChurn*VLOOKUP(AVB52,ChurnSeasonTable,4,FALSE)),2)</f>
        <v/>
      </c>
      <c r="AVY52" s="12">
        <f>AVS52+AVT52+AVU52+AVV52+AVW52+AVX52</f>
        <v/>
      </c>
      <c r="AVZ52" s="9">
        <f>AVS52*BlendedPriceEssMonthly*AVE52+AVT52*(BlendedPricePremMonthly+'Sens - Winter Pivot'!$B$7)*AVE52+AVU52*BlendedPriceEliteMonthly*AVE52+AVV52*BlendedPriceEssAnnual*AVE52/12+AVW52*(BlendedPricePremAnnual+'Sens - Winter Pivot'!$B$7*12)*AVE52/12+AVX52*BlendedPriceEliteAnnual*AVE52/12</f>
        <v/>
      </c>
      <c r="AWA52" s="9">
        <f>AVZ52*12</f>
        <v/>
      </c>
      <c r="AWB52" s="12">
        <f>AVS52*BlendedPriceEssMonthly*AVE52+AVT52*(BlendedPricePremMonthly+'Sens - Winter Pivot'!$B$7)*AVE52+AVU52*BlendedPriceEliteMonthly*AVE52</f>
        <v/>
      </c>
      <c r="AWC52" s="12">
        <f>AVP52*BlendedPriceEssAnnual*AVE52+AVQ52*(BlendedPricePremAnnual+'Sens - Winter Pivot'!$B$7*12)*AVE52+AVR52*BlendedPriceEliteAnnual*AVE52</f>
        <v/>
      </c>
      <c r="AWD52" s="12">
        <f>AVP40*POWER(1-(AnnualChurn*VLOOKUP(AVB52,ChurnSeasonTable,4,FALSE)),1)*BlendedPriceEssAnnual*AVE52+AVP28*POWER(1-(AnnualChurn*VLOOKUP(AVB52,ChurnSeasonTable,4,FALSE)),2)*BlendedPriceEssAnnual*AVE52+AVP16*POWER(1-(AnnualChurn*VLOOKUP(AVB52,ChurnSeasonTable,4,FALSE)),3)*BlendedPriceEssAnnual*AVE52+AVQ40*POWER(1-(AnnualChurn*VLOOKUP(AVB52,ChurnSeasonTable,4,FALSE)),1)*BlendedPricePremAnnual*AVE52+AVQ28*POWER(1-(AnnualChurn*VLOOKUP(AVB52,ChurnSeasonTable,4,FALSE)),2)*BlendedPricePremAnnual*AVE52+AVQ16*POWER(1-(AnnualChurn*VLOOKUP(AVB52,ChurnSeasonTable,4,FALSE)),3)*BlendedPricePremAnnual*AVE52+AVR40*POWER(1-(AnnualChurn*VLOOKUP(AVB52,ChurnSeasonTable,4,FALSE)),1)*BlendedPriceEliteAnnual*AVE52+AVR28*POWER(1-(AnnualChurn*VLOOKUP(AVB52,ChurnSeasonTable,4,FALSE)),2)*BlendedPriceEliteAnnual*AVE52+AVR16*POWER(1-(AnnualChurn*VLOOKUP(AVB52,ChurnSeasonTable,4,FALSE)),3)*BlendedPriceEliteAnnual*AVE52</f>
        <v/>
      </c>
      <c r="AWE52" s="9">
        <f>AWB52+AWC52+AWD52</f>
        <v/>
      </c>
      <c r="AWF52" s="12">
        <f>SUM(AWE41:AWE52)</f>
        <v/>
      </c>
      <c r="AWG52" s="12">
        <f>OR(AWG51,IF(VATAgentMode,SUM($AWE41:$AWE52)-SUM($AWL41:$AWL52)&gt;=VATThreshold,SUM($AWE41:$AWE52)&gt;=VATThreshold))</f>
        <v/>
      </c>
      <c r="AWH52" s="9">
        <f>IF(AWG52,IF(VATAgentMode,AWE52-((AWE52-AWL52)-(AWE52-AWL52)/(1+VATRate)),AWE52/(1+VATRate)),AWE52)</f>
        <v/>
      </c>
      <c r="AWI52" s="12">
        <f>AWE52-AWH52</f>
        <v/>
      </c>
      <c r="AWJ52" s="12">
        <f>IF(AWG52=0,0,IF(AVB52=1,SUMPRODUCT(--(($AVC$5:$AVC52=$AVC52-1)*($AVB$5:$AVB52&gt;=10)*($AVB$5:$AVB52&lt;=12)),$AWI$5:$AWI52),IF(AVB52=4,SUMPRODUCT(--(($AVC$5:$AVC52=$AVC52)*($AVB$5:$AVB52&gt;=1)*($AVB$5:$AVB52&lt;=3)),$AWI$5:$AWI52),IF(AVB52=7,SUMPRODUCT(--(($AVC$5:$AVC52=$AVC52)*($AVB$5:$AVB52&gt;=4)*($AVB$5:$AVB52&lt;=6)),$AWI$5:$AWI52),IF(AVB52=10,SUMPRODUCT(--(($AVC$5:$AVC52=$AVC52)*($AVB$5:$AVB52&gt;=7)*($AVB$5:$AVB52&lt;=9)),$AWI$5:$AWI52),0)))))</f>
        <v/>
      </c>
      <c r="AWK52" s="12">
        <f>AWK51+AWI52-AWJ52</f>
        <v/>
      </c>
      <c r="AWL52" s="12">
        <f>IF(ProviderDelay&gt;=1,AVS51*BlendedProvPayEss+AVT51*BlendedProvPayPrem+AVU51*BlendedProvPayElite+AVV51*BlendedProvPayEss+AVW51*BlendedProvPayPrem+AVX51*BlendedProvPayElite,AVS52*BlendedProvPayEss+AVT52*BlendedProvPayPrem+AVU52*BlendedProvPayElite+AVV52*BlendedProvPayEss+AVW52*BlendedProvPayPrem+AVX52*BlendedProvPayElite)</f>
        <v/>
      </c>
      <c r="AWM52" s="12">
        <f>AWE52*PaymentFee</f>
        <v/>
      </c>
      <c r="AWN52" s="12">
        <f>AVY52*OpsAI</f>
        <v/>
      </c>
      <c r="AWO52" s="12">
        <f>MonthlyFixed</f>
        <v/>
      </c>
      <c r="AWP52" s="12">
        <f>AVI52*ReferralReward</f>
        <v/>
      </c>
      <c r="AWQ52" s="12">
        <f>AVG52</f>
        <v/>
      </c>
      <c r="AWR52" s="9">
        <f>AWH52-AWL52-AWM52-AWN52-AWO52-AWP52-AWQ52</f>
        <v/>
      </c>
      <c r="AWS52" s="9">
        <f>AWS51+AWE52-(AWL52+AWM52+AWN52+AWO52+AWP52+AWQ52+AWJ52)</f>
        <v/>
      </c>
      <c r="AWT52" s="12">
        <f>IF(AVY52&gt;0,AVZ52/AVY52,0)</f>
        <v/>
      </c>
      <c r="AWU52" s="11">
        <f>IF(AVY51&gt;0,MAX(0,(AVY51+AVJ52-AVY52)/AVY51),0)</f>
        <v/>
      </c>
    </row>
    <row r="53">
      <c r="A53" s="12" t="n">
        <v>49</v>
      </c>
      <c r="B53" s="12">
        <f>MOD(A53-1+LaunchMonth-1,12)+1</f>
        <v/>
      </c>
      <c r="C53" s="12">
        <f>INT((A53-1+LaunchMonth-1)/12)+1</f>
        <v/>
      </c>
      <c r="D53" s="12">
        <f>VLOOKUP(B53,SeasonTable,2,FALSE)</f>
        <v/>
      </c>
      <c r="E53" s="12">
        <f>(1+InflationRate)^INT((A53-1)/12)</f>
        <v/>
      </c>
      <c r="F53" s="11">
        <f>'Sens - Scenarios'!$B$5*VLOOKUP(B53,ChurnSeasonTable,4,FALSE)</f>
        <v/>
      </c>
      <c r="G53" s="12">
        <f>MIN(MAX(MktMin19plus,AE52*MktPct19plus),MAX(0,AS52-CashBuffer))</f>
        <v/>
      </c>
      <c r="H53" s="12">
        <f>IF(G53&gt;0,MAX(1,ROUND(G53/'Sens - Scenarios'!$B$8*D53,0)),0)</f>
        <v/>
      </c>
      <c r="I53" s="12">
        <f>IF(H53&gt;0,ROUND(H53*ReferralMix/(1-ReferralMix),0),0)</f>
        <v/>
      </c>
      <c r="J53" s="12">
        <f>H53+I53</f>
        <v/>
      </c>
      <c r="K53" s="12">
        <f>ROUND(J53*(1-'Sens - Scenarios'!$B$7),0)</f>
        <v/>
      </c>
      <c r="L53" s="12">
        <f>J53-K53</f>
        <v/>
      </c>
      <c r="M53" s="12">
        <f>ROUND(K53*EssentialMix,0)</f>
        <v/>
      </c>
      <c r="N53" s="12">
        <f>ROUND(K53*PremiumMix,0)</f>
        <v/>
      </c>
      <c r="O53" s="12">
        <f>K53-M53-N53</f>
        <v/>
      </c>
      <c r="P53" s="12">
        <f>ROUND(L53*EssentialMix,0)</f>
        <v/>
      </c>
      <c r="Q53" s="12">
        <f>ROUND(L53*PremiumMix,0)</f>
        <v/>
      </c>
      <c r="R53" s="12">
        <f>L53-P53-Q53</f>
        <v/>
      </c>
      <c r="S53" s="12">
        <f>M53+M52+M51+MAX(0,S52-M52-M51)*(1-F53)</f>
        <v/>
      </c>
      <c r="T53" s="12">
        <f>N53+N52+N51+MAX(0,T52-N52-N51)*(1-F53)</f>
        <v/>
      </c>
      <c r="U53" s="12">
        <f>O53+O52+O51+MAX(0,U52-O52-O51)*(1-F53)</f>
        <v/>
      </c>
      <c r="V53" s="12">
        <f>V52+P53-P41*('Sens - Scenarios'!$B$6*VLOOKUP(B53,ChurnSeasonTable,4,FALSE))*POWER(1-('Sens - Scenarios'!$B$6*VLOOKUP(B53,ChurnSeasonTable,4,FALSE)),0)+P29*('Sens - Scenarios'!$B$6*VLOOKUP(B53,ChurnSeasonTable,4,FALSE))*POWER(1-('Sens - Scenarios'!$B$6*VLOOKUP(B53,ChurnSeasonTable,4,FALSE)),1)+P17*('Sens - Scenarios'!$B$6*VLOOKUP(B53,ChurnSeasonTable,4,FALSE))*POWER(1-('Sens - Scenarios'!$B$6*VLOOKUP(B53,ChurnSeasonTable,4,FALSE)),2)+P5*('Sens - Scenarios'!$B$6*VLOOKUP(B53,ChurnSeasonTable,4,FALSE))*POWER(1-('Sens - Scenarios'!$B$6*VLOOKUP(B53,ChurnSeasonTable,4,FALSE)),3)</f>
        <v/>
      </c>
      <c r="W53" s="12">
        <f>W52+Q53-Q41*('Sens - Scenarios'!$B$6*VLOOKUP(B53,ChurnSeasonTable,4,FALSE))*POWER(1-('Sens - Scenarios'!$B$6*VLOOKUP(B53,ChurnSeasonTable,4,FALSE)),0)+Q29*('Sens - Scenarios'!$B$6*VLOOKUP(B53,ChurnSeasonTable,4,FALSE))*POWER(1-('Sens - Scenarios'!$B$6*VLOOKUP(B53,ChurnSeasonTable,4,FALSE)),1)+Q17*('Sens - Scenarios'!$B$6*VLOOKUP(B53,ChurnSeasonTable,4,FALSE))*POWER(1-('Sens - Scenarios'!$B$6*VLOOKUP(B53,ChurnSeasonTable,4,FALSE)),2)+Q5*('Sens - Scenarios'!$B$6*VLOOKUP(B53,ChurnSeasonTable,4,FALSE))*POWER(1-('Sens - Scenarios'!$B$6*VLOOKUP(B53,ChurnSeasonTable,4,FALSE)),3)</f>
        <v/>
      </c>
      <c r="X53" s="12">
        <f>X52+R53-R41*('Sens - Scenarios'!$B$6*VLOOKUP(B53,ChurnSeasonTable,4,FALSE))*POWER(1-('Sens - Scenarios'!$B$6*VLOOKUP(B53,ChurnSeasonTable,4,FALSE)),0)+R29*('Sens - Scenarios'!$B$6*VLOOKUP(B53,ChurnSeasonTable,4,FALSE))*POWER(1-('Sens - Scenarios'!$B$6*VLOOKUP(B53,ChurnSeasonTable,4,FALSE)),1)+R17*('Sens - Scenarios'!$B$6*VLOOKUP(B53,ChurnSeasonTable,4,FALSE))*POWER(1-('Sens - Scenarios'!$B$6*VLOOKUP(B53,ChurnSeasonTable,4,FALSE)),2)+R5*('Sens - Scenarios'!$B$6*VLOOKUP(B53,ChurnSeasonTable,4,FALSE))*POWER(1-('Sens - Scenarios'!$B$6*VLOOKUP(B53,ChurnSeasonTable,4,FALSE)),3)</f>
        <v/>
      </c>
      <c r="Y53" s="12">
        <f>S53+T53+U53+V53+W53+X53</f>
        <v/>
      </c>
      <c r="Z53" s="9">
        <f>S53*BlendedPriceEssMonthly*E53+T53*BlendedPricePremMonthly*E53+U53*BlendedPriceEliteMonthly*E53+V53*BlendedPriceEssAnnual*E53/12+W53*BlendedPricePremAnnual*E53/12+X53*BlendedPriceEliteAnnual*E53/12</f>
        <v/>
      </c>
      <c r="AA53" s="9">
        <f>Z53*12</f>
        <v/>
      </c>
      <c r="AB53" s="12">
        <f>S53*BlendedPriceEssMonthly*E53+T53*BlendedPricePremMonthly*E53+U53*BlendedPriceEliteMonthly*E53</f>
        <v/>
      </c>
      <c r="AC53" s="12">
        <f>P53*BlendedPriceEssAnnual*E53+Q53*BlendedPricePremAnnual*E53+R53*BlendedPriceEliteAnnual*E53</f>
        <v/>
      </c>
      <c r="AD53" s="12">
        <f>P41*POWER(1-('Sens - Scenarios'!$B$6*VLOOKUP(B53,ChurnSeasonTable,4,FALSE)),1)*BlendedPriceEssAnnual*E53+P29*POWER(1-('Sens - Scenarios'!$B$6*VLOOKUP(B53,ChurnSeasonTable,4,FALSE)),2)*BlendedPriceEssAnnual*E53+P17*POWER(1-('Sens - Scenarios'!$B$6*VLOOKUP(B53,ChurnSeasonTable,4,FALSE)),3)*BlendedPriceEssAnnual*E53+P5*POWER(1-('Sens - Scenarios'!$B$6*VLOOKUP(B53,ChurnSeasonTable,4,FALSE)),4)*BlendedPriceEssAnnual*E53+Q41*POWER(1-('Sens - Scenarios'!$B$6*VLOOKUP(B53,ChurnSeasonTable,4,FALSE)),1)*BlendedPricePremAnnual*E53+Q29*POWER(1-('Sens - Scenarios'!$B$6*VLOOKUP(B53,ChurnSeasonTable,4,FALSE)),2)*BlendedPricePremAnnual*E53+Q17*POWER(1-('Sens - Scenarios'!$B$6*VLOOKUP(B53,ChurnSeasonTable,4,FALSE)),3)*BlendedPricePremAnnual*E53+Q5*POWER(1-('Sens - Scenarios'!$B$6*VLOOKUP(B53,ChurnSeasonTable,4,FALSE)),4)*BlendedPricePremAnnual*E53+R41*POWER(1-('Sens - Scenarios'!$B$6*VLOOKUP(B53,ChurnSeasonTable,4,FALSE)),1)*BlendedPriceEliteAnnual*E53+R29*POWER(1-('Sens - Scenarios'!$B$6*VLOOKUP(B53,ChurnSeasonTable,4,FALSE)),2)*BlendedPriceEliteAnnual*E53+R17*POWER(1-('Sens - Scenarios'!$B$6*VLOOKUP(B53,ChurnSeasonTable,4,FALSE)),3)*BlendedPriceEliteAnnual*E53+R5*POWER(1-('Sens - Scenarios'!$B$6*VLOOKUP(B53,ChurnSeasonTable,4,FALSE)),4)*BlendedPriceEliteAnnual*E53</f>
        <v/>
      </c>
      <c r="AE53" s="9">
        <f>AB53+AC53+AD53</f>
        <v/>
      </c>
      <c r="AF53" s="12">
        <f>SUM(AE42:AE53)</f>
        <v/>
      </c>
      <c r="AG53" s="12">
        <f>OR(AG52,IF(VATAgentMode,SUM($AE42:$AE53)-SUM($AL42:$AL53)&gt;=VATThreshold,SUM($AE42:$AE53)&gt;=VATThreshold))</f>
        <v/>
      </c>
      <c r="AH53" s="9">
        <f>IF(AG53,IF(VATAgentMode,AE53-((AE53-AL53)-(AE53-AL53)/(1+VATRate)),AE53/(1+VATRate)),AE53)</f>
        <v/>
      </c>
      <c r="AI53" s="12">
        <f>AE53-AH53</f>
        <v/>
      </c>
      <c r="AJ53" s="12">
        <f>IF(AG53=0,0,IF(B53=1,SUMPRODUCT(--(($C$5:$C53=$C53-1)*($B$5:$B53&gt;=10)*($B$5:$B53&lt;=12)),$AI$5:$AI53),IF(B53=4,SUMPRODUCT(--(($C$5:$C53=$C53)*($B$5:$B53&gt;=1)*($B$5:$B53&lt;=3)),$AI$5:$AI53),IF(B53=7,SUMPRODUCT(--(($C$5:$C53=$C53)*($B$5:$B53&gt;=4)*($B$5:$B53&lt;=6)),$AI$5:$AI53),IF(B53=10,SUMPRODUCT(--(($C$5:$C53=$C53)*($B$5:$B53&gt;=7)*($B$5:$B53&lt;=9)),$AI$5:$AI53),0)))))</f>
        <v/>
      </c>
      <c r="AK53" s="12">
        <f>AK52+AI53-AJ53</f>
        <v/>
      </c>
      <c r="AL53" s="12">
        <f>IF(ProviderDelay&gt;=1,S52*BlendedProvPayEss+T52*BlendedProvPayPrem+U52*BlendedProvPayElite+V52*BlendedProvPayEss+W52*BlendedProvPayPrem+X52*BlendedProvPayElite,S53*BlendedProvPayEss+T53*BlendedProvPayPrem+U53*BlendedProvPayElite+V53*BlendedProvPayEss+W53*BlendedProvPayPrem+X53*BlendedProvPayElite)</f>
        <v/>
      </c>
      <c r="AM53" s="12">
        <f>AE53*PaymentFee</f>
        <v/>
      </c>
      <c r="AN53" s="12">
        <f>Y53*OpsAI</f>
        <v/>
      </c>
      <c r="AO53" s="12">
        <f>MonthlyFixed</f>
        <v/>
      </c>
      <c r="AP53" s="12">
        <f>I53*ReferralReward</f>
        <v/>
      </c>
      <c r="AQ53" s="12">
        <f>G53</f>
        <v/>
      </c>
      <c r="AR53" s="9">
        <f>AH53-AL53-AM53-AN53-AO53-AP53-AQ53</f>
        <v/>
      </c>
      <c r="AS53" s="9">
        <f>AS52+AE53-(AL53+AM53+AN53+AO53+AP53+AQ53+AJ53)</f>
        <v/>
      </c>
      <c r="AT53" s="12">
        <f>IF(Y53&gt;0,Z53/Y53,0)</f>
        <v/>
      </c>
      <c r="AU53" s="11">
        <f>IF(Y52&gt;0,MAX(0,(Y52+J53-Y53)/Y52),0)</f>
        <v/>
      </c>
      <c r="AW53" s="12" t="n">
        <v>49</v>
      </c>
      <c r="AX53" s="12">
        <f>MOD(AW53-1+LaunchMonth-1,12)+1</f>
        <v/>
      </c>
      <c r="AY53" s="12">
        <f>INT((AW53-1+LaunchMonth-1)/12)+1</f>
        <v/>
      </c>
      <c r="AZ53" s="12">
        <f>VLOOKUP(AX53,SeasonTable,2,FALSE)</f>
        <v/>
      </c>
      <c r="BA53" s="12">
        <f>(1+InflationRate)^INT((AW53-1)/12)</f>
        <v/>
      </c>
      <c r="BB53" s="11">
        <f>MonthlyChurn*VLOOKUP(AX53,ChurnSeasonTable,4,FALSE)</f>
        <v/>
      </c>
      <c r="BC53" s="12">
        <f>MIN(MAX(MktMin19plus,CA52*MktPct19plus),MAX(0,CO52-CashBuffer))</f>
        <v/>
      </c>
      <c r="BD53" s="12">
        <f>IF(BC53&gt;0,MAX(1,ROUND(BC53/CAC*AZ53,0)),0)</f>
        <v/>
      </c>
      <c r="BE53" s="12">
        <f>IF(BD53&gt;0,ROUND(BD53*ReferralMix/(1-ReferralMix),0),0)</f>
        <v/>
      </c>
      <c r="BF53" s="12">
        <f>BD53+BE53</f>
        <v/>
      </c>
      <c r="BG53" s="12">
        <f>ROUND(BF53*(1-AnnualMix),0)</f>
        <v/>
      </c>
      <c r="BH53" s="12">
        <f>BF53-BG53</f>
        <v/>
      </c>
      <c r="BI53" s="12">
        <f>ROUND(BG53*EssentialMix,0)</f>
        <v/>
      </c>
      <c r="BJ53" s="12">
        <f>ROUND(BG53*PremiumMix,0)</f>
        <v/>
      </c>
      <c r="BK53" s="12">
        <f>BG53-BI53-BJ53</f>
        <v/>
      </c>
      <c r="BL53" s="12">
        <f>ROUND(BH53*EssentialMix,0)</f>
        <v/>
      </c>
      <c r="BM53" s="12">
        <f>ROUND(BH53*PremiumMix,0)</f>
        <v/>
      </c>
      <c r="BN53" s="12">
        <f>BH53-BL53-BM53</f>
        <v/>
      </c>
      <c r="BO53" s="12">
        <f>BI53+BI52+BI51+MAX(0,BO52-BI52-BI51)*(1-BB53)</f>
        <v/>
      </c>
      <c r="BP53" s="12">
        <f>BJ53+BJ52+BJ51+MAX(0,BP52-BJ52-BJ51)*(1-BB53)</f>
        <v/>
      </c>
      <c r="BQ53" s="12">
        <f>BK53+BK52+BK51+MAX(0,BQ52-BK52-BK51)*(1-BB53)</f>
        <v/>
      </c>
      <c r="BR53" s="12">
        <f>BR52+BL53-BL41*(AnnualChurn*VLOOKUP(AX53,ChurnSeasonTable,4,FALSE))*POWER(1-(AnnualChurn*VLOOKUP(AX53,ChurnSeasonTable,4,FALSE)),0)+BL29*(AnnualChurn*VLOOKUP(AX53,ChurnSeasonTable,4,FALSE))*POWER(1-(AnnualChurn*VLOOKUP(AX53,ChurnSeasonTable,4,FALSE)),1)+BL17*(AnnualChurn*VLOOKUP(AX53,ChurnSeasonTable,4,FALSE))*POWER(1-(AnnualChurn*VLOOKUP(AX53,ChurnSeasonTable,4,FALSE)),2)+BL5*(AnnualChurn*VLOOKUP(AX53,ChurnSeasonTable,4,FALSE))*POWER(1-(AnnualChurn*VLOOKUP(AX53,ChurnSeasonTable,4,FALSE)),3)</f>
        <v/>
      </c>
      <c r="BS53" s="12">
        <f>BS52+BM53-BM41*(AnnualChurn*VLOOKUP(AX53,ChurnSeasonTable,4,FALSE))*POWER(1-(AnnualChurn*VLOOKUP(AX53,ChurnSeasonTable,4,FALSE)),0)+BM29*(AnnualChurn*VLOOKUP(AX53,ChurnSeasonTable,4,FALSE))*POWER(1-(AnnualChurn*VLOOKUP(AX53,ChurnSeasonTable,4,FALSE)),1)+BM17*(AnnualChurn*VLOOKUP(AX53,ChurnSeasonTable,4,FALSE))*POWER(1-(AnnualChurn*VLOOKUP(AX53,ChurnSeasonTable,4,FALSE)),2)+BM5*(AnnualChurn*VLOOKUP(AX53,ChurnSeasonTable,4,FALSE))*POWER(1-(AnnualChurn*VLOOKUP(AX53,ChurnSeasonTable,4,FALSE)),3)</f>
        <v/>
      </c>
      <c r="BT53" s="12">
        <f>BT52+BN53-BN41*(AnnualChurn*VLOOKUP(AX53,ChurnSeasonTable,4,FALSE))*POWER(1-(AnnualChurn*VLOOKUP(AX53,ChurnSeasonTable,4,FALSE)),0)+BN29*(AnnualChurn*VLOOKUP(AX53,ChurnSeasonTable,4,FALSE))*POWER(1-(AnnualChurn*VLOOKUP(AX53,ChurnSeasonTable,4,FALSE)),1)+BN17*(AnnualChurn*VLOOKUP(AX53,ChurnSeasonTable,4,FALSE))*POWER(1-(AnnualChurn*VLOOKUP(AX53,ChurnSeasonTable,4,FALSE)),2)+BN5*(AnnualChurn*VLOOKUP(AX53,ChurnSeasonTable,4,FALSE))*POWER(1-(AnnualChurn*VLOOKUP(AX53,ChurnSeasonTable,4,FALSE)),3)</f>
        <v/>
      </c>
      <c r="BU53" s="12">
        <f>BO53+BP53+BQ53+BR53+BS53+BT53</f>
        <v/>
      </c>
      <c r="BV53" s="9">
        <f>BO53*BlendedPriceEssMonthly*BA53+BP53*BlendedPricePremMonthly*BA53+BQ53*BlendedPriceEliteMonthly*BA53+BR53*BlendedPriceEssAnnual*BA53/12+BS53*BlendedPricePremAnnual*BA53/12+BT53*BlendedPriceEliteAnnual*BA53/12</f>
        <v/>
      </c>
      <c r="BW53" s="9">
        <f>BV53*12</f>
        <v/>
      </c>
      <c r="BX53" s="12">
        <f>BO53*BlendedPriceEssMonthly*BA53+BP53*BlendedPricePremMonthly*BA53+BQ53*BlendedPriceEliteMonthly*BA53</f>
        <v/>
      </c>
      <c r="BY53" s="12">
        <f>BL53*BlendedPriceEssAnnual*BA53+BM53*BlendedPricePremAnnual*BA53+BN53*BlendedPriceEliteAnnual*BA53</f>
        <v/>
      </c>
      <c r="BZ53" s="12">
        <f>BL41*POWER(1-(AnnualChurn*VLOOKUP(AX53,ChurnSeasonTable,4,FALSE)),1)*BlendedPriceEssAnnual*BA53+BL29*POWER(1-(AnnualChurn*VLOOKUP(AX53,ChurnSeasonTable,4,FALSE)),2)*BlendedPriceEssAnnual*BA53+BL17*POWER(1-(AnnualChurn*VLOOKUP(AX53,ChurnSeasonTable,4,FALSE)),3)*BlendedPriceEssAnnual*BA53+BL5*POWER(1-(AnnualChurn*VLOOKUP(AX53,ChurnSeasonTable,4,FALSE)),4)*BlendedPriceEssAnnual*BA53+BM41*POWER(1-(AnnualChurn*VLOOKUP(AX53,ChurnSeasonTable,4,FALSE)),1)*BlendedPricePremAnnual*BA53+BM29*POWER(1-(AnnualChurn*VLOOKUP(AX53,ChurnSeasonTable,4,FALSE)),2)*BlendedPricePremAnnual*BA53+BM17*POWER(1-(AnnualChurn*VLOOKUP(AX53,ChurnSeasonTable,4,FALSE)),3)*BlendedPricePremAnnual*BA53+BM5*POWER(1-(AnnualChurn*VLOOKUP(AX53,ChurnSeasonTable,4,FALSE)),4)*BlendedPricePremAnnual*BA53+BN41*POWER(1-(AnnualChurn*VLOOKUP(AX53,ChurnSeasonTable,4,FALSE)),1)*BlendedPriceEliteAnnual*BA53+BN29*POWER(1-(AnnualChurn*VLOOKUP(AX53,ChurnSeasonTable,4,FALSE)),2)*BlendedPriceEliteAnnual*BA53+BN17*POWER(1-(AnnualChurn*VLOOKUP(AX53,ChurnSeasonTable,4,FALSE)),3)*BlendedPriceEliteAnnual*BA53+BN5*POWER(1-(AnnualChurn*VLOOKUP(AX53,ChurnSeasonTable,4,FALSE)),4)*BlendedPriceEliteAnnual*BA53</f>
        <v/>
      </c>
      <c r="CA53" s="9">
        <f>BX53+BY53+BZ53</f>
        <v/>
      </c>
      <c r="CB53" s="12">
        <f>SUM(CA42:CA53)</f>
        <v/>
      </c>
      <c r="CC53" s="12">
        <f>OR(CC52,IF(VATAgentMode,SUM($CA42:$CA53)-SUM($CH42:$CH53)&gt;=VATThreshold,SUM($CA42:$CA53)&gt;=VATThreshold))</f>
        <v/>
      </c>
      <c r="CD53" s="9">
        <f>IF(CC53,IF(VATAgentMode,CA53-((CA53-CH53)-(CA53-CH53)/(1+VATRate)),CA53/(1+VATRate)),CA53)</f>
        <v/>
      </c>
      <c r="CE53" s="12">
        <f>CA53-CD53</f>
        <v/>
      </c>
      <c r="CF53" s="12">
        <f>IF(CC53=0,0,IF(AX53=1,SUMPRODUCT(--(($AY$5:$AY53=$AY53-1)*($AX$5:$AX53&gt;=10)*($AX$5:$AX53&lt;=12)),$CE$5:$CE53),IF(AX53=4,SUMPRODUCT(--(($AY$5:$AY53=$AY53)*($AX$5:$AX53&gt;=1)*($AX$5:$AX53&lt;=3)),$CE$5:$CE53),IF(AX53=7,SUMPRODUCT(--(($AY$5:$AY53=$AY53)*($AX$5:$AX53&gt;=4)*($AX$5:$AX53&lt;=6)),$CE$5:$CE53),IF(AX53=10,SUMPRODUCT(--(($AY$5:$AY53=$AY53)*($AX$5:$AX53&gt;=7)*($AX$5:$AX53&lt;=9)),$CE$5:$CE53),0)))))</f>
        <v/>
      </c>
      <c r="CG53" s="12">
        <f>CG52+CE53-CF53</f>
        <v/>
      </c>
      <c r="CH53" s="12">
        <f>IF(ProviderDelay&gt;=1,BO52*BlendedProvPayEss+BP52*BlendedProvPayPrem+BQ52*BlendedProvPayElite+BR52*BlendedProvPayEss+BS52*BlendedProvPayPrem+BT52*BlendedProvPayElite,BO53*BlendedProvPayEss+BP53*BlendedProvPayPrem+BQ53*BlendedProvPayElite+BR53*BlendedProvPayEss+BS53*BlendedProvPayPrem+BT53*BlendedProvPayElite)</f>
        <v/>
      </c>
      <c r="CI53" s="12">
        <f>CA53*PaymentFee</f>
        <v/>
      </c>
      <c r="CJ53" s="12">
        <f>BU53*OpsAI</f>
        <v/>
      </c>
      <c r="CK53" s="12">
        <f>MonthlyFixed</f>
        <v/>
      </c>
      <c r="CL53" s="12">
        <f>BE53*ReferralReward</f>
        <v/>
      </c>
      <c r="CM53" s="12">
        <f>BC53</f>
        <v/>
      </c>
      <c r="CN53" s="9">
        <f>CD53-CH53-CI53-CJ53-CK53-CL53-CM53</f>
        <v/>
      </c>
      <c r="CO53" s="9">
        <f>CO52+CA53-(CH53+CI53+CJ53+CK53+CL53+CM53+CF53)</f>
        <v/>
      </c>
      <c r="CP53" s="12">
        <f>IF(BU53&gt;0,BV53/BU53,0)</f>
        <v/>
      </c>
      <c r="CQ53" s="11">
        <f>IF(BU52&gt;0,MAX(0,(BU52+BF53-BU53)/BU52),0)</f>
        <v/>
      </c>
      <c r="CS53" s="12" t="n">
        <v>49</v>
      </c>
      <c r="CT53" s="12">
        <f>MOD(CS53-1+LaunchMonth-1,12)+1</f>
        <v/>
      </c>
      <c r="CU53" s="12">
        <f>INT((CS53-1+LaunchMonth-1)/12)+1</f>
        <v/>
      </c>
      <c r="CV53" s="12">
        <f>VLOOKUP(CT53,SeasonTable,2,FALSE)</f>
        <v/>
      </c>
      <c r="CW53" s="12">
        <f>(1+InflationRate)^INT((CS53-1)/12)</f>
        <v/>
      </c>
      <c r="CX53" s="11">
        <f>'Sens - Scenarios'!$D$5*VLOOKUP(CT53,ChurnSeasonTable,4,FALSE)</f>
        <v/>
      </c>
      <c r="CY53" s="12">
        <f>MIN(MAX(MktMin19plus,DW52*MktPct19plus),MAX(0,EK52-CashBuffer))</f>
        <v/>
      </c>
      <c r="CZ53" s="12">
        <f>IF(CY53&gt;0,MAX(1,ROUND(CY53/'Sens - Scenarios'!$D$8*CV53,0)),0)</f>
        <v/>
      </c>
      <c r="DA53" s="12">
        <f>IF(CZ53&gt;0,ROUND(CZ53*ReferralMix/(1-ReferralMix),0),0)</f>
        <v/>
      </c>
      <c r="DB53" s="12">
        <f>CZ53+DA53</f>
        <v/>
      </c>
      <c r="DC53" s="12">
        <f>ROUND(DB53*(1-'Sens - Scenarios'!$D$7),0)</f>
        <v/>
      </c>
      <c r="DD53" s="12">
        <f>DB53-DC53</f>
        <v/>
      </c>
      <c r="DE53" s="12">
        <f>ROUND(DC53*EssentialMix,0)</f>
        <v/>
      </c>
      <c r="DF53" s="12">
        <f>ROUND(DC53*PremiumMix,0)</f>
        <v/>
      </c>
      <c r="DG53" s="12">
        <f>DC53-DE53-DF53</f>
        <v/>
      </c>
      <c r="DH53" s="12">
        <f>ROUND(DD53*EssentialMix,0)</f>
        <v/>
      </c>
      <c r="DI53" s="12">
        <f>ROUND(DD53*PremiumMix,0)</f>
        <v/>
      </c>
      <c r="DJ53" s="12">
        <f>DD53-DH53-DI53</f>
        <v/>
      </c>
      <c r="DK53" s="12">
        <f>DE53+DE52+DE51+MAX(0,DK52-DE52-DE51)*(1-CX53)</f>
        <v/>
      </c>
      <c r="DL53" s="12">
        <f>DF53+DF52+DF51+MAX(0,DL52-DF52-DF51)*(1-CX53)</f>
        <v/>
      </c>
      <c r="DM53" s="12">
        <f>DG53+DG52+DG51+MAX(0,DM52-DG52-DG51)*(1-CX53)</f>
        <v/>
      </c>
      <c r="DN53" s="12">
        <f>DN52+DH53-DH41*('Sens - Scenarios'!$D$6*VLOOKUP(CT53,ChurnSeasonTable,4,FALSE))*POWER(1-('Sens - Scenarios'!$D$6*VLOOKUP(CT53,ChurnSeasonTable,4,FALSE)),0)+DH29*('Sens - Scenarios'!$D$6*VLOOKUP(CT53,ChurnSeasonTable,4,FALSE))*POWER(1-('Sens - Scenarios'!$D$6*VLOOKUP(CT53,ChurnSeasonTable,4,FALSE)),1)+DH17*('Sens - Scenarios'!$D$6*VLOOKUP(CT53,ChurnSeasonTable,4,FALSE))*POWER(1-('Sens - Scenarios'!$D$6*VLOOKUP(CT53,ChurnSeasonTable,4,FALSE)),2)+DH5*('Sens - Scenarios'!$D$6*VLOOKUP(CT53,ChurnSeasonTable,4,FALSE))*POWER(1-('Sens - Scenarios'!$D$6*VLOOKUP(CT53,ChurnSeasonTable,4,FALSE)),3)</f>
        <v/>
      </c>
      <c r="DO53" s="12">
        <f>DO52+DI53-DI41*('Sens - Scenarios'!$D$6*VLOOKUP(CT53,ChurnSeasonTable,4,FALSE))*POWER(1-('Sens - Scenarios'!$D$6*VLOOKUP(CT53,ChurnSeasonTable,4,FALSE)),0)+DI29*('Sens - Scenarios'!$D$6*VLOOKUP(CT53,ChurnSeasonTable,4,FALSE))*POWER(1-('Sens - Scenarios'!$D$6*VLOOKUP(CT53,ChurnSeasonTable,4,FALSE)),1)+DI17*('Sens - Scenarios'!$D$6*VLOOKUP(CT53,ChurnSeasonTable,4,FALSE))*POWER(1-('Sens - Scenarios'!$D$6*VLOOKUP(CT53,ChurnSeasonTable,4,FALSE)),2)+DI5*('Sens - Scenarios'!$D$6*VLOOKUP(CT53,ChurnSeasonTable,4,FALSE))*POWER(1-('Sens - Scenarios'!$D$6*VLOOKUP(CT53,ChurnSeasonTable,4,FALSE)),3)</f>
        <v/>
      </c>
      <c r="DP53" s="12">
        <f>DP52+DJ53-DJ41*('Sens - Scenarios'!$D$6*VLOOKUP(CT53,ChurnSeasonTable,4,FALSE))*POWER(1-('Sens - Scenarios'!$D$6*VLOOKUP(CT53,ChurnSeasonTable,4,FALSE)),0)+DJ29*('Sens - Scenarios'!$D$6*VLOOKUP(CT53,ChurnSeasonTable,4,FALSE))*POWER(1-('Sens - Scenarios'!$D$6*VLOOKUP(CT53,ChurnSeasonTable,4,FALSE)),1)+DJ17*('Sens - Scenarios'!$D$6*VLOOKUP(CT53,ChurnSeasonTable,4,FALSE))*POWER(1-('Sens - Scenarios'!$D$6*VLOOKUP(CT53,ChurnSeasonTable,4,FALSE)),2)+DJ5*('Sens - Scenarios'!$D$6*VLOOKUP(CT53,ChurnSeasonTable,4,FALSE))*POWER(1-('Sens - Scenarios'!$D$6*VLOOKUP(CT53,ChurnSeasonTable,4,FALSE)),3)</f>
        <v/>
      </c>
      <c r="DQ53" s="12">
        <f>DK53+DL53+DM53+DN53+DO53+DP53</f>
        <v/>
      </c>
      <c r="DR53" s="9">
        <f>DK53*BlendedPriceEssMonthly*CW53+DL53*BlendedPricePremMonthly*CW53+DM53*BlendedPriceEliteMonthly*CW53+DN53*BlendedPriceEssAnnual*CW53/12+DO53*BlendedPricePremAnnual*CW53/12+DP53*BlendedPriceEliteAnnual*CW53/12</f>
        <v/>
      </c>
      <c r="DS53" s="9">
        <f>DR53*12</f>
        <v/>
      </c>
      <c r="DT53" s="12">
        <f>DK53*BlendedPriceEssMonthly*CW53+DL53*BlendedPricePremMonthly*CW53+DM53*BlendedPriceEliteMonthly*CW53</f>
        <v/>
      </c>
      <c r="DU53" s="12">
        <f>DH53*BlendedPriceEssAnnual*CW53+DI53*BlendedPricePremAnnual*CW53+DJ53*BlendedPriceEliteAnnual*CW53</f>
        <v/>
      </c>
      <c r="DV53" s="12">
        <f>DH41*POWER(1-('Sens - Scenarios'!$D$6*VLOOKUP(CT53,ChurnSeasonTable,4,FALSE)),1)*BlendedPriceEssAnnual*CW53+DH29*POWER(1-('Sens - Scenarios'!$D$6*VLOOKUP(CT53,ChurnSeasonTable,4,FALSE)),2)*BlendedPriceEssAnnual*CW53+DH17*POWER(1-('Sens - Scenarios'!$D$6*VLOOKUP(CT53,ChurnSeasonTable,4,FALSE)),3)*BlendedPriceEssAnnual*CW53+DH5*POWER(1-('Sens - Scenarios'!$D$6*VLOOKUP(CT53,ChurnSeasonTable,4,FALSE)),4)*BlendedPriceEssAnnual*CW53+DI41*POWER(1-('Sens - Scenarios'!$D$6*VLOOKUP(CT53,ChurnSeasonTable,4,FALSE)),1)*BlendedPricePremAnnual*CW53+DI29*POWER(1-('Sens - Scenarios'!$D$6*VLOOKUP(CT53,ChurnSeasonTable,4,FALSE)),2)*BlendedPricePremAnnual*CW53+DI17*POWER(1-('Sens - Scenarios'!$D$6*VLOOKUP(CT53,ChurnSeasonTable,4,FALSE)),3)*BlendedPricePremAnnual*CW53+DI5*POWER(1-('Sens - Scenarios'!$D$6*VLOOKUP(CT53,ChurnSeasonTable,4,FALSE)),4)*BlendedPricePremAnnual*CW53+DJ41*POWER(1-('Sens - Scenarios'!$D$6*VLOOKUP(CT53,ChurnSeasonTable,4,FALSE)),1)*BlendedPriceEliteAnnual*CW53+DJ29*POWER(1-('Sens - Scenarios'!$D$6*VLOOKUP(CT53,ChurnSeasonTable,4,FALSE)),2)*BlendedPriceEliteAnnual*CW53+DJ17*POWER(1-('Sens - Scenarios'!$D$6*VLOOKUP(CT53,ChurnSeasonTable,4,FALSE)),3)*BlendedPriceEliteAnnual*CW53+DJ5*POWER(1-('Sens - Scenarios'!$D$6*VLOOKUP(CT53,ChurnSeasonTable,4,FALSE)),4)*BlendedPriceEliteAnnual*CW53</f>
        <v/>
      </c>
      <c r="DW53" s="9">
        <f>DT53+DU53+DV53</f>
        <v/>
      </c>
      <c r="DX53" s="12">
        <f>SUM(DW42:DW53)</f>
        <v/>
      </c>
      <c r="DY53" s="12">
        <f>OR(DY52,IF(VATAgentMode,SUM($DW42:$DW53)-SUM($ED42:$ED53)&gt;=VATThreshold,SUM($DW42:$DW53)&gt;=VATThreshold))</f>
        <v/>
      </c>
      <c r="DZ53" s="9">
        <f>IF(DY53,IF(VATAgentMode,DW53-((DW53-ED53)-(DW53-ED53)/(1+VATRate)),DW53/(1+VATRate)),DW53)</f>
        <v/>
      </c>
      <c r="EA53" s="12">
        <f>DW53-DZ53</f>
        <v/>
      </c>
      <c r="EB53" s="12">
        <f>IF(DY53=0,0,IF(CT53=1,SUMPRODUCT(--(($CU$5:$CU53=$CU53-1)*($CT$5:$CT53&gt;=10)*($CT$5:$CT53&lt;=12)),$EA$5:$EA53),IF(CT53=4,SUMPRODUCT(--(($CU$5:$CU53=$CU53)*($CT$5:$CT53&gt;=1)*($CT$5:$CT53&lt;=3)),$EA$5:$EA53),IF(CT53=7,SUMPRODUCT(--(($CU$5:$CU53=$CU53)*($CT$5:$CT53&gt;=4)*($CT$5:$CT53&lt;=6)),$EA$5:$EA53),IF(CT53=10,SUMPRODUCT(--(($CU$5:$CU53=$CU53)*($CT$5:$CT53&gt;=7)*($CT$5:$CT53&lt;=9)),$EA$5:$EA53),0)))))</f>
        <v/>
      </c>
      <c r="EC53" s="12">
        <f>EC52+EA53-EB53</f>
        <v/>
      </c>
      <c r="ED53" s="12">
        <f>IF(ProviderDelay&gt;=1,DK52*BlendedProvPayEss+DL52*BlendedProvPayPrem+DM52*BlendedProvPayElite+DN52*BlendedProvPayEss+DO52*BlendedProvPayPrem+DP52*BlendedProvPayElite,DK53*BlendedProvPayEss+DL53*BlendedProvPayPrem+DM53*BlendedProvPayElite+DN53*BlendedProvPayEss+DO53*BlendedProvPayPrem+DP53*BlendedProvPayElite)</f>
        <v/>
      </c>
      <c r="EE53" s="12">
        <f>DW53*PaymentFee</f>
        <v/>
      </c>
      <c r="EF53" s="12">
        <f>DQ53*OpsAI</f>
        <v/>
      </c>
      <c r="EG53" s="12">
        <f>MonthlyFixed</f>
        <v/>
      </c>
      <c r="EH53" s="12">
        <f>DA53*ReferralReward</f>
        <v/>
      </c>
      <c r="EI53" s="12">
        <f>CY53</f>
        <v/>
      </c>
      <c r="EJ53" s="9">
        <f>DZ53-ED53-EE53-EF53-EG53-EH53-EI53</f>
        <v/>
      </c>
      <c r="EK53" s="9">
        <f>EK52+DW53-(ED53+EE53+EF53+EG53+EH53+EI53+EB53)</f>
        <v/>
      </c>
      <c r="EL53" s="12">
        <f>IF(DQ53&gt;0,DR53/DQ53,0)</f>
        <v/>
      </c>
      <c r="EM53" s="11">
        <f>IF(DQ52&gt;0,MAX(0,(DQ52+DB53-DQ53)/DQ52),0)</f>
        <v/>
      </c>
      <c r="EO53" s="12" t="n">
        <v>49</v>
      </c>
      <c r="EP53" s="12">
        <f>MOD(EO53-1+LaunchMonth-1,12)+1</f>
        <v/>
      </c>
      <c r="EQ53" s="12">
        <f>INT((EO53-1+LaunchMonth-1)/12)+1</f>
        <v/>
      </c>
      <c r="ER53" s="12">
        <f>VLOOKUP(EP53,SeasonTable,2,FALSE)</f>
        <v/>
      </c>
      <c r="ES53" s="12">
        <f>(1+InflationRate)^INT((EO53-1)/12)</f>
        <v/>
      </c>
      <c r="ET53" s="11">
        <f>'Sens - Churn'!$A$13*VLOOKUP(EP53,ChurnSeasonTable,4,FALSE)</f>
        <v/>
      </c>
      <c r="EU53" s="12">
        <f>MIN(MAX(MktMin19plus,FS52*MktPct19plus),MAX(0,GG52-CashBuffer))</f>
        <v/>
      </c>
      <c r="EV53" s="12">
        <f>IF(EU53&gt;0,MAX(1,ROUND(EU53/CAC*ER53,0)),0)</f>
        <v/>
      </c>
      <c r="EW53" s="12">
        <f>IF(EV53&gt;0,ROUND(EV53*ReferralMix/(1-ReferralMix),0),0)</f>
        <v/>
      </c>
      <c r="EX53" s="12">
        <f>EV53+EW53</f>
        <v/>
      </c>
      <c r="EY53" s="12">
        <f>ROUND(EX53*(1-AnnualMix),0)</f>
        <v/>
      </c>
      <c r="EZ53" s="12">
        <f>EX53-EY53</f>
        <v/>
      </c>
      <c r="FA53" s="12">
        <f>ROUND(EY53*EssentialMix,0)</f>
        <v/>
      </c>
      <c r="FB53" s="12">
        <f>ROUND(EY53*PremiumMix,0)</f>
        <v/>
      </c>
      <c r="FC53" s="12">
        <f>EY53-FA53-FB53</f>
        <v/>
      </c>
      <c r="FD53" s="12">
        <f>ROUND(EZ53*EssentialMix,0)</f>
        <v/>
      </c>
      <c r="FE53" s="12">
        <f>ROUND(EZ53*PremiumMix,0)</f>
        <v/>
      </c>
      <c r="FF53" s="12">
        <f>EZ53-FD53-FE53</f>
        <v/>
      </c>
      <c r="FG53" s="12">
        <f>FA53+FA52+FA51+MAX(0,FG52-FA52-FA51)*(1-ET53)</f>
        <v/>
      </c>
      <c r="FH53" s="12">
        <f>FB53+FB52+FB51+MAX(0,FH52-FB52-FB51)*(1-ET53)</f>
        <v/>
      </c>
      <c r="FI53" s="12">
        <f>FC53+FC52+FC51+MAX(0,FI52-FC52-FC51)*(1-ET53)</f>
        <v/>
      </c>
      <c r="FJ53" s="12">
        <f>FJ52+FD53-FD41*(AnnualChurn*VLOOKUP(EP53,ChurnSeasonTable,4,FALSE))*POWER(1-(AnnualChurn*VLOOKUP(EP53,ChurnSeasonTable,4,FALSE)),0)+FD29*(AnnualChurn*VLOOKUP(EP53,ChurnSeasonTable,4,FALSE))*POWER(1-(AnnualChurn*VLOOKUP(EP53,ChurnSeasonTable,4,FALSE)),1)+FD17*(AnnualChurn*VLOOKUP(EP53,ChurnSeasonTable,4,FALSE))*POWER(1-(AnnualChurn*VLOOKUP(EP53,ChurnSeasonTable,4,FALSE)),2)+FD5*(AnnualChurn*VLOOKUP(EP53,ChurnSeasonTable,4,FALSE))*POWER(1-(AnnualChurn*VLOOKUP(EP53,ChurnSeasonTable,4,FALSE)),3)</f>
        <v/>
      </c>
      <c r="FK53" s="12">
        <f>FK52+FE53-FE41*(AnnualChurn*VLOOKUP(EP53,ChurnSeasonTable,4,FALSE))*POWER(1-(AnnualChurn*VLOOKUP(EP53,ChurnSeasonTable,4,FALSE)),0)+FE29*(AnnualChurn*VLOOKUP(EP53,ChurnSeasonTable,4,FALSE))*POWER(1-(AnnualChurn*VLOOKUP(EP53,ChurnSeasonTable,4,FALSE)),1)+FE17*(AnnualChurn*VLOOKUP(EP53,ChurnSeasonTable,4,FALSE))*POWER(1-(AnnualChurn*VLOOKUP(EP53,ChurnSeasonTable,4,FALSE)),2)+FE5*(AnnualChurn*VLOOKUP(EP53,ChurnSeasonTable,4,FALSE))*POWER(1-(AnnualChurn*VLOOKUP(EP53,ChurnSeasonTable,4,FALSE)),3)</f>
        <v/>
      </c>
      <c r="FL53" s="12">
        <f>FL52+FF53-FF41*(AnnualChurn*VLOOKUP(EP53,ChurnSeasonTable,4,FALSE))*POWER(1-(AnnualChurn*VLOOKUP(EP53,ChurnSeasonTable,4,FALSE)),0)+FF29*(AnnualChurn*VLOOKUP(EP53,ChurnSeasonTable,4,FALSE))*POWER(1-(AnnualChurn*VLOOKUP(EP53,ChurnSeasonTable,4,FALSE)),1)+FF17*(AnnualChurn*VLOOKUP(EP53,ChurnSeasonTable,4,FALSE))*POWER(1-(AnnualChurn*VLOOKUP(EP53,ChurnSeasonTable,4,FALSE)),2)+FF5*(AnnualChurn*VLOOKUP(EP53,ChurnSeasonTable,4,FALSE))*POWER(1-(AnnualChurn*VLOOKUP(EP53,ChurnSeasonTable,4,FALSE)),3)</f>
        <v/>
      </c>
      <c r="FM53" s="12">
        <f>FG53+FH53+FI53+FJ53+FK53+FL53</f>
        <v/>
      </c>
      <c r="FN53" s="9">
        <f>FG53*BlendedPriceEssMonthly*ES53+FH53*BlendedPricePremMonthly*ES53+FI53*BlendedPriceEliteMonthly*ES53+FJ53*BlendedPriceEssAnnual*ES53/12+FK53*BlendedPricePremAnnual*ES53/12+FL53*BlendedPriceEliteAnnual*ES53/12</f>
        <v/>
      </c>
      <c r="FO53" s="9">
        <f>FN53*12</f>
        <v/>
      </c>
      <c r="FP53" s="12">
        <f>FG53*BlendedPriceEssMonthly*ES53+FH53*BlendedPricePremMonthly*ES53+FI53*BlendedPriceEliteMonthly*ES53</f>
        <v/>
      </c>
      <c r="FQ53" s="12">
        <f>FD53*BlendedPriceEssAnnual*ES53+FE53*BlendedPricePremAnnual*ES53+FF53*BlendedPriceEliteAnnual*ES53</f>
        <v/>
      </c>
      <c r="FR53" s="12">
        <f>FD41*POWER(1-(AnnualChurn*VLOOKUP(EP53,ChurnSeasonTable,4,FALSE)),1)*BlendedPriceEssAnnual*ES53+FD29*POWER(1-(AnnualChurn*VLOOKUP(EP53,ChurnSeasonTable,4,FALSE)),2)*BlendedPriceEssAnnual*ES53+FD17*POWER(1-(AnnualChurn*VLOOKUP(EP53,ChurnSeasonTable,4,FALSE)),3)*BlendedPriceEssAnnual*ES53+FD5*POWER(1-(AnnualChurn*VLOOKUP(EP53,ChurnSeasonTable,4,FALSE)),4)*BlendedPriceEssAnnual*ES53+FE41*POWER(1-(AnnualChurn*VLOOKUP(EP53,ChurnSeasonTable,4,FALSE)),1)*BlendedPricePremAnnual*ES53+FE29*POWER(1-(AnnualChurn*VLOOKUP(EP53,ChurnSeasonTable,4,FALSE)),2)*BlendedPricePremAnnual*ES53+FE17*POWER(1-(AnnualChurn*VLOOKUP(EP53,ChurnSeasonTable,4,FALSE)),3)*BlendedPricePremAnnual*ES53+FE5*POWER(1-(AnnualChurn*VLOOKUP(EP53,ChurnSeasonTable,4,FALSE)),4)*BlendedPricePremAnnual*ES53+FF41*POWER(1-(AnnualChurn*VLOOKUP(EP53,ChurnSeasonTable,4,FALSE)),1)*BlendedPriceEliteAnnual*ES53+FF29*POWER(1-(AnnualChurn*VLOOKUP(EP53,ChurnSeasonTable,4,FALSE)),2)*BlendedPriceEliteAnnual*ES53+FF17*POWER(1-(AnnualChurn*VLOOKUP(EP53,ChurnSeasonTable,4,FALSE)),3)*BlendedPriceEliteAnnual*ES53+FF5*POWER(1-(AnnualChurn*VLOOKUP(EP53,ChurnSeasonTable,4,FALSE)),4)*BlendedPriceEliteAnnual*ES53</f>
        <v/>
      </c>
      <c r="FS53" s="9">
        <f>FP53+FQ53+FR53</f>
        <v/>
      </c>
      <c r="FT53" s="12">
        <f>SUM(FS42:FS53)</f>
        <v/>
      </c>
      <c r="FU53" s="12">
        <f>OR(FU52,IF(VATAgentMode,SUM($FS42:$FS53)-SUM($FZ42:$FZ53)&gt;=VATThreshold,SUM($FS42:$FS53)&gt;=VATThreshold))</f>
        <v/>
      </c>
      <c r="FV53" s="9">
        <f>IF(FU53,IF(VATAgentMode,FS53-((FS53-FZ53)-(FS53-FZ53)/(1+VATRate)),FS53/(1+VATRate)),FS53)</f>
        <v/>
      </c>
      <c r="FW53" s="12">
        <f>FS53-FV53</f>
        <v/>
      </c>
      <c r="FX53" s="12">
        <f>IF(FU53=0,0,IF(EP53=1,SUMPRODUCT(--(($EQ$5:$EQ53=$EQ53-1)*($EP$5:$EP53&gt;=10)*($EP$5:$EP53&lt;=12)),$FW$5:$FW53),IF(EP53=4,SUMPRODUCT(--(($EQ$5:$EQ53=$EQ53)*($EP$5:$EP53&gt;=1)*($EP$5:$EP53&lt;=3)),$FW$5:$FW53),IF(EP53=7,SUMPRODUCT(--(($EQ$5:$EQ53=$EQ53)*($EP$5:$EP53&gt;=4)*($EP$5:$EP53&lt;=6)),$FW$5:$FW53),IF(EP53=10,SUMPRODUCT(--(($EQ$5:$EQ53=$EQ53)*($EP$5:$EP53&gt;=7)*($EP$5:$EP53&lt;=9)),$FW$5:$FW53),0)))))</f>
        <v/>
      </c>
      <c r="FY53" s="12">
        <f>FY52+FW53-FX53</f>
        <v/>
      </c>
      <c r="FZ53" s="12">
        <f>IF(ProviderDelay&gt;=1,FG52*BlendedProvPayEss+FH52*BlendedProvPayPrem+FI52*BlendedProvPayElite+FJ52*BlendedProvPayEss+FK52*BlendedProvPayPrem+FL52*BlendedProvPayElite,FG53*BlendedProvPayEss+FH53*BlendedProvPayPrem+FI53*BlendedProvPayElite+FJ53*BlendedProvPayEss+FK53*BlendedProvPayPrem+FL53*BlendedProvPayElite)</f>
        <v/>
      </c>
      <c r="GA53" s="12">
        <f>FS53*PaymentFee</f>
        <v/>
      </c>
      <c r="GB53" s="12">
        <f>FM53*OpsAI</f>
        <v/>
      </c>
      <c r="GC53" s="12">
        <f>MonthlyFixed</f>
        <v/>
      </c>
      <c r="GD53" s="12">
        <f>EW53*ReferralReward</f>
        <v/>
      </c>
      <c r="GE53" s="12">
        <f>EU53</f>
        <v/>
      </c>
      <c r="GF53" s="9">
        <f>FV53-FZ53-GA53-GB53-GC53-GD53-GE53</f>
        <v/>
      </c>
      <c r="GG53" s="9">
        <f>GG52+FS53-(FZ53+GA53+GB53+GC53+GD53+GE53+FX53)</f>
        <v/>
      </c>
      <c r="GH53" s="12">
        <f>IF(FM53&gt;0,FN53/FM53,0)</f>
        <v/>
      </c>
      <c r="GI53" s="11">
        <f>IF(FM52&gt;0,MAX(0,(FM52+EX53-FM53)/FM52),0)</f>
        <v/>
      </c>
      <c r="GK53" s="12" t="n">
        <v>49</v>
      </c>
      <c r="GL53" s="12">
        <f>MOD(GK53-1+LaunchMonth-1,12)+1</f>
        <v/>
      </c>
      <c r="GM53" s="12">
        <f>INT((GK53-1+LaunchMonth-1)/12)+1</f>
        <v/>
      </c>
      <c r="GN53" s="12">
        <f>VLOOKUP(GL53,SeasonTable,2,FALSE)</f>
        <v/>
      </c>
      <c r="GO53" s="12">
        <f>(1+InflationRate)^INT((GK53-1)/12)</f>
        <v/>
      </c>
      <c r="GP53" s="11">
        <f>'Sens - Churn'!$A$14*VLOOKUP(GL53,ChurnSeasonTable,4,FALSE)</f>
        <v/>
      </c>
      <c r="GQ53" s="12">
        <f>MIN(MAX(MktMin19plus,HO52*MktPct19plus),MAX(0,IC52-CashBuffer))</f>
        <v/>
      </c>
      <c r="GR53" s="12">
        <f>IF(GQ53&gt;0,MAX(1,ROUND(GQ53/CAC*GN53,0)),0)</f>
        <v/>
      </c>
      <c r="GS53" s="12">
        <f>IF(GR53&gt;0,ROUND(GR53*ReferralMix/(1-ReferralMix),0),0)</f>
        <v/>
      </c>
      <c r="GT53" s="12">
        <f>GR53+GS53</f>
        <v/>
      </c>
      <c r="GU53" s="12">
        <f>ROUND(GT53*(1-AnnualMix),0)</f>
        <v/>
      </c>
      <c r="GV53" s="12">
        <f>GT53-GU53</f>
        <v/>
      </c>
      <c r="GW53" s="12">
        <f>ROUND(GU53*EssentialMix,0)</f>
        <v/>
      </c>
      <c r="GX53" s="12">
        <f>ROUND(GU53*PremiumMix,0)</f>
        <v/>
      </c>
      <c r="GY53" s="12">
        <f>GU53-GW53-GX53</f>
        <v/>
      </c>
      <c r="GZ53" s="12">
        <f>ROUND(GV53*EssentialMix,0)</f>
        <v/>
      </c>
      <c r="HA53" s="12">
        <f>ROUND(GV53*PremiumMix,0)</f>
        <v/>
      </c>
      <c r="HB53" s="12">
        <f>GV53-GZ53-HA53</f>
        <v/>
      </c>
      <c r="HC53" s="12">
        <f>GW53+GW52+GW51+MAX(0,HC52-GW52-GW51)*(1-GP53)</f>
        <v/>
      </c>
      <c r="HD53" s="12">
        <f>GX53+GX52+GX51+MAX(0,HD52-GX52-GX51)*(1-GP53)</f>
        <v/>
      </c>
      <c r="HE53" s="12">
        <f>GY53+GY52+GY51+MAX(0,HE52-GY52-GY51)*(1-GP53)</f>
        <v/>
      </c>
      <c r="HF53" s="12">
        <f>HF52+GZ53-GZ41*(AnnualChurn*VLOOKUP(GL53,ChurnSeasonTable,4,FALSE))*POWER(1-(AnnualChurn*VLOOKUP(GL53,ChurnSeasonTable,4,FALSE)),0)+GZ29*(AnnualChurn*VLOOKUP(GL53,ChurnSeasonTable,4,FALSE))*POWER(1-(AnnualChurn*VLOOKUP(GL53,ChurnSeasonTable,4,FALSE)),1)+GZ17*(AnnualChurn*VLOOKUP(GL53,ChurnSeasonTable,4,FALSE))*POWER(1-(AnnualChurn*VLOOKUP(GL53,ChurnSeasonTable,4,FALSE)),2)+GZ5*(AnnualChurn*VLOOKUP(GL53,ChurnSeasonTable,4,FALSE))*POWER(1-(AnnualChurn*VLOOKUP(GL53,ChurnSeasonTable,4,FALSE)),3)</f>
        <v/>
      </c>
      <c r="HG53" s="12">
        <f>HG52+HA53-HA41*(AnnualChurn*VLOOKUP(GL53,ChurnSeasonTable,4,FALSE))*POWER(1-(AnnualChurn*VLOOKUP(GL53,ChurnSeasonTable,4,FALSE)),0)+HA29*(AnnualChurn*VLOOKUP(GL53,ChurnSeasonTable,4,FALSE))*POWER(1-(AnnualChurn*VLOOKUP(GL53,ChurnSeasonTable,4,FALSE)),1)+HA17*(AnnualChurn*VLOOKUP(GL53,ChurnSeasonTable,4,FALSE))*POWER(1-(AnnualChurn*VLOOKUP(GL53,ChurnSeasonTable,4,FALSE)),2)+HA5*(AnnualChurn*VLOOKUP(GL53,ChurnSeasonTable,4,FALSE))*POWER(1-(AnnualChurn*VLOOKUP(GL53,ChurnSeasonTable,4,FALSE)),3)</f>
        <v/>
      </c>
      <c r="HH53" s="12">
        <f>HH52+HB53-HB41*(AnnualChurn*VLOOKUP(GL53,ChurnSeasonTable,4,FALSE))*POWER(1-(AnnualChurn*VLOOKUP(GL53,ChurnSeasonTable,4,FALSE)),0)+HB29*(AnnualChurn*VLOOKUP(GL53,ChurnSeasonTable,4,FALSE))*POWER(1-(AnnualChurn*VLOOKUP(GL53,ChurnSeasonTable,4,FALSE)),1)+HB17*(AnnualChurn*VLOOKUP(GL53,ChurnSeasonTable,4,FALSE))*POWER(1-(AnnualChurn*VLOOKUP(GL53,ChurnSeasonTable,4,FALSE)),2)+HB5*(AnnualChurn*VLOOKUP(GL53,ChurnSeasonTable,4,FALSE))*POWER(1-(AnnualChurn*VLOOKUP(GL53,ChurnSeasonTable,4,FALSE)),3)</f>
        <v/>
      </c>
      <c r="HI53" s="12">
        <f>HC53+HD53+HE53+HF53+HG53+HH53</f>
        <v/>
      </c>
      <c r="HJ53" s="9">
        <f>HC53*BlendedPriceEssMonthly*GO53+HD53*BlendedPricePremMonthly*GO53+HE53*BlendedPriceEliteMonthly*GO53+HF53*BlendedPriceEssAnnual*GO53/12+HG53*BlendedPricePremAnnual*GO53/12+HH53*BlendedPriceEliteAnnual*GO53/12</f>
        <v/>
      </c>
      <c r="HK53" s="9">
        <f>HJ53*12</f>
        <v/>
      </c>
      <c r="HL53" s="12">
        <f>HC53*BlendedPriceEssMonthly*GO53+HD53*BlendedPricePremMonthly*GO53+HE53*BlendedPriceEliteMonthly*GO53</f>
        <v/>
      </c>
      <c r="HM53" s="12">
        <f>GZ53*BlendedPriceEssAnnual*GO53+HA53*BlendedPricePremAnnual*GO53+HB53*BlendedPriceEliteAnnual*GO53</f>
        <v/>
      </c>
      <c r="HN53" s="12">
        <f>GZ41*POWER(1-(AnnualChurn*VLOOKUP(GL53,ChurnSeasonTable,4,FALSE)),1)*BlendedPriceEssAnnual*GO53+GZ29*POWER(1-(AnnualChurn*VLOOKUP(GL53,ChurnSeasonTable,4,FALSE)),2)*BlendedPriceEssAnnual*GO53+GZ17*POWER(1-(AnnualChurn*VLOOKUP(GL53,ChurnSeasonTable,4,FALSE)),3)*BlendedPriceEssAnnual*GO53+GZ5*POWER(1-(AnnualChurn*VLOOKUP(GL53,ChurnSeasonTable,4,FALSE)),4)*BlendedPriceEssAnnual*GO53+HA41*POWER(1-(AnnualChurn*VLOOKUP(GL53,ChurnSeasonTable,4,FALSE)),1)*BlendedPricePremAnnual*GO53+HA29*POWER(1-(AnnualChurn*VLOOKUP(GL53,ChurnSeasonTable,4,FALSE)),2)*BlendedPricePremAnnual*GO53+HA17*POWER(1-(AnnualChurn*VLOOKUP(GL53,ChurnSeasonTable,4,FALSE)),3)*BlendedPricePremAnnual*GO53+HA5*POWER(1-(AnnualChurn*VLOOKUP(GL53,ChurnSeasonTable,4,FALSE)),4)*BlendedPricePremAnnual*GO53+HB41*POWER(1-(AnnualChurn*VLOOKUP(GL53,ChurnSeasonTable,4,FALSE)),1)*BlendedPriceEliteAnnual*GO53+HB29*POWER(1-(AnnualChurn*VLOOKUP(GL53,ChurnSeasonTable,4,FALSE)),2)*BlendedPriceEliteAnnual*GO53+HB17*POWER(1-(AnnualChurn*VLOOKUP(GL53,ChurnSeasonTable,4,FALSE)),3)*BlendedPriceEliteAnnual*GO53+HB5*POWER(1-(AnnualChurn*VLOOKUP(GL53,ChurnSeasonTable,4,FALSE)),4)*BlendedPriceEliteAnnual*GO53</f>
        <v/>
      </c>
      <c r="HO53" s="9">
        <f>HL53+HM53+HN53</f>
        <v/>
      </c>
      <c r="HP53" s="12">
        <f>SUM(HO42:HO53)</f>
        <v/>
      </c>
      <c r="HQ53" s="12">
        <f>OR(HQ52,IF(VATAgentMode,SUM($HO42:$HO53)-SUM($HV42:$HV53)&gt;=VATThreshold,SUM($HO42:$HO53)&gt;=VATThreshold))</f>
        <v/>
      </c>
      <c r="HR53" s="9">
        <f>IF(HQ53,IF(VATAgentMode,HO53-((HO53-HV53)-(HO53-HV53)/(1+VATRate)),HO53/(1+VATRate)),HO53)</f>
        <v/>
      </c>
      <c r="HS53" s="12">
        <f>HO53-HR53</f>
        <v/>
      </c>
      <c r="HT53" s="12">
        <f>IF(HQ53=0,0,IF(GL53=1,SUMPRODUCT(--(($GM$5:$GM53=$GM53-1)*($GL$5:$GL53&gt;=10)*($GL$5:$GL53&lt;=12)),$HS$5:$HS53),IF(GL53=4,SUMPRODUCT(--(($GM$5:$GM53=$GM53)*($GL$5:$GL53&gt;=1)*($GL$5:$GL53&lt;=3)),$HS$5:$HS53),IF(GL53=7,SUMPRODUCT(--(($GM$5:$GM53=$GM53)*($GL$5:$GL53&gt;=4)*($GL$5:$GL53&lt;=6)),$HS$5:$HS53),IF(GL53=10,SUMPRODUCT(--(($GM$5:$GM53=$GM53)*($GL$5:$GL53&gt;=7)*($GL$5:$GL53&lt;=9)),$HS$5:$HS53),0)))))</f>
        <v/>
      </c>
      <c r="HU53" s="12">
        <f>HU52+HS53-HT53</f>
        <v/>
      </c>
      <c r="HV53" s="12">
        <f>IF(ProviderDelay&gt;=1,HC52*BlendedProvPayEss+HD52*BlendedProvPayPrem+HE52*BlendedProvPayElite+HF52*BlendedProvPayEss+HG52*BlendedProvPayPrem+HH52*BlendedProvPayElite,HC53*BlendedProvPayEss+HD53*BlendedProvPayPrem+HE53*BlendedProvPayElite+HF53*BlendedProvPayEss+HG53*BlendedProvPayPrem+HH53*BlendedProvPayElite)</f>
        <v/>
      </c>
      <c r="HW53" s="12">
        <f>HO53*PaymentFee</f>
        <v/>
      </c>
      <c r="HX53" s="12">
        <f>HI53*OpsAI</f>
        <v/>
      </c>
      <c r="HY53" s="12">
        <f>MonthlyFixed</f>
        <v/>
      </c>
      <c r="HZ53" s="12">
        <f>GS53*ReferralReward</f>
        <v/>
      </c>
      <c r="IA53" s="12">
        <f>GQ53</f>
        <v/>
      </c>
      <c r="IB53" s="9">
        <f>HR53-HV53-HW53-HX53-HY53-HZ53-IA53</f>
        <v/>
      </c>
      <c r="IC53" s="9">
        <f>IC52+HO53-(HV53+HW53+HX53+HY53+HZ53+IA53+HT53)</f>
        <v/>
      </c>
      <c r="ID53" s="12">
        <f>IF(HI53&gt;0,HJ53/HI53,0)</f>
        <v/>
      </c>
      <c r="IE53" s="11">
        <f>IF(HI52&gt;0,MAX(0,(HI52+GT53-HI53)/HI52),0)</f>
        <v/>
      </c>
      <c r="IG53" s="12" t="n">
        <v>49</v>
      </c>
      <c r="IH53" s="12">
        <f>MOD(IG53-1+LaunchMonth-1,12)+1</f>
        <v/>
      </c>
      <c r="II53" s="12">
        <f>INT((IG53-1+LaunchMonth-1)/12)+1</f>
        <v/>
      </c>
      <c r="IJ53" s="12">
        <f>VLOOKUP(IH53,SeasonTable,2,FALSE)</f>
        <v/>
      </c>
      <c r="IK53" s="12">
        <f>(1+InflationRate)^INT((IG53-1)/12)</f>
        <v/>
      </c>
      <c r="IL53" s="11">
        <f>'Sens - Churn'!$A$15*VLOOKUP(IH53,ChurnSeasonTable,4,FALSE)</f>
        <v/>
      </c>
      <c r="IM53" s="12">
        <f>MIN(MAX(MktMin19plus,JK52*MktPct19plus),MAX(0,JY52-CashBuffer))</f>
        <v/>
      </c>
      <c r="IN53" s="12">
        <f>IF(IM53&gt;0,MAX(1,ROUND(IM53/CAC*IJ53,0)),0)</f>
        <v/>
      </c>
      <c r="IO53" s="12">
        <f>IF(IN53&gt;0,ROUND(IN53*ReferralMix/(1-ReferralMix),0),0)</f>
        <v/>
      </c>
      <c r="IP53" s="12">
        <f>IN53+IO53</f>
        <v/>
      </c>
      <c r="IQ53" s="12">
        <f>ROUND(IP53*(1-AnnualMix),0)</f>
        <v/>
      </c>
      <c r="IR53" s="12">
        <f>IP53-IQ53</f>
        <v/>
      </c>
      <c r="IS53" s="12">
        <f>ROUND(IQ53*EssentialMix,0)</f>
        <v/>
      </c>
      <c r="IT53" s="12">
        <f>ROUND(IQ53*PremiumMix,0)</f>
        <v/>
      </c>
      <c r="IU53" s="12">
        <f>IQ53-IS53-IT53</f>
        <v/>
      </c>
      <c r="IV53" s="12">
        <f>ROUND(IR53*EssentialMix,0)</f>
        <v/>
      </c>
      <c r="IW53" s="12">
        <f>ROUND(IR53*PremiumMix,0)</f>
        <v/>
      </c>
      <c r="IX53" s="12">
        <f>IR53-IV53-IW53</f>
        <v/>
      </c>
      <c r="IY53" s="12">
        <f>IS53+IS52+IS51+MAX(0,IY52-IS52-IS51)*(1-IL53)</f>
        <v/>
      </c>
      <c r="IZ53" s="12">
        <f>IT53+IT52+IT51+MAX(0,IZ52-IT52-IT51)*(1-IL53)</f>
        <v/>
      </c>
      <c r="JA53" s="12">
        <f>IU53+IU52+IU51+MAX(0,JA52-IU52-IU51)*(1-IL53)</f>
        <v/>
      </c>
      <c r="JB53" s="12">
        <f>JB52+IV53-IV41*(AnnualChurn*VLOOKUP(IH53,ChurnSeasonTable,4,FALSE))*POWER(1-(AnnualChurn*VLOOKUP(IH53,ChurnSeasonTable,4,FALSE)),0)+IV29*(AnnualChurn*VLOOKUP(IH53,ChurnSeasonTable,4,FALSE))*POWER(1-(AnnualChurn*VLOOKUP(IH53,ChurnSeasonTable,4,FALSE)),1)+IV17*(AnnualChurn*VLOOKUP(IH53,ChurnSeasonTable,4,FALSE))*POWER(1-(AnnualChurn*VLOOKUP(IH53,ChurnSeasonTable,4,FALSE)),2)+IV5*(AnnualChurn*VLOOKUP(IH53,ChurnSeasonTable,4,FALSE))*POWER(1-(AnnualChurn*VLOOKUP(IH53,ChurnSeasonTable,4,FALSE)),3)</f>
        <v/>
      </c>
      <c r="JC53" s="12">
        <f>JC52+IW53-IW41*(AnnualChurn*VLOOKUP(IH53,ChurnSeasonTable,4,FALSE))*POWER(1-(AnnualChurn*VLOOKUP(IH53,ChurnSeasonTable,4,FALSE)),0)+IW29*(AnnualChurn*VLOOKUP(IH53,ChurnSeasonTable,4,FALSE))*POWER(1-(AnnualChurn*VLOOKUP(IH53,ChurnSeasonTable,4,FALSE)),1)+IW17*(AnnualChurn*VLOOKUP(IH53,ChurnSeasonTable,4,FALSE))*POWER(1-(AnnualChurn*VLOOKUP(IH53,ChurnSeasonTable,4,FALSE)),2)+IW5*(AnnualChurn*VLOOKUP(IH53,ChurnSeasonTable,4,FALSE))*POWER(1-(AnnualChurn*VLOOKUP(IH53,ChurnSeasonTable,4,FALSE)),3)</f>
        <v/>
      </c>
      <c r="JD53" s="12">
        <f>JD52+IX53-IX41*(AnnualChurn*VLOOKUP(IH53,ChurnSeasonTable,4,FALSE))*POWER(1-(AnnualChurn*VLOOKUP(IH53,ChurnSeasonTable,4,FALSE)),0)+IX29*(AnnualChurn*VLOOKUP(IH53,ChurnSeasonTable,4,FALSE))*POWER(1-(AnnualChurn*VLOOKUP(IH53,ChurnSeasonTable,4,FALSE)),1)+IX17*(AnnualChurn*VLOOKUP(IH53,ChurnSeasonTable,4,FALSE))*POWER(1-(AnnualChurn*VLOOKUP(IH53,ChurnSeasonTable,4,FALSE)),2)+IX5*(AnnualChurn*VLOOKUP(IH53,ChurnSeasonTable,4,FALSE))*POWER(1-(AnnualChurn*VLOOKUP(IH53,ChurnSeasonTable,4,FALSE)),3)</f>
        <v/>
      </c>
      <c r="JE53" s="12">
        <f>IY53+IZ53+JA53+JB53+JC53+JD53</f>
        <v/>
      </c>
      <c r="JF53" s="9">
        <f>IY53*BlendedPriceEssMonthly*IK53+IZ53*BlendedPricePremMonthly*IK53+JA53*BlendedPriceEliteMonthly*IK53+JB53*BlendedPriceEssAnnual*IK53/12+JC53*BlendedPricePremAnnual*IK53/12+JD53*BlendedPriceEliteAnnual*IK53/12</f>
        <v/>
      </c>
      <c r="JG53" s="9">
        <f>JF53*12</f>
        <v/>
      </c>
      <c r="JH53" s="12">
        <f>IY53*BlendedPriceEssMonthly*IK53+IZ53*BlendedPricePremMonthly*IK53+JA53*BlendedPriceEliteMonthly*IK53</f>
        <v/>
      </c>
      <c r="JI53" s="12">
        <f>IV53*BlendedPriceEssAnnual*IK53+IW53*BlendedPricePremAnnual*IK53+IX53*BlendedPriceEliteAnnual*IK53</f>
        <v/>
      </c>
      <c r="JJ53" s="12">
        <f>IV41*POWER(1-(AnnualChurn*VLOOKUP(IH53,ChurnSeasonTable,4,FALSE)),1)*BlendedPriceEssAnnual*IK53+IV29*POWER(1-(AnnualChurn*VLOOKUP(IH53,ChurnSeasonTable,4,FALSE)),2)*BlendedPriceEssAnnual*IK53+IV17*POWER(1-(AnnualChurn*VLOOKUP(IH53,ChurnSeasonTable,4,FALSE)),3)*BlendedPriceEssAnnual*IK53+IV5*POWER(1-(AnnualChurn*VLOOKUP(IH53,ChurnSeasonTable,4,FALSE)),4)*BlendedPriceEssAnnual*IK53+IW41*POWER(1-(AnnualChurn*VLOOKUP(IH53,ChurnSeasonTable,4,FALSE)),1)*BlendedPricePremAnnual*IK53+IW29*POWER(1-(AnnualChurn*VLOOKUP(IH53,ChurnSeasonTable,4,FALSE)),2)*BlendedPricePremAnnual*IK53+IW17*POWER(1-(AnnualChurn*VLOOKUP(IH53,ChurnSeasonTable,4,FALSE)),3)*BlendedPricePremAnnual*IK53+IW5*POWER(1-(AnnualChurn*VLOOKUP(IH53,ChurnSeasonTable,4,FALSE)),4)*BlendedPricePremAnnual*IK53+IX41*POWER(1-(AnnualChurn*VLOOKUP(IH53,ChurnSeasonTable,4,FALSE)),1)*BlendedPriceEliteAnnual*IK53+IX29*POWER(1-(AnnualChurn*VLOOKUP(IH53,ChurnSeasonTable,4,FALSE)),2)*BlendedPriceEliteAnnual*IK53+IX17*POWER(1-(AnnualChurn*VLOOKUP(IH53,ChurnSeasonTable,4,FALSE)),3)*BlendedPriceEliteAnnual*IK53+IX5*POWER(1-(AnnualChurn*VLOOKUP(IH53,ChurnSeasonTable,4,FALSE)),4)*BlendedPriceEliteAnnual*IK53</f>
        <v/>
      </c>
      <c r="JK53" s="9">
        <f>JH53+JI53+JJ53</f>
        <v/>
      </c>
      <c r="JL53" s="12">
        <f>SUM(JK42:JK53)</f>
        <v/>
      </c>
      <c r="JM53" s="12">
        <f>OR(JM52,IF(VATAgentMode,SUM($JK42:$JK53)-SUM($JR42:$JR53)&gt;=VATThreshold,SUM($JK42:$JK53)&gt;=VATThreshold))</f>
        <v/>
      </c>
      <c r="JN53" s="9">
        <f>IF(JM53,IF(VATAgentMode,JK53-((JK53-JR53)-(JK53-JR53)/(1+VATRate)),JK53/(1+VATRate)),JK53)</f>
        <v/>
      </c>
      <c r="JO53" s="12">
        <f>JK53-JN53</f>
        <v/>
      </c>
      <c r="JP53" s="12">
        <f>IF(JM53=0,0,IF(IH53=1,SUMPRODUCT(--(($II$5:$II53=$II53-1)*($IH$5:$IH53&gt;=10)*($IH$5:$IH53&lt;=12)),$JO$5:$JO53),IF(IH53=4,SUMPRODUCT(--(($II$5:$II53=$II53)*($IH$5:$IH53&gt;=1)*($IH$5:$IH53&lt;=3)),$JO$5:$JO53),IF(IH53=7,SUMPRODUCT(--(($II$5:$II53=$II53)*($IH$5:$IH53&gt;=4)*($IH$5:$IH53&lt;=6)),$JO$5:$JO53),IF(IH53=10,SUMPRODUCT(--(($II$5:$II53=$II53)*($IH$5:$IH53&gt;=7)*($IH$5:$IH53&lt;=9)),$JO$5:$JO53),0)))))</f>
        <v/>
      </c>
      <c r="JQ53" s="12">
        <f>JQ52+JO53-JP53</f>
        <v/>
      </c>
      <c r="JR53" s="12">
        <f>IF(ProviderDelay&gt;=1,IY52*BlendedProvPayEss+IZ52*BlendedProvPayPrem+JA52*BlendedProvPayElite+JB52*BlendedProvPayEss+JC52*BlendedProvPayPrem+JD52*BlendedProvPayElite,IY53*BlendedProvPayEss+IZ53*BlendedProvPayPrem+JA53*BlendedProvPayElite+JB53*BlendedProvPayEss+JC53*BlendedProvPayPrem+JD53*BlendedProvPayElite)</f>
        <v/>
      </c>
      <c r="JS53" s="12">
        <f>JK53*PaymentFee</f>
        <v/>
      </c>
      <c r="JT53" s="12">
        <f>JE53*OpsAI</f>
        <v/>
      </c>
      <c r="JU53" s="12">
        <f>MonthlyFixed</f>
        <v/>
      </c>
      <c r="JV53" s="12">
        <f>IO53*ReferralReward</f>
        <v/>
      </c>
      <c r="JW53" s="12">
        <f>IM53</f>
        <v/>
      </c>
      <c r="JX53" s="9">
        <f>JN53-JR53-JS53-JT53-JU53-JV53-JW53</f>
        <v/>
      </c>
      <c r="JY53" s="9">
        <f>JY52+JK53-(JR53+JS53+JT53+JU53+JV53+JW53+JP53)</f>
        <v/>
      </c>
      <c r="JZ53" s="12">
        <f>IF(JE53&gt;0,JF53/JE53,0)</f>
        <v/>
      </c>
      <c r="KA53" s="11">
        <f>IF(JE52&gt;0,MAX(0,(JE52+IP53-JE53)/JE52),0)</f>
        <v/>
      </c>
      <c r="KC53" s="12" t="n">
        <v>49</v>
      </c>
      <c r="KD53" s="12">
        <f>MOD(KC53-1+LaunchMonth-1,12)+1</f>
        <v/>
      </c>
      <c r="KE53" s="12">
        <f>INT((KC53-1+LaunchMonth-1)/12)+1</f>
        <v/>
      </c>
      <c r="KF53" s="12">
        <f>VLOOKUP(KD53,SeasonTable,2,FALSE)</f>
        <v/>
      </c>
      <c r="KG53" s="12">
        <f>(1+InflationRate)^INT((KC53-1)/12)</f>
        <v/>
      </c>
      <c r="KH53" s="11">
        <f>'Sens - Churn'!$A$16*VLOOKUP(KD53,ChurnSeasonTable,4,FALSE)</f>
        <v/>
      </c>
      <c r="KI53" s="12">
        <f>MIN(MAX(MktMin19plus,LG52*MktPct19plus),MAX(0,LU52-CashBuffer))</f>
        <v/>
      </c>
      <c r="KJ53" s="12">
        <f>IF(KI53&gt;0,MAX(1,ROUND(KI53/CAC*KF53,0)),0)</f>
        <v/>
      </c>
      <c r="KK53" s="12">
        <f>IF(KJ53&gt;0,ROUND(KJ53*ReferralMix/(1-ReferralMix),0),0)</f>
        <v/>
      </c>
      <c r="KL53" s="12">
        <f>KJ53+KK53</f>
        <v/>
      </c>
      <c r="KM53" s="12">
        <f>ROUND(KL53*(1-AnnualMix),0)</f>
        <v/>
      </c>
      <c r="KN53" s="12">
        <f>KL53-KM53</f>
        <v/>
      </c>
      <c r="KO53" s="12">
        <f>ROUND(KM53*EssentialMix,0)</f>
        <v/>
      </c>
      <c r="KP53" s="12">
        <f>ROUND(KM53*PremiumMix,0)</f>
        <v/>
      </c>
      <c r="KQ53" s="12">
        <f>KM53-KO53-KP53</f>
        <v/>
      </c>
      <c r="KR53" s="12">
        <f>ROUND(KN53*EssentialMix,0)</f>
        <v/>
      </c>
      <c r="KS53" s="12">
        <f>ROUND(KN53*PremiumMix,0)</f>
        <v/>
      </c>
      <c r="KT53" s="12">
        <f>KN53-KR53-KS53</f>
        <v/>
      </c>
      <c r="KU53" s="12">
        <f>KO53+KO52+KO51+MAX(0,KU52-KO52-KO51)*(1-KH53)</f>
        <v/>
      </c>
      <c r="KV53" s="12">
        <f>KP53+KP52+KP51+MAX(0,KV52-KP52-KP51)*(1-KH53)</f>
        <v/>
      </c>
      <c r="KW53" s="12">
        <f>KQ53+KQ52+KQ51+MAX(0,KW52-KQ52-KQ51)*(1-KH53)</f>
        <v/>
      </c>
      <c r="KX53" s="12">
        <f>KX52+KR53-KR41*(AnnualChurn*VLOOKUP(KD53,ChurnSeasonTable,4,FALSE))*POWER(1-(AnnualChurn*VLOOKUP(KD53,ChurnSeasonTable,4,FALSE)),0)+KR29*(AnnualChurn*VLOOKUP(KD53,ChurnSeasonTable,4,FALSE))*POWER(1-(AnnualChurn*VLOOKUP(KD53,ChurnSeasonTable,4,FALSE)),1)+KR17*(AnnualChurn*VLOOKUP(KD53,ChurnSeasonTable,4,FALSE))*POWER(1-(AnnualChurn*VLOOKUP(KD53,ChurnSeasonTable,4,FALSE)),2)+KR5*(AnnualChurn*VLOOKUP(KD53,ChurnSeasonTable,4,FALSE))*POWER(1-(AnnualChurn*VLOOKUP(KD53,ChurnSeasonTable,4,FALSE)),3)</f>
        <v/>
      </c>
      <c r="KY53" s="12">
        <f>KY52+KS53-KS41*(AnnualChurn*VLOOKUP(KD53,ChurnSeasonTable,4,FALSE))*POWER(1-(AnnualChurn*VLOOKUP(KD53,ChurnSeasonTable,4,FALSE)),0)+KS29*(AnnualChurn*VLOOKUP(KD53,ChurnSeasonTable,4,FALSE))*POWER(1-(AnnualChurn*VLOOKUP(KD53,ChurnSeasonTable,4,FALSE)),1)+KS17*(AnnualChurn*VLOOKUP(KD53,ChurnSeasonTable,4,FALSE))*POWER(1-(AnnualChurn*VLOOKUP(KD53,ChurnSeasonTable,4,FALSE)),2)+KS5*(AnnualChurn*VLOOKUP(KD53,ChurnSeasonTable,4,FALSE))*POWER(1-(AnnualChurn*VLOOKUP(KD53,ChurnSeasonTable,4,FALSE)),3)</f>
        <v/>
      </c>
      <c r="KZ53" s="12">
        <f>KZ52+KT53-KT41*(AnnualChurn*VLOOKUP(KD53,ChurnSeasonTable,4,FALSE))*POWER(1-(AnnualChurn*VLOOKUP(KD53,ChurnSeasonTable,4,FALSE)),0)+KT29*(AnnualChurn*VLOOKUP(KD53,ChurnSeasonTable,4,FALSE))*POWER(1-(AnnualChurn*VLOOKUP(KD53,ChurnSeasonTable,4,FALSE)),1)+KT17*(AnnualChurn*VLOOKUP(KD53,ChurnSeasonTable,4,FALSE))*POWER(1-(AnnualChurn*VLOOKUP(KD53,ChurnSeasonTable,4,FALSE)),2)+KT5*(AnnualChurn*VLOOKUP(KD53,ChurnSeasonTable,4,FALSE))*POWER(1-(AnnualChurn*VLOOKUP(KD53,ChurnSeasonTable,4,FALSE)),3)</f>
        <v/>
      </c>
      <c r="LA53" s="12">
        <f>KU53+KV53+KW53+KX53+KY53+KZ53</f>
        <v/>
      </c>
      <c r="LB53" s="9">
        <f>KU53*BlendedPriceEssMonthly*KG53+KV53*BlendedPricePremMonthly*KG53+KW53*BlendedPriceEliteMonthly*KG53+KX53*BlendedPriceEssAnnual*KG53/12+KY53*BlendedPricePremAnnual*KG53/12+KZ53*BlendedPriceEliteAnnual*KG53/12</f>
        <v/>
      </c>
      <c r="LC53" s="9">
        <f>LB53*12</f>
        <v/>
      </c>
      <c r="LD53" s="12">
        <f>KU53*BlendedPriceEssMonthly*KG53+KV53*BlendedPricePremMonthly*KG53+KW53*BlendedPriceEliteMonthly*KG53</f>
        <v/>
      </c>
      <c r="LE53" s="12">
        <f>KR53*BlendedPriceEssAnnual*KG53+KS53*BlendedPricePremAnnual*KG53+KT53*BlendedPriceEliteAnnual*KG53</f>
        <v/>
      </c>
      <c r="LF53" s="12">
        <f>KR41*POWER(1-(AnnualChurn*VLOOKUP(KD53,ChurnSeasonTable,4,FALSE)),1)*BlendedPriceEssAnnual*KG53+KR29*POWER(1-(AnnualChurn*VLOOKUP(KD53,ChurnSeasonTable,4,FALSE)),2)*BlendedPriceEssAnnual*KG53+KR17*POWER(1-(AnnualChurn*VLOOKUP(KD53,ChurnSeasonTable,4,FALSE)),3)*BlendedPriceEssAnnual*KG53+KR5*POWER(1-(AnnualChurn*VLOOKUP(KD53,ChurnSeasonTable,4,FALSE)),4)*BlendedPriceEssAnnual*KG53+KS41*POWER(1-(AnnualChurn*VLOOKUP(KD53,ChurnSeasonTable,4,FALSE)),1)*BlendedPricePremAnnual*KG53+KS29*POWER(1-(AnnualChurn*VLOOKUP(KD53,ChurnSeasonTable,4,FALSE)),2)*BlendedPricePremAnnual*KG53+KS17*POWER(1-(AnnualChurn*VLOOKUP(KD53,ChurnSeasonTable,4,FALSE)),3)*BlendedPricePremAnnual*KG53+KS5*POWER(1-(AnnualChurn*VLOOKUP(KD53,ChurnSeasonTable,4,FALSE)),4)*BlendedPricePremAnnual*KG53+KT41*POWER(1-(AnnualChurn*VLOOKUP(KD53,ChurnSeasonTable,4,FALSE)),1)*BlendedPriceEliteAnnual*KG53+KT29*POWER(1-(AnnualChurn*VLOOKUP(KD53,ChurnSeasonTable,4,FALSE)),2)*BlendedPriceEliteAnnual*KG53+KT17*POWER(1-(AnnualChurn*VLOOKUP(KD53,ChurnSeasonTable,4,FALSE)),3)*BlendedPriceEliteAnnual*KG53+KT5*POWER(1-(AnnualChurn*VLOOKUP(KD53,ChurnSeasonTable,4,FALSE)),4)*BlendedPriceEliteAnnual*KG53</f>
        <v/>
      </c>
      <c r="LG53" s="9">
        <f>LD53+LE53+LF53</f>
        <v/>
      </c>
      <c r="LH53" s="12">
        <f>SUM(LG42:LG53)</f>
        <v/>
      </c>
      <c r="LI53" s="12">
        <f>OR(LI52,IF(VATAgentMode,SUM($LG42:$LG53)-SUM($LN42:$LN53)&gt;=VATThreshold,SUM($LG42:$LG53)&gt;=VATThreshold))</f>
        <v/>
      </c>
      <c r="LJ53" s="9">
        <f>IF(LI53,IF(VATAgentMode,LG53-((LG53-LN53)-(LG53-LN53)/(1+VATRate)),LG53/(1+VATRate)),LG53)</f>
        <v/>
      </c>
      <c r="LK53" s="12">
        <f>LG53-LJ53</f>
        <v/>
      </c>
      <c r="LL53" s="12">
        <f>IF(LI53=0,0,IF(KD53=1,SUMPRODUCT(--(($KE$5:$KE53=$KE53-1)*($KD$5:$KD53&gt;=10)*($KD$5:$KD53&lt;=12)),$LK$5:$LK53),IF(KD53=4,SUMPRODUCT(--(($KE$5:$KE53=$KE53)*($KD$5:$KD53&gt;=1)*($KD$5:$KD53&lt;=3)),$LK$5:$LK53),IF(KD53=7,SUMPRODUCT(--(($KE$5:$KE53=$KE53)*($KD$5:$KD53&gt;=4)*($KD$5:$KD53&lt;=6)),$LK$5:$LK53),IF(KD53=10,SUMPRODUCT(--(($KE$5:$KE53=$KE53)*($KD$5:$KD53&gt;=7)*($KD$5:$KD53&lt;=9)),$LK$5:$LK53),0)))))</f>
        <v/>
      </c>
      <c r="LM53" s="12">
        <f>LM52+LK53-LL53</f>
        <v/>
      </c>
      <c r="LN53" s="12">
        <f>IF(ProviderDelay&gt;=1,KU52*BlendedProvPayEss+KV52*BlendedProvPayPrem+KW52*BlendedProvPayElite+KX52*BlendedProvPayEss+KY52*BlendedProvPayPrem+KZ52*BlendedProvPayElite,KU53*BlendedProvPayEss+KV53*BlendedProvPayPrem+KW53*BlendedProvPayElite+KX53*BlendedProvPayEss+KY53*BlendedProvPayPrem+KZ53*BlendedProvPayElite)</f>
        <v/>
      </c>
      <c r="LO53" s="12">
        <f>LG53*PaymentFee</f>
        <v/>
      </c>
      <c r="LP53" s="12">
        <f>LA53*OpsAI</f>
        <v/>
      </c>
      <c r="LQ53" s="12">
        <f>MonthlyFixed</f>
        <v/>
      </c>
      <c r="LR53" s="12">
        <f>KK53*ReferralReward</f>
        <v/>
      </c>
      <c r="LS53" s="12">
        <f>KI53</f>
        <v/>
      </c>
      <c r="LT53" s="9">
        <f>LJ53-LN53-LO53-LP53-LQ53-LR53-LS53</f>
        <v/>
      </c>
      <c r="LU53" s="9">
        <f>LU52+LG53-(LN53+LO53+LP53+LQ53+LR53+LS53+LL53)</f>
        <v/>
      </c>
      <c r="LV53" s="12">
        <f>IF(LA53&gt;0,LB53/LA53,0)</f>
        <v/>
      </c>
      <c r="LW53" s="11">
        <f>IF(LA52&gt;0,MAX(0,(LA52+KL53-LA53)/LA52),0)</f>
        <v/>
      </c>
      <c r="LY53" s="12" t="n">
        <v>49</v>
      </c>
      <c r="LZ53" s="12">
        <f>MOD(LY53-1+LaunchMonth-1,12)+1</f>
        <v/>
      </c>
      <c r="MA53" s="12">
        <f>INT((LY53-1+LaunchMonth-1)/12)+1</f>
        <v/>
      </c>
      <c r="MB53" s="12">
        <f>VLOOKUP(LZ53,SeasonTable,2,FALSE)</f>
        <v/>
      </c>
      <c r="MC53" s="12">
        <f>(1+InflationRate)^INT((LY53-1)/12)</f>
        <v/>
      </c>
      <c r="MD53" s="11">
        <f>'Sens - Churn'!$A$17*VLOOKUP(LZ53,ChurnSeasonTable,4,FALSE)</f>
        <v/>
      </c>
      <c r="ME53" s="12">
        <f>MIN(MAX(MktMin19plus,NC52*MktPct19plus),MAX(0,NQ52-CashBuffer))</f>
        <v/>
      </c>
      <c r="MF53" s="12">
        <f>IF(ME53&gt;0,MAX(1,ROUND(ME53/CAC*MB53,0)),0)</f>
        <v/>
      </c>
      <c r="MG53" s="12">
        <f>IF(MF53&gt;0,ROUND(MF53*ReferralMix/(1-ReferralMix),0),0)</f>
        <v/>
      </c>
      <c r="MH53" s="12">
        <f>MF53+MG53</f>
        <v/>
      </c>
      <c r="MI53" s="12">
        <f>ROUND(MH53*(1-AnnualMix),0)</f>
        <v/>
      </c>
      <c r="MJ53" s="12">
        <f>MH53-MI53</f>
        <v/>
      </c>
      <c r="MK53" s="12">
        <f>ROUND(MI53*EssentialMix,0)</f>
        <v/>
      </c>
      <c r="ML53" s="12">
        <f>ROUND(MI53*PremiumMix,0)</f>
        <v/>
      </c>
      <c r="MM53" s="12">
        <f>MI53-MK53-ML53</f>
        <v/>
      </c>
      <c r="MN53" s="12">
        <f>ROUND(MJ53*EssentialMix,0)</f>
        <v/>
      </c>
      <c r="MO53" s="12">
        <f>ROUND(MJ53*PremiumMix,0)</f>
        <v/>
      </c>
      <c r="MP53" s="12">
        <f>MJ53-MN53-MO53</f>
        <v/>
      </c>
      <c r="MQ53" s="12">
        <f>MK53+MK52+MK51+MAX(0,MQ52-MK52-MK51)*(1-MD53)</f>
        <v/>
      </c>
      <c r="MR53" s="12">
        <f>ML53+ML52+ML51+MAX(0,MR52-ML52-ML51)*(1-MD53)</f>
        <v/>
      </c>
      <c r="MS53" s="12">
        <f>MM53+MM52+MM51+MAX(0,MS52-MM52-MM51)*(1-MD53)</f>
        <v/>
      </c>
      <c r="MT53" s="12">
        <f>MT52+MN53-MN41*(AnnualChurn*VLOOKUP(LZ53,ChurnSeasonTable,4,FALSE))*POWER(1-(AnnualChurn*VLOOKUP(LZ53,ChurnSeasonTable,4,FALSE)),0)+MN29*(AnnualChurn*VLOOKUP(LZ53,ChurnSeasonTable,4,FALSE))*POWER(1-(AnnualChurn*VLOOKUP(LZ53,ChurnSeasonTable,4,FALSE)),1)+MN17*(AnnualChurn*VLOOKUP(LZ53,ChurnSeasonTable,4,FALSE))*POWER(1-(AnnualChurn*VLOOKUP(LZ53,ChurnSeasonTable,4,FALSE)),2)+MN5*(AnnualChurn*VLOOKUP(LZ53,ChurnSeasonTable,4,FALSE))*POWER(1-(AnnualChurn*VLOOKUP(LZ53,ChurnSeasonTable,4,FALSE)),3)</f>
        <v/>
      </c>
      <c r="MU53" s="12">
        <f>MU52+MO53-MO41*(AnnualChurn*VLOOKUP(LZ53,ChurnSeasonTable,4,FALSE))*POWER(1-(AnnualChurn*VLOOKUP(LZ53,ChurnSeasonTable,4,FALSE)),0)+MO29*(AnnualChurn*VLOOKUP(LZ53,ChurnSeasonTable,4,FALSE))*POWER(1-(AnnualChurn*VLOOKUP(LZ53,ChurnSeasonTable,4,FALSE)),1)+MO17*(AnnualChurn*VLOOKUP(LZ53,ChurnSeasonTable,4,FALSE))*POWER(1-(AnnualChurn*VLOOKUP(LZ53,ChurnSeasonTable,4,FALSE)),2)+MO5*(AnnualChurn*VLOOKUP(LZ53,ChurnSeasonTable,4,FALSE))*POWER(1-(AnnualChurn*VLOOKUP(LZ53,ChurnSeasonTable,4,FALSE)),3)</f>
        <v/>
      </c>
      <c r="MV53" s="12">
        <f>MV52+MP53-MP41*(AnnualChurn*VLOOKUP(LZ53,ChurnSeasonTable,4,FALSE))*POWER(1-(AnnualChurn*VLOOKUP(LZ53,ChurnSeasonTable,4,FALSE)),0)+MP29*(AnnualChurn*VLOOKUP(LZ53,ChurnSeasonTable,4,FALSE))*POWER(1-(AnnualChurn*VLOOKUP(LZ53,ChurnSeasonTable,4,FALSE)),1)+MP17*(AnnualChurn*VLOOKUP(LZ53,ChurnSeasonTable,4,FALSE))*POWER(1-(AnnualChurn*VLOOKUP(LZ53,ChurnSeasonTable,4,FALSE)),2)+MP5*(AnnualChurn*VLOOKUP(LZ53,ChurnSeasonTable,4,FALSE))*POWER(1-(AnnualChurn*VLOOKUP(LZ53,ChurnSeasonTable,4,FALSE)),3)</f>
        <v/>
      </c>
      <c r="MW53" s="12">
        <f>MQ53+MR53+MS53+MT53+MU53+MV53</f>
        <v/>
      </c>
      <c r="MX53" s="9">
        <f>MQ53*BlendedPriceEssMonthly*MC53+MR53*BlendedPricePremMonthly*MC53+MS53*BlendedPriceEliteMonthly*MC53+MT53*BlendedPriceEssAnnual*MC53/12+MU53*BlendedPricePremAnnual*MC53/12+MV53*BlendedPriceEliteAnnual*MC53/12</f>
        <v/>
      </c>
      <c r="MY53" s="9">
        <f>MX53*12</f>
        <v/>
      </c>
      <c r="MZ53" s="12">
        <f>MQ53*BlendedPriceEssMonthly*MC53+MR53*BlendedPricePremMonthly*MC53+MS53*BlendedPriceEliteMonthly*MC53</f>
        <v/>
      </c>
      <c r="NA53" s="12">
        <f>MN53*BlendedPriceEssAnnual*MC53+MO53*BlendedPricePremAnnual*MC53+MP53*BlendedPriceEliteAnnual*MC53</f>
        <v/>
      </c>
      <c r="NB53" s="12">
        <f>MN41*POWER(1-(AnnualChurn*VLOOKUP(LZ53,ChurnSeasonTable,4,FALSE)),1)*BlendedPriceEssAnnual*MC53+MN29*POWER(1-(AnnualChurn*VLOOKUP(LZ53,ChurnSeasonTable,4,FALSE)),2)*BlendedPriceEssAnnual*MC53+MN17*POWER(1-(AnnualChurn*VLOOKUP(LZ53,ChurnSeasonTable,4,FALSE)),3)*BlendedPriceEssAnnual*MC53+MN5*POWER(1-(AnnualChurn*VLOOKUP(LZ53,ChurnSeasonTable,4,FALSE)),4)*BlendedPriceEssAnnual*MC53+MO41*POWER(1-(AnnualChurn*VLOOKUP(LZ53,ChurnSeasonTable,4,FALSE)),1)*BlendedPricePremAnnual*MC53+MO29*POWER(1-(AnnualChurn*VLOOKUP(LZ53,ChurnSeasonTable,4,FALSE)),2)*BlendedPricePremAnnual*MC53+MO17*POWER(1-(AnnualChurn*VLOOKUP(LZ53,ChurnSeasonTable,4,FALSE)),3)*BlendedPricePremAnnual*MC53+MO5*POWER(1-(AnnualChurn*VLOOKUP(LZ53,ChurnSeasonTable,4,FALSE)),4)*BlendedPricePremAnnual*MC53+MP41*POWER(1-(AnnualChurn*VLOOKUP(LZ53,ChurnSeasonTable,4,FALSE)),1)*BlendedPriceEliteAnnual*MC53+MP29*POWER(1-(AnnualChurn*VLOOKUP(LZ53,ChurnSeasonTable,4,FALSE)),2)*BlendedPriceEliteAnnual*MC53+MP17*POWER(1-(AnnualChurn*VLOOKUP(LZ53,ChurnSeasonTable,4,FALSE)),3)*BlendedPriceEliteAnnual*MC53+MP5*POWER(1-(AnnualChurn*VLOOKUP(LZ53,ChurnSeasonTable,4,FALSE)),4)*BlendedPriceEliteAnnual*MC53</f>
        <v/>
      </c>
      <c r="NC53" s="9">
        <f>MZ53+NA53+NB53</f>
        <v/>
      </c>
      <c r="ND53" s="12">
        <f>SUM(NC42:NC53)</f>
        <v/>
      </c>
      <c r="NE53" s="12">
        <f>OR(NE52,IF(VATAgentMode,SUM($NC42:$NC53)-SUM($NJ42:$NJ53)&gt;=VATThreshold,SUM($NC42:$NC53)&gt;=VATThreshold))</f>
        <v/>
      </c>
      <c r="NF53" s="9">
        <f>IF(NE53,IF(VATAgentMode,NC53-((NC53-NJ53)-(NC53-NJ53)/(1+VATRate)),NC53/(1+VATRate)),NC53)</f>
        <v/>
      </c>
      <c r="NG53" s="12">
        <f>NC53-NF53</f>
        <v/>
      </c>
      <c r="NH53" s="12">
        <f>IF(NE53=0,0,IF(LZ53=1,SUMPRODUCT(--(($MA$5:$MA53=$MA53-1)*($LZ$5:$LZ53&gt;=10)*($LZ$5:$LZ53&lt;=12)),$NG$5:$NG53),IF(LZ53=4,SUMPRODUCT(--(($MA$5:$MA53=$MA53)*($LZ$5:$LZ53&gt;=1)*($LZ$5:$LZ53&lt;=3)),$NG$5:$NG53),IF(LZ53=7,SUMPRODUCT(--(($MA$5:$MA53=$MA53)*($LZ$5:$LZ53&gt;=4)*($LZ$5:$LZ53&lt;=6)),$NG$5:$NG53),IF(LZ53=10,SUMPRODUCT(--(($MA$5:$MA53=$MA53)*($LZ$5:$LZ53&gt;=7)*($LZ$5:$LZ53&lt;=9)),$NG$5:$NG53),0)))))</f>
        <v/>
      </c>
      <c r="NI53" s="12">
        <f>NI52+NG53-NH53</f>
        <v/>
      </c>
      <c r="NJ53" s="12">
        <f>IF(ProviderDelay&gt;=1,MQ52*BlendedProvPayEss+MR52*BlendedProvPayPrem+MS52*BlendedProvPayElite+MT52*BlendedProvPayEss+MU52*BlendedProvPayPrem+MV52*BlendedProvPayElite,MQ53*BlendedProvPayEss+MR53*BlendedProvPayPrem+MS53*BlendedProvPayElite+MT53*BlendedProvPayEss+MU53*BlendedProvPayPrem+MV53*BlendedProvPayElite)</f>
        <v/>
      </c>
      <c r="NK53" s="12">
        <f>NC53*PaymentFee</f>
        <v/>
      </c>
      <c r="NL53" s="12">
        <f>MW53*OpsAI</f>
        <v/>
      </c>
      <c r="NM53" s="12">
        <f>MonthlyFixed</f>
        <v/>
      </c>
      <c r="NN53" s="12">
        <f>MG53*ReferralReward</f>
        <v/>
      </c>
      <c r="NO53" s="12">
        <f>ME53</f>
        <v/>
      </c>
      <c r="NP53" s="9">
        <f>NF53-NJ53-NK53-NL53-NM53-NN53-NO53</f>
        <v/>
      </c>
      <c r="NQ53" s="9">
        <f>NQ52+NC53-(NJ53+NK53+NL53+NM53+NN53+NO53+NH53)</f>
        <v/>
      </c>
      <c r="NR53" s="12">
        <f>IF(MW53&gt;0,MX53/MW53,0)</f>
        <v/>
      </c>
      <c r="NS53" s="11">
        <f>IF(MW52&gt;0,MAX(0,(MW52+MH53-MW53)/MW52),0)</f>
        <v/>
      </c>
      <c r="NU53" s="12" t="n">
        <v>49</v>
      </c>
      <c r="NV53" s="12">
        <f>MOD(NU53-1+LaunchMonth-1,12)+1</f>
        <v/>
      </c>
      <c r="NW53" s="12">
        <f>INT((NU53-1+LaunchMonth-1)/12)+1</f>
        <v/>
      </c>
      <c r="NX53" s="12">
        <f>VLOOKUP(NV53,SeasonTable,2,FALSE)</f>
        <v/>
      </c>
      <c r="NY53" s="12">
        <f>(1+InflationRate)^INT((NU53-1)/12)</f>
        <v/>
      </c>
      <c r="NZ53" s="11">
        <f>'Sens - Churn'!$A$18*VLOOKUP(NV53,ChurnSeasonTable,4,FALSE)</f>
        <v/>
      </c>
      <c r="OA53" s="12">
        <f>MIN(MAX(MktMin19plus,OY52*MktPct19plus),MAX(0,PM52-CashBuffer))</f>
        <v/>
      </c>
      <c r="OB53" s="12">
        <f>IF(OA53&gt;0,MAX(1,ROUND(OA53/CAC*NX53,0)),0)</f>
        <v/>
      </c>
      <c r="OC53" s="12">
        <f>IF(OB53&gt;0,ROUND(OB53*ReferralMix/(1-ReferralMix),0),0)</f>
        <v/>
      </c>
      <c r="OD53" s="12">
        <f>OB53+OC53</f>
        <v/>
      </c>
      <c r="OE53" s="12">
        <f>ROUND(OD53*(1-AnnualMix),0)</f>
        <v/>
      </c>
      <c r="OF53" s="12">
        <f>OD53-OE53</f>
        <v/>
      </c>
      <c r="OG53" s="12">
        <f>ROUND(OE53*EssentialMix,0)</f>
        <v/>
      </c>
      <c r="OH53" s="12">
        <f>ROUND(OE53*PremiumMix,0)</f>
        <v/>
      </c>
      <c r="OI53" s="12">
        <f>OE53-OG53-OH53</f>
        <v/>
      </c>
      <c r="OJ53" s="12">
        <f>ROUND(OF53*EssentialMix,0)</f>
        <v/>
      </c>
      <c r="OK53" s="12">
        <f>ROUND(OF53*PremiumMix,0)</f>
        <v/>
      </c>
      <c r="OL53" s="12">
        <f>OF53-OJ53-OK53</f>
        <v/>
      </c>
      <c r="OM53" s="12">
        <f>OG53+OG52+OG51+MAX(0,OM52-OG52-OG51)*(1-NZ53)</f>
        <v/>
      </c>
      <c r="ON53" s="12">
        <f>OH53+OH52+OH51+MAX(0,ON52-OH52-OH51)*(1-NZ53)</f>
        <v/>
      </c>
      <c r="OO53" s="12">
        <f>OI53+OI52+OI51+MAX(0,OO52-OI52-OI51)*(1-NZ53)</f>
        <v/>
      </c>
      <c r="OP53" s="12">
        <f>OP52+OJ53-OJ41*(AnnualChurn*VLOOKUP(NV53,ChurnSeasonTable,4,FALSE))*POWER(1-(AnnualChurn*VLOOKUP(NV53,ChurnSeasonTable,4,FALSE)),0)+OJ29*(AnnualChurn*VLOOKUP(NV53,ChurnSeasonTable,4,FALSE))*POWER(1-(AnnualChurn*VLOOKUP(NV53,ChurnSeasonTable,4,FALSE)),1)+OJ17*(AnnualChurn*VLOOKUP(NV53,ChurnSeasonTable,4,FALSE))*POWER(1-(AnnualChurn*VLOOKUP(NV53,ChurnSeasonTable,4,FALSE)),2)+OJ5*(AnnualChurn*VLOOKUP(NV53,ChurnSeasonTable,4,FALSE))*POWER(1-(AnnualChurn*VLOOKUP(NV53,ChurnSeasonTable,4,FALSE)),3)</f>
        <v/>
      </c>
      <c r="OQ53" s="12">
        <f>OQ52+OK53-OK41*(AnnualChurn*VLOOKUP(NV53,ChurnSeasonTable,4,FALSE))*POWER(1-(AnnualChurn*VLOOKUP(NV53,ChurnSeasonTable,4,FALSE)),0)+OK29*(AnnualChurn*VLOOKUP(NV53,ChurnSeasonTable,4,FALSE))*POWER(1-(AnnualChurn*VLOOKUP(NV53,ChurnSeasonTable,4,FALSE)),1)+OK17*(AnnualChurn*VLOOKUP(NV53,ChurnSeasonTable,4,FALSE))*POWER(1-(AnnualChurn*VLOOKUP(NV53,ChurnSeasonTable,4,FALSE)),2)+OK5*(AnnualChurn*VLOOKUP(NV53,ChurnSeasonTable,4,FALSE))*POWER(1-(AnnualChurn*VLOOKUP(NV53,ChurnSeasonTable,4,FALSE)),3)</f>
        <v/>
      </c>
      <c r="OR53" s="12">
        <f>OR52+OL53-OL41*(AnnualChurn*VLOOKUP(NV53,ChurnSeasonTable,4,FALSE))*POWER(1-(AnnualChurn*VLOOKUP(NV53,ChurnSeasonTable,4,FALSE)),0)+OL29*(AnnualChurn*VLOOKUP(NV53,ChurnSeasonTable,4,FALSE))*POWER(1-(AnnualChurn*VLOOKUP(NV53,ChurnSeasonTable,4,FALSE)),1)+OL17*(AnnualChurn*VLOOKUP(NV53,ChurnSeasonTable,4,FALSE))*POWER(1-(AnnualChurn*VLOOKUP(NV53,ChurnSeasonTable,4,FALSE)),2)+OL5*(AnnualChurn*VLOOKUP(NV53,ChurnSeasonTable,4,FALSE))*POWER(1-(AnnualChurn*VLOOKUP(NV53,ChurnSeasonTable,4,FALSE)),3)</f>
        <v/>
      </c>
      <c r="OS53" s="12">
        <f>OM53+ON53+OO53+OP53+OQ53+OR53</f>
        <v/>
      </c>
      <c r="OT53" s="9">
        <f>OM53*BlendedPriceEssMonthly*NY53+ON53*BlendedPricePremMonthly*NY53+OO53*BlendedPriceEliteMonthly*NY53+OP53*BlendedPriceEssAnnual*NY53/12+OQ53*BlendedPricePremAnnual*NY53/12+OR53*BlendedPriceEliteAnnual*NY53/12</f>
        <v/>
      </c>
      <c r="OU53" s="9">
        <f>OT53*12</f>
        <v/>
      </c>
      <c r="OV53" s="12">
        <f>OM53*BlendedPriceEssMonthly*NY53+ON53*BlendedPricePremMonthly*NY53+OO53*BlendedPriceEliteMonthly*NY53</f>
        <v/>
      </c>
      <c r="OW53" s="12">
        <f>OJ53*BlendedPriceEssAnnual*NY53+OK53*BlendedPricePremAnnual*NY53+OL53*BlendedPriceEliteAnnual*NY53</f>
        <v/>
      </c>
      <c r="OX53" s="12">
        <f>OJ41*POWER(1-(AnnualChurn*VLOOKUP(NV53,ChurnSeasonTable,4,FALSE)),1)*BlendedPriceEssAnnual*NY53+OJ29*POWER(1-(AnnualChurn*VLOOKUP(NV53,ChurnSeasonTable,4,FALSE)),2)*BlendedPriceEssAnnual*NY53+OJ17*POWER(1-(AnnualChurn*VLOOKUP(NV53,ChurnSeasonTable,4,FALSE)),3)*BlendedPriceEssAnnual*NY53+OJ5*POWER(1-(AnnualChurn*VLOOKUP(NV53,ChurnSeasonTable,4,FALSE)),4)*BlendedPriceEssAnnual*NY53+OK41*POWER(1-(AnnualChurn*VLOOKUP(NV53,ChurnSeasonTable,4,FALSE)),1)*BlendedPricePremAnnual*NY53+OK29*POWER(1-(AnnualChurn*VLOOKUP(NV53,ChurnSeasonTable,4,FALSE)),2)*BlendedPricePremAnnual*NY53+OK17*POWER(1-(AnnualChurn*VLOOKUP(NV53,ChurnSeasonTable,4,FALSE)),3)*BlendedPricePremAnnual*NY53+OK5*POWER(1-(AnnualChurn*VLOOKUP(NV53,ChurnSeasonTable,4,FALSE)),4)*BlendedPricePremAnnual*NY53+OL41*POWER(1-(AnnualChurn*VLOOKUP(NV53,ChurnSeasonTable,4,FALSE)),1)*BlendedPriceEliteAnnual*NY53+OL29*POWER(1-(AnnualChurn*VLOOKUP(NV53,ChurnSeasonTable,4,FALSE)),2)*BlendedPriceEliteAnnual*NY53+OL17*POWER(1-(AnnualChurn*VLOOKUP(NV53,ChurnSeasonTable,4,FALSE)),3)*BlendedPriceEliteAnnual*NY53+OL5*POWER(1-(AnnualChurn*VLOOKUP(NV53,ChurnSeasonTable,4,FALSE)),4)*BlendedPriceEliteAnnual*NY53</f>
        <v/>
      </c>
      <c r="OY53" s="9">
        <f>OV53+OW53+OX53</f>
        <v/>
      </c>
      <c r="OZ53" s="12">
        <f>SUM(OY42:OY53)</f>
        <v/>
      </c>
      <c r="PA53" s="12">
        <f>OR(PA52,IF(VATAgentMode,SUM($OY42:$OY53)-SUM($PF42:$PF53)&gt;=VATThreshold,SUM($OY42:$OY53)&gt;=VATThreshold))</f>
        <v/>
      </c>
      <c r="PB53" s="9">
        <f>IF(PA53,IF(VATAgentMode,OY53-((OY53-PF53)-(OY53-PF53)/(1+VATRate)),OY53/(1+VATRate)),OY53)</f>
        <v/>
      </c>
      <c r="PC53" s="12">
        <f>OY53-PB53</f>
        <v/>
      </c>
      <c r="PD53" s="12">
        <f>IF(PA53=0,0,IF(NV53=1,SUMPRODUCT(--(($NW$5:$NW53=$NW53-1)*($NV$5:$NV53&gt;=10)*($NV$5:$NV53&lt;=12)),$PC$5:$PC53),IF(NV53=4,SUMPRODUCT(--(($NW$5:$NW53=$NW53)*($NV$5:$NV53&gt;=1)*($NV$5:$NV53&lt;=3)),$PC$5:$PC53),IF(NV53=7,SUMPRODUCT(--(($NW$5:$NW53=$NW53)*($NV$5:$NV53&gt;=4)*($NV$5:$NV53&lt;=6)),$PC$5:$PC53),IF(NV53=10,SUMPRODUCT(--(($NW$5:$NW53=$NW53)*($NV$5:$NV53&gt;=7)*($NV$5:$NV53&lt;=9)),$PC$5:$PC53),0)))))</f>
        <v/>
      </c>
      <c r="PE53" s="12">
        <f>PE52+PC53-PD53</f>
        <v/>
      </c>
      <c r="PF53" s="12">
        <f>IF(ProviderDelay&gt;=1,OM52*BlendedProvPayEss+ON52*BlendedProvPayPrem+OO52*BlendedProvPayElite+OP52*BlendedProvPayEss+OQ52*BlendedProvPayPrem+OR52*BlendedProvPayElite,OM53*BlendedProvPayEss+ON53*BlendedProvPayPrem+OO53*BlendedProvPayElite+OP53*BlendedProvPayEss+OQ53*BlendedProvPayPrem+OR53*BlendedProvPayElite)</f>
        <v/>
      </c>
      <c r="PG53" s="12">
        <f>OY53*PaymentFee</f>
        <v/>
      </c>
      <c r="PH53" s="12">
        <f>OS53*OpsAI</f>
        <v/>
      </c>
      <c r="PI53" s="12">
        <f>MonthlyFixed</f>
        <v/>
      </c>
      <c r="PJ53" s="12">
        <f>OC53*ReferralReward</f>
        <v/>
      </c>
      <c r="PK53" s="12">
        <f>OA53</f>
        <v/>
      </c>
      <c r="PL53" s="9">
        <f>PB53-PF53-PG53-PH53-PI53-PJ53-PK53</f>
        <v/>
      </c>
      <c r="PM53" s="9">
        <f>PM52+OY53-(PF53+PG53+PH53+PI53+PJ53+PK53+PD53)</f>
        <v/>
      </c>
      <c r="PN53" s="12">
        <f>IF(OS53&gt;0,OT53/OS53,0)</f>
        <v/>
      </c>
      <c r="PO53" s="11">
        <f>IF(OS52&gt;0,MAX(0,(OS52+OD53-OS53)/OS52),0)</f>
        <v/>
      </c>
      <c r="PQ53" s="12" t="n">
        <v>49</v>
      </c>
      <c r="PR53" s="12">
        <f>MOD(PQ53-1+LaunchMonth-1,12)+1</f>
        <v/>
      </c>
      <c r="PS53" s="12">
        <f>INT((PQ53-1+LaunchMonth-1)/12)+1</f>
        <v/>
      </c>
      <c r="PT53" s="12">
        <f>VLOOKUP(PR53,SeasonTable,2,FALSE)</f>
        <v/>
      </c>
      <c r="PU53" s="12">
        <f>(1+InflationRate)^INT((PQ53-1)/12)</f>
        <v/>
      </c>
      <c r="PV53" s="11">
        <f>'Sens - Churn'!$A$19*VLOOKUP(PR53,ChurnSeasonTable,4,FALSE)</f>
        <v/>
      </c>
      <c r="PW53" s="12">
        <f>MIN(MAX(MktMin19plus,QU52*MktPct19plus),MAX(0,RI52-CashBuffer))</f>
        <v/>
      </c>
      <c r="PX53" s="12">
        <f>IF(PW53&gt;0,MAX(1,ROUND(PW53/CAC*PT53,0)),0)</f>
        <v/>
      </c>
      <c r="PY53" s="12">
        <f>IF(PX53&gt;0,ROUND(PX53*ReferralMix/(1-ReferralMix),0),0)</f>
        <v/>
      </c>
      <c r="PZ53" s="12">
        <f>PX53+PY53</f>
        <v/>
      </c>
      <c r="QA53" s="12">
        <f>ROUND(PZ53*(1-AnnualMix),0)</f>
        <v/>
      </c>
      <c r="QB53" s="12">
        <f>PZ53-QA53</f>
        <v/>
      </c>
      <c r="QC53" s="12">
        <f>ROUND(QA53*EssentialMix,0)</f>
        <v/>
      </c>
      <c r="QD53" s="12">
        <f>ROUND(QA53*PremiumMix,0)</f>
        <v/>
      </c>
      <c r="QE53" s="12">
        <f>QA53-QC53-QD53</f>
        <v/>
      </c>
      <c r="QF53" s="12">
        <f>ROUND(QB53*EssentialMix,0)</f>
        <v/>
      </c>
      <c r="QG53" s="12">
        <f>ROUND(QB53*PremiumMix,0)</f>
        <v/>
      </c>
      <c r="QH53" s="12">
        <f>QB53-QF53-QG53</f>
        <v/>
      </c>
      <c r="QI53" s="12">
        <f>QC53+QC52+QC51+MAX(0,QI52-QC52-QC51)*(1-PV53)</f>
        <v/>
      </c>
      <c r="QJ53" s="12">
        <f>QD53+QD52+QD51+MAX(0,QJ52-QD52-QD51)*(1-PV53)</f>
        <v/>
      </c>
      <c r="QK53" s="12">
        <f>QE53+QE52+QE51+MAX(0,QK52-QE52-QE51)*(1-PV53)</f>
        <v/>
      </c>
      <c r="QL53" s="12">
        <f>QL52+QF53-QF41*(AnnualChurn*VLOOKUP(PR53,ChurnSeasonTable,4,FALSE))*POWER(1-(AnnualChurn*VLOOKUP(PR53,ChurnSeasonTable,4,FALSE)),0)+QF29*(AnnualChurn*VLOOKUP(PR53,ChurnSeasonTable,4,FALSE))*POWER(1-(AnnualChurn*VLOOKUP(PR53,ChurnSeasonTable,4,FALSE)),1)+QF17*(AnnualChurn*VLOOKUP(PR53,ChurnSeasonTable,4,FALSE))*POWER(1-(AnnualChurn*VLOOKUP(PR53,ChurnSeasonTable,4,FALSE)),2)+QF5*(AnnualChurn*VLOOKUP(PR53,ChurnSeasonTable,4,FALSE))*POWER(1-(AnnualChurn*VLOOKUP(PR53,ChurnSeasonTable,4,FALSE)),3)</f>
        <v/>
      </c>
      <c r="QM53" s="12">
        <f>QM52+QG53-QG41*(AnnualChurn*VLOOKUP(PR53,ChurnSeasonTable,4,FALSE))*POWER(1-(AnnualChurn*VLOOKUP(PR53,ChurnSeasonTable,4,FALSE)),0)+QG29*(AnnualChurn*VLOOKUP(PR53,ChurnSeasonTable,4,FALSE))*POWER(1-(AnnualChurn*VLOOKUP(PR53,ChurnSeasonTable,4,FALSE)),1)+QG17*(AnnualChurn*VLOOKUP(PR53,ChurnSeasonTable,4,FALSE))*POWER(1-(AnnualChurn*VLOOKUP(PR53,ChurnSeasonTable,4,FALSE)),2)+QG5*(AnnualChurn*VLOOKUP(PR53,ChurnSeasonTable,4,FALSE))*POWER(1-(AnnualChurn*VLOOKUP(PR53,ChurnSeasonTable,4,FALSE)),3)</f>
        <v/>
      </c>
      <c r="QN53" s="12">
        <f>QN52+QH53-QH41*(AnnualChurn*VLOOKUP(PR53,ChurnSeasonTable,4,FALSE))*POWER(1-(AnnualChurn*VLOOKUP(PR53,ChurnSeasonTable,4,FALSE)),0)+QH29*(AnnualChurn*VLOOKUP(PR53,ChurnSeasonTable,4,FALSE))*POWER(1-(AnnualChurn*VLOOKUP(PR53,ChurnSeasonTable,4,FALSE)),1)+QH17*(AnnualChurn*VLOOKUP(PR53,ChurnSeasonTable,4,FALSE))*POWER(1-(AnnualChurn*VLOOKUP(PR53,ChurnSeasonTable,4,FALSE)),2)+QH5*(AnnualChurn*VLOOKUP(PR53,ChurnSeasonTable,4,FALSE))*POWER(1-(AnnualChurn*VLOOKUP(PR53,ChurnSeasonTable,4,FALSE)),3)</f>
        <v/>
      </c>
      <c r="QO53" s="12">
        <f>QI53+QJ53+QK53+QL53+QM53+QN53</f>
        <v/>
      </c>
      <c r="QP53" s="9">
        <f>QI53*BlendedPriceEssMonthly*PU53+QJ53*BlendedPricePremMonthly*PU53+QK53*BlendedPriceEliteMonthly*PU53+QL53*BlendedPriceEssAnnual*PU53/12+QM53*BlendedPricePremAnnual*PU53/12+QN53*BlendedPriceEliteAnnual*PU53/12</f>
        <v/>
      </c>
      <c r="QQ53" s="9">
        <f>QP53*12</f>
        <v/>
      </c>
      <c r="QR53" s="12">
        <f>QI53*BlendedPriceEssMonthly*PU53+QJ53*BlendedPricePremMonthly*PU53+QK53*BlendedPriceEliteMonthly*PU53</f>
        <v/>
      </c>
      <c r="QS53" s="12">
        <f>QF53*BlendedPriceEssAnnual*PU53+QG53*BlendedPricePremAnnual*PU53+QH53*BlendedPriceEliteAnnual*PU53</f>
        <v/>
      </c>
      <c r="QT53" s="12">
        <f>QF41*POWER(1-(AnnualChurn*VLOOKUP(PR53,ChurnSeasonTable,4,FALSE)),1)*BlendedPriceEssAnnual*PU53+QF29*POWER(1-(AnnualChurn*VLOOKUP(PR53,ChurnSeasonTable,4,FALSE)),2)*BlendedPriceEssAnnual*PU53+QF17*POWER(1-(AnnualChurn*VLOOKUP(PR53,ChurnSeasonTable,4,FALSE)),3)*BlendedPriceEssAnnual*PU53+QF5*POWER(1-(AnnualChurn*VLOOKUP(PR53,ChurnSeasonTable,4,FALSE)),4)*BlendedPriceEssAnnual*PU53+QG41*POWER(1-(AnnualChurn*VLOOKUP(PR53,ChurnSeasonTable,4,FALSE)),1)*BlendedPricePremAnnual*PU53+QG29*POWER(1-(AnnualChurn*VLOOKUP(PR53,ChurnSeasonTable,4,FALSE)),2)*BlendedPricePremAnnual*PU53+QG17*POWER(1-(AnnualChurn*VLOOKUP(PR53,ChurnSeasonTable,4,FALSE)),3)*BlendedPricePremAnnual*PU53+QG5*POWER(1-(AnnualChurn*VLOOKUP(PR53,ChurnSeasonTable,4,FALSE)),4)*BlendedPricePremAnnual*PU53+QH41*POWER(1-(AnnualChurn*VLOOKUP(PR53,ChurnSeasonTable,4,FALSE)),1)*BlendedPriceEliteAnnual*PU53+QH29*POWER(1-(AnnualChurn*VLOOKUP(PR53,ChurnSeasonTable,4,FALSE)),2)*BlendedPriceEliteAnnual*PU53+QH17*POWER(1-(AnnualChurn*VLOOKUP(PR53,ChurnSeasonTable,4,FALSE)),3)*BlendedPriceEliteAnnual*PU53+QH5*POWER(1-(AnnualChurn*VLOOKUP(PR53,ChurnSeasonTable,4,FALSE)),4)*BlendedPriceEliteAnnual*PU53</f>
        <v/>
      </c>
      <c r="QU53" s="9">
        <f>QR53+QS53+QT53</f>
        <v/>
      </c>
      <c r="QV53" s="12">
        <f>SUM(QU42:QU53)</f>
        <v/>
      </c>
      <c r="QW53" s="12">
        <f>OR(QW52,IF(VATAgentMode,SUM($QU42:$QU53)-SUM($RB42:$RB53)&gt;=VATThreshold,SUM($QU42:$QU53)&gt;=VATThreshold))</f>
        <v/>
      </c>
      <c r="QX53" s="9">
        <f>IF(QW53,IF(VATAgentMode,QU53-((QU53-RB53)-(QU53-RB53)/(1+VATRate)),QU53/(1+VATRate)),QU53)</f>
        <v/>
      </c>
      <c r="QY53" s="12">
        <f>QU53-QX53</f>
        <v/>
      </c>
      <c r="QZ53" s="12">
        <f>IF(QW53=0,0,IF(PR53=1,SUMPRODUCT(--(($PS$5:$PS53=$PS53-1)*($PR$5:$PR53&gt;=10)*($PR$5:$PR53&lt;=12)),$QY$5:$QY53),IF(PR53=4,SUMPRODUCT(--(($PS$5:$PS53=$PS53)*($PR$5:$PR53&gt;=1)*($PR$5:$PR53&lt;=3)),$QY$5:$QY53),IF(PR53=7,SUMPRODUCT(--(($PS$5:$PS53=$PS53)*($PR$5:$PR53&gt;=4)*($PR$5:$PR53&lt;=6)),$QY$5:$QY53),IF(PR53=10,SUMPRODUCT(--(($PS$5:$PS53=$PS53)*($PR$5:$PR53&gt;=7)*($PR$5:$PR53&lt;=9)),$QY$5:$QY53),0)))))</f>
        <v/>
      </c>
      <c r="RA53" s="12">
        <f>RA52+QY53-QZ53</f>
        <v/>
      </c>
      <c r="RB53" s="12">
        <f>IF(ProviderDelay&gt;=1,QI52*BlendedProvPayEss+QJ52*BlendedProvPayPrem+QK52*BlendedProvPayElite+QL52*BlendedProvPayEss+QM52*BlendedProvPayPrem+QN52*BlendedProvPayElite,QI53*BlendedProvPayEss+QJ53*BlendedProvPayPrem+QK53*BlendedProvPayElite+QL53*BlendedProvPayEss+QM53*BlendedProvPayPrem+QN53*BlendedProvPayElite)</f>
        <v/>
      </c>
      <c r="RC53" s="12">
        <f>QU53*PaymentFee</f>
        <v/>
      </c>
      <c r="RD53" s="12">
        <f>QO53*OpsAI</f>
        <v/>
      </c>
      <c r="RE53" s="12">
        <f>MonthlyFixed</f>
        <v/>
      </c>
      <c r="RF53" s="12">
        <f>PY53*ReferralReward</f>
        <v/>
      </c>
      <c r="RG53" s="12">
        <f>PW53</f>
        <v/>
      </c>
      <c r="RH53" s="9">
        <f>QX53-RB53-RC53-RD53-RE53-RF53-RG53</f>
        <v/>
      </c>
      <c r="RI53" s="9">
        <f>RI52+QU53-(RB53+RC53+RD53+RE53+RF53+RG53+QZ53)</f>
        <v/>
      </c>
      <c r="RJ53" s="12">
        <f>IF(QO53&gt;0,QP53/QO53,0)</f>
        <v/>
      </c>
      <c r="RK53" s="11">
        <f>IF(QO52&gt;0,MAX(0,(QO52+PZ53-QO53)/QO52),0)</f>
        <v/>
      </c>
      <c r="RM53" s="12" t="n">
        <v>49</v>
      </c>
      <c r="RN53" s="12">
        <f>MOD(RM53-1+LaunchMonth-1,12)+1</f>
        <v/>
      </c>
      <c r="RO53" s="12">
        <f>INT((RM53-1+LaunchMonth-1)/12)+1</f>
        <v/>
      </c>
      <c r="RP53" s="12">
        <f>VLOOKUP(RN53,SeasonTable,2,FALSE)</f>
        <v/>
      </c>
      <c r="RQ53" s="12">
        <f>(1+InflationRate)^INT((RM53-1)/12)</f>
        <v/>
      </c>
      <c r="RR53" s="11">
        <f>'Sens - Churn'!$A$20*VLOOKUP(RN53,ChurnSeasonTable,4,FALSE)</f>
        <v/>
      </c>
      <c r="RS53" s="12">
        <f>MIN(MAX(MktMin19plus,SQ52*MktPct19plus),MAX(0,TE52-CashBuffer))</f>
        <v/>
      </c>
      <c r="RT53" s="12">
        <f>IF(RS53&gt;0,MAX(1,ROUND(RS53/CAC*RP53,0)),0)</f>
        <v/>
      </c>
      <c r="RU53" s="12">
        <f>IF(RT53&gt;0,ROUND(RT53*ReferralMix/(1-ReferralMix),0),0)</f>
        <v/>
      </c>
      <c r="RV53" s="12">
        <f>RT53+RU53</f>
        <v/>
      </c>
      <c r="RW53" s="12">
        <f>ROUND(RV53*(1-AnnualMix),0)</f>
        <v/>
      </c>
      <c r="RX53" s="12">
        <f>RV53-RW53</f>
        <v/>
      </c>
      <c r="RY53" s="12">
        <f>ROUND(RW53*EssentialMix,0)</f>
        <v/>
      </c>
      <c r="RZ53" s="12">
        <f>ROUND(RW53*PremiumMix,0)</f>
        <v/>
      </c>
      <c r="SA53" s="12">
        <f>RW53-RY53-RZ53</f>
        <v/>
      </c>
      <c r="SB53" s="12">
        <f>ROUND(RX53*EssentialMix,0)</f>
        <v/>
      </c>
      <c r="SC53" s="12">
        <f>ROUND(RX53*PremiumMix,0)</f>
        <v/>
      </c>
      <c r="SD53" s="12">
        <f>RX53-SB53-SC53</f>
        <v/>
      </c>
      <c r="SE53" s="12">
        <f>RY53+RY52+RY51+MAX(0,SE52-RY52-RY51)*(1-RR53)</f>
        <v/>
      </c>
      <c r="SF53" s="12">
        <f>RZ53+RZ52+RZ51+MAX(0,SF52-RZ52-RZ51)*(1-RR53)</f>
        <v/>
      </c>
      <c r="SG53" s="12">
        <f>SA53+SA52+SA51+MAX(0,SG52-SA52-SA51)*(1-RR53)</f>
        <v/>
      </c>
      <c r="SH53" s="12">
        <f>SH52+SB53-SB41*(AnnualChurn*VLOOKUP(RN53,ChurnSeasonTable,4,FALSE))*POWER(1-(AnnualChurn*VLOOKUP(RN53,ChurnSeasonTable,4,FALSE)),0)+SB29*(AnnualChurn*VLOOKUP(RN53,ChurnSeasonTable,4,FALSE))*POWER(1-(AnnualChurn*VLOOKUP(RN53,ChurnSeasonTable,4,FALSE)),1)+SB17*(AnnualChurn*VLOOKUP(RN53,ChurnSeasonTable,4,FALSE))*POWER(1-(AnnualChurn*VLOOKUP(RN53,ChurnSeasonTable,4,FALSE)),2)+SB5*(AnnualChurn*VLOOKUP(RN53,ChurnSeasonTable,4,FALSE))*POWER(1-(AnnualChurn*VLOOKUP(RN53,ChurnSeasonTable,4,FALSE)),3)</f>
        <v/>
      </c>
      <c r="SI53" s="12">
        <f>SI52+SC53-SC41*(AnnualChurn*VLOOKUP(RN53,ChurnSeasonTable,4,FALSE))*POWER(1-(AnnualChurn*VLOOKUP(RN53,ChurnSeasonTable,4,FALSE)),0)+SC29*(AnnualChurn*VLOOKUP(RN53,ChurnSeasonTable,4,FALSE))*POWER(1-(AnnualChurn*VLOOKUP(RN53,ChurnSeasonTable,4,FALSE)),1)+SC17*(AnnualChurn*VLOOKUP(RN53,ChurnSeasonTable,4,FALSE))*POWER(1-(AnnualChurn*VLOOKUP(RN53,ChurnSeasonTable,4,FALSE)),2)+SC5*(AnnualChurn*VLOOKUP(RN53,ChurnSeasonTable,4,FALSE))*POWER(1-(AnnualChurn*VLOOKUP(RN53,ChurnSeasonTable,4,FALSE)),3)</f>
        <v/>
      </c>
      <c r="SJ53" s="12">
        <f>SJ52+SD53-SD41*(AnnualChurn*VLOOKUP(RN53,ChurnSeasonTable,4,FALSE))*POWER(1-(AnnualChurn*VLOOKUP(RN53,ChurnSeasonTable,4,FALSE)),0)+SD29*(AnnualChurn*VLOOKUP(RN53,ChurnSeasonTable,4,FALSE))*POWER(1-(AnnualChurn*VLOOKUP(RN53,ChurnSeasonTable,4,FALSE)),1)+SD17*(AnnualChurn*VLOOKUP(RN53,ChurnSeasonTable,4,FALSE))*POWER(1-(AnnualChurn*VLOOKUP(RN53,ChurnSeasonTable,4,FALSE)),2)+SD5*(AnnualChurn*VLOOKUP(RN53,ChurnSeasonTable,4,FALSE))*POWER(1-(AnnualChurn*VLOOKUP(RN53,ChurnSeasonTable,4,FALSE)),3)</f>
        <v/>
      </c>
      <c r="SK53" s="12">
        <f>SE53+SF53+SG53+SH53+SI53+SJ53</f>
        <v/>
      </c>
      <c r="SL53" s="9">
        <f>SE53*BlendedPriceEssMonthly*RQ53+SF53*BlendedPricePremMonthly*RQ53+SG53*BlendedPriceEliteMonthly*RQ53+SH53*BlendedPriceEssAnnual*RQ53/12+SI53*BlendedPricePremAnnual*RQ53/12+SJ53*BlendedPriceEliteAnnual*RQ53/12</f>
        <v/>
      </c>
      <c r="SM53" s="9">
        <f>SL53*12</f>
        <v/>
      </c>
      <c r="SN53" s="12">
        <f>SE53*BlendedPriceEssMonthly*RQ53+SF53*BlendedPricePremMonthly*RQ53+SG53*BlendedPriceEliteMonthly*RQ53</f>
        <v/>
      </c>
      <c r="SO53" s="12">
        <f>SB53*BlendedPriceEssAnnual*RQ53+SC53*BlendedPricePremAnnual*RQ53+SD53*BlendedPriceEliteAnnual*RQ53</f>
        <v/>
      </c>
      <c r="SP53" s="12">
        <f>SB41*POWER(1-(AnnualChurn*VLOOKUP(RN53,ChurnSeasonTable,4,FALSE)),1)*BlendedPriceEssAnnual*RQ53+SB29*POWER(1-(AnnualChurn*VLOOKUP(RN53,ChurnSeasonTable,4,FALSE)),2)*BlendedPriceEssAnnual*RQ53+SB17*POWER(1-(AnnualChurn*VLOOKUP(RN53,ChurnSeasonTable,4,FALSE)),3)*BlendedPriceEssAnnual*RQ53+SB5*POWER(1-(AnnualChurn*VLOOKUP(RN53,ChurnSeasonTable,4,FALSE)),4)*BlendedPriceEssAnnual*RQ53+SC41*POWER(1-(AnnualChurn*VLOOKUP(RN53,ChurnSeasonTable,4,FALSE)),1)*BlendedPricePremAnnual*RQ53+SC29*POWER(1-(AnnualChurn*VLOOKUP(RN53,ChurnSeasonTable,4,FALSE)),2)*BlendedPricePremAnnual*RQ53+SC17*POWER(1-(AnnualChurn*VLOOKUP(RN53,ChurnSeasonTable,4,FALSE)),3)*BlendedPricePremAnnual*RQ53+SC5*POWER(1-(AnnualChurn*VLOOKUP(RN53,ChurnSeasonTable,4,FALSE)),4)*BlendedPricePremAnnual*RQ53+SD41*POWER(1-(AnnualChurn*VLOOKUP(RN53,ChurnSeasonTable,4,FALSE)),1)*BlendedPriceEliteAnnual*RQ53+SD29*POWER(1-(AnnualChurn*VLOOKUP(RN53,ChurnSeasonTable,4,FALSE)),2)*BlendedPriceEliteAnnual*RQ53+SD17*POWER(1-(AnnualChurn*VLOOKUP(RN53,ChurnSeasonTable,4,FALSE)),3)*BlendedPriceEliteAnnual*RQ53+SD5*POWER(1-(AnnualChurn*VLOOKUP(RN53,ChurnSeasonTable,4,FALSE)),4)*BlendedPriceEliteAnnual*RQ53</f>
        <v/>
      </c>
      <c r="SQ53" s="9">
        <f>SN53+SO53+SP53</f>
        <v/>
      </c>
      <c r="SR53" s="12">
        <f>SUM(SQ42:SQ53)</f>
        <v/>
      </c>
      <c r="SS53" s="12">
        <f>OR(SS52,IF(VATAgentMode,SUM($SQ42:$SQ53)-SUM($SX42:$SX53)&gt;=VATThreshold,SUM($SQ42:$SQ53)&gt;=VATThreshold))</f>
        <v/>
      </c>
      <c r="ST53" s="9">
        <f>IF(SS53,IF(VATAgentMode,SQ53-((SQ53-SX53)-(SQ53-SX53)/(1+VATRate)),SQ53/(1+VATRate)),SQ53)</f>
        <v/>
      </c>
      <c r="SU53" s="12">
        <f>SQ53-ST53</f>
        <v/>
      </c>
      <c r="SV53" s="12">
        <f>IF(SS53=0,0,IF(RN53=1,SUMPRODUCT(--(($RO$5:$RO53=$RO53-1)*($RN$5:$RN53&gt;=10)*($RN$5:$RN53&lt;=12)),$SU$5:$SU53),IF(RN53=4,SUMPRODUCT(--(($RO$5:$RO53=$RO53)*($RN$5:$RN53&gt;=1)*($RN$5:$RN53&lt;=3)),$SU$5:$SU53),IF(RN53=7,SUMPRODUCT(--(($RO$5:$RO53=$RO53)*($RN$5:$RN53&gt;=4)*($RN$5:$RN53&lt;=6)),$SU$5:$SU53),IF(RN53=10,SUMPRODUCT(--(($RO$5:$RO53=$RO53)*($RN$5:$RN53&gt;=7)*($RN$5:$RN53&lt;=9)),$SU$5:$SU53),0)))))</f>
        <v/>
      </c>
      <c r="SW53" s="12">
        <f>SW52+SU53-SV53</f>
        <v/>
      </c>
      <c r="SX53" s="12">
        <f>IF(ProviderDelay&gt;=1,SE52*BlendedProvPayEss+SF52*BlendedProvPayPrem+SG52*BlendedProvPayElite+SH52*BlendedProvPayEss+SI52*BlendedProvPayPrem+SJ52*BlendedProvPayElite,SE53*BlendedProvPayEss+SF53*BlendedProvPayPrem+SG53*BlendedProvPayElite+SH53*BlendedProvPayEss+SI53*BlendedProvPayPrem+SJ53*BlendedProvPayElite)</f>
        <v/>
      </c>
      <c r="SY53" s="12">
        <f>SQ53*PaymentFee</f>
        <v/>
      </c>
      <c r="SZ53" s="12">
        <f>SK53*OpsAI</f>
        <v/>
      </c>
      <c r="TA53" s="12">
        <f>MonthlyFixed</f>
        <v/>
      </c>
      <c r="TB53" s="12">
        <f>RU53*ReferralReward</f>
        <v/>
      </c>
      <c r="TC53" s="12">
        <f>RS53</f>
        <v/>
      </c>
      <c r="TD53" s="9">
        <f>ST53-SX53-SY53-SZ53-TA53-TB53-TC53</f>
        <v/>
      </c>
      <c r="TE53" s="9">
        <f>TE52+SQ53-(SX53+SY53+SZ53+TA53+TB53+TC53+SV53)</f>
        <v/>
      </c>
      <c r="TF53" s="12">
        <f>IF(SK53&gt;0,SL53/SK53,0)</f>
        <v/>
      </c>
      <c r="TG53" s="11">
        <f>IF(SK52&gt;0,MAX(0,(SK52+RV53-SK53)/SK52),0)</f>
        <v/>
      </c>
      <c r="TI53" s="12" t="n">
        <v>49</v>
      </c>
      <c r="TJ53" s="12">
        <f>MOD(TI53-1+LaunchMonth-1,12)+1</f>
        <v/>
      </c>
      <c r="TK53" s="12">
        <f>INT((TI53-1+LaunchMonth-1)/12)+1</f>
        <v/>
      </c>
      <c r="TL53" s="12">
        <f>VLOOKUP(TJ53,SeasonTable,2,FALSE)</f>
        <v/>
      </c>
      <c r="TM53" s="12">
        <f>(1+InflationRate)^INT((TI53-1)/12)</f>
        <v/>
      </c>
      <c r="TN53" s="11">
        <f>'Sens - Churn'!$A$21*VLOOKUP(TJ53,ChurnSeasonTable,4,FALSE)</f>
        <v/>
      </c>
      <c r="TO53" s="12">
        <f>MIN(MAX(MktMin19plus,UM52*MktPct19plus),MAX(0,VA52-CashBuffer))</f>
        <v/>
      </c>
      <c r="TP53" s="12">
        <f>IF(TO53&gt;0,MAX(1,ROUND(TO53/CAC*TL53,0)),0)</f>
        <v/>
      </c>
      <c r="TQ53" s="12">
        <f>IF(TP53&gt;0,ROUND(TP53*ReferralMix/(1-ReferralMix),0),0)</f>
        <v/>
      </c>
      <c r="TR53" s="12">
        <f>TP53+TQ53</f>
        <v/>
      </c>
      <c r="TS53" s="12">
        <f>ROUND(TR53*(1-AnnualMix),0)</f>
        <v/>
      </c>
      <c r="TT53" s="12">
        <f>TR53-TS53</f>
        <v/>
      </c>
      <c r="TU53" s="12">
        <f>ROUND(TS53*EssentialMix,0)</f>
        <v/>
      </c>
      <c r="TV53" s="12">
        <f>ROUND(TS53*PremiumMix,0)</f>
        <v/>
      </c>
      <c r="TW53" s="12">
        <f>TS53-TU53-TV53</f>
        <v/>
      </c>
      <c r="TX53" s="12">
        <f>ROUND(TT53*EssentialMix,0)</f>
        <v/>
      </c>
      <c r="TY53" s="12">
        <f>ROUND(TT53*PremiumMix,0)</f>
        <v/>
      </c>
      <c r="TZ53" s="12">
        <f>TT53-TX53-TY53</f>
        <v/>
      </c>
      <c r="UA53" s="12">
        <f>TU53+TU52+TU51+MAX(0,UA52-TU52-TU51)*(1-TN53)</f>
        <v/>
      </c>
      <c r="UB53" s="12">
        <f>TV53+TV52+TV51+MAX(0,UB52-TV52-TV51)*(1-TN53)</f>
        <v/>
      </c>
      <c r="UC53" s="12">
        <f>TW53+TW52+TW51+MAX(0,UC52-TW52-TW51)*(1-TN53)</f>
        <v/>
      </c>
      <c r="UD53" s="12">
        <f>UD52+TX53-TX41*(AnnualChurn*VLOOKUP(TJ53,ChurnSeasonTable,4,FALSE))*POWER(1-(AnnualChurn*VLOOKUP(TJ53,ChurnSeasonTable,4,FALSE)),0)+TX29*(AnnualChurn*VLOOKUP(TJ53,ChurnSeasonTable,4,FALSE))*POWER(1-(AnnualChurn*VLOOKUP(TJ53,ChurnSeasonTable,4,FALSE)),1)+TX17*(AnnualChurn*VLOOKUP(TJ53,ChurnSeasonTable,4,FALSE))*POWER(1-(AnnualChurn*VLOOKUP(TJ53,ChurnSeasonTable,4,FALSE)),2)+TX5*(AnnualChurn*VLOOKUP(TJ53,ChurnSeasonTable,4,FALSE))*POWER(1-(AnnualChurn*VLOOKUP(TJ53,ChurnSeasonTable,4,FALSE)),3)</f>
        <v/>
      </c>
      <c r="UE53" s="12">
        <f>UE52+TY53-TY41*(AnnualChurn*VLOOKUP(TJ53,ChurnSeasonTable,4,FALSE))*POWER(1-(AnnualChurn*VLOOKUP(TJ53,ChurnSeasonTable,4,FALSE)),0)+TY29*(AnnualChurn*VLOOKUP(TJ53,ChurnSeasonTable,4,FALSE))*POWER(1-(AnnualChurn*VLOOKUP(TJ53,ChurnSeasonTable,4,FALSE)),1)+TY17*(AnnualChurn*VLOOKUP(TJ53,ChurnSeasonTable,4,FALSE))*POWER(1-(AnnualChurn*VLOOKUP(TJ53,ChurnSeasonTable,4,FALSE)),2)+TY5*(AnnualChurn*VLOOKUP(TJ53,ChurnSeasonTable,4,FALSE))*POWER(1-(AnnualChurn*VLOOKUP(TJ53,ChurnSeasonTable,4,FALSE)),3)</f>
        <v/>
      </c>
      <c r="UF53" s="12">
        <f>UF52+TZ53-TZ41*(AnnualChurn*VLOOKUP(TJ53,ChurnSeasonTable,4,FALSE))*POWER(1-(AnnualChurn*VLOOKUP(TJ53,ChurnSeasonTable,4,FALSE)),0)+TZ29*(AnnualChurn*VLOOKUP(TJ53,ChurnSeasonTable,4,FALSE))*POWER(1-(AnnualChurn*VLOOKUP(TJ53,ChurnSeasonTable,4,FALSE)),1)+TZ17*(AnnualChurn*VLOOKUP(TJ53,ChurnSeasonTable,4,FALSE))*POWER(1-(AnnualChurn*VLOOKUP(TJ53,ChurnSeasonTable,4,FALSE)),2)+TZ5*(AnnualChurn*VLOOKUP(TJ53,ChurnSeasonTable,4,FALSE))*POWER(1-(AnnualChurn*VLOOKUP(TJ53,ChurnSeasonTable,4,FALSE)),3)</f>
        <v/>
      </c>
      <c r="UG53" s="12">
        <f>UA53+UB53+UC53+UD53+UE53+UF53</f>
        <v/>
      </c>
      <c r="UH53" s="9">
        <f>UA53*BlendedPriceEssMonthly*TM53+UB53*BlendedPricePremMonthly*TM53+UC53*BlendedPriceEliteMonthly*TM53+UD53*BlendedPriceEssAnnual*TM53/12+UE53*BlendedPricePremAnnual*TM53/12+UF53*BlendedPriceEliteAnnual*TM53/12</f>
        <v/>
      </c>
      <c r="UI53" s="9">
        <f>UH53*12</f>
        <v/>
      </c>
      <c r="UJ53" s="12">
        <f>UA53*BlendedPriceEssMonthly*TM53+UB53*BlendedPricePremMonthly*TM53+UC53*BlendedPriceEliteMonthly*TM53</f>
        <v/>
      </c>
      <c r="UK53" s="12">
        <f>TX53*BlendedPriceEssAnnual*TM53+TY53*BlendedPricePremAnnual*TM53+TZ53*BlendedPriceEliteAnnual*TM53</f>
        <v/>
      </c>
      <c r="UL53" s="12">
        <f>TX41*POWER(1-(AnnualChurn*VLOOKUP(TJ53,ChurnSeasonTable,4,FALSE)),1)*BlendedPriceEssAnnual*TM53+TX29*POWER(1-(AnnualChurn*VLOOKUP(TJ53,ChurnSeasonTable,4,FALSE)),2)*BlendedPriceEssAnnual*TM53+TX17*POWER(1-(AnnualChurn*VLOOKUP(TJ53,ChurnSeasonTable,4,FALSE)),3)*BlendedPriceEssAnnual*TM53+TX5*POWER(1-(AnnualChurn*VLOOKUP(TJ53,ChurnSeasonTable,4,FALSE)),4)*BlendedPriceEssAnnual*TM53+TY41*POWER(1-(AnnualChurn*VLOOKUP(TJ53,ChurnSeasonTable,4,FALSE)),1)*BlendedPricePremAnnual*TM53+TY29*POWER(1-(AnnualChurn*VLOOKUP(TJ53,ChurnSeasonTable,4,FALSE)),2)*BlendedPricePremAnnual*TM53+TY17*POWER(1-(AnnualChurn*VLOOKUP(TJ53,ChurnSeasonTable,4,FALSE)),3)*BlendedPricePremAnnual*TM53+TY5*POWER(1-(AnnualChurn*VLOOKUP(TJ53,ChurnSeasonTable,4,FALSE)),4)*BlendedPricePremAnnual*TM53+TZ41*POWER(1-(AnnualChurn*VLOOKUP(TJ53,ChurnSeasonTable,4,FALSE)),1)*BlendedPriceEliteAnnual*TM53+TZ29*POWER(1-(AnnualChurn*VLOOKUP(TJ53,ChurnSeasonTable,4,FALSE)),2)*BlendedPriceEliteAnnual*TM53+TZ17*POWER(1-(AnnualChurn*VLOOKUP(TJ53,ChurnSeasonTable,4,FALSE)),3)*BlendedPriceEliteAnnual*TM53+TZ5*POWER(1-(AnnualChurn*VLOOKUP(TJ53,ChurnSeasonTable,4,FALSE)),4)*BlendedPriceEliteAnnual*TM53</f>
        <v/>
      </c>
      <c r="UM53" s="9">
        <f>UJ53+UK53+UL53</f>
        <v/>
      </c>
      <c r="UN53" s="12">
        <f>SUM(UM42:UM53)</f>
        <v/>
      </c>
      <c r="UO53" s="12">
        <f>OR(UO52,IF(VATAgentMode,SUM($UM42:$UM53)-SUM($UT42:$UT53)&gt;=VATThreshold,SUM($UM42:$UM53)&gt;=VATThreshold))</f>
        <v/>
      </c>
      <c r="UP53" s="9">
        <f>IF(UO53,IF(VATAgentMode,UM53-((UM53-UT53)-(UM53-UT53)/(1+VATRate)),UM53/(1+VATRate)),UM53)</f>
        <v/>
      </c>
      <c r="UQ53" s="12">
        <f>UM53-UP53</f>
        <v/>
      </c>
      <c r="UR53" s="12">
        <f>IF(UO53=0,0,IF(TJ53=1,SUMPRODUCT(--(($TK$5:$TK53=$TK53-1)*($TJ$5:$TJ53&gt;=10)*($TJ$5:$TJ53&lt;=12)),$UQ$5:$UQ53),IF(TJ53=4,SUMPRODUCT(--(($TK$5:$TK53=$TK53)*($TJ$5:$TJ53&gt;=1)*($TJ$5:$TJ53&lt;=3)),$UQ$5:$UQ53),IF(TJ53=7,SUMPRODUCT(--(($TK$5:$TK53=$TK53)*($TJ$5:$TJ53&gt;=4)*($TJ$5:$TJ53&lt;=6)),$UQ$5:$UQ53),IF(TJ53=10,SUMPRODUCT(--(($TK$5:$TK53=$TK53)*($TJ$5:$TJ53&gt;=7)*($TJ$5:$TJ53&lt;=9)),$UQ$5:$UQ53),0)))))</f>
        <v/>
      </c>
      <c r="US53" s="12">
        <f>US52+UQ53-UR53</f>
        <v/>
      </c>
      <c r="UT53" s="12">
        <f>IF(ProviderDelay&gt;=1,UA52*BlendedProvPayEss+UB52*BlendedProvPayPrem+UC52*BlendedProvPayElite+UD52*BlendedProvPayEss+UE52*BlendedProvPayPrem+UF52*BlendedProvPayElite,UA53*BlendedProvPayEss+UB53*BlendedProvPayPrem+UC53*BlendedProvPayElite+UD53*BlendedProvPayEss+UE53*BlendedProvPayPrem+UF53*BlendedProvPayElite)</f>
        <v/>
      </c>
      <c r="UU53" s="12">
        <f>UM53*PaymentFee</f>
        <v/>
      </c>
      <c r="UV53" s="12">
        <f>UG53*OpsAI</f>
        <v/>
      </c>
      <c r="UW53" s="12">
        <f>MonthlyFixed</f>
        <v/>
      </c>
      <c r="UX53" s="12">
        <f>TQ53*ReferralReward</f>
        <v/>
      </c>
      <c r="UY53" s="12">
        <f>TO53</f>
        <v/>
      </c>
      <c r="UZ53" s="9">
        <f>UP53-UT53-UU53-UV53-UW53-UX53-UY53</f>
        <v/>
      </c>
      <c r="VA53" s="9">
        <f>VA52+UM53-(UT53+UU53+UV53+UW53+UX53+UY53+UR53)</f>
        <v/>
      </c>
      <c r="VB53" s="12">
        <f>IF(UG53&gt;0,UH53/UG53,0)</f>
        <v/>
      </c>
      <c r="VC53" s="11">
        <f>IF(UG52&gt;0,MAX(0,(UG52+TR53-UG53)/UG52),0)</f>
        <v/>
      </c>
      <c r="VE53" s="12" t="n">
        <v>49</v>
      </c>
      <c r="VF53" s="12">
        <f>MOD(VE53-1+LaunchMonth-1,12)+1</f>
        <v/>
      </c>
      <c r="VG53" s="12">
        <f>INT((VE53-1+LaunchMonth-1)/12)+1</f>
        <v/>
      </c>
      <c r="VH53" s="12">
        <f>VLOOKUP(VF53,SeasonTable,2,FALSE)</f>
        <v/>
      </c>
      <c r="VI53" s="12">
        <f>(1+InflationRate)^INT((VE53-1)/12)</f>
        <v/>
      </c>
      <c r="VJ53" s="11">
        <f>MonthlyChurn*VLOOKUP(VF53,ChurnSeasonTable,4,FALSE)</f>
        <v/>
      </c>
      <c r="VK53" s="12">
        <f>MIN(MAX(MktMin19plus,WI52*MktPct19plus),MAX(0,WW52-CashBuffer))</f>
        <v/>
      </c>
      <c r="VL53" s="12">
        <f>IF(VK53&gt;0,MAX(1,ROUND(VK53/CAC*VH53,0)),0)</f>
        <v/>
      </c>
      <c r="VM53" s="12">
        <f>IF(VL53&gt;0,ROUND(VL53*ReferralMix/(1-ReferralMix),0),0)</f>
        <v/>
      </c>
      <c r="VN53" s="12">
        <f>VL53+VM53</f>
        <v/>
      </c>
      <c r="VO53" s="12">
        <f>ROUND(VN53*(1-'Sens - Annual Mix'!$A$9),0)</f>
        <v/>
      </c>
      <c r="VP53" s="12">
        <f>VN53-VO53</f>
        <v/>
      </c>
      <c r="VQ53" s="12">
        <f>ROUND(VO53*EssentialMix,0)</f>
        <v/>
      </c>
      <c r="VR53" s="12">
        <f>ROUND(VO53*PremiumMix,0)</f>
        <v/>
      </c>
      <c r="VS53" s="12">
        <f>VO53-VQ53-VR53</f>
        <v/>
      </c>
      <c r="VT53" s="12">
        <f>ROUND(VP53*EssentialMix,0)</f>
        <v/>
      </c>
      <c r="VU53" s="12">
        <f>ROUND(VP53*PremiumMix,0)</f>
        <v/>
      </c>
      <c r="VV53" s="12">
        <f>VP53-VT53-VU53</f>
        <v/>
      </c>
      <c r="VW53" s="12">
        <f>VQ53+VQ52+VQ51+MAX(0,VW52-VQ52-VQ51)*(1-VJ53)</f>
        <v/>
      </c>
      <c r="VX53" s="12">
        <f>VR53+VR52+VR51+MAX(0,VX52-VR52-VR51)*(1-VJ53)</f>
        <v/>
      </c>
      <c r="VY53" s="12">
        <f>VS53+VS52+VS51+MAX(0,VY52-VS52-VS51)*(1-VJ53)</f>
        <v/>
      </c>
      <c r="VZ53" s="12">
        <f>VZ52+VT53-VT41*(AnnualChurn*VLOOKUP(VF53,ChurnSeasonTable,4,FALSE))*POWER(1-(AnnualChurn*VLOOKUP(VF53,ChurnSeasonTable,4,FALSE)),0)+VT29*(AnnualChurn*VLOOKUP(VF53,ChurnSeasonTable,4,FALSE))*POWER(1-(AnnualChurn*VLOOKUP(VF53,ChurnSeasonTable,4,FALSE)),1)+VT17*(AnnualChurn*VLOOKUP(VF53,ChurnSeasonTable,4,FALSE))*POWER(1-(AnnualChurn*VLOOKUP(VF53,ChurnSeasonTable,4,FALSE)),2)+VT5*(AnnualChurn*VLOOKUP(VF53,ChurnSeasonTable,4,FALSE))*POWER(1-(AnnualChurn*VLOOKUP(VF53,ChurnSeasonTable,4,FALSE)),3)</f>
        <v/>
      </c>
      <c r="WA53" s="12">
        <f>WA52+VU53-VU41*(AnnualChurn*VLOOKUP(VF53,ChurnSeasonTable,4,FALSE))*POWER(1-(AnnualChurn*VLOOKUP(VF53,ChurnSeasonTable,4,FALSE)),0)+VU29*(AnnualChurn*VLOOKUP(VF53,ChurnSeasonTable,4,FALSE))*POWER(1-(AnnualChurn*VLOOKUP(VF53,ChurnSeasonTable,4,FALSE)),1)+VU17*(AnnualChurn*VLOOKUP(VF53,ChurnSeasonTable,4,FALSE))*POWER(1-(AnnualChurn*VLOOKUP(VF53,ChurnSeasonTable,4,FALSE)),2)+VU5*(AnnualChurn*VLOOKUP(VF53,ChurnSeasonTable,4,FALSE))*POWER(1-(AnnualChurn*VLOOKUP(VF53,ChurnSeasonTable,4,FALSE)),3)</f>
        <v/>
      </c>
      <c r="WB53" s="12">
        <f>WB52+VV53-VV41*(AnnualChurn*VLOOKUP(VF53,ChurnSeasonTable,4,FALSE))*POWER(1-(AnnualChurn*VLOOKUP(VF53,ChurnSeasonTable,4,FALSE)),0)+VV29*(AnnualChurn*VLOOKUP(VF53,ChurnSeasonTable,4,FALSE))*POWER(1-(AnnualChurn*VLOOKUP(VF53,ChurnSeasonTable,4,FALSE)),1)+VV17*(AnnualChurn*VLOOKUP(VF53,ChurnSeasonTable,4,FALSE))*POWER(1-(AnnualChurn*VLOOKUP(VF53,ChurnSeasonTable,4,FALSE)),2)+VV5*(AnnualChurn*VLOOKUP(VF53,ChurnSeasonTable,4,FALSE))*POWER(1-(AnnualChurn*VLOOKUP(VF53,ChurnSeasonTable,4,FALSE)),3)</f>
        <v/>
      </c>
      <c r="WC53" s="12">
        <f>VW53+VX53+VY53+VZ53+WA53+WB53</f>
        <v/>
      </c>
      <c r="WD53" s="9">
        <f>VW53*BlendedPriceEssMonthly*VI53+VX53*BlendedPricePremMonthly*VI53+VY53*BlendedPriceEliteMonthly*VI53+VZ53*BlendedPriceEssAnnual*VI53/12+WA53*BlendedPricePremAnnual*VI53/12+WB53*BlendedPriceEliteAnnual*VI53/12</f>
        <v/>
      </c>
      <c r="WE53" s="9">
        <f>WD53*12</f>
        <v/>
      </c>
      <c r="WF53" s="12">
        <f>VW53*BlendedPriceEssMonthly*VI53+VX53*BlendedPricePremMonthly*VI53+VY53*BlendedPriceEliteMonthly*VI53</f>
        <v/>
      </c>
      <c r="WG53" s="12">
        <f>VT53*BlendedPriceEssAnnual*VI53+VU53*BlendedPricePremAnnual*VI53+VV53*BlendedPriceEliteAnnual*VI53</f>
        <v/>
      </c>
      <c r="WH53" s="12">
        <f>VT41*POWER(1-(AnnualChurn*VLOOKUP(VF53,ChurnSeasonTable,4,FALSE)),1)*BlendedPriceEssAnnual*VI53+VT29*POWER(1-(AnnualChurn*VLOOKUP(VF53,ChurnSeasonTable,4,FALSE)),2)*BlendedPriceEssAnnual*VI53+VT17*POWER(1-(AnnualChurn*VLOOKUP(VF53,ChurnSeasonTable,4,FALSE)),3)*BlendedPriceEssAnnual*VI53+VT5*POWER(1-(AnnualChurn*VLOOKUP(VF53,ChurnSeasonTable,4,FALSE)),4)*BlendedPriceEssAnnual*VI53+VU41*POWER(1-(AnnualChurn*VLOOKUP(VF53,ChurnSeasonTable,4,FALSE)),1)*BlendedPricePremAnnual*VI53+VU29*POWER(1-(AnnualChurn*VLOOKUP(VF53,ChurnSeasonTable,4,FALSE)),2)*BlendedPricePremAnnual*VI53+VU17*POWER(1-(AnnualChurn*VLOOKUP(VF53,ChurnSeasonTable,4,FALSE)),3)*BlendedPricePremAnnual*VI53+VU5*POWER(1-(AnnualChurn*VLOOKUP(VF53,ChurnSeasonTable,4,FALSE)),4)*BlendedPricePremAnnual*VI53+VV41*POWER(1-(AnnualChurn*VLOOKUP(VF53,ChurnSeasonTable,4,FALSE)),1)*BlendedPriceEliteAnnual*VI53+VV29*POWER(1-(AnnualChurn*VLOOKUP(VF53,ChurnSeasonTable,4,FALSE)),2)*BlendedPriceEliteAnnual*VI53+VV17*POWER(1-(AnnualChurn*VLOOKUP(VF53,ChurnSeasonTable,4,FALSE)),3)*BlendedPriceEliteAnnual*VI53+VV5*POWER(1-(AnnualChurn*VLOOKUP(VF53,ChurnSeasonTable,4,FALSE)),4)*BlendedPriceEliteAnnual*VI53</f>
        <v/>
      </c>
      <c r="WI53" s="9">
        <f>WF53+WG53+WH53</f>
        <v/>
      </c>
      <c r="WJ53" s="12">
        <f>SUM(WI42:WI53)</f>
        <v/>
      </c>
      <c r="WK53" s="12">
        <f>OR(WK52,IF(VATAgentMode,SUM($WI42:$WI53)-SUM($WP42:$WP53)&gt;=VATThreshold,SUM($WI42:$WI53)&gt;=VATThreshold))</f>
        <v/>
      </c>
      <c r="WL53" s="9">
        <f>IF(WK53,IF(VATAgentMode,WI53-((WI53-WP53)-(WI53-WP53)/(1+VATRate)),WI53/(1+VATRate)),WI53)</f>
        <v/>
      </c>
      <c r="WM53" s="12">
        <f>WI53-WL53</f>
        <v/>
      </c>
      <c r="WN53" s="12">
        <f>IF(WK53=0,0,IF(VF53=1,SUMPRODUCT(--(($VG$5:$VG53=$VG53-1)*($VF$5:$VF53&gt;=10)*($VF$5:$VF53&lt;=12)),$WM$5:$WM53),IF(VF53=4,SUMPRODUCT(--(($VG$5:$VG53=$VG53)*($VF$5:$VF53&gt;=1)*($VF$5:$VF53&lt;=3)),$WM$5:$WM53),IF(VF53=7,SUMPRODUCT(--(($VG$5:$VG53=$VG53)*($VF$5:$VF53&gt;=4)*($VF$5:$VF53&lt;=6)),$WM$5:$WM53),IF(VF53=10,SUMPRODUCT(--(($VG$5:$VG53=$VG53)*($VF$5:$VF53&gt;=7)*($VF$5:$VF53&lt;=9)),$WM$5:$WM53),0)))))</f>
        <v/>
      </c>
      <c r="WO53" s="12">
        <f>WO52+WM53-WN53</f>
        <v/>
      </c>
      <c r="WP53" s="12">
        <f>IF(ProviderDelay&gt;=1,VW52*BlendedProvPayEss+VX52*BlendedProvPayPrem+VY52*BlendedProvPayElite+VZ52*BlendedProvPayEss+WA52*BlendedProvPayPrem+WB52*BlendedProvPayElite,VW53*BlendedProvPayEss+VX53*BlendedProvPayPrem+VY53*BlendedProvPayElite+VZ53*BlendedProvPayEss+WA53*BlendedProvPayPrem+WB53*BlendedProvPayElite)</f>
        <v/>
      </c>
      <c r="WQ53" s="12">
        <f>WI53*PaymentFee</f>
        <v/>
      </c>
      <c r="WR53" s="12">
        <f>WC53*OpsAI</f>
        <v/>
      </c>
      <c r="WS53" s="12">
        <f>MonthlyFixed</f>
        <v/>
      </c>
      <c r="WT53" s="12">
        <f>VM53*ReferralReward</f>
        <v/>
      </c>
      <c r="WU53" s="12">
        <f>VK53</f>
        <v/>
      </c>
      <c r="WV53" s="9">
        <f>WL53-WP53-WQ53-WR53-WS53-WT53-WU53</f>
        <v/>
      </c>
      <c r="WW53" s="9">
        <f>WW52+WI53-(WP53+WQ53+WR53+WS53+WT53+WU53+WN53)</f>
        <v/>
      </c>
      <c r="WX53" s="12">
        <f>IF(WC53&gt;0,WD53/WC53,0)</f>
        <v/>
      </c>
      <c r="WY53" s="11">
        <f>IF(WC52&gt;0,MAX(0,(WC52+VN53-WC53)/WC52),0)</f>
        <v/>
      </c>
      <c r="XA53" s="12" t="n">
        <v>49</v>
      </c>
      <c r="XB53" s="12">
        <f>MOD(XA53-1+LaunchMonth-1,12)+1</f>
        <v/>
      </c>
      <c r="XC53" s="12">
        <f>INT((XA53-1+LaunchMonth-1)/12)+1</f>
        <v/>
      </c>
      <c r="XD53" s="12">
        <f>VLOOKUP(XB53,SeasonTable,2,FALSE)</f>
        <v/>
      </c>
      <c r="XE53" s="12">
        <f>(1+InflationRate)^INT((XA53-1)/12)</f>
        <v/>
      </c>
      <c r="XF53" s="11">
        <f>MonthlyChurn*VLOOKUP(XB53,ChurnSeasonTable,4,FALSE)</f>
        <v/>
      </c>
      <c r="XG53" s="12">
        <f>MIN(MAX(MktMin19plus,YE52*MktPct19plus),MAX(0,YS52-CashBuffer))</f>
        <v/>
      </c>
      <c r="XH53" s="12">
        <f>IF(XG53&gt;0,MAX(1,ROUND(XG53/CAC*XD53,0)),0)</f>
        <v/>
      </c>
      <c r="XI53" s="12">
        <f>IF(XH53&gt;0,ROUND(XH53*ReferralMix/(1-ReferralMix),0),0)</f>
        <v/>
      </c>
      <c r="XJ53" s="12">
        <f>XH53+XI53</f>
        <v/>
      </c>
      <c r="XK53" s="12">
        <f>ROUND(XJ53*(1-'Sens - Annual Mix'!$A$10),0)</f>
        <v/>
      </c>
      <c r="XL53" s="12">
        <f>XJ53-XK53</f>
        <v/>
      </c>
      <c r="XM53" s="12">
        <f>ROUND(XK53*EssentialMix,0)</f>
        <v/>
      </c>
      <c r="XN53" s="12">
        <f>ROUND(XK53*PremiumMix,0)</f>
        <v/>
      </c>
      <c r="XO53" s="12">
        <f>XK53-XM53-XN53</f>
        <v/>
      </c>
      <c r="XP53" s="12">
        <f>ROUND(XL53*EssentialMix,0)</f>
        <v/>
      </c>
      <c r="XQ53" s="12">
        <f>ROUND(XL53*PremiumMix,0)</f>
        <v/>
      </c>
      <c r="XR53" s="12">
        <f>XL53-XP53-XQ53</f>
        <v/>
      </c>
      <c r="XS53" s="12">
        <f>XM53+XM52+XM51+MAX(0,XS52-XM52-XM51)*(1-XF53)</f>
        <v/>
      </c>
      <c r="XT53" s="12">
        <f>XN53+XN52+XN51+MAX(0,XT52-XN52-XN51)*(1-XF53)</f>
        <v/>
      </c>
      <c r="XU53" s="12">
        <f>XO53+XO52+XO51+MAX(0,XU52-XO52-XO51)*(1-XF53)</f>
        <v/>
      </c>
      <c r="XV53" s="12">
        <f>XV52+XP53-XP41*(AnnualChurn*VLOOKUP(XB53,ChurnSeasonTable,4,FALSE))*POWER(1-(AnnualChurn*VLOOKUP(XB53,ChurnSeasonTable,4,FALSE)),0)+XP29*(AnnualChurn*VLOOKUP(XB53,ChurnSeasonTable,4,FALSE))*POWER(1-(AnnualChurn*VLOOKUP(XB53,ChurnSeasonTable,4,FALSE)),1)+XP17*(AnnualChurn*VLOOKUP(XB53,ChurnSeasonTable,4,FALSE))*POWER(1-(AnnualChurn*VLOOKUP(XB53,ChurnSeasonTable,4,FALSE)),2)+XP5*(AnnualChurn*VLOOKUP(XB53,ChurnSeasonTable,4,FALSE))*POWER(1-(AnnualChurn*VLOOKUP(XB53,ChurnSeasonTable,4,FALSE)),3)</f>
        <v/>
      </c>
      <c r="XW53" s="12">
        <f>XW52+XQ53-XQ41*(AnnualChurn*VLOOKUP(XB53,ChurnSeasonTable,4,FALSE))*POWER(1-(AnnualChurn*VLOOKUP(XB53,ChurnSeasonTable,4,FALSE)),0)+XQ29*(AnnualChurn*VLOOKUP(XB53,ChurnSeasonTable,4,FALSE))*POWER(1-(AnnualChurn*VLOOKUP(XB53,ChurnSeasonTable,4,FALSE)),1)+XQ17*(AnnualChurn*VLOOKUP(XB53,ChurnSeasonTable,4,FALSE))*POWER(1-(AnnualChurn*VLOOKUP(XB53,ChurnSeasonTable,4,FALSE)),2)+XQ5*(AnnualChurn*VLOOKUP(XB53,ChurnSeasonTable,4,FALSE))*POWER(1-(AnnualChurn*VLOOKUP(XB53,ChurnSeasonTable,4,FALSE)),3)</f>
        <v/>
      </c>
      <c r="XX53" s="12">
        <f>XX52+XR53-XR41*(AnnualChurn*VLOOKUP(XB53,ChurnSeasonTable,4,FALSE))*POWER(1-(AnnualChurn*VLOOKUP(XB53,ChurnSeasonTable,4,FALSE)),0)+XR29*(AnnualChurn*VLOOKUP(XB53,ChurnSeasonTable,4,FALSE))*POWER(1-(AnnualChurn*VLOOKUP(XB53,ChurnSeasonTable,4,FALSE)),1)+XR17*(AnnualChurn*VLOOKUP(XB53,ChurnSeasonTable,4,FALSE))*POWER(1-(AnnualChurn*VLOOKUP(XB53,ChurnSeasonTable,4,FALSE)),2)+XR5*(AnnualChurn*VLOOKUP(XB53,ChurnSeasonTable,4,FALSE))*POWER(1-(AnnualChurn*VLOOKUP(XB53,ChurnSeasonTable,4,FALSE)),3)</f>
        <v/>
      </c>
      <c r="XY53" s="12">
        <f>XS53+XT53+XU53+XV53+XW53+XX53</f>
        <v/>
      </c>
      <c r="XZ53" s="9">
        <f>XS53*BlendedPriceEssMonthly*XE53+XT53*BlendedPricePremMonthly*XE53+XU53*BlendedPriceEliteMonthly*XE53+XV53*BlendedPriceEssAnnual*XE53/12+XW53*BlendedPricePremAnnual*XE53/12+XX53*BlendedPriceEliteAnnual*XE53/12</f>
        <v/>
      </c>
      <c r="YA53" s="9">
        <f>XZ53*12</f>
        <v/>
      </c>
      <c r="YB53" s="12">
        <f>XS53*BlendedPriceEssMonthly*XE53+XT53*BlendedPricePremMonthly*XE53+XU53*BlendedPriceEliteMonthly*XE53</f>
        <v/>
      </c>
      <c r="YC53" s="12">
        <f>XP53*BlendedPriceEssAnnual*XE53+XQ53*BlendedPricePremAnnual*XE53+XR53*BlendedPriceEliteAnnual*XE53</f>
        <v/>
      </c>
      <c r="YD53" s="12">
        <f>XP41*POWER(1-(AnnualChurn*VLOOKUP(XB53,ChurnSeasonTable,4,FALSE)),1)*BlendedPriceEssAnnual*XE53+XP29*POWER(1-(AnnualChurn*VLOOKUP(XB53,ChurnSeasonTable,4,FALSE)),2)*BlendedPriceEssAnnual*XE53+XP17*POWER(1-(AnnualChurn*VLOOKUP(XB53,ChurnSeasonTable,4,FALSE)),3)*BlendedPriceEssAnnual*XE53+XP5*POWER(1-(AnnualChurn*VLOOKUP(XB53,ChurnSeasonTable,4,FALSE)),4)*BlendedPriceEssAnnual*XE53+XQ41*POWER(1-(AnnualChurn*VLOOKUP(XB53,ChurnSeasonTable,4,FALSE)),1)*BlendedPricePremAnnual*XE53+XQ29*POWER(1-(AnnualChurn*VLOOKUP(XB53,ChurnSeasonTable,4,FALSE)),2)*BlendedPricePremAnnual*XE53+XQ17*POWER(1-(AnnualChurn*VLOOKUP(XB53,ChurnSeasonTable,4,FALSE)),3)*BlendedPricePremAnnual*XE53+XQ5*POWER(1-(AnnualChurn*VLOOKUP(XB53,ChurnSeasonTable,4,FALSE)),4)*BlendedPricePremAnnual*XE53+XR41*POWER(1-(AnnualChurn*VLOOKUP(XB53,ChurnSeasonTable,4,FALSE)),1)*BlendedPriceEliteAnnual*XE53+XR29*POWER(1-(AnnualChurn*VLOOKUP(XB53,ChurnSeasonTable,4,FALSE)),2)*BlendedPriceEliteAnnual*XE53+XR17*POWER(1-(AnnualChurn*VLOOKUP(XB53,ChurnSeasonTable,4,FALSE)),3)*BlendedPriceEliteAnnual*XE53+XR5*POWER(1-(AnnualChurn*VLOOKUP(XB53,ChurnSeasonTable,4,FALSE)),4)*BlendedPriceEliteAnnual*XE53</f>
        <v/>
      </c>
      <c r="YE53" s="9">
        <f>YB53+YC53+YD53</f>
        <v/>
      </c>
      <c r="YF53" s="12">
        <f>SUM(YE42:YE53)</f>
        <v/>
      </c>
      <c r="YG53" s="12">
        <f>OR(YG52,IF(VATAgentMode,SUM($YE42:$YE53)-SUM($YL42:$YL53)&gt;=VATThreshold,SUM($YE42:$YE53)&gt;=VATThreshold))</f>
        <v/>
      </c>
      <c r="YH53" s="9">
        <f>IF(YG53,IF(VATAgentMode,YE53-((YE53-YL53)-(YE53-YL53)/(1+VATRate)),YE53/(1+VATRate)),YE53)</f>
        <v/>
      </c>
      <c r="YI53" s="12">
        <f>YE53-YH53</f>
        <v/>
      </c>
      <c r="YJ53" s="12">
        <f>IF(YG53=0,0,IF(XB53=1,SUMPRODUCT(--(($XC$5:$XC53=$XC53-1)*($XB$5:$XB53&gt;=10)*($XB$5:$XB53&lt;=12)),$YI$5:$YI53),IF(XB53=4,SUMPRODUCT(--(($XC$5:$XC53=$XC53)*($XB$5:$XB53&gt;=1)*($XB$5:$XB53&lt;=3)),$YI$5:$YI53),IF(XB53=7,SUMPRODUCT(--(($XC$5:$XC53=$XC53)*($XB$5:$XB53&gt;=4)*($XB$5:$XB53&lt;=6)),$YI$5:$YI53),IF(XB53=10,SUMPRODUCT(--(($XC$5:$XC53=$XC53)*($XB$5:$XB53&gt;=7)*($XB$5:$XB53&lt;=9)),$YI$5:$YI53),0)))))</f>
        <v/>
      </c>
      <c r="YK53" s="12">
        <f>YK52+YI53-YJ53</f>
        <v/>
      </c>
      <c r="YL53" s="12">
        <f>IF(ProviderDelay&gt;=1,XS52*BlendedProvPayEss+XT52*BlendedProvPayPrem+XU52*BlendedProvPayElite+XV52*BlendedProvPayEss+XW52*BlendedProvPayPrem+XX52*BlendedProvPayElite,XS53*BlendedProvPayEss+XT53*BlendedProvPayPrem+XU53*BlendedProvPayElite+XV53*BlendedProvPayEss+XW53*BlendedProvPayPrem+XX53*BlendedProvPayElite)</f>
        <v/>
      </c>
      <c r="YM53" s="12">
        <f>YE53*PaymentFee</f>
        <v/>
      </c>
      <c r="YN53" s="12">
        <f>XY53*OpsAI</f>
        <v/>
      </c>
      <c r="YO53" s="12">
        <f>MonthlyFixed</f>
        <v/>
      </c>
      <c r="YP53" s="12">
        <f>XI53*ReferralReward</f>
        <v/>
      </c>
      <c r="YQ53" s="12">
        <f>XG53</f>
        <v/>
      </c>
      <c r="YR53" s="9">
        <f>YH53-YL53-YM53-YN53-YO53-YP53-YQ53</f>
        <v/>
      </c>
      <c r="YS53" s="9">
        <f>YS52+YE53-(YL53+YM53+YN53+YO53+YP53+YQ53+YJ53)</f>
        <v/>
      </c>
      <c r="YT53" s="12">
        <f>IF(XY53&gt;0,XZ53/XY53,0)</f>
        <v/>
      </c>
      <c r="YU53" s="11">
        <f>IF(XY52&gt;0,MAX(0,(XY52+XJ53-XY53)/XY52),0)</f>
        <v/>
      </c>
      <c r="YW53" s="12" t="n">
        <v>49</v>
      </c>
      <c r="YX53" s="12">
        <f>MOD(YW53-1+LaunchMonth-1,12)+1</f>
        <v/>
      </c>
      <c r="YY53" s="12">
        <f>INT((YW53-1+LaunchMonth-1)/12)+1</f>
        <v/>
      </c>
      <c r="YZ53" s="12">
        <f>VLOOKUP(YX53,SeasonTable,2,FALSE)</f>
        <v/>
      </c>
      <c r="ZA53" s="12">
        <f>(1+InflationRate)^INT((YW53-1)/12)</f>
        <v/>
      </c>
      <c r="ZB53" s="11">
        <f>MonthlyChurn*VLOOKUP(YX53,ChurnSeasonTable,4,FALSE)</f>
        <v/>
      </c>
      <c r="ZC53" s="12">
        <f>MIN(MAX(MktMin19plus,AAA52*MktPct19plus),MAX(0,AAO52-CashBuffer))</f>
        <v/>
      </c>
      <c r="ZD53" s="12">
        <f>IF(ZC53&gt;0,MAX(1,ROUND(ZC53/CAC*YZ53,0)),0)</f>
        <v/>
      </c>
      <c r="ZE53" s="12">
        <f>IF(ZD53&gt;0,ROUND(ZD53*ReferralMix/(1-ReferralMix),0),0)</f>
        <v/>
      </c>
      <c r="ZF53" s="12">
        <f>ZD53+ZE53</f>
        <v/>
      </c>
      <c r="ZG53" s="12">
        <f>ROUND(ZF53*(1-'Sens - Annual Mix'!$A$11),0)</f>
        <v/>
      </c>
      <c r="ZH53" s="12">
        <f>ZF53-ZG53</f>
        <v/>
      </c>
      <c r="ZI53" s="12">
        <f>ROUND(ZG53*EssentialMix,0)</f>
        <v/>
      </c>
      <c r="ZJ53" s="12">
        <f>ROUND(ZG53*PremiumMix,0)</f>
        <v/>
      </c>
      <c r="ZK53" s="12">
        <f>ZG53-ZI53-ZJ53</f>
        <v/>
      </c>
      <c r="ZL53" s="12">
        <f>ROUND(ZH53*EssentialMix,0)</f>
        <v/>
      </c>
      <c r="ZM53" s="12">
        <f>ROUND(ZH53*PremiumMix,0)</f>
        <v/>
      </c>
      <c r="ZN53" s="12">
        <f>ZH53-ZL53-ZM53</f>
        <v/>
      </c>
      <c r="ZO53" s="12">
        <f>ZI53+ZI52+ZI51+MAX(0,ZO52-ZI52-ZI51)*(1-ZB53)</f>
        <v/>
      </c>
      <c r="ZP53" s="12">
        <f>ZJ53+ZJ52+ZJ51+MAX(0,ZP52-ZJ52-ZJ51)*(1-ZB53)</f>
        <v/>
      </c>
      <c r="ZQ53" s="12">
        <f>ZK53+ZK52+ZK51+MAX(0,ZQ52-ZK52-ZK51)*(1-ZB53)</f>
        <v/>
      </c>
      <c r="ZR53" s="12">
        <f>ZR52+ZL53-ZL41*(AnnualChurn*VLOOKUP(YX53,ChurnSeasonTable,4,FALSE))*POWER(1-(AnnualChurn*VLOOKUP(YX53,ChurnSeasonTable,4,FALSE)),0)+ZL29*(AnnualChurn*VLOOKUP(YX53,ChurnSeasonTable,4,FALSE))*POWER(1-(AnnualChurn*VLOOKUP(YX53,ChurnSeasonTable,4,FALSE)),1)+ZL17*(AnnualChurn*VLOOKUP(YX53,ChurnSeasonTable,4,FALSE))*POWER(1-(AnnualChurn*VLOOKUP(YX53,ChurnSeasonTable,4,FALSE)),2)+ZL5*(AnnualChurn*VLOOKUP(YX53,ChurnSeasonTable,4,FALSE))*POWER(1-(AnnualChurn*VLOOKUP(YX53,ChurnSeasonTable,4,FALSE)),3)</f>
        <v/>
      </c>
      <c r="ZS53" s="12">
        <f>ZS52+ZM53-ZM41*(AnnualChurn*VLOOKUP(YX53,ChurnSeasonTable,4,FALSE))*POWER(1-(AnnualChurn*VLOOKUP(YX53,ChurnSeasonTable,4,FALSE)),0)+ZM29*(AnnualChurn*VLOOKUP(YX53,ChurnSeasonTable,4,FALSE))*POWER(1-(AnnualChurn*VLOOKUP(YX53,ChurnSeasonTable,4,FALSE)),1)+ZM17*(AnnualChurn*VLOOKUP(YX53,ChurnSeasonTable,4,FALSE))*POWER(1-(AnnualChurn*VLOOKUP(YX53,ChurnSeasonTable,4,FALSE)),2)+ZM5*(AnnualChurn*VLOOKUP(YX53,ChurnSeasonTable,4,FALSE))*POWER(1-(AnnualChurn*VLOOKUP(YX53,ChurnSeasonTable,4,FALSE)),3)</f>
        <v/>
      </c>
      <c r="ZT53" s="12">
        <f>ZT52+ZN53-ZN41*(AnnualChurn*VLOOKUP(YX53,ChurnSeasonTable,4,FALSE))*POWER(1-(AnnualChurn*VLOOKUP(YX53,ChurnSeasonTable,4,FALSE)),0)+ZN29*(AnnualChurn*VLOOKUP(YX53,ChurnSeasonTable,4,FALSE))*POWER(1-(AnnualChurn*VLOOKUP(YX53,ChurnSeasonTable,4,FALSE)),1)+ZN17*(AnnualChurn*VLOOKUP(YX53,ChurnSeasonTable,4,FALSE))*POWER(1-(AnnualChurn*VLOOKUP(YX53,ChurnSeasonTable,4,FALSE)),2)+ZN5*(AnnualChurn*VLOOKUP(YX53,ChurnSeasonTable,4,FALSE))*POWER(1-(AnnualChurn*VLOOKUP(YX53,ChurnSeasonTable,4,FALSE)),3)</f>
        <v/>
      </c>
      <c r="ZU53" s="12">
        <f>ZO53+ZP53+ZQ53+ZR53+ZS53+ZT53</f>
        <v/>
      </c>
      <c r="ZV53" s="9">
        <f>ZO53*BlendedPriceEssMonthly*ZA53+ZP53*BlendedPricePremMonthly*ZA53+ZQ53*BlendedPriceEliteMonthly*ZA53+ZR53*BlendedPriceEssAnnual*ZA53/12+ZS53*BlendedPricePremAnnual*ZA53/12+ZT53*BlendedPriceEliteAnnual*ZA53/12</f>
        <v/>
      </c>
      <c r="ZW53" s="9">
        <f>ZV53*12</f>
        <v/>
      </c>
      <c r="ZX53" s="12">
        <f>ZO53*BlendedPriceEssMonthly*ZA53+ZP53*BlendedPricePremMonthly*ZA53+ZQ53*BlendedPriceEliteMonthly*ZA53</f>
        <v/>
      </c>
      <c r="ZY53" s="12">
        <f>ZL53*BlendedPriceEssAnnual*ZA53+ZM53*BlendedPricePremAnnual*ZA53+ZN53*BlendedPriceEliteAnnual*ZA53</f>
        <v/>
      </c>
      <c r="ZZ53" s="12">
        <f>ZL41*POWER(1-(AnnualChurn*VLOOKUP(YX53,ChurnSeasonTable,4,FALSE)),1)*BlendedPriceEssAnnual*ZA53+ZL29*POWER(1-(AnnualChurn*VLOOKUP(YX53,ChurnSeasonTable,4,FALSE)),2)*BlendedPriceEssAnnual*ZA53+ZL17*POWER(1-(AnnualChurn*VLOOKUP(YX53,ChurnSeasonTable,4,FALSE)),3)*BlendedPriceEssAnnual*ZA53+ZL5*POWER(1-(AnnualChurn*VLOOKUP(YX53,ChurnSeasonTable,4,FALSE)),4)*BlendedPriceEssAnnual*ZA53+ZM41*POWER(1-(AnnualChurn*VLOOKUP(YX53,ChurnSeasonTable,4,FALSE)),1)*BlendedPricePremAnnual*ZA53+ZM29*POWER(1-(AnnualChurn*VLOOKUP(YX53,ChurnSeasonTable,4,FALSE)),2)*BlendedPricePremAnnual*ZA53+ZM17*POWER(1-(AnnualChurn*VLOOKUP(YX53,ChurnSeasonTable,4,FALSE)),3)*BlendedPricePremAnnual*ZA53+ZM5*POWER(1-(AnnualChurn*VLOOKUP(YX53,ChurnSeasonTable,4,FALSE)),4)*BlendedPricePremAnnual*ZA53+ZN41*POWER(1-(AnnualChurn*VLOOKUP(YX53,ChurnSeasonTable,4,FALSE)),1)*BlendedPriceEliteAnnual*ZA53+ZN29*POWER(1-(AnnualChurn*VLOOKUP(YX53,ChurnSeasonTable,4,FALSE)),2)*BlendedPriceEliteAnnual*ZA53+ZN17*POWER(1-(AnnualChurn*VLOOKUP(YX53,ChurnSeasonTable,4,FALSE)),3)*BlendedPriceEliteAnnual*ZA53+ZN5*POWER(1-(AnnualChurn*VLOOKUP(YX53,ChurnSeasonTable,4,FALSE)),4)*BlendedPriceEliteAnnual*ZA53</f>
        <v/>
      </c>
      <c r="AAA53" s="9">
        <f>ZX53+ZY53+ZZ53</f>
        <v/>
      </c>
      <c r="AAB53" s="12">
        <f>SUM(AAA42:AAA53)</f>
        <v/>
      </c>
      <c r="AAC53" s="12">
        <f>OR(AAC52,IF(VATAgentMode,SUM($AAA42:$AAA53)-SUM($AAH42:$AAH53)&gt;=VATThreshold,SUM($AAA42:$AAA53)&gt;=VATThreshold))</f>
        <v/>
      </c>
      <c r="AAD53" s="9">
        <f>IF(AAC53,IF(VATAgentMode,AAA53-((AAA53-AAH53)-(AAA53-AAH53)/(1+VATRate)),AAA53/(1+VATRate)),AAA53)</f>
        <v/>
      </c>
      <c r="AAE53" s="12">
        <f>AAA53-AAD53</f>
        <v/>
      </c>
      <c r="AAF53" s="12">
        <f>IF(AAC53=0,0,IF(YX53=1,SUMPRODUCT(--(($YY$5:$YY53=$YY53-1)*($YX$5:$YX53&gt;=10)*($YX$5:$YX53&lt;=12)),$AAE$5:$AAE53),IF(YX53=4,SUMPRODUCT(--(($YY$5:$YY53=$YY53)*($YX$5:$YX53&gt;=1)*($YX$5:$YX53&lt;=3)),$AAE$5:$AAE53),IF(YX53=7,SUMPRODUCT(--(($YY$5:$YY53=$YY53)*($YX$5:$YX53&gt;=4)*($YX$5:$YX53&lt;=6)),$AAE$5:$AAE53),IF(YX53=10,SUMPRODUCT(--(($YY$5:$YY53=$YY53)*($YX$5:$YX53&gt;=7)*($YX$5:$YX53&lt;=9)),$AAE$5:$AAE53),0)))))</f>
        <v/>
      </c>
      <c r="AAG53" s="12">
        <f>AAG52+AAE53-AAF53</f>
        <v/>
      </c>
      <c r="AAH53" s="12">
        <f>IF(ProviderDelay&gt;=1,ZO52*BlendedProvPayEss+ZP52*BlendedProvPayPrem+ZQ52*BlendedProvPayElite+ZR52*BlendedProvPayEss+ZS52*BlendedProvPayPrem+ZT52*BlendedProvPayElite,ZO53*BlendedProvPayEss+ZP53*BlendedProvPayPrem+ZQ53*BlendedProvPayElite+ZR53*BlendedProvPayEss+ZS53*BlendedProvPayPrem+ZT53*BlendedProvPayElite)</f>
        <v/>
      </c>
      <c r="AAI53" s="12">
        <f>AAA53*PaymentFee</f>
        <v/>
      </c>
      <c r="AAJ53" s="12">
        <f>ZU53*OpsAI</f>
        <v/>
      </c>
      <c r="AAK53" s="12">
        <f>MonthlyFixed</f>
        <v/>
      </c>
      <c r="AAL53" s="12">
        <f>ZE53*ReferralReward</f>
        <v/>
      </c>
      <c r="AAM53" s="12">
        <f>ZC53</f>
        <v/>
      </c>
      <c r="AAN53" s="9">
        <f>AAD53-AAH53-AAI53-AAJ53-AAK53-AAL53-AAM53</f>
        <v/>
      </c>
      <c r="AAO53" s="9">
        <f>AAO52+AAA53-(AAH53+AAI53+AAJ53+AAK53+AAL53+AAM53+AAF53)</f>
        <v/>
      </c>
      <c r="AAP53" s="12">
        <f>IF(ZU53&gt;0,ZV53/ZU53,0)</f>
        <v/>
      </c>
      <c r="AAQ53" s="11">
        <f>IF(ZU52&gt;0,MAX(0,(ZU52+ZF53-ZU53)/ZU52),0)</f>
        <v/>
      </c>
      <c r="AAS53" s="12" t="n">
        <v>49</v>
      </c>
      <c r="AAT53" s="12">
        <f>MOD(AAS53-1+LaunchMonth-1,12)+1</f>
        <v/>
      </c>
      <c r="AAU53" s="12">
        <f>INT((AAS53-1+LaunchMonth-1)/12)+1</f>
        <v/>
      </c>
      <c r="AAV53" s="12">
        <f>VLOOKUP(AAT53,SeasonTable,2,FALSE)</f>
        <v/>
      </c>
      <c r="AAW53" s="12">
        <f>(1+InflationRate)^INT((AAS53-1)/12)</f>
        <v/>
      </c>
      <c r="AAX53" s="11">
        <f>MonthlyChurn*VLOOKUP(AAT53,ChurnSeasonTable,4,FALSE)</f>
        <v/>
      </c>
      <c r="AAY53" s="12">
        <f>MIN(MAX(MktMin19plus,ABW52*MktPct19plus),MAX(0,ACK52-CashBuffer))</f>
        <v/>
      </c>
      <c r="AAZ53" s="12">
        <f>IF(AAY53&gt;0,MAX(1,ROUND(AAY53/CAC*AAV53,0)),0)</f>
        <v/>
      </c>
      <c r="ABA53" s="12">
        <f>IF(AAZ53&gt;0,ROUND(AAZ53*ReferralMix/(1-ReferralMix),0),0)</f>
        <v/>
      </c>
      <c r="ABB53" s="12">
        <f>AAZ53+ABA53</f>
        <v/>
      </c>
      <c r="ABC53" s="12">
        <f>ROUND(ABB53*(1-'Sens - Annual Mix'!$A$12),0)</f>
        <v/>
      </c>
      <c r="ABD53" s="12">
        <f>ABB53-ABC53</f>
        <v/>
      </c>
      <c r="ABE53" s="12">
        <f>ROUND(ABC53*EssentialMix,0)</f>
        <v/>
      </c>
      <c r="ABF53" s="12">
        <f>ROUND(ABC53*PremiumMix,0)</f>
        <v/>
      </c>
      <c r="ABG53" s="12">
        <f>ABC53-ABE53-ABF53</f>
        <v/>
      </c>
      <c r="ABH53" s="12">
        <f>ROUND(ABD53*EssentialMix,0)</f>
        <v/>
      </c>
      <c r="ABI53" s="12">
        <f>ROUND(ABD53*PremiumMix,0)</f>
        <v/>
      </c>
      <c r="ABJ53" s="12">
        <f>ABD53-ABH53-ABI53</f>
        <v/>
      </c>
      <c r="ABK53" s="12">
        <f>ABE53+ABE52+ABE51+MAX(0,ABK52-ABE52-ABE51)*(1-AAX53)</f>
        <v/>
      </c>
      <c r="ABL53" s="12">
        <f>ABF53+ABF52+ABF51+MAX(0,ABL52-ABF52-ABF51)*(1-AAX53)</f>
        <v/>
      </c>
      <c r="ABM53" s="12">
        <f>ABG53+ABG52+ABG51+MAX(0,ABM52-ABG52-ABG51)*(1-AAX53)</f>
        <v/>
      </c>
      <c r="ABN53" s="12">
        <f>ABN52+ABH53-ABH41*(AnnualChurn*VLOOKUP(AAT53,ChurnSeasonTable,4,FALSE))*POWER(1-(AnnualChurn*VLOOKUP(AAT53,ChurnSeasonTable,4,FALSE)),0)+ABH29*(AnnualChurn*VLOOKUP(AAT53,ChurnSeasonTable,4,FALSE))*POWER(1-(AnnualChurn*VLOOKUP(AAT53,ChurnSeasonTable,4,FALSE)),1)+ABH17*(AnnualChurn*VLOOKUP(AAT53,ChurnSeasonTable,4,FALSE))*POWER(1-(AnnualChurn*VLOOKUP(AAT53,ChurnSeasonTable,4,FALSE)),2)+ABH5*(AnnualChurn*VLOOKUP(AAT53,ChurnSeasonTable,4,FALSE))*POWER(1-(AnnualChurn*VLOOKUP(AAT53,ChurnSeasonTable,4,FALSE)),3)</f>
        <v/>
      </c>
      <c r="ABO53" s="12">
        <f>ABO52+ABI53-ABI41*(AnnualChurn*VLOOKUP(AAT53,ChurnSeasonTable,4,FALSE))*POWER(1-(AnnualChurn*VLOOKUP(AAT53,ChurnSeasonTable,4,FALSE)),0)+ABI29*(AnnualChurn*VLOOKUP(AAT53,ChurnSeasonTable,4,FALSE))*POWER(1-(AnnualChurn*VLOOKUP(AAT53,ChurnSeasonTable,4,FALSE)),1)+ABI17*(AnnualChurn*VLOOKUP(AAT53,ChurnSeasonTable,4,FALSE))*POWER(1-(AnnualChurn*VLOOKUP(AAT53,ChurnSeasonTable,4,FALSE)),2)+ABI5*(AnnualChurn*VLOOKUP(AAT53,ChurnSeasonTable,4,FALSE))*POWER(1-(AnnualChurn*VLOOKUP(AAT53,ChurnSeasonTable,4,FALSE)),3)</f>
        <v/>
      </c>
      <c r="ABP53" s="12">
        <f>ABP52+ABJ53-ABJ41*(AnnualChurn*VLOOKUP(AAT53,ChurnSeasonTable,4,FALSE))*POWER(1-(AnnualChurn*VLOOKUP(AAT53,ChurnSeasonTable,4,FALSE)),0)+ABJ29*(AnnualChurn*VLOOKUP(AAT53,ChurnSeasonTable,4,FALSE))*POWER(1-(AnnualChurn*VLOOKUP(AAT53,ChurnSeasonTable,4,FALSE)),1)+ABJ17*(AnnualChurn*VLOOKUP(AAT53,ChurnSeasonTable,4,FALSE))*POWER(1-(AnnualChurn*VLOOKUP(AAT53,ChurnSeasonTable,4,FALSE)),2)+ABJ5*(AnnualChurn*VLOOKUP(AAT53,ChurnSeasonTable,4,FALSE))*POWER(1-(AnnualChurn*VLOOKUP(AAT53,ChurnSeasonTable,4,FALSE)),3)</f>
        <v/>
      </c>
      <c r="ABQ53" s="12">
        <f>ABK53+ABL53+ABM53+ABN53+ABO53+ABP53</f>
        <v/>
      </c>
      <c r="ABR53" s="9">
        <f>ABK53*BlendedPriceEssMonthly*AAW53+ABL53*BlendedPricePremMonthly*AAW53+ABM53*BlendedPriceEliteMonthly*AAW53+ABN53*BlendedPriceEssAnnual*AAW53/12+ABO53*BlendedPricePremAnnual*AAW53/12+ABP53*BlendedPriceEliteAnnual*AAW53/12</f>
        <v/>
      </c>
      <c r="ABS53" s="9">
        <f>ABR53*12</f>
        <v/>
      </c>
      <c r="ABT53" s="12">
        <f>ABK53*BlendedPriceEssMonthly*AAW53+ABL53*BlendedPricePremMonthly*AAW53+ABM53*BlendedPriceEliteMonthly*AAW53</f>
        <v/>
      </c>
      <c r="ABU53" s="12">
        <f>ABH53*BlendedPriceEssAnnual*AAW53+ABI53*BlendedPricePremAnnual*AAW53+ABJ53*BlendedPriceEliteAnnual*AAW53</f>
        <v/>
      </c>
      <c r="ABV53" s="12">
        <f>ABH41*POWER(1-(AnnualChurn*VLOOKUP(AAT53,ChurnSeasonTable,4,FALSE)),1)*BlendedPriceEssAnnual*AAW53+ABH29*POWER(1-(AnnualChurn*VLOOKUP(AAT53,ChurnSeasonTable,4,FALSE)),2)*BlendedPriceEssAnnual*AAW53+ABH17*POWER(1-(AnnualChurn*VLOOKUP(AAT53,ChurnSeasonTable,4,FALSE)),3)*BlendedPriceEssAnnual*AAW53+ABH5*POWER(1-(AnnualChurn*VLOOKUP(AAT53,ChurnSeasonTable,4,FALSE)),4)*BlendedPriceEssAnnual*AAW53+ABI41*POWER(1-(AnnualChurn*VLOOKUP(AAT53,ChurnSeasonTable,4,FALSE)),1)*BlendedPricePremAnnual*AAW53+ABI29*POWER(1-(AnnualChurn*VLOOKUP(AAT53,ChurnSeasonTable,4,FALSE)),2)*BlendedPricePremAnnual*AAW53+ABI17*POWER(1-(AnnualChurn*VLOOKUP(AAT53,ChurnSeasonTable,4,FALSE)),3)*BlendedPricePremAnnual*AAW53+ABI5*POWER(1-(AnnualChurn*VLOOKUP(AAT53,ChurnSeasonTable,4,FALSE)),4)*BlendedPricePremAnnual*AAW53+ABJ41*POWER(1-(AnnualChurn*VLOOKUP(AAT53,ChurnSeasonTable,4,FALSE)),1)*BlendedPriceEliteAnnual*AAW53+ABJ29*POWER(1-(AnnualChurn*VLOOKUP(AAT53,ChurnSeasonTable,4,FALSE)),2)*BlendedPriceEliteAnnual*AAW53+ABJ17*POWER(1-(AnnualChurn*VLOOKUP(AAT53,ChurnSeasonTable,4,FALSE)),3)*BlendedPriceEliteAnnual*AAW53+ABJ5*POWER(1-(AnnualChurn*VLOOKUP(AAT53,ChurnSeasonTable,4,FALSE)),4)*BlendedPriceEliteAnnual*AAW53</f>
        <v/>
      </c>
      <c r="ABW53" s="9">
        <f>ABT53+ABU53+ABV53</f>
        <v/>
      </c>
      <c r="ABX53" s="12">
        <f>SUM(ABW42:ABW53)</f>
        <v/>
      </c>
      <c r="ABY53" s="12">
        <f>OR(ABY52,IF(VATAgentMode,SUM($ABW42:$ABW53)-SUM($ACD42:$ACD53)&gt;=VATThreshold,SUM($ABW42:$ABW53)&gt;=VATThreshold))</f>
        <v/>
      </c>
      <c r="ABZ53" s="9">
        <f>IF(ABY53,IF(VATAgentMode,ABW53-((ABW53-ACD53)-(ABW53-ACD53)/(1+VATRate)),ABW53/(1+VATRate)),ABW53)</f>
        <v/>
      </c>
      <c r="ACA53" s="12">
        <f>ABW53-ABZ53</f>
        <v/>
      </c>
      <c r="ACB53" s="12">
        <f>IF(ABY53=0,0,IF(AAT53=1,SUMPRODUCT(--(($AAU$5:$AAU53=$AAU53-1)*($AAT$5:$AAT53&gt;=10)*($AAT$5:$AAT53&lt;=12)),$ACA$5:$ACA53),IF(AAT53=4,SUMPRODUCT(--(($AAU$5:$AAU53=$AAU53)*($AAT$5:$AAT53&gt;=1)*($AAT$5:$AAT53&lt;=3)),$ACA$5:$ACA53),IF(AAT53=7,SUMPRODUCT(--(($AAU$5:$AAU53=$AAU53)*($AAT$5:$AAT53&gt;=4)*($AAT$5:$AAT53&lt;=6)),$ACA$5:$ACA53),IF(AAT53=10,SUMPRODUCT(--(($AAU$5:$AAU53=$AAU53)*($AAT$5:$AAT53&gt;=7)*($AAT$5:$AAT53&lt;=9)),$ACA$5:$ACA53),0)))))</f>
        <v/>
      </c>
      <c r="ACC53" s="12">
        <f>ACC52+ACA53-ACB53</f>
        <v/>
      </c>
      <c r="ACD53" s="12">
        <f>IF(ProviderDelay&gt;=1,ABK52*BlendedProvPayEss+ABL52*BlendedProvPayPrem+ABM52*BlendedProvPayElite+ABN52*BlendedProvPayEss+ABO52*BlendedProvPayPrem+ABP52*BlendedProvPayElite,ABK53*BlendedProvPayEss+ABL53*BlendedProvPayPrem+ABM53*BlendedProvPayElite+ABN53*BlendedProvPayEss+ABO53*BlendedProvPayPrem+ABP53*BlendedProvPayElite)</f>
        <v/>
      </c>
      <c r="ACE53" s="12">
        <f>ABW53*PaymentFee</f>
        <v/>
      </c>
      <c r="ACF53" s="12">
        <f>ABQ53*OpsAI</f>
        <v/>
      </c>
      <c r="ACG53" s="12">
        <f>MonthlyFixed</f>
        <v/>
      </c>
      <c r="ACH53" s="12">
        <f>ABA53*ReferralReward</f>
        <v/>
      </c>
      <c r="ACI53" s="12">
        <f>AAY53</f>
        <v/>
      </c>
      <c r="ACJ53" s="9">
        <f>ABZ53-ACD53-ACE53-ACF53-ACG53-ACH53-ACI53</f>
        <v/>
      </c>
      <c r="ACK53" s="9">
        <f>ACK52+ABW53-(ACD53+ACE53+ACF53+ACG53+ACH53+ACI53+ACB53)</f>
        <v/>
      </c>
      <c r="ACL53" s="12">
        <f>IF(ABQ53&gt;0,ABR53/ABQ53,0)</f>
        <v/>
      </c>
      <c r="ACM53" s="11">
        <f>IF(ABQ52&gt;0,MAX(0,(ABQ52+ABB53-ABQ53)/ABQ52),0)</f>
        <v/>
      </c>
      <c r="ACO53" s="12" t="n">
        <v>49</v>
      </c>
      <c r="ACP53" s="12">
        <f>MOD(ACO53-1+LaunchMonth-1,12)+1</f>
        <v/>
      </c>
      <c r="ACQ53" s="12">
        <f>INT((ACO53-1+LaunchMonth-1)/12)+1</f>
        <v/>
      </c>
      <c r="ACR53" s="12">
        <f>VLOOKUP(ACP53,SeasonTable,2,FALSE)</f>
        <v/>
      </c>
      <c r="ACS53" s="12">
        <f>(1+InflationRate)^INT((ACO53-1)/12)</f>
        <v/>
      </c>
      <c r="ACT53" s="11">
        <f>MonthlyChurn*VLOOKUP(ACP53,ChurnSeasonTable,4,FALSE)</f>
        <v/>
      </c>
      <c r="ACU53" s="12">
        <f>MIN(MAX(MktMin19plus,ADS52*MktPct19plus),MAX(0,AEG52-CashBuffer))</f>
        <v/>
      </c>
      <c r="ACV53" s="12">
        <f>IF(ACU53&gt;0,MAX(1,ROUND(ACU53/CAC*ACR53,0)),0)</f>
        <v/>
      </c>
      <c r="ACW53" s="12">
        <f>IF(ACV53&gt;0,ROUND(ACV53*ReferralMix/(1-ReferralMix),0),0)</f>
        <v/>
      </c>
      <c r="ACX53" s="12">
        <f>ACV53+ACW53</f>
        <v/>
      </c>
      <c r="ACY53" s="12">
        <f>ROUND(ACX53*(1-'Sens - Annual Mix'!$A$13),0)</f>
        <v/>
      </c>
      <c r="ACZ53" s="12">
        <f>ACX53-ACY53</f>
        <v/>
      </c>
      <c r="ADA53" s="12">
        <f>ROUND(ACY53*EssentialMix,0)</f>
        <v/>
      </c>
      <c r="ADB53" s="12">
        <f>ROUND(ACY53*PremiumMix,0)</f>
        <v/>
      </c>
      <c r="ADC53" s="12">
        <f>ACY53-ADA53-ADB53</f>
        <v/>
      </c>
      <c r="ADD53" s="12">
        <f>ROUND(ACZ53*EssentialMix,0)</f>
        <v/>
      </c>
      <c r="ADE53" s="12">
        <f>ROUND(ACZ53*PremiumMix,0)</f>
        <v/>
      </c>
      <c r="ADF53" s="12">
        <f>ACZ53-ADD53-ADE53</f>
        <v/>
      </c>
      <c r="ADG53" s="12">
        <f>ADA53+ADA52+ADA51+MAX(0,ADG52-ADA52-ADA51)*(1-ACT53)</f>
        <v/>
      </c>
      <c r="ADH53" s="12">
        <f>ADB53+ADB52+ADB51+MAX(0,ADH52-ADB52-ADB51)*(1-ACT53)</f>
        <v/>
      </c>
      <c r="ADI53" s="12">
        <f>ADC53+ADC52+ADC51+MAX(0,ADI52-ADC52-ADC51)*(1-ACT53)</f>
        <v/>
      </c>
      <c r="ADJ53" s="12">
        <f>ADJ52+ADD53-ADD41*(AnnualChurn*VLOOKUP(ACP53,ChurnSeasonTable,4,FALSE))*POWER(1-(AnnualChurn*VLOOKUP(ACP53,ChurnSeasonTable,4,FALSE)),0)+ADD29*(AnnualChurn*VLOOKUP(ACP53,ChurnSeasonTable,4,FALSE))*POWER(1-(AnnualChurn*VLOOKUP(ACP53,ChurnSeasonTable,4,FALSE)),1)+ADD17*(AnnualChurn*VLOOKUP(ACP53,ChurnSeasonTable,4,FALSE))*POWER(1-(AnnualChurn*VLOOKUP(ACP53,ChurnSeasonTable,4,FALSE)),2)+ADD5*(AnnualChurn*VLOOKUP(ACP53,ChurnSeasonTable,4,FALSE))*POWER(1-(AnnualChurn*VLOOKUP(ACP53,ChurnSeasonTable,4,FALSE)),3)</f>
        <v/>
      </c>
      <c r="ADK53" s="12">
        <f>ADK52+ADE53-ADE41*(AnnualChurn*VLOOKUP(ACP53,ChurnSeasonTable,4,FALSE))*POWER(1-(AnnualChurn*VLOOKUP(ACP53,ChurnSeasonTable,4,FALSE)),0)+ADE29*(AnnualChurn*VLOOKUP(ACP53,ChurnSeasonTable,4,FALSE))*POWER(1-(AnnualChurn*VLOOKUP(ACP53,ChurnSeasonTable,4,FALSE)),1)+ADE17*(AnnualChurn*VLOOKUP(ACP53,ChurnSeasonTable,4,FALSE))*POWER(1-(AnnualChurn*VLOOKUP(ACP53,ChurnSeasonTable,4,FALSE)),2)+ADE5*(AnnualChurn*VLOOKUP(ACP53,ChurnSeasonTable,4,FALSE))*POWER(1-(AnnualChurn*VLOOKUP(ACP53,ChurnSeasonTable,4,FALSE)),3)</f>
        <v/>
      </c>
      <c r="ADL53" s="12">
        <f>ADL52+ADF53-ADF41*(AnnualChurn*VLOOKUP(ACP53,ChurnSeasonTable,4,FALSE))*POWER(1-(AnnualChurn*VLOOKUP(ACP53,ChurnSeasonTable,4,FALSE)),0)+ADF29*(AnnualChurn*VLOOKUP(ACP53,ChurnSeasonTable,4,FALSE))*POWER(1-(AnnualChurn*VLOOKUP(ACP53,ChurnSeasonTable,4,FALSE)),1)+ADF17*(AnnualChurn*VLOOKUP(ACP53,ChurnSeasonTable,4,FALSE))*POWER(1-(AnnualChurn*VLOOKUP(ACP53,ChurnSeasonTable,4,FALSE)),2)+ADF5*(AnnualChurn*VLOOKUP(ACP53,ChurnSeasonTable,4,FALSE))*POWER(1-(AnnualChurn*VLOOKUP(ACP53,ChurnSeasonTable,4,FALSE)),3)</f>
        <v/>
      </c>
      <c r="ADM53" s="12">
        <f>ADG53+ADH53+ADI53+ADJ53+ADK53+ADL53</f>
        <v/>
      </c>
      <c r="ADN53" s="9">
        <f>ADG53*BlendedPriceEssMonthly*ACS53+ADH53*BlendedPricePremMonthly*ACS53+ADI53*BlendedPriceEliteMonthly*ACS53+ADJ53*BlendedPriceEssAnnual*ACS53/12+ADK53*BlendedPricePremAnnual*ACS53/12+ADL53*BlendedPriceEliteAnnual*ACS53/12</f>
        <v/>
      </c>
      <c r="ADO53" s="9">
        <f>ADN53*12</f>
        <v/>
      </c>
      <c r="ADP53" s="12">
        <f>ADG53*BlendedPriceEssMonthly*ACS53+ADH53*BlendedPricePremMonthly*ACS53+ADI53*BlendedPriceEliteMonthly*ACS53</f>
        <v/>
      </c>
      <c r="ADQ53" s="12">
        <f>ADD53*BlendedPriceEssAnnual*ACS53+ADE53*BlendedPricePremAnnual*ACS53+ADF53*BlendedPriceEliteAnnual*ACS53</f>
        <v/>
      </c>
      <c r="ADR53" s="12">
        <f>ADD41*POWER(1-(AnnualChurn*VLOOKUP(ACP53,ChurnSeasonTable,4,FALSE)),1)*BlendedPriceEssAnnual*ACS53+ADD29*POWER(1-(AnnualChurn*VLOOKUP(ACP53,ChurnSeasonTable,4,FALSE)),2)*BlendedPriceEssAnnual*ACS53+ADD17*POWER(1-(AnnualChurn*VLOOKUP(ACP53,ChurnSeasonTable,4,FALSE)),3)*BlendedPriceEssAnnual*ACS53+ADD5*POWER(1-(AnnualChurn*VLOOKUP(ACP53,ChurnSeasonTable,4,FALSE)),4)*BlendedPriceEssAnnual*ACS53+ADE41*POWER(1-(AnnualChurn*VLOOKUP(ACP53,ChurnSeasonTable,4,FALSE)),1)*BlendedPricePremAnnual*ACS53+ADE29*POWER(1-(AnnualChurn*VLOOKUP(ACP53,ChurnSeasonTable,4,FALSE)),2)*BlendedPricePremAnnual*ACS53+ADE17*POWER(1-(AnnualChurn*VLOOKUP(ACP53,ChurnSeasonTable,4,FALSE)),3)*BlendedPricePremAnnual*ACS53+ADE5*POWER(1-(AnnualChurn*VLOOKUP(ACP53,ChurnSeasonTable,4,FALSE)),4)*BlendedPricePremAnnual*ACS53+ADF41*POWER(1-(AnnualChurn*VLOOKUP(ACP53,ChurnSeasonTable,4,FALSE)),1)*BlendedPriceEliteAnnual*ACS53+ADF29*POWER(1-(AnnualChurn*VLOOKUP(ACP53,ChurnSeasonTable,4,FALSE)),2)*BlendedPriceEliteAnnual*ACS53+ADF17*POWER(1-(AnnualChurn*VLOOKUP(ACP53,ChurnSeasonTable,4,FALSE)),3)*BlendedPriceEliteAnnual*ACS53+ADF5*POWER(1-(AnnualChurn*VLOOKUP(ACP53,ChurnSeasonTable,4,FALSE)),4)*BlendedPriceEliteAnnual*ACS53</f>
        <v/>
      </c>
      <c r="ADS53" s="9">
        <f>ADP53+ADQ53+ADR53</f>
        <v/>
      </c>
      <c r="ADT53" s="12">
        <f>SUM(ADS42:ADS53)</f>
        <v/>
      </c>
      <c r="ADU53" s="12">
        <f>OR(ADU52,IF(VATAgentMode,SUM($ADS42:$ADS53)-SUM($ADZ42:$ADZ53)&gt;=VATThreshold,SUM($ADS42:$ADS53)&gt;=VATThreshold))</f>
        <v/>
      </c>
      <c r="ADV53" s="9">
        <f>IF(ADU53,IF(VATAgentMode,ADS53-((ADS53-ADZ53)-(ADS53-ADZ53)/(1+VATRate)),ADS53/(1+VATRate)),ADS53)</f>
        <v/>
      </c>
      <c r="ADW53" s="12">
        <f>ADS53-ADV53</f>
        <v/>
      </c>
      <c r="ADX53" s="12">
        <f>IF(ADU53=0,0,IF(ACP53=1,SUMPRODUCT(--(($ACQ$5:$ACQ53=$ACQ53-1)*($ACP$5:$ACP53&gt;=10)*($ACP$5:$ACP53&lt;=12)),$ADW$5:$ADW53),IF(ACP53=4,SUMPRODUCT(--(($ACQ$5:$ACQ53=$ACQ53)*($ACP$5:$ACP53&gt;=1)*($ACP$5:$ACP53&lt;=3)),$ADW$5:$ADW53),IF(ACP53=7,SUMPRODUCT(--(($ACQ$5:$ACQ53=$ACQ53)*($ACP$5:$ACP53&gt;=4)*($ACP$5:$ACP53&lt;=6)),$ADW$5:$ADW53),IF(ACP53=10,SUMPRODUCT(--(($ACQ$5:$ACQ53=$ACQ53)*($ACP$5:$ACP53&gt;=7)*($ACP$5:$ACP53&lt;=9)),$ADW$5:$ADW53),0)))))</f>
        <v/>
      </c>
      <c r="ADY53" s="12">
        <f>ADY52+ADW53-ADX53</f>
        <v/>
      </c>
      <c r="ADZ53" s="12">
        <f>IF(ProviderDelay&gt;=1,ADG52*BlendedProvPayEss+ADH52*BlendedProvPayPrem+ADI52*BlendedProvPayElite+ADJ52*BlendedProvPayEss+ADK52*BlendedProvPayPrem+ADL52*BlendedProvPayElite,ADG53*BlendedProvPayEss+ADH53*BlendedProvPayPrem+ADI53*BlendedProvPayElite+ADJ53*BlendedProvPayEss+ADK53*BlendedProvPayPrem+ADL53*BlendedProvPayElite)</f>
        <v/>
      </c>
      <c r="AEA53" s="12">
        <f>ADS53*PaymentFee</f>
        <v/>
      </c>
      <c r="AEB53" s="12">
        <f>ADM53*OpsAI</f>
        <v/>
      </c>
      <c r="AEC53" s="12">
        <f>MonthlyFixed</f>
        <v/>
      </c>
      <c r="AED53" s="12">
        <f>ACW53*ReferralReward</f>
        <v/>
      </c>
      <c r="AEE53" s="12">
        <f>ACU53</f>
        <v/>
      </c>
      <c r="AEF53" s="9">
        <f>ADV53-ADZ53-AEA53-AEB53-AEC53-AED53-AEE53</f>
        <v/>
      </c>
      <c r="AEG53" s="9">
        <f>AEG52+ADS53-(ADZ53+AEA53+AEB53+AEC53+AED53+AEE53+ADX53)</f>
        <v/>
      </c>
      <c r="AEH53" s="12">
        <f>IF(ADM53&gt;0,ADN53/ADM53,0)</f>
        <v/>
      </c>
      <c r="AEI53" s="11">
        <f>IF(ADM52&gt;0,MAX(0,(ADM52+ACX53-ADM53)/ADM52),0)</f>
        <v/>
      </c>
      <c r="AEK53" s="12" t="n">
        <v>49</v>
      </c>
      <c r="AEL53" s="12">
        <f>MOD(AEK53-1+LaunchMonth-1,12)+1</f>
        <v/>
      </c>
      <c r="AEM53" s="12">
        <f>INT((AEK53-1+LaunchMonth-1)/12)+1</f>
        <v/>
      </c>
      <c r="AEN53" s="12">
        <f>VLOOKUP(AEL53,SeasonTable,2,FALSE)</f>
        <v/>
      </c>
      <c r="AEO53" s="12">
        <f>(1+InflationRate)^INT((AEK53-1)/12)</f>
        <v/>
      </c>
      <c r="AEP53" s="11">
        <f>MonthlyChurn*VLOOKUP(AEL53,ChurnSeasonTable,4,FALSE)</f>
        <v/>
      </c>
      <c r="AEQ53" s="12">
        <f>MIN(MAX(MktMin19plus,AFO52*MktPct19plus),MAX(0,AGC52-CashBuffer))</f>
        <v/>
      </c>
      <c r="AER53" s="12">
        <f>IF(AEQ53&gt;0,MAX(1,ROUND(AEQ53/CAC*AEN53,0)),0)</f>
        <v/>
      </c>
      <c r="AES53" s="12">
        <f>IF(AER53&gt;0,ROUND(AER53*ReferralMix/(1-ReferralMix),0),0)</f>
        <v/>
      </c>
      <c r="AET53" s="12">
        <f>AER53+AES53</f>
        <v/>
      </c>
      <c r="AEU53" s="12">
        <f>ROUND(AET53*(1-'Sens - Annual Mix'!$A$14),0)</f>
        <v/>
      </c>
      <c r="AEV53" s="12">
        <f>AET53-AEU53</f>
        <v/>
      </c>
      <c r="AEW53" s="12">
        <f>ROUND(AEU53*EssentialMix,0)</f>
        <v/>
      </c>
      <c r="AEX53" s="12">
        <f>ROUND(AEU53*PremiumMix,0)</f>
        <v/>
      </c>
      <c r="AEY53" s="12">
        <f>AEU53-AEW53-AEX53</f>
        <v/>
      </c>
      <c r="AEZ53" s="12">
        <f>ROUND(AEV53*EssentialMix,0)</f>
        <v/>
      </c>
      <c r="AFA53" s="12">
        <f>ROUND(AEV53*PremiumMix,0)</f>
        <v/>
      </c>
      <c r="AFB53" s="12">
        <f>AEV53-AEZ53-AFA53</f>
        <v/>
      </c>
      <c r="AFC53" s="12">
        <f>AEW53+AEW52+AEW51+MAX(0,AFC52-AEW52-AEW51)*(1-AEP53)</f>
        <v/>
      </c>
      <c r="AFD53" s="12">
        <f>AEX53+AEX52+AEX51+MAX(0,AFD52-AEX52-AEX51)*(1-AEP53)</f>
        <v/>
      </c>
      <c r="AFE53" s="12">
        <f>AEY53+AEY52+AEY51+MAX(0,AFE52-AEY52-AEY51)*(1-AEP53)</f>
        <v/>
      </c>
      <c r="AFF53" s="12">
        <f>AFF52+AEZ53-AEZ41*(AnnualChurn*VLOOKUP(AEL53,ChurnSeasonTable,4,FALSE))*POWER(1-(AnnualChurn*VLOOKUP(AEL53,ChurnSeasonTable,4,FALSE)),0)+AEZ29*(AnnualChurn*VLOOKUP(AEL53,ChurnSeasonTable,4,FALSE))*POWER(1-(AnnualChurn*VLOOKUP(AEL53,ChurnSeasonTable,4,FALSE)),1)+AEZ17*(AnnualChurn*VLOOKUP(AEL53,ChurnSeasonTable,4,FALSE))*POWER(1-(AnnualChurn*VLOOKUP(AEL53,ChurnSeasonTable,4,FALSE)),2)+AEZ5*(AnnualChurn*VLOOKUP(AEL53,ChurnSeasonTable,4,FALSE))*POWER(1-(AnnualChurn*VLOOKUP(AEL53,ChurnSeasonTable,4,FALSE)),3)</f>
        <v/>
      </c>
      <c r="AFG53" s="12">
        <f>AFG52+AFA53-AFA41*(AnnualChurn*VLOOKUP(AEL53,ChurnSeasonTable,4,FALSE))*POWER(1-(AnnualChurn*VLOOKUP(AEL53,ChurnSeasonTable,4,FALSE)),0)+AFA29*(AnnualChurn*VLOOKUP(AEL53,ChurnSeasonTable,4,FALSE))*POWER(1-(AnnualChurn*VLOOKUP(AEL53,ChurnSeasonTable,4,FALSE)),1)+AFA17*(AnnualChurn*VLOOKUP(AEL53,ChurnSeasonTable,4,FALSE))*POWER(1-(AnnualChurn*VLOOKUP(AEL53,ChurnSeasonTable,4,FALSE)),2)+AFA5*(AnnualChurn*VLOOKUP(AEL53,ChurnSeasonTable,4,FALSE))*POWER(1-(AnnualChurn*VLOOKUP(AEL53,ChurnSeasonTable,4,FALSE)),3)</f>
        <v/>
      </c>
      <c r="AFH53" s="12">
        <f>AFH52+AFB53-AFB41*(AnnualChurn*VLOOKUP(AEL53,ChurnSeasonTable,4,FALSE))*POWER(1-(AnnualChurn*VLOOKUP(AEL53,ChurnSeasonTable,4,FALSE)),0)+AFB29*(AnnualChurn*VLOOKUP(AEL53,ChurnSeasonTable,4,FALSE))*POWER(1-(AnnualChurn*VLOOKUP(AEL53,ChurnSeasonTable,4,FALSE)),1)+AFB17*(AnnualChurn*VLOOKUP(AEL53,ChurnSeasonTable,4,FALSE))*POWER(1-(AnnualChurn*VLOOKUP(AEL53,ChurnSeasonTable,4,FALSE)),2)+AFB5*(AnnualChurn*VLOOKUP(AEL53,ChurnSeasonTable,4,FALSE))*POWER(1-(AnnualChurn*VLOOKUP(AEL53,ChurnSeasonTable,4,FALSE)),3)</f>
        <v/>
      </c>
      <c r="AFI53" s="12">
        <f>AFC53+AFD53+AFE53+AFF53+AFG53+AFH53</f>
        <v/>
      </c>
      <c r="AFJ53" s="9">
        <f>AFC53*BlendedPriceEssMonthly*AEO53+AFD53*BlendedPricePremMonthly*AEO53+AFE53*BlendedPriceEliteMonthly*AEO53+AFF53*BlendedPriceEssAnnual*AEO53/12+AFG53*BlendedPricePremAnnual*AEO53/12+AFH53*BlendedPriceEliteAnnual*AEO53/12</f>
        <v/>
      </c>
      <c r="AFK53" s="9">
        <f>AFJ53*12</f>
        <v/>
      </c>
      <c r="AFL53" s="12">
        <f>AFC53*BlendedPriceEssMonthly*AEO53+AFD53*BlendedPricePremMonthly*AEO53+AFE53*BlendedPriceEliteMonthly*AEO53</f>
        <v/>
      </c>
      <c r="AFM53" s="12">
        <f>AEZ53*BlendedPriceEssAnnual*AEO53+AFA53*BlendedPricePremAnnual*AEO53+AFB53*BlendedPriceEliteAnnual*AEO53</f>
        <v/>
      </c>
      <c r="AFN53" s="12">
        <f>AEZ41*POWER(1-(AnnualChurn*VLOOKUP(AEL53,ChurnSeasonTable,4,FALSE)),1)*BlendedPriceEssAnnual*AEO53+AEZ29*POWER(1-(AnnualChurn*VLOOKUP(AEL53,ChurnSeasonTable,4,FALSE)),2)*BlendedPriceEssAnnual*AEO53+AEZ17*POWER(1-(AnnualChurn*VLOOKUP(AEL53,ChurnSeasonTable,4,FALSE)),3)*BlendedPriceEssAnnual*AEO53+AEZ5*POWER(1-(AnnualChurn*VLOOKUP(AEL53,ChurnSeasonTable,4,FALSE)),4)*BlendedPriceEssAnnual*AEO53+AFA41*POWER(1-(AnnualChurn*VLOOKUP(AEL53,ChurnSeasonTable,4,FALSE)),1)*BlendedPricePremAnnual*AEO53+AFA29*POWER(1-(AnnualChurn*VLOOKUP(AEL53,ChurnSeasonTable,4,FALSE)),2)*BlendedPricePremAnnual*AEO53+AFA17*POWER(1-(AnnualChurn*VLOOKUP(AEL53,ChurnSeasonTable,4,FALSE)),3)*BlendedPricePremAnnual*AEO53+AFA5*POWER(1-(AnnualChurn*VLOOKUP(AEL53,ChurnSeasonTable,4,FALSE)),4)*BlendedPricePremAnnual*AEO53+AFB41*POWER(1-(AnnualChurn*VLOOKUP(AEL53,ChurnSeasonTable,4,FALSE)),1)*BlendedPriceEliteAnnual*AEO53+AFB29*POWER(1-(AnnualChurn*VLOOKUP(AEL53,ChurnSeasonTable,4,FALSE)),2)*BlendedPriceEliteAnnual*AEO53+AFB17*POWER(1-(AnnualChurn*VLOOKUP(AEL53,ChurnSeasonTable,4,FALSE)),3)*BlendedPriceEliteAnnual*AEO53+AFB5*POWER(1-(AnnualChurn*VLOOKUP(AEL53,ChurnSeasonTable,4,FALSE)),4)*BlendedPriceEliteAnnual*AEO53</f>
        <v/>
      </c>
      <c r="AFO53" s="9">
        <f>AFL53+AFM53+AFN53</f>
        <v/>
      </c>
      <c r="AFP53" s="12">
        <f>SUM(AFO42:AFO53)</f>
        <v/>
      </c>
      <c r="AFQ53" s="12">
        <f>OR(AFQ52,IF(VATAgentMode,SUM($AFO42:$AFO53)-SUM($AFV42:$AFV53)&gt;=VATThreshold,SUM($AFO42:$AFO53)&gt;=VATThreshold))</f>
        <v/>
      </c>
      <c r="AFR53" s="9">
        <f>IF(AFQ53,IF(VATAgentMode,AFO53-((AFO53-AFV53)-(AFO53-AFV53)/(1+VATRate)),AFO53/(1+VATRate)),AFO53)</f>
        <v/>
      </c>
      <c r="AFS53" s="12">
        <f>AFO53-AFR53</f>
        <v/>
      </c>
      <c r="AFT53" s="12">
        <f>IF(AFQ53=0,0,IF(AEL53=1,SUMPRODUCT(--(($AEM$5:$AEM53=$AEM53-1)*($AEL$5:$AEL53&gt;=10)*($AEL$5:$AEL53&lt;=12)),$AFS$5:$AFS53),IF(AEL53=4,SUMPRODUCT(--(($AEM$5:$AEM53=$AEM53)*($AEL$5:$AEL53&gt;=1)*($AEL$5:$AEL53&lt;=3)),$AFS$5:$AFS53),IF(AEL53=7,SUMPRODUCT(--(($AEM$5:$AEM53=$AEM53)*($AEL$5:$AEL53&gt;=4)*($AEL$5:$AEL53&lt;=6)),$AFS$5:$AFS53),IF(AEL53=10,SUMPRODUCT(--(($AEM$5:$AEM53=$AEM53)*($AEL$5:$AEL53&gt;=7)*($AEL$5:$AEL53&lt;=9)),$AFS$5:$AFS53),0)))))</f>
        <v/>
      </c>
      <c r="AFU53" s="12">
        <f>AFU52+AFS53-AFT53</f>
        <v/>
      </c>
      <c r="AFV53" s="12">
        <f>IF(ProviderDelay&gt;=1,AFC52*BlendedProvPayEss+AFD52*BlendedProvPayPrem+AFE52*BlendedProvPayElite+AFF52*BlendedProvPayEss+AFG52*BlendedProvPayPrem+AFH52*BlendedProvPayElite,AFC53*BlendedProvPayEss+AFD53*BlendedProvPayPrem+AFE53*BlendedProvPayElite+AFF53*BlendedProvPayEss+AFG53*BlendedProvPayPrem+AFH53*BlendedProvPayElite)</f>
        <v/>
      </c>
      <c r="AFW53" s="12">
        <f>AFO53*PaymentFee</f>
        <v/>
      </c>
      <c r="AFX53" s="12">
        <f>AFI53*OpsAI</f>
        <v/>
      </c>
      <c r="AFY53" s="12">
        <f>MonthlyFixed</f>
        <v/>
      </c>
      <c r="AFZ53" s="12">
        <f>AES53*ReferralReward</f>
        <v/>
      </c>
      <c r="AGA53" s="12">
        <f>AEQ53</f>
        <v/>
      </c>
      <c r="AGB53" s="9">
        <f>AFR53-AFV53-AFW53-AFX53-AFY53-AFZ53-AGA53</f>
        <v/>
      </c>
      <c r="AGC53" s="9">
        <f>AGC52+AFO53-(AFV53+AFW53+AFX53+AFY53+AFZ53+AGA53+AFT53)</f>
        <v/>
      </c>
      <c r="AGD53" s="12">
        <f>IF(AFI53&gt;0,AFJ53/AFI53,0)</f>
        <v/>
      </c>
      <c r="AGE53" s="11">
        <f>IF(AFI52&gt;0,MAX(0,(AFI52+AET53-AFI53)/AFI52),0)</f>
        <v/>
      </c>
      <c r="AGG53" s="12" t="n">
        <v>49</v>
      </c>
      <c r="AGH53" s="12">
        <f>MOD(AGG53-1+LaunchMonth-1,12)+1</f>
        <v/>
      </c>
      <c r="AGI53" s="12">
        <f>INT((AGG53-1+LaunchMonth-1)/12)+1</f>
        <v/>
      </c>
      <c r="AGJ53" s="12">
        <f>VLOOKUP(AGH53,SeasonTable,2,FALSE)</f>
        <v/>
      </c>
      <c r="AGK53" s="12">
        <f>(1+InflationRate)^INT((AGG53-1)/12)</f>
        <v/>
      </c>
      <c r="AGL53" s="11">
        <f>MonthlyChurn*VLOOKUP(AGH53,ChurnSeasonTable,4,FALSE)</f>
        <v/>
      </c>
      <c r="AGM53" s="12">
        <f>MIN(MAX(MktMin19plus,AHK52*MktPct19plus),MAX(0,AHY52-CashBuffer))</f>
        <v/>
      </c>
      <c r="AGN53" s="12">
        <f>IF(AGM53&gt;0,MAX(1,ROUND(AGM53/CAC*AGJ53,0)),0)</f>
        <v/>
      </c>
      <c r="AGO53" s="12">
        <f>IF(AGN53&gt;0,ROUND(AGN53*ReferralMix/(1-ReferralMix),0),0)</f>
        <v/>
      </c>
      <c r="AGP53" s="12">
        <f>AGN53+AGO53</f>
        <v/>
      </c>
      <c r="AGQ53" s="12">
        <f>ROUND(AGP53*(1-'Sens - Annual Mix'!$A$15),0)</f>
        <v/>
      </c>
      <c r="AGR53" s="12">
        <f>AGP53-AGQ53</f>
        <v/>
      </c>
      <c r="AGS53" s="12">
        <f>ROUND(AGQ53*EssentialMix,0)</f>
        <v/>
      </c>
      <c r="AGT53" s="12">
        <f>ROUND(AGQ53*PremiumMix,0)</f>
        <v/>
      </c>
      <c r="AGU53" s="12">
        <f>AGQ53-AGS53-AGT53</f>
        <v/>
      </c>
      <c r="AGV53" s="12">
        <f>ROUND(AGR53*EssentialMix,0)</f>
        <v/>
      </c>
      <c r="AGW53" s="12">
        <f>ROUND(AGR53*PremiumMix,0)</f>
        <v/>
      </c>
      <c r="AGX53" s="12">
        <f>AGR53-AGV53-AGW53</f>
        <v/>
      </c>
      <c r="AGY53" s="12">
        <f>AGS53+AGS52+AGS51+MAX(0,AGY52-AGS52-AGS51)*(1-AGL53)</f>
        <v/>
      </c>
      <c r="AGZ53" s="12">
        <f>AGT53+AGT52+AGT51+MAX(0,AGZ52-AGT52-AGT51)*(1-AGL53)</f>
        <v/>
      </c>
      <c r="AHA53" s="12">
        <f>AGU53+AGU52+AGU51+MAX(0,AHA52-AGU52-AGU51)*(1-AGL53)</f>
        <v/>
      </c>
      <c r="AHB53" s="12">
        <f>AHB52+AGV53-AGV41*(AnnualChurn*VLOOKUP(AGH53,ChurnSeasonTable,4,FALSE))*POWER(1-(AnnualChurn*VLOOKUP(AGH53,ChurnSeasonTable,4,FALSE)),0)+AGV29*(AnnualChurn*VLOOKUP(AGH53,ChurnSeasonTable,4,FALSE))*POWER(1-(AnnualChurn*VLOOKUP(AGH53,ChurnSeasonTable,4,FALSE)),1)+AGV17*(AnnualChurn*VLOOKUP(AGH53,ChurnSeasonTable,4,FALSE))*POWER(1-(AnnualChurn*VLOOKUP(AGH53,ChurnSeasonTable,4,FALSE)),2)+AGV5*(AnnualChurn*VLOOKUP(AGH53,ChurnSeasonTable,4,FALSE))*POWER(1-(AnnualChurn*VLOOKUP(AGH53,ChurnSeasonTable,4,FALSE)),3)</f>
        <v/>
      </c>
      <c r="AHC53" s="12">
        <f>AHC52+AGW53-AGW41*(AnnualChurn*VLOOKUP(AGH53,ChurnSeasonTable,4,FALSE))*POWER(1-(AnnualChurn*VLOOKUP(AGH53,ChurnSeasonTable,4,FALSE)),0)+AGW29*(AnnualChurn*VLOOKUP(AGH53,ChurnSeasonTable,4,FALSE))*POWER(1-(AnnualChurn*VLOOKUP(AGH53,ChurnSeasonTable,4,FALSE)),1)+AGW17*(AnnualChurn*VLOOKUP(AGH53,ChurnSeasonTable,4,FALSE))*POWER(1-(AnnualChurn*VLOOKUP(AGH53,ChurnSeasonTable,4,FALSE)),2)+AGW5*(AnnualChurn*VLOOKUP(AGH53,ChurnSeasonTable,4,FALSE))*POWER(1-(AnnualChurn*VLOOKUP(AGH53,ChurnSeasonTable,4,FALSE)),3)</f>
        <v/>
      </c>
      <c r="AHD53" s="12">
        <f>AHD52+AGX53-AGX41*(AnnualChurn*VLOOKUP(AGH53,ChurnSeasonTable,4,FALSE))*POWER(1-(AnnualChurn*VLOOKUP(AGH53,ChurnSeasonTable,4,FALSE)),0)+AGX29*(AnnualChurn*VLOOKUP(AGH53,ChurnSeasonTable,4,FALSE))*POWER(1-(AnnualChurn*VLOOKUP(AGH53,ChurnSeasonTable,4,FALSE)),1)+AGX17*(AnnualChurn*VLOOKUP(AGH53,ChurnSeasonTable,4,FALSE))*POWER(1-(AnnualChurn*VLOOKUP(AGH53,ChurnSeasonTable,4,FALSE)),2)+AGX5*(AnnualChurn*VLOOKUP(AGH53,ChurnSeasonTable,4,FALSE))*POWER(1-(AnnualChurn*VLOOKUP(AGH53,ChurnSeasonTable,4,FALSE)),3)</f>
        <v/>
      </c>
      <c r="AHE53" s="12">
        <f>AGY53+AGZ53+AHA53+AHB53+AHC53+AHD53</f>
        <v/>
      </c>
      <c r="AHF53" s="9">
        <f>AGY53*BlendedPriceEssMonthly*AGK53+AGZ53*BlendedPricePremMonthly*AGK53+AHA53*BlendedPriceEliteMonthly*AGK53+AHB53*BlendedPriceEssAnnual*AGK53/12+AHC53*BlendedPricePremAnnual*AGK53/12+AHD53*BlendedPriceEliteAnnual*AGK53/12</f>
        <v/>
      </c>
      <c r="AHG53" s="9">
        <f>AHF53*12</f>
        <v/>
      </c>
      <c r="AHH53" s="12">
        <f>AGY53*BlendedPriceEssMonthly*AGK53+AGZ53*BlendedPricePremMonthly*AGK53+AHA53*BlendedPriceEliteMonthly*AGK53</f>
        <v/>
      </c>
      <c r="AHI53" s="12">
        <f>AGV53*BlendedPriceEssAnnual*AGK53+AGW53*BlendedPricePremAnnual*AGK53+AGX53*BlendedPriceEliteAnnual*AGK53</f>
        <v/>
      </c>
      <c r="AHJ53" s="12">
        <f>AGV41*POWER(1-(AnnualChurn*VLOOKUP(AGH53,ChurnSeasonTable,4,FALSE)),1)*BlendedPriceEssAnnual*AGK53+AGV29*POWER(1-(AnnualChurn*VLOOKUP(AGH53,ChurnSeasonTable,4,FALSE)),2)*BlendedPriceEssAnnual*AGK53+AGV17*POWER(1-(AnnualChurn*VLOOKUP(AGH53,ChurnSeasonTable,4,FALSE)),3)*BlendedPriceEssAnnual*AGK53+AGV5*POWER(1-(AnnualChurn*VLOOKUP(AGH53,ChurnSeasonTable,4,FALSE)),4)*BlendedPriceEssAnnual*AGK53+AGW41*POWER(1-(AnnualChurn*VLOOKUP(AGH53,ChurnSeasonTable,4,FALSE)),1)*BlendedPricePremAnnual*AGK53+AGW29*POWER(1-(AnnualChurn*VLOOKUP(AGH53,ChurnSeasonTable,4,FALSE)),2)*BlendedPricePremAnnual*AGK53+AGW17*POWER(1-(AnnualChurn*VLOOKUP(AGH53,ChurnSeasonTable,4,FALSE)),3)*BlendedPricePremAnnual*AGK53+AGW5*POWER(1-(AnnualChurn*VLOOKUP(AGH53,ChurnSeasonTable,4,FALSE)),4)*BlendedPricePremAnnual*AGK53+AGX41*POWER(1-(AnnualChurn*VLOOKUP(AGH53,ChurnSeasonTable,4,FALSE)),1)*BlendedPriceEliteAnnual*AGK53+AGX29*POWER(1-(AnnualChurn*VLOOKUP(AGH53,ChurnSeasonTable,4,FALSE)),2)*BlendedPriceEliteAnnual*AGK53+AGX17*POWER(1-(AnnualChurn*VLOOKUP(AGH53,ChurnSeasonTable,4,FALSE)),3)*BlendedPriceEliteAnnual*AGK53+AGX5*POWER(1-(AnnualChurn*VLOOKUP(AGH53,ChurnSeasonTable,4,FALSE)),4)*BlendedPriceEliteAnnual*AGK53</f>
        <v/>
      </c>
      <c r="AHK53" s="9">
        <f>AHH53+AHI53+AHJ53</f>
        <v/>
      </c>
      <c r="AHL53" s="12">
        <f>SUM(AHK42:AHK53)</f>
        <v/>
      </c>
      <c r="AHM53" s="12">
        <f>OR(AHM52,IF(VATAgentMode,SUM($AHK42:$AHK53)-SUM($AHR42:$AHR53)&gt;=VATThreshold,SUM($AHK42:$AHK53)&gt;=VATThreshold))</f>
        <v/>
      </c>
      <c r="AHN53" s="9">
        <f>IF(AHM53,IF(VATAgentMode,AHK53-((AHK53-AHR53)-(AHK53-AHR53)/(1+VATRate)),AHK53/(1+VATRate)),AHK53)</f>
        <v/>
      </c>
      <c r="AHO53" s="12">
        <f>AHK53-AHN53</f>
        <v/>
      </c>
      <c r="AHP53" s="12">
        <f>IF(AHM53=0,0,IF(AGH53=1,SUMPRODUCT(--(($AGI$5:$AGI53=$AGI53-1)*($AGH$5:$AGH53&gt;=10)*($AGH$5:$AGH53&lt;=12)),$AHO$5:$AHO53),IF(AGH53=4,SUMPRODUCT(--(($AGI$5:$AGI53=$AGI53)*($AGH$5:$AGH53&gt;=1)*($AGH$5:$AGH53&lt;=3)),$AHO$5:$AHO53),IF(AGH53=7,SUMPRODUCT(--(($AGI$5:$AGI53=$AGI53)*($AGH$5:$AGH53&gt;=4)*($AGH$5:$AGH53&lt;=6)),$AHO$5:$AHO53),IF(AGH53=10,SUMPRODUCT(--(($AGI$5:$AGI53=$AGI53)*($AGH$5:$AGH53&gt;=7)*($AGH$5:$AGH53&lt;=9)),$AHO$5:$AHO53),0)))))</f>
        <v/>
      </c>
      <c r="AHQ53" s="12">
        <f>AHQ52+AHO53-AHP53</f>
        <v/>
      </c>
      <c r="AHR53" s="12">
        <f>IF(ProviderDelay&gt;=1,AGY52*BlendedProvPayEss+AGZ52*BlendedProvPayPrem+AHA52*BlendedProvPayElite+AHB52*BlendedProvPayEss+AHC52*BlendedProvPayPrem+AHD52*BlendedProvPayElite,AGY53*BlendedProvPayEss+AGZ53*BlendedProvPayPrem+AHA53*BlendedProvPayElite+AHB53*BlendedProvPayEss+AHC53*BlendedProvPayPrem+AHD53*BlendedProvPayElite)</f>
        <v/>
      </c>
      <c r="AHS53" s="12">
        <f>AHK53*PaymentFee</f>
        <v/>
      </c>
      <c r="AHT53" s="12">
        <f>AHE53*OpsAI</f>
        <v/>
      </c>
      <c r="AHU53" s="12">
        <f>MonthlyFixed</f>
        <v/>
      </c>
      <c r="AHV53" s="12">
        <f>AGO53*ReferralReward</f>
        <v/>
      </c>
      <c r="AHW53" s="12">
        <f>AGM53</f>
        <v/>
      </c>
      <c r="AHX53" s="9">
        <f>AHN53-AHR53-AHS53-AHT53-AHU53-AHV53-AHW53</f>
        <v/>
      </c>
      <c r="AHY53" s="9">
        <f>AHY52+AHK53-(AHR53+AHS53+AHT53+AHU53+AHV53+AHW53+AHP53)</f>
        <v/>
      </c>
      <c r="AHZ53" s="12">
        <f>IF(AHE53&gt;0,AHF53/AHE53,0)</f>
        <v/>
      </c>
      <c r="AIA53" s="11">
        <f>IF(AHE52&gt;0,MAX(0,(AHE52+AGP53-AHE53)/AHE52),0)</f>
        <v/>
      </c>
      <c r="AIC53" s="12" t="n">
        <v>49</v>
      </c>
      <c r="AID53" s="12">
        <f>MOD(AIC53-1+LaunchMonth-1,12)+1</f>
        <v/>
      </c>
      <c r="AIE53" s="12">
        <f>INT((AIC53-1+LaunchMonth-1)/12)+1</f>
        <v/>
      </c>
      <c r="AIF53" s="12">
        <f>VLOOKUP(AID53,SeasonTable,2,FALSE)</f>
        <v/>
      </c>
      <c r="AIG53" s="12">
        <f>(1+InflationRate)^INT((AIC53-1)/12)</f>
        <v/>
      </c>
      <c r="AIH53" s="11">
        <f>MonthlyChurn*VLOOKUP(AID53,ChurnSeasonTable,4,FALSE)</f>
        <v/>
      </c>
      <c r="AII53" s="12">
        <f>MIN(MAX(MktMin19plus,AJG52*MktPct19plus),MAX(0,AJU52-CashBuffer))</f>
        <v/>
      </c>
      <c r="AIJ53" s="12">
        <f>IF(AII53&gt;0,MAX(1,ROUND(AII53/'Sens - CAC &amp; Marketing'!$A$9*AIF53,0)),0)</f>
        <v/>
      </c>
      <c r="AIK53" s="12">
        <f>IF(AIJ53&gt;0,ROUND(AIJ53*ReferralMix/(1-ReferralMix),0),0)</f>
        <v/>
      </c>
      <c r="AIL53" s="12">
        <f>AIJ53+AIK53</f>
        <v/>
      </c>
      <c r="AIM53" s="12">
        <f>ROUND(AIL53*(1-AnnualMix),0)</f>
        <v/>
      </c>
      <c r="AIN53" s="12">
        <f>AIL53-AIM53</f>
        <v/>
      </c>
      <c r="AIO53" s="12">
        <f>ROUND(AIM53*EssentialMix,0)</f>
        <v/>
      </c>
      <c r="AIP53" s="12">
        <f>ROUND(AIM53*PremiumMix,0)</f>
        <v/>
      </c>
      <c r="AIQ53" s="12">
        <f>AIM53-AIO53-AIP53</f>
        <v/>
      </c>
      <c r="AIR53" s="12">
        <f>ROUND(AIN53*EssentialMix,0)</f>
        <v/>
      </c>
      <c r="AIS53" s="12">
        <f>ROUND(AIN53*PremiumMix,0)</f>
        <v/>
      </c>
      <c r="AIT53" s="12">
        <f>AIN53-AIR53-AIS53</f>
        <v/>
      </c>
      <c r="AIU53" s="12">
        <f>AIO53+AIO52+AIO51+MAX(0,AIU52-AIO52-AIO51)*(1-AIH53)</f>
        <v/>
      </c>
      <c r="AIV53" s="12">
        <f>AIP53+AIP52+AIP51+MAX(0,AIV52-AIP52-AIP51)*(1-AIH53)</f>
        <v/>
      </c>
      <c r="AIW53" s="12">
        <f>AIQ53+AIQ52+AIQ51+MAX(0,AIW52-AIQ52-AIQ51)*(1-AIH53)</f>
        <v/>
      </c>
      <c r="AIX53" s="12">
        <f>AIX52+AIR53-AIR41*(AnnualChurn*VLOOKUP(AID53,ChurnSeasonTable,4,FALSE))*POWER(1-(AnnualChurn*VLOOKUP(AID53,ChurnSeasonTable,4,FALSE)),0)+AIR29*(AnnualChurn*VLOOKUP(AID53,ChurnSeasonTable,4,FALSE))*POWER(1-(AnnualChurn*VLOOKUP(AID53,ChurnSeasonTable,4,FALSE)),1)+AIR17*(AnnualChurn*VLOOKUP(AID53,ChurnSeasonTable,4,FALSE))*POWER(1-(AnnualChurn*VLOOKUP(AID53,ChurnSeasonTable,4,FALSE)),2)+AIR5*(AnnualChurn*VLOOKUP(AID53,ChurnSeasonTable,4,FALSE))*POWER(1-(AnnualChurn*VLOOKUP(AID53,ChurnSeasonTable,4,FALSE)),3)</f>
        <v/>
      </c>
      <c r="AIY53" s="12">
        <f>AIY52+AIS53-AIS41*(AnnualChurn*VLOOKUP(AID53,ChurnSeasonTable,4,FALSE))*POWER(1-(AnnualChurn*VLOOKUP(AID53,ChurnSeasonTable,4,FALSE)),0)+AIS29*(AnnualChurn*VLOOKUP(AID53,ChurnSeasonTable,4,FALSE))*POWER(1-(AnnualChurn*VLOOKUP(AID53,ChurnSeasonTable,4,FALSE)),1)+AIS17*(AnnualChurn*VLOOKUP(AID53,ChurnSeasonTable,4,FALSE))*POWER(1-(AnnualChurn*VLOOKUP(AID53,ChurnSeasonTable,4,FALSE)),2)+AIS5*(AnnualChurn*VLOOKUP(AID53,ChurnSeasonTable,4,FALSE))*POWER(1-(AnnualChurn*VLOOKUP(AID53,ChurnSeasonTable,4,FALSE)),3)</f>
        <v/>
      </c>
      <c r="AIZ53" s="12">
        <f>AIZ52+AIT53-AIT41*(AnnualChurn*VLOOKUP(AID53,ChurnSeasonTable,4,FALSE))*POWER(1-(AnnualChurn*VLOOKUP(AID53,ChurnSeasonTable,4,FALSE)),0)+AIT29*(AnnualChurn*VLOOKUP(AID53,ChurnSeasonTable,4,FALSE))*POWER(1-(AnnualChurn*VLOOKUP(AID53,ChurnSeasonTable,4,FALSE)),1)+AIT17*(AnnualChurn*VLOOKUP(AID53,ChurnSeasonTable,4,FALSE))*POWER(1-(AnnualChurn*VLOOKUP(AID53,ChurnSeasonTable,4,FALSE)),2)+AIT5*(AnnualChurn*VLOOKUP(AID53,ChurnSeasonTable,4,FALSE))*POWER(1-(AnnualChurn*VLOOKUP(AID53,ChurnSeasonTable,4,FALSE)),3)</f>
        <v/>
      </c>
      <c r="AJA53" s="12">
        <f>AIU53+AIV53+AIW53+AIX53+AIY53+AIZ53</f>
        <v/>
      </c>
      <c r="AJB53" s="9">
        <f>AIU53*BlendedPriceEssMonthly*AIG53+AIV53*BlendedPricePremMonthly*AIG53+AIW53*BlendedPriceEliteMonthly*AIG53+AIX53*BlendedPriceEssAnnual*AIG53/12+AIY53*BlendedPricePremAnnual*AIG53/12+AIZ53*BlendedPriceEliteAnnual*AIG53/12</f>
        <v/>
      </c>
      <c r="AJC53" s="9">
        <f>AJB53*12</f>
        <v/>
      </c>
      <c r="AJD53" s="12">
        <f>AIU53*BlendedPriceEssMonthly*AIG53+AIV53*BlendedPricePremMonthly*AIG53+AIW53*BlendedPriceEliteMonthly*AIG53</f>
        <v/>
      </c>
      <c r="AJE53" s="12">
        <f>AIR53*BlendedPriceEssAnnual*AIG53+AIS53*BlendedPricePremAnnual*AIG53+AIT53*BlendedPriceEliteAnnual*AIG53</f>
        <v/>
      </c>
      <c r="AJF53" s="12">
        <f>AIR41*POWER(1-(AnnualChurn*VLOOKUP(AID53,ChurnSeasonTable,4,FALSE)),1)*BlendedPriceEssAnnual*AIG53+AIR29*POWER(1-(AnnualChurn*VLOOKUP(AID53,ChurnSeasonTable,4,FALSE)),2)*BlendedPriceEssAnnual*AIG53+AIR17*POWER(1-(AnnualChurn*VLOOKUP(AID53,ChurnSeasonTable,4,FALSE)),3)*BlendedPriceEssAnnual*AIG53+AIR5*POWER(1-(AnnualChurn*VLOOKUP(AID53,ChurnSeasonTable,4,FALSE)),4)*BlendedPriceEssAnnual*AIG53+AIS41*POWER(1-(AnnualChurn*VLOOKUP(AID53,ChurnSeasonTable,4,FALSE)),1)*BlendedPricePremAnnual*AIG53+AIS29*POWER(1-(AnnualChurn*VLOOKUP(AID53,ChurnSeasonTable,4,FALSE)),2)*BlendedPricePremAnnual*AIG53+AIS17*POWER(1-(AnnualChurn*VLOOKUP(AID53,ChurnSeasonTable,4,FALSE)),3)*BlendedPricePremAnnual*AIG53+AIS5*POWER(1-(AnnualChurn*VLOOKUP(AID53,ChurnSeasonTable,4,FALSE)),4)*BlendedPricePremAnnual*AIG53+AIT41*POWER(1-(AnnualChurn*VLOOKUP(AID53,ChurnSeasonTable,4,FALSE)),1)*BlendedPriceEliteAnnual*AIG53+AIT29*POWER(1-(AnnualChurn*VLOOKUP(AID53,ChurnSeasonTable,4,FALSE)),2)*BlendedPriceEliteAnnual*AIG53+AIT17*POWER(1-(AnnualChurn*VLOOKUP(AID53,ChurnSeasonTable,4,FALSE)),3)*BlendedPriceEliteAnnual*AIG53+AIT5*POWER(1-(AnnualChurn*VLOOKUP(AID53,ChurnSeasonTable,4,FALSE)),4)*BlendedPriceEliteAnnual*AIG53</f>
        <v/>
      </c>
      <c r="AJG53" s="9">
        <f>AJD53+AJE53+AJF53</f>
        <v/>
      </c>
      <c r="AJH53" s="12">
        <f>SUM(AJG42:AJG53)</f>
        <v/>
      </c>
      <c r="AJI53" s="12">
        <f>OR(AJI52,IF(VATAgentMode,SUM($AJG42:$AJG53)-SUM($AJN42:$AJN53)&gt;=VATThreshold,SUM($AJG42:$AJG53)&gt;=VATThreshold))</f>
        <v/>
      </c>
      <c r="AJJ53" s="9">
        <f>IF(AJI53,IF(VATAgentMode,AJG53-((AJG53-AJN53)-(AJG53-AJN53)/(1+VATRate)),AJG53/(1+VATRate)),AJG53)</f>
        <v/>
      </c>
      <c r="AJK53" s="12">
        <f>AJG53-AJJ53</f>
        <v/>
      </c>
      <c r="AJL53" s="12">
        <f>IF(AJI53=0,0,IF(AID53=1,SUMPRODUCT(--(($AIE$5:$AIE53=$AIE53-1)*($AID$5:$AID53&gt;=10)*($AID$5:$AID53&lt;=12)),$AJK$5:$AJK53),IF(AID53=4,SUMPRODUCT(--(($AIE$5:$AIE53=$AIE53)*($AID$5:$AID53&gt;=1)*($AID$5:$AID53&lt;=3)),$AJK$5:$AJK53),IF(AID53=7,SUMPRODUCT(--(($AIE$5:$AIE53=$AIE53)*($AID$5:$AID53&gt;=4)*($AID$5:$AID53&lt;=6)),$AJK$5:$AJK53),IF(AID53=10,SUMPRODUCT(--(($AIE$5:$AIE53=$AIE53)*($AID$5:$AID53&gt;=7)*($AID$5:$AID53&lt;=9)),$AJK$5:$AJK53),0)))))</f>
        <v/>
      </c>
      <c r="AJM53" s="12">
        <f>AJM52+AJK53-AJL53</f>
        <v/>
      </c>
      <c r="AJN53" s="12">
        <f>IF(ProviderDelay&gt;=1,AIU52*BlendedProvPayEss+AIV52*BlendedProvPayPrem+AIW52*BlendedProvPayElite+AIX52*BlendedProvPayEss+AIY52*BlendedProvPayPrem+AIZ52*BlendedProvPayElite,AIU53*BlendedProvPayEss+AIV53*BlendedProvPayPrem+AIW53*BlendedProvPayElite+AIX53*BlendedProvPayEss+AIY53*BlendedProvPayPrem+AIZ53*BlendedProvPayElite)</f>
        <v/>
      </c>
      <c r="AJO53" s="12">
        <f>AJG53*PaymentFee</f>
        <v/>
      </c>
      <c r="AJP53" s="12">
        <f>AJA53*OpsAI</f>
        <v/>
      </c>
      <c r="AJQ53" s="12">
        <f>MonthlyFixed</f>
        <v/>
      </c>
      <c r="AJR53" s="12">
        <f>AIK53*ReferralReward</f>
        <v/>
      </c>
      <c r="AJS53" s="12">
        <f>AII53</f>
        <v/>
      </c>
      <c r="AJT53" s="9">
        <f>AJJ53-AJN53-AJO53-AJP53-AJQ53-AJR53-AJS53</f>
        <v/>
      </c>
      <c r="AJU53" s="9">
        <f>AJU52+AJG53-(AJN53+AJO53+AJP53+AJQ53+AJR53+AJS53+AJL53)</f>
        <v/>
      </c>
      <c r="AJV53" s="12">
        <f>IF(AJA53&gt;0,AJB53/AJA53,0)</f>
        <v/>
      </c>
      <c r="AJW53" s="11">
        <f>IF(AJA52&gt;0,MAX(0,(AJA52+AIL53-AJA53)/AJA52),0)</f>
        <v/>
      </c>
      <c r="AJY53" s="12" t="n">
        <v>49</v>
      </c>
      <c r="AJZ53" s="12">
        <f>MOD(AJY53-1+LaunchMonth-1,12)+1</f>
        <v/>
      </c>
      <c r="AKA53" s="12">
        <f>INT((AJY53-1+LaunchMonth-1)/12)+1</f>
        <v/>
      </c>
      <c r="AKB53" s="12">
        <f>VLOOKUP(AJZ53,SeasonTable,2,FALSE)</f>
        <v/>
      </c>
      <c r="AKC53" s="12">
        <f>(1+InflationRate)^INT((AJY53-1)/12)</f>
        <v/>
      </c>
      <c r="AKD53" s="11">
        <f>MonthlyChurn*VLOOKUP(AJZ53,ChurnSeasonTable,4,FALSE)</f>
        <v/>
      </c>
      <c r="AKE53" s="12">
        <f>MIN(MAX(MktMin19plus,ALC52*MktPct19plus),MAX(0,ALQ52-CashBuffer))</f>
        <v/>
      </c>
      <c r="AKF53" s="12">
        <f>IF(AKE53&gt;0,MAX(1,ROUND(AKE53/'Sens - CAC &amp; Marketing'!$A$10*AKB53,0)),0)</f>
        <v/>
      </c>
      <c r="AKG53" s="12">
        <f>IF(AKF53&gt;0,ROUND(AKF53*ReferralMix/(1-ReferralMix),0),0)</f>
        <v/>
      </c>
      <c r="AKH53" s="12">
        <f>AKF53+AKG53</f>
        <v/>
      </c>
      <c r="AKI53" s="12">
        <f>ROUND(AKH53*(1-AnnualMix),0)</f>
        <v/>
      </c>
      <c r="AKJ53" s="12">
        <f>AKH53-AKI53</f>
        <v/>
      </c>
      <c r="AKK53" s="12">
        <f>ROUND(AKI53*EssentialMix,0)</f>
        <v/>
      </c>
      <c r="AKL53" s="12">
        <f>ROUND(AKI53*PremiumMix,0)</f>
        <v/>
      </c>
      <c r="AKM53" s="12">
        <f>AKI53-AKK53-AKL53</f>
        <v/>
      </c>
      <c r="AKN53" s="12">
        <f>ROUND(AKJ53*EssentialMix,0)</f>
        <v/>
      </c>
      <c r="AKO53" s="12">
        <f>ROUND(AKJ53*PremiumMix,0)</f>
        <v/>
      </c>
      <c r="AKP53" s="12">
        <f>AKJ53-AKN53-AKO53</f>
        <v/>
      </c>
      <c r="AKQ53" s="12">
        <f>AKK53+AKK52+AKK51+MAX(0,AKQ52-AKK52-AKK51)*(1-AKD53)</f>
        <v/>
      </c>
      <c r="AKR53" s="12">
        <f>AKL53+AKL52+AKL51+MAX(0,AKR52-AKL52-AKL51)*(1-AKD53)</f>
        <v/>
      </c>
      <c r="AKS53" s="12">
        <f>AKM53+AKM52+AKM51+MAX(0,AKS52-AKM52-AKM51)*(1-AKD53)</f>
        <v/>
      </c>
      <c r="AKT53" s="12">
        <f>AKT52+AKN53-AKN41*(AnnualChurn*VLOOKUP(AJZ53,ChurnSeasonTable,4,FALSE))*POWER(1-(AnnualChurn*VLOOKUP(AJZ53,ChurnSeasonTable,4,FALSE)),0)+AKN29*(AnnualChurn*VLOOKUP(AJZ53,ChurnSeasonTable,4,FALSE))*POWER(1-(AnnualChurn*VLOOKUP(AJZ53,ChurnSeasonTable,4,FALSE)),1)+AKN17*(AnnualChurn*VLOOKUP(AJZ53,ChurnSeasonTable,4,FALSE))*POWER(1-(AnnualChurn*VLOOKUP(AJZ53,ChurnSeasonTable,4,FALSE)),2)+AKN5*(AnnualChurn*VLOOKUP(AJZ53,ChurnSeasonTable,4,FALSE))*POWER(1-(AnnualChurn*VLOOKUP(AJZ53,ChurnSeasonTable,4,FALSE)),3)</f>
        <v/>
      </c>
      <c r="AKU53" s="12">
        <f>AKU52+AKO53-AKO41*(AnnualChurn*VLOOKUP(AJZ53,ChurnSeasonTable,4,FALSE))*POWER(1-(AnnualChurn*VLOOKUP(AJZ53,ChurnSeasonTable,4,FALSE)),0)+AKO29*(AnnualChurn*VLOOKUP(AJZ53,ChurnSeasonTable,4,FALSE))*POWER(1-(AnnualChurn*VLOOKUP(AJZ53,ChurnSeasonTable,4,FALSE)),1)+AKO17*(AnnualChurn*VLOOKUP(AJZ53,ChurnSeasonTable,4,FALSE))*POWER(1-(AnnualChurn*VLOOKUP(AJZ53,ChurnSeasonTable,4,FALSE)),2)+AKO5*(AnnualChurn*VLOOKUP(AJZ53,ChurnSeasonTable,4,FALSE))*POWER(1-(AnnualChurn*VLOOKUP(AJZ53,ChurnSeasonTable,4,FALSE)),3)</f>
        <v/>
      </c>
      <c r="AKV53" s="12">
        <f>AKV52+AKP53-AKP41*(AnnualChurn*VLOOKUP(AJZ53,ChurnSeasonTable,4,FALSE))*POWER(1-(AnnualChurn*VLOOKUP(AJZ53,ChurnSeasonTable,4,FALSE)),0)+AKP29*(AnnualChurn*VLOOKUP(AJZ53,ChurnSeasonTable,4,FALSE))*POWER(1-(AnnualChurn*VLOOKUP(AJZ53,ChurnSeasonTable,4,FALSE)),1)+AKP17*(AnnualChurn*VLOOKUP(AJZ53,ChurnSeasonTable,4,FALSE))*POWER(1-(AnnualChurn*VLOOKUP(AJZ53,ChurnSeasonTable,4,FALSE)),2)+AKP5*(AnnualChurn*VLOOKUP(AJZ53,ChurnSeasonTable,4,FALSE))*POWER(1-(AnnualChurn*VLOOKUP(AJZ53,ChurnSeasonTable,4,FALSE)),3)</f>
        <v/>
      </c>
      <c r="AKW53" s="12">
        <f>AKQ53+AKR53+AKS53+AKT53+AKU53+AKV53</f>
        <v/>
      </c>
      <c r="AKX53" s="9">
        <f>AKQ53*BlendedPriceEssMonthly*AKC53+AKR53*BlendedPricePremMonthly*AKC53+AKS53*BlendedPriceEliteMonthly*AKC53+AKT53*BlendedPriceEssAnnual*AKC53/12+AKU53*BlendedPricePremAnnual*AKC53/12+AKV53*BlendedPriceEliteAnnual*AKC53/12</f>
        <v/>
      </c>
      <c r="AKY53" s="9">
        <f>AKX53*12</f>
        <v/>
      </c>
      <c r="AKZ53" s="12">
        <f>AKQ53*BlendedPriceEssMonthly*AKC53+AKR53*BlendedPricePremMonthly*AKC53+AKS53*BlendedPriceEliteMonthly*AKC53</f>
        <v/>
      </c>
      <c r="ALA53" s="12">
        <f>AKN53*BlendedPriceEssAnnual*AKC53+AKO53*BlendedPricePremAnnual*AKC53+AKP53*BlendedPriceEliteAnnual*AKC53</f>
        <v/>
      </c>
      <c r="ALB53" s="12">
        <f>AKN41*POWER(1-(AnnualChurn*VLOOKUP(AJZ53,ChurnSeasonTable,4,FALSE)),1)*BlendedPriceEssAnnual*AKC53+AKN29*POWER(1-(AnnualChurn*VLOOKUP(AJZ53,ChurnSeasonTable,4,FALSE)),2)*BlendedPriceEssAnnual*AKC53+AKN17*POWER(1-(AnnualChurn*VLOOKUP(AJZ53,ChurnSeasonTable,4,FALSE)),3)*BlendedPriceEssAnnual*AKC53+AKN5*POWER(1-(AnnualChurn*VLOOKUP(AJZ53,ChurnSeasonTable,4,FALSE)),4)*BlendedPriceEssAnnual*AKC53+AKO41*POWER(1-(AnnualChurn*VLOOKUP(AJZ53,ChurnSeasonTable,4,FALSE)),1)*BlendedPricePremAnnual*AKC53+AKO29*POWER(1-(AnnualChurn*VLOOKUP(AJZ53,ChurnSeasonTable,4,FALSE)),2)*BlendedPricePremAnnual*AKC53+AKO17*POWER(1-(AnnualChurn*VLOOKUP(AJZ53,ChurnSeasonTable,4,FALSE)),3)*BlendedPricePremAnnual*AKC53+AKO5*POWER(1-(AnnualChurn*VLOOKUP(AJZ53,ChurnSeasonTable,4,FALSE)),4)*BlendedPricePremAnnual*AKC53+AKP41*POWER(1-(AnnualChurn*VLOOKUP(AJZ53,ChurnSeasonTable,4,FALSE)),1)*BlendedPriceEliteAnnual*AKC53+AKP29*POWER(1-(AnnualChurn*VLOOKUP(AJZ53,ChurnSeasonTable,4,FALSE)),2)*BlendedPriceEliteAnnual*AKC53+AKP17*POWER(1-(AnnualChurn*VLOOKUP(AJZ53,ChurnSeasonTable,4,FALSE)),3)*BlendedPriceEliteAnnual*AKC53+AKP5*POWER(1-(AnnualChurn*VLOOKUP(AJZ53,ChurnSeasonTable,4,FALSE)),4)*BlendedPriceEliteAnnual*AKC53</f>
        <v/>
      </c>
      <c r="ALC53" s="9">
        <f>AKZ53+ALA53+ALB53</f>
        <v/>
      </c>
      <c r="ALD53" s="12">
        <f>SUM(ALC42:ALC53)</f>
        <v/>
      </c>
      <c r="ALE53" s="12">
        <f>OR(ALE52,IF(VATAgentMode,SUM($ALC42:$ALC53)-SUM($ALJ42:$ALJ53)&gt;=VATThreshold,SUM($ALC42:$ALC53)&gt;=VATThreshold))</f>
        <v/>
      </c>
      <c r="ALF53" s="9">
        <f>IF(ALE53,IF(VATAgentMode,ALC53-((ALC53-ALJ53)-(ALC53-ALJ53)/(1+VATRate)),ALC53/(1+VATRate)),ALC53)</f>
        <v/>
      </c>
      <c r="ALG53" s="12">
        <f>ALC53-ALF53</f>
        <v/>
      </c>
      <c r="ALH53" s="12">
        <f>IF(ALE53=0,0,IF(AJZ53=1,SUMPRODUCT(--(($AKA$5:$AKA53=$AKA53-1)*($AJZ$5:$AJZ53&gt;=10)*($AJZ$5:$AJZ53&lt;=12)),$ALG$5:$ALG53),IF(AJZ53=4,SUMPRODUCT(--(($AKA$5:$AKA53=$AKA53)*($AJZ$5:$AJZ53&gt;=1)*($AJZ$5:$AJZ53&lt;=3)),$ALG$5:$ALG53),IF(AJZ53=7,SUMPRODUCT(--(($AKA$5:$AKA53=$AKA53)*($AJZ$5:$AJZ53&gt;=4)*($AJZ$5:$AJZ53&lt;=6)),$ALG$5:$ALG53),IF(AJZ53=10,SUMPRODUCT(--(($AKA$5:$AKA53=$AKA53)*($AJZ$5:$AJZ53&gt;=7)*($AJZ$5:$AJZ53&lt;=9)),$ALG$5:$ALG53),0)))))</f>
        <v/>
      </c>
      <c r="ALI53" s="12">
        <f>ALI52+ALG53-ALH53</f>
        <v/>
      </c>
      <c r="ALJ53" s="12">
        <f>IF(ProviderDelay&gt;=1,AKQ52*BlendedProvPayEss+AKR52*BlendedProvPayPrem+AKS52*BlendedProvPayElite+AKT52*BlendedProvPayEss+AKU52*BlendedProvPayPrem+AKV52*BlendedProvPayElite,AKQ53*BlendedProvPayEss+AKR53*BlendedProvPayPrem+AKS53*BlendedProvPayElite+AKT53*BlendedProvPayEss+AKU53*BlendedProvPayPrem+AKV53*BlendedProvPayElite)</f>
        <v/>
      </c>
      <c r="ALK53" s="12">
        <f>ALC53*PaymentFee</f>
        <v/>
      </c>
      <c r="ALL53" s="12">
        <f>AKW53*OpsAI</f>
        <v/>
      </c>
      <c r="ALM53" s="12">
        <f>MonthlyFixed</f>
        <v/>
      </c>
      <c r="ALN53" s="12">
        <f>AKG53*ReferralReward</f>
        <v/>
      </c>
      <c r="ALO53" s="12">
        <f>AKE53</f>
        <v/>
      </c>
      <c r="ALP53" s="9">
        <f>ALF53-ALJ53-ALK53-ALL53-ALM53-ALN53-ALO53</f>
        <v/>
      </c>
      <c r="ALQ53" s="9">
        <f>ALQ52+ALC53-(ALJ53+ALK53+ALL53+ALM53+ALN53+ALO53+ALH53)</f>
        <v/>
      </c>
      <c r="ALR53" s="12">
        <f>IF(AKW53&gt;0,AKX53/AKW53,0)</f>
        <v/>
      </c>
      <c r="ALS53" s="11">
        <f>IF(AKW52&gt;0,MAX(0,(AKW52+AKH53-AKW53)/AKW52),0)</f>
        <v/>
      </c>
      <c r="ALU53" s="12" t="n">
        <v>49</v>
      </c>
      <c r="ALV53" s="12">
        <f>MOD(ALU53-1+LaunchMonth-1,12)+1</f>
        <v/>
      </c>
      <c r="ALW53" s="12">
        <f>INT((ALU53-1+LaunchMonth-1)/12)+1</f>
        <v/>
      </c>
      <c r="ALX53" s="12">
        <f>VLOOKUP(ALV53,SeasonTable,2,FALSE)</f>
        <v/>
      </c>
      <c r="ALY53" s="12">
        <f>(1+InflationRate)^INT((ALU53-1)/12)</f>
        <v/>
      </c>
      <c r="ALZ53" s="11">
        <f>MonthlyChurn*VLOOKUP(ALV53,ChurnSeasonTable,4,FALSE)</f>
        <v/>
      </c>
      <c r="AMA53" s="12">
        <f>MIN(MAX(MktMin19plus,AMY52*MktPct19plus),MAX(0,ANM52-CashBuffer))</f>
        <v/>
      </c>
      <c r="AMB53" s="12">
        <f>IF(AMA53&gt;0,MAX(1,ROUND(AMA53/'Sens - CAC &amp; Marketing'!$A$11*ALX53,0)),0)</f>
        <v/>
      </c>
      <c r="AMC53" s="12">
        <f>IF(AMB53&gt;0,ROUND(AMB53*ReferralMix/(1-ReferralMix),0),0)</f>
        <v/>
      </c>
      <c r="AMD53" s="12">
        <f>AMB53+AMC53</f>
        <v/>
      </c>
      <c r="AME53" s="12">
        <f>ROUND(AMD53*(1-AnnualMix),0)</f>
        <v/>
      </c>
      <c r="AMF53" s="12">
        <f>AMD53-AME53</f>
        <v/>
      </c>
      <c r="AMG53" s="12">
        <f>ROUND(AME53*EssentialMix,0)</f>
        <v/>
      </c>
      <c r="AMH53" s="12">
        <f>ROUND(AME53*PremiumMix,0)</f>
        <v/>
      </c>
      <c r="AMI53" s="12">
        <f>AME53-AMG53-AMH53</f>
        <v/>
      </c>
      <c r="AMJ53" s="12">
        <f>ROUND(AMF53*EssentialMix,0)</f>
        <v/>
      </c>
      <c r="AMK53" s="12">
        <f>ROUND(AMF53*PremiumMix,0)</f>
        <v/>
      </c>
      <c r="AML53" s="12">
        <f>AMF53-AMJ53-AMK53</f>
        <v/>
      </c>
      <c r="AMM53" s="12">
        <f>AMG53+AMG52+AMG51+MAX(0,AMM52-AMG52-AMG51)*(1-ALZ53)</f>
        <v/>
      </c>
      <c r="AMN53" s="12">
        <f>AMH53+AMH52+AMH51+MAX(0,AMN52-AMH52-AMH51)*(1-ALZ53)</f>
        <v/>
      </c>
      <c r="AMO53" s="12">
        <f>AMI53+AMI52+AMI51+MAX(0,AMO52-AMI52-AMI51)*(1-ALZ53)</f>
        <v/>
      </c>
      <c r="AMP53" s="12">
        <f>AMP52+AMJ53-AMJ41*(AnnualChurn*VLOOKUP(ALV53,ChurnSeasonTable,4,FALSE))*POWER(1-(AnnualChurn*VLOOKUP(ALV53,ChurnSeasonTable,4,FALSE)),0)+AMJ29*(AnnualChurn*VLOOKUP(ALV53,ChurnSeasonTable,4,FALSE))*POWER(1-(AnnualChurn*VLOOKUP(ALV53,ChurnSeasonTable,4,FALSE)),1)+AMJ17*(AnnualChurn*VLOOKUP(ALV53,ChurnSeasonTable,4,FALSE))*POWER(1-(AnnualChurn*VLOOKUP(ALV53,ChurnSeasonTable,4,FALSE)),2)+AMJ5*(AnnualChurn*VLOOKUP(ALV53,ChurnSeasonTable,4,FALSE))*POWER(1-(AnnualChurn*VLOOKUP(ALV53,ChurnSeasonTable,4,FALSE)),3)</f>
        <v/>
      </c>
      <c r="AMQ53" s="12">
        <f>AMQ52+AMK53-AMK41*(AnnualChurn*VLOOKUP(ALV53,ChurnSeasonTable,4,FALSE))*POWER(1-(AnnualChurn*VLOOKUP(ALV53,ChurnSeasonTable,4,FALSE)),0)+AMK29*(AnnualChurn*VLOOKUP(ALV53,ChurnSeasonTable,4,FALSE))*POWER(1-(AnnualChurn*VLOOKUP(ALV53,ChurnSeasonTable,4,FALSE)),1)+AMK17*(AnnualChurn*VLOOKUP(ALV53,ChurnSeasonTable,4,FALSE))*POWER(1-(AnnualChurn*VLOOKUP(ALV53,ChurnSeasonTable,4,FALSE)),2)+AMK5*(AnnualChurn*VLOOKUP(ALV53,ChurnSeasonTable,4,FALSE))*POWER(1-(AnnualChurn*VLOOKUP(ALV53,ChurnSeasonTable,4,FALSE)),3)</f>
        <v/>
      </c>
      <c r="AMR53" s="12">
        <f>AMR52+AML53-AML41*(AnnualChurn*VLOOKUP(ALV53,ChurnSeasonTable,4,FALSE))*POWER(1-(AnnualChurn*VLOOKUP(ALV53,ChurnSeasonTable,4,FALSE)),0)+AML29*(AnnualChurn*VLOOKUP(ALV53,ChurnSeasonTable,4,FALSE))*POWER(1-(AnnualChurn*VLOOKUP(ALV53,ChurnSeasonTable,4,FALSE)),1)+AML17*(AnnualChurn*VLOOKUP(ALV53,ChurnSeasonTable,4,FALSE))*POWER(1-(AnnualChurn*VLOOKUP(ALV53,ChurnSeasonTable,4,FALSE)),2)+AML5*(AnnualChurn*VLOOKUP(ALV53,ChurnSeasonTable,4,FALSE))*POWER(1-(AnnualChurn*VLOOKUP(ALV53,ChurnSeasonTable,4,FALSE)),3)</f>
        <v/>
      </c>
      <c r="AMS53" s="12">
        <f>AMM53+AMN53+AMO53+AMP53+AMQ53+AMR53</f>
        <v/>
      </c>
      <c r="AMT53" s="9">
        <f>AMM53*BlendedPriceEssMonthly*ALY53+AMN53*BlendedPricePremMonthly*ALY53+AMO53*BlendedPriceEliteMonthly*ALY53+AMP53*BlendedPriceEssAnnual*ALY53/12+AMQ53*BlendedPricePremAnnual*ALY53/12+AMR53*BlendedPriceEliteAnnual*ALY53/12</f>
        <v/>
      </c>
      <c r="AMU53" s="9">
        <f>AMT53*12</f>
        <v/>
      </c>
      <c r="AMV53" s="12">
        <f>AMM53*BlendedPriceEssMonthly*ALY53+AMN53*BlendedPricePremMonthly*ALY53+AMO53*BlendedPriceEliteMonthly*ALY53</f>
        <v/>
      </c>
      <c r="AMW53" s="12">
        <f>AMJ53*BlendedPriceEssAnnual*ALY53+AMK53*BlendedPricePremAnnual*ALY53+AML53*BlendedPriceEliteAnnual*ALY53</f>
        <v/>
      </c>
      <c r="AMX53" s="12">
        <f>AMJ41*POWER(1-(AnnualChurn*VLOOKUP(ALV53,ChurnSeasonTable,4,FALSE)),1)*BlendedPriceEssAnnual*ALY53+AMJ29*POWER(1-(AnnualChurn*VLOOKUP(ALV53,ChurnSeasonTable,4,FALSE)),2)*BlendedPriceEssAnnual*ALY53+AMJ17*POWER(1-(AnnualChurn*VLOOKUP(ALV53,ChurnSeasonTable,4,FALSE)),3)*BlendedPriceEssAnnual*ALY53+AMJ5*POWER(1-(AnnualChurn*VLOOKUP(ALV53,ChurnSeasonTable,4,FALSE)),4)*BlendedPriceEssAnnual*ALY53+AMK41*POWER(1-(AnnualChurn*VLOOKUP(ALV53,ChurnSeasonTable,4,FALSE)),1)*BlendedPricePremAnnual*ALY53+AMK29*POWER(1-(AnnualChurn*VLOOKUP(ALV53,ChurnSeasonTable,4,FALSE)),2)*BlendedPricePremAnnual*ALY53+AMK17*POWER(1-(AnnualChurn*VLOOKUP(ALV53,ChurnSeasonTable,4,FALSE)),3)*BlendedPricePremAnnual*ALY53+AMK5*POWER(1-(AnnualChurn*VLOOKUP(ALV53,ChurnSeasonTable,4,FALSE)),4)*BlendedPricePremAnnual*ALY53+AML41*POWER(1-(AnnualChurn*VLOOKUP(ALV53,ChurnSeasonTable,4,FALSE)),1)*BlendedPriceEliteAnnual*ALY53+AML29*POWER(1-(AnnualChurn*VLOOKUP(ALV53,ChurnSeasonTable,4,FALSE)),2)*BlendedPriceEliteAnnual*ALY53+AML17*POWER(1-(AnnualChurn*VLOOKUP(ALV53,ChurnSeasonTable,4,FALSE)),3)*BlendedPriceEliteAnnual*ALY53+AML5*POWER(1-(AnnualChurn*VLOOKUP(ALV53,ChurnSeasonTable,4,FALSE)),4)*BlendedPriceEliteAnnual*ALY53</f>
        <v/>
      </c>
      <c r="AMY53" s="9">
        <f>AMV53+AMW53+AMX53</f>
        <v/>
      </c>
      <c r="AMZ53" s="12">
        <f>SUM(AMY42:AMY53)</f>
        <v/>
      </c>
      <c r="ANA53" s="12">
        <f>OR(ANA52,IF(VATAgentMode,SUM($AMY42:$AMY53)-SUM($ANF42:$ANF53)&gt;=VATThreshold,SUM($AMY42:$AMY53)&gt;=VATThreshold))</f>
        <v/>
      </c>
      <c r="ANB53" s="9">
        <f>IF(ANA53,IF(VATAgentMode,AMY53-((AMY53-ANF53)-(AMY53-ANF53)/(1+VATRate)),AMY53/(1+VATRate)),AMY53)</f>
        <v/>
      </c>
      <c r="ANC53" s="12">
        <f>AMY53-ANB53</f>
        <v/>
      </c>
      <c r="AND53" s="12">
        <f>IF(ANA53=0,0,IF(ALV53=1,SUMPRODUCT(--(($ALW$5:$ALW53=$ALW53-1)*($ALV$5:$ALV53&gt;=10)*($ALV$5:$ALV53&lt;=12)),$ANC$5:$ANC53),IF(ALV53=4,SUMPRODUCT(--(($ALW$5:$ALW53=$ALW53)*($ALV$5:$ALV53&gt;=1)*($ALV$5:$ALV53&lt;=3)),$ANC$5:$ANC53),IF(ALV53=7,SUMPRODUCT(--(($ALW$5:$ALW53=$ALW53)*($ALV$5:$ALV53&gt;=4)*($ALV$5:$ALV53&lt;=6)),$ANC$5:$ANC53),IF(ALV53=10,SUMPRODUCT(--(($ALW$5:$ALW53=$ALW53)*($ALV$5:$ALV53&gt;=7)*($ALV$5:$ALV53&lt;=9)),$ANC$5:$ANC53),0)))))</f>
        <v/>
      </c>
      <c r="ANE53" s="12">
        <f>ANE52+ANC53-AND53</f>
        <v/>
      </c>
      <c r="ANF53" s="12">
        <f>IF(ProviderDelay&gt;=1,AMM52*BlendedProvPayEss+AMN52*BlendedProvPayPrem+AMO52*BlendedProvPayElite+AMP52*BlendedProvPayEss+AMQ52*BlendedProvPayPrem+AMR52*BlendedProvPayElite,AMM53*BlendedProvPayEss+AMN53*BlendedProvPayPrem+AMO53*BlendedProvPayElite+AMP53*BlendedProvPayEss+AMQ53*BlendedProvPayPrem+AMR53*BlendedProvPayElite)</f>
        <v/>
      </c>
      <c r="ANG53" s="12">
        <f>AMY53*PaymentFee</f>
        <v/>
      </c>
      <c r="ANH53" s="12">
        <f>AMS53*OpsAI</f>
        <v/>
      </c>
      <c r="ANI53" s="12">
        <f>MonthlyFixed</f>
        <v/>
      </c>
      <c r="ANJ53" s="12">
        <f>AMC53*ReferralReward</f>
        <v/>
      </c>
      <c r="ANK53" s="12">
        <f>AMA53</f>
        <v/>
      </c>
      <c r="ANL53" s="9">
        <f>ANB53-ANF53-ANG53-ANH53-ANI53-ANJ53-ANK53</f>
        <v/>
      </c>
      <c r="ANM53" s="9">
        <f>ANM52+AMY53-(ANF53+ANG53+ANH53+ANI53+ANJ53+ANK53+AND53)</f>
        <v/>
      </c>
      <c r="ANN53" s="12">
        <f>IF(AMS53&gt;0,AMT53/AMS53,0)</f>
        <v/>
      </c>
      <c r="ANO53" s="11">
        <f>IF(AMS52&gt;0,MAX(0,(AMS52+AMD53-AMS53)/AMS52),0)</f>
        <v/>
      </c>
      <c r="ANQ53" s="12" t="n">
        <v>49</v>
      </c>
      <c r="ANR53" s="12">
        <f>MOD(ANQ53-1+LaunchMonth-1,12)+1</f>
        <v/>
      </c>
      <c r="ANS53" s="12">
        <f>INT((ANQ53-1+LaunchMonth-1)/12)+1</f>
        <v/>
      </c>
      <c r="ANT53" s="12">
        <f>VLOOKUP(ANR53,SeasonTable,2,FALSE)</f>
        <v/>
      </c>
      <c r="ANU53" s="12">
        <f>(1+InflationRate)^INT((ANQ53-1)/12)</f>
        <v/>
      </c>
      <c r="ANV53" s="11">
        <f>MonthlyChurn*VLOOKUP(ANR53,ChurnSeasonTable,4,FALSE)</f>
        <v/>
      </c>
      <c r="ANW53" s="12">
        <f>MIN(MAX(MktMin19plus,AOU52*MktPct19plus),MAX(0,API52-CashBuffer))</f>
        <v/>
      </c>
      <c r="ANX53" s="12">
        <f>IF(ANW53&gt;0,MAX(1,ROUND(ANW53/'Sens - CAC &amp; Marketing'!$A$12*ANT53,0)),0)</f>
        <v/>
      </c>
      <c r="ANY53" s="12">
        <f>IF(ANX53&gt;0,ROUND(ANX53*ReferralMix/(1-ReferralMix),0),0)</f>
        <v/>
      </c>
      <c r="ANZ53" s="12">
        <f>ANX53+ANY53</f>
        <v/>
      </c>
      <c r="AOA53" s="12">
        <f>ROUND(ANZ53*(1-AnnualMix),0)</f>
        <v/>
      </c>
      <c r="AOB53" s="12">
        <f>ANZ53-AOA53</f>
        <v/>
      </c>
      <c r="AOC53" s="12">
        <f>ROUND(AOA53*EssentialMix,0)</f>
        <v/>
      </c>
      <c r="AOD53" s="12">
        <f>ROUND(AOA53*PremiumMix,0)</f>
        <v/>
      </c>
      <c r="AOE53" s="12">
        <f>AOA53-AOC53-AOD53</f>
        <v/>
      </c>
      <c r="AOF53" s="12">
        <f>ROUND(AOB53*EssentialMix,0)</f>
        <v/>
      </c>
      <c r="AOG53" s="12">
        <f>ROUND(AOB53*PremiumMix,0)</f>
        <v/>
      </c>
      <c r="AOH53" s="12">
        <f>AOB53-AOF53-AOG53</f>
        <v/>
      </c>
      <c r="AOI53" s="12">
        <f>AOC53+AOC52+AOC51+MAX(0,AOI52-AOC52-AOC51)*(1-ANV53)</f>
        <v/>
      </c>
      <c r="AOJ53" s="12">
        <f>AOD53+AOD52+AOD51+MAX(0,AOJ52-AOD52-AOD51)*(1-ANV53)</f>
        <v/>
      </c>
      <c r="AOK53" s="12">
        <f>AOE53+AOE52+AOE51+MAX(0,AOK52-AOE52-AOE51)*(1-ANV53)</f>
        <v/>
      </c>
      <c r="AOL53" s="12">
        <f>AOL52+AOF53-AOF41*(AnnualChurn*VLOOKUP(ANR53,ChurnSeasonTable,4,FALSE))*POWER(1-(AnnualChurn*VLOOKUP(ANR53,ChurnSeasonTable,4,FALSE)),0)+AOF29*(AnnualChurn*VLOOKUP(ANR53,ChurnSeasonTable,4,FALSE))*POWER(1-(AnnualChurn*VLOOKUP(ANR53,ChurnSeasonTable,4,FALSE)),1)+AOF17*(AnnualChurn*VLOOKUP(ANR53,ChurnSeasonTable,4,FALSE))*POWER(1-(AnnualChurn*VLOOKUP(ANR53,ChurnSeasonTable,4,FALSE)),2)+AOF5*(AnnualChurn*VLOOKUP(ANR53,ChurnSeasonTable,4,FALSE))*POWER(1-(AnnualChurn*VLOOKUP(ANR53,ChurnSeasonTable,4,FALSE)),3)</f>
        <v/>
      </c>
      <c r="AOM53" s="12">
        <f>AOM52+AOG53-AOG41*(AnnualChurn*VLOOKUP(ANR53,ChurnSeasonTable,4,FALSE))*POWER(1-(AnnualChurn*VLOOKUP(ANR53,ChurnSeasonTable,4,FALSE)),0)+AOG29*(AnnualChurn*VLOOKUP(ANR53,ChurnSeasonTable,4,FALSE))*POWER(1-(AnnualChurn*VLOOKUP(ANR53,ChurnSeasonTable,4,FALSE)),1)+AOG17*(AnnualChurn*VLOOKUP(ANR53,ChurnSeasonTable,4,FALSE))*POWER(1-(AnnualChurn*VLOOKUP(ANR53,ChurnSeasonTable,4,FALSE)),2)+AOG5*(AnnualChurn*VLOOKUP(ANR53,ChurnSeasonTable,4,FALSE))*POWER(1-(AnnualChurn*VLOOKUP(ANR53,ChurnSeasonTable,4,FALSE)),3)</f>
        <v/>
      </c>
      <c r="AON53" s="12">
        <f>AON52+AOH53-AOH41*(AnnualChurn*VLOOKUP(ANR53,ChurnSeasonTable,4,FALSE))*POWER(1-(AnnualChurn*VLOOKUP(ANR53,ChurnSeasonTable,4,FALSE)),0)+AOH29*(AnnualChurn*VLOOKUP(ANR53,ChurnSeasonTable,4,FALSE))*POWER(1-(AnnualChurn*VLOOKUP(ANR53,ChurnSeasonTable,4,FALSE)),1)+AOH17*(AnnualChurn*VLOOKUP(ANR53,ChurnSeasonTable,4,FALSE))*POWER(1-(AnnualChurn*VLOOKUP(ANR53,ChurnSeasonTable,4,FALSE)),2)+AOH5*(AnnualChurn*VLOOKUP(ANR53,ChurnSeasonTable,4,FALSE))*POWER(1-(AnnualChurn*VLOOKUP(ANR53,ChurnSeasonTable,4,FALSE)),3)</f>
        <v/>
      </c>
      <c r="AOO53" s="12">
        <f>AOI53+AOJ53+AOK53+AOL53+AOM53+AON53</f>
        <v/>
      </c>
      <c r="AOP53" s="9">
        <f>AOI53*BlendedPriceEssMonthly*ANU53+AOJ53*BlendedPricePremMonthly*ANU53+AOK53*BlendedPriceEliteMonthly*ANU53+AOL53*BlendedPriceEssAnnual*ANU53/12+AOM53*BlendedPricePremAnnual*ANU53/12+AON53*BlendedPriceEliteAnnual*ANU53/12</f>
        <v/>
      </c>
      <c r="AOQ53" s="9">
        <f>AOP53*12</f>
        <v/>
      </c>
      <c r="AOR53" s="12">
        <f>AOI53*BlendedPriceEssMonthly*ANU53+AOJ53*BlendedPricePremMonthly*ANU53+AOK53*BlendedPriceEliteMonthly*ANU53</f>
        <v/>
      </c>
      <c r="AOS53" s="12">
        <f>AOF53*BlendedPriceEssAnnual*ANU53+AOG53*BlendedPricePremAnnual*ANU53+AOH53*BlendedPriceEliteAnnual*ANU53</f>
        <v/>
      </c>
      <c r="AOT53" s="12">
        <f>AOF41*POWER(1-(AnnualChurn*VLOOKUP(ANR53,ChurnSeasonTable,4,FALSE)),1)*BlendedPriceEssAnnual*ANU53+AOF29*POWER(1-(AnnualChurn*VLOOKUP(ANR53,ChurnSeasonTable,4,FALSE)),2)*BlendedPriceEssAnnual*ANU53+AOF17*POWER(1-(AnnualChurn*VLOOKUP(ANR53,ChurnSeasonTable,4,FALSE)),3)*BlendedPriceEssAnnual*ANU53+AOF5*POWER(1-(AnnualChurn*VLOOKUP(ANR53,ChurnSeasonTable,4,FALSE)),4)*BlendedPriceEssAnnual*ANU53+AOG41*POWER(1-(AnnualChurn*VLOOKUP(ANR53,ChurnSeasonTable,4,FALSE)),1)*BlendedPricePremAnnual*ANU53+AOG29*POWER(1-(AnnualChurn*VLOOKUP(ANR53,ChurnSeasonTable,4,FALSE)),2)*BlendedPricePremAnnual*ANU53+AOG17*POWER(1-(AnnualChurn*VLOOKUP(ANR53,ChurnSeasonTable,4,FALSE)),3)*BlendedPricePremAnnual*ANU53+AOG5*POWER(1-(AnnualChurn*VLOOKUP(ANR53,ChurnSeasonTable,4,FALSE)),4)*BlendedPricePremAnnual*ANU53+AOH41*POWER(1-(AnnualChurn*VLOOKUP(ANR53,ChurnSeasonTable,4,FALSE)),1)*BlendedPriceEliteAnnual*ANU53+AOH29*POWER(1-(AnnualChurn*VLOOKUP(ANR53,ChurnSeasonTable,4,FALSE)),2)*BlendedPriceEliteAnnual*ANU53+AOH17*POWER(1-(AnnualChurn*VLOOKUP(ANR53,ChurnSeasonTable,4,FALSE)),3)*BlendedPriceEliteAnnual*ANU53+AOH5*POWER(1-(AnnualChurn*VLOOKUP(ANR53,ChurnSeasonTable,4,FALSE)),4)*BlendedPriceEliteAnnual*ANU53</f>
        <v/>
      </c>
      <c r="AOU53" s="9">
        <f>AOR53+AOS53+AOT53</f>
        <v/>
      </c>
      <c r="AOV53" s="12">
        <f>SUM(AOU42:AOU53)</f>
        <v/>
      </c>
      <c r="AOW53" s="12">
        <f>OR(AOW52,IF(VATAgentMode,SUM($AOU42:$AOU53)-SUM($APB42:$APB53)&gt;=VATThreshold,SUM($AOU42:$AOU53)&gt;=VATThreshold))</f>
        <v/>
      </c>
      <c r="AOX53" s="9">
        <f>IF(AOW53,IF(VATAgentMode,AOU53-((AOU53-APB53)-(AOU53-APB53)/(1+VATRate)),AOU53/(1+VATRate)),AOU53)</f>
        <v/>
      </c>
      <c r="AOY53" s="12">
        <f>AOU53-AOX53</f>
        <v/>
      </c>
      <c r="AOZ53" s="12">
        <f>IF(AOW53=0,0,IF(ANR53=1,SUMPRODUCT(--(($ANS$5:$ANS53=$ANS53-1)*($ANR$5:$ANR53&gt;=10)*($ANR$5:$ANR53&lt;=12)),$AOY$5:$AOY53),IF(ANR53=4,SUMPRODUCT(--(($ANS$5:$ANS53=$ANS53)*($ANR$5:$ANR53&gt;=1)*($ANR$5:$ANR53&lt;=3)),$AOY$5:$AOY53),IF(ANR53=7,SUMPRODUCT(--(($ANS$5:$ANS53=$ANS53)*($ANR$5:$ANR53&gt;=4)*($ANR$5:$ANR53&lt;=6)),$AOY$5:$AOY53),IF(ANR53=10,SUMPRODUCT(--(($ANS$5:$ANS53=$ANS53)*($ANR$5:$ANR53&gt;=7)*($ANR$5:$ANR53&lt;=9)),$AOY$5:$AOY53),0)))))</f>
        <v/>
      </c>
      <c r="APA53" s="12">
        <f>APA52+AOY53-AOZ53</f>
        <v/>
      </c>
      <c r="APB53" s="12">
        <f>IF(ProviderDelay&gt;=1,AOI52*BlendedProvPayEss+AOJ52*BlendedProvPayPrem+AOK52*BlendedProvPayElite+AOL52*BlendedProvPayEss+AOM52*BlendedProvPayPrem+AON52*BlendedProvPayElite,AOI53*BlendedProvPayEss+AOJ53*BlendedProvPayPrem+AOK53*BlendedProvPayElite+AOL53*BlendedProvPayEss+AOM53*BlendedProvPayPrem+AON53*BlendedProvPayElite)</f>
        <v/>
      </c>
      <c r="APC53" s="12">
        <f>AOU53*PaymentFee</f>
        <v/>
      </c>
      <c r="APD53" s="12">
        <f>AOO53*OpsAI</f>
        <v/>
      </c>
      <c r="APE53" s="12">
        <f>MonthlyFixed</f>
        <v/>
      </c>
      <c r="APF53" s="12">
        <f>ANY53*ReferralReward</f>
        <v/>
      </c>
      <c r="APG53" s="12">
        <f>ANW53</f>
        <v/>
      </c>
      <c r="APH53" s="9">
        <f>AOX53-APB53-APC53-APD53-APE53-APF53-APG53</f>
        <v/>
      </c>
      <c r="API53" s="9">
        <f>API52+AOU53-(APB53+APC53+APD53+APE53+APF53+APG53+AOZ53)</f>
        <v/>
      </c>
      <c r="APJ53" s="12">
        <f>IF(AOO53&gt;0,AOP53/AOO53,0)</f>
        <v/>
      </c>
      <c r="APK53" s="11">
        <f>IF(AOO52&gt;0,MAX(0,(AOO52+ANZ53-AOO53)/AOO52),0)</f>
        <v/>
      </c>
      <c r="APM53" s="12" t="n">
        <v>49</v>
      </c>
      <c r="APN53" s="12">
        <f>MOD(APM53-1+LaunchMonth-1,12)+1</f>
        <v/>
      </c>
      <c r="APO53" s="12">
        <f>INT((APM53-1+LaunchMonth-1)/12)+1</f>
        <v/>
      </c>
      <c r="APP53" s="12">
        <f>VLOOKUP(APN53,SeasonTable,2,FALSE)</f>
        <v/>
      </c>
      <c r="APQ53" s="12">
        <f>(1+InflationRate)^INT((APM53-1)/12)</f>
        <v/>
      </c>
      <c r="APR53" s="11">
        <f>MonthlyChurn*VLOOKUP(APN53,ChurnSeasonTable,4,FALSE)</f>
        <v/>
      </c>
      <c r="APS53" s="12">
        <f>MIN(MAX(MktMin19plus,AQQ52*MktPct19plus),MAX(0,ARE52-CashBuffer))</f>
        <v/>
      </c>
      <c r="APT53" s="12">
        <f>IF(APS53&gt;0,MAX(1,ROUND(APS53/'Sens - CAC &amp; Marketing'!$A$13*APP53,0)),0)</f>
        <v/>
      </c>
      <c r="APU53" s="12">
        <f>IF(APT53&gt;0,ROUND(APT53*ReferralMix/(1-ReferralMix),0),0)</f>
        <v/>
      </c>
      <c r="APV53" s="12">
        <f>APT53+APU53</f>
        <v/>
      </c>
      <c r="APW53" s="12">
        <f>ROUND(APV53*(1-AnnualMix),0)</f>
        <v/>
      </c>
      <c r="APX53" s="12">
        <f>APV53-APW53</f>
        <v/>
      </c>
      <c r="APY53" s="12">
        <f>ROUND(APW53*EssentialMix,0)</f>
        <v/>
      </c>
      <c r="APZ53" s="12">
        <f>ROUND(APW53*PremiumMix,0)</f>
        <v/>
      </c>
      <c r="AQA53" s="12">
        <f>APW53-APY53-APZ53</f>
        <v/>
      </c>
      <c r="AQB53" s="12">
        <f>ROUND(APX53*EssentialMix,0)</f>
        <v/>
      </c>
      <c r="AQC53" s="12">
        <f>ROUND(APX53*PremiumMix,0)</f>
        <v/>
      </c>
      <c r="AQD53" s="12">
        <f>APX53-AQB53-AQC53</f>
        <v/>
      </c>
      <c r="AQE53" s="12">
        <f>APY53+APY52+APY51+MAX(0,AQE52-APY52-APY51)*(1-APR53)</f>
        <v/>
      </c>
      <c r="AQF53" s="12">
        <f>APZ53+APZ52+APZ51+MAX(0,AQF52-APZ52-APZ51)*(1-APR53)</f>
        <v/>
      </c>
      <c r="AQG53" s="12">
        <f>AQA53+AQA52+AQA51+MAX(0,AQG52-AQA52-AQA51)*(1-APR53)</f>
        <v/>
      </c>
      <c r="AQH53" s="12">
        <f>AQH52+AQB53-AQB41*(AnnualChurn*VLOOKUP(APN53,ChurnSeasonTable,4,FALSE))*POWER(1-(AnnualChurn*VLOOKUP(APN53,ChurnSeasonTable,4,FALSE)),0)+AQB29*(AnnualChurn*VLOOKUP(APN53,ChurnSeasonTable,4,FALSE))*POWER(1-(AnnualChurn*VLOOKUP(APN53,ChurnSeasonTable,4,FALSE)),1)+AQB17*(AnnualChurn*VLOOKUP(APN53,ChurnSeasonTable,4,FALSE))*POWER(1-(AnnualChurn*VLOOKUP(APN53,ChurnSeasonTable,4,FALSE)),2)+AQB5*(AnnualChurn*VLOOKUP(APN53,ChurnSeasonTable,4,FALSE))*POWER(1-(AnnualChurn*VLOOKUP(APN53,ChurnSeasonTable,4,FALSE)),3)</f>
        <v/>
      </c>
      <c r="AQI53" s="12">
        <f>AQI52+AQC53-AQC41*(AnnualChurn*VLOOKUP(APN53,ChurnSeasonTable,4,FALSE))*POWER(1-(AnnualChurn*VLOOKUP(APN53,ChurnSeasonTable,4,FALSE)),0)+AQC29*(AnnualChurn*VLOOKUP(APN53,ChurnSeasonTable,4,FALSE))*POWER(1-(AnnualChurn*VLOOKUP(APN53,ChurnSeasonTable,4,FALSE)),1)+AQC17*(AnnualChurn*VLOOKUP(APN53,ChurnSeasonTable,4,FALSE))*POWER(1-(AnnualChurn*VLOOKUP(APN53,ChurnSeasonTable,4,FALSE)),2)+AQC5*(AnnualChurn*VLOOKUP(APN53,ChurnSeasonTable,4,FALSE))*POWER(1-(AnnualChurn*VLOOKUP(APN53,ChurnSeasonTable,4,FALSE)),3)</f>
        <v/>
      </c>
      <c r="AQJ53" s="12">
        <f>AQJ52+AQD53-AQD41*(AnnualChurn*VLOOKUP(APN53,ChurnSeasonTable,4,FALSE))*POWER(1-(AnnualChurn*VLOOKUP(APN53,ChurnSeasonTable,4,FALSE)),0)+AQD29*(AnnualChurn*VLOOKUP(APN53,ChurnSeasonTable,4,FALSE))*POWER(1-(AnnualChurn*VLOOKUP(APN53,ChurnSeasonTable,4,FALSE)),1)+AQD17*(AnnualChurn*VLOOKUP(APN53,ChurnSeasonTable,4,FALSE))*POWER(1-(AnnualChurn*VLOOKUP(APN53,ChurnSeasonTable,4,FALSE)),2)+AQD5*(AnnualChurn*VLOOKUP(APN53,ChurnSeasonTable,4,FALSE))*POWER(1-(AnnualChurn*VLOOKUP(APN53,ChurnSeasonTable,4,FALSE)),3)</f>
        <v/>
      </c>
      <c r="AQK53" s="12">
        <f>AQE53+AQF53+AQG53+AQH53+AQI53+AQJ53</f>
        <v/>
      </c>
      <c r="AQL53" s="9">
        <f>AQE53*BlendedPriceEssMonthly*APQ53+AQF53*BlendedPricePremMonthly*APQ53+AQG53*BlendedPriceEliteMonthly*APQ53+AQH53*BlendedPriceEssAnnual*APQ53/12+AQI53*BlendedPricePremAnnual*APQ53/12+AQJ53*BlendedPriceEliteAnnual*APQ53/12</f>
        <v/>
      </c>
      <c r="AQM53" s="9">
        <f>AQL53*12</f>
        <v/>
      </c>
      <c r="AQN53" s="12">
        <f>AQE53*BlendedPriceEssMonthly*APQ53+AQF53*BlendedPricePremMonthly*APQ53+AQG53*BlendedPriceEliteMonthly*APQ53</f>
        <v/>
      </c>
      <c r="AQO53" s="12">
        <f>AQB53*BlendedPriceEssAnnual*APQ53+AQC53*BlendedPricePremAnnual*APQ53+AQD53*BlendedPriceEliteAnnual*APQ53</f>
        <v/>
      </c>
      <c r="AQP53" s="12">
        <f>AQB41*POWER(1-(AnnualChurn*VLOOKUP(APN53,ChurnSeasonTable,4,FALSE)),1)*BlendedPriceEssAnnual*APQ53+AQB29*POWER(1-(AnnualChurn*VLOOKUP(APN53,ChurnSeasonTable,4,FALSE)),2)*BlendedPriceEssAnnual*APQ53+AQB17*POWER(1-(AnnualChurn*VLOOKUP(APN53,ChurnSeasonTable,4,FALSE)),3)*BlendedPriceEssAnnual*APQ53+AQB5*POWER(1-(AnnualChurn*VLOOKUP(APN53,ChurnSeasonTable,4,FALSE)),4)*BlendedPriceEssAnnual*APQ53+AQC41*POWER(1-(AnnualChurn*VLOOKUP(APN53,ChurnSeasonTable,4,FALSE)),1)*BlendedPricePremAnnual*APQ53+AQC29*POWER(1-(AnnualChurn*VLOOKUP(APN53,ChurnSeasonTable,4,FALSE)),2)*BlendedPricePremAnnual*APQ53+AQC17*POWER(1-(AnnualChurn*VLOOKUP(APN53,ChurnSeasonTable,4,FALSE)),3)*BlendedPricePremAnnual*APQ53+AQC5*POWER(1-(AnnualChurn*VLOOKUP(APN53,ChurnSeasonTable,4,FALSE)),4)*BlendedPricePremAnnual*APQ53+AQD41*POWER(1-(AnnualChurn*VLOOKUP(APN53,ChurnSeasonTable,4,FALSE)),1)*BlendedPriceEliteAnnual*APQ53+AQD29*POWER(1-(AnnualChurn*VLOOKUP(APN53,ChurnSeasonTable,4,FALSE)),2)*BlendedPriceEliteAnnual*APQ53+AQD17*POWER(1-(AnnualChurn*VLOOKUP(APN53,ChurnSeasonTable,4,FALSE)),3)*BlendedPriceEliteAnnual*APQ53+AQD5*POWER(1-(AnnualChurn*VLOOKUP(APN53,ChurnSeasonTable,4,FALSE)),4)*BlendedPriceEliteAnnual*APQ53</f>
        <v/>
      </c>
      <c r="AQQ53" s="9">
        <f>AQN53+AQO53+AQP53</f>
        <v/>
      </c>
      <c r="AQR53" s="12">
        <f>SUM(AQQ42:AQQ53)</f>
        <v/>
      </c>
      <c r="AQS53" s="12">
        <f>OR(AQS52,IF(VATAgentMode,SUM($AQQ42:$AQQ53)-SUM($AQX42:$AQX53)&gt;=VATThreshold,SUM($AQQ42:$AQQ53)&gt;=VATThreshold))</f>
        <v/>
      </c>
      <c r="AQT53" s="9">
        <f>IF(AQS53,IF(VATAgentMode,AQQ53-((AQQ53-AQX53)-(AQQ53-AQX53)/(1+VATRate)),AQQ53/(1+VATRate)),AQQ53)</f>
        <v/>
      </c>
      <c r="AQU53" s="12">
        <f>AQQ53-AQT53</f>
        <v/>
      </c>
      <c r="AQV53" s="12">
        <f>IF(AQS53=0,0,IF(APN53=1,SUMPRODUCT(--(($APO$5:$APO53=$APO53-1)*($APN$5:$APN53&gt;=10)*($APN$5:$APN53&lt;=12)),$AQU$5:$AQU53),IF(APN53=4,SUMPRODUCT(--(($APO$5:$APO53=$APO53)*($APN$5:$APN53&gt;=1)*($APN$5:$APN53&lt;=3)),$AQU$5:$AQU53),IF(APN53=7,SUMPRODUCT(--(($APO$5:$APO53=$APO53)*($APN$5:$APN53&gt;=4)*($APN$5:$APN53&lt;=6)),$AQU$5:$AQU53),IF(APN53=10,SUMPRODUCT(--(($APO$5:$APO53=$APO53)*($APN$5:$APN53&gt;=7)*($APN$5:$APN53&lt;=9)),$AQU$5:$AQU53),0)))))</f>
        <v/>
      </c>
      <c r="AQW53" s="12">
        <f>AQW52+AQU53-AQV53</f>
        <v/>
      </c>
      <c r="AQX53" s="12">
        <f>IF(ProviderDelay&gt;=1,AQE52*BlendedProvPayEss+AQF52*BlendedProvPayPrem+AQG52*BlendedProvPayElite+AQH52*BlendedProvPayEss+AQI52*BlendedProvPayPrem+AQJ52*BlendedProvPayElite,AQE53*BlendedProvPayEss+AQF53*BlendedProvPayPrem+AQG53*BlendedProvPayElite+AQH53*BlendedProvPayEss+AQI53*BlendedProvPayPrem+AQJ53*BlendedProvPayElite)</f>
        <v/>
      </c>
      <c r="AQY53" s="12">
        <f>AQQ53*PaymentFee</f>
        <v/>
      </c>
      <c r="AQZ53" s="12">
        <f>AQK53*OpsAI</f>
        <v/>
      </c>
      <c r="ARA53" s="12">
        <f>MonthlyFixed</f>
        <v/>
      </c>
      <c r="ARB53" s="12">
        <f>APU53*ReferralReward</f>
        <v/>
      </c>
      <c r="ARC53" s="12">
        <f>APS53</f>
        <v/>
      </c>
      <c r="ARD53" s="9">
        <f>AQT53-AQX53-AQY53-AQZ53-ARA53-ARB53-ARC53</f>
        <v/>
      </c>
      <c r="ARE53" s="9">
        <f>ARE52+AQQ53-(AQX53+AQY53+AQZ53+ARA53+ARB53+ARC53+AQV53)</f>
        <v/>
      </c>
      <c r="ARF53" s="12">
        <f>IF(AQK53&gt;0,AQL53/AQK53,0)</f>
        <v/>
      </c>
      <c r="ARG53" s="11">
        <f>IF(AQK52&gt;0,MAX(0,(AQK52+APV53-AQK53)/AQK52),0)</f>
        <v/>
      </c>
      <c r="ARI53" s="12" t="n">
        <v>49</v>
      </c>
      <c r="ARJ53" s="12">
        <f>MOD(ARI53-1+LaunchMonth-1,12)+1</f>
        <v/>
      </c>
      <c r="ARK53" s="12">
        <f>INT((ARI53-1+LaunchMonth-1)/12)+1</f>
        <v/>
      </c>
      <c r="ARL53" s="12">
        <f>VLOOKUP(ARJ53,SeasonTable,2,FALSE)</f>
        <v/>
      </c>
      <c r="ARM53" s="12">
        <f>(1+InflationRate)^INT((ARI53-1)/12)</f>
        <v/>
      </c>
      <c r="ARN53" s="11">
        <f>MonthlyChurn*VLOOKUP(ARJ53,ChurnSeasonTable,4,FALSE)</f>
        <v/>
      </c>
      <c r="ARO53" s="12">
        <f>MIN(MAX(MktMin19plus,ASM52*MktPct19plus),MAX(0,ATA52-CashBuffer))</f>
        <v/>
      </c>
      <c r="ARP53" s="12">
        <f>IF(ARO53&gt;0,MAX(1,ROUND(ARO53/'Sens - CAC &amp; Marketing'!$A$14*ARL53,0)),0)</f>
        <v/>
      </c>
      <c r="ARQ53" s="12">
        <f>IF(ARP53&gt;0,ROUND(ARP53*ReferralMix/(1-ReferralMix),0),0)</f>
        <v/>
      </c>
      <c r="ARR53" s="12">
        <f>ARP53+ARQ53</f>
        <v/>
      </c>
      <c r="ARS53" s="12">
        <f>ROUND(ARR53*(1-AnnualMix),0)</f>
        <v/>
      </c>
      <c r="ART53" s="12">
        <f>ARR53-ARS53</f>
        <v/>
      </c>
      <c r="ARU53" s="12">
        <f>ROUND(ARS53*EssentialMix,0)</f>
        <v/>
      </c>
      <c r="ARV53" s="12">
        <f>ROUND(ARS53*PremiumMix,0)</f>
        <v/>
      </c>
      <c r="ARW53" s="12">
        <f>ARS53-ARU53-ARV53</f>
        <v/>
      </c>
      <c r="ARX53" s="12">
        <f>ROUND(ART53*EssentialMix,0)</f>
        <v/>
      </c>
      <c r="ARY53" s="12">
        <f>ROUND(ART53*PremiumMix,0)</f>
        <v/>
      </c>
      <c r="ARZ53" s="12">
        <f>ART53-ARX53-ARY53</f>
        <v/>
      </c>
      <c r="ASA53" s="12">
        <f>ARU53+ARU52+ARU51+MAX(0,ASA52-ARU52-ARU51)*(1-ARN53)</f>
        <v/>
      </c>
      <c r="ASB53" s="12">
        <f>ARV53+ARV52+ARV51+MAX(0,ASB52-ARV52-ARV51)*(1-ARN53)</f>
        <v/>
      </c>
      <c r="ASC53" s="12">
        <f>ARW53+ARW52+ARW51+MAX(0,ASC52-ARW52-ARW51)*(1-ARN53)</f>
        <v/>
      </c>
      <c r="ASD53" s="12">
        <f>ASD52+ARX53-ARX41*(AnnualChurn*VLOOKUP(ARJ53,ChurnSeasonTable,4,FALSE))*POWER(1-(AnnualChurn*VLOOKUP(ARJ53,ChurnSeasonTable,4,FALSE)),0)+ARX29*(AnnualChurn*VLOOKUP(ARJ53,ChurnSeasonTable,4,FALSE))*POWER(1-(AnnualChurn*VLOOKUP(ARJ53,ChurnSeasonTable,4,FALSE)),1)+ARX17*(AnnualChurn*VLOOKUP(ARJ53,ChurnSeasonTable,4,FALSE))*POWER(1-(AnnualChurn*VLOOKUP(ARJ53,ChurnSeasonTable,4,FALSE)),2)+ARX5*(AnnualChurn*VLOOKUP(ARJ53,ChurnSeasonTable,4,FALSE))*POWER(1-(AnnualChurn*VLOOKUP(ARJ53,ChurnSeasonTable,4,FALSE)),3)</f>
        <v/>
      </c>
      <c r="ASE53" s="12">
        <f>ASE52+ARY53-ARY41*(AnnualChurn*VLOOKUP(ARJ53,ChurnSeasonTable,4,FALSE))*POWER(1-(AnnualChurn*VLOOKUP(ARJ53,ChurnSeasonTable,4,FALSE)),0)+ARY29*(AnnualChurn*VLOOKUP(ARJ53,ChurnSeasonTable,4,FALSE))*POWER(1-(AnnualChurn*VLOOKUP(ARJ53,ChurnSeasonTable,4,FALSE)),1)+ARY17*(AnnualChurn*VLOOKUP(ARJ53,ChurnSeasonTable,4,FALSE))*POWER(1-(AnnualChurn*VLOOKUP(ARJ53,ChurnSeasonTable,4,FALSE)),2)+ARY5*(AnnualChurn*VLOOKUP(ARJ53,ChurnSeasonTable,4,FALSE))*POWER(1-(AnnualChurn*VLOOKUP(ARJ53,ChurnSeasonTable,4,FALSE)),3)</f>
        <v/>
      </c>
      <c r="ASF53" s="12">
        <f>ASF52+ARZ53-ARZ41*(AnnualChurn*VLOOKUP(ARJ53,ChurnSeasonTable,4,FALSE))*POWER(1-(AnnualChurn*VLOOKUP(ARJ53,ChurnSeasonTable,4,FALSE)),0)+ARZ29*(AnnualChurn*VLOOKUP(ARJ53,ChurnSeasonTable,4,FALSE))*POWER(1-(AnnualChurn*VLOOKUP(ARJ53,ChurnSeasonTable,4,FALSE)),1)+ARZ17*(AnnualChurn*VLOOKUP(ARJ53,ChurnSeasonTable,4,FALSE))*POWER(1-(AnnualChurn*VLOOKUP(ARJ53,ChurnSeasonTable,4,FALSE)),2)+ARZ5*(AnnualChurn*VLOOKUP(ARJ53,ChurnSeasonTable,4,FALSE))*POWER(1-(AnnualChurn*VLOOKUP(ARJ53,ChurnSeasonTable,4,FALSE)),3)</f>
        <v/>
      </c>
      <c r="ASG53" s="12">
        <f>ASA53+ASB53+ASC53+ASD53+ASE53+ASF53</f>
        <v/>
      </c>
      <c r="ASH53" s="9">
        <f>ASA53*BlendedPriceEssMonthly*ARM53+ASB53*BlendedPricePremMonthly*ARM53+ASC53*BlendedPriceEliteMonthly*ARM53+ASD53*BlendedPriceEssAnnual*ARM53/12+ASE53*BlendedPricePremAnnual*ARM53/12+ASF53*BlendedPriceEliteAnnual*ARM53/12</f>
        <v/>
      </c>
      <c r="ASI53" s="9">
        <f>ASH53*12</f>
        <v/>
      </c>
      <c r="ASJ53" s="12">
        <f>ASA53*BlendedPriceEssMonthly*ARM53+ASB53*BlendedPricePremMonthly*ARM53+ASC53*BlendedPriceEliteMonthly*ARM53</f>
        <v/>
      </c>
      <c r="ASK53" s="12">
        <f>ARX53*BlendedPriceEssAnnual*ARM53+ARY53*BlendedPricePremAnnual*ARM53+ARZ53*BlendedPriceEliteAnnual*ARM53</f>
        <v/>
      </c>
      <c r="ASL53" s="12">
        <f>ARX41*POWER(1-(AnnualChurn*VLOOKUP(ARJ53,ChurnSeasonTable,4,FALSE)),1)*BlendedPriceEssAnnual*ARM53+ARX29*POWER(1-(AnnualChurn*VLOOKUP(ARJ53,ChurnSeasonTable,4,FALSE)),2)*BlendedPriceEssAnnual*ARM53+ARX17*POWER(1-(AnnualChurn*VLOOKUP(ARJ53,ChurnSeasonTable,4,FALSE)),3)*BlendedPriceEssAnnual*ARM53+ARX5*POWER(1-(AnnualChurn*VLOOKUP(ARJ53,ChurnSeasonTable,4,FALSE)),4)*BlendedPriceEssAnnual*ARM53+ARY41*POWER(1-(AnnualChurn*VLOOKUP(ARJ53,ChurnSeasonTable,4,FALSE)),1)*BlendedPricePremAnnual*ARM53+ARY29*POWER(1-(AnnualChurn*VLOOKUP(ARJ53,ChurnSeasonTable,4,FALSE)),2)*BlendedPricePremAnnual*ARM53+ARY17*POWER(1-(AnnualChurn*VLOOKUP(ARJ53,ChurnSeasonTable,4,FALSE)),3)*BlendedPricePremAnnual*ARM53+ARY5*POWER(1-(AnnualChurn*VLOOKUP(ARJ53,ChurnSeasonTable,4,FALSE)),4)*BlendedPricePremAnnual*ARM53+ARZ41*POWER(1-(AnnualChurn*VLOOKUP(ARJ53,ChurnSeasonTable,4,FALSE)),1)*BlendedPriceEliteAnnual*ARM53+ARZ29*POWER(1-(AnnualChurn*VLOOKUP(ARJ53,ChurnSeasonTable,4,FALSE)),2)*BlendedPriceEliteAnnual*ARM53+ARZ17*POWER(1-(AnnualChurn*VLOOKUP(ARJ53,ChurnSeasonTable,4,FALSE)),3)*BlendedPriceEliteAnnual*ARM53+ARZ5*POWER(1-(AnnualChurn*VLOOKUP(ARJ53,ChurnSeasonTable,4,FALSE)),4)*BlendedPriceEliteAnnual*ARM53</f>
        <v/>
      </c>
      <c r="ASM53" s="9">
        <f>ASJ53+ASK53+ASL53</f>
        <v/>
      </c>
      <c r="ASN53" s="12">
        <f>SUM(ASM42:ASM53)</f>
        <v/>
      </c>
      <c r="ASO53" s="12">
        <f>OR(ASO52,IF(VATAgentMode,SUM($ASM42:$ASM53)-SUM($AST42:$AST53)&gt;=VATThreshold,SUM($ASM42:$ASM53)&gt;=VATThreshold))</f>
        <v/>
      </c>
      <c r="ASP53" s="9">
        <f>IF(ASO53,IF(VATAgentMode,ASM53-((ASM53-AST53)-(ASM53-AST53)/(1+VATRate)),ASM53/(1+VATRate)),ASM53)</f>
        <v/>
      </c>
      <c r="ASQ53" s="12">
        <f>ASM53-ASP53</f>
        <v/>
      </c>
      <c r="ASR53" s="12">
        <f>IF(ASO53=0,0,IF(ARJ53=1,SUMPRODUCT(--(($ARK$5:$ARK53=$ARK53-1)*($ARJ$5:$ARJ53&gt;=10)*($ARJ$5:$ARJ53&lt;=12)),$ASQ$5:$ASQ53),IF(ARJ53=4,SUMPRODUCT(--(($ARK$5:$ARK53=$ARK53)*($ARJ$5:$ARJ53&gt;=1)*($ARJ$5:$ARJ53&lt;=3)),$ASQ$5:$ASQ53),IF(ARJ53=7,SUMPRODUCT(--(($ARK$5:$ARK53=$ARK53)*($ARJ$5:$ARJ53&gt;=4)*($ARJ$5:$ARJ53&lt;=6)),$ASQ$5:$ASQ53),IF(ARJ53=10,SUMPRODUCT(--(($ARK$5:$ARK53=$ARK53)*($ARJ$5:$ARJ53&gt;=7)*($ARJ$5:$ARJ53&lt;=9)),$ASQ$5:$ASQ53),0)))))</f>
        <v/>
      </c>
      <c r="ASS53" s="12">
        <f>ASS52+ASQ53-ASR53</f>
        <v/>
      </c>
      <c r="AST53" s="12">
        <f>IF(ProviderDelay&gt;=1,ASA52*BlendedProvPayEss+ASB52*BlendedProvPayPrem+ASC52*BlendedProvPayElite+ASD52*BlendedProvPayEss+ASE52*BlendedProvPayPrem+ASF52*BlendedProvPayElite,ASA53*BlendedProvPayEss+ASB53*BlendedProvPayPrem+ASC53*BlendedProvPayElite+ASD53*BlendedProvPayEss+ASE53*BlendedProvPayPrem+ASF53*BlendedProvPayElite)</f>
        <v/>
      </c>
      <c r="ASU53" s="12">
        <f>ASM53*PaymentFee</f>
        <v/>
      </c>
      <c r="ASV53" s="12">
        <f>ASG53*OpsAI</f>
        <v/>
      </c>
      <c r="ASW53" s="12">
        <f>MonthlyFixed</f>
        <v/>
      </c>
      <c r="ASX53" s="12">
        <f>ARQ53*ReferralReward</f>
        <v/>
      </c>
      <c r="ASY53" s="12">
        <f>ARO53</f>
        <v/>
      </c>
      <c r="ASZ53" s="9">
        <f>ASP53-AST53-ASU53-ASV53-ASW53-ASX53-ASY53</f>
        <v/>
      </c>
      <c r="ATA53" s="9">
        <f>ATA52+ASM53-(AST53+ASU53+ASV53+ASW53+ASX53+ASY53+ASR53)</f>
        <v/>
      </c>
      <c r="ATB53" s="12">
        <f>IF(ASG53&gt;0,ASH53/ASG53,0)</f>
        <v/>
      </c>
      <c r="ATC53" s="11">
        <f>IF(ASG52&gt;0,MAX(0,(ASG52+ARR53-ASG53)/ASG52),0)</f>
        <v/>
      </c>
      <c r="ATE53" s="12" t="n">
        <v>49</v>
      </c>
      <c r="ATF53" s="12">
        <f>MOD(ATE53-1+LaunchMonth-1,12)+1</f>
        <v/>
      </c>
      <c r="ATG53" s="12">
        <f>INT((ATE53-1+LaunchMonth-1)/12)+1</f>
        <v/>
      </c>
      <c r="ATH53" s="12">
        <f>VLOOKUP(ATF53,SeasonTable,2,FALSE)</f>
        <v/>
      </c>
      <c r="ATI53" s="12">
        <f>(1+InflationRate)^INT((ATE53-1)/12)</f>
        <v/>
      </c>
      <c r="ATJ53" s="11">
        <f>MonthlyChurn*VLOOKUP(ATF53,ChurnSeasonTable,4,FALSE)</f>
        <v/>
      </c>
      <c r="ATK53" s="12">
        <f>MIN(MAX(MktMin19plus,AUI52*MktPct19plus),MAX(0,AUW52-CashBuffer))</f>
        <v/>
      </c>
      <c r="ATL53" s="12">
        <f>IF(ATK53&gt;0,MAX(1,ROUND(ATK53/'Sens - CAC &amp; Marketing'!$A$15*ATH53,0)),0)</f>
        <v/>
      </c>
      <c r="ATM53" s="12">
        <f>IF(ATL53&gt;0,ROUND(ATL53*ReferralMix/(1-ReferralMix),0),0)</f>
        <v/>
      </c>
      <c r="ATN53" s="12">
        <f>ATL53+ATM53</f>
        <v/>
      </c>
      <c r="ATO53" s="12">
        <f>ROUND(ATN53*(1-AnnualMix),0)</f>
        <v/>
      </c>
      <c r="ATP53" s="12">
        <f>ATN53-ATO53</f>
        <v/>
      </c>
      <c r="ATQ53" s="12">
        <f>ROUND(ATO53*EssentialMix,0)</f>
        <v/>
      </c>
      <c r="ATR53" s="12">
        <f>ROUND(ATO53*PremiumMix,0)</f>
        <v/>
      </c>
      <c r="ATS53" s="12">
        <f>ATO53-ATQ53-ATR53</f>
        <v/>
      </c>
      <c r="ATT53" s="12">
        <f>ROUND(ATP53*EssentialMix,0)</f>
        <v/>
      </c>
      <c r="ATU53" s="12">
        <f>ROUND(ATP53*PremiumMix,0)</f>
        <v/>
      </c>
      <c r="ATV53" s="12">
        <f>ATP53-ATT53-ATU53</f>
        <v/>
      </c>
      <c r="ATW53" s="12">
        <f>ATQ53+ATQ52+ATQ51+MAX(0,ATW52-ATQ52-ATQ51)*(1-ATJ53)</f>
        <v/>
      </c>
      <c r="ATX53" s="12">
        <f>ATR53+ATR52+ATR51+MAX(0,ATX52-ATR52-ATR51)*(1-ATJ53)</f>
        <v/>
      </c>
      <c r="ATY53" s="12">
        <f>ATS53+ATS52+ATS51+MAX(0,ATY52-ATS52-ATS51)*(1-ATJ53)</f>
        <v/>
      </c>
      <c r="ATZ53" s="12">
        <f>ATZ52+ATT53-ATT41*(AnnualChurn*VLOOKUP(ATF53,ChurnSeasonTable,4,FALSE))*POWER(1-(AnnualChurn*VLOOKUP(ATF53,ChurnSeasonTable,4,FALSE)),0)+ATT29*(AnnualChurn*VLOOKUP(ATF53,ChurnSeasonTable,4,FALSE))*POWER(1-(AnnualChurn*VLOOKUP(ATF53,ChurnSeasonTable,4,FALSE)),1)+ATT17*(AnnualChurn*VLOOKUP(ATF53,ChurnSeasonTable,4,FALSE))*POWER(1-(AnnualChurn*VLOOKUP(ATF53,ChurnSeasonTable,4,FALSE)),2)+ATT5*(AnnualChurn*VLOOKUP(ATF53,ChurnSeasonTable,4,FALSE))*POWER(1-(AnnualChurn*VLOOKUP(ATF53,ChurnSeasonTable,4,FALSE)),3)</f>
        <v/>
      </c>
      <c r="AUA53" s="12">
        <f>AUA52+ATU53-ATU41*(AnnualChurn*VLOOKUP(ATF53,ChurnSeasonTable,4,FALSE))*POWER(1-(AnnualChurn*VLOOKUP(ATF53,ChurnSeasonTable,4,FALSE)),0)+ATU29*(AnnualChurn*VLOOKUP(ATF53,ChurnSeasonTable,4,FALSE))*POWER(1-(AnnualChurn*VLOOKUP(ATF53,ChurnSeasonTable,4,FALSE)),1)+ATU17*(AnnualChurn*VLOOKUP(ATF53,ChurnSeasonTable,4,FALSE))*POWER(1-(AnnualChurn*VLOOKUP(ATF53,ChurnSeasonTable,4,FALSE)),2)+ATU5*(AnnualChurn*VLOOKUP(ATF53,ChurnSeasonTable,4,FALSE))*POWER(1-(AnnualChurn*VLOOKUP(ATF53,ChurnSeasonTable,4,FALSE)),3)</f>
        <v/>
      </c>
      <c r="AUB53" s="12">
        <f>AUB52+ATV53-ATV41*(AnnualChurn*VLOOKUP(ATF53,ChurnSeasonTable,4,FALSE))*POWER(1-(AnnualChurn*VLOOKUP(ATF53,ChurnSeasonTable,4,FALSE)),0)+ATV29*(AnnualChurn*VLOOKUP(ATF53,ChurnSeasonTable,4,FALSE))*POWER(1-(AnnualChurn*VLOOKUP(ATF53,ChurnSeasonTable,4,FALSE)),1)+ATV17*(AnnualChurn*VLOOKUP(ATF53,ChurnSeasonTable,4,FALSE))*POWER(1-(AnnualChurn*VLOOKUP(ATF53,ChurnSeasonTable,4,FALSE)),2)+ATV5*(AnnualChurn*VLOOKUP(ATF53,ChurnSeasonTable,4,FALSE))*POWER(1-(AnnualChurn*VLOOKUP(ATF53,ChurnSeasonTable,4,FALSE)),3)</f>
        <v/>
      </c>
      <c r="AUC53" s="12">
        <f>ATW53+ATX53+ATY53+ATZ53+AUA53+AUB53</f>
        <v/>
      </c>
      <c r="AUD53" s="9">
        <f>ATW53*BlendedPriceEssMonthly*ATI53+ATX53*BlendedPricePremMonthly*ATI53+ATY53*BlendedPriceEliteMonthly*ATI53+ATZ53*BlendedPriceEssAnnual*ATI53/12+AUA53*BlendedPricePremAnnual*ATI53/12+AUB53*BlendedPriceEliteAnnual*ATI53/12</f>
        <v/>
      </c>
      <c r="AUE53" s="9">
        <f>AUD53*12</f>
        <v/>
      </c>
      <c r="AUF53" s="12">
        <f>ATW53*BlendedPriceEssMonthly*ATI53+ATX53*BlendedPricePremMonthly*ATI53+ATY53*BlendedPriceEliteMonthly*ATI53</f>
        <v/>
      </c>
      <c r="AUG53" s="12">
        <f>ATT53*BlendedPriceEssAnnual*ATI53+ATU53*BlendedPricePremAnnual*ATI53+ATV53*BlendedPriceEliteAnnual*ATI53</f>
        <v/>
      </c>
      <c r="AUH53" s="12">
        <f>ATT41*POWER(1-(AnnualChurn*VLOOKUP(ATF53,ChurnSeasonTable,4,FALSE)),1)*BlendedPriceEssAnnual*ATI53+ATT29*POWER(1-(AnnualChurn*VLOOKUP(ATF53,ChurnSeasonTable,4,FALSE)),2)*BlendedPriceEssAnnual*ATI53+ATT17*POWER(1-(AnnualChurn*VLOOKUP(ATF53,ChurnSeasonTable,4,FALSE)),3)*BlendedPriceEssAnnual*ATI53+ATT5*POWER(1-(AnnualChurn*VLOOKUP(ATF53,ChurnSeasonTable,4,FALSE)),4)*BlendedPriceEssAnnual*ATI53+ATU41*POWER(1-(AnnualChurn*VLOOKUP(ATF53,ChurnSeasonTable,4,FALSE)),1)*BlendedPricePremAnnual*ATI53+ATU29*POWER(1-(AnnualChurn*VLOOKUP(ATF53,ChurnSeasonTable,4,FALSE)),2)*BlendedPricePremAnnual*ATI53+ATU17*POWER(1-(AnnualChurn*VLOOKUP(ATF53,ChurnSeasonTable,4,FALSE)),3)*BlendedPricePremAnnual*ATI53+ATU5*POWER(1-(AnnualChurn*VLOOKUP(ATF53,ChurnSeasonTable,4,FALSE)),4)*BlendedPricePremAnnual*ATI53+ATV41*POWER(1-(AnnualChurn*VLOOKUP(ATF53,ChurnSeasonTable,4,FALSE)),1)*BlendedPriceEliteAnnual*ATI53+ATV29*POWER(1-(AnnualChurn*VLOOKUP(ATF53,ChurnSeasonTable,4,FALSE)),2)*BlendedPriceEliteAnnual*ATI53+ATV17*POWER(1-(AnnualChurn*VLOOKUP(ATF53,ChurnSeasonTable,4,FALSE)),3)*BlendedPriceEliteAnnual*ATI53+ATV5*POWER(1-(AnnualChurn*VLOOKUP(ATF53,ChurnSeasonTable,4,FALSE)),4)*BlendedPriceEliteAnnual*ATI53</f>
        <v/>
      </c>
      <c r="AUI53" s="9">
        <f>AUF53+AUG53+AUH53</f>
        <v/>
      </c>
      <c r="AUJ53" s="12">
        <f>SUM(AUI42:AUI53)</f>
        <v/>
      </c>
      <c r="AUK53" s="12">
        <f>OR(AUK52,IF(VATAgentMode,SUM($AUI42:$AUI53)-SUM($AUP42:$AUP53)&gt;=VATThreshold,SUM($AUI42:$AUI53)&gt;=VATThreshold))</f>
        <v/>
      </c>
      <c r="AUL53" s="9">
        <f>IF(AUK53,IF(VATAgentMode,AUI53-((AUI53-AUP53)-(AUI53-AUP53)/(1+VATRate)),AUI53/(1+VATRate)),AUI53)</f>
        <v/>
      </c>
      <c r="AUM53" s="12">
        <f>AUI53-AUL53</f>
        <v/>
      </c>
      <c r="AUN53" s="12">
        <f>IF(AUK53=0,0,IF(ATF53=1,SUMPRODUCT(--(($ATG$5:$ATG53=$ATG53-1)*($ATF$5:$ATF53&gt;=10)*($ATF$5:$ATF53&lt;=12)),$AUM$5:$AUM53),IF(ATF53=4,SUMPRODUCT(--(($ATG$5:$ATG53=$ATG53)*($ATF$5:$ATF53&gt;=1)*($ATF$5:$ATF53&lt;=3)),$AUM$5:$AUM53),IF(ATF53=7,SUMPRODUCT(--(($ATG$5:$ATG53=$ATG53)*($ATF$5:$ATF53&gt;=4)*($ATF$5:$ATF53&lt;=6)),$AUM$5:$AUM53),IF(ATF53=10,SUMPRODUCT(--(($ATG$5:$ATG53=$ATG53)*($ATF$5:$ATF53&gt;=7)*($ATF$5:$ATF53&lt;=9)),$AUM$5:$AUM53),0)))))</f>
        <v/>
      </c>
      <c r="AUO53" s="12">
        <f>AUO52+AUM53-AUN53</f>
        <v/>
      </c>
      <c r="AUP53" s="12">
        <f>IF(ProviderDelay&gt;=1,ATW52*BlendedProvPayEss+ATX52*BlendedProvPayPrem+ATY52*BlendedProvPayElite+ATZ52*BlendedProvPayEss+AUA52*BlendedProvPayPrem+AUB52*BlendedProvPayElite,ATW53*BlendedProvPayEss+ATX53*BlendedProvPayPrem+ATY53*BlendedProvPayElite+ATZ53*BlendedProvPayEss+AUA53*BlendedProvPayPrem+AUB53*BlendedProvPayElite)</f>
        <v/>
      </c>
      <c r="AUQ53" s="12">
        <f>AUI53*PaymentFee</f>
        <v/>
      </c>
      <c r="AUR53" s="12">
        <f>AUC53*OpsAI</f>
        <v/>
      </c>
      <c r="AUS53" s="12">
        <f>MonthlyFixed</f>
        <v/>
      </c>
      <c r="AUT53" s="12">
        <f>ATM53*ReferralReward</f>
        <v/>
      </c>
      <c r="AUU53" s="12">
        <f>ATK53</f>
        <v/>
      </c>
      <c r="AUV53" s="9">
        <f>AUL53-AUP53-AUQ53-AUR53-AUS53-AUT53-AUU53</f>
        <v/>
      </c>
      <c r="AUW53" s="9">
        <f>AUW52+AUI53-(AUP53+AUQ53+AUR53+AUS53+AUT53+AUU53+AUN53)</f>
        <v/>
      </c>
      <c r="AUX53" s="12">
        <f>IF(AUC53&gt;0,AUD53/AUC53,0)</f>
        <v/>
      </c>
      <c r="AUY53" s="11">
        <f>IF(AUC52&gt;0,MAX(0,(AUC52+ATN53-AUC53)/AUC52),0)</f>
        <v/>
      </c>
      <c r="AVA53" s="12" t="n">
        <v>49</v>
      </c>
      <c r="AVB53" s="12">
        <f>MOD(AVA53-1+LaunchMonth-1,12)+1</f>
        <v/>
      </c>
      <c r="AVC53" s="12">
        <f>INT((AVA53-1+LaunchMonth-1)/12)+1</f>
        <v/>
      </c>
      <c r="AVD53" s="12">
        <f>VLOOKUP(AVB53,WinterPivotSeasonTable,5,FALSE)</f>
        <v/>
      </c>
      <c r="AVE53" s="12">
        <f>(1+InflationRate)^INT((AVA53-1)/12)</f>
        <v/>
      </c>
      <c r="AVF53" s="11">
        <f>MonthlyChurn*VLOOKUP(AVB53,WinterPivotChurnTable,6,FALSE)</f>
        <v/>
      </c>
      <c r="AVG53" s="12">
        <f>MIN(MAX(MktMin19plus,AWE52*MktPct19plus),MAX(0,AWS52-CashBuffer))</f>
        <v/>
      </c>
      <c r="AVH53" s="12">
        <f>IF(AVG53&gt;0,MAX(1,ROUND(AVG53/CAC*AVD53,0)),0)</f>
        <v/>
      </c>
      <c r="AVI53" s="12">
        <f>IF(AVH53&gt;0,ROUND(AVH53*ReferralMix/(1-ReferralMix),0),0)</f>
        <v/>
      </c>
      <c r="AVJ53" s="12">
        <f>AVH53+AVI53</f>
        <v/>
      </c>
      <c r="AVK53" s="12">
        <f>ROUND(AVJ53*(1-AnnualMix),0)</f>
        <v/>
      </c>
      <c r="AVL53" s="12">
        <f>AVJ53-AVK53</f>
        <v/>
      </c>
      <c r="AVM53" s="12">
        <f>ROUND(AVK53*'Sens - Winter Pivot'!$B$6,0)</f>
        <v/>
      </c>
      <c r="AVN53" s="12">
        <f>ROUND(AVK53*PremiumMix,0)</f>
        <v/>
      </c>
      <c r="AVO53" s="12">
        <f>AVK53-AVM53-AVN53</f>
        <v/>
      </c>
      <c r="AVP53" s="12">
        <f>ROUND(AVL53*'Sens - Winter Pivot'!$B$6,0)</f>
        <v/>
      </c>
      <c r="AVQ53" s="12">
        <f>ROUND(AVL53*PremiumMix,0)</f>
        <v/>
      </c>
      <c r="AVR53" s="12">
        <f>AVL53-AVP53-AVQ53</f>
        <v/>
      </c>
      <c r="AVS53" s="12">
        <f>AVM53+AVM52+AVM51+MAX(0,AVS52-AVM52-AVM51)*(1-AVF53)</f>
        <v/>
      </c>
      <c r="AVT53" s="12">
        <f>AVN53+AVN52+AVN51+MAX(0,AVT52-AVN52-AVN51)*(1-AVF53)</f>
        <v/>
      </c>
      <c r="AVU53" s="12">
        <f>AVO53+AVO52+AVO51+MAX(0,AVU52-AVO52-AVO51)*(1-AVF53)</f>
        <v/>
      </c>
      <c r="AVV53" s="12">
        <f>AVV52+AVP53-AVP41*(AnnualChurn*VLOOKUP(AVB53,ChurnSeasonTable,4,FALSE))*POWER(1-(AnnualChurn*VLOOKUP(AVB53,ChurnSeasonTable,4,FALSE)),0)+AVP29*(AnnualChurn*VLOOKUP(AVB53,ChurnSeasonTable,4,FALSE))*POWER(1-(AnnualChurn*VLOOKUP(AVB53,ChurnSeasonTable,4,FALSE)),1)+AVP17*(AnnualChurn*VLOOKUP(AVB53,ChurnSeasonTable,4,FALSE))*POWER(1-(AnnualChurn*VLOOKUP(AVB53,ChurnSeasonTable,4,FALSE)),2)+AVP5*(AnnualChurn*VLOOKUP(AVB53,ChurnSeasonTable,4,FALSE))*POWER(1-(AnnualChurn*VLOOKUP(AVB53,ChurnSeasonTable,4,FALSE)),3)</f>
        <v/>
      </c>
      <c r="AVW53" s="12">
        <f>AVW52+AVQ53-AVQ41*(AnnualChurn*VLOOKUP(AVB53,ChurnSeasonTable,4,FALSE))*POWER(1-(AnnualChurn*VLOOKUP(AVB53,ChurnSeasonTable,4,FALSE)),0)+AVQ29*(AnnualChurn*VLOOKUP(AVB53,ChurnSeasonTable,4,FALSE))*POWER(1-(AnnualChurn*VLOOKUP(AVB53,ChurnSeasonTable,4,FALSE)),1)+AVQ17*(AnnualChurn*VLOOKUP(AVB53,ChurnSeasonTable,4,FALSE))*POWER(1-(AnnualChurn*VLOOKUP(AVB53,ChurnSeasonTable,4,FALSE)),2)+AVQ5*(AnnualChurn*VLOOKUP(AVB53,ChurnSeasonTable,4,FALSE))*POWER(1-(AnnualChurn*VLOOKUP(AVB53,ChurnSeasonTable,4,FALSE)),3)</f>
        <v/>
      </c>
      <c r="AVX53" s="12">
        <f>AVX52+AVR53-AVR41*(AnnualChurn*VLOOKUP(AVB53,ChurnSeasonTable,4,FALSE))*POWER(1-(AnnualChurn*VLOOKUP(AVB53,ChurnSeasonTable,4,FALSE)),0)+AVR29*(AnnualChurn*VLOOKUP(AVB53,ChurnSeasonTable,4,FALSE))*POWER(1-(AnnualChurn*VLOOKUP(AVB53,ChurnSeasonTable,4,FALSE)),1)+AVR17*(AnnualChurn*VLOOKUP(AVB53,ChurnSeasonTable,4,FALSE))*POWER(1-(AnnualChurn*VLOOKUP(AVB53,ChurnSeasonTable,4,FALSE)),2)+AVR5*(AnnualChurn*VLOOKUP(AVB53,ChurnSeasonTable,4,FALSE))*POWER(1-(AnnualChurn*VLOOKUP(AVB53,ChurnSeasonTable,4,FALSE)),3)</f>
        <v/>
      </c>
      <c r="AVY53" s="12">
        <f>AVS53+AVT53+AVU53+AVV53+AVW53+AVX53</f>
        <v/>
      </c>
      <c r="AVZ53" s="9">
        <f>AVS53*BlendedPriceEssMonthly*AVE53+AVT53*(BlendedPricePremMonthly+'Sens - Winter Pivot'!$B$7)*AVE53+AVU53*BlendedPriceEliteMonthly*AVE53+AVV53*BlendedPriceEssAnnual*AVE53/12+AVW53*(BlendedPricePremAnnual+'Sens - Winter Pivot'!$B$7*12)*AVE53/12+AVX53*BlendedPriceEliteAnnual*AVE53/12</f>
        <v/>
      </c>
      <c r="AWA53" s="9">
        <f>AVZ53*12</f>
        <v/>
      </c>
      <c r="AWB53" s="12">
        <f>AVS53*BlendedPriceEssMonthly*AVE53+AVT53*(BlendedPricePremMonthly+'Sens - Winter Pivot'!$B$7)*AVE53+AVU53*BlendedPriceEliteMonthly*AVE53</f>
        <v/>
      </c>
      <c r="AWC53" s="12">
        <f>AVP53*BlendedPriceEssAnnual*AVE53+AVQ53*(BlendedPricePremAnnual+'Sens - Winter Pivot'!$B$7*12)*AVE53+AVR53*BlendedPriceEliteAnnual*AVE53</f>
        <v/>
      </c>
      <c r="AWD53" s="12">
        <f>AVP41*POWER(1-(AnnualChurn*VLOOKUP(AVB53,ChurnSeasonTable,4,FALSE)),1)*BlendedPriceEssAnnual*AVE53+AVP29*POWER(1-(AnnualChurn*VLOOKUP(AVB53,ChurnSeasonTable,4,FALSE)),2)*BlendedPriceEssAnnual*AVE53+AVP17*POWER(1-(AnnualChurn*VLOOKUP(AVB53,ChurnSeasonTable,4,FALSE)),3)*BlendedPriceEssAnnual*AVE53+AVP5*POWER(1-(AnnualChurn*VLOOKUP(AVB53,ChurnSeasonTable,4,FALSE)),4)*BlendedPriceEssAnnual*AVE53+AVQ41*POWER(1-(AnnualChurn*VLOOKUP(AVB53,ChurnSeasonTable,4,FALSE)),1)*BlendedPricePremAnnual*AVE53+AVQ29*POWER(1-(AnnualChurn*VLOOKUP(AVB53,ChurnSeasonTable,4,FALSE)),2)*BlendedPricePremAnnual*AVE53+AVQ17*POWER(1-(AnnualChurn*VLOOKUP(AVB53,ChurnSeasonTable,4,FALSE)),3)*BlendedPricePremAnnual*AVE53+AVQ5*POWER(1-(AnnualChurn*VLOOKUP(AVB53,ChurnSeasonTable,4,FALSE)),4)*BlendedPricePremAnnual*AVE53+AVR41*POWER(1-(AnnualChurn*VLOOKUP(AVB53,ChurnSeasonTable,4,FALSE)),1)*BlendedPriceEliteAnnual*AVE53+AVR29*POWER(1-(AnnualChurn*VLOOKUP(AVB53,ChurnSeasonTable,4,FALSE)),2)*BlendedPriceEliteAnnual*AVE53+AVR17*POWER(1-(AnnualChurn*VLOOKUP(AVB53,ChurnSeasonTable,4,FALSE)),3)*BlendedPriceEliteAnnual*AVE53+AVR5*POWER(1-(AnnualChurn*VLOOKUP(AVB53,ChurnSeasonTable,4,FALSE)),4)*BlendedPriceEliteAnnual*AVE53</f>
        <v/>
      </c>
      <c r="AWE53" s="9">
        <f>AWB53+AWC53+AWD53</f>
        <v/>
      </c>
      <c r="AWF53" s="12">
        <f>SUM(AWE42:AWE53)</f>
        <v/>
      </c>
      <c r="AWG53" s="12">
        <f>OR(AWG52,IF(VATAgentMode,SUM($AWE42:$AWE53)-SUM($AWL42:$AWL53)&gt;=VATThreshold,SUM($AWE42:$AWE53)&gt;=VATThreshold))</f>
        <v/>
      </c>
      <c r="AWH53" s="9">
        <f>IF(AWG53,IF(VATAgentMode,AWE53-((AWE53-AWL53)-(AWE53-AWL53)/(1+VATRate)),AWE53/(1+VATRate)),AWE53)</f>
        <v/>
      </c>
      <c r="AWI53" s="12">
        <f>AWE53-AWH53</f>
        <v/>
      </c>
      <c r="AWJ53" s="12">
        <f>IF(AWG53=0,0,IF(AVB53=1,SUMPRODUCT(--(($AVC$5:$AVC53=$AVC53-1)*($AVB$5:$AVB53&gt;=10)*($AVB$5:$AVB53&lt;=12)),$AWI$5:$AWI53),IF(AVB53=4,SUMPRODUCT(--(($AVC$5:$AVC53=$AVC53)*($AVB$5:$AVB53&gt;=1)*($AVB$5:$AVB53&lt;=3)),$AWI$5:$AWI53),IF(AVB53=7,SUMPRODUCT(--(($AVC$5:$AVC53=$AVC53)*($AVB$5:$AVB53&gt;=4)*($AVB$5:$AVB53&lt;=6)),$AWI$5:$AWI53),IF(AVB53=10,SUMPRODUCT(--(($AVC$5:$AVC53=$AVC53)*($AVB$5:$AVB53&gt;=7)*($AVB$5:$AVB53&lt;=9)),$AWI$5:$AWI53),0)))))</f>
        <v/>
      </c>
      <c r="AWK53" s="12">
        <f>AWK52+AWI53-AWJ53</f>
        <v/>
      </c>
      <c r="AWL53" s="12">
        <f>IF(ProviderDelay&gt;=1,AVS52*BlendedProvPayEss+AVT52*BlendedProvPayPrem+AVU52*BlendedProvPayElite+AVV52*BlendedProvPayEss+AVW52*BlendedProvPayPrem+AVX52*BlendedProvPayElite,AVS53*BlendedProvPayEss+AVT53*BlendedProvPayPrem+AVU53*BlendedProvPayElite+AVV53*BlendedProvPayEss+AVW53*BlendedProvPayPrem+AVX53*BlendedProvPayElite)</f>
        <v/>
      </c>
      <c r="AWM53" s="12">
        <f>AWE53*PaymentFee</f>
        <v/>
      </c>
      <c r="AWN53" s="12">
        <f>AVY53*OpsAI</f>
        <v/>
      </c>
      <c r="AWO53" s="12">
        <f>MonthlyFixed</f>
        <v/>
      </c>
      <c r="AWP53" s="12">
        <f>AVI53*ReferralReward</f>
        <v/>
      </c>
      <c r="AWQ53" s="12">
        <f>AVG53</f>
        <v/>
      </c>
      <c r="AWR53" s="9">
        <f>AWH53-AWL53-AWM53-AWN53-AWO53-AWP53-AWQ53</f>
        <v/>
      </c>
      <c r="AWS53" s="9">
        <f>AWS52+AWE53-(AWL53+AWM53+AWN53+AWO53+AWP53+AWQ53+AWJ53)</f>
        <v/>
      </c>
      <c r="AWT53" s="12">
        <f>IF(AVY53&gt;0,AVZ53/AVY53,0)</f>
        <v/>
      </c>
      <c r="AWU53" s="11">
        <f>IF(AVY52&gt;0,MAX(0,(AVY52+AVJ53-AVY53)/AVY52),0)</f>
        <v/>
      </c>
    </row>
    <row r="54">
      <c r="A54" s="12" t="n">
        <v>50</v>
      </c>
      <c r="B54" s="12">
        <f>MOD(A54-1+LaunchMonth-1,12)+1</f>
        <v/>
      </c>
      <c r="C54" s="12">
        <f>INT((A54-1+LaunchMonth-1)/12)+1</f>
        <v/>
      </c>
      <c r="D54" s="12">
        <f>VLOOKUP(B54,SeasonTable,2,FALSE)</f>
        <v/>
      </c>
      <c r="E54" s="12">
        <f>(1+InflationRate)^INT((A54-1)/12)</f>
        <v/>
      </c>
      <c r="F54" s="11">
        <f>'Sens - Scenarios'!$B$5*VLOOKUP(B54,ChurnSeasonTable,4,FALSE)</f>
        <v/>
      </c>
      <c r="G54" s="12">
        <f>MIN(MAX(MktMin19plus,AE53*MktPct19plus),MAX(0,AS53-CashBuffer))</f>
        <v/>
      </c>
      <c r="H54" s="12">
        <f>IF(G54&gt;0,MAX(1,ROUND(G54/'Sens - Scenarios'!$B$8*D54,0)),0)</f>
        <v/>
      </c>
      <c r="I54" s="12">
        <f>IF(H54&gt;0,ROUND(H54*ReferralMix/(1-ReferralMix),0),0)</f>
        <v/>
      </c>
      <c r="J54" s="12">
        <f>H54+I54</f>
        <v/>
      </c>
      <c r="K54" s="12">
        <f>ROUND(J54*(1-'Sens - Scenarios'!$B$7),0)</f>
        <v/>
      </c>
      <c r="L54" s="12">
        <f>J54-K54</f>
        <v/>
      </c>
      <c r="M54" s="12">
        <f>ROUND(K54*EssentialMix,0)</f>
        <v/>
      </c>
      <c r="N54" s="12">
        <f>ROUND(K54*PremiumMix,0)</f>
        <v/>
      </c>
      <c r="O54" s="12">
        <f>K54-M54-N54</f>
        <v/>
      </c>
      <c r="P54" s="12">
        <f>ROUND(L54*EssentialMix,0)</f>
        <v/>
      </c>
      <c r="Q54" s="12">
        <f>ROUND(L54*PremiumMix,0)</f>
        <v/>
      </c>
      <c r="R54" s="12">
        <f>L54-P54-Q54</f>
        <v/>
      </c>
      <c r="S54" s="12">
        <f>M54+M53+M52+MAX(0,S53-M53-M52)*(1-F54)</f>
        <v/>
      </c>
      <c r="T54" s="12">
        <f>N54+N53+N52+MAX(0,T53-N53-N52)*(1-F54)</f>
        <v/>
      </c>
      <c r="U54" s="12">
        <f>O54+O53+O52+MAX(0,U53-O53-O52)*(1-F54)</f>
        <v/>
      </c>
      <c r="V54" s="12">
        <f>V53+P54-P42*('Sens - Scenarios'!$B$6*VLOOKUP(B54,ChurnSeasonTable,4,FALSE))*POWER(1-('Sens - Scenarios'!$B$6*VLOOKUP(B54,ChurnSeasonTable,4,FALSE)),0)+P30*('Sens - Scenarios'!$B$6*VLOOKUP(B54,ChurnSeasonTable,4,FALSE))*POWER(1-('Sens - Scenarios'!$B$6*VLOOKUP(B54,ChurnSeasonTable,4,FALSE)),1)+P18*('Sens - Scenarios'!$B$6*VLOOKUP(B54,ChurnSeasonTable,4,FALSE))*POWER(1-('Sens - Scenarios'!$B$6*VLOOKUP(B54,ChurnSeasonTable,4,FALSE)),2)+P6*('Sens - Scenarios'!$B$6*VLOOKUP(B54,ChurnSeasonTable,4,FALSE))*POWER(1-('Sens - Scenarios'!$B$6*VLOOKUP(B54,ChurnSeasonTable,4,FALSE)),3)</f>
        <v/>
      </c>
      <c r="W54" s="12">
        <f>W53+Q54-Q42*('Sens - Scenarios'!$B$6*VLOOKUP(B54,ChurnSeasonTable,4,FALSE))*POWER(1-('Sens - Scenarios'!$B$6*VLOOKUP(B54,ChurnSeasonTable,4,FALSE)),0)+Q30*('Sens - Scenarios'!$B$6*VLOOKUP(B54,ChurnSeasonTable,4,FALSE))*POWER(1-('Sens - Scenarios'!$B$6*VLOOKUP(B54,ChurnSeasonTable,4,FALSE)),1)+Q18*('Sens - Scenarios'!$B$6*VLOOKUP(B54,ChurnSeasonTable,4,FALSE))*POWER(1-('Sens - Scenarios'!$B$6*VLOOKUP(B54,ChurnSeasonTable,4,FALSE)),2)+Q6*('Sens - Scenarios'!$B$6*VLOOKUP(B54,ChurnSeasonTable,4,FALSE))*POWER(1-('Sens - Scenarios'!$B$6*VLOOKUP(B54,ChurnSeasonTable,4,FALSE)),3)</f>
        <v/>
      </c>
      <c r="X54" s="12">
        <f>X53+R54-R42*('Sens - Scenarios'!$B$6*VLOOKUP(B54,ChurnSeasonTable,4,FALSE))*POWER(1-('Sens - Scenarios'!$B$6*VLOOKUP(B54,ChurnSeasonTable,4,FALSE)),0)+R30*('Sens - Scenarios'!$B$6*VLOOKUP(B54,ChurnSeasonTable,4,FALSE))*POWER(1-('Sens - Scenarios'!$B$6*VLOOKUP(B54,ChurnSeasonTable,4,FALSE)),1)+R18*('Sens - Scenarios'!$B$6*VLOOKUP(B54,ChurnSeasonTable,4,FALSE))*POWER(1-('Sens - Scenarios'!$B$6*VLOOKUP(B54,ChurnSeasonTable,4,FALSE)),2)+R6*('Sens - Scenarios'!$B$6*VLOOKUP(B54,ChurnSeasonTable,4,FALSE))*POWER(1-('Sens - Scenarios'!$B$6*VLOOKUP(B54,ChurnSeasonTable,4,FALSE)),3)</f>
        <v/>
      </c>
      <c r="Y54" s="12">
        <f>S54+T54+U54+V54+W54+X54</f>
        <v/>
      </c>
      <c r="Z54" s="9">
        <f>S54*BlendedPriceEssMonthly*E54+T54*BlendedPricePremMonthly*E54+U54*BlendedPriceEliteMonthly*E54+V54*BlendedPriceEssAnnual*E54/12+W54*BlendedPricePremAnnual*E54/12+X54*BlendedPriceEliteAnnual*E54/12</f>
        <v/>
      </c>
      <c r="AA54" s="9">
        <f>Z54*12</f>
        <v/>
      </c>
      <c r="AB54" s="12">
        <f>S54*BlendedPriceEssMonthly*E54+T54*BlendedPricePremMonthly*E54+U54*BlendedPriceEliteMonthly*E54</f>
        <v/>
      </c>
      <c r="AC54" s="12">
        <f>P54*BlendedPriceEssAnnual*E54+Q54*BlendedPricePremAnnual*E54+R54*BlendedPriceEliteAnnual*E54</f>
        <v/>
      </c>
      <c r="AD54" s="12">
        <f>P42*POWER(1-('Sens - Scenarios'!$B$6*VLOOKUP(B54,ChurnSeasonTable,4,FALSE)),1)*BlendedPriceEssAnnual*E54+P30*POWER(1-('Sens - Scenarios'!$B$6*VLOOKUP(B54,ChurnSeasonTable,4,FALSE)),2)*BlendedPriceEssAnnual*E54+P18*POWER(1-('Sens - Scenarios'!$B$6*VLOOKUP(B54,ChurnSeasonTable,4,FALSE)),3)*BlendedPriceEssAnnual*E54+P6*POWER(1-('Sens - Scenarios'!$B$6*VLOOKUP(B54,ChurnSeasonTable,4,FALSE)),4)*BlendedPriceEssAnnual*E54+Q42*POWER(1-('Sens - Scenarios'!$B$6*VLOOKUP(B54,ChurnSeasonTable,4,FALSE)),1)*BlendedPricePremAnnual*E54+Q30*POWER(1-('Sens - Scenarios'!$B$6*VLOOKUP(B54,ChurnSeasonTable,4,FALSE)),2)*BlendedPricePremAnnual*E54+Q18*POWER(1-('Sens - Scenarios'!$B$6*VLOOKUP(B54,ChurnSeasonTable,4,FALSE)),3)*BlendedPricePremAnnual*E54+Q6*POWER(1-('Sens - Scenarios'!$B$6*VLOOKUP(B54,ChurnSeasonTable,4,FALSE)),4)*BlendedPricePremAnnual*E54+R42*POWER(1-('Sens - Scenarios'!$B$6*VLOOKUP(B54,ChurnSeasonTable,4,FALSE)),1)*BlendedPriceEliteAnnual*E54+R30*POWER(1-('Sens - Scenarios'!$B$6*VLOOKUP(B54,ChurnSeasonTable,4,FALSE)),2)*BlendedPriceEliteAnnual*E54+R18*POWER(1-('Sens - Scenarios'!$B$6*VLOOKUP(B54,ChurnSeasonTable,4,FALSE)),3)*BlendedPriceEliteAnnual*E54+R6*POWER(1-('Sens - Scenarios'!$B$6*VLOOKUP(B54,ChurnSeasonTable,4,FALSE)),4)*BlendedPriceEliteAnnual*E54</f>
        <v/>
      </c>
      <c r="AE54" s="9">
        <f>AB54+AC54+AD54</f>
        <v/>
      </c>
      <c r="AF54" s="12">
        <f>SUM(AE43:AE54)</f>
        <v/>
      </c>
      <c r="AG54" s="12">
        <f>OR(AG53,IF(VATAgentMode,SUM($AE43:$AE54)-SUM($AL43:$AL54)&gt;=VATThreshold,SUM($AE43:$AE54)&gt;=VATThreshold))</f>
        <v/>
      </c>
      <c r="AH54" s="9">
        <f>IF(AG54,IF(VATAgentMode,AE54-((AE54-AL54)-(AE54-AL54)/(1+VATRate)),AE54/(1+VATRate)),AE54)</f>
        <v/>
      </c>
      <c r="AI54" s="12">
        <f>AE54-AH54</f>
        <v/>
      </c>
      <c r="AJ54" s="12">
        <f>IF(AG54=0,0,IF(B54=1,SUMPRODUCT(--(($C$5:$C54=$C54-1)*($B$5:$B54&gt;=10)*($B$5:$B54&lt;=12)),$AI$5:$AI54),IF(B54=4,SUMPRODUCT(--(($C$5:$C54=$C54)*($B$5:$B54&gt;=1)*($B$5:$B54&lt;=3)),$AI$5:$AI54),IF(B54=7,SUMPRODUCT(--(($C$5:$C54=$C54)*($B$5:$B54&gt;=4)*($B$5:$B54&lt;=6)),$AI$5:$AI54),IF(B54=10,SUMPRODUCT(--(($C$5:$C54=$C54)*($B$5:$B54&gt;=7)*($B$5:$B54&lt;=9)),$AI$5:$AI54),0)))))</f>
        <v/>
      </c>
      <c r="AK54" s="12">
        <f>AK53+AI54-AJ54</f>
        <v/>
      </c>
      <c r="AL54" s="12">
        <f>IF(ProviderDelay&gt;=1,S53*BlendedProvPayEss+T53*BlendedProvPayPrem+U53*BlendedProvPayElite+V53*BlendedProvPayEss+W53*BlendedProvPayPrem+X53*BlendedProvPayElite,S54*BlendedProvPayEss+T54*BlendedProvPayPrem+U54*BlendedProvPayElite+V54*BlendedProvPayEss+W54*BlendedProvPayPrem+X54*BlendedProvPayElite)</f>
        <v/>
      </c>
      <c r="AM54" s="12">
        <f>AE54*PaymentFee</f>
        <v/>
      </c>
      <c r="AN54" s="12">
        <f>Y54*OpsAI</f>
        <v/>
      </c>
      <c r="AO54" s="12">
        <f>MonthlyFixed</f>
        <v/>
      </c>
      <c r="AP54" s="12">
        <f>I54*ReferralReward</f>
        <v/>
      </c>
      <c r="AQ54" s="12">
        <f>G54</f>
        <v/>
      </c>
      <c r="AR54" s="9">
        <f>AH54-AL54-AM54-AN54-AO54-AP54-AQ54</f>
        <v/>
      </c>
      <c r="AS54" s="9">
        <f>AS53+AE54-(AL54+AM54+AN54+AO54+AP54+AQ54+AJ54)</f>
        <v/>
      </c>
      <c r="AT54" s="12">
        <f>IF(Y54&gt;0,Z54/Y54,0)</f>
        <v/>
      </c>
      <c r="AU54" s="11">
        <f>IF(Y53&gt;0,MAX(0,(Y53+J54-Y54)/Y53),0)</f>
        <v/>
      </c>
      <c r="AW54" s="12" t="n">
        <v>50</v>
      </c>
      <c r="AX54" s="12">
        <f>MOD(AW54-1+LaunchMonth-1,12)+1</f>
        <v/>
      </c>
      <c r="AY54" s="12">
        <f>INT((AW54-1+LaunchMonth-1)/12)+1</f>
        <v/>
      </c>
      <c r="AZ54" s="12">
        <f>VLOOKUP(AX54,SeasonTable,2,FALSE)</f>
        <v/>
      </c>
      <c r="BA54" s="12">
        <f>(1+InflationRate)^INT((AW54-1)/12)</f>
        <v/>
      </c>
      <c r="BB54" s="11">
        <f>MonthlyChurn*VLOOKUP(AX54,ChurnSeasonTable,4,FALSE)</f>
        <v/>
      </c>
      <c r="BC54" s="12">
        <f>MIN(MAX(MktMin19plus,CA53*MktPct19plus),MAX(0,CO53-CashBuffer))</f>
        <v/>
      </c>
      <c r="BD54" s="12">
        <f>IF(BC54&gt;0,MAX(1,ROUND(BC54/CAC*AZ54,0)),0)</f>
        <v/>
      </c>
      <c r="BE54" s="12">
        <f>IF(BD54&gt;0,ROUND(BD54*ReferralMix/(1-ReferralMix),0),0)</f>
        <v/>
      </c>
      <c r="BF54" s="12">
        <f>BD54+BE54</f>
        <v/>
      </c>
      <c r="BG54" s="12">
        <f>ROUND(BF54*(1-AnnualMix),0)</f>
        <v/>
      </c>
      <c r="BH54" s="12">
        <f>BF54-BG54</f>
        <v/>
      </c>
      <c r="BI54" s="12">
        <f>ROUND(BG54*EssentialMix,0)</f>
        <v/>
      </c>
      <c r="BJ54" s="12">
        <f>ROUND(BG54*PremiumMix,0)</f>
        <v/>
      </c>
      <c r="BK54" s="12">
        <f>BG54-BI54-BJ54</f>
        <v/>
      </c>
      <c r="BL54" s="12">
        <f>ROUND(BH54*EssentialMix,0)</f>
        <v/>
      </c>
      <c r="BM54" s="12">
        <f>ROUND(BH54*PremiumMix,0)</f>
        <v/>
      </c>
      <c r="BN54" s="12">
        <f>BH54-BL54-BM54</f>
        <v/>
      </c>
      <c r="BO54" s="12">
        <f>BI54+BI53+BI52+MAX(0,BO53-BI53-BI52)*(1-BB54)</f>
        <v/>
      </c>
      <c r="BP54" s="12">
        <f>BJ54+BJ53+BJ52+MAX(0,BP53-BJ53-BJ52)*(1-BB54)</f>
        <v/>
      </c>
      <c r="BQ54" s="12">
        <f>BK54+BK53+BK52+MAX(0,BQ53-BK53-BK52)*(1-BB54)</f>
        <v/>
      </c>
      <c r="BR54" s="12">
        <f>BR53+BL54-BL42*(AnnualChurn*VLOOKUP(AX54,ChurnSeasonTable,4,FALSE))*POWER(1-(AnnualChurn*VLOOKUP(AX54,ChurnSeasonTable,4,FALSE)),0)+BL30*(AnnualChurn*VLOOKUP(AX54,ChurnSeasonTable,4,FALSE))*POWER(1-(AnnualChurn*VLOOKUP(AX54,ChurnSeasonTable,4,FALSE)),1)+BL18*(AnnualChurn*VLOOKUP(AX54,ChurnSeasonTable,4,FALSE))*POWER(1-(AnnualChurn*VLOOKUP(AX54,ChurnSeasonTable,4,FALSE)),2)+BL6*(AnnualChurn*VLOOKUP(AX54,ChurnSeasonTable,4,FALSE))*POWER(1-(AnnualChurn*VLOOKUP(AX54,ChurnSeasonTable,4,FALSE)),3)</f>
        <v/>
      </c>
      <c r="BS54" s="12">
        <f>BS53+BM54-BM42*(AnnualChurn*VLOOKUP(AX54,ChurnSeasonTable,4,FALSE))*POWER(1-(AnnualChurn*VLOOKUP(AX54,ChurnSeasonTable,4,FALSE)),0)+BM30*(AnnualChurn*VLOOKUP(AX54,ChurnSeasonTable,4,FALSE))*POWER(1-(AnnualChurn*VLOOKUP(AX54,ChurnSeasonTable,4,FALSE)),1)+BM18*(AnnualChurn*VLOOKUP(AX54,ChurnSeasonTable,4,FALSE))*POWER(1-(AnnualChurn*VLOOKUP(AX54,ChurnSeasonTable,4,FALSE)),2)+BM6*(AnnualChurn*VLOOKUP(AX54,ChurnSeasonTable,4,FALSE))*POWER(1-(AnnualChurn*VLOOKUP(AX54,ChurnSeasonTable,4,FALSE)),3)</f>
        <v/>
      </c>
      <c r="BT54" s="12">
        <f>BT53+BN54-BN42*(AnnualChurn*VLOOKUP(AX54,ChurnSeasonTable,4,FALSE))*POWER(1-(AnnualChurn*VLOOKUP(AX54,ChurnSeasonTable,4,FALSE)),0)+BN30*(AnnualChurn*VLOOKUP(AX54,ChurnSeasonTable,4,FALSE))*POWER(1-(AnnualChurn*VLOOKUP(AX54,ChurnSeasonTable,4,FALSE)),1)+BN18*(AnnualChurn*VLOOKUP(AX54,ChurnSeasonTable,4,FALSE))*POWER(1-(AnnualChurn*VLOOKUP(AX54,ChurnSeasonTable,4,FALSE)),2)+BN6*(AnnualChurn*VLOOKUP(AX54,ChurnSeasonTable,4,FALSE))*POWER(1-(AnnualChurn*VLOOKUP(AX54,ChurnSeasonTable,4,FALSE)),3)</f>
        <v/>
      </c>
      <c r="BU54" s="12">
        <f>BO54+BP54+BQ54+BR54+BS54+BT54</f>
        <v/>
      </c>
      <c r="BV54" s="9">
        <f>BO54*BlendedPriceEssMonthly*BA54+BP54*BlendedPricePremMonthly*BA54+BQ54*BlendedPriceEliteMonthly*BA54+BR54*BlendedPriceEssAnnual*BA54/12+BS54*BlendedPricePremAnnual*BA54/12+BT54*BlendedPriceEliteAnnual*BA54/12</f>
        <v/>
      </c>
      <c r="BW54" s="9">
        <f>BV54*12</f>
        <v/>
      </c>
      <c r="BX54" s="12">
        <f>BO54*BlendedPriceEssMonthly*BA54+BP54*BlendedPricePremMonthly*BA54+BQ54*BlendedPriceEliteMonthly*BA54</f>
        <v/>
      </c>
      <c r="BY54" s="12">
        <f>BL54*BlendedPriceEssAnnual*BA54+BM54*BlendedPricePremAnnual*BA54+BN54*BlendedPriceEliteAnnual*BA54</f>
        <v/>
      </c>
      <c r="BZ54" s="12">
        <f>BL42*POWER(1-(AnnualChurn*VLOOKUP(AX54,ChurnSeasonTable,4,FALSE)),1)*BlendedPriceEssAnnual*BA54+BL30*POWER(1-(AnnualChurn*VLOOKUP(AX54,ChurnSeasonTable,4,FALSE)),2)*BlendedPriceEssAnnual*BA54+BL18*POWER(1-(AnnualChurn*VLOOKUP(AX54,ChurnSeasonTable,4,FALSE)),3)*BlendedPriceEssAnnual*BA54+BL6*POWER(1-(AnnualChurn*VLOOKUP(AX54,ChurnSeasonTable,4,FALSE)),4)*BlendedPriceEssAnnual*BA54+BM42*POWER(1-(AnnualChurn*VLOOKUP(AX54,ChurnSeasonTable,4,FALSE)),1)*BlendedPricePremAnnual*BA54+BM30*POWER(1-(AnnualChurn*VLOOKUP(AX54,ChurnSeasonTable,4,FALSE)),2)*BlendedPricePremAnnual*BA54+BM18*POWER(1-(AnnualChurn*VLOOKUP(AX54,ChurnSeasonTable,4,FALSE)),3)*BlendedPricePremAnnual*BA54+BM6*POWER(1-(AnnualChurn*VLOOKUP(AX54,ChurnSeasonTable,4,FALSE)),4)*BlendedPricePremAnnual*BA54+BN42*POWER(1-(AnnualChurn*VLOOKUP(AX54,ChurnSeasonTable,4,FALSE)),1)*BlendedPriceEliteAnnual*BA54+BN30*POWER(1-(AnnualChurn*VLOOKUP(AX54,ChurnSeasonTable,4,FALSE)),2)*BlendedPriceEliteAnnual*BA54+BN18*POWER(1-(AnnualChurn*VLOOKUP(AX54,ChurnSeasonTable,4,FALSE)),3)*BlendedPriceEliteAnnual*BA54+BN6*POWER(1-(AnnualChurn*VLOOKUP(AX54,ChurnSeasonTable,4,FALSE)),4)*BlendedPriceEliteAnnual*BA54</f>
        <v/>
      </c>
      <c r="CA54" s="9">
        <f>BX54+BY54+BZ54</f>
        <v/>
      </c>
      <c r="CB54" s="12">
        <f>SUM(CA43:CA54)</f>
        <v/>
      </c>
      <c r="CC54" s="12">
        <f>OR(CC53,IF(VATAgentMode,SUM($CA43:$CA54)-SUM($CH43:$CH54)&gt;=VATThreshold,SUM($CA43:$CA54)&gt;=VATThreshold))</f>
        <v/>
      </c>
      <c r="CD54" s="9">
        <f>IF(CC54,IF(VATAgentMode,CA54-((CA54-CH54)-(CA54-CH54)/(1+VATRate)),CA54/(1+VATRate)),CA54)</f>
        <v/>
      </c>
      <c r="CE54" s="12">
        <f>CA54-CD54</f>
        <v/>
      </c>
      <c r="CF54" s="12">
        <f>IF(CC54=0,0,IF(AX54=1,SUMPRODUCT(--(($AY$5:$AY54=$AY54-1)*($AX$5:$AX54&gt;=10)*($AX$5:$AX54&lt;=12)),$CE$5:$CE54),IF(AX54=4,SUMPRODUCT(--(($AY$5:$AY54=$AY54)*($AX$5:$AX54&gt;=1)*($AX$5:$AX54&lt;=3)),$CE$5:$CE54),IF(AX54=7,SUMPRODUCT(--(($AY$5:$AY54=$AY54)*($AX$5:$AX54&gt;=4)*($AX$5:$AX54&lt;=6)),$CE$5:$CE54),IF(AX54=10,SUMPRODUCT(--(($AY$5:$AY54=$AY54)*($AX$5:$AX54&gt;=7)*($AX$5:$AX54&lt;=9)),$CE$5:$CE54),0)))))</f>
        <v/>
      </c>
      <c r="CG54" s="12">
        <f>CG53+CE54-CF54</f>
        <v/>
      </c>
      <c r="CH54" s="12">
        <f>IF(ProviderDelay&gt;=1,BO53*BlendedProvPayEss+BP53*BlendedProvPayPrem+BQ53*BlendedProvPayElite+BR53*BlendedProvPayEss+BS53*BlendedProvPayPrem+BT53*BlendedProvPayElite,BO54*BlendedProvPayEss+BP54*BlendedProvPayPrem+BQ54*BlendedProvPayElite+BR54*BlendedProvPayEss+BS54*BlendedProvPayPrem+BT54*BlendedProvPayElite)</f>
        <v/>
      </c>
      <c r="CI54" s="12">
        <f>CA54*PaymentFee</f>
        <v/>
      </c>
      <c r="CJ54" s="12">
        <f>BU54*OpsAI</f>
        <v/>
      </c>
      <c r="CK54" s="12">
        <f>MonthlyFixed</f>
        <v/>
      </c>
      <c r="CL54" s="12">
        <f>BE54*ReferralReward</f>
        <v/>
      </c>
      <c r="CM54" s="12">
        <f>BC54</f>
        <v/>
      </c>
      <c r="CN54" s="9">
        <f>CD54-CH54-CI54-CJ54-CK54-CL54-CM54</f>
        <v/>
      </c>
      <c r="CO54" s="9">
        <f>CO53+CA54-(CH54+CI54+CJ54+CK54+CL54+CM54+CF54)</f>
        <v/>
      </c>
      <c r="CP54" s="12">
        <f>IF(BU54&gt;0,BV54/BU54,0)</f>
        <v/>
      </c>
      <c r="CQ54" s="11">
        <f>IF(BU53&gt;0,MAX(0,(BU53+BF54-BU54)/BU53),0)</f>
        <v/>
      </c>
      <c r="CS54" s="12" t="n">
        <v>50</v>
      </c>
      <c r="CT54" s="12">
        <f>MOD(CS54-1+LaunchMonth-1,12)+1</f>
        <v/>
      </c>
      <c r="CU54" s="12">
        <f>INT((CS54-1+LaunchMonth-1)/12)+1</f>
        <v/>
      </c>
      <c r="CV54" s="12">
        <f>VLOOKUP(CT54,SeasonTable,2,FALSE)</f>
        <v/>
      </c>
      <c r="CW54" s="12">
        <f>(1+InflationRate)^INT((CS54-1)/12)</f>
        <v/>
      </c>
      <c r="CX54" s="11">
        <f>'Sens - Scenarios'!$D$5*VLOOKUP(CT54,ChurnSeasonTable,4,FALSE)</f>
        <v/>
      </c>
      <c r="CY54" s="12">
        <f>MIN(MAX(MktMin19plus,DW53*MktPct19plus),MAX(0,EK53-CashBuffer))</f>
        <v/>
      </c>
      <c r="CZ54" s="12">
        <f>IF(CY54&gt;0,MAX(1,ROUND(CY54/'Sens - Scenarios'!$D$8*CV54,0)),0)</f>
        <v/>
      </c>
      <c r="DA54" s="12">
        <f>IF(CZ54&gt;0,ROUND(CZ54*ReferralMix/(1-ReferralMix),0),0)</f>
        <v/>
      </c>
      <c r="DB54" s="12">
        <f>CZ54+DA54</f>
        <v/>
      </c>
      <c r="DC54" s="12">
        <f>ROUND(DB54*(1-'Sens - Scenarios'!$D$7),0)</f>
        <v/>
      </c>
      <c r="DD54" s="12">
        <f>DB54-DC54</f>
        <v/>
      </c>
      <c r="DE54" s="12">
        <f>ROUND(DC54*EssentialMix,0)</f>
        <v/>
      </c>
      <c r="DF54" s="12">
        <f>ROUND(DC54*PremiumMix,0)</f>
        <v/>
      </c>
      <c r="DG54" s="12">
        <f>DC54-DE54-DF54</f>
        <v/>
      </c>
      <c r="DH54" s="12">
        <f>ROUND(DD54*EssentialMix,0)</f>
        <v/>
      </c>
      <c r="DI54" s="12">
        <f>ROUND(DD54*PremiumMix,0)</f>
        <v/>
      </c>
      <c r="DJ54" s="12">
        <f>DD54-DH54-DI54</f>
        <v/>
      </c>
      <c r="DK54" s="12">
        <f>DE54+DE53+DE52+MAX(0,DK53-DE53-DE52)*(1-CX54)</f>
        <v/>
      </c>
      <c r="DL54" s="12">
        <f>DF54+DF53+DF52+MAX(0,DL53-DF53-DF52)*(1-CX54)</f>
        <v/>
      </c>
      <c r="DM54" s="12">
        <f>DG54+DG53+DG52+MAX(0,DM53-DG53-DG52)*(1-CX54)</f>
        <v/>
      </c>
      <c r="DN54" s="12">
        <f>DN53+DH54-DH42*('Sens - Scenarios'!$D$6*VLOOKUP(CT54,ChurnSeasonTable,4,FALSE))*POWER(1-('Sens - Scenarios'!$D$6*VLOOKUP(CT54,ChurnSeasonTable,4,FALSE)),0)+DH30*('Sens - Scenarios'!$D$6*VLOOKUP(CT54,ChurnSeasonTable,4,FALSE))*POWER(1-('Sens - Scenarios'!$D$6*VLOOKUP(CT54,ChurnSeasonTable,4,FALSE)),1)+DH18*('Sens - Scenarios'!$D$6*VLOOKUP(CT54,ChurnSeasonTable,4,FALSE))*POWER(1-('Sens - Scenarios'!$D$6*VLOOKUP(CT54,ChurnSeasonTable,4,FALSE)),2)+DH6*('Sens - Scenarios'!$D$6*VLOOKUP(CT54,ChurnSeasonTable,4,FALSE))*POWER(1-('Sens - Scenarios'!$D$6*VLOOKUP(CT54,ChurnSeasonTable,4,FALSE)),3)</f>
        <v/>
      </c>
      <c r="DO54" s="12">
        <f>DO53+DI54-DI42*('Sens - Scenarios'!$D$6*VLOOKUP(CT54,ChurnSeasonTable,4,FALSE))*POWER(1-('Sens - Scenarios'!$D$6*VLOOKUP(CT54,ChurnSeasonTable,4,FALSE)),0)+DI30*('Sens - Scenarios'!$D$6*VLOOKUP(CT54,ChurnSeasonTable,4,FALSE))*POWER(1-('Sens - Scenarios'!$D$6*VLOOKUP(CT54,ChurnSeasonTable,4,FALSE)),1)+DI18*('Sens - Scenarios'!$D$6*VLOOKUP(CT54,ChurnSeasonTable,4,FALSE))*POWER(1-('Sens - Scenarios'!$D$6*VLOOKUP(CT54,ChurnSeasonTable,4,FALSE)),2)+DI6*('Sens - Scenarios'!$D$6*VLOOKUP(CT54,ChurnSeasonTable,4,FALSE))*POWER(1-('Sens - Scenarios'!$D$6*VLOOKUP(CT54,ChurnSeasonTable,4,FALSE)),3)</f>
        <v/>
      </c>
      <c r="DP54" s="12">
        <f>DP53+DJ54-DJ42*('Sens - Scenarios'!$D$6*VLOOKUP(CT54,ChurnSeasonTable,4,FALSE))*POWER(1-('Sens - Scenarios'!$D$6*VLOOKUP(CT54,ChurnSeasonTable,4,FALSE)),0)+DJ30*('Sens - Scenarios'!$D$6*VLOOKUP(CT54,ChurnSeasonTable,4,FALSE))*POWER(1-('Sens - Scenarios'!$D$6*VLOOKUP(CT54,ChurnSeasonTable,4,FALSE)),1)+DJ18*('Sens - Scenarios'!$D$6*VLOOKUP(CT54,ChurnSeasonTable,4,FALSE))*POWER(1-('Sens - Scenarios'!$D$6*VLOOKUP(CT54,ChurnSeasonTable,4,FALSE)),2)+DJ6*('Sens - Scenarios'!$D$6*VLOOKUP(CT54,ChurnSeasonTable,4,FALSE))*POWER(1-('Sens - Scenarios'!$D$6*VLOOKUP(CT54,ChurnSeasonTable,4,FALSE)),3)</f>
        <v/>
      </c>
      <c r="DQ54" s="12">
        <f>DK54+DL54+DM54+DN54+DO54+DP54</f>
        <v/>
      </c>
      <c r="DR54" s="9">
        <f>DK54*BlendedPriceEssMonthly*CW54+DL54*BlendedPricePremMonthly*CW54+DM54*BlendedPriceEliteMonthly*CW54+DN54*BlendedPriceEssAnnual*CW54/12+DO54*BlendedPricePremAnnual*CW54/12+DP54*BlendedPriceEliteAnnual*CW54/12</f>
        <v/>
      </c>
      <c r="DS54" s="9">
        <f>DR54*12</f>
        <v/>
      </c>
      <c r="DT54" s="12">
        <f>DK54*BlendedPriceEssMonthly*CW54+DL54*BlendedPricePremMonthly*CW54+DM54*BlendedPriceEliteMonthly*CW54</f>
        <v/>
      </c>
      <c r="DU54" s="12">
        <f>DH54*BlendedPriceEssAnnual*CW54+DI54*BlendedPricePremAnnual*CW54+DJ54*BlendedPriceEliteAnnual*CW54</f>
        <v/>
      </c>
      <c r="DV54" s="12">
        <f>DH42*POWER(1-('Sens - Scenarios'!$D$6*VLOOKUP(CT54,ChurnSeasonTable,4,FALSE)),1)*BlendedPriceEssAnnual*CW54+DH30*POWER(1-('Sens - Scenarios'!$D$6*VLOOKUP(CT54,ChurnSeasonTable,4,FALSE)),2)*BlendedPriceEssAnnual*CW54+DH18*POWER(1-('Sens - Scenarios'!$D$6*VLOOKUP(CT54,ChurnSeasonTable,4,FALSE)),3)*BlendedPriceEssAnnual*CW54+DH6*POWER(1-('Sens - Scenarios'!$D$6*VLOOKUP(CT54,ChurnSeasonTable,4,FALSE)),4)*BlendedPriceEssAnnual*CW54+DI42*POWER(1-('Sens - Scenarios'!$D$6*VLOOKUP(CT54,ChurnSeasonTable,4,FALSE)),1)*BlendedPricePremAnnual*CW54+DI30*POWER(1-('Sens - Scenarios'!$D$6*VLOOKUP(CT54,ChurnSeasonTable,4,FALSE)),2)*BlendedPricePremAnnual*CW54+DI18*POWER(1-('Sens - Scenarios'!$D$6*VLOOKUP(CT54,ChurnSeasonTable,4,FALSE)),3)*BlendedPricePremAnnual*CW54+DI6*POWER(1-('Sens - Scenarios'!$D$6*VLOOKUP(CT54,ChurnSeasonTable,4,FALSE)),4)*BlendedPricePremAnnual*CW54+DJ42*POWER(1-('Sens - Scenarios'!$D$6*VLOOKUP(CT54,ChurnSeasonTable,4,FALSE)),1)*BlendedPriceEliteAnnual*CW54+DJ30*POWER(1-('Sens - Scenarios'!$D$6*VLOOKUP(CT54,ChurnSeasonTable,4,FALSE)),2)*BlendedPriceEliteAnnual*CW54+DJ18*POWER(1-('Sens - Scenarios'!$D$6*VLOOKUP(CT54,ChurnSeasonTable,4,FALSE)),3)*BlendedPriceEliteAnnual*CW54+DJ6*POWER(1-('Sens - Scenarios'!$D$6*VLOOKUP(CT54,ChurnSeasonTable,4,FALSE)),4)*BlendedPriceEliteAnnual*CW54</f>
        <v/>
      </c>
      <c r="DW54" s="9">
        <f>DT54+DU54+DV54</f>
        <v/>
      </c>
      <c r="DX54" s="12">
        <f>SUM(DW43:DW54)</f>
        <v/>
      </c>
      <c r="DY54" s="12">
        <f>OR(DY53,IF(VATAgentMode,SUM($DW43:$DW54)-SUM($ED43:$ED54)&gt;=VATThreshold,SUM($DW43:$DW54)&gt;=VATThreshold))</f>
        <v/>
      </c>
      <c r="DZ54" s="9">
        <f>IF(DY54,IF(VATAgentMode,DW54-((DW54-ED54)-(DW54-ED54)/(1+VATRate)),DW54/(1+VATRate)),DW54)</f>
        <v/>
      </c>
      <c r="EA54" s="12">
        <f>DW54-DZ54</f>
        <v/>
      </c>
      <c r="EB54" s="12">
        <f>IF(DY54=0,0,IF(CT54=1,SUMPRODUCT(--(($CU$5:$CU54=$CU54-1)*($CT$5:$CT54&gt;=10)*($CT$5:$CT54&lt;=12)),$EA$5:$EA54),IF(CT54=4,SUMPRODUCT(--(($CU$5:$CU54=$CU54)*($CT$5:$CT54&gt;=1)*($CT$5:$CT54&lt;=3)),$EA$5:$EA54),IF(CT54=7,SUMPRODUCT(--(($CU$5:$CU54=$CU54)*($CT$5:$CT54&gt;=4)*($CT$5:$CT54&lt;=6)),$EA$5:$EA54),IF(CT54=10,SUMPRODUCT(--(($CU$5:$CU54=$CU54)*($CT$5:$CT54&gt;=7)*($CT$5:$CT54&lt;=9)),$EA$5:$EA54),0)))))</f>
        <v/>
      </c>
      <c r="EC54" s="12">
        <f>EC53+EA54-EB54</f>
        <v/>
      </c>
      <c r="ED54" s="12">
        <f>IF(ProviderDelay&gt;=1,DK53*BlendedProvPayEss+DL53*BlendedProvPayPrem+DM53*BlendedProvPayElite+DN53*BlendedProvPayEss+DO53*BlendedProvPayPrem+DP53*BlendedProvPayElite,DK54*BlendedProvPayEss+DL54*BlendedProvPayPrem+DM54*BlendedProvPayElite+DN54*BlendedProvPayEss+DO54*BlendedProvPayPrem+DP54*BlendedProvPayElite)</f>
        <v/>
      </c>
      <c r="EE54" s="12">
        <f>DW54*PaymentFee</f>
        <v/>
      </c>
      <c r="EF54" s="12">
        <f>DQ54*OpsAI</f>
        <v/>
      </c>
      <c r="EG54" s="12">
        <f>MonthlyFixed</f>
        <v/>
      </c>
      <c r="EH54" s="12">
        <f>DA54*ReferralReward</f>
        <v/>
      </c>
      <c r="EI54" s="12">
        <f>CY54</f>
        <v/>
      </c>
      <c r="EJ54" s="9">
        <f>DZ54-ED54-EE54-EF54-EG54-EH54-EI54</f>
        <v/>
      </c>
      <c r="EK54" s="9">
        <f>EK53+DW54-(ED54+EE54+EF54+EG54+EH54+EI54+EB54)</f>
        <v/>
      </c>
      <c r="EL54" s="12">
        <f>IF(DQ54&gt;0,DR54/DQ54,0)</f>
        <v/>
      </c>
      <c r="EM54" s="11">
        <f>IF(DQ53&gt;0,MAX(0,(DQ53+DB54-DQ54)/DQ53),0)</f>
        <v/>
      </c>
      <c r="EO54" s="12" t="n">
        <v>50</v>
      </c>
      <c r="EP54" s="12">
        <f>MOD(EO54-1+LaunchMonth-1,12)+1</f>
        <v/>
      </c>
      <c r="EQ54" s="12">
        <f>INT((EO54-1+LaunchMonth-1)/12)+1</f>
        <v/>
      </c>
      <c r="ER54" s="12">
        <f>VLOOKUP(EP54,SeasonTable,2,FALSE)</f>
        <v/>
      </c>
      <c r="ES54" s="12">
        <f>(1+InflationRate)^INT((EO54-1)/12)</f>
        <v/>
      </c>
      <c r="ET54" s="11">
        <f>'Sens - Churn'!$A$13*VLOOKUP(EP54,ChurnSeasonTable,4,FALSE)</f>
        <v/>
      </c>
      <c r="EU54" s="12">
        <f>MIN(MAX(MktMin19plus,FS53*MktPct19plus),MAX(0,GG53-CashBuffer))</f>
        <v/>
      </c>
      <c r="EV54" s="12">
        <f>IF(EU54&gt;0,MAX(1,ROUND(EU54/CAC*ER54,0)),0)</f>
        <v/>
      </c>
      <c r="EW54" s="12">
        <f>IF(EV54&gt;0,ROUND(EV54*ReferralMix/(1-ReferralMix),0),0)</f>
        <v/>
      </c>
      <c r="EX54" s="12">
        <f>EV54+EW54</f>
        <v/>
      </c>
      <c r="EY54" s="12">
        <f>ROUND(EX54*(1-AnnualMix),0)</f>
        <v/>
      </c>
      <c r="EZ54" s="12">
        <f>EX54-EY54</f>
        <v/>
      </c>
      <c r="FA54" s="12">
        <f>ROUND(EY54*EssentialMix,0)</f>
        <v/>
      </c>
      <c r="FB54" s="12">
        <f>ROUND(EY54*PremiumMix,0)</f>
        <v/>
      </c>
      <c r="FC54" s="12">
        <f>EY54-FA54-FB54</f>
        <v/>
      </c>
      <c r="FD54" s="12">
        <f>ROUND(EZ54*EssentialMix,0)</f>
        <v/>
      </c>
      <c r="FE54" s="12">
        <f>ROUND(EZ54*PremiumMix,0)</f>
        <v/>
      </c>
      <c r="FF54" s="12">
        <f>EZ54-FD54-FE54</f>
        <v/>
      </c>
      <c r="FG54" s="12">
        <f>FA54+FA53+FA52+MAX(0,FG53-FA53-FA52)*(1-ET54)</f>
        <v/>
      </c>
      <c r="FH54" s="12">
        <f>FB54+FB53+FB52+MAX(0,FH53-FB53-FB52)*(1-ET54)</f>
        <v/>
      </c>
      <c r="FI54" s="12">
        <f>FC54+FC53+FC52+MAX(0,FI53-FC53-FC52)*(1-ET54)</f>
        <v/>
      </c>
      <c r="FJ54" s="12">
        <f>FJ53+FD54-FD42*(AnnualChurn*VLOOKUP(EP54,ChurnSeasonTable,4,FALSE))*POWER(1-(AnnualChurn*VLOOKUP(EP54,ChurnSeasonTable,4,FALSE)),0)+FD30*(AnnualChurn*VLOOKUP(EP54,ChurnSeasonTable,4,FALSE))*POWER(1-(AnnualChurn*VLOOKUP(EP54,ChurnSeasonTable,4,FALSE)),1)+FD18*(AnnualChurn*VLOOKUP(EP54,ChurnSeasonTable,4,FALSE))*POWER(1-(AnnualChurn*VLOOKUP(EP54,ChurnSeasonTable,4,FALSE)),2)+FD6*(AnnualChurn*VLOOKUP(EP54,ChurnSeasonTable,4,FALSE))*POWER(1-(AnnualChurn*VLOOKUP(EP54,ChurnSeasonTable,4,FALSE)),3)</f>
        <v/>
      </c>
      <c r="FK54" s="12">
        <f>FK53+FE54-FE42*(AnnualChurn*VLOOKUP(EP54,ChurnSeasonTable,4,FALSE))*POWER(1-(AnnualChurn*VLOOKUP(EP54,ChurnSeasonTable,4,FALSE)),0)+FE30*(AnnualChurn*VLOOKUP(EP54,ChurnSeasonTable,4,FALSE))*POWER(1-(AnnualChurn*VLOOKUP(EP54,ChurnSeasonTable,4,FALSE)),1)+FE18*(AnnualChurn*VLOOKUP(EP54,ChurnSeasonTable,4,FALSE))*POWER(1-(AnnualChurn*VLOOKUP(EP54,ChurnSeasonTable,4,FALSE)),2)+FE6*(AnnualChurn*VLOOKUP(EP54,ChurnSeasonTable,4,FALSE))*POWER(1-(AnnualChurn*VLOOKUP(EP54,ChurnSeasonTable,4,FALSE)),3)</f>
        <v/>
      </c>
      <c r="FL54" s="12">
        <f>FL53+FF54-FF42*(AnnualChurn*VLOOKUP(EP54,ChurnSeasonTable,4,FALSE))*POWER(1-(AnnualChurn*VLOOKUP(EP54,ChurnSeasonTable,4,FALSE)),0)+FF30*(AnnualChurn*VLOOKUP(EP54,ChurnSeasonTable,4,FALSE))*POWER(1-(AnnualChurn*VLOOKUP(EP54,ChurnSeasonTable,4,FALSE)),1)+FF18*(AnnualChurn*VLOOKUP(EP54,ChurnSeasonTable,4,FALSE))*POWER(1-(AnnualChurn*VLOOKUP(EP54,ChurnSeasonTable,4,FALSE)),2)+FF6*(AnnualChurn*VLOOKUP(EP54,ChurnSeasonTable,4,FALSE))*POWER(1-(AnnualChurn*VLOOKUP(EP54,ChurnSeasonTable,4,FALSE)),3)</f>
        <v/>
      </c>
      <c r="FM54" s="12">
        <f>FG54+FH54+FI54+FJ54+FK54+FL54</f>
        <v/>
      </c>
      <c r="FN54" s="9">
        <f>FG54*BlendedPriceEssMonthly*ES54+FH54*BlendedPricePremMonthly*ES54+FI54*BlendedPriceEliteMonthly*ES54+FJ54*BlendedPriceEssAnnual*ES54/12+FK54*BlendedPricePremAnnual*ES54/12+FL54*BlendedPriceEliteAnnual*ES54/12</f>
        <v/>
      </c>
      <c r="FO54" s="9">
        <f>FN54*12</f>
        <v/>
      </c>
      <c r="FP54" s="12">
        <f>FG54*BlendedPriceEssMonthly*ES54+FH54*BlendedPricePremMonthly*ES54+FI54*BlendedPriceEliteMonthly*ES54</f>
        <v/>
      </c>
      <c r="FQ54" s="12">
        <f>FD54*BlendedPriceEssAnnual*ES54+FE54*BlendedPricePremAnnual*ES54+FF54*BlendedPriceEliteAnnual*ES54</f>
        <v/>
      </c>
      <c r="FR54" s="12">
        <f>FD42*POWER(1-(AnnualChurn*VLOOKUP(EP54,ChurnSeasonTable,4,FALSE)),1)*BlendedPriceEssAnnual*ES54+FD30*POWER(1-(AnnualChurn*VLOOKUP(EP54,ChurnSeasonTable,4,FALSE)),2)*BlendedPriceEssAnnual*ES54+FD18*POWER(1-(AnnualChurn*VLOOKUP(EP54,ChurnSeasonTable,4,FALSE)),3)*BlendedPriceEssAnnual*ES54+FD6*POWER(1-(AnnualChurn*VLOOKUP(EP54,ChurnSeasonTable,4,FALSE)),4)*BlendedPriceEssAnnual*ES54+FE42*POWER(1-(AnnualChurn*VLOOKUP(EP54,ChurnSeasonTable,4,FALSE)),1)*BlendedPricePremAnnual*ES54+FE30*POWER(1-(AnnualChurn*VLOOKUP(EP54,ChurnSeasonTable,4,FALSE)),2)*BlendedPricePremAnnual*ES54+FE18*POWER(1-(AnnualChurn*VLOOKUP(EP54,ChurnSeasonTable,4,FALSE)),3)*BlendedPricePremAnnual*ES54+FE6*POWER(1-(AnnualChurn*VLOOKUP(EP54,ChurnSeasonTable,4,FALSE)),4)*BlendedPricePremAnnual*ES54+FF42*POWER(1-(AnnualChurn*VLOOKUP(EP54,ChurnSeasonTable,4,FALSE)),1)*BlendedPriceEliteAnnual*ES54+FF30*POWER(1-(AnnualChurn*VLOOKUP(EP54,ChurnSeasonTable,4,FALSE)),2)*BlendedPriceEliteAnnual*ES54+FF18*POWER(1-(AnnualChurn*VLOOKUP(EP54,ChurnSeasonTable,4,FALSE)),3)*BlendedPriceEliteAnnual*ES54+FF6*POWER(1-(AnnualChurn*VLOOKUP(EP54,ChurnSeasonTable,4,FALSE)),4)*BlendedPriceEliteAnnual*ES54</f>
        <v/>
      </c>
      <c r="FS54" s="9">
        <f>FP54+FQ54+FR54</f>
        <v/>
      </c>
      <c r="FT54" s="12">
        <f>SUM(FS43:FS54)</f>
        <v/>
      </c>
      <c r="FU54" s="12">
        <f>OR(FU53,IF(VATAgentMode,SUM($FS43:$FS54)-SUM($FZ43:$FZ54)&gt;=VATThreshold,SUM($FS43:$FS54)&gt;=VATThreshold))</f>
        <v/>
      </c>
      <c r="FV54" s="9">
        <f>IF(FU54,IF(VATAgentMode,FS54-((FS54-FZ54)-(FS54-FZ54)/(1+VATRate)),FS54/(1+VATRate)),FS54)</f>
        <v/>
      </c>
      <c r="FW54" s="12">
        <f>FS54-FV54</f>
        <v/>
      </c>
      <c r="FX54" s="12">
        <f>IF(FU54=0,0,IF(EP54=1,SUMPRODUCT(--(($EQ$5:$EQ54=$EQ54-1)*($EP$5:$EP54&gt;=10)*($EP$5:$EP54&lt;=12)),$FW$5:$FW54),IF(EP54=4,SUMPRODUCT(--(($EQ$5:$EQ54=$EQ54)*($EP$5:$EP54&gt;=1)*($EP$5:$EP54&lt;=3)),$FW$5:$FW54),IF(EP54=7,SUMPRODUCT(--(($EQ$5:$EQ54=$EQ54)*($EP$5:$EP54&gt;=4)*($EP$5:$EP54&lt;=6)),$FW$5:$FW54),IF(EP54=10,SUMPRODUCT(--(($EQ$5:$EQ54=$EQ54)*($EP$5:$EP54&gt;=7)*($EP$5:$EP54&lt;=9)),$FW$5:$FW54),0)))))</f>
        <v/>
      </c>
      <c r="FY54" s="12">
        <f>FY53+FW54-FX54</f>
        <v/>
      </c>
      <c r="FZ54" s="12">
        <f>IF(ProviderDelay&gt;=1,FG53*BlendedProvPayEss+FH53*BlendedProvPayPrem+FI53*BlendedProvPayElite+FJ53*BlendedProvPayEss+FK53*BlendedProvPayPrem+FL53*BlendedProvPayElite,FG54*BlendedProvPayEss+FH54*BlendedProvPayPrem+FI54*BlendedProvPayElite+FJ54*BlendedProvPayEss+FK54*BlendedProvPayPrem+FL54*BlendedProvPayElite)</f>
        <v/>
      </c>
      <c r="GA54" s="12">
        <f>FS54*PaymentFee</f>
        <v/>
      </c>
      <c r="GB54" s="12">
        <f>FM54*OpsAI</f>
        <v/>
      </c>
      <c r="GC54" s="12">
        <f>MonthlyFixed</f>
        <v/>
      </c>
      <c r="GD54" s="12">
        <f>EW54*ReferralReward</f>
        <v/>
      </c>
      <c r="GE54" s="12">
        <f>EU54</f>
        <v/>
      </c>
      <c r="GF54" s="9">
        <f>FV54-FZ54-GA54-GB54-GC54-GD54-GE54</f>
        <v/>
      </c>
      <c r="GG54" s="9">
        <f>GG53+FS54-(FZ54+GA54+GB54+GC54+GD54+GE54+FX54)</f>
        <v/>
      </c>
      <c r="GH54" s="12">
        <f>IF(FM54&gt;0,FN54/FM54,0)</f>
        <v/>
      </c>
      <c r="GI54" s="11">
        <f>IF(FM53&gt;0,MAX(0,(FM53+EX54-FM54)/FM53),0)</f>
        <v/>
      </c>
      <c r="GK54" s="12" t="n">
        <v>50</v>
      </c>
      <c r="GL54" s="12">
        <f>MOD(GK54-1+LaunchMonth-1,12)+1</f>
        <v/>
      </c>
      <c r="GM54" s="12">
        <f>INT((GK54-1+LaunchMonth-1)/12)+1</f>
        <v/>
      </c>
      <c r="GN54" s="12">
        <f>VLOOKUP(GL54,SeasonTable,2,FALSE)</f>
        <v/>
      </c>
      <c r="GO54" s="12">
        <f>(1+InflationRate)^INT((GK54-1)/12)</f>
        <v/>
      </c>
      <c r="GP54" s="11">
        <f>'Sens - Churn'!$A$14*VLOOKUP(GL54,ChurnSeasonTable,4,FALSE)</f>
        <v/>
      </c>
      <c r="GQ54" s="12">
        <f>MIN(MAX(MktMin19plus,HO53*MktPct19plus),MAX(0,IC53-CashBuffer))</f>
        <v/>
      </c>
      <c r="GR54" s="12">
        <f>IF(GQ54&gt;0,MAX(1,ROUND(GQ54/CAC*GN54,0)),0)</f>
        <v/>
      </c>
      <c r="GS54" s="12">
        <f>IF(GR54&gt;0,ROUND(GR54*ReferralMix/(1-ReferralMix),0),0)</f>
        <v/>
      </c>
      <c r="GT54" s="12">
        <f>GR54+GS54</f>
        <v/>
      </c>
      <c r="GU54" s="12">
        <f>ROUND(GT54*(1-AnnualMix),0)</f>
        <v/>
      </c>
      <c r="GV54" s="12">
        <f>GT54-GU54</f>
        <v/>
      </c>
      <c r="GW54" s="12">
        <f>ROUND(GU54*EssentialMix,0)</f>
        <v/>
      </c>
      <c r="GX54" s="12">
        <f>ROUND(GU54*PremiumMix,0)</f>
        <v/>
      </c>
      <c r="GY54" s="12">
        <f>GU54-GW54-GX54</f>
        <v/>
      </c>
      <c r="GZ54" s="12">
        <f>ROUND(GV54*EssentialMix,0)</f>
        <v/>
      </c>
      <c r="HA54" s="12">
        <f>ROUND(GV54*PremiumMix,0)</f>
        <v/>
      </c>
      <c r="HB54" s="12">
        <f>GV54-GZ54-HA54</f>
        <v/>
      </c>
      <c r="HC54" s="12">
        <f>GW54+GW53+GW52+MAX(0,HC53-GW53-GW52)*(1-GP54)</f>
        <v/>
      </c>
      <c r="HD54" s="12">
        <f>GX54+GX53+GX52+MAX(0,HD53-GX53-GX52)*(1-GP54)</f>
        <v/>
      </c>
      <c r="HE54" s="12">
        <f>GY54+GY53+GY52+MAX(0,HE53-GY53-GY52)*(1-GP54)</f>
        <v/>
      </c>
      <c r="HF54" s="12">
        <f>HF53+GZ54-GZ42*(AnnualChurn*VLOOKUP(GL54,ChurnSeasonTable,4,FALSE))*POWER(1-(AnnualChurn*VLOOKUP(GL54,ChurnSeasonTable,4,FALSE)),0)+GZ30*(AnnualChurn*VLOOKUP(GL54,ChurnSeasonTable,4,FALSE))*POWER(1-(AnnualChurn*VLOOKUP(GL54,ChurnSeasonTable,4,FALSE)),1)+GZ18*(AnnualChurn*VLOOKUP(GL54,ChurnSeasonTable,4,FALSE))*POWER(1-(AnnualChurn*VLOOKUP(GL54,ChurnSeasonTable,4,FALSE)),2)+GZ6*(AnnualChurn*VLOOKUP(GL54,ChurnSeasonTable,4,FALSE))*POWER(1-(AnnualChurn*VLOOKUP(GL54,ChurnSeasonTable,4,FALSE)),3)</f>
        <v/>
      </c>
      <c r="HG54" s="12">
        <f>HG53+HA54-HA42*(AnnualChurn*VLOOKUP(GL54,ChurnSeasonTable,4,FALSE))*POWER(1-(AnnualChurn*VLOOKUP(GL54,ChurnSeasonTable,4,FALSE)),0)+HA30*(AnnualChurn*VLOOKUP(GL54,ChurnSeasonTable,4,FALSE))*POWER(1-(AnnualChurn*VLOOKUP(GL54,ChurnSeasonTable,4,FALSE)),1)+HA18*(AnnualChurn*VLOOKUP(GL54,ChurnSeasonTable,4,FALSE))*POWER(1-(AnnualChurn*VLOOKUP(GL54,ChurnSeasonTable,4,FALSE)),2)+HA6*(AnnualChurn*VLOOKUP(GL54,ChurnSeasonTable,4,FALSE))*POWER(1-(AnnualChurn*VLOOKUP(GL54,ChurnSeasonTable,4,FALSE)),3)</f>
        <v/>
      </c>
      <c r="HH54" s="12">
        <f>HH53+HB54-HB42*(AnnualChurn*VLOOKUP(GL54,ChurnSeasonTable,4,FALSE))*POWER(1-(AnnualChurn*VLOOKUP(GL54,ChurnSeasonTable,4,FALSE)),0)+HB30*(AnnualChurn*VLOOKUP(GL54,ChurnSeasonTable,4,FALSE))*POWER(1-(AnnualChurn*VLOOKUP(GL54,ChurnSeasonTable,4,FALSE)),1)+HB18*(AnnualChurn*VLOOKUP(GL54,ChurnSeasonTable,4,FALSE))*POWER(1-(AnnualChurn*VLOOKUP(GL54,ChurnSeasonTable,4,FALSE)),2)+HB6*(AnnualChurn*VLOOKUP(GL54,ChurnSeasonTable,4,FALSE))*POWER(1-(AnnualChurn*VLOOKUP(GL54,ChurnSeasonTable,4,FALSE)),3)</f>
        <v/>
      </c>
      <c r="HI54" s="12">
        <f>HC54+HD54+HE54+HF54+HG54+HH54</f>
        <v/>
      </c>
      <c r="HJ54" s="9">
        <f>HC54*BlendedPriceEssMonthly*GO54+HD54*BlendedPricePremMonthly*GO54+HE54*BlendedPriceEliteMonthly*GO54+HF54*BlendedPriceEssAnnual*GO54/12+HG54*BlendedPricePremAnnual*GO54/12+HH54*BlendedPriceEliteAnnual*GO54/12</f>
        <v/>
      </c>
      <c r="HK54" s="9">
        <f>HJ54*12</f>
        <v/>
      </c>
      <c r="HL54" s="12">
        <f>HC54*BlendedPriceEssMonthly*GO54+HD54*BlendedPricePremMonthly*GO54+HE54*BlendedPriceEliteMonthly*GO54</f>
        <v/>
      </c>
      <c r="HM54" s="12">
        <f>GZ54*BlendedPriceEssAnnual*GO54+HA54*BlendedPricePremAnnual*GO54+HB54*BlendedPriceEliteAnnual*GO54</f>
        <v/>
      </c>
      <c r="HN54" s="12">
        <f>GZ42*POWER(1-(AnnualChurn*VLOOKUP(GL54,ChurnSeasonTable,4,FALSE)),1)*BlendedPriceEssAnnual*GO54+GZ30*POWER(1-(AnnualChurn*VLOOKUP(GL54,ChurnSeasonTable,4,FALSE)),2)*BlendedPriceEssAnnual*GO54+GZ18*POWER(1-(AnnualChurn*VLOOKUP(GL54,ChurnSeasonTable,4,FALSE)),3)*BlendedPriceEssAnnual*GO54+GZ6*POWER(1-(AnnualChurn*VLOOKUP(GL54,ChurnSeasonTable,4,FALSE)),4)*BlendedPriceEssAnnual*GO54+HA42*POWER(1-(AnnualChurn*VLOOKUP(GL54,ChurnSeasonTable,4,FALSE)),1)*BlendedPricePremAnnual*GO54+HA30*POWER(1-(AnnualChurn*VLOOKUP(GL54,ChurnSeasonTable,4,FALSE)),2)*BlendedPricePremAnnual*GO54+HA18*POWER(1-(AnnualChurn*VLOOKUP(GL54,ChurnSeasonTable,4,FALSE)),3)*BlendedPricePremAnnual*GO54+HA6*POWER(1-(AnnualChurn*VLOOKUP(GL54,ChurnSeasonTable,4,FALSE)),4)*BlendedPricePremAnnual*GO54+HB42*POWER(1-(AnnualChurn*VLOOKUP(GL54,ChurnSeasonTable,4,FALSE)),1)*BlendedPriceEliteAnnual*GO54+HB30*POWER(1-(AnnualChurn*VLOOKUP(GL54,ChurnSeasonTable,4,FALSE)),2)*BlendedPriceEliteAnnual*GO54+HB18*POWER(1-(AnnualChurn*VLOOKUP(GL54,ChurnSeasonTable,4,FALSE)),3)*BlendedPriceEliteAnnual*GO54+HB6*POWER(1-(AnnualChurn*VLOOKUP(GL54,ChurnSeasonTable,4,FALSE)),4)*BlendedPriceEliteAnnual*GO54</f>
        <v/>
      </c>
      <c r="HO54" s="9">
        <f>HL54+HM54+HN54</f>
        <v/>
      </c>
      <c r="HP54" s="12">
        <f>SUM(HO43:HO54)</f>
        <v/>
      </c>
      <c r="HQ54" s="12">
        <f>OR(HQ53,IF(VATAgentMode,SUM($HO43:$HO54)-SUM($HV43:$HV54)&gt;=VATThreshold,SUM($HO43:$HO54)&gt;=VATThreshold))</f>
        <v/>
      </c>
      <c r="HR54" s="9">
        <f>IF(HQ54,IF(VATAgentMode,HO54-((HO54-HV54)-(HO54-HV54)/(1+VATRate)),HO54/(1+VATRate)),HO54)</f>
        <v/>
      </c>
      <c r="HS54" s="12">
        <f>HO54-HR54</f>
        <v/>
      </c>
      <c r="HT54" s="12">
        <f>IF(HQ54=0,0,IF(GL54=1,SUMPRODUCT(--(($GM$5:$GM54=$GM54-1)*($GL$5:$GL54&gt;=10)*($GL$5:$GL54&lt;=12)),$HS$5:$HS54),IF(GL54=4,SUMPRODUCT(--(($GM$5:$GM54=$GM54)*($GL$5:$GL54&gt;=1)*($GL$5:$GL54&lt;=3)),$HS$5:$HS54),IF(GL54=7,SUMPRODUCT(--(($GM$5:$GM54=$GM54)*($GL$5:$GL54&gt;=4)*($GL$5:$GL54&lt;=6)),$HS$5:$HS54),IF(GL54=10,SUMPRODUCT(--(($GM$5:$GM54=$GM54)*($GL$5:$GL54&gt;=7)*($GL$5:$GL54&lt;=9)),$HS$5:$HS54),0)))))</f>
        <v/>
      </c>
      <c r="HU54" s="12">
        <f>HU53+HS54-HT54</f>
        <v/>
      </c>
      <c r="HV54" s="12">
        <f>IF(ProviderDelay&gt;=1,HC53*BlendedProvPayEss+HD53*BlendedProvPayPrem+HE53*BlendedProvPayElite+HF53*BlendedProvPayEss+HG53*BlendedProvPayPrem+HH53*BlendedProvPayElite,HC54*BlendedProvPayEss+HD54*BlendedProvPayPrem+HE54*BlendedProvPayElite+HF54*BlendedProvPayEss+HG54*BlendedProvPayPrem+HH54*BlendedProvPayElite)</f>
        <v/>
      </c>
      <c r="HW54" s="12">
        <f>HO54*PaymentFee</f>
        <v/>
      </c>
      <c r="HX54" s="12">
        <f>HI54*OpsAI</f>
        <v/>
      </c>
      <c r="HY54" s="12">
        <f>MonthlyFixed</f>
        <v/>
      </c>
      <c r="HZ54" s="12">
        <f>GS54*ReferralReward</f>
        <v/>
      </c>
      <c r="IA54" s="12">
        <f>GQ54</f>
        <v/>
      </c>
      <c r="IB54" s="9">
        <f>HR54-HV54-HW54-HX54-HY54-HZ54-IA54</f>
        <v/>
      </c>
      <c r="IC54" s="9">
        <f>IC53+HO54-(HV54+HW54+HX54+HY54+HZ54+IA54+HT54)</f>
        <v/>
      </c>
      <c r="ID54" s="12">
        <f>IF(HI54&gt;0,HJ54/HI54,0)</f>
        <v/>
      </c>
      <c r="IE54" s="11">
        <f>IF(HI53&gt;0,MAX(0,(HI53+GT54-HI54)/HI53),0)</f>
        <v/>
      </c>
      <c r="IG54" s="12" t="n">
        <v>50</v>
      </c>
      <c r="IH54" s="12">
        <f>MOD(IG54-1+LaunchMonth-1,12)+1</f>
        <v/>
      </c>
      <c r="II54" s="12">
        <f>INT((IG54-1+LaunchMonth-1)/12)+1</f>
        <v/>
      </c>
      <c r="IJ54" s="12">
        <f>VLOOKUP(IH54,SeasonTable,2,FALSE)</f>
        <v/>
      </c>
      <c r="IK54" s="12">
        <f>(1+InflationRate)^INT((IG54-1)/12)</f>
        <v/>
      </c>
      <c r="IL54" s="11">
        <f>'Sens - Churn'!$A$15*VLOOKUP(IH54,ChurnSeasonTable,4,FALSE)</f>
        <v/>
      </c>
      <c r="IM54" s="12">
        <f>MIN(MAX(MktMin19plus,JK53*MktPct19plus),MAX(0,JY53-CashBuffer))</f>
        <v/>
      </c>
      <c r="IN54" s="12">
        <f>IF(IM54&gt;0,MAX(1,ROUND(IM54/CAC*IJ54,0)),0)</f>
        <v/>
      </c>
      <c r="IO54" s="12">
        <f>IF(IN54&gt;0,ROUND(IN54*ReferralMix/(1-ReferralMix),0),0)</f>
        <v/>
      </c>
      <c r="IP54" s="12">
        <f>IN54+IO54</f>
        <v/>
      </c>
      <c r="IQ54" s="12">
        <f>ROUND(IP54*(1-AnnualMix),0)</f>
        <v/>
      </c>
      <c r="IR54" s="12">
        <f>IP54-IQ54</f>
        <v/>
      </c>
      <c r="IS54" s="12">
        <f>ROUND(IQ54*EssentialMix,0)</f>
        <v/>
      </c>
      <c r="IT54" s="12">
        <f>ROUND(IQ54*PremiumMix,0)</f>
        <v/>
      </c>
      <c r="IU54" s="12">
        <f>IQ54-IS54-IT54</f>
        <v/>
      </c>
      <c r="IV54" s="12">
        <f>ROUND(IR54*EssentialMix,0)</f>
        <v/>
      </c>
      <c r="IW54" s="12">
        <f>ROUND(IR54*PremiumMix,0)</f>
        <v/>
      </c>
      <c r="IX54" s="12">
        <f>IR54-IV54-IW54</f>
        <v/>
      </c>
      <c r="IY54" s="12">
        <f>IS54+IS53+IS52+MAX(0,IY53-IS53-IS52)*(1-IL54)</f>
        <v/>
      </c>
      <c r="IZ54" s="12">
        <f>IT54+IT53+IT52+MAX(0,IZ53-IT53-IT52)*(1-IL54)</f>
        <v/>
      </c>
      <c r="JA54" s="12">
        <f>IU54+IU53+IU52+MAX(0,JA53-IU53-IU52)*(1-IL54)</f>
        <v/>
      </c>
      <c r="JB54" s="12">
        <f>JB53+IV54-IV42*(AnnualChurn*VLOOKUP(IH54,ChurnSeasonTable,4,FALSE))*POWER(1-(AnnualChurn*VLOOKUP(IH54,ChurnSeasonTable,4,FALSE)),0)+IV30*(AnnualChurn*VLOOKUP(IH54,ChurnSeasonTable,4,FALSE))*POWER(1-(AnnualChurn*VLOOKUP(IH54,ChurnSeasonTable,4,FALSE)),1)+IV18*(AnnualChurn*VLOOKUP(IH54,ChurnSeasonTable,4,FALSE))*POWER(1-(AnnualChurn*VLOOKUP(IH54,ChurnSeasonTable,4,FALSE)),2)+IV6*(AnnualChurn*VLOOKUP(IH54,ChurnSeasonTable,4,FALSE))*POWER(1-(AnnualChurn*VLOOKUP(IH54,ChurnSeasonTable,4,FALSE)),3)</f>
        <v/>
      </c>
      <c r="JC54" s="12">
        <f>JC53+IW54-IW42*(AnnualChurn*VLOOKUP(IH54,ChurnSeasonTable,4,FALSE))*POWER(1-(AnnualChurn*VLOOKUP(IH54,ChurnSeasonTable,4,FALSE)),0)+IW30*(AnnualChurn*VLOOKUP(IH54,ChurnSeasonTable,4,FALSE))*POWER(1-(AnnualChurn*VLOOKUP(IH54,ChurnSeasonTable,4,FALSE)),1)+IW18*(AnnualChurn*VLOOKUP(IH54,ChurnSeasonTable,4,FALSE))*POWER(1-(AnnualChurn*VLOOKUP(IH54,ChurnSeasonTable,4,FALSE)),2)+IW6*(AnnualChurn*VLOOKUP(IH54,ChurnSeasonTable,4,FALSE))*POWER(1-(AnnualChurn*VLOOKUP(IH54,ChurnSeasonTable,4,FALSE)),3)</f>
        <v/>
      </c>
      <c r="JD54" s="12">
        <f>JD53+IX54-IX42*(AnnualChurn*VLOOKUP(IH54,ChurnSeasonTable,4,FALSE))*POWER(1-(AnnualChurn*VLOOKUP(IH54,ChurnSeasonTable,4,FALSE)),0)+IX30*(AnnualChurn*VLOOKUP(IH54,ChurnSeasonTable,4,FALSE))*POWER(1-(AnnualChurn*VLOOKUP(IH54,ChurnSeasonTable,4,FALSE)),1)+IX18*(AnnualChurn*VLOOKUP(IH54,ChurnSeasonTable,4,FALSE))*POWER(1-(AnnualChurn*VLOOKUP(IH54,ChurnSeasonTable,4,FALSE)),2)+IX6*(AnnualChurn*VLOOKUP(IH54,ChurnSeasonTable,4,FALSE))*POWER(1-(AnnualChurn*VLOOKUP(IH54,ChurnSeasonTable,4,FALSE)),3)</f>
        <v/>
      </c>
      <c r="JE54" s="12">
        <f>IY54+IZ54+JA54+JB54+JC54+JD54</f>
        <v/>
      </c>
      <c r="JF54" s="9">
        <f>IY54*BlendedPriceEssMonthly*IK54+IZ54*BlendedPricePremMonthly*IK54+JA54*BlendedPriceEliteMonthly*IK54+JB54*BlendedPriceEssAnnual*IK54/12+JC54*BlendedPricePremAnnual*IK54/12+JD54*BlendedPriceEliteAnnual*IK54/12</f>
        <v/>
      </c>
      <c r="JG54" s="9">
        <f>JF54*12</f>
        <v/>
      </c>
      <c r="JH54" s="12">
        <f>IY54*BlendedPriceEssMonthly*IK54+IZ54*BlendedPricePremMonthly*IK54+JA54*BlendedPriceEliteMonthly*IK54</f>
        <v/>
      </c>
      <c r="JI54" s="12">
        <f>IV54*BlendedPriceEssAnnual*IK54+IW54*BlendedPricePremAnnual*IK54+IX54*BlendedPriceEliteAnnual*IK54</f>
        <v/>
      </c>
      <c r="JJ54" s="12">
        <f>IV42*POWER(1-(AnnualChurn*VLOOKUP(IH54,ChurnSeasonTable,4,FALSE)),1)*BlendedPriceEssAnnual*IK54+IV30*POWER(1-(AnnualChurn*VLOOKUP(IH54,ChurnSeasonTable,4,FALSE)),2)*BlendedPriceEssAnnual*IK54+IV18*POWER(1-(AnnualChurn*VLOOKUP(IH54,ChurnSeasonTable,4,FALSE)),3)*BlendedPriceEssAnnual*IK54+IV6*POWER(1-(AnnualChurn*VLOOKUP(IH54,ChurnSeasonTable,4,FALSE)),4)*BlendedPriceEssAnnual*IK54+IW42*POWER(1-(AnnualChurn*VLOOKUP(IH54,ChurnSeasonTable,4,FALSE)),1)*BlendedPricePremAnnual*IK54+IW30*POWER(1-(AnnualChurn*VLOOKUP(IH54,ChurnSeasonTable,4,FALSE)),2)*BlendedPricePremAnnual*IK54+IW18*POWER(1-(AnnualChurn*VLOOKUP(IH54,ChurnSeasonTable,4,FALSE)),3)*BlendedPricePremAnnual*IK54+IW6*POWER(1-(AnnualChurn*VLOOKUP(IH54,ChurnSeasonTable,4,FALSE)),4)*BlendedPricePremAnnual*IK54+IX42*POWER(1-(AnnualChurn*VLOOKUP(IH54,ChurnSeasonTable,4,FALSE)),1)*BlendedPriceEliteAnnual*IK54+IX30*POWER(1-(AnnualChurn*VLOOKUP(IH54,ChurnSeasonTable,4,FALSE)),2)*BlendedPriceEliteAnnual*IK54+IX18*POWER(1-(AnnualChurn*VLOOKUP(IH54,ChurnSeasonTable,4,FALSE)),3)*BlendedPriceEliteAnnual*IK54+IX6*POWER(1-(AnnualChurn*VLOOKUP(IH54,ChurnSeasonTable,4,FALSE)),4)*BlendedPriceEliteAnnual*IK54</f>
        <v/>
      </c>
      <c r="JK54" s="9">
        <f>JH54+JI54+JJ54</f>
        <v/>
      </c>
      <c r="JL54" s="12">
        <f>SUM(JK43:JK54)</f>
        <v/>
      </c>
      <c r="JM54" s="12">
        <f>OR(JM53,IF(VATAgentMode,SUM($JK43:$JK54)-SUM($JR43:$JR54)&gt;=VATThreshold,SUM($JK43:$JK54)&gt;=VATThreshold))</f>
        <v/>
      </c>
      <c r="JN54" s="9">
        <f>IF(JM54,IF(VATAgentMode,JK54-((JK54-JR54)-(JK54-JR54)/(1+VATRate)),JK54/(1+VATRate)),JK54)</f>
        <v/>
      </c>
      <c r="JO54" s="12">
        <f>JK54-JN54</f>
        <v/>
      </c>
      <c r="JP54" s="12">
        <f>IF(JM54=0,0,IF(IH54=1,SUMPRODUCT(--(($II$5:$II54=$II54-1)*($IH$5:$IH54&gt;=10)*($IH$5:$IH54&lt;=12)),$JO$5:$JO54),IF(IH54=4,SUMPRODUCT(--(($II$5:$II54=$II54)*($IH$5:$IH54&gt;=1)*($IH$5:$IH54&lt;=3)),$JO$5:$JO54),IF(IH54=7,SUMPRODUCT(--(($II$5:$II54=$II54)*($IH$5:$IH54&gt;=4)*($IH$5:$IH54&lt;=6)),$JO$5:$JO54),IF(IH54=10,SUMPRODUCT(--(($II$5:$II54=$II54)*($IH$5:$IH54&gt;=7)*($IH$5:$IH54&lt;=9)),$JO$5:$JO54),0)))))</f>
        <v/>
      </c>
      <c r="JQ54" s="12">
        <f>JQ53+JO54-JP54</f>
        <v/>
      </c>
      <c r="JR54" s="12">
        <f>IF(ProviderDelay&gt;=1,IY53*BlendedProvPayEss+IZ53*BlendedProvPayPrem+JA53*BlendedProvPayElite+JB53*BlendedProvPayEss+JC53*BlendedProvPayPrem+JD53*BlendedProvPayElite,IY54*BlendedProvPayEss+IZ54*BlendedProvPayPrem+JA54*BlendedProvPayElite+JB54*BlendedProvPayEss+JC54*BlendedProvPayPrem+JD54*BlendedProvPayElite)</f>
        <v/>
      </c>
      <c r="JS54" s="12">
        <f>JK54*PaymentFee</f>
        <v/>
      </c>
      <c r="JT54" s="12">
        <f>JE54*OpsAI</f>
        <v/>
      </c>
      <c r="JU54" s="12">
        <f>MonthlyFixed</f>
        <v/>
      </c>
      <c r="JV54" s="12">
        <f>IO54*ReferralReward</f>
        <v/>
      </c>
      <c r="JW54" s="12">
        <f>IM54</f>
        <v/>
      </c>
      <c r="JX54" s="9">
        <f>JN54-JR54-JS54-JT54-JU54-JV54-JW54</f>
        <v/>
      </c>
      <c r="JY54" s="9">
        <f>JY53+JK54-(JR54+JS54+JT54+JU54+JV54+JW54+JP54)</f>
        <v/>
      </c>
      <c r="JZ54" s="12">
        <f>IF(JE54&gt;0,JF54/JE54,0)</f>
        <v/>
      </c>
      <c r="KA54" s="11">
        <f>IF(JE53&gt;0,MAX(0,(JE53+IP54-JE54)/JE53),0)</f>
        <v/>
      </c>
      <c r="KC54" s="12" t="n">
        <v>50</v>
      </c>
      <c r="KD54" s="12">
        <f>MOD(KC54-1+LaunchMonth-1,12)+1</f>
        <v/>
      </c>
      <c r="KE54" s="12">
        <f>INT((KC54-1+LaunchMonth-1)/12)+1</f>
        <v/>
      </c>
      <c r="KF54" s="12">
        <f>VLOOKUP(KD54,SeasonTable,2,FALSE)</f>
        <v/>
      </c>
      <c r="KG54" s="12">
        <f>(1+InflationRate)^INT((KC54-1)/12)</f>
        <v/>
      </c>
      <c r="KH54" s="11">
        <f>'Sens - Churn'!$A$16*VLOOKUP(KD54,ChurnSeasonTable,4,FALSE)</f>
        <v/>
      </c>
      <c r="KI54" s="12">
        <f>MIN(MAX(MktMin19plus,LG53*MktPct19plus),MAX(0,LU53-CashBuffer))</f>
        <v/>
      </c>
      <c r="KJ54" s="12">
        <f>IF(KI54&gt;0,MAX(1,ROUND(KI54/CAC*KF54,0)),0)</f>
        <v/>
      </c>
      <c r="KK54" s="12">
        <f>IF(KJ54&gt;0,ROUND(KJ54*ReferralMix/(1-ReferralMix),0),0)</f>
        <v/>
      </c>
      <c r="KL54" s="12">
        <f>KJ54+KK54</f>
        <v/>
      </c>
      <c r="KM54" s="12">
        <f>ROUND(KL54*(1-AnnualMix),0)</f>
        <v/>
      </c>
      <c r="KN54" s="12">
        <f>KL54-KM54</f>
        <v/>
      </c>
      <c r="KO54" s="12">
        <f>ROUND(KM54*EssentialMix,0)</f>
        <v/>
      </c>
      <c r="KP54" s="12">
        <f>ROUND(KM54*PremiumMix,0)</f>
        <v/>
      </c>
      <c r="KQ54" s="12">
        <f>KM54-KO54-KP54</f>
        <v/>
      </c>
      <c r="KR54" s="12">
        <f>ROUND(KN54*EssentialMix,0)</f>
        <v/>
      </c>
      <c r="KS54" s="12">
        <f>ROUND(KN54*PremiumMix,0)</f>
        <v/>
      </c>
      <c r="KT54" s="12">
        <f>KN54-KR54-KS54</f>
        <v/>
      </c>
      <c r="KU54" s="12">
        <f>KO54+KO53+KO52+MAX(0,KU53-KO53-KO52)*(1-KH54)</f>
        <v/>
      </c>
      <c r="KV54" s="12">
        <f>KP54+KP53+KP52+MAX(0,KV53-KP53-KP52)*(1-KH54)</f>
        <v/>
      </c>
      <c r="KW54" s="12">
        <f>KQ54+KQ53+KQ52+MAX(0,KW53-KQ53-KQ52)*(1-KH54)</f>
        <v/>
      </c>
      <c r="KX54" s="12">
        <f>KX53+KR54-KR42*(AnnualChurn*VLOOKUP(KD54,ChurnSeasonTable,4,FALSE))*POWER(1-(AnnualChurn*VLOOKUP(KD54,ChurnSeasonTable,4,FALSE)),0)+KR30*(AnnualChurn*VLOOKUP(KD54,ChurnSeasonTable,4,FALSE))*POWER(1-(AnnualChurn*VLOOKUP(KD54,ChurnSeasonTable,4,FALSE)),1)+KR18*(AnnualChurn*VLOOKUP(KD54,ChurnSeasonTable,4,FALSE))*POWER(1-(AnnualChurn*VLOOKUP(KD54,ChurnSeasonTable,4,FALSE)),2)+KR6*(AnnualChurn*VLOOKUP(KD54,ChurnSeasonTable,4,FALSE))*POWER(1-(AnnualChurn*VLOOKUP(KD54,ChurnSeasonTable,4,FALSE)),3)</f>
        <v/>
      </c>
      <c r="KY54" s="12">
        <f>KY53+KS54-KS42*(AnnualChurn*VLOOKUP(KD54,ChurnSeasonTable,4,FALSE))*POWER(1-(AnnualChurn*VLOOKUP(KD54,ChurnSeasonTable,4,FALSE)),0)+KS30*(AnnualChurn*VLOOKUP(KD54,ChurnSeasonTable,4,FALSE))*POWER(1-(AnnualChurn*VLOOKUP(KD54,ChurnSeasonTable,4,FALSE)),1)+KS18*(AnnualChurn*VLOOKUP(KD54,ChurnSeasonTable,4,FALSE))*POWER(1-(AnnualChurn*VLOOKUP(KD54,ChurnSeasonTable,4,FALSE)),2)+KS6*(AnnualChurn*VLOOKUP(KD54,ChurnSeasonTable,4,FALSE))*POWER(1-(AnnualChurn*VLOOKUP(KD54,ChurnSeasonTable,4,FALSE)),3)</f>
        <v/>
      </c>
      <c r="KZ54" s="12">
        <f>KZ53+KT54-KT42*(AnnualChurn*VLOOKUP(KD54,ChurnSeasonTable,4,FALSE))*POWER(1-(AnnualChurn*VLOOKUP(KD54,ChurnSeasonTable,4,FALSE)),0)+KT30*(AnnualChurn*VLOOKUP(KD54,ChurnSeasonTable,4,FALSE))*POWER(1-(AnnualChurn*VLOOKUP(KD54,ChurnSeasonTable,4,FALSE)),1)+KT18*(AnnualChurn*VLOOKUP(KD54,ChurnSeasonTable,4,FALSE))*POWER(1-(AnnualChurn*VLOOKUP(KD54,ChurnSeasonTable,4,FALSE)),2)+KT6*(AnnualChurn*VLOOKUP(KD54,ChurnSeasonTable,4,FALSE))*POWER(1-(AnnualChurn*VLOOKUP(KD54,ChurnSeasonTable,4,FALSE)),3)</f>
        <v/>
      </c>
      <c r="LA54" s="12">
        <f>KU54+KV54+KW54+KX54+KY54+KZ54</f>
        <v/>
      </c>
      <c r="LB54" s="9">
        <f>KU54*BlendedPriceEssMonthly*KG54+KV54*BlendedPricePremMonthly*KG54+KW54*BlendedPriceEliteMonthly*KG54+KX54*BlendedPriceEssAnnual*KG54/12+KY54*BlendedPricePremAnnual*KG54/12+KZ54*BlendedPriceEliteAnnual*KG54/12</f>
        <v/>
      </c>
      <c r="LC54" s="9">
        <f>LB54*12</f>
        <v/>
      </c>
      <c r="LD54" s="12">
        <f>KU54*BlendedPriceEssMonthly*KG54+KV54*BlendedPricePremMonthly*KG54+KW54*BlendedPriceEliteMonthly*KG54</f>
        <v/>
      </c>
      <c r="LE54" s="12">
        <f>KR54*BlendedPriceEssAnnual*KG54+KS54*BlendedPricePremAnnual*KG54+KT54*BlendedPriceEliteAnnual*KG54</f>
        <v/>
      </c>
      <c r="LF54" s="12">
        <f>KR42*POWER(1-(AnnualChurn*VLOOKUP(KD54,ChurnSeasonTable,4,FALSE)),1)*BlendedPriceEssAnnual*KG54+KR30*POWER(1-(AnnualChurn*VLOOKUP(KD54,ChurnSeasonTable,4,FALSE)),2)*BlendedPriceEssAnnual*KG54+KR18*POWER(1-(AnnualChurn*VLOOKUP(KD54,ChurnSeasonTable,4,FALSE)),3)*BlendedPriceEssAnnual*KG54+KR6*POWER(1-(AnnualChurn*VLOOKUP(KD54,ChurnSeasonTable,4,FALSE)),4)*BlendedPriceEssAnnual*KG54+KS42*POWER(1-(AnnualChurn*VLOOKUP(KD54,ChurnSeasonTable,4,FALSE)),1)*BlendedPricePremAnnual*KG54+KS30*POWER(1-(AnnualChurn*VLOOKUP(KD54,ChurnSeasonTable,4,FALSE)),2)*BlendedPricePremAnnual*KG54+KS18*POWER(1-(AnnualChurn*VLOOKUP(KD54,ChurnSeasonTable,4,FALSE)),3)*BlendedPricePremAnnual*KG54+KS6*POWER(1-(AnnualChurn*VLOOKUP(KD54,ChurnSeasonTable,4,FALSE)),4)*BlendedPricePremAnnual*KG54+KT42*POWER(1-(AnnualChurn*VLOOKUP(KD54,ChurnSeasonTable,4,FALSE)),1)*BlendedPriceEliteAnnual*KG54+KT30*POWER(1-(AnnualChurn*VLOOKUP(KD54,ChurnSeasonTable,4,FALSE)),2)*BlendedPriceEliteAnnual*KG54+KT18*POWER(1-(AnnualChurn*VLOOKUP(KD54,ChurnSeasonTable,4,FALSE)),3)*BlendedPriceEliteAnnual*KG54+KT6*POWER(1-(AnnualChurn*VLOOKUP(KD54,ChurnSeasonTable,4,FALSE)),4)*BlendedPriceEliteAnnual*KG54</f>
        <v/>
      </c>
      <c r="LG54" s="9">
        <f>LD54+LE54+LF54</f>
        <v/>
      </c>
      <c r="LH54" s="12">
        <f>SUM(LG43:LG54)</f>
        <v/>
      </c>
      <c r="LI54" s="12">
        <f>OR(LI53,IF(VATAgentMode,SUM($LG43:$LG54)-SUM($LN43:$LN54)&gt;=VATThreshold,SUM($LG43:$LG54)&gt;=VATThreshold))</f>
        <v/>
      </c>
      <c r="LJ54" s="9">
        <f>IF(LI54,IF(VATAgentMode,LG54-((LG54-LN54)-(LG54-LN54)/(1+VATRate)),LG54/(1+VATRate)),LG54)</f>
        <v/>
      </c>
      <c r="LK54" s="12">
        <f>LG54-LJ54</f>
        <v/>
      </c>
      <c r="LL54" s="12">
        <f>IF(LI54=0,0,IF(KD54=1,SUMPRODUCT(--(($KE$5:$KE54=$KE54-1)*($KD$5:$KD54&gt;=10)*($KD$5:$KD54&lt;=12)),$LK$5:$LK54),IF(KD54=4,SUMPRODUCT(--(($KE$5:$KE54=$KE54)*($KD$5:$KD54&gt;=1)*($KD$5:$KD54&lt;=3)),$LK$5:$LK54),IF(KD54=7,SUMPRODUCT(--(($KE$5:$KE54=$KE54)*($KD$5:$KD54&gt;=4)*($KD$5:$KD54&lt;=6)),$LK$5:$LK54),IF(KD54=10,SUMPRODUCT(--(($KE$5:$KE54=$KE54)*($KD$5:$KD54&gt;=7)*($KD$5:$KD54&lt;=9)),$LK$5:$LK54),0)))))</f>
        <v/>
      </c>
      <c r="LM54" s="12">
        <f>LM53+LK54-LL54</f>
        <v/>
      </c>
      <c r="LN54" s="12">
        <f>IF(ProviderDelay&gt;=1,KU53*BlendedProvPayEss+KV53*BlendedProvPayPrem+KW53*BlendedProvPayElite+KX53*BlendedProvPayEss+KY53*BlendedProvPayPrem+KZ53*BlendedProvPayElite,KU54*BlendedProvPayEss+KV54*BlendedProvPayPrem+KW54*BlendedProvPayElite+KX54*BlendedProvPayEss+KY54*BlendedProvPayPrem+KZ54*BlendedProvPayElite)</f>
        <v/>
      </c>
      <c r="LO54" s="12">
        <f>LG54*PaymentFee</f>
        <v/>
      </c>
      <c r="LP54" s="12">
        <f>LA54*OpsAI</f>
        <v/>
      </c>
      <c r="LQ54" s="12">
        <f>MonthlyFixed</f>
        <v/>
      </c>
      <c r="LR54" s="12">
        <f>KK54*ReferralReward</f>
        <v/>
      </c>
      <c r="LS54" s="12">
        <f>KI54</f>
        <v/>
      </c>
      <c r="LT54" s="9">
        <f>LJ54-LN54-LO54-LP54-LQ54-LR54-LS54</f>
        <v/>
      </c>
      <c r="LU54" s="9">
        <f>LU53+LG54-(LN54+LO54+LP54+LQ54+LR54+LS54+LL54)</f>
        <v/>
      </c>
      <c r="LV54" s="12">
        <f>IF(LA54&gt;0,LB54/LA54,0)</f>
        <v/>
      </c>
      <c r="LW54" s="11">
        <f>IF(LA53&gt;0,MAX(0,(LA53+KL54-LA54)/LA53),0)</f>
        <v/>
      </c>
      <c r="LY54" s="12" t="n">
        <v>50</v>
      </c>
      <c r="LZ54" s="12">
        <f>MOD(LY54-1+LaunchMonth-1,12)+1</f>
        <v/>
      </c>
      <c r="MA54" s="12">
        <f>INT((LY54-1+LaunchMonth-1)/12)+1</f>
        <v/>
      </c>
      <c r="MB54" s="12">
        <f>VLOOKUP(LZ54,SeasonTable,2,FALSE)</f>
        <v/>
      </c>
      <c r="MC54" s="12">
        <f>(1+InflationRate)^INT((LY54-1)/12)</f>
        <v/>
      </c>
      <c r="MD54" s="11">
        <f>'Sens - Churn'!$A$17*VLOOKUP(LZ54,ChurnSeasonTable,4,FALSE)</f>
        <v/>
      </c>
      <c r="ME54" s="12">
        <f>MIN(MAX(MktMin19plus,NC53*MktPct19plus),MAX(0,NQ53-CashBuffer))</f>
        <v/>
      </c>
      <c r="MF54" s="12">
        <f>IF(ME54&gt;0,MAX(1,ROUND(ME54/CAC*MB54,0)),0)</f>
        <v/>
      </c>
      <c r="MG54" s="12">
        <f>IF(MF54&gt;0,ROUND(MF54*ReferralMix/(1-ReferralMix),0),0)</f>
        <v/>
      </c>
      <c r="MH54" s="12">
        <f>MF54+MG54</f>
        <v/>
      </c>
      <c r="MI54" s="12">
        <f>ROUND(MH54*(1-AnnualMix),0)</f>
        <v/>
      </c>
      <c r="MJ54" s="12">
        <f>MH54-MI54</f>
        <v/>
      </c>
      <c r="MK54" s="12">
        <f>ROUND(MI54*EssentialMix,0)</f>
        <v/>
      </c>
      <c r="ML54" s="12">
        <f>ROUND(MI54*PremiumMix,0)</f>
        <v/>
      </c>
      <c r="MM54" s="12">
        <f>MI54-MK54-ML54</f>
        <v/>
      </c>
      <c r="MN54" s="12">
        <f>ROUND(MJ54*EssentialMix,0)</f>
        <v/>
      </c>
      <c r="MO54" s="12">
        <f>ROUND(MJ54*PremiumMix,0)</f>
        <v/>
      </c>
      <c r="MP54" s="12">
        <f>MJ54-MN54-MO54</f>
        <v/>
      </c>
      <c r="MQ54" s="12">
        <f>MK54+MK53+MK52+MAX(0,MQ53-MK53-MK52)*(1-MD54)</f>
        <v/>
      </c>
      <c r="MR54" s="12">
        <f>ML54+ML53+ML52+MAX(0,MR53-ML53-ML52)*(1-MD54)</f>
        <v/>
      </c>
      <c r="MS54" s="12">
        <f>MM54+MM53+MM52+MAX(0,MS53-MM53-MM52)*(1-MD54)</f>
        <v/>
      </c>
      <c r="MT54" s="12">
        <f>MT53+MN54-MN42*(AnnualChurn*VLOOKUP(LZ54,ChurnSeasonTable,4,FALSE))*POWER(1-(AnnualChurn*VLOOKUP(LZ54,ChurnSeasonTable,4,FALSE)),0)+MN30*(AnnualChurn*VLOOKUP(LZ54,ChurnSeasonTable,4,FALSE))*POWER(1-(AnnualChurn*VLOOKUP(LZ54,ChurnSeasonTable,4,FALSE)),1)+MN18*(AnnualChurn*VLOOKUP(LZ54,ChurnSeasonTable,4,FALSE))*POWER(1-(AnnualChurn*VLOOKUP(LZ54,ChurnSeasonTable,4,FALSE)),2)+MN6*(AnnualChurn*VLOOKUP(LZ54,ChurnSeasonTable,4,FALSE))*POWER(1-(AnnualChurn*VLOOKUP(LZ54,ChurnSeasonTable,4,FALSE)),3)</f>
        <v/>
      </c>
      <c r="MU54" s="12">
        <f>MU53+MO54-MO42*(AnnualChurn*VLOOKUP(LZ54,ChurnSeasonTable,4,FALSE))*POWER(1-(AnnualChurn*VLOOKUP(LZ54,ChurnSeasonTable,4,FALSE)),0)+MO30*(AnnualChurn*VLOOKUP(LZ54,ChurnSeasonTable,4,FALSE))*POWER(1-(AnnualChurn*VLOOKUP(LZ54,ChurnSeasonTable,4,FALSE)),1)+MO18*(AnnualChurn*VLOOKUP(LZ54,ChurnSeasonTable,4,FALSE))*POWER(1-(AnnualChurn*VLOOKUP(LZ54,ChurnSeasonTable,4,FALSE)),2)+MO6*(AnnualChurn*VLOOKUP(LZ54,ChurnSeasonTable,4,FALSE))*POWER(1-(AnnualChurn*VLOOKUP(LZ54,ChurnSeasonTable,4,FALSE)),3)</f>
        <v/>
      </c>
      <c r="MV54" s="12">
        <f>MV53+MP54-MP42*(AnnualChurn*VLOOKUP(LZ54,ChurnSeasonTable,4,FALSE))*POWER(1-(AnnualChurn*VLOOKUP(LZ54,ChurnSeasonTable,4,FALSE)),0)+MP30*(AnnualChurn*VLOOKUP(LZ54,ChurnSeasonTable,4,FALSE))*POWER(1-(AnnualChurn*VLOOKUP(LZ54,ChurnSeasonTable,4,FALSE)),1)+MP18*(AnnualChurn*VLOOKUP(LZ54,ChurnSeasonTable,4,FALSE))*POWER(1-(AnnualChurn*VLOOKUP(LZ54,ChurnSeasonTable,4,FALSE)),2)+MP6*(AnnualChurn*VLOOKUP(LZ54,ChurnSeasonTable,4,FALSE))*POWER(1-(AnnualChurn*VLOOKUP(LZ54,ChurnSeasonTable,4,FALSE)),3)</f>
        <v/>
      </c>
      <c r="MW54" s="12">
        <f>MQ54+MR54+MS54+MT54+MU54+MV54</f>
        <v/>
      </c>
      <c r="MX54" s="9">
        <f>MQ54*BlendedPriceEssMonthly*MC54+MR54*BlendedPricePremMonthly*MC54+MS54*BlendedPriceEliteMonthly*MC54+MT54*BlendedPriceEssAnnual*MC54/12+MU54*BlendedPricePremAnnual*MC54/12+MV54*BlendedPriceEliteAnnual*MC54/12</f>
        <v/>
      </c>
      <c r="MY54" s="9">
        <f>MX54*12</f>
        <v/>
      </c>
      <c r="MZ54" s="12">
        <f>MQ54*BlendedPriceEssMonthly*MC54+MR54*BlendedPricePremMonthly*MC54+MS54*BlendedPriceEliteMonthly*MC54</f>
        <v/>
      </c>
      <c r="NA54" s="12">
        <f>MN54*BlendedPriceEssAnnual*MC54+MO54*BlendedPricePremAnnual*MC54+MP54*BlendedPriceEliteAnnual*MC54</f>
        <v/>
      </c>
      <c r="NB54" s="12">
        <f>MN42*POWER(1-(AnnualChurn*VLOOKUP(LZ54,ChurnSeasonTable,4,FALSE)),1)*BlendedPriceEssAnnual*MC54+MN30*POWER(1-(AnnualChurn*VLOOKUP(LZ54,ChurnSeasonTable,4,FALSE)),2)*BlendedPriceEssAnnual*MC54+MN18*POWER(1-(AnnualChurn*VLOOKUP(LZ54,ChurnSeasonTable,4,FALSE)),3)*BlendedPriceEssAnnual*MC54+MN6*POWER(1-(AnnualChurn*VLOOKUP(LZ54,ChurnSeasonTable,4,FALSE)),4)*BlendedPriceEssAnnual*MC54+MO42*POWER(1-(AnnualChurn*VLOOKUP(LZ54,ChurnSeasonTable,4,FALSE)),1)*BlendedPricePremAnnual*MC54+MO30*POWER(1-(AnnualChurn*VLOOKUP(LZ54,ChurnSeasonTable,4,FALSE)),2)*BlendedPricePremAnnual*MC54+MO18*POWER(1-(AnnualChurn*VLOOKUP(LZ54,ChurnSeasonTable,4,FALSE)),3)*BlendedPricePremAnnual*MC54+MO6*POWER(1-(AnnualChurn*VLOOKUP(LZ54,ChurnSeasonTable,4,FALSE)),4)*BlendedPricePremAnnual*MC54+MP42*POWER(1-(AnnualChurn*VLOOKUP(LZ54,ChurnSeasonTable,4,FALSE)),1)*BlendedPriceEliteAnnual*MC54+MP30*POWER(1-(AnnualChurn*VLOOKUP(LZ54,ChurnSeasonTable,4,FALSE)),2)*BlendedPriceEliteAnnual*MC54+MP18*POWER(1-(AnnualChurn*VLOOKUP(LZ54,ChurnSeasonTable,4,FALSE)),3)*BlendedPriceEliteAnnual*MC54+MP6*POWER(1-(AnnualChurn*VLOOKUP(LZ54,ChurnSeasonTable,4,FALSE)),4)*BlendedPriceEliteAnnual*MC54</f>
        <v/>
      </c>
      <c r="NC54" s="9">
        <f>MZ54+NA54+NB54</f>
        <v/>
      </c>
      <c r="ND54" s="12">
        <f>SUM(NC43:NC54)</f>
        <v/>
      </c>
      <c r="NE54" s="12">
        <f>OR(NE53,IF(VATAgentMode,SUM($NC43:$NC54)-SUM($NJ43:$NJ54)&gt;=VATThreshold,SUM($NC43:$NC54)&gt;=VATThreshold))</f>
        <v/>
      </c>
      <c r="NF54" s="9">
        <f>IF(NE54,IF(VATAgentMode,NC54-((NC54-NJ54)-(NC54-NJ54)/(1+VATRate)),NC54/(1+VATRate)),NC54)</f>
        <v/>
      </c>
      <c r="NG54" s="12">
        <f>NC54-NF54</f>
        <v/>
      </c>
      <c r="NH54" s="12">
        <f>IF(NE54=0,0,IF(LZ54=1,SUMPRODUCT(--(($MA$5:$MA54=$MA54-1)*($LZ$5:$LZ54&gt;=10)*($LZ$5:$LZ54&lt;=12)),$NG$5:$NG54),IF(LZ54=4,SUMPRODUCT(--(($MA$5:$MA54=$MA54)*($LZ$5:$LZ54&gt;=1)*($LZ$5:$LZ54&lt;=3)),$NG$5:$NG54),IF(LZ54=7,SUMPRODUCT(--(($MA$5:$MA54=$MA54)*($LZ$5:$LZ54&gt;=4)*($LZ$5:$LZ54&lt;=6)),$NG$5:$NG54),IF(LZ54=10,SUMPRODUCT(--(($MA$5:$MA54=$MA54)*($LZ$5:$LZ54&gt;=7)*($LZ$5:$LZ54&lt;=9)),$NG$5:$NG54),0)))))</f>
        <v/>
      </c>
      <c r="NI54" s="12">
        <f>NI53+NG54-NH54</f>
        <v/>
      </c>
      <c r="NJ54" s="12">
        <f>IF(ProviderDelay&gt;=1,MQ53*BlendedProvPayEss+MR53*BlendedProvPayPrem+MS53*BlendedProvPayElite+MT53*BlendedProvPayEss+MU53*BlendedProvPayPrem+MV53*BlendedProvPayElite,MQ54*BlendedProvPayEss+MR54*BlendedProvPayPrem+MS54*BlendedProvPayElite+MT54*BlendedProvPayEss+MU54*BlendedProvPayPrem+MV54*BlendedProvPayElite)</f>
        <v/>
      </c>
      <c r="NK54" s="12">
        <f>NC54*PaymentFee</f>
        <v/>
      </c>
      <c r="NL54" s="12">
        <f>MW54*OpsAI</f>
        <v/>
      </c>
      <c r="NM54" s="12">
        <f>MonthlyFixed</f>
        <v/>
      </c>
      <c r="NN54" s="12">
        <f>MG54*ReferralReward</f>
        <v/>
      </c>
      <c r="NO54" s="12">
        <f>ME54</f>
        <v/>
      </c>
      <c r="NP54" s="9">
        <f>NF54-NJ54-NK54-NL54-NM54-NN54-NO54</f>
        <v/>
      </c>
      <c r="NQ54" s="9">
        <f>NQ53+NC54-(NJ54+NK54+NL54+NM54+NN54+NO54+NH54)</f>
        <v/>
      </c>
      <c r="NR54" s="12">
        <f>IF(MW54&gt;0,MX54/MW54,0)</f>
        <v/>
      </c>
      <c r="NS54" s="11">
        <f>IF(MW53&gt;0,MAX(0,(MW53+MH54-MW54)/MW53),0)</f>
        <v/>
      </c>
      <c r="NU54" s="12" t="n">
        <v>50</v>
      </c>
      <c r="NV54" s="12">
        <f>MOD(NU54-1+LaunchMonth-1,12)+1</f>
        <v/>
      </c>
      <c r="NW54" s="12">
        <f>INT((NU54-1+LaunchMonth-1)/12)+1</f>
        <v/>
      </c>
      <c r="NX54" s="12">
        <f>VLOOKUP(NV54,SeasonTable,2,FALSE)</f>
        <v/>
      </c>
      <c r="NY54" s="12">
        <f>(1+InflationRate)^INT((NU54-1)/12)</f>
        <v/>
      </c>
      <c r="NZ54" s="11">
        <f>'Sens - Churn'!$A$18*VLOOKUP(NV54,ChurnSeasonTable,4,FALSE)</f>
        <v/>
      </c>
      <c r="OA54" s="12">
        <f>MIN(MAX(MktMin19plus,OY53*MktPct19plus),MAX(0,PM53-CashBuffer))</f>
        <v/>
      </c>
      <c r="OB54" s="12">
        <f>IF(OA54&gt;0,MAX(1,ROUND(OA54/CAC*NX54,0)),0)</f>
        <v/>
      </c>
      <c r="OC54" s="12">
        <f>IF(OB54&gt;0,ROUND(OB54*ReferralMix/(1-ReferralMix),0),0)</f>
        <v/>
      </c>
      <c r="OD54" s="12">
        <f>OB54+OC54</f>
        <v/>
      </c>
      <c r="OE54" s="12">
        <f>ROUND(OD54*(1-AnnualMix),0)</f>
        <v/>
      </c>
      <c r="OF54" s="12">
        <f>OD54-OE54</f>
        <v/>
      </c>
      <c r="OG54" s="12">
        <f>ROUND(OE54*EssentialMix,0)</f>
        <v/>
      </c>
      <c r="OH54" s="12">
        <f>ROUND(OE54*PremiumMix,0)</f>
        <v/>
      </c>
      <c r="OI54" s="12">
        <f>OE54-OG54-OH54</f>
        <v/>
      </c>
      <c r="OJ54" s="12">
        <f>ROUND(OF54*EssentialMix,0)</f>
        <v/>
      </c>
      <c r="OK54" s="12">
        <f>ROUND(OF54*PremiumMix,0)</f>
        <v/>
      </c>
      <c r="OL54" s="12">
        <f>OF54-OJ54-OK54</f>
        <v/>
      </c>
      <c r="OM54" s="12">
        <f>OG54+OG53+OG52+MAX(0,OM53-OG53-OG52)*(1-NZ54)</f>
        <v/>
      </c>
      <c r="ON54" s="12">
        <f>OH54+OH53+OH52+MAX(0,ON53-OH53-OH52)*(1-NZ54)</f>
        <v/>
      </c>
      <c r="OO54" s="12">
        <f>OI54+OI53+OI52+MAX(0,OO53-OI53-OI52)*(1-NZ54)</f>
        <v/>
      </c>
      <c r="OP54" s="12">
        <f>OP53+OJ54-OJ42*(AnnualChurn*VLOOKUP(NV54,ChurnSeasonTable,4,FALSE))*POWER(1-(AnnualChurn*VLOOKUP(NV54,ChurnSeasonTable,4,FALSE)),0)+OJ30*(AnnualChurn*VLOOKUP(NV54,ChurnSeasonTable,4,FALSE))*POWER(1-(AnnualChurn*VLOOKUP(NV54,ChurnSeasonTable,4,FALSE)),1)+OJ18*(AnnualChurn*VLOOKUP(NV54,ChurnSeasonTable,4,FALSE))*POWER(1-(AnnualChurn*VLOOKUP(NV54,ChurnSeasonTable,4,FALSE)),2)+OJ6*(AnnualChurn*VLOOKUP(NV54,ChurnSeasonTable,4,FALSE))*POWER(1-(AnnualChurn*VLOOKUP(NV54,ChurnSeasonTable,4,FALSE)),3)</f>
        <v/>
      </c>
      <c r="OQ54" s="12">
        <f>OQ53+OK54-OK42*(AnnualChurn*VLOOKUP(NV54,ChurnSeasonTable,4,FALSE))*POWER(1-(AnnualChurn*VLOOKUP(NV54,ChurnSeasonTable,4,FALSE)),0)+OK30*(AnnualChurn*VLOOKUP(NV54,ChurnSeasonTable,4,FALSE))*POWER(1-(AnnualChurn*VLOOKUP(NV54,ChurnSeasonTable,4,FALSE)),1)+OK18*(AnnualChurn*VLOOKUP(NV54,ChurnSeasonTable,4,FALSE))*POWER(1-(AnnualChurn*VLOOKUP(NV54,ChurnSeasonTable,4,FALSE)),2)+OK6*(AnnualChurn*VLOOKUP(NV54,ChurnSeasonTable,4,FALSE))*POWER(1-(AnnualChurn*VLOOKUP(NV54,ChurnSeasonTable,4,FALSE)),3)</f>
        <v/>
      </c>
      <c r="OR54" s="12">
        <f>OR53+OL54-OL42*(AnnualChurn*VLOOKUP(NV54,ChurnSeasonTable,4,FALSE))*POWER(1-(AnnualChurn*VLOOKUP(NV54,ChurnSeasonTable,4,FALSE)),0)+OL30*(AnnualChurn*VLOOKUP(NV54,ChurnSeasonTable,4,FALSE))*POWER(1-(AnnualChurn*VLOOKUP(NV54,ChurnSeasonTable,4,FALSE)),1)+OL18*(AnnualChurn*VLOOKUP(NV54,ChurnSeasonTable,4,FALSE))*POWER(1-(AnnualChurn*VLOOKUP(NV54,ChurnSeasonTable,4,FALSE)),2)+OL6*(AnnualChurn*VLOOKUP(NV54,ChurnSeasonTable,4,FALSE))*POWER(1-(AnnualChurn*VLOOKUP(NV54,ChurnSeasonTable,4,FALSE)),3)</f>
        <v/>
      </c>
      <c r="OS54" s="12">
        <f>OM54+ON54+OO54+OP54+OQ54+OR54</f>
        <v/>
      </c>
      <c r="OT54" s="9">
        <f>OM54*BlendedPriceEssMonthly*NY54+ON54*BlendedPricePremMonthly*NY54+OO54*BlendedPriceEliteMonthly*NY54+OP54*BlendedPriceEssAnnual*NY54/12+OQ54*BlendedPricePremAnnual*NY54/12+OR54*BlendedPriceEliteAnnual*NY54/12</f>
        <v/>
      </c>
      <c r="OU54" s="9">
        <f>OT54*12</f>
        <v/>
      </c>
      <c r="OV54" s="12">
        <f>OM54*BlendedPriceEssMonthly*NY54+ON54*BlendedPricePremMonthly*NY54+OO54*BlendedPriceEliteMonthly*NY54</f>
        <v/>
      </c>
      <c r="OW54" s="12">
        <f>OJ54*BlendedPriceEssAnnual*NY54+OK54*BlendedPricePremAnnual*NY54+OL54*BlendedPriceEliteAnnual*NY54</f>
        <v/>
      </c>
      <c r="OX54" s="12">
        <f>OJ42*POWER(1-(AnnualChurn*VLOOKUP(NV54,ChurnSeasonTable,4,FALSE)),1)*BlendedPriceEssAnnual*NY54+OJ30*POWER(1-(AnnualChurn*VLOOKUP(NV54,ChurnSeasonTable,4,FALSE)),2)*BlendedPriceEssAnnual*NY54+OJ18*POWER(1-(AnnualChurn*VLOOKUP(NV54,ChurnSeasonTable,4,FALSE)),3)*BlendedPriceEssAnnual*NY54+OJ6*POWER(1-(AnnualChurn*VLOOKUP(NV54,ChurnSeasonTable,4,FALSE)),4)*BlendedPriceEssAnnual*NY54+OK42*POWER(1-(AnnualChurn*VLOOKUP(NV54,ChurnSeasonTable,4,FALSE)),1)*BlendedPricePremAnnual*NY54+OK30*POWER(1-(AnnualChurn*VLOOKUP(NV54,ChurnSeasonTable,4,FALSE)),2)*BlendedPricePremAnnual*NY54+OK18*POWER(1-(AnnualChurn*VLOOKUP(NV54,ChurnSeasonTable,4,FALSE)),3)*BlendedPricePremAnnual*NY54+OK6*POWER(1-(AnnualChurn*VLOOKUP(NV54,ChurnSeasonTable,4,FALSE)),4)*BlendedPricePremAnnual*NY54+OL42*POWER(1-(AnnualChurn*VLOOKUP(NV54,ChurnSeasonTable,4,FALSE)),1)*BlendedPriceEliteAnnual*NY54+OL30*POWER(1-(AnnualChurn*VLOOKUP(NV54,ChurnSeasonTable,4,FALSE)),2)*BlendedPriceEliteAnnual*NY54+OL18*POWER(1-(AnnualChurn*VLOOKUP(NV54,ChurnSeasonTable,4,FALSE)),3)*BlendedPriceEliteAnnual*NY54+OL6*POWER(1-(AnnualChurn*VLOOKUP(NV54,ChurnSeasonTable,4,FALSE)),4)*BlendedPriceEliteAnnual*NY54</f>
        <v/>
      </c>
      <c r="OY54" s="9">
        <f>OV54+OW54+OX54</f>
        <v/>
      </c>
      <c r="OZ54" s="12">
        <f>SUM(OY43:OY54)</f>
        <v/>
      </c>
      <c r="PA54" s="12">
        <f>OR(PA53,IF(VATAgentMode,SUM($OY43:$OY54)-SUM($PF43:$PF54)&gt;=VATThreshold,SUM($OY43:$OY54)&gt;=VATThreshold))</f>
        <v/>
      </c>
      <c r="PB54" s="9">
        <f>IF(PA54,IF(VATAgentMode,OY54-((OY54-PF54)-(OY54-PF54)/(1+VATRate)),OY54/(1+VATRate)),OY54)</f>
        <v/>
      </c>
      <c r="PC54" s="12">
        <f>OY54-PB54</f>
        <v/>
      </c>
      <c r="PD54" s="12">
        <f>IF(PA54=0,0,IF(NV54=1,SUMPRODUCT(--(($NW$5:$NW54=$NW54-1)*($NV$5:$NV54&gt;=10)*($NV$5:$NV54&lt;=12)),$PC$5:$PC54),IF(NV54=4,SUMPRODUCT(--(($NW$5:$NW54=$NW54)*($NV$5:$NV54&gt;=1)*($NV$5:$NV54&lt;=3)),$PC$5:$PC54),IF(NV54=7,SUMPRODUCT(--(($NW$5:$NW54=$NW54)*($NV$5:$NV54&gt;=4)*($NV$5:$NV54&lt;=6)),$PC$5:$PC54),IF(NV54=10,SUMPRODUCT(--(($NW$5:$NW54=$NW54)*($NV$5:$NV54&gt;=7)*($NV$5:$NV54&lt;=9)),$PC$5:$PC54),0)))))</f>
        <v/>
      </c>
      <c r="PE54" s="12">
        <f>PE53+PC54-PD54</f>
        <v/>
      </c>
      <c r="PF54" s="12">
        <f>IF(ProviderDelay&gt;=1,OM53*BlendedProvPayEss+ON53*BlendedProvPayPrem+OO53*BlendedProvPayElite+OP53*BlendedProvPayEss+OQ53*BlendedProvPayPrem+OR53*BlendedProvPayElite,OM54*BlendedProvPayEss+ON54*BlendedProvPayPrem+OO54*BlendedProvPayElite+OP54*BlendedProvPayEss+OQ54*BlendedProvPayPrem+OR54*BlendedProvPayElite)</f>
        <v/>
      </c>
      <c r="PG54" s="12">
        <f>OY54*PaymentFee</f>
        <v/>
      </c>
      <c r="PH54" s="12">
        <f>OS54*OpsAI</f>
        <v/>
      </c>
      <c r="PI54" s="12">
        <f>MonthlyFixed</f>
        <v/>
      </c>
      <c r="PJ54" s="12">
        <f>OC54*ReferralReward</f>
        <v/>
      </c>
      <c r="PK54" s="12">
        <f>OA54</f>
        <v/>
      </c>
      <c r="PL54" s="9">
        <f>PB54-PF54-PG54-PH54-PI54-PJ54-PK54</f>
        <v/>
      </c>
      <c r="PM54" s="9">
        <f>PM53+OY54-(PF54+PG54+PH54+PI54+PJ54+PK54+PD54)</f>
        <v/>
      </c>
      <c r="PN54" s="12">
        <f>IF(OS54&gt;0,OT54/OS54,0)</f>
        <v/>
      </c>
      <c r="PO54" s="11">
        <f>IF(OS53&gt;0,MAX(0,(OS53+OD54-OS54)/OS53),0)</f>
        <v/>
      </c>
      <c r="PQ54" s="12" t="n">
        <v>50</v>
      </c>
      <c r="PR54" s="12">
        <f>MOD(PQ54-1+LaunchMonth-1,12)+1</f>
        <v/>
      </c>
      <c r="PS54" s="12">
        <f>INT((PQ54-1+LaunchMonth-1)/12)+1</f>
        <v/>
      </c>
      <c r="PT54" s="12">
        <f>VLOOKUP(PR54,SeasonTable,2,FALSE)</f>
        <v/>
      </c>
      <c r="PU54" s="12">
        <f>(1+InflationRate)^INT((PQ54-1)/12)</f>
        <v/>
      </c>
      <c r="PV54" s="11">
        <f>'Sens - Churn'!$A$19*VLOOKUP(PR54,ChurnSeasonTable,4,FALSE)</f>
        <v/>
      </c>
      <c r="PW54" s="12">
        <f>MIN(MAX(MktMin19plus,QU53*MktPct19plus),MAX(0,RI53-CashBuffer))</f>
        <v/>
      </c>
      <c r="PX54" s="12">
        <f>IF(PW54&gt;0,MAX(1,ROUND(PW54/CAC*PT54,0)),0)</f>
        <v/>
      </c>
      <c r="PY54" s="12">
        <f>IF(PX54&gt;0,ROUND(PX54*ReferralMix/(1-ReferralMix),0),0)</f>
        <v/>
      </c>
      <c r="PZ54" s="12">
        <f>PX54+PY54</f>
        <v/>
      </c>
      <c r="QA54" s="12">
        <f>ROUND(PZ54*(1-AnnualMix),0)</f>
        <v/>
      </c>
      <c r="QB54" s="12">
        <f>PZ54-QA54</f>
        <v/>
      </c>
      <c r="QC54" s="12">
        <f>ROUND(QA54*EssentialMix,0)</f>
        <v/>
      </c>
      <c r="QD54" s="12">
        <f>ROUND(QA54*PremiumMix,0)</f>
        <v/>
      </c>
      <c r="QE54" s="12">
        <f>QA54-QC54-QD54</f>
        <v/>
      </c>
      <c r="QF54" s="12">
        <f>ROUND(QB54*EssentialMix,0)</f>
        <v/>
      </c>
      <c r="QG54" s="12">
        <f>ROUND(QB54*PremiumMix,0)</f>
        <v/>
      </c>
      <c r="QH54" s="12">
        <f>QB54-QF54-QG54</f>
        <v/>
      </c>
      <c r="QI54" s="12">
        <f>QC54+QC53+QC52+MAX(0,QI53-QC53-QC52)*(1-PV54)</f>
        <v/>
      </c>
      <c r="QJ54" s="12">
        <f>QD54+QD53+QD52+MAX(0,QJ53-QD53-QD52)*(1-PV54)</f>
        <v/>
      </c>
      <c r="QK54" s="12">
        <f>QE54+QE53+QE52+MAX(0,QK53-QE53-QE52)*(1-PV54)</f>
        <v/>
      </c>
      <c r="QL54" s="12">
        <f>QL53+QF54-QF42*(AnnualChurn*VLOOKUP(PR54,ChurnSeasonTable,4,FALSE))*POWER(1-(AnnualChurn*VLOOKUP(PR54,ChurnSeasonTable,4,FALSE)),0)+QF30*(AnnualChurn*VLOOKUP(PR54,ChurnSeasonTable,4,FALSE))*POWER(1-(AnnualChurn*VLOOKUP(PR54,ChurnSeasonTable,4,FALSE)),1)+QF18*(AnnualChurn*VLOOKUP(PR54,ChurnSeasonTable,4,FALSE))*POWER(1-(AnnualChurn*VLOOKUP(PR54,ChurnSeasonTable,4,FALSE)),2)+QF6*(AnnualChurn*VLOOKUP(PR54,ChurnSeasonTable,4,FALSE))*POWER(1-(AnnualChurn*VLOOKUP(PR54,ChurnSeasonTable,4,FALSE)),3)</f>
        <v/>
      </c>
      <c r="QM54" s="12">
        <f>QM53+QG54-QG42*(AnnualChurn*VLOOKUP(PR54,ChurnSeasonTable,4,FALSE))*POWER(1-(AnnualChurn*VLOOKUP(PR54,ChurnSeasonTable,4,FALSE)),0)+QG30*(AnnualChurn*VLOOKUP(PR54,ChurnSeasonTable,4,FALSE))*POWER(1-(AnnualChurn*VLOOKUP(PR54,ChurnSeasonTable,4,FALSE)),1)+QG18*(AnnualChurn*VLOOKUP(PR54,ChurnSeasonTable,4,FALSE))*POWER(1-(AnnualChurn*VLOOKUP(PR54,ChurnSeasonTable,4,FALSE)),2)+QG6*(AnnualChurn*VLOOKUP(PR54,ChurnSeasonTable,4,FALSE))*POWER(1-(AnnualChurn*VLOOKUP(PR54,ChurnSeasonTable,4,FALSE)),3)</f>
        <v/>
      </c>
      <c r="QN54" s="12">
        <f>QN53+QH54-QH42*(AnnualChurn*VLOOKUP(PR54,ChurnSeasonTable,4,FALSE))*POWER(1-(AnnualChurn*VLOOKUP(PR54,ChurnSeasonTable,4,FALSE)),0)+QH30*(AnnualChurn*VLOOKUP(PR54,ChurnSeasonTable,4,FALSE))*POWER(1-(AnnualChurn*VLOOKUP(PR54,ChurnSeasonTable,4,FALSE)),1)+QH18*(AnnualChurn*VLOOKUP(PR54,ChurnSeasonTable,4,FALSE))*POWER(1-(AnnualChurn*VLOOKUP(PR54,ChurnSeasonTable,4,FALSE)),2)+QH6*(AnnualChurn*VLOOKUP(PR54,ChurnSeasonTable,4,FALSE))*POWER(1-(AnnualChurn*VLOOKUP(PR54,ChurnSeasonTable,4,FALSE)),3)</f>
        <v/>
      </c>
      <c r="QO54" s="12">
        <f>QI54+QJ54+QK54+QL54+QM54+QN54</f>
        <v/>
      </c>
      <c r="QP54" s="9">
        <f>QI54*BlendedPriceEssMonthly*PU54+QJ54*BlendedPricePremMonthly*PU54+QK54*BlendedPriceEliteMonthly*PU54+QL54*BlendedPriceEssAnnual*PU54/12+QM54*BlendedPricePremAnnual*PU54/12+QN54*BlendedPriceEliteAnnual*PU54/12</f>
        <v/>
      </c>
      <c r="QQ54" s="9">
        <f>QP54*12</f>
        <v/>
      </c>
      <c r="QR54" s="12">
        <f>QI54*BlendedPriceEssMonthly*PU54+QJ54*BlendedPricePremMonthly*PU54+QK54*BlendedPriceEliteMonthly*PU54</f>
        <v/>
      </c>
      <c r="QS54" s="12">
        <f>QF54*BlendedPriceEssAnnual*PU54+QG54*BlendedPricePremAnnual*PU54+QH54*BlendedPriceEliteAnnual*PU54</f>
        <v/>
      </c>
      <c r="QT54" s="12">
        <f>QF42*POWER(1-(AnnualChurn*VLOOKUP(PR54,ChurnSeasonTable,4,FALSE)),1)*BlendedPriceEssAnnual*PU54+QF30*POWER(1-(AnnualChurn*VLOOKUP(PR54,ChurnSeasonTable,4,FALSE)),2)*BlendedPriceEssAnnual*PU54+QF18*POWER(1-(AnnualChurn*VLOOKUP(PR54,ChurnSeasonTable,4,FALSE)),3)*BlendedPriceEssAnnual*PU54+QF6*POWER(1-(AnnualChurn*VLOOKUP(PR54,ChurnSeasonTable,4,FALSE)),4)*BlendedPriceEssAnnual*PU54+QG42*POWER(1-(AnnualChurn*VLOOKUP(PR54,ChurnSeasonTable,4,FALSE)),1)*BlendedPricePremAnnual*PU54+QG30*POWER(1-(AnnualChurn*VLOOKUP(PR54,ChurnSeasonTable,4,FALSE)),2)*BlendedPricePremAnnual*PU54+QG18*POWER(1-(AnnualChurn*VLOOKUP(PR54,ChurnSeasonTable,4,FALSE)),3)*BlendedPricePremAnnual*PU54+QG6*POWER(1-(AnnualChurn*VLOOKUP(PR54,ChurnSeasonTable,4,FALSE)),4)*BlendedPricePremAnnual*PU54+QH42*POWER(1-(AnnualChurn*VLOOKUP(PR54,ChurnSeasonTable,4,FALSE)),1)*BlendedPriceEliteAnnual*PU54+QH30*POWER(1-(AnnualChurn*VLOOKUP(PR54,ChurnSeasonTable,4,FALSE)),2)*BlendedPriceEliteAnnual*PU54+QH18*POWER(1-(AnnualChurn*VLOOKUP(PR54,ChurnSeasonTable,4,FALSE)),3)*BlendedPriceEliteAnnual*PU54+QH6*POWER(1-(AnnualChurn*VLOOKUP(PR54,ChurnSeasonTable,4,FALSE)),4)*BlendedPriceEliteAnnual*PU54</f>
        <v/>
      </c>
      <c r="QU54" s="9">
        <f>QR54+QS54+QT54</f>
        <v/>
      </c>
      <c r="QV54" s="12">
        <f>SUM(QU43:QU54)</f>
        <v/>
      </c>
      <c r="QW54" s="12">
        <f>OR(QW53,IF(VATAgentMode,SUM($QU43:$QU54)-SUM($RB43:$RB54)&gt;=VATThreshold,SUM($QU43:$QU54)&gt;=VATThreshold))</f>
        <v/>
      </c>
      <c r="QX54" s="9">
        <f>IF(QW54,IF(VATAgentMode,QU54-((QU54-RB54)-(QU54-RB54)/(1+VATRate)),QU54/(1+VATRate)),QU54)</f>
        <v/>
      </c>
      <c r="QY54" s="12">
        <f>QU54-QX54</f>
        <v/>
      </c>
      <c r="QZ54" s="12">
        <f>IF(QW54=0,0,IF(PR54=1,SUMPRODUCT(--(($PS$5:$PS54=$PS54-1)*($PR$5:$PR54&gt;=10)*($PR$5:$PR54&lt;=12)),$QY$5:$QY54),IF(PR54=4,SUMPRODUCT(--(($PS$5:$PS54=$PS54)*($PR$5:$PR54&gt;=1)*($PR$5:$PR54&lt;=3)),$QY$5:$QY54),IF(PR54=7,SUMPRODUCT(--(($PS$5:$PS54=$PS54)*($PR$5:$PR54&gt;=4)*($PR$5:$PR54&lt;=6)),$QY$5:$QY54),IF(PR54=10,SUMPRODUCT(--(($PS$5:$PS54=$PS54)*($PR$5:$PR54&gt;=7)*($PR$5:$PR54&lt;=9)),$QY$5:$QY54),0)))))</f>
        <v/>
      </c>
      <c r="RA54" s="12">
        <f>RA53+QY54-QZ54</f>
        <v/>
      </c>
      <c r="RB54" s="12">
        <f>IF(ProviderDelay&gt;=1,QI53*BlendedProvPayEss+QJ53*BlendedProvPayPrem+QK53*BlendedProvPayElite+QL53*BlendedProvPayEss+QM53*BlendedProvPayPrem+QN53*BlendedProvPayElite,QI54*BlendedProvPayEss+QJ54*BlendedProvPayPrem+QK54*BlendedProvPayElite+QL54*BlendedProvPayEss+QM54*BlendedProvPayPrem+QN54*BlendedProvPayElite)</f>
        <v/>
      </c>
      <c r="RC54" s="12">
        <f>QU54*PaymentFee</f>
        <v/>
      </c>
      <c r="RD54" s="12">
        <f>QO54*OpsAI</f>
        <v/>
      </c>
      <c r="RE54" s="12">
        <f>MonthlyFixed</f>
        <v/>
      </c>
      <c r="RF54" s="12">
        <f>PY54*ReferralReward</f>
        <v/>
      </c>
      <c r="RG54" s="12">
        <f>PW54</f>
        <v/>
      </c>
      <c r="RH54" s="9">
        <f>QX54-RB54-RC54-RD54-RE54-RF54-RG54</f>
        <v/>
      </c>
      <c r="RI54" s="9">
        <f>RI53+QU54-(RB54+RC54+RD54+RE54+RF54+RG54+QZ54)</f>
        <v/>
      </c>
      <c r="RJ54" s="12">
        <f>IF(QO54&gt;0,QP54/QO54,0)</f>
        <v/>
      </c>
      <c r="RK54" s="11">
        <f>IF(QO53&gt;0,MAX(0,(QO53+PZ54-QO54)/QO53),0)</f>
        <v/>
      </c>
      <c r="RM54" s="12" t="n">
        <v>50</v>
      </c>
      <c r="RN54" s="12">
        <f>MOD(RM54-1+LaunchMonth-1,12)+1</f>
        <v/>
      </c>
      <c r="RO54" s="12">
        <f>INT((RM54-1+LaunchMonth-1)/12)+1</f>
        <v/>
      </c>
      <c r="RP54" s="12">
        <f>VLOOKUP(RN54,SeasonTable,2,FALSE)</f>
        <v/>
      </c>
      <c r="RQ54" s="12">
        <f>(1+InflationRate)^INT((RM54-1)/12)</f>
        <v/>
      </c>
      <c r="RR54" s="11">
        <f>'Sens - Churn'!$A$20*VLOOKUP(RN54,ChurnSeasonTable,4,FALSE)</f>
        <v/>
      </c>
      <c r="RS54" s="12">
        <f>MIN(MAX(MktMin19plus,SQ53*MktPct19plus),MAX(0,TE53-CashBuffer))</f>
        <v/>
      </c>
      <c r="RT54" s="12">
        <f>IF(RS54&gt;0,MAX(1,ROUND(RS54/CAC*RP54,0)),0)</f>
        <v/>
      </c>
      <c r="RU54" s="12">
        <f>IF(RT54&gt;0,ROUND(RT54*ReferralMix/(1-ReferralMix),0),0)</f>
        <v/>
      </c>
      <c r="RV54" s="12">
        <f>RT54+RU54</f>
        <v/>
      </c>
      <c r="RW54" s="12">
        <f>ROUND(RV54*(1-AnnualMix),0)</f>
        <v/>
      </c>
      <c r="RX54" s="12">
        <f>RV54-RW54</f>
        <v/>
      </c>
      <c r="RY54" s="12">
        <f>ROUND(RW54*EssentialMix,0)</f>
        <v/>
      </c>
      <c r="RZ54" s="12">
        <f>ROUND(RW54*PremiumMix,0)</f>
        <v/>
      </c>
      <c r="SA54" s="12">
        <f>RW54-RY54-RZ54</f>
        <v/>
      </c>
      <c r="SB54" s="12">
        <f>ROUND(RX54*EssentialMix,0)</f>
        <v/>
      </c>
      <c r="SC54" s="12">
        <f>ROUND(RX54*PremiumMix,0)</f>
        <v/>
      </c>
      <c r="SD54" s="12">
        <f>RX54-SB54-SC54</f>
        <v/>
      </c>
      <c r="SE54" s="12">
        <f>RY54+RY53+RY52+MAX(0,SE53-RY53-RY52)*(1-RR54)</f>
        <v/>
      </c>
      <c r="SF54" s="12">
        <f>RZ54+RZ53+RZ52+MAX(0,SF53-RZ53-RZ52)*(1-RR54)</f>
        <v/>
      </c>
      <c r="SG54" s="12">
        <f>SA54+SA53+SA52+MAX(0,SG53-SA53-SA52)*(1-RR54)</f>
        <v/>
      </c>
      <c r="SH54" s="12">
        <f>SH53+SB54-SB42*(AnnualChurn*VLOOKUP(RN54,ChurnSeasonTable,4,FALSE))*POWER(1-(AnnualChurn*VLOOKUP(RN54,ChurnSeasonTable,4,FALSE)),0)+SB30*(AnnualChurn*VLOOKUP(RN54,ChurnSeasonTable,4,FALSE))*POWER(1-(AnnualChurn*VLOOKUP(RN54,ChurnSeasonTable,4,FALSE)),1)+SB18*(AnnualChurn*VLOOKUP(RN54,ChurnSeasonTable,4,FALSE))*POWER(1-(AnnualChurn*VLOOKUP(RN54,ChurnSeasonTable,4,FALSE)),2)+SB6*(AnnualChurn*VLOOKUP(RN54,ChurnSeasonTable,4,FALSE))*POWER(1-(AnnualChurn*VLOOKUP(RN54,ChurnSeasonTable,4,FALSE)),3)</f>
        <v/>
      </c>
      <c r="SI54" s="12">
        <f>SI53+SC54-SC42*(AnnualChurn*VLOOKUP(RN54,ChurnSeasonTable,4,FALSE))*POWER(1-(AnnualChurn*VLOOKUP(RN54,ChurnSeasonTable,4,FALSE)),0)+SC30*(AnnualChurn*VLOOKUP(RN54,ChurnSeasonTable,4,FALSE))*POWER(1-(AnnualChurn*VLOOKUP(RN54,ChurnSeasonTable,4,FALSE)),1)+SC18*(AnnualChurn*VLOOKUP(RN54,ChurnSeasonTable,4,FALSE))*POWER(1-(AnnualChurn*VLOOKUP(RN54,ChurnSeasonTable,4,FALSE)),2)+SC6*(AnnualChurn*VLOOKUP(RN54,ChurnSeasonTable,4,FALSE))*POWER(1-(AnnualChurn*VLOOKUP(RN54,ChurnSeasonTable,4,FALSE)),3)</f>
        <v/>
      </c>
      <c r="SJ54" s="12">
        <f>SJ53+SD54-SD42*(AnnualChurn*VLOOKUP(RN54,ChurnSeasonTable,4,FALSE))*POWER(1-(AnnualChurn*VLOOKUP(RN54,ChurnSeasonTable,4,FALSE)),0)+SD30*(AnnualChurn*VLOOKUP(RN54,ChurnSeasonTable,4,FALSE))*POWER(1-(AnnualChurn*VLOOKUP(RN54,ChurnSeasonTable,4,FALSE)),1)+SD18*(AnnualChurn*VLOOKUP(RN54,ChurnSeasonTable,4,FALSE))*POWER(1-(AnnualChurn*VLOOKUP(RN54,ChurnSeasonTable,4,FALSE)),2)+SD6*(AnnualChurn*VLOOKUP(RN54,ChurnSeasonTable,4,FALSE))*POWER(1-(AnnualChurn*VLOOKUP(RN54,ChurnSeasonTable,4,FALSE)),3)</f>
        <v/>
      </c>
      <c r="SK54" s="12">
        <f>SE54+SF54+SG54+SH54+SI54+SJ54</f>
        <v/>
      </c>
      <c r="SL54" s="9">
        <f>SE54*BlendedPriceEssMonthly*RQ54+SF54*BlendedPricePremMonthly*RQ54+SG54*BlendedPriceEliteMonthly*RQ54+SH54*BlendedPriceEssAnnual*RQ54/12+SI54*BlendedPricePremAnnual*RQ54/12+SJ54*BlendedPriceEliteAnnual*RQ54/12</f>
        <v/>
      </c>
      <c r="SM54" s="9">
        <f>SL54*12</f>
        <v/>
      </c>
      <c r="SN54" s="12">
        <f>SE54*BlendedPriceEssMonthly*RQ54+SF54*BlendedPricePremMonthly*RQ54+SG54*BlendedPriceEliteMonthly*RQ54</f>
        <v/>
      </c>
      <c r="SO54" s="12">
        <f>SB54*BlendedPriceEssAnnual*RQ54+SC54*BlendedPricePremAnnual*RQ54+SD54*BlendedPriceEliteAnnual*RQ54</f>
        <v/>
      </c>
      <c r="SP54" s="12">
        <f>SB42*POWER(1-(AnnualChurn*VLOOKUP(RN54,ChurnSeasonTable,4,FALSE)),1)*BlendedPriceEssAnnual*RQ54+SB30*POWER(1-(AnnualChurn*VLOOKUP(RN54,ChurnSeasonTable,4,FALSE)),2)*BlendedPriceEssAnnual*RQ54+SB18*POWER(1-(AnnualChurn*VLOOKUP(RN54,ChurnSeasonTable,4,FALSE)),3)*BlendedPriceEssAnnual*RQ54+SB6*POWER(1-(AnnualChurn*VLOOKUP(RN54,ChurnSeasonTable,4,FALSE)),4)*BlendedPriceEssAnnual*RQ54+SC42*POWER(1-(AnnualChurn*VLOOKUP(RN54,ChurnSeasonTable,4,FALSE)),1)*BlendedPricePremAnnual*RQ54+SC30*POWER(1-(AnnualChurn*VLOOKUP(RN54,ChurnSeasonTable,4,FALSE)),2)*BlendedPricePremAnnual*RQ54+SC18*POWER(1-(AnnualChurn*VLOOKUP(RN54,ChurnSeasonTable,4,FALSE)),3)*BlendedPricePremAnnual*RQ54+SC6*POWER(1-(AnnualChurn*VLOOKUP(RN54,ChurnSeasonTable,4,FALSE)),4)*BlendedPricePremAnnual*RQ54+SD42*POWER(1-(AnnualChurn*VLOOKUP(RN54,ChurnSeasonTable,4,FALSE)),1)*BlendedPriceEliteAnnual*RQ54+SD30*POWER(1-(AnnualChurn*VLOOKUP(RN54,ChurnSeasonTable,4,FALSE)),2)*BlendedPriceEliteAnnual*RQ54+SD18*POWER(1-(AnnualChurn*VLOOKUP(RN54,ChurnSeasonTable,4,FALSE)),3)*BlendedPriceEliteAnnual*RQ54+SD6*POWER(1-(AnnualChurn*VLOOKUP(RN54,ChurnSeasonTable,4,FALSE)),4)*BlendedPriceEliteAnnual*RQ54</f>
        <v/>
      </c>
      <c r="SQ54" s="9">
        <f>SN54+SO54+SP54</f>
        <v/>
      </c>
      <c r="SR54" s="12">
        <f>SUM(SQ43:SQ54)</f>
        <v/>
      </c>
      <c r="SS54" s="12">
        <f>OR(SS53,IF(VATAgentMode,SUM($SQ43:$SQ54)-SUM($SX43:$SX54)&gt;=VATThreshold,SUM($SQ43:$SQ54)&gt;=VATThreshold))</f>
        <v/>
      </c>
      <c r="ST54" s="9">
        <f>IF(SS54,IF(VATAgentMode,SQ54-((SQ54-SX54)-(SQ54-SX54)/(1+VATRate)),SQ54/(1+VATRate)),SQ54)</f>
        <v/>
      </c>
      <c r="SU54" s="12">
        <f>SQ54-ST54</f>
        <v/>
      </c>
      <c r="SV54" s="12">
        <f>IF(SS54=0,0,IF(RN54=1,SUMPRODUCT(--(($RO$5:$RO54=$RO54-1)*($RN$5:$RN54&gt;=10)*($RN$5:$RN54&lt;=12)),$SU$5:$SU54),IF(RN54=4,SUMPRODUCT(--(($RO$5:$RO54=$RO54)*($RN$5:$RN54&gt;=1)*($RN$5:$RN54&lt;=3)),$SU$5:$SU54),IF(RN54=7,SUMPRODUCT(--(($RO$5:$RO54=$RO54)*($RN$5:$RN54&gt;=4)*($RN$5:$RN54&lt;=6)),$SU$5:$SU54),IF(RN54=10,SUMPRODUCT(--(($RO$5:$RO54=$RO54)*($RN$5:$RN54&gt;=7)*($RN$5:$RN54&lt;=9)),$SU$5:$SU54),0)))))</f>
        <v/>
      </c>
      <c r="SW54" s="12">
        <f>SW53+SU54-SV54</f>
        <v/>
      </c>
      <c r="SX54" s="12">
        <f>IF(ProviderDelay&gt;=1,SE53*BlendedProvPayEss+SF53*BlendedProvPayPrem+SG53*BlendedProvPayElite+SH53*BlendedProvPayEss+SI53*BlendedProvPayPrem+SJ53*BlendedProvPayElite,SE54*BlendedProvPayEss+SF54*BlendedProvPayPrem+SG54*BlendedProvPayElite+SH54*BlendedProvPayEss+SI54*BlendedProvPayPrem+SJ54*BlendedProvPayElite)</f>
        <v/>
      </c>
      <c r="SY54" s="12">
        <f>SQ54*PaymentFee</f>
        <v/>
      </c>
      <c r="SZ54" s="12">
        <f>SK54*OpsAI</f>
        <v/>
      </c>
      <c r="TA54" s="12">
        <f>MonthlyFixed</f>
        <v/>
      </c>
      <c r="TB54" s="12">
        <f>RU54*ReferralReward</f>
        <v/>
      </c>
      <c r="TC54" s="12">
        <f>RS54</f>
        <v/>
      </c>
      <c r="TD54" s="9">
        <f>ST54-SX54-SY54-SZ54-TA54-TB54-TC54</f>
        <v/>
      </c>
      <c r="TE54" s="9">
        <f>TE53+SQ54-(SX54+SY54+SZ54+TA54+TB54+TC54+SV54)</f>
        <v/>
      </c>
      <c r="TF54" s="12">
        <f>IF(SK54&gt;0,SL54/SK54,0)</f>
        <v/>
      </c>
      <c r="TG54" s="11">
        <f>IF(SK53&gt;0,MAX(0,(SK53+RV54-SK54)/SK53),0)</f>
        <v/>
      </c>
      <c r="TI54" s="12" t="n">
        <v>50</v>
      </c>
      <c r="TJ54" s="12">
        <f>MOD(TI54-1+LaunchMonth-1,12)+1</f>
        <v/>
      </c>
      <c r="TK54" s="12">
        <f>INT((TI54-1+LaunchMonth-1)/12)+1</f>
        <v/>
      </c>
      <c r="TL54" s="12">
        <f>VLOOKUP(TJ54,SeasonTable,2,FALSE)</f>
        <v/>
      </c>
      <c r="TM54" s="12">
        <f>(1+InflationRate)^INT((TI54-1)/12)</f>
        <v/>
      </c>
      <c r="TN54" s="11">
        <f>'Sens - Churn'!$A$21*VLOOKUP(TJ54,ChurnSeasonTable,4,FALSE)</f>
        <v/>
      </c>
      <c r="TO54" s="12">
        <f>MIN(MAX(MktMin19plus,UM53*MktPct19plus),MAX(0,VA53-CashBuffer))</f>
        <v/>
      </c>
      <c r="TP54" s="12">
        <f>IF(TO54&gt;0,MAX(1,ROUND(TO54/CAC*TL54,0)),0)</f>
        <v/>
      </c>
      <c r="TQ54" s="12">
        <f>IF(TP54&gt;0,ROUND(TP54*ReferralMix/(1-ReferralMix),0),0)</f>
        <v/>
      </c>
      <c r="TR54" s="12">
        <f>TP54+TQ54</f>
        <v/>
      </c>
      <c r="TS54" s="12">
        <f>ROUND(TR54*(1-AnnualMix),0)</f>
        <v/>
      </c>
      <c r="TT54" s="12">
        <f>TR54-TS54</f>
        <v/>
      </c>
      <c r="TU54" s="12">
        <f>ROUND(TS54*EssentialMix,0)</f>
        <v/>
      </c>
      <c r="TV54" s="12">
        <f>ROUND(TS54*PremiumMix,0)</f>
        <v/>
      </c>
      <c r="TW54" s="12">
        <f>TS54-TU54-TV54</f>
        <v/>
      </c>
      <c r="TX54" s="12">
        <f>ROUND(TT54*EssentialMix,0)</f>
        <v/>
      </c>
      <c r="TY54" s="12">
        <f>ROUND(TT54*PremiumMix,0)</f>
        <v/>
      </c>
      <c r="TZ54" s="12">
        <f>TT54-TX54-TY54</f>
        <v/>
      </c>
      <c r="UA54" s="12">
        <f>TU54+TU53+TU52+MAX(0,UA53-TU53-TU52)*(1-TN54)</f>
        <v/>
      </c>
      <c r="UB54" s="12">
        <f>TV54+TV53+TV52+MAX(0,UB53-TV53-TV52)*(1-TN54)</f>
        <v/>
      </c>
      <c r="UC54" s="12">
        <f>TW54+TW53+TW52+MAX(0,UC53-TW53-TW52)*(1-TN54)</f>
        <v/>
      </c>
      <c r="UD54" s="12">
        <f>UD53+TX54-TX42*(AnnualChurn*VLOOKUP(TJ54,ChurnSeasonTable,4,FALSE))*POWER(1-(AnnualChurn*VLOOKUP(TJ54,ChurnSeasonTable,4,FALSE)),0)+TX30*(AnnualChurn*VLOOKUP(TJ54,ChurnSeasonTable,4,FALSE))*POWER(1-(AnnualChurn*VLOOKUP(TJ54,ChurnSeasonTable,4,FALSE)),1)+TX18*(AnnualChurn*VLOOKUP(TJ54,ChurnSeasonTable,4,FALSE))*POWER(1-(AnnualChurn*VLOOKUP(TJ54,ChurnSeasonTable,4,FALSE)),2)+TX6*(AnnualChurn*VLOOKUP(TJ54,ChurnSeasonTable,4,FALSE))*POWER(1-(AnnualChurn*VLOOKUP(TJ54,ChurnSeasonTable,4,FALSE)),3)</f>
        <v/>
      </c>
      <c r="UE54" s="12">
        <f>UE53+TY54-TY42*(AnnualChurn*VLOOKUP(TJ54,ChurnSeasonTable,4,FALSE))*POWER(1-(AnnualChurn*VLOOKUP(TJ54,ChurnSeasonTable,4,FALSE)),0)+TY30*(AnnualChurn*VLOOKUP(TJ54,ChurnSeasonTable,4,FALSE))*POWER(1-(AnnualChurn*VLOOKUP(TJ54,ChurnSeasonTable,4,FALSE)),1)+TY18*(AnnualChurn*VLOOKUP(TJ54,ChurnSeasonTable,4,FALSE))*POWER(1-(AnnualChurn*VLOOKUP(TJ54,ChurnSeasonTable,4,FALSE)),2)+TY6*(AnnualChurn*VLOOKUP(TJ54,ChurnSeasonTable,4,FALSE))*POWER(1-(AnnualChurn*VLOOKUP(TJ54,ChurnSeasonTable,4,FALSE)),3)</f>
        <v/>
      </c>
      <c r="UF54" s="12">
        <f>UF53+TZ54-TZ42*(AnnualChurn*VLOOKUP(TJ54,ChurnSeasonTable,4,FALSE))*POWER(1-(AnnualChurn*VLOOKUP(TJ54,ChurnSeasonTable,4,FALSE)),0)+TZ30*(AnnualChurn*VLOOKUP(TJ54,ChurnSeasonTable,4,FALSE))*POWER(1-(AnnualChurn*VLOOKUP(TJ54,ChurnSeasonTable,4,FALSE)),1)+TZ18*(AnnualChurn*VLOOKUP(TJ54,ChurnSeasonTable,4,FALSE))*POWER(1-(AnnualChurn*VLOOKUP(TJ54,ChurnSeasonTable,4,FALSE)),2)+TZ6*(AnnualChurn*VLOOKUP(TJ54,ChurnSeasonTable,4,FALSE))*POWER(1-(AnnualChurn*VLOOKUP(TJ54,ChurnSeasonTable,4,FALSE)),3)</f>
        <v/>
      </c>
      <c r="UG54" s="12">
        <f>UA54+UB54+UC54+UD54+UE54+UF54</f>
        <v/>
      </c>
      <c r="UH54" s="9">
        <f>UA54*BlendedPriceEssMonthly*TM54+UB54*BlendedPricePremMonthly*TM54+UC54*BlendedPriceEliteMonthly*TM54+UD54*BlendedPriceEssAnnual*TM54/12+UE54*BlendedPricePremAnnual*TM54/12+UF54*BlendedPriceEliteAnnual*TM54/12</f>
        <v/>
      </c>
      <c r="UI54" s="9">
        <f>UH54*12</f>
        <v/>
      </c>
      <c r="UJ54" s="12">
        <f>UA54*BlendedPriceEssMonthly*TM54+UB54*BlendedPricePremMonthly*TM54+UC54*BlendedPriceEliteMonthly*TM54</f>
        <v/>
      </c>
      <c r="UK54" s="12">
        <f>TX54*BlendedPriceEssAnnual*TM54+TY54*BlendedPricePremAnnual*TM54+TZ54*BlendedPriceEliteAnnual*TM54</f>
        <v/>
      </c>
      <c r="UL54" s="12">
        <f>TX42*POWER(1-(AnnualChurn*VLOOKUP(TJ54,ChurnSeasonTable,4,FALSE)),1)*BlendedPriceEssAnnual*TM54+TX30*POWER(1-(AnnualChurn*VLOOKUP(TJ54,ChurnSeasonTable,4,FALSE)),2)*BlendedPriceEssAnnual*TM54+TX18*POWER(1-(AnnualChurn*VLOOKUP(TJ54,ChurnSeasonTable,4,FALSE)),3)*BlendedPriceEssAnnual*TM54+TX6*POWER(1-(AnnualChurn*VLOOKUP(TJ54,ChurnSeasonTable,4,FALSE)),4)*BlendedPriceEssAnnual*TM54+TY42*POWER(1-(AnnualChurn*VLOOKUP(TJ54,ChurnSeasonTable,4,FALSE)),1)*BlendedPricePremAnnual*TM54+TY30*POWER(1-(AnnualChurn*VLOOKUP(TJ54,ChurnSeasonTable,4,FALSE)),2)*BlendedPricePremAnnual*TM54+TY18*POWER(1-(AnnualChurn*VLOOKUP(TJ54,ChurnSeasonTable,4,FALSE)),3)*BlendedPricePremAnnual*TM54+TY6*POWER(1-(AnnualChurn*VLOOKUP(TJ54,ChurnSeasonTable,4,FALSE)),4)*BlendedPricePremAnnual*TM54+TZ42*POWER(1-(AnnualChurn*VLOOKUP(TJ54,ChurnSeasonTable,4,FALSE)),1)*BlendedPriceEliteAnnual*TM54+TZ30*POWER(1-(AnnualChurn*VLOOKUP(TJ54,ChurnSeasonTable,4,FALSE)),2)*BlendedPriceEliteAnnual*TM54+TZ18*POWER(1-(AnnualChurn*VLOOKUP(TJ54,ChurnSeasonTable,4,FALSE)),3)*BlendedPriceEliteAnnual*TM54+TZ6*POWER(1-(AnnualChurn*VLOOKUP(TJ54,ChurnSeasonTable,4,FALSE)),4)*BlendedPriceEliteAnnual*TM54</f>
        <v/>
      </c>
      <c r="UM54" s="9">
        <f>UJ54+UK54+UL54</f>
        <v/>
      </c>
      <c r="UN54" s="12">
        <f>SUM(UM43:UM54)</f>
        <v/>
      </c>
      <c r="UO54" s="12">
        <f>OR(UO53,IF(VATAgentMode,SUM($UM43:$UM54)-SUM($UT43:$UT54)&gt;=VATThreshold,SUM($UM43:$UM54)&gt;=VATThreshold))</f>
        <v/>
      </c>
      <c r="UP54" s="9">
        <f>IF(UO54,IF(VATAgentMode,UM54-((UM54-UT54)-(UM54-UT54)/(1+VATRate)),UM54/(1+VATRate)),UM54)</f>
        <v/>
      </c>
      <c r="UQ54" s="12">
        <f>UM54-UP54</f>
        <v/>
      </c>
      <c r="UR54" s="12">
        <f>IF(UO54=0,0,IF(TJ54=1,SUMPRODUCT(--(($TK$5:$TK54=$TK54-1)*($TJ$5:$TJ54&gt;=10)*($TJ$5:$TJ54&lt;=12)),$UQ$5:$UQ54),IF(TJ54=4,SUMPRODUCT(--(($TK$5:$TK54=$TK54)*($TJ$5:$TJ54&gt;=1)*($TJ$5:$TJ54&lt;=3)),$UQ$5:$UQ54),IF(TJ54=7,SUMPRODUCT(--(($TK$5:$TK54=$TK54)*($TJ$5:$TJ54&gt;=4)*($TJ$5:$TJ54&lt;=6)),$UQ$5:$UQ54),IF(TJ54=10,SUMPRODUCT(--(($TK$5:$TK54=$TK54)*($TJ$5:$TJ54&gt;=7)*($TJ$5:$TJ54&lt;=9)),$UQ$5:$UQ54),0)))))</f>
        <v/>
      </c>
      <c r="US54" s="12">
        <f>US53+UQ54-UR54</f>
        <v/>
      </c>
      <c r="UT54" s="12">
        <f>IF(ProviderDelay&gt;=1,UA53*BlendedProvPayEss+UB53*BlendedProvPayPrem+UC53*BlendedProvPayElite+UD53*BlendedProvPayEss+UE53*BlendedProvPayPrem+UF53*BlendedProvPayElite,UA54*BlendedProvPayEss+UB54*BlendedProvPayPrem+UC54*BlendedProvPayElite+UD54*BlendedProvPayEss+UE54*BlendedProvPayPrem+UF54*BlendedProvPayElite)</f>
        <v/>
      </c>
      <c r="UU54" s="12">
        <f>UM54*PaymentFee</f>
        <v/>
      </c>
      <c r="UV54" s="12">
        <f>UG54*OpsAI</f>
        <v/>
      </c>
      <c r="UW54" s="12">
        <f>MonthlyFixed</f>
        <v/>
      </c>
      <c r="UX54" s="12">
        <f>TQ54*ReferralReward</f>
        <v/>
      </c>
      <c r="UY54" s="12">
        <f>TO54</f>
        <v/>
      </c>
      <c r="UZ54" s="9">
        <f>UP54-UT54-UU54-UV54-UW54-UX54-UY54</f>
        <v/>
      </c>
      <c r="VA54" s="9">
        <f>VA53+UM54-(UT54+UU54+UV54+UW54+UX54+UY54+UR54)</f>
        <v/>
      </c>
      <c r="VB54" s="12">
        <f>IF(UG54&gt;0,UH54/UG54,0)</f>
        <v/>
      </c>
      <c r="VC54" s="11">
        <f>IF(UG53&gt;0,MAX(0,(UG53+TR54-UG54)/UG53),0)</f>
        <v/>
      </c>
      <c r="VE54" s="12" t="n">
        <v>50</v>
      </c>
      <c r="VF54" s="12">
        <f>MOD(VE54-1+LaunchMonth-1,12)+1</f>
        <v/>
      </c>
      <c r="VG54" s="12">
        <f>INT((VE54-1+LaunchMonth-1)/12)+1</f>
        <v/>
      </c>
      <c r="VH54" s="12">
        <f>VLOOKUP(VF54,SeasonTable,2,FALSE)</f>
        <v/>
      </c>
      <c r="VI54" s="12">
        <f>(1+InflationRate)^INT((VE54-1)/12)</f>
        <v/>
      </c>
      <c r="VJ54" s="11">
        <f>MonthlyChurn*VLOOKUP(VF54,ChurnSeasonTable,4,FALSE)</f>
        <v/>
      </c>
      <c r="VK54" s="12">
        <f>MIN(MAX(MktMin19plus,WI53*MktPct19plus),MAX(0,WW53-CashBuffer))</f>
        <v/>
      </c>
      <c r="VL54" s="12">
        <f>IF(VK54&gt;0,MAX(1,ROUND(VK54/CAC*VH54,0)),0)</f>
        <v/>
      </c>
      <c r="VM54" s="12">
        <f>IF(VL54&gt;0,ROUND(VL54*ReferralMix/(1-ReferralMix),0),0)</f>
        <v/>
      </c>
      <c r="VN54" s="12">
        <f>VL54+VM54</f>
        <v/>
      </c>
      <c r="VO54" s="12">
        <f>ROUND(VN54*(1-'Sens - Annual Mix'!$A$9),0)</f>
        <v/>
      </c>
      <c r="VP54" s="12">
        <f>VN54-VO54</f>
        <v/>
      </c>
      <c r="VQ54" s="12">
        <f>ROUND(VO54*EssentialMix,0)</f>
        <v/>
      </c>
      <c r="VR54" s="12">
        <f>ROUND(VO54*PremiumMix,0)</f>
        <v/>
      </c>
      <c r="VS54" s="12">
        <f>VO54-VQ54-VR54</f>
        <v/>
      </c>
      <c r="VT54" s="12">
        <f>ROUND(VP54*EssentialMix,0)</f>
        <v/>
      </c>
      <c r="VU54" s="12">
        <f>ROUND(VP54*PremiumMix,0)</f>
        <v/>
      </c>
      <c r="VV54" s="12">
        <f>VP54-VT54-VU54</f>
        <v/>
      </c>
      <c r="VW54" s="12">
        <f>VQ54+VQ53+VQ52+MAX(0,VW53-VQ53-VQ52)*(1-VJ54)</f>
        <v/>
      </c>
      <c r="VX54" s="12">
        <f>VR54+VR53+VR52+MAX(0,VX53-VR53-VR52)*(1-VJ54)</f>
        <v/>
      </c>
      <c r="VY54" s="12">
        <f>VS54+VS53+VS52+MAX(0,VY53-VS53-VS52)*(1-VJ54)</f>
        <v/>
      </c>
      <c r="VZ54" s="12">
        <f>VZ53+VT54-VT42*(AnnualChurn*VLOOKUP(VF54,ChurnSeasonTable,4,FALSE))*POWER(1-(AnnualChurn*VLOOKUP(VF54,ChurnSeasonTable,4,FALSE)),0)+VT30*(AnnualChurn*VLOOKUP(VF54,ChurnSeasonTable,4,FALSE))*POWER(1-(AnnualChurn*VLOOKUP(VF54,ChurnSeasonTable,4,FALSE)),1)+VT18*(AnnualChurn*VLOOKUP(VF54,ChurnSeasonTable,4,FALSE))*POWER(1-(AnnualChurn*VLOOKUP(VF54,ChurnSeasonTable,4,FALSE)),2)+VT6*(AnnualChurn*VLOOKUP(VF54,ChurnSeasonTable,4,FALSE))*POWER(1-(AnnualChurn*VLOOKUP(VF54,ChurnSeasonTable,4,FALSE)),3)</f>
        <v/>
      </c>
      <c r="WA54" s="12">
        <f>WA53+VU54-VU42*(AnnualChurn*VLOOKUP(VF54,ChurnSeasonTable,4,FALSE))*POWER(1-(AnnualChurn*VLOOKUP(VF54,ChurnSeasonTable,4,FALSE)),0)+VU30*(AnnualChurn*VLOOKUP(VF54,ChurnSeasonTable,4,FALSE))*POWER(1-(AnnualChurn*VLOOKUP(VF54,ChurnSeasonTable,4,FALSE)),1)+VU18*(AnnualChurn*VLOOKUP(VF54,ChurnSeasonTable,4,FALSE))*POWER(1-(AnnualChurn*VLOOKUP(VF54,ChurnSeasonTable,4,FALSE)),2)+VU6*(AnnualChurn*VLOOKUP(VF54,ChurnSeasonTable,4,FALSE))*POWER(1-(AnnualChurn*VLOOKUP(VF54,ChurnSeasonTable,4,FALSE)),3)</f>
        <v/>
      </c>
      <c r="WB54" s="12">
        <f>WB53+VV54-VV42*(AnnualChurn*VLOOKUP(VF54,ChurnSeasonTable,4,FALSE))*POWER(1-(AnnualChurn*VLOOKUP(VF54,ChurnSeasonTable,4,FALSE)),0)+VV30*(AnnualChurn*VLOOKUP(VF54,ChurnSeasonTable,4,FALSE))*POWER(1-(AnnualChurn*VLOOKUP(VF54,ChurnSeasonTable,4,FALSE)),1)+VV18*(AnnualChurn*VLOOKUP(VF54,ChurnSeasonTable,4,FALSE))*POWER(1-(AnnualChurn*VLOOKUP(VF54,ChurnSeasonTable,4,FALSE)),2)+VV6*(AnnualChurn*VLOOKUP(VF54,ChurnSeasonTable,4,FALSE))*POWER(1-(AnnualChurn*VLOOKUP(VF54,ChurnSeasonTable,4,FALSE)),3)</f>
        <v/>
      </c>
      <c r="WC54" s="12">
        <f>VW54+VX54+VY54+VZ54+WA54+WB54</f>
        <v/>
      </c>
      <c r="WD54" s="9">
        <f>VW54*BlendedPriceEssMonthly*VI54+VX54*BlendedPricePremMonthly*VI54+VY54*BlendedPriceEliteMonthly*VI54+VZ54*BlendedPriceEssAnnual*VI54/12+WA54*BlendedPricePremAnnual*VI54/12+WB54*BlendedPriceEliteAnnual*VI54/12</f>
        <v/>
      </c>
      <c r="WE54" s="9">
        <f>WD54*12</f>
        <v/>
      </c>
      <c r="WF54" s="12">
        <f>VW54*BlendedPriceEssMonthly*VI54+VX54*BlendedPricePremMonthly*VI54+VY54*BlendedPriceEliteMonthly*VI54</f>
        <v/>
      </c>
      <c r="WG54" s="12">
        <f>VT54*BlendedPriceEssAnnual*VI54+VU54*BlendedPricePremAnnual*VI54+VV54*BlendedPriceEliteAnnual*VI54</f>
        <v/>
      </c>
      <c r="WH54" s="12">
        <f>VT42*POWER(1-(AnnualChurn*VLOOKUP(VF54,ChurnSeasonTable,4,FALSE)),1)*BlendedPriceEssAnnual*VI54+VT30*POWER(1-(AnnualChurn*VLOOKUP(VF54,ChurnSeasonTable,4,FALSE)),2)*BlendedPriceEssAnnual*VI54+VT18*POWER(1-(AnnualChurn*VLOOKUP(VF54,ChurnSeasonTable,4,FALSE)),3)*BlendedPriceEssAnnual*VI54+VT6*POWER(1-(AnnualChurn*VLOOKUP(VF54,ChurnSeasonTable,4,FALSE)),4)*BlendedPriceEssAnnual*VI54+VU42*POWER(1-(AnnualChurn*VLOOKUP(VF54,ChurnSeasonTable,4,FALSE)),1)*BlendedPricePremAnnual*VI54+VU30*POWER(1-(AnnualChurn*VLOOKUP(VF54,ChurnSeasonTable,4,FALSE)),2)*BlendedPricePremAnnual*VI54+VU18*POWER(1-(AnnualChurn*VLOOKUP(VF54,ChurnSeasonTable,4,FALSE)),3)*BlendedPricePremAnnual*VI54+VU6*POWER(1-(AnnualChurn*VLOOKUP(VF54,ChurnSeasonTable,4,FALSE)),4)*BlendedPricePremAnnual*VI54+VV42*POWER(1-(AnnualChurn*VLOOKUP(VF54,ChurnSeasonTable,4,FALSE)),1)*BlendedPriceEliteAnnual*VI54+VV30*POWER(1-(AnnualChurn*VLOOKUP(VF54,ChurnSeasonTable,4,FALSE)),2)*BlendedPriceEliteAnnual*VI54+VV18*POWER(1-(AnnualChurn*VLOOKUP(VF54,ChurnSeasonTable,4,FALSE)),3)*BlendedPriceEliteAnnual*VI54+VV6*POWER(1-(AnnualChurn*VLOOKUP(VF54,ChurnSeasonTable,4,FALSE)),4)*BlendedPriceEliteAnnual*VI54</f>
        <v/>
      </c>
      <c r="WI54" s="9">
        <f>WF54+WG54+WH54</f>
        <v/>
      </c>
      <c r="WJ54" s="12">
        <f>SUM(WI43:WI54)</f>
        <v/>
      </c>
      <c r="WK54" s="12">
        <f>OR(WK53,IF(VATAgentMode,SUM($WI43:$WI54)-SUM($WP43:$WP54)&gt;=VATThreshold,SUM($WI43:$WI54)&gt;=VATThreshold))</f>
        <v/>
      </c>
      <c r="WL54" s="9">
        <f>IF(WK54,IF(VATAgentMode,WI54-((WI54-WP54)-(WI54-WP54)/(1+VATRate)),WI54/(1+VATRate)),WI54)</f>
        <v/>
      </c>
      <c r="WM54" s="12">
        <f>WI54-WL54</f>
        <v/>
      </c>
      <c r="WN54" s="12">
        <f>IF(WK54=0,0,IF(VF54=1,SUMPRODUCT(--(($VG$5:$VG54=$VG54-1)*($VF$5:$VF54&gt;=10)*($VF$5:$VF54&lt;=12)),$WM$5:$WM54),IF(VF54=4,SUMPRODUCT(--(($VG$5:$VG54=$VG54)*($VF$5:$VF54&gt;=1)*($VF$5:$VF54&lt;=3)),$WM$5:$WM54),IF(VF54=7,SUMPRODUCT(--(($VG$5:$VG54=$VG54)*($VF$5:$VF54&gt;=4)*($VF$5:$VF54&lt;=6)),$WM$5:$WM54),IF(VF54=10,SUMPRODUCT(--(($VG$5:$VG54=$VG54)*($VF$5:$VF54&gt;=7)*($VF$5:$VF54&lt;=9)),$WM$5:$WM54),0)))))</f>
        <v/>
      </c>
      <c r="WO54" s="12">
        <f>WO53+WM54-WN54</f>
        <v/>
      </c>
      <c r="WP54" s="12">
        <f>IF(ProviderDelay&gt;=1,VW53*BlendedProvPayEss+VX53*BlendedProvPayPrem+VY53*BlendedProvPayElite+VZ53*BlendedProvPayEss+WA53*BlendedProvPayPrem+WB53*BlendedProvPayElite,VW54*BlendedProvPayEss+VX54*BlendedProvPayPrem+VY54*BlendedProvPayElite+VZ54*BlendedProvPayEss+WA54*BlendedProvPayPrem+WB54*BlendedProvPayElite)</f>
        <v/>
      </c>
      <c r="WQ54" s="12">
        <f>WI54*PaymentFee</f>
        <v/>
      </c>
      <c r="WR54" s="12">
        <f>WC54*OpsAI</f>
        <v/>
      </c>
      <c r="WS54" s="12">
        <f>MonthlyFixed</f>
        <v/>
      </c>
      <c r="WT54" s="12">
        <f>VM54*ReferralReward</f>
        <v/>
      </c>
      <c r="WU54" s="12">
        <f>VK54</f>
        <v/>
      </c>
      <c r="WV54" s="9">
        <f>WL54-WP54-WQ54-WR54-WS54-WT54-WU54</f>
        <v/>
      </c>
      <c r="WW54" s="9">
        <f>WW53+WI54-(WP54+WQ54+WR54+WS54+WT54+WU54+WN54)</f>
        <v/>
      </c>
      <c r="WX54" s="12">
        <f>IF(WC54&gt;0,WD54/WC54,0)</f>
        <v/>
      </c>
      <c r="WY54" s="11">
        <f>IF(WC53&gt;0,MAX(0,(WC53+VN54-WC54)/WC53),0)</f>
        <v/>
      </c>
      <c r="XA54" s="12" t="n">
        <v>50</v>
      </c>
      <c r="XB54" s="12">
        <f>MOD(XA54-1+LaunchMonth-1,12)+1</f>
        <v/>
      </c>
      <c r="XC54" s="12">
        <f>INT((XA54-1+LaunchMonth-1)/12)+1</f>
        <v/>
      </c>
      <c r="XD54" s="12">
        <f>VLOOKUP(XB54,SeasonTable,2,FALSE)</f>
        <v/>
      </c>
      <c r="XE54" s="12">
        <f>(1+InflationRate)^INT((XA54-1)/12)</f>
        <v/>
      </c>
      <c r="XF54" s="11">
        <f>MonthlyChurn*VLOOKUP(XB54,ChurnSeasonTable,4,FALSE)</f>
        <v/>
      </c>
      <c r="XG54" s="12">
        <f>MIN(MAX(MktMin19plus,YE53*MktPct19plus),MAX(0,YS53-CashBuffer))</f>
        <v/>
      </c>
      <c r="XH54" s="12">
        <f>IF(XG54&gt;0,MAX(1,ROUND(XG54/CAC*XD54,0)),0)</f>
        <v/>
      </c>
      <c r="XI54" s="12">
        <f>IF(XH54&gt;0,ROUND(XH54*ReferralMix/(1-ReferralMix),0),0)</f>
        <v/>
      </c>
      <c r="XJ54" s="12">
        <f>XH54+XI54</f>
        <v/>
      </c>
      <c r="XK54" s="12">
        <f>ROUND(XJ54*(1-'Sens - Annual Mix'!$A$10),0)</f>
        <v/>
      </c>
      <c r="XL54" s="12">
        <f>XJ54-XK54</f>
        <v/>
      </c>
      <c r="XM54" s="12">
        <f>ROUND(XK54*EssentialMix,0)</f>
        <v/>
      </c>
      <c r="XN54" s="12">
        <f>ROUND(XK54*PremiumMix,0)</f>
        <v/>
      </c>
      <c r="XO54" s="12">
        <f>XK54-XM54-XN54</f>
        <v/>
      </c>
      <c r="XP54" s="12">
        <f>ROUND(XL54*EssentialMix,0)</f>
        <v/>
      </c>
      <c r="XQ54" s="12">
        <f>ROUND(XL54*PremiumMix,0)</f>
        <v/>
      </c>
      <c r="XR54" s="12">
        <f>XL54-XP54-XQ54</f>
        <v/>
      </c>
      <c r="XS54" s="12">
        <f>XM54+XM53+XM52+MAX(0,XS53-XM53-XM52)*(1-XF54)</f>
        <v/>
      </c>
      <c r="XT54" s="12">
        <f>XN54+XN53+XN52+MAX(0,XT53-XN53-XN52)*(1-XF54)</f>
        <v/>
      </c>
      <c r="XU54" s="12">
        <f>XO54+XO53+XO52+MAX(0,XU53-XO53-XO52)*(1-XF54)</f>
        <v/>
      </c>
      <c r="XV54" s="12">
        <f>XV53+XP54-XP42*(AnnualChurn*VLOOKUP(XB54,ChurnSeasonTable,4,FALSE))*POWER(1-(AnnualChurn*VLOOKUP(XB54,ChurnSeasonTable,4,FALSE)),0)+XP30*(AnnualChurn*VLOOKUP(XB54,ChurnSeasonTable,4,FALSE))*POWER(1-(AnnualChurn*VLOOKUP(XB54,ChurnSeasonTable,4,FALSE)),1)+XP18*(AnnualChurn*VLOOKUP(XB54,ChurnSeasonTable,4,FALSE))*POWER(1-(AnnualChurn*VLOOKUP(XB54,ChurnSeasonTable,4,FALSE)),2)+XP6*(AnnualChurn*VLOOKUP(XB54,ChurnSeasonTable,4,FALSE))*POWER(1-(AnnualChurn*VLOOKUP(XB54,ChurnSeasonTable,4,FALSE)),3)</f>
        <v/>
      </c>
      <c r="XW54" s="12">
        <f>XW53+XQ54-XQ42*(AnnualChurn*VLOOKUP(XB54,ChurnSeasonTable,4,FALSE))*POWER(1-(AnnualChurn*VLOOKUP(XB54,ChurnSeasonTable,4,FALSE)),0)+XQ30*(AnnualChurn*VLOOKUP(XB54,ChurnSeasonTable,4,FALSE))*POWER(1-(AnnualChurn*VLOOKUP(XB54,ChurnSeasonTable,4,FALSE)),1)+XQ18*(AnnualChurn*VLOOKUP(XB54,ChurnSeasonTable,4,FALSE))*POWER(1-(AnnualChurn*VLOOKUP(XB54,ChurnSeasonTable,4,FALSE)),2)+XQ6*(AnnualChurn*VLOOKUP(XB54,ChurnSeasonTable,4,FALSE))*POWER(1-(AnnualChurn*VLOOKUP(XB54,ChurnSeasonTable,4,FALSE)),3)</f>
        <v/>
      </c>
      <c r="XX54" s="12">
        <f>XX53+XR54-XR42*(AnnualChurn*VLOOKUP(XB54,ChurnSeasonTable,4,FALSE))*POWER(1-(AnnualChurn*VLOOKUP(XB54,ChurnSeasonTable,4,FALSE)),0)+XR30*(AnnualChurn*VLOOKUP(XB54,ChurnSeasonTable,4,FALSE))*POWER(1-(AnnualChurn*VLOOKUP(XB54,ChurnSeasonTable,4,FALSE)),1)+XR18*(AnnualChurn*VLOOKUP(XB54,ChurnSeasonTable,4,FALSE))*POWER(1-(AnnualChurn*VLOOKUP(XB54,ChurnSeasonTable,4,FALSE)),2)+XR6*(AnnualChurn*VLOOKUP(XB54,ChurnSeasonTable,4,FALSE))*POWER(1-(AnnualChurn*VLOOKUP(XB54,ChurnSeasonTable,4,FALSE)),3)</f>
        <v/>
      </c>
      <c r="XY54" s="12">
        <f>XS54+XT54+XU54+XV54+XW54+XX54</f>
        <v/>
      </c>
      <c r="XZ54" s="9">
        <f>XS54*BlendedPriceEssMonthly*XE54+XT54*BlendedPricePremMonthly*XE54+XU54*BlendedPriceEliteMonthly*XE54+XV54*BlendedPriceEssAnnual*XE54/12+XW54*BlendedPricePremAnnual*XE54/12+XX54*BlendedPriceEliteAnnual*XE54/12</f>
        <v/>
      </c>
      <c r="YA54" s="9">
        <f>XZ54*12</f>
        <v/>
      </c>
      <c r="YB54" s="12">
        <f>XS54*BlendedPriceEssMonthly*XE54+XT54*BlendedPricePremMonthly*XE54+XU54*BlendedPriceEliteMonthly*XE54</f>
        <v/>
      </c>
      <c r="YC54" s="12">
        <f>XP54*BlendedPriceEssAnnual*XE54+XQ54*BlendedPricePremAnnual*XE54+XR54*BlendedPriceEliteAnnual*XE54</f>
        <v/>
      </c>
      <c r="YD54" s="12">
        <f>XP42*POWER(1-(AnnualChurn*VLOOKUP(XB54,ChurnSeasonTable,4,FALSE)),1)*BlendedPriceEssAnnual*XE54+XP30*POWER(1-(AnnualChurn*VLOOKUP(XB54,ChurnSeasonTable,4,FALSE)),2)*BlendedPriceEssAnnual*XE54+XP18*POWER(1-(AnnualChurn*VLOOKUP(XB54,ChurnSeasonTable,4,FALSE)),3)*BlendedPriceEssAnnual*XE54+XP6*POWER(1-(AnnualChurn*VLOOKUP(XB54,ChurnSeasonTable,4,FALSE)),4)*BlendedPriceEssAnnual*XE54+XQ42*POWER(1-(AnnualChurn*VLOOKUP(XB54,ChurnSeasonTable,4,FALSE)),1)*BlendedPricePremAnnual*XE54+XQ30*POWER(1-(AnnualChurn*VLOOKUP(XB54,ChurnSeasonTable,4,FALSE)),2)*BlendedPricePremAnnual*XE54+XQ18*POWER(1-(AnnualChurn*VLOOKUP(XB54,ChurnSeasonTable,4,FALSE)),3)*BlendedPricePremAnnual*XE54+XQ6*POWER(1-(AnnualChurn*VLOOKUP(XB54,ChurnSeasonTable,4,FALSE)),4)*BlendedPricePremAnnual*XE54+XR42*POWER(1-(AnnualChurn*VLOOKUP(XB54,ChurnSeasonTable,4,FALSE)),1)*BlendedPriceEliteAnnual*XE54+XR30*POWER(1-(AnnualChurn*VLOOKUP(XB54,ChurnSeasonTable,4,FALSE)),2)*BlendedPriceEliteAnnual*XE54+XR18*POWER(1-(AnnualChurn*VLOOKUP(XB54,ChurnSeasonTable,4,FALSE)),3)*BlendedPriceEliteAnnual*XE54+XR6*POWER(1-(AnnualChurn*VLOOKUP(XB54,ChurnSeasonTable,4,FALSE)),4)*BlendedPriceEliteAnnual*XE54</f>
        <v/>
      </c>
      <c r="YE54" s="9">
        <f>YB54+YC54+YD54</f>
        <v/>
      </c>
      <c r="YF54" s="12">
        <f>SUM(YE43:YE54)</f>
        <v/>
      </c>
      <c r="YG54" s="12">
        <f>OR(YG53,IF(VATAgentMode,SUM($YE43:$YE54)-SUM($YL43:$YL54)&gt;=VATThreshold,SUM($YE43:$YE54)&gt;=VATThreshold))</f>
        <v/>
      </c>
      <c r="YH54" s="9">
        <f>IF(YG54,IF(VATAgentMode,YE54-((YE54-YL54)-(YE54-YL54)/(1+VATRate)),YE54/(1+VATRate)),YE54)</f>
        <v/>
      </c>
      <c r="YI54" s="12">
        <f>YE54-YH54</f>
        <v/>
      </c>
      <c r="YJ54" s="12">
        <f>IF(YG54=0,0,IF(XB54=1,SUMPRODUCT(--(($XC$5:$XC54=$XC54-1)*($XB$5:$XB54&gt;=10)*($XB$5:$XB54&lt;=12)),$YI$5:$YI54),IF(XB54=4,SUMPRODUCT(--(($XC$5:$XC54=$XC54)*($XB$5:$XB54&gt;=1)*($XB$5:$XB54&lt;=3)),$YI$5:$YI54),IF(XB54=7,SUMPRODUCT(--(($XC$5:$XC54=$XC54)*($XB$5:$XB54&gt;=4)*($XB$5:$XB54&lt;=6)),$YI$5:$YI54),IF(XB54=10,SUMPRODUCT(--(($XC$5:$XC54=$XC54)*($XB$5:$XB54&gt;=7)*($XB$5:$XB54&lt;=9)),$YI$5:$YI54),0)))))</f>
        <v/>
      </c>
      <c r="YK54" s="12">
        <f>YK53+YI54-YJ54</f>
        <v/>
      </c>
      <c r="YL54" s="12">
        <f>IF(ProviderDelay&gt;=1,XS53*BlendedProvPayEss+XT53*BlendedProvPayPrem+XU53*BlendedProvPayElite+XV53*BlendedProvPayEss+XW53*BlendedProvPayPrem+XX53*BlendedProvPayElite,XS54*BlendedProvPayEss+XT54*BlendedProvPayPrem+XU54*BlendedProvPayElite+XV54*BlendedProvPayEss+XW54*BlendedProvPayPrem+XX54*BlendedProvPayElite)</f>
        <v/>
      </c>
      <c r="YM54" s="12">
        <f>YE54*PaymentFee</f>
        <v/>
      </c>
      <c r="YN54" s="12">
        <f>XY54*OpsAI</f>
        <v/>
      </c>
      <c r="YO54" s="12">
        <f>MonthlyFixed</f>
        <v/>
      </c>
      <c r="YP54" s="12">
        <f>XI54*ReferralReward</f>
        <v/>
      </c>
      <c r="YQ54" s="12">
        <f>XG54</f>
        <v/>
      </c>
      <c r="YR54" s="9">
        <f>YH54-YL54-YM54-YN54-YO54-YP54-YQ54</f>
        <v/>
      </c>
      <c r="YS54" s="9">
        <f>YS53+YE54-(YL54+YM54+YN54+YO54+YP54+YQ54+YJ54)</f>
        <v/>
      </c>
      <c r="YT54" s="12">
        <f>IF(XY54&gt;0,XZ54/XY54,0)</f>
        <v/>
      </c>
      <c r="YU54" s="11">
        <f>IF(XY53&gt;0,MAX(0,(XY53+XJ54-XY54)/XY53),0)</f>
        <v/>
      </c>
      <c r="YW54" s="12" t="n">
        <v>50</v>
      </c>
      <c r="YX54" s="12">
        <f>MOD(YW54-1+LaunchMonth-1,12)+1</f>
        <v/>
      </c>
      <c r="YY54" s="12">
        <f>INT((YW54-1+LaunchMonth-1)/12)+1</f>
        <v/>
      </c>
      <c r="YZ54" s="12">
        <f>VLOOKUP(YX54,SeasonTable,2,FALSE)</f>
        <v/>
      </c>
      <c r="ZA54" s="12">
        <f>(1+InflationRate)^INT((YW54-1)/12)</f>
        <v/>
      </c>
      <c r="ZB54" s="11">
        <f>MonthlyChurn*VLOOKUP(YX54,ChurnSeasonTable,4,FALSE)</f>
        <v/>
      </c>
      <c r="ZC54" s="12">
        <f>MIN(MAX(MktMin19plus,AAA53*MktPct19plus),MAX(0,AAO53-CashBuffer))</f>
        <v/>
      </c>
      <c r="ZD54" s="12">
        <f>IF(ZC54&gt;0,MAX(1,ROUND(ZC54/CAC*YZ54,0)),0)</f>
        <v/>
      </c>
      <c r="ZE54" s="12">
        <f>IF(ZD54&gt;0,ROUND(ZD54*ReferralMix/(1-ReferralMix),0),0)</f>
        <v/>
      </c>
      <c r="ZF54" s="12">
        <f>ZD54+ZE54</f>
        <v/>
      </c>
      <c r="ZG54" s="12">
        <f>ROUND(ZF54*(1-'Sens - Annual Mix'!$A$11),0)</f>
        <v/>
      </c>
      <c r="ZH54" s="12">
        <f>ZF54-ZG54</f>
        <v/>
      </c>
      <c r="ZI54" s="12">
        <f>ROUND(ZG54*EssentialMix,0)</f>
        <v/>
      </c>
      <c r="ZJ54" s="12">
        <f>ROUND(ZG54*PremiumMix,0)</f>
        <v/>
      </c>
      <c r="ZK54" s="12">
        <f>ZG54-ZI54-ZJ54</f>
        <v/>
      </c>
      <c r="ZL54" s="12">
        <f>ROUND(ZH54*EssentialMix,0)</f>
        <v/>
      </c>
      <c r="ZM54" s="12">
        <f>ROUND(ZH54*PremiumMix,0)</f>
        <v/>
      </c>
      <c r="ZN54" s="12">
        <f>ZH54-ZL54-ZM54</f>
        <v/>
      </c>
      <c r="ZO54" s="12">
        <f>ZI54+ZI53+ZI52+MAX(0,ZO53-ZI53-ZI52)*(1-ZB54)</f>
        <v/>
      </c>
      <c r="ZP54" s="12">
        <f>ZJ54+ZJ53+ZJ52+MAX(0,ZP53-ZJ53-ZJ52)*(1-ZB54)</f>
        <v/>
      </c>
      <c r="ZQ54" s="12">
        <f>ZK54+ZK53+ZK52+MAX(0,ZQ53-ZK53-ZK52)*(1-ZB54)</f>
        <v/>
      </c>
      <c r="ZR54" s="12">
        <f>ZR53+ZL54-ZL42*(AnnualChurn*VLOOKUP(YX54,ChurnSeasonTable,4,FALSE))*POWER(1-(AnnualChurn*VLOOKUP(YX54,ChurnSeasonTable,4,FALSE)),0)+ZL30*(AnnualChurn*VLOOKUP(YX54,ChurnSeasonTable,4,FALSE))*POWER(1-(AnnualChurn*VLOOKUP(YX54,ChurnSeasonTable,4,FALSE)),1)+ZL18*(AnnualChurn*VLOOKUP(YX54,ChurnSeasonTable,4,FALSE))*POWER(1-(AnnualChurn*VLOOKUP(YX54,ChurnSeasonTable,4,FALSE)),2)+ZL6*(AnnualChurn*VLOOKUP(YX54,ChurnSeasonTable,4,FALSE))*POWER(1-(AnnualChurn*VLOOKUP(YX54,ChurnSeasonTable,4,FALSE)),3)</f>
        <v/>
      </c>
      <c r="ZS54" s="12">
        <f>ZS53+ZM54-ZM42*(AnnualChurn*VLOOKUP(YX54,ChurnSeasonTable,4,FALSE))*POWER(1-(AnnualChurn*VLOOKUP(YX54,ChurnSeasonTable,4,FALSE)),0)+ZM30*(AnnualChurn*VLOOKUP(YX54,ChurnSeasonTable,4,FALSE))*POWER(1-(AnnualChurn*VLOOKUP(YX54,ChurnSeasonTable,4,FALSE)),1)+ZM18*(AnnualChurn*VLOOKUP(YX54,ChurnSeasonTable,4,FALSE))*POWER(1-(AnnualChurn*VLOOKUP(YX54,ChurnSeasonTable,4,FALSE)),2)+ZM6*(AnnualChurn*VLOOKUP(YX54,ChurnSeasonTable,4,FALSE))*POWER(1-(AnnualChurn*VLOOKUP(YX54,ChurnSeasonTable,4,FALSE)),3)</f>
        <v/>
      </c>
      <c r="ZT54" s="12">
        <f>ZT53+ZN54-ZN42*(AnnualChurn*VLOOKUP(YX54,ChurnSeasonTable,4,FALSE))*POWER(1-(AnnualChurn*VLOOKUP(YX54,ChurnSeasonTable,4,FALSE)),0)+ZN30*(AnnualChurn*VLOOKUP(YX54,ChurnSeasonTable,4,FALSE))*POWER(1-(AnnualChurn*VLOOKUP(YX54,ChurnSeasonTable,4,FALSE)),1)+ZN18*(AnnualChurn*VLOOKUP(YX54,ChurnSeasonTable,4,FALSE))*POWER(1-(AnnualChurn*VLOOKUP(YX54,ChurnSeasonTable,4,FALSE)),2)+ZN6*(AnnualChurn*VLOOKUP(YX54,ChurnSeasonTable,4,FALSE))*POWER(1-(AnnualChurn*VLOOKUP(YX54,ChurnSeasonTable,4,FALSE)),3)</f>
        <v/>
      </c>
      <c r="ZU54" s="12">
        <f>ZO54+ZP54+ZQ54+ZR54+ZS54+ZT54</f>
        <v/>
      </c>
      <c r="ZV54" s="9">
        <f>ZO54*BlendedPriceEssMonthly*ZA54+ZP54*BlendedPricePremMonthly*ZA54+ZQ54*BlendedPriceEliteMonthly*ZA54+ZR54*BlendedPriceEssAnnual*ZA54/12+ZS54*BlendedPricePremAnnual*ZA54/12+ZT54*BlendedPriceEliteAnnual*ZA54/12</f>
        <v/>
      </c>
      <c r="ZW54" s="9">
        <f>ZV54*12</f>
        <v/>
      </c>
      <c r="ZX54" s="12">
        <f>ZO54*BlendedPriceEssMonthly*ZA54+ZP54*BlendedPricePremMonthly*ZA54+ZQ54*BlendedPriceEliteMonthly*ZA54</f>
        <v/>
      </c>
      <c r="ZY54" s="12">
        <f>ZL54*BlendedPriceEssAnnual*ZA54+ZM54*BlendedPricePremAnnual*ZA54+ZN54*BlendedPriceEliteAnnual*ZA54</f>
        <v/>
      </c>
      <c r="ZZ54" s="12">
        <f>ZL42*POWER(1-(AnnualChurn*VLOOKUP(YX54,ChurnSeasonTable,4,FALSE)),1)*BlendedPriceEssAnnual*ZA54+ZL30*POWER(1-(AnnualChurn*VLOOKUP(YX54,ChurnSeasonTable,4,FALSE)),2)*BlendedPriceEssAnnual*ZA54+ZL18*POWER(1-(AnnualChurn*VLOOKUP(YX54,ChurnSeasonTable,4,FALSE)),3)*BlendedPriceEssAnnual*ZA54+ZL6*POWER(1-(AnnualChurn*VLOOKUP(YX54,ChurnSeasonTable,4,FALSE)),4)*BlendedPriceEssAnnual*ZA54+ZM42*POWER(1-(AnnualChurn*VLOOKUP(YX54,ChurnSeasonTable,4,FALSE)),1)*BlendedPricePremAnnual*ZA54+ZM30*POWER(1-(AnnualChurn*VLOOKUP(YX54,ChurnSeasonTable,4,FALSE)),2)*BlendedPricePremAnnual*ZA54+ZM18*POWER(1-(AnnualChurn*VLOOKUP(YX54,ChurnSeasonTable,4,FALSE)),3)*BlendedPricePremAnnual*ZA54+ZM6*POWER(1-(AnnualChurn*VLOOKUP(YX54,ChurnSeasonTable,4,FALSE)),4)*BlendedPricePremAnnual*ZA54+ZN42*POWER(1-(AnnualChurn*VLOOKUP(YX54,ChurnSeasonTable,4,FALSE)),1)*BlendedPriceEliteAnnual*ZA54+ZN30*POWER(1-(AnnualChurn*VLOOKUP(YX54,ChurnSeasonTable,4,FALSE)),2)*BlendedPriceEliteAnnual*ZA54+ZN18*POWER(1-(AnnualChurn*VLOOKUP(YX54,ChurnSeasonTable,4,FALSE)),3)*BlendedPriceEliteAnnual*ZA54+ZN6*POWER(1-(AnnualChurn*VLOOKUP(YX54,ChurnSeasonTable,4,FALSE)),4)*BlendedPriceEliteAnnual*ZA54</f>
        <v/>
      </c>
      <c r="AAA54" s="9">
        <f>ZX54+ZY54+ZZ54</f>
        <v/>
      </c>
      <c r="AAB54" s="12">
        <f>SUM(AAA43:AAA54)</f>
        <v/>
      </c>
      <c r="AAC54" s="12">
        <f>OR(AAC53,IF(VATAgentMode,SUM($AAA43:$AAA54)-SUM($AAH43:$AAH54)&gt;=VATThreshold,SUM($AAA43:$AAA54)&gt;=VATThreshold))</f>
        <v/>
      </c>
      <c r="AAD54" s="9">
        <f>IF(AAC54,IF(VATAgentMode,AAA54-((AAA54-AAH54)-(AAA54-AAH54)/(1+VATRate)),AAA54/(1+VATRate)),AAA54)</f>
        <v/>
      </c>
      <c r="AAE54" s="12">
        <f>AAA54-AAD54</f>
        <v/>
      </c>
      <c r="AAF54" s="12">
        <f>IF(AAC54=0,0,IF(YX54=1,SUMPRODUCT(--(($YY$5:$YY54=$YY54-1)*($YX$5:$YX54&gt;=10)*($YX$5:$YX54&lt;=12)),$AAE$5:$AAE54),IF(YX54=4,SUMPRODUCT(--(($YY$5:$YY54=$YY54)*($YX$5:$YX54&gt;=1)*($YX$5:$YX54&lt;=3)),$AAE$5:$AAE54),IF(YX54=7,SUMPRODUCT(--(($YY$5:$YY54=$YY54)*($YX$5:$YX54&gt;=4)*($YX$5:$YX54&lt;=6)),$AAE$5:$AAE54),IF(YX54=10,SUMPRODUCT(--(($YY$5:$YY54=$YY54)*($YX$5:$YX54&gt;=7)*($YX$5:$YX54&lt;=9)),$AAE$5:$AAE54),0)))))</f>
        <v/>
      </c>
      <c r="AAG54" s="12">
        <f>AAG53+AAE54-AAF54</f>
        <v/>
      </c>
      <c r="AAH54" s="12">
        <f>IF(ProviderDelay&gt;=1,ZO53*BlendedProvPayEss+ZP53*BlendedProvPayPrem+ZQ53*BlendedProvPayElite+ZR53*BlendedProvPayEss+ZS53*BlendedProvPayPrem+ZT53*BlendedProvPayElite,ZO54*BlendedProvPayEss+ZP54*BlendedProvPayPrem+ZQ54*BlendedProvPayElite+ZR54*BlendedProvPayEss+ZS54*BlendedProvPayPrem+ZT54*BlendedProvPayElite)</f>
        <v/>
      </c>
      <c r="AAI54" s="12">
        <f>AAA54*PaymentFee</f>
        <v/>
      </c>
      <c r="AAJ54" s="12">
        <f>ZU54*OpsAI</f>
        <v/>
      </c>
      <c r="AAK54" s="12">
        <f>MonthlyFixed</f>
        <v/>
      </c>
      <c r="AAL54" s="12">
        <f>ZE54*ReferralReward</f>
        <v/>
      </c>
      <c r="AAM54" s="12">
        <f>ZC54</f>
        <v/>
      </c>
      <c r="AAN54" s="9">
        <f>AAD54-AAH54-AAI54-AAJ54-AAK54-AAL54-AAM54</f>
        <v/>
      </c>
      <c r="AAO54" s="9">
        <f>AAO53+AAA54-(AAH54+AAI54+AAJ54+AAK54+AAL54+AAM54+AAF54)</f>
        <v/>
      </c>
      <c r="AAP54" s="12">
        <f>IF(ZU54&gt;0,ZV54/ZU54,0)</f>
        <v/>
      </c>
      <c r="AAQ54" s="11">
        <f>IF(ZU53&gt;0,MAX(0,(ZU53+ZF54-ZU54)/ZU53),0)</f>
        <v/>
      </c>
      <c r="AAS54" s="12" t="n">
        <v>50</v>
      </c>
      <c r="AAT54" s="12">
        <f>MOD(AAS54-1+LaunchMonth-1,12)+1</f>
        <v/>
      </c>
      <c r="AAU54" s="12">
        <f>INT((AAS54-1+LaunchMonth-1)/12)+1</f>
        <v/>
      </c>
      <c r="AAV54" s="12">
        <f>VLOOKUP(AAT54,SeasonTable,2,FALSE)</f>
        <v/>
      </c>
      <c r="AAW54" s="12">
        <f>(1+InflationRate)^INT((AAS54-1)/12)</f>
        <v/>
      </c>
      <c r="AAX54" s="11">
        <f>MonthlyChurn*VLOOKUP(AAT54,ChurnSeasonTable,4,FALSE)</f>
        <v/>
      </c>
      <c r="AAY54" s="12">
        <f>MIN(MAX(MktMin19plus,ABW53*MktPct19plus),MAX(0,ACK53-CashBuffer))</f>
        <v/>
      </c>
      <c r="AAZ54" s="12">
        <f>IF(AAY54&gt;0,MAX(1,ROUND(AAY54/CAC*AAV54,0)),0)</f>
        <v/>
      </c>
      <c r="ABA54" s="12">
        <f>IF(AAZ54&gt;0,ROUND(AAZ54*ReferralMix/(1-ReferralMix),0),0)</f>
        <v/>
      </c>
      <c r="ABB54" s="12">
        <f>AAZ54+ABA54</f>
        <v/>
      </c>
      <c r="ABC54" s="12">
        <f>ROUND(ABB54*(1-'Sens - Annual Mix'!$A$12),0)</f>
        <v/>
      </c>
      <c r="ABD54" s="12">
        <f>ABB54-ABC54</f>
        <v/>
      </c>
      <c r="ABE54" s="12">
        <f>ROUND(ABC54*EssentialMix,0)</f>
        <v/>
      </c>
      <c r="ABF54" s="12">
        <f>ROUND(ABC54*PremiumMix,0)</f>
        <v/>
      </c>
      <c r="ABG54" s="12">
        <f>ABC54-ABE54-ABF54</f>
        <v/>
      </c>
      <c r="ABH54" s="12">
        <f>ROUND(ABD54*EssentialMix,0)</f>
        <v/>
      </c>
      <c r="ABI54" s="12">
        <f>ROUND(ABD54*PremiumMix,0)</f>
        <v/>
      </c>
      <c r="ABJ54" s="12">
        <f>ABD54-ABH54-ABI54</f>
        <v/>
      </c>
      <c r="ABK54" s="12">
        <f>ABE54+ABE53+ABE52+MAX(0,ABK53-ABE53-ABE52)*(1-AAX54)</f>
        <v/>
      </c>
      <c r="ABL54" s="12">
        <f>ABF54+ABF53+ABF52+MAX(0,ABL53-ABF53-ABF52)*(1-AAX54)</f>
        <v/>
      </c>
      <c r="ABM54" s="12">
        <f>ABG54+ABG53+ABG52+MAX(0,ABM53-ABG53-ABG52)*(1-AAX54)</f>
        <v/>
      </c>
      <c r="ABN54" s="12">
        <f>ABN53+ABH54-ABH42*(AnnualChurn*VLOOKUP(AAT54,ChurnSeasonTable,4,FALSE))*POWER(1-(AnnualChurn*VLOOKUP(AAT54,ChurnSeasonTable,4,FALSE)),0)+ABH30*(AnnualChurn*VLOOKUP(AAT54,ChurnSeasonTable,4,FALSE))*POWER(1-(AnnualChurn*VLOOKUP(AAT54,ChurnSeasonTable,4,FALSE)),1)+ABH18*(AnnualChurn*VLOOKUP(AAT54,ChurnSeasonTable,4,FALSE))*POWER(1-(AnnualChurn*VLOOKUP(AAT54,ChurnSeasonTable,4,FALSE)),2)+ABH6*(AnnualChurn*VLOOKUP(AAT54,ChurnSeasonTable,4,FALSE))*POWER(1-(AnnualChurn*VLOOKUP(AAT54,ChurnSeasonTable,4,FALSE)),3)</f>
        <v/>
      </c>
      <c r="ABO54" s="12">
        <f>ABO53+ABI54-ABI42*(AnnualChurn*VLOOKUP(AAT54,ChurnSeasonTable,4,FALSE))*POWER(1-(AnnualChurn*VLOOKUP(AAT54,ChurnSeasonTable,4,FALSE)),0)+ABI30*(AnnualChurn*VLOOKUP(AAT54,ChurnSeasonTable,4,FALSE))*POWER(1-(AnnualChurn*VLOOKUP(AAT54,ChurnSeasonTable,4,FALSE)),1)+ABI18*(AnnualChurn*VLOOKUP(AAT54,ChurnSeasonTable,4,FALSE))*POWER(1-(AnnualChurn*VLOOKUP(AAT54,ChurnSeasonTable,4,FALSE)),2)+ABI6*(AnnualChurn*VLOOKUP(AAT54,ChurnSeasonTable,4,FALSE))*POWER(1-(AnnualChurn*VLOOKUP(AAT54,ChurnSeasonTable,4,FALSE)),3)</f>
        <v/>
      </c>
      <c r="ABP54" s="12">
        <f>ABP53+ABJ54-ABJ42*(AnnualChurn*VLOOKUP(AAT54,ChurnSeasonTable,4,FALSE))*POWER(1-(AnnualChurn*VLOOKUP(AAT54,ChurnSeasonTable,4,FALSE)),0)+ABJ30*(AnnualChurn*VLOOKUP(AAT54,ChurnSeasonTable,4,FALSE))*POWER(1-(AnnualChurn*VLOOKUP(AAT54,ChurnSeasonTable,4,FALSE)),1)+ABJ18*(AnnualChurn*VLOOKUP(AAT54,ChurnSeasonTable,4,FALSE))*POWER(1-(AnnualChurn*VLOOKUP(AAT54,ChurnSeasonTable,4,FALSE)),2)+ABJ6*(AnnualChurn*VLOOKUP(AAT54,ChurnSeasonTable,4,FALSE))*POWER(1-(AnnualChurn*VLOOKUP(AAT54,ChurnSeasonTable,4,FALSE)),3)</f>
        <v/>
      </c>
      <c r="ABQ54" s="12">
        <f>ABK54+ABL54+ABM54+ABN54+ABO54+ABP54</f>
        <v/>
      </c>
      <c r="ABR54" s="9">
        <f>ABK54*BlendedPriceEssMonthly*AAW54+ABL54*BlendedPricePremMonthly*AAW54+ABM54*BlendedPriceEliteMonthly*AAW54+ABN54*BlendedPriceEssAnnual*AAW54/12+ABO54*BlendedPricePremAnnual*AAW54/12+ABP54*BlendedPriceEliteAnnual*AAW54/12</f>
        <v/>
      </c>
      <c r="ABS54" s="9">
        <f>ABR54*12</f>
        <v/>
      </c>
      <c r="ABT54" s="12">
        <f>ABK54*BlendedPriceEssMonthly*AAW54+ABL54*BlendedPricePremMonthly*AAW54+ABM54*BlendedPriceEliteMonthly*AAW54</f>
        <v/>
      </c>
      <c r="ABU54" s="12">
        <f>ABH54*BlendedPriceEssAnnual*AAW54+ABI54*BlendedPricePremAnnual*AAW54+ABJ54*BlendedPriceEliteAnnual*AAW54</f>
        <v/>
      </c>
      <c r="ABV54" s="12">
        <f>ABH42*POWER(1-(AnnualChurn*VLOOKUP(AAT54,ChurnSeasonTable,4,FALSE)),1)*BlendedPriceEssAnnual*AAW54+ABH30*POWER(1-(AnnualChurn*VLOOKUP(AAT54,ChurnSeasonTable,4,FALSE)),2)*BlendedPriceEssAnnual*AAW54+ABH18*POWER(1-(AnnualChurn*VLOOKUP(AAT54,ChurnSeasonTable,4,FALSE)),3)*BlendedPriceEssAnnual*AAW54+ABH6*POWER(1-(AnnualChurn*VLOOKUP(AAT54,ChurnSeasonTable,4,FALSE)),4)*BlendedPriceEssAnnual*AAW54+ABI42*POWER(1-(AnnualChurn*VLOOKUP(AAT54,ChurnSeasonTable,4,FALSE)),1)*BlendedPricePremAnnual*AAW54+ABI30*POWER(1-(AnnualChurn*VLOOKUP(AAT54,ChurnSeasonTable,4,FALSE)),2)*BlendedPricePremAnnual*AAW54+ABI18*POWER(1-(AnnualChurn*VLOOKUP(AAT54,ChurnSeasonTable,4,FALSE)),3)*BlendedPricePremAnnual*AAW54+ABI6*POWER(1-(AnnualChurn*VLOOKUP(AAT54,ChurnSeasonTable,4,FALSE)),4)*BlendedPricePremAnnual*AAW54+ABJ42*POWER(1-(AnnualChurn*VLOOKUP(AAT54,ChurnSeasonTable,4,FALSE)),1)*BlendedPriceEliteAnnual*AAW54+ABJ30*POWER(1-(AnnualChurn*VLOOKUP(AAT54,ChurnSeasonTable,4,FALSE)),2)*BlendedPriceEliteAnnual*AAW54+ABJ18*POWER(1-(AnnualChurn*VLOOKUP(AAT54,ChurnSeasonTable,4,FALSE)),3)*BlendedPriceEliteAnnual*AAW54+ABJ6*POWER(1-(AnnualChurn*VLOOKUP(AAT54,ChurnSeasonTable,4,FALSE)),4)*BlendedPriceEliteAnnual*AAW54</f>
        <v/>
      </c>
      <c r="ABW54" s="9">
        <f>ABT54+ABU54+ABV54</f>
        <v/>
      </c>
      <c r="ABX54" s="12">
        <f>SUM(ABW43:ABW54)</f>
        <v/>
      </c>
      <c r="ABY54" s="12">
        <f>OR(ABY53,IF(VATAgentMode,SUM($ABW43:$ABW54)-SUM($ACD43:$ACD54)&gt;=VATThreshold,SUM($ABW43:$ABW54)&gt;=VATThreshold))</f>
        <v/>
      </c>
      <c r="ABZ54" s="9">
        <f>IF(ABY54,IF(VATAgentMode,ABW54-((ABW54-ACD54)-(ABW54-ACD54)/(1+VATRate)),ABW54/(1+VATRate)),ABW54)</f>
        <v/>
      </c>
      <c r="ACA54" s="12">
        <f>ABW54-ABZ54</f>
        <v/>
      </c>
      <c r="ACB54" s="12">
        <f>IF(ABY54=0,0,IF(AAT54=1,SUMPRODUCT(--(($AAU$5:$AAU54=$AAU54-1)*($AAT$5:$AAT54&gt;=10)*($AAT$5:$AAT54&lt;=12)),$ACA$5:$ACA54),IF(AAT54=4,SUMPRODUCT(--(($AAU$5:$AAU54=$AAU54)*($AAT$5:$AAT54&gt;=1)*($AAT$5:$AAT54&lt;=3)),$ACA$5:$ACA54),IF(AAT54=7,SUMPRODUCT(--(($AAU$5:$AAU54=$AAU54)*($AAT$5:$AAT54&gt;=4)*($AAT$5:$AAT54&lt;=6)),$ACA$5:$ACA54),IF(AAT54=10,SUMPRODUCT(--(($AAU$5:$AAU54=$AAU54)*($AAT$5:$AAT54&gt;=7)*($AAT$5:$AAT54&lt;=9)),$ACA$5:$ACA54),0)))))</f>
        <v/>
      </c>
      <c r="ACC54" s="12">
        <f>ACC53+ACA54-ACB54</f>
        <v/>
      </c>
      <c r="ACD54" s="12">
        <f>IF(ProviderDelay&gt;=1,ABK53*BlendedProvPayEss+ABL53*BlendedProvPayPrem+ABM53*BlendedProvPayElite+ABN53*BlendedProvPayEss+ABO53*BlendedProvPayPrem+ABP53*BlendedProvPayElite,ABK54*BlendedProvPayEss+ABL54*BlendedProvPayPrem+ABM54*BlendedProvPayElite+ABN54*BlendedProvPayEss+ABO54*BlendedProvPayPrem+ABP54*BlendedProvPayElite)</f>
        <v/>
      </c>
      <c r="ACE54" s="12">
        <f>ABW54*PaymentFee</f>
        <v/>
      </c>
      <c r="ACF54" s="12">
        <f>ABQ54*OpsAI</f>
        <v/>
      </c>
      <c r="ACG54" s="12">
        <f>MonthlyFixed</f>
        <v/>
      </c>
      <c r="ACH54" s="12">
        <f>ABA54*ReferralReward</f>
        <v/>
      </c>
      <c r="ACI54" s="12">
        <f>AAY54</f>
        <v/>
      </c>
      <c r="ACJ54" s="9">
        <f>ABZ54-ACD54-ACE54-ACF54-ACG54-ACH54-ACI54</f>
        <v/>
      </c>
      <c r="ACK54" s="9">
        <f>ACK53+ABW54-(ACD54+ACE54+ACF54+ACG54+ACH54+ACI54+ACB54)</f>
        <v/>
      </c>
      <c r="ACL54" s="12">
        <f>IF(ABQ54&gt;0,ABR54/ABQ54,0)</f>
        <v/>
      </c>
      <c r="ACM54" s="11">
        <f>IF(ABQ53&gt;0,MAX(0,(ABQ53+ABB54-ABQ54)/ABQ53),0)</f>
        <v/>
      </c>
      <c r="ACO54" s="12" t="n">
        <v>50</v>
      </c>
      <c r="ACP54" s="12">
        <f>MOD(ACO54-1+LaunchMonth-1,12)+1</f>
        <v/>
      </c>
      <c r="ACQ54" s="12">
        <f>INT((ACO54-1+LaunchMonth-1)/12)+1</f>
        <v/>
      </c>
      <c r="ACR54" s="12">
        <f>VLOOKUP(ACP54,SeasonTable,2,FALSE)</f>
        <v/>
      </c>
      <c r="ACS54" s="12">
        <f>(1+InflationRate)^INT((ACO54-1)/12)</f>
        <v/>
      </c>
      <c r="ACT54" s="11">
        <f>MonthlyChurn*VLOOKUP(ACP54,ChurnSeasonTable,4,FALSE)</f>
        <v/>
      </c>
      <c r="ACU54" s="12">
        <f>MIN(MAX(MktMin19plus,ADS53*MktPct19plus),MAX(0,AEG53-CashBuffer))</f>
        <v/>
      </c>
      <c r="ACV54" s="12">
        <f>IF(ACU54&gt;0,MAX(1,ROUND(ACU54/CAC*ACR54,0)),0)</f>
        <v/>
      </c>
      <c r="ACW54" s="12">
        <f>IF(ACV54&gt;0,ROUND(ACV54*ReferralMix/(1-ReferralMix),0),0)</f>
        <v/>
      </c>
      <c r="ACX54" s="12">
        <f>ACV54+ACW54</f>
        <v/>
      </c>
      <c r="ACY54" s="12">
        <f>ROUND(ACX54*(1-'Sens - Annual Mix'!$A$13),0)</f>
        <v/>
      </c>
      <c r="ACZ54" s="12">
        <f>ACX54-ACY54</f>
        <v/>
      </c>
      <c r="ADA54" s="12">
        <f>ROUND(ACY54*EssentialMix,0)</f>
        <v/>
      </c>
      <c r="ADB54" s="12">
        <f>ROUND(ACY54*PremiumMix,0)</f>
        <v/>
      </c>
      <c r="ADC54" s="12">
        <f>ACY54-ADA54-ADB54</f>
        <v/>
      </c>
      <c r="ADD54" s="12">
        <f>ROUND(ACZ54*EssentialMix,0)</f>
        <v/>
      </c>
      <c r="ADE54" s="12">
        <f>ROUND(ACZ54*PremiumMix,0)</f>
        <v/>
      </c>
      <c r="ADF54" s="12">
        <f>ACZ54-ADD54-ADE54</f>
        <v/>
      </c>
      <c r="ADG54" s="12">
        <f>ADA54+ADA53+ADA52+MAX(0,ADG53-ADA53-ADA52)*(1-ACT54)</f>
        <v/>
      </c>
      <c r="ADH54" s="12">
        <f>ADB54+ADB53+ADB52+MAX(0,ADH53-ADB53-ADB52)*(1-ACT54)</f>
        <v/>
      </c>
      <c r="ADI54" s="12">
        <f>ADC54+ADC53+ADC52+MAX(0,ADI53-ADC53-ADC52)*(1-ACT54)</f>
        <v/>
      </c>
      <c r="ADJ54" s="12">
        <f>ADJ53+ADD54-ADD42*(AnnualChurn*VLOOKUP(ACP54,ChurnSeasonTable,4,FALSE))*POWER(1-(AnnualChurn*VLOOKUP(ACP54,ChurnSeasonTable,4,FALSE)),0)+ADD30*(AnnualChurn*VLOOKUP(ACP54,ChurnSeasonTable,4,FALSE))*POWER(1-(AnnualChurn*VLOOKUP(ACP54,ChurnSeasonTable,4,FALSE)),1)+ADD18*(AnnualChurn*VLOOKUP(ACP54,ChurnSeasonTable,4,FALSE))*POWER(1-(AnnualChurn*VLOOKUP(ACP54,ChurnSeasonTable,4,FALSE)),2)+ADD6*(AnnualChurn*VLOOKUP(ACP54,ChurnSeasonTable,4,FALSE))*POWER(1-(AnnualChurn*VLOOKUP(ACP54,ChurnSeasonTable,4,FALSE)),3)</f>
        <v/>
      </c>
      <c r="ADK54" s="12">
        <f>ADK53+ADE54-ADE42*(AnnualChurn*VLOOKUP(ACP54,ChurnSeasonTable,4,FALSE))*POWER(1-(AnnualChurn*VLOOKUP(ACP54,ChurnSeasonTable,4,FALSE)),0)+ADE30*(AnnualChurn*VLOOKUP(ACP54,ChurnSeasonTable,4,FALSE))*POWER(1-(AnnualChurn*VLOOKUP(ACP54,ChurnSeasonTable,4,FALSE)),1)+ADE18*(AnnualChurn*VLOOKUP(ACP54,ChurnSeasonTable,4,FALSE))*POWER(1-(AnnualChurn*VLOOKUP(ACP54,ChurnSeasonTable,4,FALSE)),2)+ADE6*(AnnualChurn*VLOOKUP(ACP54,ChurnSeasonTable,4,FALSE))*POWER(1-(AnnualChurn*VLOOKUP(ACP54,ChurnSeasonTable,4,FALSE)),3)</f>
        <v/>
      </c>
      <c r="ADL54" s="12">
        <f>ADL53+ADF54-ADF42*(AnnualChurn*VLOOKUP(ACP54,ChurnSeasonTable,4,FALSE))*POWER(1-(AnnualChurn*VLOOKUP(ACP54,ChurnSeasonTable,4,FALSE)),0)+ADF30*(AnnualChurn*VLOOKUP(ACP54,ChurnSeasonTable,4,FALSE))*POWER(1-(AnnualChurn*VLOOKUP(ACP54,ChurnSeasonTable,4,FALSE)),1)+ADF18*(AnnualChurn*VLOOKUP(ACP54,ChurnSeasonTable,4,FALSE))*POWER(1-(AnnualChurn*VLOOKUP(ACP54,ChurnSeasonTable,4,FALSE)),2)+ADF6*(AnnualChurn*VLOOKUP(ACP54,ChurnSeasonTable,4,FALSE))*POWER(1-(AnnualChurn*VLOOKUP(ACP54,ChurnSeasonTable,4,FALSE)),3)</f>
        <v/>
      </c>
      <c r="ADM54" s="12">
        <f>ADG54+ADH54+ADI54+ADJ54+ADK54+ADL54</f>
        <v/>
      </c>
      <c r="ADN54" s="9">
        <f>ADG54*BlendedPriceEssMonthly*ACS54+ADH54*BlendedPricePremMonthly*ACS54+ADI54*BlendedPriceEliteMonthly*ACS54+ADJ54*BlendedPriceEssAnnual*ACS54/12+ADK54*BlendedPricePremAnnual*ACS54/12+ADL54*BlendedPriceEliteAnnual*ACS54/12</f>
        <v/>
      </c>
      <c r="ADO54" s="9">
        <f>ADN54*12</f>
        <v/>
      </c>
      <c r="ADP54" s="12">
        <f>ADG54*BlendedPriceEssMonthly*ACS54+ADH54*BlendedPricePremMonthly*ACS54+ADI54*BlendedPriceEliteMonthly*ACS54</f>
        <v/>
      </c>
      <c r="ADQ54" s="12">
        <f>ADD54*BlendedPriceEssAnnual*ACS54+ADE54*BlendedPricePremAnnual*ACS54+ADF54*BlendedPriceEliteAnnual*ACS54</f>
        <v/>
      </c>
      <c r="ADR54" s="12">
        <f>ADD42*POWER(1-(AnnualChurn*VLOOKUP(ACP54,ChurnSeasonTable,4,FALSE)),1)*BlendedPriceEssAnnual*ACS54+ADD30*POWER(1-(AnnualChurn*VLOOKUP(ACP54,ChurnSeasonTable,4,FALSE)),2)*BlendedPriceEssAnnual*ACS54+ADD18*POWER(1-(AnnualChurn*VLOOKUP(ACP54,ChurnSeasonTable,4,FALSE)),3)*BlendedPriceEssAnnual*ACS54+ADD6*POWER(1-(AnnualChurn*VLOOKUP(ACP54,ChurnSeasonTable,4,FALSE)),4)*BlendedPriceEssAnnual*ACS54+ADE42*POWER(1-(AnnualChurn*VLOOKUP(ACP54,ChurnSeasonTable,4,FALSE)),1)*BlendedPricePremAnnual*ACS54+ADE30*POWER(1-(AnnualChurn*VLOOKUP(ACP54,ChurnSeasonTable,4,FALSE)),2)*BlendedPricePremAnnual*ACS54+ADE18*POWER(1-(AnnualChurn*VLOOKUP(ACP54,ChurnSeasonTable,4,FALSE)),3)*BlendedPricePremAnnual*ACS54+ADE6*POWER(1-(AnnualChurn*VLOOKUP(ACP54,ChurnSeasonTable,4,FALSE)),4)*BlendedPricePremAnnual*ACS54+ADF42*POWER(1-(AnnualChurn*VLOOKUP(ACP54,ChurnSeasonTable,4,FALSE)),1)*BlendedPriceEliteAnnual*ACS54+ADF30*POWER(1-(AnnualChurn*VLOOKUP(ACP54,ChurnSeasonTable,4,FALSE)),2)*BlendedPriceEliteAnnual*ACS54+ADF18*POWER(1-(AnnualChurn*VLOOKUP(ACP54,ChurnSeasonTable,4,FALSE)),3)*BlendedPriceEliteAnnual*ACS54+ADF6*POWER(1-(AnnualChurn*VLOOKUP(ACP54,ChurnSeasonTable,4,FALSE)),4)*BlendedPriceEliteAnnual*ACS54</f>
        <v/>
      </c>
      <c r="ADS54" s="9">
        <f>ADP54+ADQ54+ADR54</f>
        <v/>
      </c>
      <c r="ADT54" s="12">
        <f>SUM(ADS43:ADS54)</f>
        <v/>
      </c>
      <c r="ADU54" s="12">
        <f>OR(ADU53,IF(VATAgentMode,SUM($ADS43:$ADS54)-SUM($ADZ43:$ADZ54)&gt;=VATThreshold,SUM($ADS43:$ADS54)&gt;=VATThreshold))</f>
        <v/>
      </c>
      <c r="ADV54" s="9">
        <f>IF(ADU54,IF(VATAgentMode,ADS54-((ADS54-ADZ54)-(ADS54-ADZ54)/(1+VATRate)),ADS54/(1+VATRate)),ADS54)</f>
        <v/>
      </c>
      <c r="ADW54" s="12">
        <f>ADS54-ADV54</f>
        <v/>
      </c>
      <c r="ADX54" s="12">
        <f>IF(ADU54=0,0,IF(ACP54=1,SUMPRODUCT(--(($ACQ$5:$ACQ54=$ACQ54-1)*($ACP$5:$ACP54&gt;=10)*($ACP$5:$ACP54&lt;=12)),$ADW$5:$ADW54),IF(ACP54=4,SUMPRODUCT(--(($ACQ$5:$ACQ54=$ACQ54)*($ACP$5:$ACP54&gt;=1)*($ACP$5:$ACP54&lt;=3)),$ADW$5:$ADW54),IF(ACP54=7,SUMPRODUCT(--(($ACQ$5:$ACQ54=$ACQ54)*($ACP$5:$ACP54&gt;=4)*($ACP$5:$ACP54&lt;=6)),$ADW$5:$ADW54),IF(ACP54=10,SUMPRODUCT(--(($ACQ$5:$ACQ54=$ACQ54)*($ACP$5:$ACP54&gt;=7)*($ACP$5:$ACP54&lt;=9)),$ADW$5:$ADW54),0)))))</f>
        <v/>
      </c>
      <c r="ADY54" s="12">
        <f>ADY53+ADW54-ADX54</f>
        <v/>
      </c>
      <c r="ADZ54" s="12">
        <f>IF(ProviderDelay&gt;=1,ADG53*BlendedProvPayEss+ADH53*BlendedProvPayPrem+ADI53*BlendedProvPayElite+ADJ53*BlendedProvPayEss+ADK53*BlendedProvPayPrem+ADL53*BlendedProvPayElite,ADG54*BlendedProvPayEss+ADH54*BlendedProvPayPrem+ADI54*BlendedProvPayElite+ADJ54*BlendedProvPayEss+ADK54*BlendedProvPayPrem+ADL54*BlendedProvPayElite)</f>
        <v/>
      </c>
      <c r="AEA54" s="12">
        <f>ADS54*PaymentFee</f>
        <v/>
      </c>
      <c r="AEB54" s="12">
        <f>ADM54*OpsAI</f>
        <v/>
      </c>
      <c r="AEC54" s="12">
        <f>MonthlyFixed</f>
        <v/>
      </c>
      <c r="AED54" s="12">
        <f>ACW54*ReferralReward</f>
        <v/>
      </c>
      <c r="AEE54" s="12">
        <f>ACU54</f>
        <v/>
      </c>
      <c r="AEF54" s="9">
        <f>ADV54-ADZ54-AEA54-AEB54-AEC54-AED54-AEE54</f>
        <v/>
      </c>
      <c r="AEG54" s="9">
        <f>AEG53+ADS54-(ADZ54+AEA54+AEB54+AEC54+AED54+AEE54+ADX54)</f>
        <v/>
      </c>
      <c r="AEH54" s="12">
        <f>IF(ADM54&gt;0,ADN54/ADM54,0)</f>
        <v/>
      </c>
      <c r="AEI54" s="11">
        <f>IF(ADM53&gt;0,MAX(0,(ADM53+ACX54-ADM54)/ADM53),0)</f>
        <v/>
      </c>
      <c r="AEK54" s="12" t="n">
        <v>50</v>
      </c>
      <c r="AEL54" s="12">
        <f>MOD(AEK54-1+LaunchMonth-1,12)+1</f>
        <v/>
      </c>
      <c r="AEM54" s="12">
        <f>INT((AEK54-1+LaunchMonth-1)/12)+1</f>
        <v/>
      </c>
      <c r="AEN54" s="12">
        <f>VLOOKUP(AEL54,SeasonTable,2,FALSE)</f>
        <v/>
      </c>
      <c r="AEO54" s="12">
        <f>(1+InflationRate)^INT((AEK54-1)/12)</f>
        <v/>
      </c>
      <c r="AEP54" s="11">
        <f>MonthlyChurn*VLOOKUP(AEL54,ChurnSeasonTable,4,FALSE)</f>
        <v/>
      </c>
      <c r="AEQ54" s="12">
        <f>MIN(MAX(MktMin19plus,AFO53*MktPct19plus),MAX(0,AGC53-CashBuffer))</f>
        <v/>
      </c>
      <c r="AER54" s="12">
        <f>IF(AEQ54&gt;0,MAX(1,ROUND(AEQ54/CAC*AEN54,0)),0)</f>
        <v/>
      </c>
      <c r="AES54" s="12">
        <f>IF(AER54&gt;0,ROUND(AER54*ReferralMix/(1-ReferralMix),0),0)</f>
        <v/>
      </c>
      <c r="AET54" s="12">
        <f>AER54+AES54</f>
        <v/>
      </c>
      <c r="AEU54" s="12">
        <f>ROUND(AET54*(1-'Sens - Annual Mix'!$A$14),0)</f>
        <v/>
      </c>
      <c r="AEV54" s="12">
        <f>AET54-AEU54</f>
        <v/>
      </c>
      <c r="AEW54" s="12">
        <f>ROUND(AEU54*EssentialMix,0)</f>
        <v/>
      </c>
      <c r="AEX54" s="12">
        <f>ROUND(AEU54*PremiumMix,0)</f>
        <v/>
      </c>
      <c r="AEY54" s="12">
        <f>AEU54-AEW54-AEX54</f>
        <v/>
      </c>
      <c r="AEZ54" s="12">
        <f>ROUND(AEV54*EssentialMix,0)</f>
        <v/>
      </c>
      <c r="AFA54" s="12">
        <f>ROUND(AEV54*PremiumMix,0)</f>
        <v/>
      </c>
      <c r="AFB54" s="12">
        <f>AEV54-AEZ54-AFA54</f>
        <v/>
      </c>
      <c r="AFC54" s="12">
        <f>AEW54+AEW53+AEW52+MAX(0,AFC53-AEW53-AEW52)*(1-AEP54)</f>
        <v/>
      </c>
      <c r="AFD54" s="12">
        <f>AEX54+AEX53+AEX52+MAX(0,AFD53-AEX53-AEX52)*(1-AEP54)</f>
        <v/>
      </c>
      <c r="AFE54" s="12">
        <f>AEY54+AEY53+AEY52+MAX(0,AFE53-AEY53-AEY52)*(1-AEP54)</f>
        <v/>
      </c>
      <c r="AFF54" s="12">
        <f>AFF53+AEZ54-AEZ42*(AnnualChurn*VLOOKUP(AEL54,ChurnSeasonTable,4,FALSE))*POWER(1-(AnnualChurn*VLOOKUP(AEL54,ChurnSeasonTable,4,FALSE)),0)+AEZ30*(AnnualChurn*VLOOKUP(AEL54,ChurnSeasonTable,4,FALSE))*POWER(1-(AnnualChurn*VLOOKUP(AEL54,ChurnSeasonTable,4,FALSE)),1)+AEZ18*(AnnualChurn*VLOOKUP(AEL54,ChurnSeasonTable,4,FALSE))*POWER(1-(AnnualChurn*VLOOKUP(AEL54,ChurnSeasonTable,4,FALSE)),2)+AEZ6*(AnnualChurn*VLOOKUP(AEL54,ChurnSeasonTable,4,FALSE))*POWER(1-(AnnualChurn*VLOOKUP(AEL54,ChurnSeasonTable,4,FALSE)),3)</f>
        <v/>
      </c>
      <c r="AFG54" s="12">
        <f>AFG53+AFA54-AFA42*(AnnualChurn*VLOOKUP(AEL54,ChurnSeasonTable,4,FALSE))*POWER(1-(AnnualChurn*VLOOKUP(AEL54,ChurnSeasonTable,4,FALSE)),0)+AFA30*(AnnualChurn*VLOOKUP(AEL54,ChurnSeasonTable,4,FALSE))*POWER(1-(AnnualChurn*VLOOKUP(AEL54,ChurnSeasonTable,4,FALSE)),1)+AFA18*(AnnualChurn*VLOOKUP(AEL54,ChurnSeasonTable,4,FALSE))*POWER(1-(AnnualChurn*VLOOKUP(AEL54,ChurnSeasonTable,4,FALSE)),2)+AFA6*(AnnualChurn*VLOOKUP(AEL54,ChurnSeasonTable,4,FALSE))*POWER(1-(AnnualChurn*VLOOKUP(AEL54,ChurnSeasonTable,4,FALSE)),3)</f>
        <v/>
      </c>
      <c r="AFH54" s="12">
        <f>AFH53+AFB54-AFB42*(AnnualChurn*VLOOKUP(AEL54,ChurnSeasonTable,4,FALSE))*POWER(1-(AnnualChurn*VLOOKUP(AEL54,ChurnSeasonTable,4,FALSE)),0)+AFB30*(AnnualChurn*VLOOKUP(AEL54,ChurnSeasonTable,4,FALSE))*POWER(1-(AnnualChurn*VLOOKUP(AEL54,ChurnSeasonTable,4,FALSE)),1)+AFB18*(AnnualChurn*VLOOKUP(AEL54,ChurnSeasonTable,4,FALSE))*POWER(1-(AnnualChurn*VLOOKUP(AEL54,ChurnSeasonTable,4,FALSE)),2)+AFB6*(AnnualChurn*VLOOKUP(AEL54,ChurnSeasonTable,4,FALSE))*POWER(1-(AnnualChurn*VLOOKUP(AEL54,ChurnSeasonTable,4,FALSE)),3)</f>
        <v/>
      </c>
      <c r="AFI54" s="12">
        <f>AFC54+AFD54+AFE54+AFF54+AFG54+AFH54</f>
        <v/>
      </c>
      <c r="AFJ54" s="9">
        <f>AFC54*BlendedPriceEssMonthly*AEO54+AFD54*BlendedPricePremMonthly*AEO54+AFE54*BlendedPriceEliteMonthly*AEO54+AFF54*BlendedPriceEssAnnual*AEO54/12+AFG54*BlendedPricePremAnnual*AEO54/12+AFH54*BlendedPriceEliteAnnual*AEO54/12</f>
        <v/>
      </c>
      <c r="AFK54" s="9">
        <f>AFJ54*12</f>
        <v/>
      </c>
      <c r="AFL54" s="12">
        <f>AFC54*BlendedPriceEssMonthly*AEO54+AFD54*BlendedPricePremMonthly*AEO54+AFE54*BlendedPriceEliteMonthly*AEO54</f>
        <v/>
      </c>
      <c r="AFM54" s="12">
        <f>AEZ54*BlendedPriceEssAnnual*AEO54+AFA54*BlendedPricePremAnnual*AEO54+AFB54*BlendedPriceEliteAnnual*AEO54</f>
        <v/>
      </c>
      <c r="AFN54" s="12">
        <f>AEZ42*POWER(1-(AnnualChurn*VLOOKUP(AEL54,ChurnSeasonTable,4,FALSE)),1)*BlendedPriceEssAnnual*AEO54+AEZ30*POWER(1-(AnnualChurn*VLOOKUP(AEL54,ChurnSeasonTable,4,FALSE)),2)*BlendedPriceEssAnnual*AEO54+AEZ18*POWER(1-(AnnualChurn*VLOOKUP(AEL54,ChurnSeasonTable,4,FALSE)),3)*BlendedPriceEssAnnual*AEO54+AEZ6*POWER(1-(AnnualChurn*VLOOKUP(AEL54,ChurnSeasonTable,4,FALSE)),4)*BlendedPriceEssAnnual*AEO54+AFA42*POWER(1-(AnnualChurn*VLOOKUP(AEL54,ChurnSeasonTable,4,FALSE)),1)*BlendedPricePremAnnual*AEO54+AFA30*POWER(1-(AnnualChurn*VLOOKUP(AEL54,ChurnSeasonTable,4,FALSE)),2)*BlendedPricePremAnnual*AEO54+AFA18*POWER(1-(AnnualChurn*VLOOKUP(AEL54,ChurnSeasonTable,4,FALSE)),3)*BlendedPricePremAnnual*AEO54+AFA6*POWER(1-(AnnualChurn*VLOOKUP(AEL54,ChurnSeasonTable,4,FALSE)),4)*BlendedPricePremAnnual*AEO54+AFB42*POWER(1-(AnnualChurn*VLOOKUP(AEL54,ChurnSeasonTable,4,FALSE)),1)*BlendedPriceEliteAnnual*AEO54+AFB30*POWER(1-(AnnualChurn*VLOOKUP(AEL54,ChurnSeasonTable,4,FALSE)),2)*BlendedPriceEliteAnnual*AEO54+AFB18*POWER(1-(AnnualChurn*VLOOKUP(AEL54,ChurnSeasonTable,4,FALSE)),3)*BlendedPriceEliteAnnual*AEO54+AFB6*POWER(1-(AnnualChurn*VLOOKUP(AEL54,ChurnSeasonTable,4,FALSE)),4)*BlendedPriceEliteAnnual*AEO54</f>
        <v/>
      </c>
      <c r="AFO54" s="9">
        <f>AFL54+AFM54+AFN54</f>
        <v/>
      </c>
      <c r="AFP54" s="12">
        <f>SUM(AFO43:AFO54)</f>
        <v/>
      </c>
      <c r="AFQ54" s="12">
        <f>OR(AFQ53,IF(VATAgentMode,SUM($AFO43:$AFO54)-SUM($AFV43:$AFV54)&gt;=VATThreshold,SUM($AFO43:$AFO54)&gt;=VATThreshold))</f>
        <v/>
      </c>
      <c r="AFR54" s="9">
        <f>IF(AFQ54,IF(VATAgentMode,AFO54-((AFO54-AFV54)-(AFO54-AFV54)/(1+VATRate)),AFO54/(1+VATRate)),AFO54)</f>
        <v/>
      </c>
      <c r="AFS54" s="12">
        <f>AFO54-AFR54</f>
        <v/>
      </c>
      <c r="AFT54" s="12">
        <f>IF(AFQ54=0,0,IF(AEL54=1,SUMPRODUCT(--(($AEM$5:$AEM54=$AEM54-1)*($AEL$5:$AEL54&gt;=10)*($AEL$5:$AEL54&lt;=12)),$AFS$5:$AFS54),IF(AEL54=4,SUMPRODUCT(--(($AEM$5:$AEM54=$AEM54)*($AEL$5:$AEL54&gt;=1)*($AEL$5:$AEL54&lt;=3)),$AFS$5:$AFS54),IF(AEL54=7,SUMPRODUCT(--(($AEM$5:$AEM54=$AEM54)*($AEL$5:$AEL54&gt;=4)*($AEL$5:$AEL54&lt;=6)),$AFS$5:$AFS54),IF(AEL54=10,SUMPRODUCT(--(($AEM$5:$AEM54=$AEM54)*($AEL$5:$AEL54&gt;=7)*($AEL$5:$AEL54&lt;=9)),$AFS$5:$AFS54),0)))))</f>
        <v/>
      </c>
      <c r="AFU54" s="12">
        <f>AFU53+AFS54-AFT54</f>
        <v/>
      </c>
      <c r="AFV54" s="12">
        <f>IF(ProviderDelay&gt;=1,AFC53*BlendedProvPayEss+AFD53*BlendedProvPayPrem+AFE53*BlendedProvPayElite+AFF53*BlendedProvPayEss+AFG53*BlendedProvPayPrem+AFH53*BlendedProvPayElite,AFC54*BlendedProvPayEss+AFD54*BlendedProvPayPrem+AFE54*BlendedProvPayElite+AFF54*BlendedProvPayEss+AFG54*BlendedProvPayPrem+AFH54*BlendedProvPayElite)</f>
        <v/>
      </c>
      <c r="AFW54" s="12">
        <f>AFO54*PaymentFee</f>
        <v/>
      </c>
      <c r="AFX54" s="12">
        <f>AFI54*OpsAI</f>
        <v/>
      </c>
      <c r="AFY54" s="12">
        <f>MonthlyFixed</f>
        <v/>
      </c>
      <c r="AFZ54" s="12">
        <f>AES54*ReferralReward</f>
        <v/>
      </c>
      <c r="AGA54" s="12">
        <f>AEQ54</f>
        <v/>
      </c>
      <c r="AGB54" s="9">
        <f>AFR54-AFV54-AFW54-AFX54-AFY54-AFZ54-AGA54</f>
        <v/>
      </c>
      <c r="AGC54" s="9">
        <f>AGC53+AFO54-(AFV54+AFW54+AFX54+AFY54+AFZ54+AGA54+AFT54)</f>
        <v/>
      </c>
      <c r="AGD54" s="12">
        <f>IF(AFI54&gt;0,AFJ54/AFI54,0)</f>
        <v/>
      </c>
      <c r="AGE54" s="11">
        <f>IF(AFI53&gt;0,MAX(0,(AFI53+AET54-AFI54)/AFI53),0)</f>
        <v/>
      </c>
      <c r="AGG54" s="12" t="n">
        <v>50</v>
      </c>
      <c r="AGH54" s="12">
        <f>MOD(AGG54-1+LaunchMonth-1,12)+1</f>
        <v/>
      </c>
      <c r="AGI54" s="12">
        <f>INT((AGG54-1+LaunchMonth-1)/12)+1</f>
        <v/>
      </c>
      <c r="AGJ54" s="12">
        <f>VLOOKUP(AGH54,SeasonTable,2,FALSE)</f>
        <v/>
      </c>
      <c r="AGK54" s="12">
        <f>(1+InflationRate)^INT((AGG54-1)/12)</f>
        <v/>
      </c>
      <c r="AGL54" s="11">
        <f>MonthlyChurn*VLOOKUP(AGH54,ChurnSeasonTable,4,FALSE)</f>
        <v/>
      </c>
      <c r="AGM54" s="12">
        <f>MIN(MAX(MktMin19plus,AHK53*MktPct19plus),MAX(0,AHY53-CashBuffer))</f>
        <v/>
      </c>
      <c r="AGN54" s="12">
        <f>IF(AGM54&gt;0,MAX(1,ROUND(AGM54/CAC*AGJ54,0)),0)</f>
        <v/>
      </c>
      <c r="AGO54" s="12">
        <f>IF(AGN54&gt;0,ROUND(AGN54*ReferralMix/(1-ReferralMix),0),0)</f>
        <v/>
      </c>
      <c r="AGP54" s="12">
        <f>AGN54+AGO54</f>
        <v/>
      </c>
      <c r="AGQ54" s="12">
        <f>ROUND(AGP54*(1-'Sens - Annual Mix'!$A$15),0)</f>
        <v/>
      </c>
      <c r="AGR54" s="12">
        <f>AGP54-AGQ54</f>
        <v/>
      </c>
      <c r="AGS54" s="12">
        <f>ROUND(AGQ54*EssentialMix,0)</f>
        <v/>
      </c>
      <c r="AGT54" s="12">
        <f>ROUND(AGQ54*PremiumMix,0)</f>
        <v/>
      </c>
      <c r="AGU54" s="12">
        <f>AGQ54-AGS54-AGT54</f>
        <v/>
      </c>
      <c r="AGV54" s="12">
        <f>ROUND(AGR54*EssentialMix,0)</f>
        <v/>
      </c>
      <c r="AGW54" s="12">
        <f>ROUND(AGR54*PremiumMix,0)</f>
        <v/>
      </c>
      <c r="AGX54" s="12">
        <f>AGR54-AGV54-AGW54</f>
        <v/>
      </c>
      <c r="AGY54" s="12">
        <f>AGS54+AGS53+AGS52+MAX(0,AGY53-AGS53-AGS52)*(1-AGL54)</f>
        <v/>
      </c>
      <c r="AGZ54" s="12">
        <f>AGT54+AGT53+AGT52+MAX(0,AGZ53-AGT53-AGT52)*(1-AGL54)</f>
        <v/>
      </c>
      <c r="AHA54" s="12">
        <f>AGU54+AGU53+AGU52+MAX(0,AHA53-AGU53-AGU52)*(1-AGL54)</f>
        <v/>
      </c>
      <c r="AHB54" s="12">
        <f>AHB53+AGV54-AGV42*(AnnualChurn*VLOOKUP(AGH54,ChurnSeasonTable,4,FALSE))*POWER(1-(AnnualChurn*VLOOKUP(AGH54,ChurnSeasonTable,4,FALSE)),0)+AGV30*(AnnualChurn*VLOOKUP(AGH54,ChurnSeasonTable,4,FALSE))*POWER(1-(AnnualChurn*VLOOKUP(AGH54,ChurnSeasonTable,4,FALSE)),1)+AGV18*(AnnualChurn*VLOOKUP(AGH54,ChurnSeasonTable,4,FALSE))*POWER(1-(AnnualChurn*VLOOKUP(AGH54,ChurnSeasonTable,4,FALSE)),2)+AGV6*(AnnualChurn*VLOOKUP(AGH54,ChurnSeasonTable,4,FALSE))*POWER(1-(AnnualChurn*VLOOKUP(AGH54,ChurnSeasonTable,4,FALSE)),3)</f>
        <v/>
      </c>
      <c r="AHC54" s="12">
        <f>AHC53+AGW54-AGW42*(AnnualChurn*VLOOKUP(AGH54,ChurnSeasonTable,4,FALSE))*POWER(1-(AnnualChurn*VLOOKUP(AGH54,ChurnSeasonTable,4,FALSE)),0)+AGW30*(AnnualChurn*VLOOKUP(AGH54,ChurnSeasonTable,4,FALSE))*POWER(1-(AnnualChurn*VLOOKUP(AGH54,ChurnSeasonTable,4,FALSE)),1)+AGW18*(AnnualChurn*VLOOKUP(AGH54,ChurnSeasonTable,4,FALSE))*POWER(1-(AnnualChurn*VLOOKUP(AGH54,ChurnSeasonTable,4,FALSE)),2)+AGW6*(AnnualChurn*VLOOKUP(AGH54,ChurnSeasonTable,4,FALSE))*POWER(1-(AnnualChurn*VLOOKUP(AGH54,ChurnSeasonTable,4,FALSE)),3)</f>
        <v/>
      </c>
      <c r="AHD54" s="12">
        <f>AHD53+AGX54-AGX42*(AnnualChurn*VLOOKUP(AGH54,ChurnSeasonTable,4,FALSE))*POWER(1-(AnnualChurn*VLOOKUP(AGH54,ChurnSeasonTable,4,FALSE)),0)+AGX30*(AnnualChurn*VLOOKUP(AGH54,ChurnSeasonTable,4,FALSE))*POWER(1-(AnnualChurn*VLOOKUP(AGH54,ChurnSeasonTable,4,FALSE)),1)+AGX18*(AnnualChurn*VLOOKUP(AGH54,ChurnSeasonTable,4,FALSE))*POWER(1-(AnnualChurn*VLOOKUP(AGH54,ChurnSeasonTable,4,FALSE)),2)+AGX6*(AnnualChurn*VLOOKUP(AGH54,ChurnSeasonTable,4,FALSE))*POWER(1-(AnnualChurn*VLOOKUP(AGH54,ChurnSeasonTable,4,FALSE)),3)</f>
        <v/>
      </c>
      <c r="AHE54" s="12">
        <f>AGY54+AGZ54+AHA54+AHB54+AHC54+AHD54</f>
        <v/>
      </c>
      <c r="AHF54" s="9">
        <f>AGY54*BlendedPriceEssMonthly*AGK54+AGZ54*BlendedPricePremMonthly*AGK54+AHA54*BlendedPriceEliteMonthly*AGK54+AHB54*BlendedPriceEssAnnual*AGK54/12+AHC54*BlendedPricePremAnnual*AGK54/12+AHD54*BlendedPriceEliteAnnual*AGK54/12</f>
        <v/>
      </c>
      <c r="AHG54" s="9">
        <f>AHF54*12</f>
        <v/>
      </c>
      <c r="AHH54" s="12">
        <f>AGY54*BlendedPriceEssMonthly*AGK54+AGZ54*BlendedPricePremMonthly*AGK54+AHA54*BlendedPriceEliteMonthly*AGK54</f>
        <v/>
      </c>
      <c r="AHI54" s="12">
        <f>AGV54*BlendedPriceEssAnnual*AGK54+AGW54*BlendedPricePremAnnual*AGK54+AGX54*BlendedPriceEliteAnnual*AGK54</f>
        <v/>
      </c>
      <c r="AHJ54" s="12">
        <f>AGV42*POWER(1-(AnnualChurn*VLOOKUP(AGH54,ChurnSeasonTable,4,FALSE)),1)*BlendedPriceEssAnnual*AGK54+AGV30*POWER(1-(AnnualChurn*VLOOKUP(AGH54,ChurnSeasonTable,4,FALSE)),2)*BlendedPriceEssAnnual*AGK54+AGV18*POWER(1-(AnnualChurn*VLOOKUP(AGH54,ChurnSeasonTable,4,FALSE)),3)*BlendedPriceEssAnnual*AGK54+AGV6*POWER(1-(AnnualChurn*VLOOKUP(AGH54,ChurnSeasonTable,4,FALSE)),4)*BlendedPriceEssAnnual*AGK54+AGW42*POWER(1-(AnnualChurn*VLOOKUP(AGH54,ChurnSeasonTable,4,FALSE)),1)*BlendedPricePremAnnual*AGK54+AGW30*POWER(1-(AnnualChurn*VLOOKUP(AGH54,ChurnSeasonTable,4,FALSE)),2)*BlendedPricePremAnnual*AGK54+AGW18*POWER(1-(AnnualChurn*VLOOKUP(AGH54,ChurnSeasonTable,4,FALSE)),3)*BlendedPricePremAnnual*AGK54+AGW6*POWER(1-(AnnualChurn*VLOOKUP(AGH54,ChurnSeasonTable,4,FALSE)),4)*BlendedPricePremAnnual*AGK54+AGX42*POWER(1-(AnnualChurn*VLOOKUP(AGH54,ChurnSeasonTable,4,FALSE)),1)*BlendedPriceEliteAnnual*AGK54+AGX30*POWER(1-(AnnualChurn*VLOOKUP(AGH54,ChurnSeasonTable,4,FALSE)),2)*BlendedPriceEliteAnnual*AGK54+AGX18*POWER(1-(AnnualChurn*VLOOKUP(AGH54,ChurnSeasonTable,4,FALSE)),3)*BlendedPriceEliteAnnual*AGK54+AGX6*POWER(1-(AnnualChurn*VLOOKUP(AGH54,ChurnSeasonTable,4,FALSE)),4)*BlendedPriceEliteAnnual*AGK54</f>
        <v/>
      </c>
      <c r="AHK54" s="9">
        <f>AHH54+AHI54+AHJ54</f>
        <v/>
      </c>
      <c r="AHL54" s="12">
        <f>SUM(AHK43:AHK54)</f>
        <v/>
      </c>
      <c r="AHM54" s="12">
        <f>OR(AHM53,IF(VATAgentMode,SUM($AHK43:$AHK54)-SUM($AHR43:$AHR54)&gt;=VATThreshold,SUM($AHK43:$AHK54)&gt;=VATThreshold))</f>
        <v/>
      </c>
      <c r="AHN54" s="9">
        <f>IF(AHM54,IF(VATAgentMode,AHK54-((AHK54-AHR54)-(AHK54-AHR54)/(1+VATRate)),AHK54/(1+VATRate)),AHK54)</f>
        <v/>
      </c>
      <c r="AHO54" s="12">
        <f>AHK54-AHN54</f>
        <v/>
      </c>
      <c r="AHP54" s="12">
        <f>IF(AHM54=0,0,IF(AGH54=1,SUMPRODUCT(--(($AGI$5:$AGI54=$AGI54-1)*($AGH$5:$AGH54&gt;=10)*($AGH$5:$AGH54&lt;=12)),$AHO$5:$AHO54),IF(AGH54=4,SUMPRODUCT(--(($AGI$5:$AGI54=$AGI54)*($AGH$5:$AGH54&gt;=1)*($AGH$5:$AGH54&lt;=3)),$AHO$5:$AHO54),IF(AGH54=7,SUMPRODUCT(--(($AGI$5:$AGI54=$AGI54)*($AGH$5:$AGH54&gt;=4)*($AGH$5:$AGH54&lt;=6)),$AHO$5:$AHO54),IF(AGH54=10,SUMPRODUCT(--(($AGI$5:$AGI54=$AGI54)*($AGH$5:$AGH54&gt;=7)*($AGH$5:$AGH54&lt;=9)),$AHO$5:$AHO54),0)))))</f>
        <v/>
      </c>
      <c r="AHQ54" s="12">
        <f>AHQ53+AHO54-AHP54</f>
        <v/>
      </c>
      <c r="AHR54" s="12">
        <f>IF(ProviderDelay&gt;=1,AGY53*BlendedProvPayEss+AGZ53*BlendedProvPayPrem+AHA53*BlendedProvPayElite+AHB53*BlendedProvPayEss+AHC53*BlendedProvPayPrem+AHD53*BlendedProvPayElite,AGY54*BlendedProvPayEss+AGZ54*BlendedProvPayPrem+AHA54*BlendedProvPayElite+AHB54*BlendedProvPayEss+AHC54*BlendedProvPayPrem+AHD54*BlendedProvPayElite)</f>
        <v/>
      </c>
      <c r="AHS54" s="12">
        <f>AHK54*PaymentFee</f>
        <v/>
      </c>
      <c r="AHT54" s="12">
        <f>AHE54*OpsAI</f>
        <v/>
      </c>
      <c r="AHU54" s="12">
        <f>MonthlyFixed</f>
        <v/>
      </c>
      <c r="AHV54" s="12">
        <f>AGO54*ReferralReward</f>
        <v/>
      </c>
      <c r="AHW54" s="12">
        <f>AGM54</f>
        <v/>
      </c>
      <c r="AHX54" s="9">
        <f>AHN54-AHR54-AHS54-AHT54-AHU54-AHV54-AHW54</f>
        <v/>
      </c>
      <c r="AHY54" s="9">
        <f>AHY53+AHK54-(AHR54+AHS54+AHT54+AHU54+AHV54+AHW54+AHP54)</f>
        <v/>
      </c>
      <c r="AHZ54" s="12">
        <f>IF(AHE54&gt;0,AHF54/AHE54,0)</f>
        <v/>
      </c>
      <c r="AIA54" s="11">
        <f>IF(AHE53&gt;0,MAX(0,(AHE53+AGP54-AHE54)/AHE53),0)</f>
        <v/>
      </c>
      <c r="AIC54" s="12" t="n">
        <v>50</v>
      </c>
      <c r="AID54" s="12">
        <f>MOD(AIC54-1+LaunchMonth-1,12)+1</f>
        <v/>
      </c>
      <c r="AIE54" s="12">
        <f>INT((AIC54-1+LaunchMonth-1)/12)+1</f>
        <v/>
      </c>
      <c r="AIF54" s="12">
        <f>VLOOKUP(AID54,SeasonTable,2,FALSE)</f>
        <v/>
      </c>
      <c r="AIG54" s="12">
        <f>(1+InflationRate)^INT((AIC54-1)/12)</f>
        <v/>
      </c>
      <c r="AIH54" s="11">
        <f>MonthlyChurn*VLOOKUP(AID54,ChurnSeasonTable,4,FALSE)</f>
        <v/>
      </c>
      <c r="AII54" s="12">
        <f>MIN(MAX(MktMin19plus,AJG53*MktPct19plus),MAX(0,AJU53-CashBuffer))</f>
        <v/>
      </c>
      <c r="AIJ54" s="12">
        <f>IF(AII54&gt;0,MAX(1,ROUND(AII54/'Sens - CAC &amp; Marketing'!$A$9*AIF54,0)),0)</f>
        <v/>
      </c>
      <c r="AIK54" s="12">
        <f>IF(AIJ54&gt;0,ROUND(AIJ54*ReferralMix/(1-ReferralMix),0),0)</f>
        <v/>
      </c>
      <c r="AIL54" s="12">
        <f>AIJ54+AIK54</f>
        <v/>
      </c>
      <c r="AIM54" s="12">
        <f>ROUND(AIL54*(1-AnnualMix),0)</f>
        <v/>
      </c>
      <c r="AIN54" s="12">
        <f>AIL54-AIM54</f>
        <v/>
      </c>
      <c r="AIO54" s="12">
        <f>ROUND(AIM54*EssentialMix,0)</f>
        <v/>
      </c>
      <c r="AIP54" s="12">
        <f>ROUND(AIM54*PremiumMix,0)</f>
        <v/>
      </c>
      <c r="AIQ54" s="12">
        <f>AIM54-AIO54-AIP54</f>
        <v/>
      </c>
      <c r="AIR54" s="12">
        <f>ROUND(AIN54*EssentialMix,0)</f>
        <v/>
      </c>
      <c r="AIS54" s="12">
        <f>ROUND(AIN54*PremiumMix,0)</f>
        <v/>
      </c>
      <c r="AIT54" s="12">
        <f>AIN54-AIR54-AIS54</f>
        <v/>
      </c>
      <c r="AIU54" s="12">
        <f>AIO54+AIO53+AIO52+MAX(0,AIU53-AIO53-AIO52)*(1-AIH54)</f>
        <v/>
      </c>
      <c r="AIV54" s="12">
        <f>AIP54+AIP53+AIP52+MAX(0,AIV53-AIP53-AIP52)*(1-AIH54)</f>
        <v/>
      </c>
      <c r="AIW54" s="12">
        <f>AIQ54+AIQ53+AIQ52+MAX(0,AIW53-AIQ53-AIQ52)*(1-AIH54)</f>
        <v/>
      </c>
      <c r="AIX54" s="12">
        <f>AIX53+AIR54-AIR42*(AnnualChurn*VLOOKUP(AID54,ChurnSeasonTable,4,FALSE))*POWER(1-(AnnualChurn*VLOOKUP(AID54,ChurnSeasonTable,4,FALSE)),0)+AIR30*(AnnualChurn*VLOOKUP(AID54,ChurnSeasonTable,4,FALSE))*POWER(1-(AnnualChurn*VLOOKUP(AID54,ChurnSeasonTable,4,FALSE)),1)+AIR18*(AnnualChurn*VLOOKUP(AID54,ChurnSeasonTable,4,FALSE))*POWER(1-(AnnualChurn*VLOOKUP(AID54,ChurnSeasonTable,4,FALSE)),2)+AIR6*(AnnualChurn*VLOOKUP(AID54,ChurnSeasonTable,4,FALSE))*POWER(1-(AnnualChurn*VLOOKUP(AID54,ChurnSeasonTable,4,FALSE)),3)</f>
        <v/>
      </c>
      <c r="AIY54" s="12">
        <f>AIY53+AIS54-AIS42*(AnnualChurn*VLOOKUP(AID54,ChurnSeasonTable,4,FALSE))*POWER(1-(AnnualChurn*VLOOKUP(AID54,ChurnSeasonTable,4,FALSE)),0)+AIS30*(AnnualChurn*VLOOKUP(AID54,ChurnSeasonTable,4,FALSE))*POWER(1-(AnnualChurn*VLOOKUP(AID54,ChurnSeasonTable,4,FALSE)),1)+AIS18*(AnnualChurn*VLOOKUP(AID54,ChurnSeasonTable,4,FALSE))*POWER(1-(AnnualChurn*VLOOKUP(AID54,ChurnSeasonTable,4,FALSE)),2)+AIS6*(AnnualChurn*VLOOKUP(AID54,ChurnSeasonTable,4,FALSE))*POWER(1-(AnnualChurn*VLOOKUP(AID54,ChurnSeasonTable,4,FALSE)),3)</f>
        <v/>
      </c>
      <c r="AIZ54" s="12">
        <f>AIZ53+AIT54-AIT42*(AnnualChurn*VLOOKUP(AID54,ChurnSeasonTable,4,FALSE))*POWER(1-(AnnualChurn*VLOOKUP(AID54,ChurnSeasonTable,4,FALSE)),0)+AIT30*(AnnualChurn*VLOOKUP(AID54,ChurnSeasonTable,4,FALSE))*POWER(1-(AnnualChurn*VLOOKUP(AID54,ChurnSeasonTable,4,FALSE)),1)+AIT18*(AnnualChurn*VLOOKUP(AID54,ChurnSeasonTable,4,FALSE))*POWER(1-(AnnualChurn*VLOOKUP(AID54,ChurnSeasonTable,4,FALSE)),2)+AIT6*(AnnualChurn*VLOOKUP(AID54,ChurnSeasonTable,4,FALSE))*POWER(1-(AnnualChurn*VLOOKUP(AID54,ChurnSeasonTable,4,FALSE)),3)</f>
        <v/>
      </c>
      <c r="AJA54" s="12">
        <f>AIU54+AIV54+AIW54+AIX54+AIY54+AIZ54</f>
        <v/>
      </c>
      <c r="AJB54" s="9">
        <f>AIU54*BlendedPriceEssMonthly*AIG54+AIV54*BlendedPricePremMonthly*AIG54+AIW54*BlendedPriceEliteMonthly*AIG54+AIX54*BlendedPriceEssAnnual*AIG54/12+AIY54*BlendedPricePremAnnual*AIG54/12+AIZ54*BlendedPriceEliteAnnual*AIG54/12</f>
        <v/>
      </c>
      <c r="AJC54" s="9">
        <f>AJB54*12</f>
        <v/>
      </c>
      <c r="AJD54" s="12">
        <f>AIU54*BlendedPriceEssMonthly*AIG54+AIV54*BlendedPricePremMonthly*AIG54+AIW54*BlendedPriceEliteMonthly*AIG54</f>
        <v/>
      </c>
      <c r="AJE54" s="12">
        <f>AIR54*BlendedPriceEssAnnual*AIG54+AIS54*BlendedPricePremAnnual*AIG54+AIT54*BlendedPriceEliteAnnual*AIG54</f>
        <v/>
      </c>
      <c r="AJF54" s="12">
        <f>AIR42*POWER(1-(AnnualChurn*VLOOKUP(AID54,ChurnSeasonTable,4,FALSE)),1)*BlendedPriceEssAnnual*AIG54+AIR30*POWER(1-(AnnualChurn*VLOOKUP(AID54,ChurnSeasonTable,4,FALSE)),2)*BlendedPriceEssAnnual*AIG54+AIR18*POWER(1-(AnnualChurn*VLOOKUP(AID54,ChurnSeasonTable,4,FALSE)),3)*BlendedPriceEssAnnual*AIG54+AIR6*POWER(1-(AnnualChurn*VLOOKUP(AID54,ChurnSeasonTable,4,FALSE)),4)*BlendedPriceEssAnnual*AIG54+AIS42*POWER(1-(AnnualChurn*VLOOKUP(AID54,ChurnSeasonTable,4,FALSE)),1)*BlendedPricePremAnnual*AIG54+AIS30*POWER(1-(AnnualChurn*VLOOKUP(AID54,ChurnSeasonTable,4,FALSE)),2)*BlendedPricePremAnnual*AIG54+AIS18*POWER(1-(AnnualChurn*VLOOKUP(AID54,ChurnSeasonTable,4,FALSE)),3)*BlendedPricePremAnnual*AIG54+AIS6*POWER(1-(AnnualChurn*VLOOKUP(AID54,ChurnSeasonTable,4,FALSE)),4)*BlendedPricePremAnnual*AIG54+AIT42*POWER(1-(AnnualChurn*VLOOKUP(AID54,ChurnSeasonTable,4,FALSE)),1)*BlendedPriceEliteAnnual*AIG54+AIT30*POWER(1-(AnnualChurn*VLOOKUP(AID54,ChurnSeasonTable,4,FALSE)),2)*BlendedPriceEliteAnnual*AIG54+AIT18*POWER(1-(AnnualChurn*VLOOKUP(AID54,ChurnSeasonTable,4,FALSE)),3)*BlendedPriceEliteAnnual*AIG54+AIT6*POWER(1-(AnnualChurn*VLOOKUP(AID54,ChurnSeasonTable,4,FALSE)),4)*BlendedPriceEliteAnnual*AIG54</f>
        <v/>
      </c>
      <c r="AJG54" s="9">
        <f>AJD54+AJE54+AJF54</f>
        <v/>
      </c>
      <c r="AJH54" s="12">
        <f>SUM(AJG43:AJG54)</f>
        <v/>
      </c>
      <c r="AJI54" s="12">
        <f>OR(AJI53,IF(VATAgentMode,SUM($AJG43:$AJG54)-SUM($AJN43:$AJN54)&gt;=VATThreshold,SUM($AJG43:$AJG54)&gt;=VATThreshold))</f>
        <v/>
      </c>
      <c r="AJJ54" s="9">
        <f>IF(AJI54,IF(VATAgentMode,AJG54-((AJG54-AJN54)-(AJG54-AJN54)/(1+VATRate)),AJG54/(1+VATRate)),AJG54)</f>
        <v/>
      </c>
      <c r="AJK54" s="12">
        <f>AJG54-AJJ54</f>
        <v/>
      </c>
      <c r="AJL54" s="12">
        <f>IF(AJI54=0,0,IF(AID54=1,SUMPRODUCT(--(($AIE$5:$AIE54=$AIE54-1)*($AID$5:$AID54&gt;=10)*($AID$5:$AID54&lt;=12)),$AJK$5:$AJK54),IF(AID54=4,SUMPRODUCT(--(($AIE$5:$AIE54=$AIE54)*($AID$5:$AID54&gt;=1)*($AID$5:$AID54&lt;=3)),$AJK$5:$AJK54),IF(AID54=7,SUMPRODUCT(--(($AIE$5:$AIE54=$AIE54)*($AID$5:$AID54&gt;=4)*($AID$5:$AID54&lt;=6)),$AJK$5:$AJK54),IF(AID54=10,SUMPRODUCT(--(($AIE$5:$AIE54=$AIE54)*($AID$5:$AID54&gt;=7)*($AID$5:$AID54&lt;=9)),$AJK$5:$AJK54),0)))))</f>
        <v/>
      </c>
      <c r="AJM54" s="12">
        <f>AJM53+AJK54-AJL54</f>
        <v/>
      </c>
      <c r="AJN54" s="12">
        <f>IF(ProviderDelay&gt;=1,AIU53*BlendedProvPayEss+AIV53*BlendedProvPayPrem+AIW53*BlendedProvPayElite+AIX53*BlendedProvPayEss+AIY53*BlendedProvPayPrem+AIZ53*BlendedProvPayElite,AIU54*BlendedProvPayEss+AIV54*BlendedProvPayPrem+AIW54*BlendedProvPayElite+AIX54*BlendedProvPayEss+AIY54*BlendedProvPayPrem+AIZ54*BlendedProvPayElite)</f>
        <v/>
      </c>
      <c r="AJO54" s="12">
        <f>AJG54*PaymentFee</f>
        <v/>
      </c>
      <c r="AJP54" s="12">
        <f>AJA54*OpsAI</f>
        <v/>
      </c>
      <c r="AJQ54" s="12">
        <f>MonthlyFixed</f>
        <v/>
      </c>
      <c r="AJR54" s="12">
        <f>AIK54*ReferralReward</f>
        <v/>
      </c>
      <c r="AJS54" s="12">
        <f>AII54</f>
        <v/>
      </c>
      <c r="AJT54" s="9">
        <f>AJJ54-AJN54-AJO54-AJP54-AJQ54-AJR54-AJS54</f>
        <v/>
      </c>
      <c r="AJU54" s="9">
        <f>AJU53+AJG54-(AJN54+AJO54+AJP54+AJQ54+AJR54+AJS54+AJL54)</f>
        <v/>
      </c>
      <c r="AJV54" s="12">
        <f>IF(AJA54&gt;0,AJB54/AJA54,0)</f>
        <v/>
      </c>
      <c r="AJW54" s="11">
        <f>IF(AJA53&gt;0,MAX(0,(AJA53+AIL54-AJA54)/AJA53),0)</f>
        <v/>
      </c>
      <c r="AJY54" s="12" t="n">
        <v>50</v>
      </c>
      <c r="AJZ54" s="12">
        <f>MOD(AJY54-1+LaunchMonth-1,12)+1</f>
        <v/>
      </c>
      <c r="AKA54" s="12">
        <f>INT((AJY54-1+LaunchMonth-1)/12)+1</f>
        <v/>
      </c>
      <c r="AKB54" s="12">
        <f>VLOOKUP(AJZ54,SeasonTable,2,FALSE)</f>
        <v/>
      </c>
      <c r="AKC54" s="12">
        <f>(1+InflationRate)^INT((AJY54-1)/12)</f>
        <v/>
      </c>
      <c r="AKD54" s="11">
        <f>MonthlyChurn*VLOOKUP(AJZ54,ChurnSeasonTable,4,FALSE)</f>
        <v/>
      </c>
      <c r="AKE54" s="12">
        <f>MIN(MAX(MktMin19plus,ALC53*MktPct19plus),MAX(0,ALQ53-CashBuffer))</f>
        <v/>
      </c>
      <c r="AKF54" s="12">
        <f>IF(AKE54&gt;0,MAX(1,ROUND(AKE54/'Sens - CAC &amp; Marketing'!$A$10*AKB54,0)),0)</f>
        <v/>
      </c>
      <c r="AKG54" s="12">
        <f>IF(AKF54&gt;0,ROUND(AKF54*ReferralMix/(1-ReferralMix),0),0)</f>
        <v/>
      </c>
      <c r="AKH54" s="12">
        <f>AKF54+AKG54</f>
        <v/>
      </c>
      <c r="AKI54" s="12">
        <f>ROUND(AKH54*(1-AnnualMix),0)</f>
        <v/>
      </c>
      <c r="AKJ54" s="12">
        <f>AKH54-AKI54</f>
        <v/>
      </c>
      <c r="AKK54" s="12">
        <f>ROUND(AKI54*EssentialMix,0)</f>
        <v/>
      </c>
      <c r="AKL54" s="12">
        <f>ROUND(AKI54*PremiumMix,0)</f>
        <v/>
      </c>
      <c r="AKM54" s="12">
        <f>AKI54-AKK54-AKL54</f>
        <v/>
      </c>
      <c r="AKN54" s="12">
        <f>ROUND(AKJ54*EssentialMix,0)</f>
        <v/>
      </c>
      <c r="AKO54" s="12">
        <f>ROUND(AKJ54*PremiumMix,0)</f>
        <v/>
      </c>
      <c r="AKP54" s="12">
        <f>AKJ54-AKN54-AKO54</f>
        <v/>
      </c>
      <c r="AKQ54" s="12">
        <f>AKK54+AKK53+AKK52+MAX(0,AKQ53-AKK53-AKK52)*(1-AKD54)</f>
        <v/>
      </c>
      <c r="AKR54" s="12">
        <f>AKL54+AKL53+AKL52+MAX(0,AKR53-AKL53-AKL52)*(1-AKD54)</f>
        <v/>
      </c>
      <c r="AKS54" s="12">
        <f>AKM54+AKM53+AKM52+MAX(0,AKS53-AKM53-AKM52)*(1-AKD54)</f>
        <v/>
      </c>
      <c r="AKT54" s="12">
        <f>AKT53+AKN54-AKN42*(AnnualChurn*VLOOKUP(AJZ54,ChurnSeasonTable,4,FALSE))*POWER(1-(AnnualChurn*VLOOKUP(AJZ54,ChurnSeasonTable,4,FALSE)),0)+AKN30*(AnnualChurn*VLOOKUP(AJZ54,ChurnSeasonTable,4,FALSE))*POWER(1-(AnnualChurn*VLOOKUP(AJZ54,ChurnSeasonTable,4,FALSE)),1)+AKN18*(AnnualChurn*VLOOKUP(AJZ54,ChurnSeasonTable,4,FALSE))*POWER(1-(AnnualChurn*VLOOKUP(AJZ54,ChurnSeasonTable,4,FALSE)),2)+AKN6*(AnnualChurn*VLOOKUP(AJZ54,ChurnSeasonTable,4,FALSE))*POWER(1-(AnnualChurn*VLOOKUP(AJZ54,ChurnSeasonTable,4,FALSE)),3)</f>
        <v/>
      </c>
      <c r="AKU54" s="12">
        <f>AKU53+AKO54-AKO42*(AnnualChurn*VLOOKUP(AJZ54,ChurnSeasonTable,4,FALSE))*POWER(1-(AnnualChurn*VLOOKUP(AJZ54,ChurnSeasonTable,4,FALSE)),0)+AKO30*(AnnualChurn*VLOOKUP(AJZ54,ChurnSeasonTable,4,FALSE))*POWER(1-(AnnualChurn*VLOOKUP(AJZ54,ChurnSeasonTable,4,FALSE)),1)+AKO18*(AnnualChurn*VLOOKUP(AJZ54,ChurnSeasonTable,4,FALSE))*POWER(1-(AnnualChurn*VLOOKUP(AJZ54,ChurnSeasonTable,4,FALSE)),2)+AKO6*(AnnualChurn*VLOOKUP(AJZ54,ChurnSeasonTable,4,FALSE))*POWER(1-(AnnualChurn*VLOOKUP(AJZ54,ChurnSeasonTable,4,FALSE)),3)</f>
        <v/>
      </c>
      <c r="AKV54" s="12">
        <f>AKV53+AKP54-AKP42*(AnnualChurn*VLOOKUP(AJZ54,ChurnSeasonTable,4,FALSE))*POWER(1-(AnnualChurn*VLOOKUP(AJZ54,ChurnSeasonTable,4,FALSE)),0)+AKP30*(AnnualChurn*VLOOKUP(AJZ54,ChurnSeasonTable,4,FALSE))*POWER(1-(AnnualChurn*VLOOKUP(AJZ54,ChurnSeasonTable,4,FALSE)),1)+AKP18*(AnnualChurn*VLOOKUP(AJZ54,ChurnSeasonTable,4,FALSE))*POWER(1-(AnnualChurn*VLOOKUP(AJZ54,ChurnSeasonTable,4,FALSE)),2)+AKP6*(AnnualChurn*VLOOKUP(AJZ54,ChurnSeasonTable,4,FALSE))*POWER(1-(AnnualChurn*VLOOKUP(AJZ54,ChurnSeasonTable,4,FALSE)),3)</f>
        <v/>
      </c>
      <c r="AKW54" s="12">
        <f>AKQ54+AKR54+AKS54+AKT54+AKU54+AKV54</f>
        <v/>
      </c>
      <c r="AKX54" s="9">
        <f>AKQ54*BlendedPriceEssMonthly*AKC54+AKR54*BlendedPricePremMonthly*AKC54+AKS54*BlendedPriceEliteMonthly*AKC54+AKT54*BlendedPriceEssAnnual*AKC54/12+AKU54*BlendedPricePremAnnual*AKC54/12+AKV54*BlendedPriceEliteAnnual*AKC54/12</f>
        <v/>
      </c>
      <c r="AKY54" s="9">
        <f>AKX54*12</f>
        <v/>
      </c>
      <c r="AKZ54" s="12">
        <f>AKQ54*BlendedPriceEssMonthly*AKC54+AKR54*BlendedPricePremMonthly*AKC54+AKS54*BlendedPriceEliteMonthly*AKC54</f>
        <v/>
      </c>
      <c r="ALA54" s="12">
        <f>AKN54*BlendedPriceEssAnnual*AKC54+AKO54*BlendedPricePremAnnual*AKC54+AKP54*BlendedPriceEliteAnnual*AKC54</f>
        <v/>
      </c>
      <c r="ALB54" s="12">
        <f>AKN42*POWER(1-(AnnualChurn*VLOOKUP(AJZ54,ChurnSeasonTable,4,FALSE)),1)*BlendedPriceEssAnnual*AKC54+AKN30*POWER(1-(AnnualChurn*VLOOKUP(AJZ54,ChurnSeasonTable,4,FALSE)),2)*BlendedPriceEssAnnual*AKC54+AKN18*POWER(1-(AnnualChurn*VLOOKUP(AJZ54,ChurnSeasonTable,4,FALSE)),3)*BlendedPriceEssAnnual*AKC54+AKN6*POWER(1-(AnnualChurn*VLOOKUP(AJZ54,ChurnSeasonTable,4,FALSE)),4)*BlendedPriceEssAnnual*AKC54+AKO42*POWER(1-(AnnualChurn*VLOOKUP(AJZ54,ChurnSeasonTable,4,FALSE)),1)*BlendedPricePremAnnual*AKC54+AKO30*POWER(1-(AnnualChurn*VLOOKUP(AJZ54,ChurnSeasonTable,4,FALSE)),2)*BlendedPricePremAnnual*AKC54+AKO18*POWER(1-(AnnualChurn*VLOOKUP(AJZ54,ChurnSeasonTable,4,FALSE)),3)*BlendedPricePremAnnual*AKC54+AKO6*POWER(1-(AnnualChurn*VLOOKUP(AJZ54,ChurnSeasonTable,4,FALSE)),4)*BlendedPricePremAnnual*AKC54+AKP42*POWER(1-(AnnualChurn*VLOOKUP(AJZ54,ChurnSeasonTable,4,FALSE)),1)*BlendedPriceEliteAnnual*AKC54+AKP30*POWER(1-(AnnualChurn*VLOOKUP(AJZ54,ChurnSeasonTable,4,FALSE)),2)*BlendedPriceEliteAnnual*AKC54+AKP18*POWER(1-(AnnualChurn*VLOOKUP(AJZ54,ChurnSeasonTable,4,FALSE)),3)*BlendedPriceEliteAnnual*AKC54+AKP6*POWER(1-(AnnualChurn*VLOOKUP(AJZ54,ChurnSeasonTable,4,FALSE)),4)*BlendedPriceEliteAnnual*AKC54</f>
        <v/>
      </c>
      <c r="ALC54" s="9">
        <f>AKZ54+ALA54+ALB54</f>
        <v/>
      </c>
      <c r="ALD54" s="12">
        <f>SUM(ALC43:ALC54)</f>
        <v/>
      </c>
      <c r="ALE54" s="12">
        <f>OR(ALE53,IF(VATAgentMode,SUM($ALC43:$ALC54)-SUM($ALJ43:$ALJ54)&gt;=VATThreshold,SUM($ALC43:$ALC54)&gt;=VATThreshold))</f>
        <v/>
      </c>
      <c r="ALF54" s="9">
        <f>IF(ALE54,IF(VATAgentMode,ALC54-((ALC54-ALJ54)-(ALC54-ALJ54)/(1+VATRate)),ALC54/(1+VATRate)),ALC54)</f>
        <v/>
      </c>
      <c r="ALG54" s="12">
        <f>ALC54-ALF54</f>
        <v/>
      </c>
      <c r="ALH54" s="12">
        <f>IF(ALE54=0,0,IF(AJZ54=1,SUMPRODUCT(--(($AKA$5:$AKA54=$AKA54-1)*($AJZ$5:$AJZ54&gt;=10)*($AJZ$5:$AJZ54&lt;=12)),$ALG$5:$ALG54),IF(AJZ54=4,SUMPRODUCT(--(($AKA$5:$AKA54=$AKA54)*($AJZ$5:$AJZ54&gt;=1)*($AJZ$5:$AJZ54&lt;=3)),$ALG$5:$ALG54),IF(AJZ54=7,SUMPRODUCT(--(($AKA$5:$AKA54=$AKA54)*($AJZ$5:$AJZ54&gt;=4)*($AJZ$5:$AJZ54&lt;=6)),$ALG$5:$ALG54),IF(AJZ54=10,SUMPRODUCT(--(($AKA$5:$AKA54=$AKA54)*($AJZ$5:$AJZ54&gt;=7)*($AJZ$5:$AJZ54&lt;=9)),$ALG$5:$ALG54),0)))))</f>
        <v/>
      </c>
      <c r="ALI54" s="12">
        <f>ALI53+ALG54-ALH54</f>
        <v/>
      </c>
      <c r="ALJ54" s="12">
        <f>IF(ProviderDelay&gt;=1,AKQ53*BlendedProvPayEss+AKR53*BlendedProvPayPrem+AKS53*BlendedProvPayElite+AKT53*BlendedProvPayEss+AKU53*BlendedProvPayPrem+AKV53*BlendedProvPayElite,AKQ54*BlendedProvPayEss+AKR54*BlendedProvPayPrem+AKS54*BlendedProvPayElite+AKT54*BlendedProvPayEss+AKU54*BlendedProvPayPrem+AKV54*BlendedProvPayElite)</f>
        <v/>
      </c>
      <c r="ALK54" s="12">
        <f>ALC54*PaymentFee</f>
        <v/>
      </c>
      <c r="ALL54" s="12">
        <f>AKW54*OpsAI</f>
        <v/>
      </c>
      <c r="ALM54" s="12">
        <f>MonthlyFixed</f>
        <v/>
      </c>
      <c r="ALN54" s="12">
        <f>AKG54*ReferralReward</f>
        <v/>
      </c>
      <c r="ALO54" s="12">
        <f>AKE54</f>
        <v/>
      </c>
      <c r="ALP54" s="9">
        <f>ALF54-ALJ54-ALK54-ALL54-ALM54-ALN54-ALO54</f>
        <v/>
      </c>
      <c r="ALQ54" s="9">
        <f>ALQ53+ALC54-(ALJ54+ALK54+ALL54+ALM54+ALN54+ALO54+ALH54)</f>
        <v/>
      </c>
      <c r="ALR54" s="12">
        <f>IF(AKW54&gt;0,AKX54/AKW54,0)</f>
        <v/>
      </c>
      <c r="ALS54" s="11">
        <f>IF(AKW53&gt;0,MAX(0,(AKW53+AKH54-AKW54)/AKW53),0)</f>
        <v/>
      </c>
      <c r="ALU54" s="12" t="n">
        <v>50</v>
      </c>
      <c r="ALV54" s="12">
        <f>MOD(ALU54-1+LaunchMonth-1,12)+1</f>
        <v/>
      </c>
      <c r="ALW54" s="12">
        <f>INT((ALU54-1+LaunchMonth-1)/12)+1</f>
        <v/>
      </c>
      <c r="ALX54" s="12">
        <f>VLOOKUP(ALV54,SeasonTable,2,FALSE)</f>
        <v/>
      </c>
      <c r="ALY54" s="12">
        <f>(1+InflationRate)^INT((ALU54-1)/12)</f>
        <v/>
      </c>
      <c r="ALZ54" s="11">
        <f>MonthlyChurn*VLOOKUP(ALV54,ChurnSeasonTable,4,FALSE)</f>
        <v/>
      </c>
      <c r="AMA54" s="12">
        <f>MIN(MAX(MktMin19plus,AMY53*MktPct19plus),MAX(0,ANM53-CashBuffer))</f>
        <v/>
      </c>
      <c r="AMB54" s="12">
        <f>IF(AMA54&gt;0,MAX(1,ROUND(AMA54/'Sens - CAC &amp; Marketing'!$A$11*ALX54,0)),0)</f>
        <v/>
      </c>
      <c r="AMC54" s="12">
        <f>IF(AMB54&gt;0,ROUND(AMB54*ReferralMix/(1-ReferralMix),0),0)</f>
        <v/>
      </c>
      <c r="AMD54" s="12">
        <f>AMB54+AMC54</f>
        <v/>
      </c>
      <c r="AME54" s="12">
        <f>ROUND(AMD54*(1-AnnualMix),0)</f>
        <v/>
      </c>
      <c r="AMF54" s="12">
        <f>AMD54-AME54</f>
        <v/>
      </c>
      <c r="AMG54" s="12">
        <f>ROUND(AME54*EssentialMix,0)</f>
        <v/>
      </c>
      <c r="AMH54" s="12">
        <f>ROUND(AME54*PremiumMix,0)</f>
        <v/>
      </c>
      <c r="AMI54" s="12">
        <f>AME54-AMG54-AMH54</f>
        <v/>
      </c>
      <c r="AMJ54" s="12">
        <f>ROUND(AMF54*EssentialMix,0)</f>
        <v/>
      </c>
      <c r="AMK54" s="12">
        <f>ROUND(AMF54*PremiumMix,0)</f>
        <v/>
      </c>
      <c r="AML54" s="12">
        <f>AMF54-AMJ54-AMK54</f>
        <v/>
      </c>
      <c r="AMM54" s="12">
        <f>AMG54+AMG53+AMG52+MAX(0,AMM53-AMG53-AMG52)*(1-ALZ54)</f>
        <v/>
      </c>
      <c r="AMN54" s="12">
        <f>AMH54+AMH53+AMH52+MAX(0,AMN53-AMH53-AMH52)*(1-ALZ54)</f>
        <v/>
      </c>
      <c r="AMO54" s="12">
        <f>AMI54+AMI53+AMI52+MAX(0,AMO53-AMI53-AMI52)*(1-ALZ54)</f>
        <v/>
      </c>
      <c r="AMP54" s="12">
        <f>AMP53+AMJ54-AMJ42*(AnnualChurn*VLOOKUP(ALV54,ChurnSeasonTable,4,FALSE))*POWER(1-(AnnualChurn*VLOOKUP(ALV54,ChurnSeasonTable,4,FALSE)),0)+AMJ30*(AnnualChurn*VLOOKUP(ALV54,ChurnSeasonTable,4,FALSE))*POWER(1-(AnnualChurn*VLOOKUP(ALV54,ChurnSeasonTable,4,FALSE)),1)+AMJ18*(AnnualChurn*VLOOKUP(ALV54,ChurnSeasonTable,4,FALSE))*POWER(1-(AnnualChurn*VLOOKUP(ALV54,ChurnSeasonTable,4,FALSE)),2)+AMJ6*(AnnualChurn*VLOOKUP(ALV54,ChurnSeasonTable,4,FALSE))*POWER(1-(AnnualChurn*VLOOKUP(ALV54,ChurnSeasonTable,4,FALSE)),3)</f>
        <v/>
      </c>
      <c r="AMQ54" s="12">
        <f>AMQ53+AMK54-AMK42*(AnnualChurn*VLOOKUP(ALV54,ChurnSeasonTable,4,FALSE))*POWER(1-(AnnualChurn*VLOOKUP(ALV54,ChurnSeasonTable,4,FALSE)),0)+AMK30*(AnnualChurn*VLOOKUP(ALV54,ChurnSeasonTable,4,FALSE))*POWER(1-(AnnualChurn*VLOOKUP(ALV54,ChurnSeasonTable,4,FALSE)),1)+AMK18*(AnnualChurn*VLOOKUP(ALV54,ChurnSeasonTable,4,FALSE))*POWER(1-(AnnualChurn*VLOOKUP(ALV54,ChurnSeasonTable,4,FALSE)),2)+AMK6*(AnnualChurn*VLOOKUP(ALV54,ChurnSeasonTable,4,FALSE))*POWER(1-(AnnualChurn*VLOOKUP(ALV54,ChurnSeasonTable,4,FALSE)),3)</f>
        <v/>
      </c>
      <c r="AMR54" s="12">
        <f>AMR53+AML54-AML42*(AnnualChurn*VLOOKUP(ALV54,ChurnSeasonTable,4,FALSE))*POWER(1-(AnnualChurn*VLOOKUP(ALV54,ChurnSeasonTable,4,FALSE)),0)+AML30*(AnnualChurn*VLOOKUP(ALV54,ChurnSeasonTable,4,FALSE))*POWER(1-(AnnualChurn*VLOOKUP(ALV54,ChurnSeasonTable,4,FALSE)),1)+AML18*(AnnualChurn*VLOOKUP(ALV54,ChurnSeasonTable,4,FALSE))*POWER(1-(AnnualChurn*VLOOKUP(ALV54,ChurnSeasonTable,4,FALSE)),2)+AML6*(AnnualChurn*VLOOKUP(ALV54,ChurnSeasonTable,4,FALSE))*POWER(1-(AnnualChurn*VLOOKUP(ALV54,ChurnSeasonTable,4,FALSE)),3)</f>
        <v/>
      </c>
      <c r="AMS54" s="12">
        <f>AMM54+AMN54+AMO54+AMP54+AMQ54+AMR54</f>
        <v/>
      </c>
      <c r="AMT54" s="9">
        <f>AMM54*BlendedPriceEssMonthly*ALY54+AMN54*BlendedPricePremMonthly*ALY54+AMO54*BlendedPriceEliteMonthly*ALY54+AMP54*BlendedPriceEssAnnual*ALY54/12+AMQ54*BlendedPricePremAnnual*ALY54/12+AMR54*BlendedPriceEliteAnnual*ALY54/12</f>
        <v/>
      </c>
      <c r="AMU54" s="9">
        <f>AMT54*12</f>
        <v/>
      </c>
      <c r="AMV54" s="12">
        <f>AMM54*BlendedPriceEssMonthly*ALY54+AMN54*BlendedPricePremMonthly*ALY54+AMO54*BlendedPriceEliteMonthly*ALY54</f>
        <v/>
      </c>
      <c r="AMW54" s="12">
        <f>AMJ54*BlendedPriceEssAnnual*ALY54+AMK54*BlendedPricePremAnnual*ALY54+AML54*BlendedPriceEliteAnnual*ALY54</f>
        <v/>
      </c>
      <c r="AMX54" s="12">
        <f>AMJ42*POWER(1-(AnnualChurn*VLOOKUP(ALV54,ChurnSeasonTable,4,FALSE)),1)*BlendedPriceEssAnnual*ALY54+AMJ30*POWER(1-(AnnualChurn*VLOOKUP(ALV54,ChurnSeasonTable,4,FALSE)),2)*BlendedPriceEssAnnual*ALY54+AMJ18*POWER(1-(AnnualChurn*VLOOKUP(ALV54,ChurnSeasonTable,4,FALSE)),3)*BlendedPriceEssAnnual*ALY54+AMJ6*POWER(1-(AnnualChurn*VLOOKUP(ALV54,ChurnSeasonTable,4,FALSE)),4)*BlendedPriceEssAnnual*ALY54+AMK42*POWER(1-(AnnualChurn*VLOOKUP(ALV54,ChurnSeasonTable,4,FALSE)),1)*BlendedPricePremAnnual*ALY54+AMK30*POWER(1-(AnnualChurn*VLOOKUP(ALV54,ChurnSeasonTable,4,FALSE)),2)*BlendedPricePremAnnual*ALY54+AMK18*POWER(1-(AnnualChurn*VLOOKUP(ALV54,ChurnSeasonTable,4,FALSE)),3)*BlendedPricePremAnnual*ALY54+AMK6*POWER(1-(AnnualChurn*VLOOKUP(ALV54,ChurnSeasonTable,4,FALSE)),4)*BlendedPricePremAnnual*ALY54+AML42*POWER(1-(AnnualChurn*VLOOKUP(ALV54,ChurnSeasonTable,4,FALSE)),1)*BlendedPriceEliteAnnual*ALY54+AML30*POWER(1-(AnnualChurn*VLOOKUP(ALV54,ChurnSeasonTable,4,FALSE)),2)*BlendedPriceEliteAnnual*ALY54+AML18*POWER(1-(AnnualChurn*VLOOKUP(ALV54,ChurnSeasonTable,4,FALSE)),3)*BlendedPriceEliteAnnual*ALY54+AML6*POWER(1-(AnnualChurn*VLOOKUP(ALV54,ChurnSeasonTable,4,FALSE)),4)*BlendedPriceEliteAnnual*ALY54</f>
        <v/>
      </c>
      <c r="AMY54" s="9">
        <f>AMV54+AMW54+AMX54</f>
        <v/>
      </c>
      <c r="AMZ54" s="12">
        <f>SUM(AMY43:AMY54)</f>
        <v/>
      </c>
      <c r="ANA54" s="12">
        <f>OR(ANA53,IF(VATAgentMode,SUM($AMY43:$AMY54)-SUM($ANF43:$ANF54)&gt;=VATThreshold,SUM($AMY43:$AMY54)&gt;=VATThreshold))</f>
        <v/>
      </c>
      <c r="ANB54" s="9">
        <f>IF(ANA54,IF(VATAgentMode,AMY54-((AMY54-ANF54)-(AMY54-ANF54)/(1+VATRate)),AMY54/(1+VATRate)),AMY54)</f>
        <v/>
      </c>
      <c r="ANC54" s="12">
        <f>AMY54-ANB54</f>
        <v/>
      </c>
      <c r="AND54" s="12">
        <f>IF(ANA54=0,0,IF(ALV54=1,SUMPRODUCT(--(($ALW$5:$ALW54=$ALW54-1)*($ALV$5:$ALV54&gt;=10)*($ALV$5:$ALV54&lt;=12)),$ANC$5:$ANC54),IF(ALV54=4,SUMPRODUCT(--(($ALW$5:$ALW54=$ALW54)*($ALV$5:$ALV54&gt;=1)*($ALV$5:$ALV54&lt;=3)),$ANC$5:$ANC54),IF(ALV54=7,SUMPRODUCT(--(($ALW$5:$ALW54=$ALW54)*($ALV$5:$ALV54&gt;=4)*($ALV$5:$ALV54&lt;=6)),$ANC$5:$ANC54),IF(ALV54=10,SUMPRODUCT(--(($ALW$5:$ALW54=$ALW54)*($ALV$5:$ALV54&gt;=7)*($ALV$5:$ALV54&lt;=9)),$ANC$5:$ANC54),0)))))</f>
        <v/>
      </c>
      <c r="ANE54" s="12">
        <f>ANE53+ANC54-AND54</f>
        <v/>
      </c>
      <c r="ANF54" s="12">
        <f>IF(ProviderDelay&gt;=1,AMM53*BlendedProvPayEss+AMN53*BlendedProvPayPrem+AMO53*BlendedProvPayElite+AMP53*BlendedProvPayEss+AMQ53*BlendedProvPayPrem+AMR53*BlendedProvPayElite,AMM54*BlendedProvPayEss+AMN54*BlendedProvPayPrem+AMO54*BlendedProvPayElite+AMP54*BlendedProvPayEss+AMQ54*BlendedProvPayPrem+AMR54*BlendedProvPayElite)</f>
        <v/>
      </c>
      <c r="ANG54" s="12">
        <f>AMY54*PaymentFee</f>
        <v/>
      </c>
      <c r="ANH54" s="12">
        <f>AMS54*OpsAI</f>
        <v/>
      </c>
      <c r="ANI54" s="12">
        <f>MonthlyFixed</f>
        <v/>
      </c>
      <c r="ANJ54" s="12">
        <f>AMC54*ReferralReward</f>
        <v/>
      </c>
      <c r="ANK54" s="12">
        <f>AMA54</f>
        <v/>
      </c>
      <c r="ANL54" s="9">
        <f>ANB54-ANF54-ANG54-ANH54-ANI54-ANJ54-ANK54</f>
        <v/>
      </c>
      <c r="ANM54" s="9">
        <f>ANM53+AMY54-(ANF54+ANG54+ANH54+ANI54+ANJ54+ANK54+AND54)</f>
        <v/>
      </c>
      <c r="ANN54" s="12">
        <f>IF(AMS54&gt;0,AMT54/AMS54,0)</f>
        <v/>
      </c>
      <c r="ANO54" s="11">
        <f>IF(AMS53&gt;0,MAX(0,(AMS53+AMD54-AMS54)/AMS53),0)</f>
        <v/>
      </c>
      <c r="ANQ54" s="12" t="n">
        <v>50</v>
      </c>
      <c r="ANR54" s="12">
        <f>MOD(ANQ54-1+LaunchMonth-1,12)+1</f>
        <v/>
      </c>
      <c r="ANS54" s="12">
        <f>INT((ANQ54-1+LaunchMonth-1)/12)+1</f>
        <v/>
      </c>
      <c r="ANT54" s="12">
        <f>VLOOKUP(ANR54,SeasonTable,2,FALSE)</f>
        <v/>
      </c>
      <c r="ANU54" s="12">
        <f>(1+InflationRate)^INT((ANQ54-1)/12)</f>
        <v/>
      </c>
      <c r="ANV54" s="11">
        <f>MonthlyChurn*VLOOKUP(ANR54,ChurnSeasonTable,4,FALSE)</f>
        <v/>
      </c>
      <c r="ANW54" s="12">
        <f>MIN(MAX(MktMin19plus,AOU53*MktPct19plus),MAX(0,API53-CashBuffer))</f>
        <v/>
      </c>
      <c r="ANX54" s="12">
        <f>IF(ANW54&gt;0,MAX(1,ROUND(ANW54/'Sens - CAC &amp; Marketing'!$A$12*ANT54,0)),0)</f>
        <v/>
      </c>
      <c r="ANY54" s="12">
        <f>IF(ANX54&gt;0,ROUND(ANX54*ReferralMix/(1-ReferralMix),0),0)</f>
        <v/>
      </c>
      <c r="ANZ54" s="12">
        <f>ANX54+ANY54</f>
        <v/>
      </c>
      <c r="AOA54" s="12">
        <f>ROUND(ANZ54*(1-AnnualMix),0)</f>
        <v/>
      </c>
      <c r="AOB54" s="12">
        <f>ANZ54-AOA54</f>
        <v/>
      </c>
      <c r="AOC54" s="12">
        <f>ROUND(AOA54*EssentialMix,0)</f>
        <v/>
      </c>
      <c r="AOD54" s="12">
        <f>ROUND(AOA54*PremiumMix,0)</f>
        <v/>
      </c>
      <c r="AOE54" s="12">
        <f>AOA54-AOC54-AOD54</f>
        <v/>
      </c>
      <c r="AOF54" s="12">
        <f>ROUND(AOB54*EssentialMix,0)</f>
        <v/>
      </c>
      <c r="AOG54" s="12">
        <f>ROUND(AOB54*PremiumMix,0)</f>
        <v/>
      </c>
      <c r="AOH54" s="12">
        <f>AOB54-AOF54-AOG54</f>
        <v/>
      </c>
      <c r="AOI54" s="12">
        <f>AOC54+AOC53+AOC52+MAX(0,AOI53-AOC53-AOC52)*(1-ANV54)</f>
        <v/>
      </c>
      <c r="AOJ54" s="12">
        <f>AOD54+AOD53+AOD52+MAX(0,AOJ53-AOD53-AOD52)*(1-ANV54)</f>
        <v/>
      </c>
      <c r="AOK54" s="12">
        <f>AOE54+AOE53+AOE52+MAX(0,AOK53-AOE53-AOE52)*(1-ANV54)</f>
        <v/>
      </c>
      <c r="AOL54" s="12">
        <f>AOL53+AOF54-AOF42*(AnnualChurn*VLOOKUP(ANR54,ChurnSeasonTable,4,FALSE))*POWER(1-(AnnualChurn*VLOOKUP(ANR54,ChurnSeasonTable,4,FALSE)),0)+AOF30*(AnnualChurn*VLOOKUP(ANR54,ChurnSeasonTable,4,FALSE))*POWER(1-(AnnualChurn*VLOOKUP(ANR54,ChurnSeasonTable,4,FALSE)),1)+AOF18*(AnnualChurn*VLOOKUP(ANR54,ChurnSeasonTable,4,FALSE))*POWER(1-(AnnualChurn*VLOOKUP(ANR54,ChurnSeasonTable,4,FALSE)),2)+AOF6*(AnnualChurn*VLOOKUP(ANR54,ChurnSeasonTable,4,FALSE))*POWER(1-(AnnualChurn*VLOOKUP(ANR54,ChurnSeasonTable,4,FALSE)),3)</f>
        <v/>
      </c>
      <c r="AOM54" s="12">
        <f>AOM53+AOG54-AOG42*(AnnualChurn*VLOOKUP(ANR54,ChurnSeasonTable,4,FALSE))*POWER(1-(AnnualChurn*VLOOKUP(ANR54,ChurnSeasonTable,4,FALSE)),0)+AOG30*(AnnualChurn*VLOOKUP(ANR54,ChurnSeasonTable,4,FALSE))*POWER(1-(AnnualChurn*VLOOKUP(ANR54,ChurnSeasonTable,4,FALSE)),1)+AOG18*(AnnualChurn*VLOOKUP(ANR54,ChurnSeasonTable,4,FALSE))*POWER(1-(AnnualChurn*VLOOKUP(ANR54,ChurnSeasonTable,4,FALSE)),2)+AOG6*(AnnualChurn*VLOOKUP(ANR54,ChurnSeasonTable,4,FALSE))*POWER(1-(AnnualChurn*VLOOKUP(ANR54,ChurnSeasonTable,4,FALSE)),3)</f>
        <v/>
      </c>
      <c r="AON54" s="12">
        <f>AON53+AOH54-AOH42*(AnnualChurn*VLOOKUP(ANR54,ChurnSeasonTable,4,FALSE))*POWER(1-(AnnualChurn*VLOOKUP(ANR54,ChurnSeasonTable,4,FALSE)),0)+AOH30*(AnnualChurn*VLOOKUP(ANR54,ChurnSeasonTable,4,FALSE))*POWER(1-(AnnualChurn*VLOOKUP(ANR54,ChurnSeasonTable,4,FALSE)),1)+AOH18*(AnnualChurn*VLOOKUP(ANR54,ChurnSeasonTable,4,FALSE))*POWER(1-(AnnualChurn*VLOOKUP(ANR54,ChurnSeasonTable,4,FALSE)),2)+AOH6*(AnnualChurn*VLOOKUP(ANR54,ChurnSeasonTable,4,FALSE))*POWER(1-(AnnualChurn*VLOOKUP(ANR54,ChurnSeasonTable,4,FALSE)),3)</f>
        <v/>
      </c>
      <c r="AOO54" s="12">
        <f>AOI54+AOJ54+AOK54+AOL54+AOM54+AON54</f>
        <v/>
      </c>
      <c r="AOP54" s="9">
        <f>AOI54*BlendedPriceEssMonthly*ANU54+AOJ54*BlendedPricePremMonthly*ANU54+AOK54*BlendedPriceEliteMonthly*ANU54+AOL54*BlendedPriceEssAnnual*ANU54/12+AOM54*BlendedPricePremAnnual*ANU54/12+AON54*BlendedPriceEliteAnnual*ANU54/12</f>
        <v/>
      </c>
      <c r="AOQ54" s="9">
        <f>AOP54*12</f>
        <v/>
      </c>
      <c r="AOR54" s="12">
        <f>AOI54*BlendedPriceEssMonthly*ANU54+AOJ54*BlendedPricePremMonthly*ANU54+AOK54*BlendedPriceEliteMonthly*ANU54</f>
        <v/>
      </c>
      <c r="AOS54" s="12">
        <f>AOF54*BlendedPriceEssAnnual*ANU54+AOG54*BlendedPricePremAnnual*ANU54+AOH54*BlendedPriceEliteAnnual*ANU54</f>
        <v/>
      </c>
      <c r="AOT54" s="12">
        <f>AOF42*POWER(1-(AnnualChurn*VLOOKUP(ANR54,ChurnSeasonTable,4,FALSE)),1)*BlendedPriceEssAnnual*ANU54+AOF30*POWER(1-(AnnualChurn*VLOOKUP(ANR54,ChurnSeasonTable,4,FALSE)),2)*BlendedPriceEssAnnual*ANU54+AOF18*POWER(1-(AnnualChurn*VLOOKUP(ANR54,ChurnSeasonTable,4,FALSE)),3)*BlendedPriceEssAnnual*ANU54+AOF6*POWER(1-(AnnualChurn*VLOOKUP(ANR54,ChurnSeasonTable,4,FALSE)),4)*BlendedPriceEssAnnual*ANU54+AOG42*POWER(1-(AnnualChurn*VLOOKUP(ANR54,ChurnSeasonTable,4,FALSE)),1)*BlendedPricePremAnnual*ANU54+AOG30*POWER(1-(AnnualChurn*VLOOKUP(ANR54,ChurnSeasonTable,4,FALSE)),2)*BlendedPricePremAnnual*ANU54+AOG18*POWER(1-(AnnualChurn*VLOOKUP(ANR54,ChurnSeasonTable,4,FALSE)),3)*BlendedPricePremAnnual*ANU54+AOG6*POWER(1-(AnnualChurn*VLOOKUP(ANR54,ChurnSeasonTable,4,FALSE)),4)*BlendedPricePremAnnual*ANU54+AOH42*POWER(1-(AnnualChurn*VLOOKUP(ANR54,ChurnSeasonTable,4,FALSE)),1)*BlendedPriceEliteAnnual*ANU54+AOH30*POWER(1-(AnnualChurn*VLOOKUP(ANR54,ChurnSeasonTable,4,FALSE)),2)*BlendedPriceEliteAnnual*ANU54+AOH18*POWER(1-(AnnualChurn*VLOOKUP(ANR54,ChurnSeasonTable,4,FALSE)),3)*BlendedPriceEliteAnnual*ANU54+AOH6*POWER(1-(AnnualChurn*VLOOKUP(ANR54,ChurnSeasonTable,4,FALSE)),4)*BlendedPriceEliteAnnual*ANU54</f>
        <v/>
      </c>
      <c r="AOU54" s="9">
        <f>AOR54+AOS54+AOT54</f>
        <v/>
      </c>
      <c r="AOV54" s="12">
        <f>SUM(AOU43:AOU54)</f>
        <v/>
      </c>
      <c r="AOW54" s="12">
        <f>OR(AOW53,IF(VATAgentMode,SUM($AOU43:$AOU54)-SUM($APB43:$APB54)&gt;=VATThreshold,SUM($AOU43:$AOU54)&gt;=VATThreshold))</f>
        <v/>
      </c>
      <c r="AOX54" s="9">
        <f>IF(AOW54,IF(VATAgentMode,AOU54-((AOU54-APB54)-(AOU54-APB54)/(1+VATRate)),AOU54/(1+VATRate)),AOU54)</f>
        <v/>
      </c>
      <c r="AOY54" s="12">
        <f>AOU54-AOX54</f>
        <v/>
      </c>
      <c r="AOZ54" s="12">
        <f>IF(AOW54=0,0,IF(ANR54=1,SUMPRODUCT(--(($ANS$5:$ANS54=$ANS54-1)*($ANR$5:$ANR54&gt;=10)*($ANR$5:$ANR54&lt;=12)),$AOY$5:$AOY54),IF(ANR54=4,SUMPRODUCT(--(($ANS$5:$ANS54=$ANS54)*($ANR$5:$ANR54&gt;=1)*($ANR$5:$ANR54&lt;=3)),$AOY$5:$AOY54),IF(ANR54=7,SUMPRODUCT(--(($ANS$5:$ANS54=$ANS54)*($ANR$5:$ANR54&gt;=4)*($ANR$5:$ANR54&lt;=6)),$AOY$5:$AOY54),IF(ANR54=10,SUMPRODUCT(--(($ANS$5:$ANS54=$ANS54)*($ANR$5:$ANR54&gt;=7)*($ANR$5:$ANR54&lt;=9)),$AOY$5:$AOY54),0)))))</f>
        <v/>
      </c>
      <c r="APA54" s="12">
        <f>APA53+AOY54-AOZ54</f>
        <v/>
      </c>
      <c r="APB54" s="12">
        <f>IF(ProviderDelay&gt;=1,AOI53*BlendedProvPayEss+AOJ53*BlendedProvPayPrem+AOK53*BlendedProvPayElite+AOL53*BlendedProvPayEss+AOM53*BlendedProvPayPrem+AON53*BlendedProvPayElite,AOI54*BlendedProvPayEss+AOJ54*BlendedProvPayPrem+AOK54*BlendedProvPayElite+AOL54*BlendedProvPayEss+AOM54*BlendedProvPayPrem+AON54*BlendedProvPayElite)</f>
        <v/>
      </c>
      <c r="APC54" s="12">
        <f>AOU54*PaymentFee</f>
        <v/>
      </c>
      <c r="APD54" s="12">
        <f>AOO54*OpsAI</f>
        <v/>
      </c>
      <c r="APE54" s="12">
        <f>MonthlyFixed</f>
        <v/>
      </c>
      <c r="APF54" s="12">
        <f>ANY54*ReferralReward</f>
        <v/>
      </c>
      <c r="APG54" s="12">
        <f>ANW54</f>
        <v/>
      </c>
      <c r="APH54" s="9">
        <f>AOX54-APB54-APC54-APD54-APE54-APF54-APG54</f>
        <v/>
      </c>
      <c r="API54" s="9">
        <f>API53+AOU54-(APB54+APC54+APD54+APE54+APF54+APG54+AOZ54)</f>
        <v/>
      </c>
      <c r="APJ54" s="12">
        <f>IF(AOO54&gt;0,AOP54/AOO54,0)</f>
        <v/>
      </c>
      <c r="APK54" s="11">
        <f>IF(AOO53&gt;0,MAX(0,(AOO53+ANZ54-AOO54)/AOO53),0)</f>
        <v/>
      </c>
      <c r="APM54" s="12" t="n">
        <v>50</v>
      </c>
      <c r="APN54" s="12">
        <f>MOD(APM54-1+LaunchMonth-1,12)+1</f>
        <v/>
      </c>
      <c r="APO54" s="12">
        <f>INT((APM54-1+LaunchMonth-1)/12)+1</f>
        <v/>
      </c>
      <c r="APP54" s="12">
        <f>VLOOKUP(APN54,SeasonTable,2,FALSE)</f>
        <v/>
      </c>
      <c r="APQ54" s="12">
        <f>(1+InflationRate)^INT((APM54-1)/12)</f>
        <v/>
      </c>
      <c r="APR54" s="11">
        <f>MonthlyChurn*VLOOKUP(APN54,ChurnSeasonTable,4,FALSE)</f>
        <v/>
      </c>
      <c r="APS54" s="12">
        <f>MIN(MAX(MktMin19plus,AQQ53*MktPct19plus),MAX(0,ARE53-CashBuffer))</f>
        <v/>
      </c>
      <c r="APT54" s="12">
        <f>IF(APS54&gt;0,MAX(1,ROUND(APS54/'Sens - CAC &amp; Marketing'!$A$13*APP54,0)),0)</f>
        <v/>
      </c>
      <c r="APU54" s="12">
        <f>IF(APT54&gt;0,ROUND(APT54*ReferralMix/(1-ReferralMix),0),0)</f>
        <v/>
      </c>
      <c r="APV54" s="12">
        <f>APT54+APU54</f>
        <v/>
      </c>
      <c r="APW54" s="12">
        <f>ROUND(APV54*(1-AnnualMix),0)</f>
        <v/>
      </c>
      <c r="APX54" s="12">
        <f>APV54-APW54</f>
        <v/>
      </c>
      <c r="APY54" s="12">
        <f>ROUND(APW54*EssentialMix,0)</f>
        <v/>
      </c>
      <c r="APZ54" s="12">
        <f>ROUND(APW54*PremiumMix,0)</f>
        <v/>
      </c>
      <c r="AQA54" s="12">
        <f>APW54-APY54-APZ54</f>
        <v/>
      </c>
      <c r="AQB54" s="12">
        <f>ROUND(APX54*EssentialMix,0)</f>
        <v/>
      </c>
      <c r="AQC54" s="12">
        <f>ROUND(APX54*PremiumMix,0)</f>
        <v/>
      </c>
      <c r="AQD54" s="12">
        <f>APX54-AQB54-AQC54</f>
        <v/>
      </c>
      <c r="AQE54" s="12">
        <f>APY54+APY53+APY52+MAX(0,AQE53-APY53-APY52)*(1-APR54)</f>
        <v/>
      </c>
      <c r="AQF54" s="12">
        <f>APZ54+APZ53+APZ52+MAX(0,AQF53-APZ53-APZ52)*(1-APR54)</f>
        <v/>
      </c>
      <c r="AQG54" s="12">
        <f>AQA54+AQA53+AQA52+MAX(0,AQG53-AQA53-AQA52)*(1-APR54)</f>
        <v/>
      </c>
      <c r="AQH54" s="12">
        <f>AQH53+AQB54-AQB42*(AnnualChurn*VLOOKUP(APN54,ChurnSeasonTable,4,FALSE))*POWER(1-(AnnualChurn*VLOOKUP(APN54,ChurnSeasonTable,4,FALSE)),0)+AQB30*(AnnualChurn*VLOOKUP(APN54,ChurnSeasonTable,4,FALSE))*POWER(1-(AnnualChurn*VLOOKUP(APN54,ChurnSeasonTable,4,FALSE)),1)+AQB18*(AnnualChurn*VLOOKUP(APN54,ChurnSeasonTable,4,FALSE))*POWER(1-(AnnualChurn*VLOOKUP(APN54,ChurnSeasonTable,4,FALSE)),2)+AQB6*(AnnualChurn*VLOOKUP(APN54,ChurnSeasonTable,4,FALSE))*POWER(1-(AnnualChurn*VLOOKUP(APN54,ChurnSeasonTable,4,FALSE)),3)</f>
        <v/>
      </c>
      <c r="AQI54" s="12">
        <f>AQI53+AQC54-AQC42*(AnnualChurn*VLOOKUP(APN54,ChurnSeasonTable,4,FALSE))*POWER(1-(AnnualChurn*VLOOKUP(APN54,ChurnSeasonTable,4,FALSE)),0)+AQC30*(AnnualChurn*VLOOKUP(APN54,ChurnSeasonTable,4,FALSE))*POWER(1-(AnnualChurn*VLOOKUP(APN54,ChurnSeasonTable,4,FALSE)),1)+AQC18*(AnnualChurn*VLOOKUP(APN54,ChurnSeasonTable,4,FALSE))*POWER(1-(AnnualChurn*VLOOKUP(APN54,ChurnSeasonTable,4,FALSE)),2)+AQC6*(AnnualChurn*VLOOKUP(APN54,ChurnSeasonTable,4,FALSE))*POWER(1-(AnnualChurn*VLOOKUP(APN54,ChurnSeasonTable,4,FALSE)),3)</f>
        <v/>
      </c>
      <c r="AQJ54" s="12">
        <f>AQJ53+AQD54-AQD42*(AnnualChurn*VLOOKUP(APN54,ChurnSeasonTable,4,FALSE))*POWER(1-(AnnualChurn*VLOOKUP(APN54,ChurnSeasonTable,4,FALSE)),0)+AQD30*(AnnualChurn*VLOOKUP(APN54,ChurnSeasonTable,4,FALSE))*POWER(1-(AnnualChurn*VLOOKUP(APN54,ChurnSeasonTable,4,FALSE)),1)+AQD18*(AnnualChurn*VLOOKUP(APN54,ChurnSeasonTable,4,FALSE))*POWER(1-(AnnualChurn*VLOOKUP(APN54,ChurnSeasonTable,4,FALSE)),2)+AQD6*(AnnualChurn*VLOOKUP(APN54,ChurnSeasonTable,4,FALSE))*POWER(1-(AnnualChurn*VLOOKUP(APN54,ChurnSeasonTable,4,FALSE)),3)</f>
        <v/>
      </c>
      <c r="AQK54" s="12">
        <f>AQE54+AQF54+AQG54+AQH54+AQI54+AQJ54</f>
        <v/>
      </c>
      <c r="AQL54" s="9">
        <f>AQE54*BlendedPriceEssMonthly*APQ54+AQF54*BlendedPricePremMonthly*APQ54+AQG54*BlendedPriceEliteMonthly*APQ54+AQH54*BlendedPriceEssAnnual*APQ54/12+AQI54*BlendedPricePremAnnual*APQ54/12+AQJ54*BlendedPriceEliteAnnual*APQ54/12</f>
        <v/>
      </c>
      <c r="AQM54" s="9">
        <f>AQL54*12</f>
        <v/>
      </c>
      <c r="AQN54" s="12">
        <f>AQE54*BlendedPriceEssMonthly*APQ54+AQF54*BlendedPricePremMonthly*APQ54+AQG54*BlendedPriceEliteMonthly*APQ54</f>
        <v/>
      </c>
      <c r="AQO54" s="12">
        <f>AQB54*BlendedPriceEssAnnual*APQ54+AQC54*BlendedPricePremAnnual*APQ54+AQD54*BlendedPriceEliteAnnual*APQ54</f>
        <v/>
      </c>
      <c r="AQP54" s="12">
        <f>AQB42*POWER(1-(AnnualChurn*VLOOKUP(APN54,ChurnSeasonTable,4,FALSE)),1)*BlendedPriceEssAnnual*APQ54+AQB30*POWER(1-(AnnualChurn*VLOOKUP(APN54,ChurnSeasonTable,4,FALSE)),2)*BlendedPriceEssAnnual*APQ54+AQB18*POWER(1-(AnnualChurn*VLOOKUP(APN54,ChurnSeasonTable,4,FALSE)),3)*BlendedPriceEssAnnual*APQ54+AQB6*POWER(1-(AnnualChurn*VLOOKUP(APN54,ChurnSeasonTable,4,FALSE)),4)*BlendedPriceEssAnnual*APQ54+AQC42*POWER(1-(AnnualChurn*VLOOKUP(APN54,ChurnSeasonTable,4,FALSE)),1)*BlendedPricePremAnnual*APQ54+AQC30*POWER(1-(AnnualChurn*VLOOKUP(APN54,ChurnSeasonTable,4,FALSE)),2)*BlendedPricePremAnnual*APQ54+AQC18*POWER(1-(AnnualChurn*VLOOKUP(APN54,ChurnSeasonTable,4,FALSE)),3)*BlendedPricePremAnnual*APQ54+AQC6*POWER(1-(AnnualChurn*VLOOKUP(APN54,ChurnSeasonTable,4,FALSE)),4)*BlendedPricePremAnnual*APQ54+AQD42*POWER(1-(AnnualChurn*VLOOKUP(APN54,ChurnSeasonTable,4,FALSE)),1)*BlendedPriceEliteAnnual*APQ54+AQD30*POWER(1-(AnnualChurn*VLOOKUP(APN54,ChurnSeasonTable,4,FALSE)),2)*BlendedPriceEliteAnnual*APQ54+AQD18*POWER(1-(AnnualChurn*VLOOKUP(APN54,ChurnSeasonTable,4,FALSE)),3)*BlendedPriceEliteAnnual*APQ54+AQD6*POWER(1-(AnnualChurn*VLOOKUP(APN54,ChurnSeasonTable,4,FALSE)),4)*BlendedPriceEliteAnnual*APQ54</f>
        <v/>
      </c>
      <c r="AQQ54" s="9">
        <f>AQN54+AQO54+AQP54</f>
        <v/>
      </c>
      <c r="AQR54" s="12">
        <f>SUM(AQQ43:AQQ54)</f>
        <v/>
      </c>
      <c r="AQS54" s="12">
        <f>OR(AQS53,IF(VATAgentMode,SUM($AQQ43:$AQQ54)-SUM($AQX43:$AQX54)&gt;=VATThreshold,SUM($AQQ43:$AQQ54)&gt;=VATThreshold))</f>
        <v/>
      </c>
      <c r="AQT54" s="9">
        <f>IF(AQS54,IF(VATAgentMode,AQQ54-((AQQ54-AQX54)-(AQQ54-AQX54)/(1+VATRate)),AQQ54/(1+VATRate)),AQQ54)</f>
        <v/>
      </c>
      <c r="AQU54" s="12">
        <f>AQQ54-AQT54</f>
        <v/>
      </c>
      <c r="AQV54" s="12">
        <f>IF(AQS54=0,0,IF(APN54=1,SUMPRODUCT(--(($APO$5:$APO54=$APO54-1)*($APN$5:$APN54&gt;=10)*($APN$5:$APN54&lt;=12)),$AQU$5:$AQU54),IF(APN54=4,SUMPRODUCT(--(($APO$5:$APO54=$APO54)*($APN$5:$APN54&gt;=1)*($APN$5:$APN54&lt;=3)),$AQU$5:$AQU54),IF(APN54=7,SUMPRODUCT(--(($APO$5:$APO54=$APO54)*($APN$5:$APN54&gt;=4)*($APN$5:$APN54&lt;=6)),$AQU$5:$AQU54),IF(APN54=10,SUMPRODUCT(--(($APO$5:$APO54=$APO54)*($APN$5:$APN54&gt;=7)*($APN$5:$APN54&lt;=9)),$AQU$5:$AQU54),0)))))</f>
        <v/>
      </c>
      <c r="AQW54" s="12">
        <f>AQW53+AQU54-AQV54</f>
        <v/>
      </c>
      <c r="AQX54" s="12">
        <f>IF(ProviderDelay&gt;=1,AQE53*BlendedProvPayEss+AQF53*BlendedProvPayPrem+AQG53*BlendedProvPayElite+AQH53*BlendedProvPayEss+AQI53*BlendedProvPayPrem+AQJ53*BlendedProvPayElite,AQE54*BlendedProvPayEss+AQF54*BlendedProvPayPrem+AQG54*BlendedProvPayElite+AQH54*BlendedProvPayEss+AQI54*BlendedProvPayPrem+AQJ54*BlendedProvPayElite)</f>
        <v/>
      </c>
      <c r="AQY54" s="12">
        <f>AQQ54*PaymentFee</f>
        <v/>
      </c>
      <c r="AQZ54" s="12">
        <f>AQK54*OpsAI</f>
        <v/>
      </c>
      <c r="ARA54" s="12">
        <f>MonthlyFixed</f>
        <v/>
      </c>
      <c r="ARB54" s="12">
        <f>APU54*ReferralReward</f>
        <v/>
      </c>
      <c r="ARC54" s="12">
        <f>APS54</f>
        <v/>
      </c>
      <c r="ARD54" s="9">
        <f>AQT54-AQX54-AQY54-AQZ54-ARA54-ARB54-ARC54</f>
        <v/>
      </c>
      <c r="ARE54" s="9">
        <f>ARE53+AQQ54-(AQX54+AQY54+AQZ54+ARA54+ARB54+ARC54+AQV54)</f>
        <v/>
      </c>
      <c r="ARF54" s="12">
        <f>IF(AQK54&gt;0,AQL54/AQK54,0)</f>
        <v/>
      </c>
      <c r="ARG54" s="11">
        <f>IF(AQK53&gt;0,MAX(0,(AQK53+APV54-AQK54)/AQK53),0)</f>
        <v/>
      </c>
      <c r="ARI54" s="12" t="n">
        <v>50</v>
      </c>
      <c r="ARJ54" s="12">
        <f>MOD(ARI54-1+LaunchMonth-1,12)+1</f>
        <v/>
      </c>
      <c r="ARK54" s="12">
        <f>INT((ARI54-1+LaunchMonth-1)/12)+1</f>
        <v/>
      </c>
      <c r="ARL54" s="12">
        <f>VLOOKUP(ARJ54,SeasonTable,2,FALSE)</f>
        <v/>
      </c>
      <c r="ARM54" s="12">
        <f>(1+InflationRate)^INT((ARI54-1)/12)</f>
        <v/>
      </c>
      <c r="ARN54" s="11">
        <f>MonthlyChurn*VLOOKUP(ARJ54,ChurnSeasonTable,4,FALSE)</f>
        <v/>
      </c>
      <c r="ARO54" s="12">
        <f>MIN(MAX(MktMin19plus,ASM53*MktPct19plus),MAX(0,ATA53-CashBuffer))</f>
        <v/>
      </c>
      <c r="ARP54" s="12">
        <f>IF(ARO54&gt;0,MAX(1,ROUND(ARO54/'Sens - CAC &amp; Marketing'!$A$14*ARL54,0)),0)</f>
        <v/>
      </c>
      <c r="ARQ54" s="12">
        <f>IF(ARP54&gt;0,ROUND(ARP54*ReferralMix/(1-ReferralMix),0),0)</f>
        <v/>
      </c>
      <c r="ARR54" s="12">
        <f>ARP54+ARQ54</f>
        <v/>
      </c>
      <c r="ARS54" s="12">
        <f>ROUND(ARR54*(1-AnnualMix),0)</f>
        <v/>
      </c>
      <c r="ART54" s="12">
        <f>ARR54-ARS54</f>
        <v/>
      </c>
      <c r="ARU54" s="12">
        <f>ROUND(ARS54*EssentialMix,0)</f>
        <v/>
      </c>
      <c r="ARV54" s="12">
        <f>ROUND(ARS54*PremiumMix,0)</f>
        <v/>
      </c>
      <c r="ARW54" s="12">
        <f>ARS54-ARU54-ARV54</f>
        <v/>
      </c>
      <c r="ARX54" s="12">
        <f>ROUND(ART54*EssentialMix,0)</f>
        <v/>
      </c>
      <c r="ARY54" s="12">
        <f>ROUND(ART54*PremiumMix,0)</f>
        <v/>
      </c>
      <c r="ARZ54" s="12">
        <f>ART54-ARX54-ARY54</f>
        <v/>
      </c>
      <c r="ASA54" s="12">
        <f>ARU54+ARU53+ARU52+MAX(0,ASA53-ARU53-ARU52)*(1-ARN54)</f>
        <v/>
      </c>
      <c r="ASB54" s="12">
        <f>ARV54+ARV53+ARV52+MAX(0,ASB53-ARV53-ARV52)*(1-ARN54)</f>
        <v/>
      </c>
      <c r="ASC54" s="12">
        <f>ARW54+ARW53+ARW52+MAX(0,ASC53-ARW53-ARW52)*(1-ARN54)</f>
        <v/>
      </c>
      <c r="ASD54" s="12">
        <f>ASD53+ARX54-ARX42*(AnnualChurn*VLOOKUP(ARJ54,ChurnSeasonTable,4,FALSE))*POWER(1-(AnnualChurn*VLOOKUP(ARJ54,ChurnSeasonTable,4,FALSE)),0)+ARX30*(AnnualChurn*VLOOKUP(ARJ54,ChurnSeasonTable,4,FALSE))*POWER(1-(AnnualChurn*VLOOKUP(ARJ54,ChurnSeasonTable,4,FALSE)),1)+ARX18*(AnnualChurn*VLOOKUP(ARJ54,ChurnSeasonTable,4,FALSE))*POWER(1-(AnnualChurn*VLOOKUP(ARJ54,ChurnSeasonTable,4,FALSE)),2)+ARX6*(AnnualChurn*VLOOKUP(ARJ54,ChurnSeasonTable,4,FALSE))*POWER(1-(AnnualChurn*VLOOKUP(ARJ54,ChurnSeasonTable,4,FALSE)),3)</f>
        <v/>
      </c>
      <c r="ASE54" s="12">
        <f>ASE53+ARY54-ARY42*(AnnualChurn*VLOOKUP(ARJ54,ChurnSeasonTable,4,FALSE))*POWER(1-(AnnualChurn*VLOOKUP(ARJ54,ChurnSeasonTable,4,FALSE)),0)+ARY30*(AnnualChurn*VLOOKUP(ARJ54,ChurnSeasonTable,4,FALSE))*POWER(1-(AnnualChurn*VLOOKUP(ARJ54,ChurnSeasonTable,4,FALSE)),1)+ARY18*(AnnualChurn*VLOOKUP(ARJ54,ChurnSeasonTable,4,FALSE))*POWER(1-(AnnualChurn*VLOOKUP(ARJ54,ChurnSeasonTable,4,FALSE)),2)+ARY6*(AnnualChurn*VLOOKUP(ARJ54,ChurnSeasonTable,4,FALSE))*POWER(1-(AnnualChurn*VLOOKUP(ARJ54,ChurnSeasonTable,4,FALSE)),3)</f>
        <v/>
      </c>
      <c r="ASF54" s="12">
        <f>ASF53+ARZ54-ARZ42*(AnnualChurn*VLOOKUP(ARJ54,ChurnSeasonTable,4,FALSE))*POWER(1-(AnnualChurn*VLOOKUP(ARJ54,ChurnSeasonTable,4,FALSE)),0)+ARZ30*(AnnualChurn*VLOOKUP(ARJ54,ChurnSeasonTable,4,FALSE))*POWER(1-(AnnualChurn*VLOOKUP(ARJ54,ChurnSeasonTable,4,FALSE)),1)+ARZ18*(AnnualChurn*VLOOKUP(ARJ54,ChurnSeasonTable,4,FALSE))*POWER(1-(AnnualChurn*VLOOKUP(ARJ54,ChurnSeasonTable,4,FALSE)),2)+ARZ6*(AnnualChurn*VLOOKUP(ARJ54,ChurnSeasonTable,4,FALSE))*POWER(1-(AnnualChurn*VLOOKUP(ARJ54,ChurnSeasonTable,4,FALSE)),3)</f>
        <v/>
      </c>
      <c r="ASG54" s="12">
        <f>ASA54+ASB54+ASC54+ASD54+ASE54+ASF54</f>
        <v/>
      </c>
      <c r="ASH54" s="9">
        <f>ASA54*BlendedPriceEssMonthly*ARM54+ASB54*BlendedPricePremMonthly*ARM54+ASC54*BlendedPriceEliteMonthly*ARM54+ASD54*BlendedPriceEssAnnual*ARM54/12+ASE54*BlendedPricePremAnnual*ARM54/12+ASF54*BlendedPriceEliteAnnual*ARM54/12</f>
        <v/>
      </c>
      <c r="ASI54" s="9">
        <f>ASH54*12</f>
        <v/>
      </c>
      <c r="ASJ54" s="12">
        <f>ASA54*BlendedPriceEssMonthly*ARM54+ASB54*BlendedPricePremMonthly*ARM54+ASC54*BlendedPriceEliteMonthly*ARM54</f>
        <v/>
      </c>
      <c r="ASK54" s="12">
        <f>ARX54*BlendedPriceEssAnnual*ARM54+ARY54*BlendedPricePremAnnual*ARM54+ARZ54*BlendedPriceEliteAnnual*ARM54</f>
        <v/>
      </c>
      <c r="ASL54" s="12">
        <f>ARX42*POWER(1-(AnnualChurn*VLOOKUP(ARJ54,ChurnSeasonTable,4,FALSE)),1)*BlendedPriceEssAnnual*ARM54+ARX30*POWER(1-(AnnualChurn*VLOOKUP(ARJ54,ChurnSeasonTable,4,FALSE)),2)*BlendedPriceEssAnnual*ARM54+ARX18*POWER(1-(AnnualChurn*VLOOKUP(ARJ54,ChurnSeasonTable,4,FALSE)),3)*BlendedPriceEssAnnual*ARM54+ARX6*POWER(1-(AnnualChurn*VLOOKUP(ARJ54,ChurnSeasonTable,4,FALSE)),4)*BlendedPriceEssAnnual*ARM54+ARY42*POWER(1-(AnnualChurn*VLOOKUP(ARJ54,ChurnSeasonTable,4,FALSE)),1)*BlendedPricePremAnnual*ARM54+ARY30*POWER(1-(AnnualChurn*VLOOKUP(ARJ54,ChurnSeasonTable,4,FALSE)),2)*BlendedPricePremAnnual*ARM54+ARY18*POWER(1-(AnnualChurn*VLOOKUP(ARJ54,ChurnSeasonTable,4,FALSE)),3)*BlendedPricePremAnnual*ARM54+ARY6*POWER(1-(AnnualChurn*VLOOKUP(ARJ54,ChurnSeasonTable,4,FALSE)),4)*BlendedPricePremAnnual*ARM54+ARZ42*POWER(1-(AnnualChurn*VLOOKUP(ARJ54,ChurnSeasonTable,4,FALSE)),1)*BlendedPriceEliteAnnual*ARM54+ARZ30*POWER(1-(AnnualChurn*VLOOKUP(ARJ54,ChurnSeasonTable,4,FALSE)),2)*BlendedPriceEliteAnnual*ARM54+ARZ18*POWER(1-(AnnualChurn*VLOOKUP(ARJ54,ChurnSeasonTable,4,FALSE)),3)*BlendedPriceEliteAnnual*ARM54+ARZ6*POWER(1-(AnnualChurn*VLOOKUP(ARJ54,ChurnSeasonTable,4,FALSE)),4)*BlendedPriceEliteAnnual*ARM54</f>
        <v/>
      </c>
      <c r="ASM54" s="9">
        <f>ASJ54+ASK54+ASL54</f>
        <v/>
      </c>
      <c r="ASN54" s="12">
        <f>SUM(ASM43:ASM54)</f>
        <v/>
      </c>
      <c r="ASO54" s="12">
        <f>OR(ASO53,IF(VATAgentMode,SUM($ASM43:$ASM54)-SUM($AST43:$AST54)&gt;=VATThreshold,SUM($ASM43:$ASM54)&gt;=VATThreshold))</f>
        <v/>
      </c>
      <c r="ASP54" s="9">
        <f>IF(ASO54,IF(VATAgentMode,ASM54-((ASM54-AST54)-(ASM54-AST54)/(1+VATRate)),ASM54/(1+VATRate)),ASM54)</f>
        <v/>
      </c>
      <c r="ASQ54" s="12">
        <f>ASM54-ASP54</f>
        <v/>
      </c>
      <c r="ASR54" s="12">
        <f>IF(ASO54=0,0,IF(ARJ54=1,SUMPRODUCT(--(($ARK$5:$ARK54=$ARK54-1)*($ARJ$5:$ARJ54&gt;=10)*($ARJ$5:$ARJ54&lt;=12)),$ASQ$5:$ASQ54),IF(ARJ54=4,SUMPRODUCT(--(($ARK$5:$ARK54=$ARK54)*($ARJ$5:$ARJ54&gt;=1)*($ARJ$5:$ARJ54&lt;=3)),$ASQ$5:$ASQ54),IF(ARJ54=7,SUMPRODUCT(--(($ARK$5:$ARK54=$ARK54)*($ARJ$5:$ARJ54&gt;=4)*($ARJ$5:$ARJ54&lt;=6)),$ASQ$5:$ASQ54),IF(ARJ54=10,SUMPRODUCT(--(($ARK$5:$ARK54=$ARK54)*($ARJ$5:$ARJ54&gt;=7)*($ARJ$5:$ARJ54&lt;=9)),$ASQ$5:$ASQ54),0)))))</f>
        <v/>
      </c>
      <c r="ASS54" s="12">
        <f>ASS53+ASQ54-ASR54</f>
        <v/>
      </c>
      <c r="AST54" s="12">
        <f>IF(ProviderDelay&gt;=1,ASA53*BlendedProvPayEss+ASB53*BlendedProvPayPrem+ASC53*BlendedProvPayElite+ASD53*BlendedProvPayEss+ASE53*BlendedProvPayPrem+ASF53*BlendedProvPayElite,ASA54*BlendedProvPayEss+ASB54*BlendedProvPayPrem+ASC54*BlendedProvPayElite+ASD54*BlendedProvPayEss+ASE54*BlendedProvPayPrem+ASF54*BlendedProvPayElite)</f>
        <v/>
      </c>
      <c r="ASU54" s="12">
        <f>ASM54*PaymentFee</f>
        <v/>
      </c>
      <c r="ASV54" s="12">
        <f>ASG54*OpsAI</f>
        <v/>
      </c>
      <c r="ASW54" s="12">
        <f>MonthlyFixed</f>
        <v/>
      </c>
      <c r="ASX54" s="12">
        <f>ARQ54*ReferralReward</f>
        <v/>
      </c>
      <c r="ASY54" s="12">
        <f>ARO54</f>
        <v/>
      </c>
      <c r="ASZ54" s="9">
        <f>ASP54-AST54-ASU54-ASV54-ASW54-ASX54-ASY54</f>
        <v/>
      </c>
      <c r="ATA54" s="9">
        <f>ATA53+ASM54-(AST54+ASU54+ASV54+ASW54+ASX54+ASY54+ASR54)</f>
        <v/>
      </c>
      <c r="ATB54" s="12">
        <f>IF(ASG54&gt;0,ASH54/ASG54,0)</f>
        <v/>
      </c>
      <c r="ATC54" s="11">
        <f>IF(ASG53&gt;0,MAX(0,(ASG53+ARR54-ASG54)/ASG53),0)</f>
        <v/>
      </c>
      <c r="ATE54" s="12" t="n">
        <v>50</v>
      </c>
      <c r="ATF54" s="12">
        <f>MOD(ATE54-1+LaunchMonth-1,12)+1</f>
        <v/>
      </c>
      <c r="ATG54" s="12">
        <f>INT((ATE54-1+LaunchMonth-1)/12)+1</f>
        <v/>
      </c>
      <c r="ATH54" s="12">
        <f>VLOOKUP(ATF54,SeasonTable,2,FALSE)</f>
        <v/>
      </c>
      <c r="ATI54" s="12">
        <f>(1+InflationRate)^INT((ATE54-1)/12)</f>
        <v/>
      </c>
      <c r="ATJ54" s="11">
        <f>MonthlyChurn*VLOOKUP(ATF54,ChurnSeasonTable,4,FALSE)</f>
        <v/>
      </c>
      <c r="ATK54" s="12">
        <f>MIN(MAX(MktMin19plus,AUI53*MktPct19plus),MAX(0,AUW53-CashBuffer))</f>
        <v/>
      </c>
      <c r="ATL54" s="12">
        <f>IF(ATK54&gt;0,MAX(1,ROUND(ATK54/'Sens - CAC &amp; Marketing'!$A$15*ATH54,0)),0)</f>
        <v/>
      </c>
      <c r="ATM54" s="12">
        <f>IF(ATL54&gt;0,ROUND(ATL54*ReferralMix/(1-ReferralMix),0),0)</f>
        <v/>
      </c>
      <c r="ATN54" s="12">
        <f>ATL54+ATM54</f>
        <v/>
      </c>
      <c r="ATO54" s="12">
        <f>ROUND(ATN54*(1-AnnualMix),0)</f>
        <v/>
      </c>
      <c r="ATP54" s="12">
        <f>ATN54-ATO54</f>
        <v/>
      </c>
      <c r="ATQ54" s="12">
        <f>ROUND(ATO54*EssentialMix,0)</f>
        <v/>
      </c>
      <c r="ATR54" s="12">
        <f>ROUND(ATO54*PremiumMix,0)</f>
        <v/>
      </c>
      <c r="ATS54" s="12">
        <f>ATO54-ATQ54-ATR54</f>
        <v/>
      </c>
      <c r="ATT54" s="12">
        <f>ROUND(ATP54*EssentialMix,0)</f>
        <v/>
      </c>
      <c r="ATU54" s="12">
        <f>ROUND(ATP54*PremiumMix,0)</f>
        <v/>
      </c>
      <c r="ATV54" s="12">
        <f>ATP54-ATT54-ATU54</f>
        <v/>
      </c>
      <c r="ATW54" s="12">
        <f>ATQ54+ATQ53+ATQ52+MAX(0,ATW53-ATQ53-ATQ52)*(1-ATJ54)</f>
        <v/>
      </c>
      <c r="ATX54" s="12">
        <f>ATR54+ATR53+ATR52+MAX(0,ATX53-ATR53-ATR52)*(1-ATJ54)</f>
        <v/>
      </c>
      <c r="ATY54" s="12">
        <f>ATS54+ATS53+ATS52+MAX(0,ATY53-ATS53-ATS52)*(1-ATJ54)</f>
        <v/>
      </c>
      <c r="ATZ54" s="12">
        <f>ATZ53+ATT54-ATT42*(AnnualChurn*VLOOKUP(ATF54,ChurnSeasonTable,4,FALSE))*POWER(1-(AnnualChurn*VLOOKUP(ATF54,ChurnSeasonTable,4,FALSE)),0)+ATT30*(AnnualChurn*VLOOKUP(ATF54,ChurnSeasonTable,4,FALSE))*POWER(1-(AnnualChurn*VLOOKUP(ATF54,ChurnSeasonTable,4,FALSE)),1)+ATT18*(AnnualChurn*VLOOKUP(ATF54,ChurnSeasonTable,4,FALSE))*POWER(1-(AnnualChurn*VLOOKUP(ATF54,ChurnSeasonTable,4,FALSE)),2)+ATT6*(AnnualChurn*VLOOKUP(ATF54,ChurnSeasonTable,4,FALSE))*POWER(1-(AnnualChurn*VLOOKUP(ATF54,ChurnSeasonTable,4,FALSE)),3)</f>
        <v/>
      </c>
      <c r="AUA54" s="12">
        <f>AUA53+ATU54-ATU42*(AnnualChurn*VLOOKUP(ATF54,ChurnSeasonTable,4,FALSE))*POWER(1-(AnnualChurn*VLOOKUP(ATF54,ChurnSeasonTable,4,FALSE)),0)+ATU30*(AnnualChurn*VLOOKUP(ATF54,ChurnSeasonTable,4,FALSE))*POWER(1-(AnnualChurn*VLOOKUP(ATF54,ChurnSeasonTable,4,FALSE)),1)+ATU18*(AnnualChurn*VLOOKUP(ATF54,ChurnSeasonTable,4,FALSE))*POWER(1-(AnnualChurn*VLOOKUP(ATF54,ChurnSeasonTable,4,FALSE)),2)+ATU6*(AnnualChurn*VLOOKUP(ATF54,ChurnSeasonTable,4,FALSE))*POWER(1-(AnnualChurn*VLOOKUP(ATF54,ChurnSeasonTable,4,FALSE)),3)</f>
        <v/>
      </c>
      <c r="AUB54" s="12">
        <f>AUB53+ATV54-ATV42*(AnnualChurn*VLOOKUP(ATF54,ChurnSeasonTable,4,FALSE))*POWER(1-(AnnualChurn*VLOOKUP(ATF54,ChurnSeasonTable,4,FALSE)),0)+ATV30*(AnnualChurn*VLOOKUP(ATF54,ChurnSeasonTable,4,FALSE))*POWER(1-(AnnualChurn*VLOOKUP(ATF54,ChurnSeasonTable,4,FALSE)),1)+ATV18*(AnnualChurn*VLOOKUP(ATF54,ChurnSeasonTable,4,FALSE))*POWER(1-(AnnualChurn*VLOOKUP(ATF54,ChurnSeasonTable,4,FALSE)),2)+ATV6*(AnnualChurn*VLOOKUP(ATF54,ChurnSeasonTable,4,FALSE))*POWER(1-(AnnualChurn*VLOOKUP(ATF54,ChurnSeasonTable,4,FALSE)),3)</f>
        <v/>
      </c>
      <c r="AUC54" s="12">
        <f>ATW54+ATX54+ATY54+ATZ54+AUA54+AUB54</f>
        <v/>
      </c>
      <c r="AUD54" s="9">
        <f>ATW54*BlendedPriceEssMonthly*ATI54+ATX54*BlendedPricePremMonthly*ATI54+ATY54*BlendedPriceEliteMonthly*ATI54+ATZ54*BlendedPriceEssAnnual*ATI54/12+AUA54*BlendedPricePremAnnual*ATI54/12+AUB54*BlendedPriceEliteAnnual*ATI54/12</f>
        <v/>
      </c>
      <c r="AUE54" s="9">
        <f>AUD54*12</f>
        <v/>
      </c>
      <c r="AUF54" s="12">
        <f>ATW54*BlendedPriceEssMonthly*ATI54+ATX54*BlendedPricePremMonthly*ATI54+ATY54*BlendedPriceEliteMonthly*ATI54</f>
        <v/>
      </c>
      <c r="AUG54" s="12">
        <f>ATT54*BlendedPriceEssAnnual*ATI54+ATU54*BlendedPricePremAnnual*ATI54+ATV54*BlendedPriceEliteAnnual*ATI54</f>
        <v/>
      </c>
      <c r="AUH54" s="12">
        <f>ATT42*POWER(1-(AnnualChurn*VLOOKUP(ATF54,ChurnSeasonTable,4,FALSE)),1)*BlendedPriceEssAnnual*ATI54+ATT30*POWER(1-(AnnualChurn*VLOOKUP(ATF54,ChurnSeasonTable,4,FALSE)),2)*BlendedPriceEssAnnual*ATI54+ATT18*POWER(1-(AnnualChurn*VLOOKUP(ATF54,ChurnSeasonTable,4,FALSE)),3)*BlendedPriceEssAnnual*ATI54+ATT6*POWER(1-(AnnualChurn*VLOOKUP(ATF54,ChurnSeasonTable,4,FALSE)),4)*BlendedPriceEssAnnual*ATI54+ATU42*POWER(1-(AnnualChurn*VLOOKUP(ATF54,ChurnSeasonTable,4,FALSE)),1)*BlendedPricePremAnnual*ATI54+ATU30*POWER(1-(AnnualChurn*VLOOKUP(ATF54,ChurnSeasonTable,4,FALSE)),2)*BlendedPricePremAnnual*ATI54+ATU18*POWER(1-(AnnualChurn*VLOOKUP(ATF54,ChurnSeasonTable,4,FALSE)),3)*BlendedPricePremAnnual*ATI54+ATU6*POWER(1-(AnnualChurn*VLOOKUP(ATF54,ChurnSeasonTable,4,FALSE)),4)*BlendedPricePremAnnual*ATI54+ATV42*POWER(1-(AnnualChurn*VLOOKUP(ATF54,ChurnSeasonTable,4,FALSE)),1)*BlendedPriceEliteAnnual*ATI54+ATV30*POWER(1-(AnnualChurn*VLOOKUP(ATF54,ChurnSeasonTable,4,FALSE)),2)*BlendedPriceEliteAnnual*ATI54+ATV18*POWER(1-(AnnualChurn*VLOOKUP(ATF54,ChurnSeasonTable,4,FALSE)),3)*BlendedPriceEliteAnnual*ATI54+ATV6*POWER(1-(AnnualChurn*VLOOKUP(ATF54,ChurnSeasonTable,4,FALSE)),4)*BlendedPriceEliteAnnual*ATI54</f>
        <v/>
      </c>
      <c r="AUI54" s="9">
        <f>AUF54+AUG54+AUH54</f>
        <v/>
      </c>
      <c r="AUJ54" s="12">
        <f>SUM(AUI43:AUI54)</f>
        <v/>
      </c>
      <c r="AUK54" s="12">
        <f>OR(AUK53,IF(VATAgentMode,SUM($AUI43:$AUI54)-SUM($AUP43:$AUP54)&gt;=VATThreshold,SUM($AUI43:$AUI54)&gt;=VATThreshold))</f>
        <v/>
      </c>
      <c r="AUL54" s="9">
        <f>IF(AUK54,IF(VATAgentMode,AUI54-((AUI54-AUP54)-(AUI54-AUP54)/(1+VATRate)),AUI54/(1+VATRate)),AUI54)</f>
        <v/>
      </c>
      <c r="AUM54" s="12">
        <f>AUI54-AUL54</f>
        <v/>
      </c>
      <c r="AUN54" s="12">
        <f>IF(AUK54=0,0,IF(ATF54=1,SUMPRODUCT(--(($ATG$5:$ATG54=$ATG54-1)*($ATF$5:$ATF54&gt;=10)*($ATF$5:$ATF54&lt;=12)),$AUM$5:$AUM54),IF(ATF54=4,SUMPRODUCT(--(($ATG$5:$ATG54=$ATG54)*($ATF$5:$ATF54&gt;=1)*($ATF$5:$ATF54&lt;=3)),$AUM$5:$AUM54),IF(ATF54=7,SUMPRODUCT(--(($ATG$5:$ATG54=$ATG54)*($ATF$5:$ATF54&gt;=4)*($ATF$5:$ATF54&lt;=6)),$AUM$5:$AUM54),IF(ATF54=10,SUMPRODUCT(--(($ATG$5:$ATG54=$ATG54)*($ATF$5:$ATF54&gt;=7)*($ATF$5:$ATF54&lt;=9)),$AUM$5:$AUM54),0)))))</f>
        <v/>
      </c>
      <c r="AUO54" s="12">
        <f>AUO53+AUM54-AUN54</f>
        <v/>
      </c>
      <c r="AUP54" s="12">
        <f>IF(ProviderDelay&gt;=1,ATW53*BlendedProvPayEss+ATX53*BlendedProvPayPrem+ATY53*BlendedProvPayElite+ATZ53*BlendedProvPayEss+AUA53*BlendedProvPayPrem+AUB53*BlendedProvPayElite,ATW54*BlendedProvPayEss+ATX54*BlendedProvPayPrem+ATY54*BlendedProvPayElite+ATZ54*BlendedProvPayEss+AUA54*BlendedProvPayPrem+AUB54*BlendedProvPayElite)</f>
        <v/>
      </c>
      <c r="AUQ54" s="12">
        <f>AUI54*PaymentFee</f>
        <v/>
      </c>
      <c r="AUR54" s="12">
        <f>AUC54*OpsAI</f>
        <v/>
      </c>
      <c r="AUS54" s="12">
        <f>MonthlyFixed</f>
        <v/>
      </c>
      <c r="AUT54" s="12">
        <f>ATM54*ReferralReward</f>
        <v/>
      </c>
      <c r="AUU54" s="12">
        <f>ATK54</f>
        <v/>
      </c>
      <c r="AUV54" s="9">
        <f>AUL54-AUP54-AUQ54-AUR54-AUS54-AUT54-AUU54</f>
        <v/>
      </c>
      <c r="AUW54" s="9">
        <f>AUW53+AUI54-(AUP54+AUQ54+AUR54+AUS54+AUT54+AUU54+AUN54)</f>
        <v/>
      </c>
      <c r="AUX54" s="12">
        <f>IF(AUC54&gt;0,AUD54/AUC54,0)</f>
        <v/>
      </c>
      <c r="AUY54" s="11">
        <f>IF(AUC53&gt;0,MAX(0,(AUC53+ATN54-AUC54)/AUC53),0)</f>
        <v/>
      </c>
      <c r="AVA54" s="12" t="n">
        <v>50</v>
      </c>
      <c r="AVB54" s="12">
        <f>MOD(AVA54-1+LaunchMonth-1,12)+1</f>
        <v/>
      </c>
      <c r="AVC54" s="12">
        <f>INT((AVA54-1+LaunchMonth-1)/12)+1</f>
        <v/>
      </c>
      <c r="AVD54" s="12">
        <f>VLOOKUP(AVB54,WinterPivotSeasonTable,5,FALSE)</f>
        <v/>
      </c>
      <c r="AVE54" s="12">
        <f>(1+InflationRate)^INT((AVA54-1)/12)</f>
        <v/>
      </c>
      <c r="AVF54" s="11">
        <f>MonthlyChurn*VLOOKUP(AVB54,WinterPivotChurnTable,6,FALSE)</f>
        <v/>
      </c>
      <c r="AVG54" s="12">
        <f>MIN(MAX(MktMin19plus,AWE53*MktPct19plus),MAX(0,AWS53-CashBuffer))</f>
        <v/>
      </c>
      <c r="AVH54" s="12">
        <f>IF(AVG54&gt;0,MAX(1,ROUND(AVG54/CAC*AVD54,0)),0)</f>
        <v/>
      </c>
      <c r="AVI54" s="12">
        <f>IF(AVH54&gt;0,ROUND(AVH54*ReferralMix/(1-ReferralMix),0),0)</f>
        <v/>
      </c>
      <c r="AVJ54" s="12">
        <f>AVH54+AVI54</f>
        <v/>
      </c>
      <c r="AVK54" s="12">
        <f>ROUND(AVJ54*(1-AnnualMix),0)</f>
        <v/>
      </c>
      <c r="AVL54" s="12">
        <f>AVJ54-AVK54</f>
        <v/>
      </c>
      <c r="AVM54" s="12">
        <f>ROUND(AVK54*'Sens - Winter Pivot'!$B$6,0)</f>
        <v/>
      </c>
      <c r="AVN54" s="12">
        <f>ROUND(AVK54*PremiumMix,0)</f>
        <v/>
      </c>
      <c r="AVO54" s="12">
        <f>AVK54-AVM54-AVN54</f>
        <v/>
      </c>
      <c r="AVP54" s="12">
        <f>ROUND(AVL54*'Sens - Winter Pivot'!$B$6,0)</f>
        <v/>
      </c>
      <c r="AVQ54" s="12">
        <f>ROUND(AVL54*PremiumMix,0)</f>
        <v/>
      </c>
      <c r="AVR54" s="12">
        <f>AVL54-AVP54-AVQ54</f>
        <v/>
      </c>
      <c r="AVS54" s="12">
        <f>AVM54+AVM53+AVM52+MAX(0,AVS53-AVM53-AVM52)*(1-AVF54)</f>
        <v/>
      </c>
      <c r="AVT54" s="12">
        <f>AVN54+AVN53+AVN52+MAX(0,AVT53-AVN53-AVN52)*(1-AVF54)</f>
        <v/>
      </c>
      <c r="AVU54" s="12">
        <f>AVO54+AVO53+AVO52+MAX(0,AVU53-AVO53-AVO52)*(1-AVF54)</f>
        <v/>
      </c>
      <c r="AVV54" s="12">
        <f>AVV53+AVP54-AVP42*(AnnualChurn*VLOOKUP(AVB54,ChurnSeasonTable,4,FALSE))*POWER(1-(AnnualChurn*VLOOKUP(AVB54,ChurnSeasonTable,4,FALSE)),0)+AVP30*(AnnualChurn*VLOOKUP(AVB54,ChurnSeasonTable,4,FALSE))*POWER(1-(AnnualChurn*VLOOKUP(AVB54,ChurnSeasonTable,4,FALSE)),1)+AVP18*(AnnualChurn*VLOOKUP(AVB54,ChurnSeasonTable,4,FALSE))*POWER(1-(AnnualChurn*VLOOKUP(AVB54,ChurnSeasonTable,4,FALSE)),2)+AVP6*(AnnualChurn*VLOOKUP(AVB54,ChurnSeasonTable,4,FALSE))*POWER(1-(AnnualChurn*VLOOKUP(AVB54,ChurnSeasonTable,4,FALSE)),3)</f>
        <v/>
      </c>
      <c r="AVW54" s="12">
        <f>AVW53+AVQ54-AVQ42*(AnnualChurn*VLOOKUP(AVB54,ChurnSeasonTable,4,FALSE))*POWER(1-(AnnualChurn*VLOOKUP(AVB54,ChurnSeasonTable,4,FALSE)),0)+AVQ30*(AnnualChurn*VLOOKUP(AVB54,ChurnSeasonTable,4,FALSE))*POWER(1-(AnnualChurn*VLOOKUP(AVB54,ChurnSeasonTable,4,FALSE)),1)+AVQ18*(AnnualChurn*VLOOKUP(AVB54,ChurnSeasonTable,4,FALSE))*POWER(1-(AnnualChurn*VLOOKUP(AVB54,ChurnSeasonTable,4,FALSE)),2)+AVQ6*(AnnualChurn*VLOOKUP(AVB54,ChurnSeasonTable,4,FALSE))*POWER(1-(AnnualChurn*VLOOKUP(AVB54,ChurnSeasonTable,4,FALSE)),3)</f>
        <v/>
      </c>
      <c r="AVX54" s="12">
        <f>AVX53+AVR54-AVR42*(AnnualChurn*VLOOKUP(AVB54,ChurnSeasonTable,4,FALSE))*POWER(1-(AnnualChurn*VLOOKUP(AVB54,ChurnSeasonTable,4,FALSE)),0)+AVR30*(AnnualChurn*VLOOKUP(AVB54,ChurnSeasonTable,4,FALSE))*POWER(1-(AnnualChurn*VLOOKUP(AVB54,ChurnSeasonTable,4,FALSE)),1)+AVR18*(AnnualChurn*VLOOKUP(AVB54,ChurnSeasonTable,4,FALSE))*POWER(1-(AnnualChurn*VLOOKUP(AVB54,ChurnSeasonTable,4,FALSE)),2)+AVR6*(AnnualChurn*VLOOKUP(AVB54,ChurnSeasonTable,4,FALSE))*POWER(1-(AnnualChurn*VLOOKUP(AVB54,ChurnSeasonTable,4,FALSE)),3)</f>
        <v/>
      </c>
      <c r="AVY54" s="12">
        <f>AVS54+AVT54+AVU54+AVV54+AVW54+AVX54</f>
        <v/>
      </c>
      <c r="AVZ54" s="9">
        <f>AVS54*BlendedPriceEssMonthly*AVE54+AVT54*(BlendedPricePremMonthly+'Sens - Winter Pivot'!$B$7)*AVE54+AVU54*BlendedPriceEliteMonthly*AVE54+AVV54*BlendedPriceEssAnnual*AVE54/12+AVW54*(BlendedPricePremAnnual+'Sens - Winter Pivot'!$B$7*12)*AVE54/12+AVX54*BlendedPriceEliteAnnual*AVE54/12</f>
        <v/>
      </c>
      <c r="AWA54" s="9">
        <f>AVZ54*12</f>
        <v/>
      </c>
      <c r="AWB54" s="12">
        <f>AVS54*BlendedPriceEssMonthly*AVE54+AVT54*(BlendedPricePremMonthly+'Sens - Winter Pivot'!$B$7)*AVE54+AVU54*BlendedPriceEliteMonthly*AVE54</f>
        <v/>
      </c>
      <c r="AWC54" s="12">
        <f>AVP54*BlendedPriceEssAnnual*AVE54+AVQ54*(BlendedPricePremAnnual+'Sens - Winter Pivot'!$B$7*12)*AVE54+AVR54*BlendedPriceEliteAnnual*AVE54</f>
        <v/>
      </c>
      <c r="AWD54" s="12">
        <f>AVP42*POWER(1-(AnnualChurn*VLOOKUP(AVB54,ChurnSeasonTable,4,FALSE)),1)*BlendedPriceEssAnnual*AVE54+AVP30*POWER(1-(AnnualChurn*VLOOKUP(AVB54,ChurnSeasonTable,4,FALSE)),2)*BlendedPriceEssAnnual*AVE54+AVP18*POWER(1-(AnnualChurn*VLOOKUP(AVB54,ChurnSeasonTable,4,FALSE)),3)*BlendedPriceEssAnnual*AVE54+AVP6*POWER(1-(AnnualChurn*VLOOKUP(AVB54,ChurnSeasonTable,4,FALSE)),4)*BlendedPriceEssAnnual*AVE54+AVQ42*POWER(1-(AnnualChurn*VLOOKUP(AVB54,ChurnSeasonTable,4,FALSE)),1)*BlendedPricePremAnnual*AVE54+AVQ30*POWER(1-(AnnualChurn*VLOOKUP(AVB54,ChurnSeasonTable,4,FALSE)),2)*BlendedPricePremAnnual*AVE54+AVQ18*POWER(1-(AnnualChurn*VLOOKUP(AVB54,ChurnSeasonTable,4,FALSE)),3)*BlendedPricePremAnnual*AVE54+AVQ6*POWER(1-(AnnualChurn*VLOOKUP(AVB54,ChurnSeasonTable,4,FALSE)),4)*BlendedPricePremAnnual*AVE54+AVR42*POWER(1-(AnnualChurn*VLOOKUP(AVB54,ChurnSeasonTable,4,FALSE)),1)*BlendedPriceEliteAnnual*AVE54+AVR30*POWER(1-(AnnualChurn*VLOOKUP(AVB54,ChurnSeasonTable,4,FALSE)),2)*BlendedPriceEliteAnnual*AVE54+AVR18*POWER(1-(AnnualChurn*VLOOKUP(AVB54,ChurnSeasonTable,4,FALSE)),3)*BlendedPriceEliteAnnual*AVE54+AVR6*POWER(1-(AnnualChurn*VLOOKUP(AVB54,ChurnSeasonTable,4,FALSE)),4)*BlendedPriceEliteAnnual*AVE54</f>
        <v/>
      </c>
      <c r="AWE54" s="9">
        <f>AWB54+AWC54+AWD54</f>
        <v/>
      </c>
      <c r="AWF54" s="12">
        <f>SUM(AWE43:AWE54)</f>
        <v/>
      </c>
      <c r="AWG54" s="12">
        <f>OR(AWG53,IF(VATAgentMode,SUM($AWE43:$AWE54)-SUM($AWL43:$AWL54)&gt;=VATThreshold,SUM($AWE43:$AWE54)&gt;=VATThreshold))</f>
        <v/>
      </c>
      <c r="AWH54" s="9">
        <f>IF(AWG54,IF(VATAgentMode,AWE54-((AWE54-AWL54)-(AWE54-AWL54)/(1+VATRate)),AWE54/(1+VATRate)),AWE54)</f>
        <v/>
      </c>
      <c r="AWI54" s="12">
        <f>AWE54-AWH54</f>
        <v/>
      </c>
      <c r="AWJ54" s="12">
        <f>IF(AWG54=0,0,IF(AVB54=1,SUMPRODUCT(--(($AVC$5:$AVC54=$AVC54-1)*($AVB$5:$AVB54&gt;=10)*($AVB$5:$AVB54&lt;=12)),$AWI$5:$AWI54),IF(AVB54=4,SUMPRODUCT(--(($AVC$5:$AVC54=$AVC54)*($AVB$5:$AVB54&gt;=1)*($AVB$5:$AVB54&lt;=3)),$AWI$5:$AWI54),IF(AVB54=7,SUMPRODUCT(--(($AVC$5:$AVC54=$AVC54)*($AVB$5:$AVB54&gt;=4)*($AVB$5:$AVB54&lt;=6)),$AWI$5:$AWI54),IF(AVB54=10,SUMPRODUCT(--(($AVC$5:$AVC54=$AVC54)*($AVB$5:$AVB54&gt;=7)*($AVB$5:$AVB54&lt;=9)),$AWI$5:$AWI54),0)))))</f>
        <v/>
      </c>
      <c r="AWK54" s="12">
        <f>AWK53+AWI54-AWJ54</f>
        <v/>
      </c>
      <c r="AWL54" s="12">
        <f>IF(ProviderDelay&gt;=1,AVS53*BlendedProvPayEss+AVT53*BlendedProvPayPrem+AVU53*BlendedProvPayElite+AVV53*BlendedProvPayEss+AVW53*BlendedProvPayPrem+AVX53*BlendedProvPayElite,AVS54*BlendedProvPayEss+AVT54*BlendedProvPayPrem+AVU54*BlendedProvPayElite+AVV54*BlendedProvPayEss+AVW54*BlendedProvPayPrem+AVX54*BlendedProvPayElite)</f>
        <v/>
      </c>
      <c r="AWM54" s="12">
        <f>AWE54*PaymentFee</f>
        <v/>
      </c>
      <c r="AWN54" s="12">
        <f>AVY54*OpsAI</f>
        <v/>
      </c>
      <c r="AWO54" s="12">
        <f>MonthlyFixed</f>
        <v/>
      </c>
      <c r="AWP54" s="12">
        <f>AVI54*ReferralReward</f>
        <v/>
      </c>
      <c r="AWQ54" s="12">
        <f>AVG54</f>
        <v/>
      </c>
      <c r="AWR54" s="9">
        <f>AWH54-AWL54-AWM54-AWN54-AWO54-AWP54-AWQ54</f>
        <v/>
      </c>
      <c r="AWS54" s="9">
        <f>AWS53+AWE54-(AWL54+AWM54+AWN54+AWO54+AWP54+AWQ54+AWJ54)</f>
        <v/>
      </c>
      <c r="AWT54" s="12">
        <f>IF(AVY54&gt;0,AVZ54/AVY54,0)</f>
        <v/>
      </c>
      <c r="AWU54" s="11">
        <f>IF(AVY53&gt;0,MAX(0,(AVY53+AVJ54-AVY54)/AVY53),0)</f>
        <v/>
      </c>
    </row>
    <row r="55">
      <c r="A55" s="12" t="n">
        <v>51</v>
      </c>
      <c r="B55" s="12">
        <f>MOD(A55-1+LaunchMonth-1,12)+1</f>
        <v/>
      </c>
      <c r="C55" s="12">
        <f>INT((A55-1+LaunchMonth-1)/12)+1</f>
        <v/>
      </c>
      <c r="D55" s="12">
        <f>VLOOKUP(B55,SeasonTable,2,FALSE)</f>
        <v/>
      </c>
      <c r="E55" s="12">
        <f>(1+InflationRate)^INT((A55-1)/12)</f>
        <v/>
      </c>
      <c r="F55" s="11">
        <f>'Sens - Scenarios'!$B$5*VLOOKUP(B55,ChurnSeasonTable,4,FALSE)</f>
        <v/>
      </c>
      <c r="G55" s="12">
        <f>MIN(MAX(MktMin19plus,AE54*MktPct19plus),MAX(0,AS54-CashBuffer))</f>
        <v/>
      </c>
      <c r="H55" s="12">
        <f>IF(G55&gt;0,MAX(1,ROUND(G55/'Sens - Scenarios'!$B$8*D55,0)),0)</f>
        <v/>
      </c>
      <c r="I55" s="12">
        <f>IF(H55&gt;0,ROUND(H55*ReferralMix/(1-ReferralMix),0),0)</f>
        <v/>
      </c>
      <c r="J55" s="12">
        <f>H55+I55</f>
        <v/>
      </c>
      <c r="K55" s="12">
        <f>ROUND(J55*(1-'Sens - Scenarios'!$B$7),0)</f>
        <v/>
      </c>
      <c r="L55" s="12">
        <f>J55-K55</f>
        <v/>
      </c>
      <c r="M55" s="12">
        <f>ROUND(K55*EssentialMix,0)</f>
        <v/>
      </c>
      <c r="N55" s="12">
        <f>ROUND(K55*PremiumMix,0)</f>
        <v/>
      </c>
      <c r="O55" s="12">
        <f>K55-M55-N55</f>
        <v/>
      </c>
      <c r="P55" s="12">
        <f>ROUND(L55*EssentialMix,0)</f>
        <v/>
      </c>
      <c r="Q55" s="12">
        <f>ROUND(L55*PremiumMix,0)</f>
        <v/>
      </c>
      <c r="R55" s="12">
        <f>L55-P55-Q55</f>
        <v/>
      </c>
      <c r="S55" s="12">
        <f>M55+M54+M53+MAX(0,S54-M54-M53)*(1-F55)</f>
        <v/>
      </c>
      <c r="T55" s="12">
        <f>N55+N54+N53+MAX(0,T54-N54-N53)*(1-F55)</f>
        <v/>
      </c>
      <c r="U55" s="12">
        <f>O55+O54+O53+MAX(0,U54-O54-O53)*(1-F55)</f>
        <v/>
      </c>
      <c r="V55" s="12">
        <f>V54+P55-P43*('Sens - Scenarios'!$B$6*VLOOKUP(B55,ChurnSeasonTable,4,FALSE))*POWER(1-('Sens - Scenarios'!$B$6*VLOOKUP(B55,ChurnSeasonTable,4,FALSE)),0)+P31*('Sens - Scenarios'!$B$6*VLOOKUP(B55,ChurnSeasonTable,4,FALSE))*POWER(1-('Sens - Scenarios'!$B$6*VLOOKUP(B55,ChurnSeasonTable,4,FALSE)),1)+P19*('Sens - Scenarios'!$B$6*VLOOKUP(B55,ChurnSeasonTable,4,FALSE))*POWER(1-('Sens - Scenarios'!$B$6*VLOOKUP(B55,ChurnSeasonTable,4,FALSE)),2)+P7*('Sens - Scenarios'!$B$6*VLOOKUP(B55,ChurnSeasonTable,4,FALSE))*POWER(1-('Sens - Scenarios'!$B$6*VLOOKUP(B55,ChurnSeasonTable,4,FALSE)),3)</f>
        <v/>
      </c>
      <c r="W55" s="12">
        <f>W54+Q55-Q43*('Sens - Scenarios'!$B$6*VLOOKUP(B55,ChurnSeasonTable,4,FALSE))*POWER(1-('Sens - Scenarios'!$B$6*VLOOKUP(B55,ChurnSeasonTable,4,FALSE)),0)+Q31*('Sens - Scenarios'!$B$6*VLOOKUP(B55,ChurnSeasonTable,4,FALSE))*POWER(1-('Sens - Scenarios'!$B$6*VLOOKUP(B55,ChurnSeasonTable,4,FALSE)),1)+Q19*('Sens - Scenarios'!$B$6*VLOOKUP(B55,ChurnSeasonTable,4,FALSE))*POWER(1-('Sens - Scenarios'!$B$6*VLOOKUP(B55,ChurnSeasonTable,4,FALSE)),2)+Q7*('Sens - Scenarios'!$B$6*VLOOKUP(B55,ChurnSeasonTable,4,FALSE))*POWER(1-('Sens - Scenarios'!$B$6*VLOOKUP(B55,ChurnSeasonTable,4,FALSE)),3)</f>
        <v/>
      </c>
      <c r="X55" s="12">
        <f>X54+R55-R43*('Sens - Scenarios'!$B$6*VLOOKUP(B55,ChurnSeasonTable,4,FALSE))*POWER(1-('Sens - Scenarios'!$B$6*VLOOKUP(B55,ChurnSeasonTable,4,FALSE)),0)+R31*('Sens - Scenarios'!$B$6*VLOOKUP(B55,ChurnSeasonTable,4,FALSE))*POWER(1-('Sens - Scenarios'!$B$6*VLOOKUP(B55,ChurnSeasonTable,4,FALSE)),1)+R19*('Sens - Scenarios'!$B$6*VLOOKUP(B55,ChurnSeasonTable,4,FALSE))*POWER(1-('Sens - Scenarios'!$B$6*VLOOKUP(B55,ChurnSeasonTable,4,FALSE)),2)+R7*('Sens - Scenarios'!$B$6*VLOOKUP(B55,ChurnSeasonTable,4,FALSE))*POWER(1-('Sens - Scenarios'!$B$6*VLOOKUP(B55,ChurnSeasonTable,4,FALSE)),3)</f>
        <v/>
      </c>
      <c r="Y55" s="12">
        <f>S55+T55+U55+V55+W55+X55</f>
        <v/>
      </c>
      <c r="Z55" s="9">
        <f>S55*BlendedPriceEssMonthly*E55+T55*BlendedPricePremMonthly*E55+U55*BlendedPriceEliteMonthly*E55+V55*BlendedPriceEssAnnual*E55/12+W55*BlendedPricePremAnnual*E55/12+X55*BlendedPriceEliteAnnual*E55/12</f>
        <v/>
      </c>
      <c r="AA55" s="9">
        <f>Z55*12</f>
        <v/>
      </c>
      <c r="AB55" s="12">
        <f>S55*BlendedPriceEssMonthly*E55+T55*BlendedPricePremMonthly*E55+U55*BlendedPriceEliteMonthly*E55</f>
        <v/>
      </c>
      <c r="AC55" s="12">
        <f>P55*BlendedPriceEssAnnual*E55+Q55*BlendedPricePremAnnual*E55+R55*BlendedPriceEliteAnnual*E55</f>
        <v/>
      </c>
      <c r="AD55" s="12">
        <f>P43*POWER(1-('Sens - Scenarios'!$B$6*VLOOKUP(B55,ChurnSeasonTable,4,FALSE)),1)*BlendedPriceEssAnnual*E55+P31*POWER(1-('Sens - Scenarios'!$B$6*VLOOKUP(B55,ChurnSeasonTable,4,FALSE)),2)*BlendedPriceEssAnnual*E55+P19*POWER(1-('Sens - Scenarios'!$B$6*VLOOKUP(B55,ChurnSeasonTable,4,FALSE)),3)*BlendedPriceEssAnnual*E55+P7*POWER(1-('Sens - Scenarios'!$B$6*VLOOKUP(B55,ChurnSeasonTable,4,FALSE)),4)*BlendedPriceEssAnnual*E55+Q43*POWER(1-('Sens - Scenarios'!$B$6*VLOOKUP(B55,ChurnSeasonTable,4,FALSE)),1)*BlendedPricePremAnnual*E55+Q31*POWER(1-('Sens - Scenarios'!$B$6*VLOOKUP(B55,ChurnSeasonTable,4,FALSE)),2)*BlendedPricePremAnnual*E55+Q19*POWER(1-('Sens - Scenarios'!$B$6*VLOOKUP(B55,ChurnSeasonTable,4,FALSE)),3)*BlendedPricePremAnnual*E55+Q7*POWER(1-('Sens - Scenarios'!$B$6*VLOOKUP(B55,ChurnSeasonTable,4,FALSE)),4)*BlendedPricePremAnnual*E55+R43*POWER(1-('Sens - Scenarios'!$B$6*VLOOKUP(B55,ChurnSeasonTable,4,FALSE)),1)*BlendedPriceEliteAnnual*E55+R31*POWER(1-('Sens - Scenarios'!$B$6*VLOOKUP(B55,ChurnSeasonTable,4,FALSE)),2)*BlendedPriceEliteAnnual*E55+R19*POWER(1-('Sens - Scenarios'!$B$6*VLOOKUP(B55,ChurnSeasonTable,4,FALSE)),3)*BlendedPriceEliteAnnual*E55+R7*POWER(1-('Sens - Scenarios'!$B$6*VLOOKUP(B55,ChurnSeasonTable,4,FALSE)),4)*BlendedPriceEliteAnnual*E55</f>
        <v/>
      </c>
      <c r="AE55" s="9">
        <f>AB55+AC55+AD55</f>
        <v/>
      </c>
      <c r="AF55" s="12">
        <f>SUM(AE44:AE55)</f>
        <v/>
      </c>
      <c r="AG55" s="12">
        <f>OR(AG54,IF(VATAgentMode,SUM($AE44:$AE55)-SUM($AL44:$AL55)&gt;=VATThreshold,SUM($AE44:$AE55)&gt;=VATThreshold))</f>
        <v/>
      </c>
      <c r="AH55" s="9">
        <f>IF(AG55,IF(VATAgentMode,AE55-((AE55-AL55)-(AE55-AL55)/(1+VATRate)),AE55/(1+VATRate)),AE55)</f>
        <v/>
      </c>
      <c r="AI55" s="12">
        <f>AE55-AH55</f>
        <v/>
      </c>
      <c r="AJ55" s="12">
        <f>IF(AG55=0,0,IF(B55=1,SUMPRODUCT(--(($C$5:$C55=$C55-1)*($B$5:$B55&gt;=10)*($B$5:$B55&lt;=12)),$AI$5:$AI55),IF(B55=4,SUMPRODUCT(--(($C$5:$C55=$C55)*($B$5:$B55&gt;=1)*($B$5:$B55&lt;=3)),$AI$5:$AI55),IF(B55=7,SUMPRODUCT(--(($C$5:$C55=$C55)*($B$5:$B55&gt;=4)*($B$5:$B55&lt;=6)),$AI$5:$AI55),IF(B55=10,SUMPRODUCT(--(($C$5:$C55=$C55)*($B$5:$B55&gt;=7)*($B$5:$B55&lt;=9)),$AI$5:$AI55),0)))))</f>
        <v/>
      </c>
      <c r="AK55" s="12">
        <f>AK54+AI55-AJ55</f>
        <v/>
      </c>
      <c r="AL55" s="12">
        <f>IF(ProviderDelay&gt;=1,S54*BlendedProvPayEss+T54*BlendedProvPayPrem+U54*BlendedProvPayElite+V54*BlendedProvPayEss+W54*BlendedProvPayPrem+X54*BlendedProvPayElite,S55*BlendedProvPayEss+T55*BlendedProvPayPrem+U55*BlendedProvPayElite+V55*BlendedProvPayEss+W55*BlendedProvPayPrem+X55*BlendedProvPayElite)</f>
        <v/>
      </c>
      <c r="AM55" s="12">
        <f>AE55*PaymentFee</f>
        <v/>
      </c>
      <c r="AN55" s="12">
        <f>Y55*OpsAI</f>
        <v/>
      </c>
      <c r="AO55" s="12">
        <f>MonthlyFixed</f>
        <v/>
      </c>
      <c r="AP55" s="12">
        <f>I55*ReferralReward</f>
        <v/>
      </c>
      <c r="AQ55" s="12">
        <f>G55</f>
        <v/>
      </c>
      <c r="AR55" s="9">
        <f>AH55-AL55-AM55-AN55-AO55-AP55-AQ55</f>
        <v/>
      </c>
      <c r="AS55" s="9">
        <f>AS54+AE55-(AL55+AM55+AN55+AO55+AP55+AQ55+AJ55)</f>
        <v/>
      </c>
      <c r="AT55" s="12">
        <f>IF(Y55&gt;0,Z55/Y55,0)</f>
        <v/>
      </c>
      <c r="AU55" s="11">
        <f>IF(Y54&gt;0,MAX(0,(Y54+J55-Y55)/Y54),0)</f>
        <v/>
      </c>
      <c r="AW55" s="12" t="n">
        <v>51</v>
      </c>
      <c r="AX55" s="12">
        <f>MOD(AW55-1+LaunchMonth-1,12)+1</f>
        <v/>
      </c>
      <c r="AY55" s="12">
        <f>INT((AW55-1+LaunchMonth-1)/12)+1</f>
        <v/>
      </c>
      <c r="AZ55" s="12">
        <f>VLOOKUP(AX55,SeasonTable,2,FALSE)</f>
        <v/>
      </c>
      <c r="BA55" s="12">
        <f>(1+InflationRate)^INT((AW55-1)/12)</f>
        <v/>
      </c>
      <c r="BB55" s="11">
        <f>MonthlyChurn*VLOOKUP(AX55,ChurnSeasonTable,4,FALSE)</f>
        <v/>
      </c>
      <c r="BC55" s="12">
        <f>MIN(MAX(MktMin19plus,CA54*MktPct19plus),MAX(0,CO54-CashBuffer))</f>
        <v/>
      </c>
      <c r="BD55" s="12">
        <f>IF(BC55&gt;0,MAX(1,ROUND(BC55/CAC*AZ55,0)),0)</f>
        <v/>
      </c>
      <c r="BE55" s="12">
        <f>IF(BD55&gt;0,ROUND(BD55*ReferralMix/(1-ReferralMix),0),0)</f>
        <v/>
      </c>
      <c r="BF55" s="12">
        <f>BD55+BE55</f>
        <v/>
      </c>
      <c r="BG55" s="12">
        <f>ROUND(BF55*(1-AnnualMix),0)</f>
        <v/>
      </c>
      <c r="BH55" s="12">
        <f>BF55-BG55</f>
        <v/>
      </c>
      <c r="BI55" s="12">
        <f>ROUND(BG55*EssentialMix,0)</f>
        <v/>
      </c>
      <c r="BJ55" s="12">
        <f>ROUND(BG55*PremiumMix,0)</f>
        <v/>
      </c>
      <c r="BK55" s="12">
        <f>BG55-BI55-BJ55</f>
        <v/>
      </c>
      <c r="BL55" s="12">
        <f>ROUND(BH55*EssentialMix,0)</f>
        <v/>
      </c>
      <c r="BM55" s="12">
        <f>ROUND(BH55*PremiumMix,0)</f>
        <v/>
      </c>
      <c r="BN55" s="12">
        <f>BH55-BL55-BM55</f>
        <v/>
      </c>
      <c r="BO55" s="12">
        <f>BI55+BI54+BI53+MAX(0,BO54-BI54-BI53)*(1-BB55)</f>
        <v/>
      </c>
      <c r="BP55" s="12">
        <f>BJ55+BJ54+BJ53+MAX(0,BP54-BJ54-BJ53)*(1-BB55)</f>
        <v/>
      </c>
      <c r="BQ55" s="12">
        <f>BK55+BK54+BK53+MAX(0,BQ54-BK54-BK53)*(1-BB55)</f>
        <v/>
      </c>
      <c r="BR55" s="12">
        <f>BR54+BL55-BL43*(AnnualChurn*VLOOKUP(AX55,ChurnSeasonTable,4,FALSE))*POWER(1-(AnnualChurn*VLOOKUP(AX55,ChurnSeasonTable,4,FALSE)),0)+BL31*(AnnualChurn*VLOOKUP(AX55,ChurnSeasonTable,4,FALSE))*POWER(1-(AnnualChurn*VLOOKUP(AX55,ChurnSeasonTable,4,FALSE)),1)+BL19*(AnnualChurn*VLOOKUP(AX55,ChurnSeasonTable,4,FALSE))*POWER(1-(AnnualChurn*VLOOKUP(AX55,ChurnSeasonTable,4,FALSE)),2)+BL7*(AnnualChurn*VLOOKUP(AX55,ChurnSeasonTable,4,FALSE))*POWER(1-(AnnualChurn*VLOOKUP(AX55,ChurnSeasonTable,4,FALSE)),3)</f>
        <v/>
      </c>
      <c r="BS55" s="12">
        <f>BS54+BM55-BM43*(AnnualChurn*VLOOKUP(AX55,ChurnSeasonTable,4,FALSE))*POWER(1-(AnnualChurn*VLOOKUP(AX55,ChurnSeasonTable,4,FALSE)),0)+BM31*(AnnualChurn*VLOOKUP(AX55,ChurnSeasonTable,4,FALSE))*POWER(1-(AnnualChurn*VLOOKUP(AX55,ChurnSeasonTable,4,FALSE)),1)+BM19*(AnnualChurn*VLOOKUP(AX55,ChurnSeasonTable,4,FALSE))*POWER(1-(AnnualChurn*VLOOKUP(AX55,ChurnSeasonTable,4,FALSE)),2)+BM7*(AnnualChurn*VLOOKUP(AX55,ChurnSeasonTable,4,FALSE))*POWER(1-(AnnualChurn*VLOOKUP(AX55,ChurnSeasonTable,4,FALSE)),3)</f>
        <v/>
      </c>
      <c r="BT55" s="12">
        <f>BT54+BN55-BN43*(AnnualChurn*VLOOKUP(AX55,ChurnSeasonTable,4,FALSE))*POWER(1-(AnnualChurn*VLOOKUP(AX55,ChurnSeasonTable,4,FALSE)),0)+BN31*(AnnualChurn*VLOOKUP(AX55,ChurnSeasonTable,4,FALSE))*POWER(1-(AnnualChurn*VLOOKUP(AX55,ChurnSeasonTable,4,FALSE)),1)+BN19*(AnnualChurn*VLOOKUP(AX55,ChurnSeasonTable,4,FALSE))*POWER(1-(AnnualChurn*VLOOKUP(AX55,ChurnSeasonTable,4,FALSE)),2)+BN7*(AnnualChurn*VLOOKUP(AX55,ChurnSeasonTable,4,FALSE))*POWER(1-(AnnualChurn*VLOOKUP(AX55,ChurnSeasonTable,4,FALSE)),3)</f>
        <v/>
      </c>
      <c r="BU55" s="12">
        <f>BO55+BP55+BQ55+BR55+BS55+BT55</f>
        <v/>
      </c>
      <c r="BV55" s="9">
        <f>BO55*BlendedPriceEssMonthly*BA55+BP55*BlendedPricePremMonthly*BA55+BQ55*BlendedPriceEliteMonthly*BA55+BR55*BlendedPriceEssAnnual*BA55/12+BS55*BlendedPricePremAnnual*BA55/12+BT55*BlendedPriceEliteAnnual*BA55/12</f>
        <v/>
      </c>
      <c r="BW55" s="9">
        <f>BV55*12</f>
        <v/>
      </c>
      <c r="BX55" s="12">
        <f>BO55*BlendedPriceEssMonthly*BA55+BP55*BlendedPricePremMonthly*BA55+BQ55*BlendedPriceEliteMonthly*BA55</f>
        <v/>
      </c>
      <c r="BY55" s="12">
        <f>BL55*BlendedPriceEssAnnual*BA55+BM55*BlendedPricePremAnnual*BA55+BN55*BlendedPriceEliteAnnual*BA55</f>
        <v/>
      </c>
      <c r="BZ55" s="12">
        <f>BL43*POWER(1-(AnnualChurn*VLOOKUP(AX55,ChurnSeasonTable,4,FALSE)),1)*BlendedPriceEssAnnual*BA55+BL31*POWER(1-(AnnualChurn*VLOOKUP(AX55,ChurnSeasonTable,4,FALSE)),2)*BlendedPriceEssAnnual*BA55+BL19*POWER(1-(AnnualChurn*VLOOKUP(AX55,ChurnSeasonTable,4,FALSE)),3)*BlendedPriceEssAnnual*BA55+BL7*POWER(1-(AnnualChurn*VLOOKUP(AX55,ChurnSeasonTable,4,FALSE)),4)*BlendedPriceEssAnnual*BA55+BM43*POWER(1-(AnnualChurn*VLOOKUP(AX55,ChurnSeasonTable,4,FALSE)),1)*BlendedPricePremAnnual*BA55+BM31*POWER(1-(AnnualChurn*VLOOKUP(AX55,ChurnSeasonTable,4,FALSE)),2)*BlendedPricePremAnnual*BA55+BM19*POWER(1-(AnnualChurn*VLOOKUP(AX55,ChurnSeasonTable,4,FALSE)),3)*BlendedPricePremAnnual*BA55+BM7*POWER(1-(AnnualChurn*VLOOKUP(AX55,ChurnSeasonTable,4,FALSE)),4)*BlendedPricePremAnnual*BA55+BN43*POWER(1-(AnnualChurn*VLOOKUP(AX55,ChurnSeasonTable,4,FALSE)),1)*BlendedPriceEliteAnnual*BA55+BN31*POWER(1-(AnnualChurn*VLOOKUP(AX55,ChurnSeasonTable,4,FALSE)),2)*BlendedPriceEliteAnnual*BA55+BN19*POWER(1-(AnnualChurn*VLOOKUP(AX55,ChurnSeasonTable,4,FALSE)),3)*BlendedPriceEliteAnnual*BA55+BN7*POWER(1-(AnnualChurn*VLOOKUP(AX55,ChurnSeasonTable,4,FALSE)),4)*BlendedPriceEliteAnnual*BA55</f>
        <v/>
      </c>
      <c r="CA55" s="9">
        <f>BX55+BY55+BZ55</f>
        <v/>
      </c>
      <c r="CB55" s="12">
        <f>SUM(CA44:CA55)</f>
        <v/>
      </c>
      <c r="CC55" s="12">
        <f>OR(CC54,IF(VATAgentMode,SUM($CA44:$CA55)-SUM($CH44:$CH55)&gt;=VATThreshold,SUM($CA44:$CA55)&gt;=VATThreshold))</f>
        <v/>
      </c>
      <c r="CD55" s="9">
        <f>IF(CC55,IF(VATAgentMode,CA55-((CA55-CH55)-(CA55-CH55)/(1+VATRate)),CA55/(1+VATRate)),CA55)</f>
        <v/>
      </c>
      <c r="CE55" s="12">
        <f>CA55-CD55</f>
        <v/>
      </c>
      <c r="CF55" s="12">
        <f>IF(CC55=0,0,IF(AX55=1,SUMPRODUCT(--(($AY$5:$AY55=$AY55-1)*($AX$5:$AX55&gt;=10)*($AX$5:$AX55&lt;=12)),$CE$5:$CE55),IF(AX55=4,SUMPRODUCT(--(($AY$5:$AY55=$AY55)*($AX$5:$AX55&gt;=1)*($AX$5:$AX55&lt;=3)),$CE$5:$CE55),IF(AX55=7,SUMPRODUCT(--(($AY$5:$AY55=$AY55)*($AX$5:$AX55&gt;=4)*($AX$5:$AX55&lt;=6)),$CE$5:$CE55),IF(AX55=10,SUMPRODUCT(--(($AY$5:$AY55=$AY55)*($AX$5:$AX55&gt;=7)*($AX$5:$AX55&lt;=9)),$CE$5:$CE55),0)))))</f>
        <v/>
      </c>
      <c r="CG55" s="12">
        <f>CG54+CE55-CF55</f>
        <v/>
      </c>
      <c r="CH55" s="12">
        <f>IF(ProviderDelay&gt;=1,BO54*BlendedProvPayEss+BP54*BlendedProvPayPrem+BQ54*BlendedProvPayElite+BR54*BlendedProvPayEss+BS54*BlendedProvPayPrem+BT54*BlendedProvPayElite,BO55*BlendedProvPayEss+BP55*BlendedProvPayPrem+BQ55*BlendedProvPayElite+BR55*BlendedProvPayEss+BS55*BlendedProvPayPrem+BT55*BlendedProvPayElite)</f>
        <v/>
      </c>
      <c r="CI55" s="12">
        <f>CA55*PaymentFee</f>
        <v/>
      </c>
      <c r="CJ55" s="12">
        <f>BU55*OpsAI</f>
        <v/>
      </c>
      <c r="CK55" s="12">
        <f>MonthlyFixed</f>
        <v/>
      </c>
      <c r="CL55" s="12">
        <f>BE55*ReferralReward</f>
        <v/>
      </c>
      <c r="CM55" s="12">
        <f>BC55</f>
        <v/>
      </c>
      <c r="CN55" s="9">
        <f>CD55-CH55-CI55-CJ55-CK55-CL55-CM55</f>
        <v/>
      </c>
      <c r="CO55" s="9">
        <f>CO54+CA55-(CH55+CI55+CJ55+CK55+CL55+CM55+CF55)</f>
        <v/>
      </c>
      <c r="CP55" s="12">
        <f>IF(BU55&gt;0,BV55/BU55,0)</f>
        <v/>
      </c>
      <c r="CQ55" s="11">
        <f>IF(BU54&gt;0,MAX(0,(BU54+BF55-BU55)/BU54),0)</f>
        <v/>
      </c>
      <c r="CS55" s="12" t="n">
        <v>51</v>
      </c>
      <c r="CT55" s="12">
        <f>MOD(CS55-1+LaunchMonth-1,12)+1</f>
        <v/>
      </c>
      <c r="CU55" s="12">
        <f>INT((CS55-1+LaunchMonth-1)/12)+1</f>
        <v/>
      </c>
      <c r="CV55" s="12">
        <f>VLOOKUP(CT55,SeasonTable,2,FALSE)</f>
        <v/>
      </c>
      <c r="CW55" s="12">
        <f>(1+InflationRate)^INT((CS55-1)/12)</f>
        <v/>
      </c>
      <c r="CX55" s="11">
        <f>'Sens - Scenarios'!$D$5*VLOOKUP(CT55,ChurnSeasonTable,4,FALSE)</f>
        <v/>
      </c>
      <c r="CY55" s="12">
        <f>MIN(MAX(MktMin19plus,DW54*MktPct19plus),MAX(0,EK54-CashBuffer))</f>
        <v/>
      </c>
      <c r="CZ55" s="12">
        <f>IF(CY55&gt;0,MAX(1,ROUND(CY55/'Sens - Scenarios'!$D$8*CV55,0)),0)</f>
        <v/>
      </c>
      <c r="DA55" s="12">
        <f>IF(CZ55&gt;0,ROUND(CZ55*ReferralMix/(1-ReferralMix),0),0)</f>
        <v/>
      </c>
      <c r="DB55" s="12">
        <f>CZ55+DA55</f>
        <v/>
      </c>
      <c r="DC55" s="12">
        <f>ROUND(DB55*(1-'Sens - Scenarios'!$D$7),0)</f>
        <v/>
      </c>
      <c r="DD55" s="12">
        <f>DB55-DC55</f>
        <v/>
      </c>
      <c r="DE55" s="12">
        <f>ROUND(DC55*EssentialMix,0)</f>
        <v/>
      </c>
      <c r="DF55" s="12">
        <f>ROUND(DC55*PremiumMix,0)</f>
        <v/>
      </c>
      <c r="DG55" s="12">
        <f>DC55-DE55-DF55</f>
        <v/>
      </c>
      <c r="DH55" s="12">
        <f>ROUND(DD55*EssentialMix,0)</f>
        <v/>
      </c>
      <c r="DI55" s="12">
        <f>ROUND(DD55*PremiumMix,0)</f>
        <v/>
      </c>
      <c r="DJ55" s="12">
        <f>DD55-DH55-DI55</f>
        <v/>
      </c>
      <c r="DK55" s="12">
        <f>DE55+DE54+DE53+MAX(0,DK54-DE54-DE53)*(1-CX55)</f>
        <v/>
      </c>
      <c r="DL55" s="12">
        <f>DF55+DF54+DF53+MAX(0,DL54-DF54-DF53)*(1-CX55)</f>
        <v/>
      </c>
      <c r="DM55" s="12">
        <f>DG55+DG54+DG53+MAX(0,DM54-DG54-DG53)*(1-CX55)</f>
        <v/>
      </c>
      <c r="DN55" s="12">
        <f>DN54+DH55-DH43*('Sens - Scenarios'!$D$6*VLOOKUP(CT55,ChurnSeasonTable,4,FALSE))*POWER(1-('Sens - Scenarios'!$D$6*VLOOKUP(CT55,ChurnSeasonTable,4,FALSE)),0)+DH31*('Sens - Scenarios'!$D$6*VLOOKUP(CT55,ChurnSeasonTable,4,FALSE))*POWER(1-('Sens - Scenarios'!$D$6*VLOOKUP(CT55,ChurnSeasonTable,4,FALSE)),1)+DH19*('Sens - Scenarios'!$D$6*VLOOKUP(CT55,ChurnSeasonTable,4,FALSE))*POWER(1-('Sens - Scenarios'!$D$6*VLOOKUP(CT55,ChurnSeasonTable,4,FALSE)),2)+DH7*('Sens - Scenarios'!$D$6*VLOOKUP(CT55,ChurnSeasonTable,4,FALSE))*POWER(1-('Sens - Scenarios'!$D$6*VLOOKUP(CT55,ChurnSeasonTable,4,FALSE)),3)</f>
        <v/>
      </c>
      <c r="DO55" s="12">
        <f>DO54+DI55-DI43*('Sens - Scenarios'!$D$6*VLOOKUP(CT55,ChurnSeasonTable,4,FALSE))*POWER(1-('Sens - Scenarios'!$D$6*VLOOKUP(CT55,ChurnSeasonTable,4,FALSE)),0)+DI31*('Sens - Scenarios'!$D$6*VLOOKUP(CT55,ChurnSeasonTable,4,FALSE))*POWER(1-('Sens - Scenarios'!$D$6*VLOOKUP(CT55,ChurnSeasonTable,4,FALSE)),1)+DI19*('Sens - Scenarios'!$D$6*VLOOKUP(CT55,ChurnSeasonTable,4,FALSE))*POWER(1-('Sens - Scenarios'!$D$6*VLOOKUP(CT55,ChurnSeasonTable,4,FALSE)),2)+DI7*('Sens - Scenarios'!$D$6*VLOOKUP(CT55,ChurnSeasonTable,4,FALSE))*POWER(1-('Sens - Scenarios'!$D$6*VLOOKUP(CT55,ChurnSeasonTable,4,FALSE)),3)</f>
        <v/>
      </c>
      <c r="DP55" s="12">
        <f>DP54+DJ55-DJ43*('Sens - Scenarios'!$D$6*VLOOKUP(CT55,ChurnSeasonTable,4,FALSE))*POWER(1-('Sens - Scenarios'!$D$6*VLOOKUP(CT55,ChurnSeasonTable,4,FALSE)),0)+DJ31*('Sens - Scenarios'!$D$6*VLOOKUP(CT55,ChurnSeasonTable,4,FALSE))*POWER(1-('Sens - Scenarios'!$D$6*VLOOKUP(CT55,ChurnSeasonTable,4,FALSE)),1)+DJ19*('Sens - Scenarios'!$D$6*VLOOKUP(CT55,ChurnSeasonTable,4,FALSE))*POWER(1-('Sens - Scenarios'!$D$6*VLOOKUP(CT55,ChurnSeasonTable,4,FALSE)),2)+DJ7*('Sens - Scenarios'!$D$6*VLOOKUP(CT55,ChurnSeasonTable,4,FALSE))*POWER(1-('Sens - Scenarios'!$D$6*VLOOKUP(CT55,ChurnSeasonTable,4,FALSE)),3)</f>
        <v/>
      </c>
      <c r="DQ55" s="12">
        <f>DK55+DL55+DM55+DN55+DO55+DP55</f>
        <v/>
      </c>
      <c r="DR55" s="9">
        <f>DK55*BlendedPriceEssMonthly*CW55+DL55*BlendedPricePremMonthly*CW55+DM55*BlendedPriceEliteMonthly*CW55+DN55*BlendedPriceEssAnnual*CW55/12+DO55*BlendedPricePremAnnual*CW55/12+DP55*BlendedPriceEliteAnnual*CW55/12</f>
        <v/>
      </c>
      <c r="DS55" s="9">
        <f>DR55*12</f>
        <v/>
      </c>
      <c r="DT55" s="12">
        <f>DK55*BlendedPriceEssMonthly*CW55+DL55*BlendedPricePremMonthly*CW55+DM55*BlendedPriceEliteMonthly*CW55</f>
        <v/>
      </c>
      <c r="DU55" s="12">
        <f>DH55*BlendedPriceEssAnnual*CW55+DI55*BlendedPricePremAnnual*CW55+DJ55*BlendedPriceEliteAnnual*CW55</f>
        <v/>
      </c>
      <c r="DV55" s="12">
        <f>DH43*POWER(1-('Sens - Scenarios'!$D$6*VLOOKUP(CT55,ChurnSeasonTable,4,FALSE)),1)*BlendedPriceEssAnnual*CW55+DH31*POWER(1-('Sens - Scenarios'!$D$6*VLOOKUP(CT55,ChurnSeasonTable,4,FALSE)),2)*BlendedPriceEssAnnual*CW55+DH19*POWER(1-('Sens - Scenarios'!$D$6*VLOOKUP(CT55,ChurnSeasonTable,4,FALSE)),3)*BlendedPriceEssAnnual*CW55+DH7*POWER(1-('Sens - Scenarios'!$D$6*VLOOKUP(CT55,ChurnSeasonTable,4,FALSE)),4)*BlendedPriceEssAnnual*CW55+DI43*POWER(1-('Sens - Scenarios'!$D$6*VLOOKUP(CT55,ChurnSeasonTable,4,FALSE)),1)*BlendedPricePremAnnual*CW55+DI31*POWER(1-('Sens - Scenarios'!$D$6*VLOOKUP(CT55,ChurnSeasonTable,4,FALSE)),2)*BlendedPricePremAnnual*CW55+DI19*POWER(1-('Sens - Scenarios'!$D$6*VLOOKUP(CT55,ChurnSeasonTable,4,FALSE)),3)*BlendedPricePremAnnual*CW55+DI7*POWER(1-('Sens - Scenarios'!$D$6*VLOOKUP(CT55,ChurnSeasonTable,4,FALSE)),4)*BlendedPricePremAnnual*CW55+DJ43*POWER(1-('Sens - Scenarios'!$D$6*VLOOKUP(CT55,ChurnSeasonTable,4,FALSE)),1)*BlendedPriceEliteAnnual*CW55+DJ31*POWER(1-('Sens - Scenarios'!$D$6*VLOOKUP(CT55,ChurnSeasonTable,4,FALSE)),2)*BlendedPriceEliteAnnual*CW55+DJ19*POWER(1-('Sens - Scenarios'!$D$6*VLOOKUP(CT55,ChurnSeasonTable,4,FALSE)),3)*BlendedPriceEliteAnnual*CW55+DJ7*POWER(1-('Sens - Scenarios'!$D$6*VLOOKUP(CT55,ChurnSeasonTable,4,FALSE)),4)*BlendedPriceEliteAnnual*CW55</f>
        <v/>
      </c>
      <c r="DW55" s="9">
        <f>DT55+DU55+DV55</f>
        <v/>
      </c>
      <c r="DX55" s="12">
        <f>SUM(DW44:DW55)</f>
        <v/>
      </c>
      <c r="DY55" s="12">
        <f>OR(DY54,IF(VATAgentMode,SUM($DW44:$DW55)-SUM($ED44:$ED55)&gt;=VATThreshold,SUM($DW44:$DW55)&gt;=VATThreshold))</f>
        <v/>
      </c>
      <c r="DZ55" s="9">
        <f>IF(DY55,IF(VATAgentMode,DW55-((DW55-ED55)-(DW55-ED55)/(1+VATRate)),DW55/(1+VATRate)),DW55)</f>
        <v/>
      </c>
      <c r="EA55" s="12">
        <f>DW55-DZ55</f>
        <v/>
      </c>
      <c r="EB55" s="12">
        <f>IF(DY55=0,0,IF(CT55=1,SUMPRODUCT(--(($CU$5:$CU55=$CU55-1)*($CT$5:$CT55&gt;=10)*($CT$5:$CT55&lt;=12)),$EA$5:$EA55),IF(CT55=4,SUMPRODUCT(--(($CU$5:$CU55=$CU55)*($CT$5:$CT55&gt;=1)*($CT$5:$CT55&lt;=3)),$EA$5:$EA55),IF(CT55=7,SUMPRODUCT(--(($CU$5:$CU55=$CU55)*($CT$5:$CT55&gt;=4)*($CT$5:$CT55&lt;=6)),$EA$5:$EA55),IF(CT55=10,SUMPRODUCT(--(($CU$5:$CU55=$CU55)*($CT$5:$CT55&gt;=7)*($CT$5:$CT55&lt;=9)),$EA$5:$EA55),0)))))</f>
        <v/>
      </c>
      <c r="EC55" s="12">
        <f>EC54+EA55-EB55</f>
        <v/>
      </c>
      <c r="ED55" s="12">
        <f>IF(ProviderDelay&gt;=1,DK54*BlendedProvPayEss+DL54*BlendedProvPayPrem+DM54*BlendedProvPayElite+DN54*BlendedProvPayEss+DO54*BlendedProvPayPrem+DP54*BlendedProvPayElite,DK55*BlendedProvPayEss+DL55*BlendedProvPayPrem+DM55*BlendedProvPayElite+DN55*BlendedProvPayEss+DO55*BlendedProvPayPrem+DP55*BlendedProvPayElite)</f>
        <v/>
      </c>
      <c r="EE55" s="12">
        <f>DW55*PaymentFee</f>
        <v/>
      </c>
      <c r="EF55" s="12">
        <f>DQ55*OpsAI</f>
        <v/>
      </c>
      <c r="EG55" s="12">
        <f>MonthlyFixed</f>
        <v/>
      </c>
      <c r="EH55" s="12">
        <f>DA55*ReferralReward</f>
        <v/>
      </c>
      <c r="EI55" s="12">
        <f>CY55</f>
        <v/>
      </c>
      <c r="EJ55" s="9">
        <f>DZ55-ED55-EE55-EF55-EG55-EH55-EI55</f>
        <v/>
      </c>
      <c r="EK55" s="9">
        <f>EK54+DW55-(ED55+EE55+EF55+EG55+EH55+EI55+EB55)</f>
        <v/>
      </c>
      <c r="EL55" s="12">
        <f>IF(DQ55&gt;0,DR55/DQ55,0)</f>
        <v/>
      </c>
      <c r="EM55" s="11">
        <f>IF(DQ54&gt;0,MAX(0,(DQ54+DB55-DQ55)/DQ54),0)</f>
        <v/>
      </c>
      <c r="EO55" s="12" t="n">
        <v>51</v>
      </c>
      <c r="EP55" s="12">
        <f>MOD(EO55-1+LaunchMonth-1,12)+1</f>
        <v/>
      </c>
      <c r="EQ55" s="12">
        <f>INT((EO55-1+LaunchMonth-1)/12)+1</f>
        <v/>
      </c>
      <c r="ER55" s="12">
        <f>VLOOKUP(EP55,SeasonTable,2,FALSE)</f>
        <v/>
      </c>
      <c r="ES55" s="12">
        <f>(1+InflationRate)^INT((EO55-1)/12)</f>
        <v/>
      </c>
      <c r="ET55" s="11">
        <f>'Sens - Churn'!$A$13*VLOOKUP(EP55,ChurnSeasonTable,4,FALSE)</f>
        <v/>
      </c>
      <c r="EU55" s="12">
        <f>MIN(MAX(MktMin19plus,FS54*MktPct19plus),MAX(0,GG54-CashBuffer))</f>
        <v/>
      </c>
      <c r="EV55" s="12">
        <f>IF(EU55&gt;0,MAX(1,ROUND(EU55/CAC*ER55,0)),0)</f>
        <v/>
      </c>
      <c r="EW55" s="12">
        <f>IF(EV55&gt;0,ROUND(EV55*ReferralMix/(1-ReferralMix),0),0)</f>
        <v/>
      </c>
      <c r="EX55" s="12">
        <f>EV55+EW55</f>
        <v/>
      </c>
      <c r="EY55" s="12">
        <f>ROUND(EX55*(1-AnnualMix),0)</f>
        <v/>
      </c>
      <c r="EZ55" s="12">
        <f>EX55-EY55</f>
        <v/>
      </c>
      <c r="FA55" s="12">
        <f>ROUND(EY55*EssentialMix,0)</f>
        <v/>
      </c>
      <c r="FB55" s="12">
        <f>ROUND(EY55*PremiumMix,0)</f>
        <v/>
      </c>
      <c r="FC55" s="12">
        <f>EY55-FA55-FB55</f>
        <v/>
      </c>
      <c r="FD55" s="12">
        <f>ROUND(EZ55*EssentialMix,0)</f>
        <v/>
      </c>
      <c r="FE55" s="12">
        <f>ROUND(EZ55*PremiumMix,0)</f>
        <v/>
      </c>
      <c r="FF55" s="12">
        <f>EZ55-FD55-FE55</f>
        <v/>
      </c>
      <c r="FG55" s="12">
        <f>FA55+FA54+FA53+MAX(0,FG54-FA54-FA53)*(1-ET55)</f>
        <v/>
      </c>
      <c r="FH55" s="12">
        <f>FB55+FB54+FB53+MAX(0,FH54-FB54-FB53)*(1-ET55)</f>
        <v/>
      </c>
      <c r="FI55" s="12">
        <f>FC55+FC54+FC53+MAX(0,FI54-FC54-FC53)*(1-ET55)</f>
        <v/>
      </c>
      <c r="FJ55" s="12">
        <f>FJ54+FD55-FD43*(AnnualChurn*VLOOKUP(EP55,ChurnSeasonTable,4,FALSE))*POWER(1-(AnnualChurn*VLOOKUP(EP55,ChurnSeasonTable,4,FALSE)),0)+FD31*(AnnualChurn*VLOOKUP(EP55,ChurnSeasonTable,4,FALSE))*POWER(1-(AnnualChurn*VLOOKUP(EP55,ChurnSeasonTable,4,FALSE)),1)+FD19*(AnnualChurn*VLOOKUP(EP55,ChurnSeasonTable,4,FALSE))*POWER(1-(AnnualChurn*VLOOKUP(EP55,ChurnSeasonTable,4,FALSE)),2)+FD7*(AnnualChurn*VLOOKUP(EP55,ChurnSeasonTable,4,FALSE))*POWER(1-(AnnualChurn*VLOOKUP(EP55,ChurnSeasonTable,4,FALSE)),3)</f>
        <v/>
      </c>
      <c r="FK55" s="12">
        <f>FK54+FE55-FE43*(AnnualChurn*VLOOKUP(EP55,ChurnSeasonTable,4,FALSE))*POWER(1-(AnnualChurn*VLOOKUP(EP55,ChurnSeasonTable,4,FALSE)),0)+FE31*(AnnualChurn*VLOOKUP(EP55,ChurnSeasonTable,4,FALSE))*POWER(1-(AnnualChurn*VLOOKUP(EP55,ChurnSeasonTable,4,FALSE)),1)+FE19*(AnnualChurn*VLOOKUP(EP55,ChurnSeasonTable,4,FALSE))*POWER(1-(AnnualChurn*VLOOKUP(EP55,ChurnSeasonTable,4,FALSE)),2)+FE7*(AnnualChurn*VLOOKUP(EP55,ChurnSeasonTable,4,FALSE))*POWER(1-(AnnualChurn*VLOOKUP(EP55,ChurnSeasonTable,4,FALSE)),3)</f>
        <v/>
      </c>
      <c r="FL55" s="12">
        <f>FL54+FF55-FF43*(AnnualChurn*VLOOKUP(EP55,ChurnSeasonTable,4,FALSE))*POWER(1-(AnnualChurn*VLOOKUP(EP55,ChurnSeasonTable,4,FALSE)),0)+FF31*(AnnualChurn*VLOOKUP(EP55,ChurnSeasonTable,4,FALSE))*POWER(1-(AnnualChurn*VLOOKUP(EP55,ChurnSeasonTable,4,FALSE)),1)+FF19*(AnnualChurn*VLOOKUP(EP55,ChurnSeasonTable,4,FALSE))*POWER(1-(AnnualChurn*VLOOKUP(EP55,ChurnSeasonTable,4,FALSE)),2)+FF7*(AnnualChurn*VLOOKUP(EP55,ChurnSeasonTable,4,FALSE))*POWER(1-(AnnualChurn*VLOOKUP(EP55,ChurnSeasonTable,4,FALSE)),3)</f>
        <v/>
      </c>
      <c r="FM55" s="12">
        <f>FG55+FH55+FI55+FJ55+FK55+FL55</f>
        <v/>
      </c>
      <c r="FN55" s="9">
        <f>FG55*BlendedPriceEssMonthly*ES55+FH55*BlendedPricePremMonthly*ES55+FI55*BlendedPriceEliteMonthly*ES55+FJ55*BlendedPriceEssAnnual*ES55/12+FK55*BlendedPricePremAnnual*ES55/12+FL55*BlendedPriceEliteAnnual*ES55/12</f>
        <v/>
      </c>
      <c r="FO55" s="9">
        <f>FN55*12</f>
        <v/>
      </c>
      <c r="FP55" s="12">
        <f>FG55*BlendedPriceEssMonthly*ES55+FH55*BlendedPricePremMonthly*ES55+FI55*BlendedPriceEliteMonthly*ES55</f>
        <v/>
      </c>
      <c r="FQ55" s="12">
        <f>FD55*BlendedPriceEssAnnual*ES55+FE55*BlendedPricePremAnnual*ES55+FF55*BlendedPriceEliteAnnual*ES55</f>
        <v/>
      </c>
      <c r="FR55" s="12">
        <f>FD43*POWER(1-(AnnualChurn*VLOOKUP(EP55,ChurnSeasonTable,4,FALSE)),1)*BlendedPriceEssAnnual*ES55+FD31*POWER(1-(AnnualChurn*VLOOKUP(EP55,ChurnSeasonTable,4,FALSE)),2)*BlendedPriceEssAnnual*ES55+FD19*POWER(1-(AnnualChurn*VLOOKUP(EP55,ChurnSeasonTable,4,FALSE)),3)*BlendedPriceEssAnnual*ES55+FD7*POWER(1-(AnnualChurn*VLOOKUP(EP55,ChurnSeasonTable,4,FALSE)),4)*BlendedPriceEssAnnual*ES55+FE43*POWER(1-(AnnualChurn*VLOOKUP(EP55,ChurnSeasonTable,4,FALSE)),1)*BlendedPricePremAnnual*ES55+FE31*POWER(1-(AnnualChurn*VLOOKUP(EP55,ChurnSeasonTable,4,FALSE)),2)*BlendedPricePremAnnual*ES55+FE19*POWER(1-(AnnualChurn*VLOOKUP(EP55,ChurnSeasonTable,4,FALSE)),3)*BlendedPricePremAnnual*ES55+FE7*POWER(1-(AnnualChurn*VLOOKUP(EP55,ChurnSeasonTable,4,FALSE)),4)*BlendedPricePremAnnual*ES55+FF43*POWER(1-(AnnualChurn*VLOOKUP(EP55,ChurnSeasonTable,4,FALSE)),1)*BlendedPriceEliteAnnual*ES55+FF31*POWER(1-(AnnualChurn*VLOOKUP(EP55,ChurnSeasonTable,4,FALSE)),2)*BlendedPriceEliteAnnual*ES55+FF19*POWER(1-(AnnualChurn*VLOOKUP(EP55,ChurnSeasonTable,4,FALSE)),3)*BlendedPriceEliteAnnual*ES55+FF7*POWER(1-(AnnualChurn*VLOOKUP(EP55,ChurnSeasonTable,4,FALSE)),4)*BlendedPriceEliteAnnual*ES55</f>
        <v/>
      </c>
      <c r="FS55" s="9">
        <f>FP55+FQ55+FR55</f>
        <v/>
      </c>
      <c r="FT55" s="12">
        <f>SUM(FS44:FS55)</f>
        <v/>
      </c>
      <c r="FU55" s="12">
        <f>OR(FU54,IF(VATAgentMode,SUM($FS44:$FS55)-SUM($FZ44:$FZ55)&gt;=VATThreshold,SUM($FS44:$FS55)&gt;=VATThreshold))</f>
        <v/>
      </c>
      <c r="FV55" s="9">
        <f>IF(FU55,IF(VATAgentMode,FS55-((FS55-FZ55)-(FS55-FZ55)/(1+VATRate)),FS55/(1+VATRate)),FS55)</f>
        <v/>
      </c>
      <c r="FW55" s="12">
        <f>FS55-FV55</f>
        <v/>
      </c>
      <c r="FX55" s="12">
        <f>IF(FU55=0,0,IF(EP55=1,SUMPRODUCT(--(($EQ$5:$EQ55=$EQ55-1)*($EP$5:$EP55&gt;=10)*($EP$5:$EP55&lt;=12)),$FW$5:$FW55),IF(EP55=4,SUMPRODUCT(--(($EQ$5:$EQ55=$EQ55)*($EP$5:$EP55&gt;=1)*($EP$5:$EP55&lt;=3)),$FW$5:$FW55),IF(EP55=7,SUMPRODUCT(--(($EQ$5:$EQ55=$EQ55)*($EP$5:$EP55&gt;=4)*($EP$5:$EP55&lt;=6)),$FW$5:$FW55),IF(EP55=10,SUMPRODUCT(--(($EQ$5:$EQ55=$EQ55)*($EP$5:$EP55&gt;=7)*($EP$5:$EP55&lt;=9)),$FW$5:$FW55),0)))))</f>
        <v/>
      </c>
      <c r="FY55" s="12">
        <f>FY54+FW55-FX55</f>
        <v/>
      </c>
      <c r="FZ55" s="12">
        <f>IF(ProviderDelay&gt;=1,FG54*BlendedProvPayEss+FH54*BlendedProvPayPrem+FI54*BlendedProvPayElite+FJ54*BlendedProvPayEss+FK54*BlendedProvPayPrem+FL54*BlendedProvPayElite,FG55*BlendedProvPayEss+FH55*BlendedProvPayPrem+FI55*BlendedProvPayElite+FJ55*BlendedProvPayEss+FK55*BlendedProvPayPrem+FL55*BlendedProvPayElite)</f>
        <v/>
      </c>
      <c r="GA55" s="12">
        <f>FS55*PaymentFee</f>
        <v/>
      </c>
      <c r="GB55" s="12">
        <f>FM55*OpsAI</f>
        <v/>
      </c>
      <c r="GC55" s="12">
        <f>MonthlyFixed</f>
        <v/>
      </c>
      <c r="GD55" s="12">
        <f>EW55*ReferralReward</f>
        <v/>
      </c>
      <c r="GE55" s="12">
        <f>EU55</f>
        <v/>
      </c>
      <c r="GF55" s="9">
        <f>FV55-FZ55-GA55-GB55-GC55-GD55-GE55</f>
        <v/>
      </c>
      <c r="GG55" s="9">
        <f>GG54+FS55-(FZ55+GA55+GB55+GC55+GD55+GE55+FX55)</f>
        <v/>
      </c>
      <c r="GH55" s="12">
        <f>IF(FM55&gt;0,FN55/FM55,0)</f>
        <v/>
      </c>
      <c r="GI55" s="11">
        <f>IF(FM54&gt;0,MAX(0,(FM54+EX55-FM55)/FM54),0)</f>
        <v/>
      </c>
      <c r="GK55" s="12" t="n">
        <v>51</v>
      </c>
      <c r="GL55" s="12">
        <f>MOD(GK55-1+LaunchMonth-1,12)+1</f>
        <v/>
      </c>
      <c r="GM55" s="12">
        <f>INT((GK55-1+LaunchMonth-1)/12)+1</f>
        <v/>
      </c>
      <c r="GN55" s="12">
        <f>VLOOKUP(GL55,SeasonTable,2,FALSE)</f>
        <v/>
      </c>
      <c r="GO55" s="12">
        <f>(1+InflationRate)^INT((GK55-1)/12)</f>
        <v/>
      </c>
      <c r="GP55" s="11">
        <f>'Sens - Churn'!$A$14*VLOOKUP(GL55,ChurnSeasonTable,4,FALSE)</f>
        <v/>
      </c>
      <c r="GQ55" s="12">
        <f>MIN(MAX(MktMin19plus,HO54*MktPct19plus),MAX(0,IC54-CashBuffer))</f>
        <v/>
      </c>
      <c r="GR55" s="12">
        <f>IF(GQ55&gt;0,MAX(1,ROUND(GQ55/CAC*GN55,0)),0)</f>
        <v/>
      </c>
      <c r="GS55" s="12">
        <f>IF(GR55&gt;0,ROUND(GR55*ReferralMix/(1-ReferralMix),0),0)</f>
        <v/>
      </c>
      <c r="GT55" s="12">
        <f>GR55+GS55</f>
        <v/>
      </c>
      <c r="GU55" s="12">
        <f>ROUND(GT55*(1-AnnualMix),0)</f>
        <v/>
      </c>
      <c r="GV55" s="12">
        <f>GT55-GU55</f>
        <v/>
      </c>
      <c r="GW55" s="12">
        <f>ROUND(GU55*EssentialMix,0)</f>
        <v/>
      </c>
      <c r="GX55" s="12">
        <f>ROUND(GU55*PremiumMix,0)</f>
        <v/>
      </c>
      <c r="GY55" s="12">
        <f>GU55-GW55-GX55</f>
        <v/>
      </c>
      <c r="GZ55" s="12">
        <f>ROUND(GV55*EssentialMix,0)</f>
        <v/>
      </c>
      <c r="HA55" s="12">
        <f>ROUND(GV55*PremiumMix,0)</f>
        <v/>
      </c>
      <c r="HB55" s="12">
        <f>GV55-GZ55-HA55</f>
        <v/>
      </c>
      <c r="HC55" s="12">
        <f>GW55+GW54+GW53+MAX(0,HC54-GW54-GW53)*(1-GP55)</f>
        <v/>
      </c>
      <c r="HD55" s="12">
        <f>GX55+GX54+GX53+MAX(0,HD54-GX54-GX53)*(1-GP55)</f>
        <v/>
      </c>
      <c r="HE55" s="12">
        <f>GY55+GY54+GY53+MAX(0,HE54-GY54-GY53)*(1-GP55)</f>
        <v/>
      </c>
      <c r="HF55" s="12">
        <f>HF54+GZ55-GZ43*(AnnualChurn*VLOOKUP(GL55,ChurnSeasonTable,4,FALSE))*POWER(1-(AnnualChurn*VLOOKUP(GL55,ChurnSeasonTable,4,FALSE)),0)+GZ31*(AnnualChurn*VLOOKUP(GL55,ChurnSeasonTable,4,FALSE))*POWER(1-(AnnualChurn*VLOOKUP(GL55,ChurnSeasonTable,4,FALSE)),1)+GZ19*(AnnualChurn*VLOOKUP(GL55,ChurnSeasonTable,4,FALSE))*POWER(1-(AnnualChurn*VLOOKUP(GL55,ChurnSeasonTable,4,FALSE)),2)+GZ7*(AnnualChurn*VLOOKUP(GL55,ChurnSeasonTable,4,FALSE))*POWER(1-(AnnualChurn*VLOOKUP(GL55,ChurnSeasonTable,4,FALSE)),3)</f>
        <v/>
      </c>
      <c r="HG55" s="12">
        <f>HG54+HA55-HA43*(AnnualChurn*VLOOKUP(GL55,ChurnSeasonTable,4,FALSE))*POWER(1-(AnnualChurn*VLOOKUP(GL55,ChurnSeasonTable,4,FALSE)),0)+HA31*(AnnualChurn*VLOOKUP(GL55,ChurnSeasonTable,4,FALSE))*POWER(1-(AnnualChurn*VLOOKUP(GL55,ChurnSeasonTable,4,FALSE)),1)+HA19*(AnnualChurn*VLOOKUP(GL55,ChurnSeasonTable,4,FALSE))*POWER(1-(AnnualChurn*VLOOKUP(GL55,ChurnSeasonTable,4,FALSE)),2)+HA7*(AnnualChurn*VLOOKUP(GL55,ChurnSeasonTable,4,FALSE))*POWER(1-(AnnualChurn*VLOOKUP(GL55,ChurnSeasonTable,4,FALSE)),3)</f>
        <v/>
      </c>
      <c r="HH55" s="12">
        <f>HH54+HB55-HB43*(AnnualChurn*VLOOKUP(GL55,ChurnSeasonTable,4,FALSE))*POWER(1-(AnnualChurn*VLOOKUP(GL55,ChurnSeasonTable,4,FALSE)),0)+HB31*(AnnualChurn*VLOOKUP(GL55,ChurnSeasonTable,4,FALSE))*POWER(1-(AnnualChurn*VLOOKUP(GL55,ChurnSeasonTable,4,FALSE)),1)+HB19*(AnnualChurn*VLOOKUP(GL55,ChurnSeasonTable,4,FALSE))*POWER(1-(AnnualChurn*VLOOKUP(GL55,ChurnSeasonTable,4,FALSE)),2)+HB7*(AnnualChurn*VLOOKUP(GL55,ChurnSeasonTable,4,FALSE))*POWER(1-(AnnualChurn*VLOOKUP(GL55,ChurnSeasonTable,4,FALSE)),3)</f>
        <v/>
      </c>
      <c r="HI55" s="12">
        <f>HC55+HD55+HE55+HF55+HG55+HH55</f>
        <v/>
      </c>
      <c r="HJ55" s="9">
        <f>HC55*BlendedPriceEssMonthly*GO55+HD55*BlendedPricePremMonthly*GO55+HE55*BlendedPriceEliteMonthly*GO55+HF55*BlendedPriceEssAnnual*GO55/12+HG55*BlendedPricePremAnnual*GO55/12+HH55*BlendedPriceEliteAnnual*GO55/12</f>
        <v/>
      </c>
      <c r="HK55" s="9">
        <f>HJ55*12</f>
        <v/>
      </c>
      <c r="HL55" s="12">
        <f>HC55*BlendedPriceEssMonthly*GO55+HD55*BlendedPricePremMonthly*GO55+HE55*BlendedPriceEliteMonthly*GO55</f>
        <v/>
      </c>
      <c r="HM55" s="12">
        <f>GZ55*BlendedPriceEssAnnual*GO55+HA55*BlendedPricePremAnnual*GO55+HB55*BlendedPriceEliteAnnual*GO55</f>
        <v/>
      </c>
      <c r="HN55" s="12">
        <f>GZ43*POWER(1-(AnnualChurn*VLOOKUP(GL55,ChurnSeasonTable,4,FALSE)),1)*BlendedPriceEssAnnual*GO55+GZ31*POWER(1-(AnnualChurn*VLOOKUP(GL55,ChurnSeasonTable,4,FALSE)),2)*BlendedPriceEssAnnual*GO55+GZ19*POWER(1-(AnnualChurn*VLOOKUP(GL55,ChurnSeasonTable,4,FALSE)),3)*BlendedPriceEssAnnual*GO55+GZ7*POWER(1-(AnnualChurn*VLOOKUP(GL55,ChurnSeasonTable,4,FALSE)),4)*BlendedPriceEssAnnual*GO55+HA43*POWER(1-(AnnualChurn*VLOOKUP(GL55,ChurnSeasonTable,4,FALSE)),1)*BlendedPricePremAnnual*GO55+HA31*POWER(1-(AnnualChurn*VLOOKUP(GL55,ChurnSeasonTable,4,FALSE)),2)*BlendedPricePremAnnual*GO55+HA19*POWER(1-(AnnualChurn*VLOOKUP(GL55,ChurnSeasonTable,4,FALSE)),3)*BlendedPricePremAnnual*GO55+HA7*POWER(1-(AnnualChurn*VLOOKUP(GL55,ChurnSeasonTable,4,FALSE)),4)*BlendedPricePremAnnual*GO55+HB43*POWER(1-(AnnualChurn*VLOOKUP(GL55,ChurnSeasonTable,4,FALSE)),1)*BlendedPriceEliteAnnual*GO55+HB31*POWER(1-(AnnualChurn*VLOOKUP(GL55,ChurnSeasonTable,4,FALSE)),2)*BlendedPriceEliteAnnual*GO55+HB19*POWER(1-(AnnualChurn*VLOOKUP(GL55,ChurnSeasonTable,4,FALSE)),3)*BlendedPriceEliteAnnual*GO55+HB7*POWER(1-(AnnualChurn*VLOOKUP(GL55,ChurnSeasonTable,4,FALSE)),4)*BlendedPriceEliteAnnual*GO55</f>
        <v/>
      </c>
      <c r="HO55" s="9">
        <f>HL55+HM55+HN55</f>
        <v/>
      </c>
      <c r="HP55" s="12">
        <f>SUM(HO44:HO55)</f>
        <v/>
      </c>
      <c r="HQ55" s="12">
        <f>OR(HQ54,IF(VATAgentMode,SUM($HO44:$HO55)-SUM($HV44:$HV55)&gt;=VATThreshold,SUM($HO44:$HO55)&gt;=VATThreshold))</f>
        <v/>
      </c>
      <c r="HR55" s="9">
        <f>IF(HQ55,IF(VATAgentMode,HO55-((HO55-HV55)-(HO55-HV55)/(1+VATRate)),HO55/(1+VATRate)),HO55)</f>
        <v/>
      </c>
      <c r="HS55" s="12">
        <f>HO55-HR55</f>
        <v/>
      </c>
      <c r="HT55" s="12">
        <f>IF(HQ55=0,0,IF(GL55=1,SUMPRODUCT(--(($GM$5:$GM55=$GM55-1)*($GL$5:$GL55&gt;=10)*($GL$5:$GL55&lt;=12)),$HS$5:$HS55),IF(GL55=4,SUMPRODUCT(--(($GM$5:$GM55=$GM55)*($GL$5:$GL55&gt;=1)*($GL$5:$GL55&lt;=3)),$HS$5:$HS55),IF(GL55=7,SUMPRODUCT(--(($GM$5:$GM55=$GM55)*($GL$5:$GL55&gt;=4)*($GL$5:$GL55&lt;=6)),$HS$5:$HS55),IF(GL55=10,SUMPRODUCT(--(($GM$5:$GM55=$GM55)*($GL$5:$GL55&gt;=7)*($GL$5:$GL55&lt;=9)),$HS$5:$HS55),0)))))</f>
        <v/>
      </c>
      <c r="HU55" s="12">
        <f>HU54+HS55-HT55</f>
        <v/>
      </c>
      <c r="HV55" s="12">
        <f>IF(ProviderDelay&gt;=1,HC54*BlendedProvPayEss+HD54*BlendedProvPayPrem+HE54*BlendedProvPayElite+HF54*BlendedProvPayEss+HG54*BlendedProvPayPrem+HH54*BlendedProvPayElite,HC55*BlendedProvPayEss+HD55*BlendedProvPayPrem+HE55*BlendedProvPayElite+HF55*BlendedProvPayEss+HG55*BlendedProvPayPrem+HH55*BlendedProvPayElite)</f>
        <v/>
      </c>
      <c r="HW55" s="12">
        <f>HO55*PaymentFee</f>
        <v/>
      </c>
      <c r="HX55" s="12">
        <f>HI55*OpsAI</f>
        <v/>
      </c>
      <c r="HY55" s="12">
        <f>MonthlyFixed</f>
        <v/>
      </c>
      <c r="HZ55" s="12">
        <f>GS55*ReferralReward</f>
        <v/>
      </c>
      <c r="IA55" s="12">
        <f>GQ55</f>
        <v/>
      </c>
      <c r="IB55" s="9">
        <f>HR55-HV55-HW55-HX55-HY55-HZ55-IA55</f>
        <v/>
      </c>
      <c r="IC55" s="9">
        <f>IC54+HO55-(HV55+HW55+HX55+HY55+HZ55+IA55+HT55)</f>
        <v/>
      </c>
      <c r="ID55" s="12">
        <f>IF(HI55&gt;0,HJ55/HI55,0)</f>
        <v/>
      </c>
      <c r="IE55" s="11">
        <f>IF(HI54&gt;0,MAX(0,(HI54+GT55-HI55)/HI54),0)</f>
        <v/>
      </c>
      <c r="IG55" s="12" t="n">
        <v>51</v>
      </c>
      <c r="IH55" s="12">
        <f>MOD(IG55-1+LaunchMonth-1,12)+1</f>
        <v/>
      </c>
      <c r="II55" s="12">
        <f>INT((IG55-1+LaunchMonth-1)/12)+1</f>
        <v/>
      </c>
      <c r="IJ55" s="12">
        <f>VLOOKUP(IH55,SeasonTable,2,FALSE)</f>
        <v/>
      </c>
      <c r="IK55" s="12">
        <f>(1+InflationRate)^INT((IG55-1)/12)</f>
        <v/>
      </c>
      <c r="IL55" s="11">
        <f>'Sens - Churn'!$A$15*VLOOKUP(IH55,ChurnSeasonTable,4,FALSE)</f>
        <v/>
      </c>
      <c r="IM55" s="12">
        <f>MIN(MAX(MktMin19plus,JK54*MktPct19plus),MAX(0,JY54-CashBuffer))</f>
        <v/>
      </c>
      <c r="IN55" s="12">
        <f>IF(IM55&gt;0,MAX(1,ROUND(IM55/CAC*IJ55,0)),0)</f>
        <v/>
      </c>
      <c r="IO55" s="12">
        <f>IF(IN55&gt;0,ROUND(IN55*ReferralMix/(1-ReferralMix),0),0)</f>
        <v/>
      </c>
      <c r="IP55" s="12">
        <f>IN55+IO55</f>
        <v/>
      </c>
      <c r="IQ55" s="12">
        <f>ROUND(IP55*(1-AnnualMix),0)</f>
        <v/>
      </c>
      <c r="IR55" s="12">
        <f>IP55-IQ55</f>
        <v/>
      </c>
      <c r="IS55" s="12">
        <f>ROUND(IQ55*EssentialMix,0)</f>
        <v/>
      </c>
      <c r="IT55" s="12">
        <f>ROUND(IQ55*PremiumMix,0)</f>
        <v/>
      </c>
      <c r="IU55" s="12">
        <f>IQ55-IS55-IT55</f>
        <v/>
      </c>
      <c r="IV55" s="12">
        <f>ROUND(IR55*EssentialMix,0)</f>
        <v/>
      </c>
      <c r="IW55" s="12">
        <f>ROUND(IR55*PremiumMix,0)</f>
        <v/>
      </c>
      <c r="IX55" s="12">
        <f>IR55-IV55-IW55</f>
        <v/>
      </c>
      <c r="IY55" s="12">
        <f>IS55+IS54+IS53+MAX(0,IY54-IS54-IS53)*(1-IL55)</f>
        <v/>
      </c>
      <c r="IZ55" s="12">
        <f>IT55+IT54+IT53+MAX(0,IZ54-IT54-IT53)*(1-IL55)</f>
        <v/>
      </c>
      <c r="JA55" s="12">
        <f>IU55+IU54+IU53+MAX(0,JA54-IU54-IU53)*(1-IL55)</f>
        <v/>
      </c>
      <c r="JB55" s="12">
        <f>JB54+IV55-IV43*(AnnualChurn*VLOOKUP(IH55,ChurnSeasonTable,4,FALSE))*POWER(1-(AnnualChurn*VLOOKUP(IH55,ChurnSeasonTable,4,FALSE)),0)+IV31*(AnnualChurn*VLOOKUP(IH55,ChurnSeasonTable,4,FALSE))*POWER(1-(AnnualChurn*VLOOKUP(IH55,ChurnSeasonTable,4,FALSE)),1)+IV19*(AnnualChurn*VLOOKUP(IH55,ChurnSeasonTable,4,FALSE))*POWER(1-(AnnualChurn*VLOOKUP(IH55,ChurnSeasonTable,4,FALSE)),2)+IV7*(AnnualChurn*VLOOKUP(IH55,ChurnSeasonTable,4,FALSE))*POWER(1-(AnnualChurn*VLOOKUP(IH55,ChurnSeasonTable,4,FALSE)),3)</f>
        <v/>
      </c>
      <c r="JC55" s="12">
        <f>JC54+IW55-IW43*(AnnualChurn*VLOOKUP(IH55,ChurnSeasonTable,4,FALSE))*POWER(1-(AnnualChurn*VLOOKUP(IH55,ChurnSeasonTable,4,FALSE)),0)+IW31*(AnnualChurn*VLOOKUP(IH55,ChurnSeasonTable,4,FALSE))*POWER(1-(AnnualChurn*VLOOKUP(IH55,ChurnSeasonTable,4,FALSE)),1)+IW19*(AnnualChurn*VLOOKUP(IH55,ChurnSeasonTable,4,FALSE))*POWER(1-(AnnualChurn*VLOOKUP(IH55,ChurnSeasonTable,4,FALSE)),2)+IW7*(AnnualChurn*VLOOKUP(IH55,ChurnSeasonTable,4,FALSE))*POWER(1-(AnnualChurn*VLOOKUP(IH55,ChurnSeasonTable,4,FALSE)),3)</f>
        <v/>
      </c>
      <c r="JD55" s="12">
        <f>JD54+IX55-IX43*(AnnualChurn*VLOOKUP(IH55,ChurnSeasonTable,4,FALSE))*POWER(1-(AnnualChurn*VLOOKUP(IH55,ChurnSeasonTable,4,FALSE)),0)+IX31*(AnnualChurn*VLOOKUP(IH55,ChurnSeasonTable,4,FALSE))*POWER(1-(AnnualChurn*VLOOKUP(IH55,ChurnSeasonTable,4,FALSE)),1)+IX19*(AnnualChurn*VLOOKUP(IH55,ChurnSeasonTable,4,FALSE))*POWER(1-(AnnualChurn*VLOOKUP(IH55,ChurnSeasonTable,4,FALSE)),2)+IX7*(AnnualChurn*VLOOKUP(IH55,ChurnSeasonTable,4,FALSE))*POWER(1-(AnnualChurn*VLOOKUP(IH55,ChurnSeasonTable,4,FALSE)),3)</f>
        <v/>
      </c>
      <c r="JE55" s="12">
        <f>IY55+IZ55+JA55+JB55+JC55+JD55</f>
        <v/>
      </c>
      <c r="JF55" s="9">
        <f>IY55*BlendedPriceEssMonthly*IK55+IZ55*BlendedPricePremMonthly*IK55+JA55*BlendedPriceEliteMonthly*IK55+JB55*BlendedPriceEssAnnual*IK55/12+JC55*BlendedPricePremAnnual*IK55/12+JD55*BlendedPriceEliteAnnual*IK55/12</f>
        <v/>
      </c>
      <c r="JG55" s="9">
        <f>JF55*12</f>
        <v/>
      </c>
      <c r="JH55" s="12">
        <f>IY55*BlendedPriceEssMonthly*IK55+IZ55*BlendedPricePremMonthly*IK55+JA55*BlendedPriceEliteMonthly*IK55</f>
        <v/>
      </c>
      <c r="JI55" s="12">
        <f>IV55*BlendedPriceEssAnnual*IK55+IW55*BlendedPricePremAnnual*IK55+IX55*BlendedPriceEliteAnnual*IK55</f>
        <v/>
      </c>
      <c r="JJ55" s="12">
        <f>IV43*POWER(1-(AnnualChurn*VLOOKUP(IH55,ChurnSeasonTable,4,FALSE)),1)*BlendedPriceEssAnnual*IK55+IV31*POWER(1-(AnnualChurn*VLOOKUP(IH55,ChurnSeasonTable,4,FALSE)),2)*BlendedPriceEssAnnual*IK55+IV19*POWER(1-(AnnualChurn*VLOOKUP(IH55,ChurnSeasonTable,4,FALSE)),3)*BlendedPriceEssAnnual*IK55+IV7*POWER(1-(AnnualChurn*VLOOKUP(IH55,ChurnSeasonTable,4,FALSE)),4)*BlendedPriceEssAnnual*IK55+IW43*POWER(1-(AnnualChurn*VLOOKUP(IH55,ChurnSeasonTable,4,FALSE)),1)*BlendedPricePremAnnual*IK55+IW31*POWER(1-(AnnualChurn*VLOOKUP(IH55,ChurnSeasonTable,4,FALSE)),2)*BlendedPricePremAnnual*IK55+IW19*POWER(1-(AnnualChurn*VLOOKUP(IH55,ChurnSeasonTable,4,FALSE)),3)*BlendedPricePremAnnual*IK55+IW7*POWER(1-(AnnualChurn*VLOOKUP(IH55,ChurnSeasonTable,4,FALSE)),4)*BlendedPricePremAnnual*IK55+IX43*POWER(1-(AnnualChurn*VLOOKUP(IH55,ChurnSeasonTable,4,FALSE)),1)*BlendedPriceEliteAnnual*IK55+IX31*POWER(1-(AnnualChurn*VLOOKUP(IH55,ChurnSeasonTable,4,FALSE)),2)*BlendedPriceEliteAnnual*IK55+IX19*POWER(1-(AnnualChurn*VLOOKUP(IH55,ChurnSeasonTable,4,FALSE)),3)*BlendedPriceEliteAnnual*IK55+IX7*POWER(1-(AnnualChurn*VLOOKUP(IH55,ChurnSeasonTable,4,FALSE)),4)*BlendedPriceEliteAnnual*IK55</f>
        <v/>
      </c>
      <c r="JK55" s="9">
        <f>JH55+JI55+JJ55</f>
        <v/>
      </c>
      <c r="JL55" s="12">
        <f>SUM(JK44:JK55)</f>
        <v/>
      </c>
      <c r="JM55" s="12">
        <f>OR(JM54,IF(VATAgentMode,SUM($JK44:$JK55)-SUM($JR44:$JR55)&gt;=VATThreshold,SUM($JK44:$JK55)&gt;=VATThreshold))</f>
        <v/>
      </c>
      <c r="JN55" s="9">
        <f>IF(JM55,IF(VATAgentMode,JK55-((JK55-JR55)-(JK55-JR55)/(1+VATRate)),JK55/(1+VATRate)),JK55)</f>
        <v/>
      </c>
      <c r="JO55" s="12">
        <f>JK55-JN55</f>
        <v/>
      </c>
      <c r="JP55" s="12">
        <f>IF(JM55=0,0,IF(IH55=1,SUMPRODUCT(--(($II$5:$II55=$II55-1)*($IH$5:$IH55&gt;=10)*($IH$5:$IH55&lt;=12)),$JO$5:$JO55),IF(IH55=4,SUMPRODUCT(--(($II$5:$II55=$II55)*($IH$5:$IH55&gt;=1)*($IH$5:$IH55&lt;=3)),$JO$5:$JO55),IF(IH55=7,SUMPRODUCT(--(($II$5:$II55=$II55)*($IH$5:$IH55&gt;=4)*($IH$5:$IH55&lt;=6)),$JO$5:$JO55),IF(IH55=10,SUMPRODUCT(--(($II$5:$II55=$II55)*($IH$5:$IH55&gt;=7)*($IH$5:$IH55&lt;=9)),$JO$5:$JO55),0)))))</f>
        <v/>
      </c>
      <c r="JQ55" s="12">
        <f>JQ54+JO55-JP55</f>
        <v/>
      </c>
      <c r="JR55" s="12">
        <f>IF(ProviderDelay&gt;=1,IY54*BlendedProvPayEss+IZ54*BlendedProvPayPrem+JA54*BlendedProvPayElite+JB54*BlendedProvPayEss+JC54*BlendedProvPayPrem+JD54*BlendedProvPayElite,IY55*BlendedProvPayEss+IZ55*BlendedProvPayPrem+JA55*BlendedProvPayElite+JB55*BlendedProvPayEss+JC55*BlendedProvPayPrem+JD55*BlendedProvPayElite)</f>
        <v/>
      </c>
      <c r="JS55" s="12">
        <f>JK55*PaymentFee</f>
        <v/>
      </c>
      <c r="JT55" s="12">
        <f>JE55*OpsAI</f>
        <v/>
      </c>
      <c r="JU55" s="12">
        <f>MonthlyFixed</f>
        <v/>
      </c>
      <c r="JV55" s="12">
        <f>IO55*ReferralReward</f>
        <v/>
      </c>
      <c r="JW55" s="12">
        <f>IM55</f>
        <v/>
      </c>
      <c r="JX55" s="9">
        <f>JN55-JR55-JS55-JT55-JU55-JV55-JW55</f>
        <v/>
      </c>
      <c r="JY55" s="9">
        <f>JY54+JK55-(JR55+JS55+JT55+JU55+JV55+JW55+JP55)</f>
        <v/>
      </c>
      <c r="JZ55" s="12">
        <f>IF(JE55&gt;0,JF55/JE55,0)</f>
        <v/>
      </c>
      <c r="KA55" s="11">
        <f>IF(JE54&gt;0,MAX(0,(JE54+IP55-JE55)/JE54),0)</f>
        <v/>
      </c>
      <c r="KC55" s="12" t="n">
        <v>51</v>
      </c>
      <c r="KD55" s="12">
        <f>MOD(KC55-1+LaunchMonth-1,12)+1</f>
        <v/>
      </c>
      <c r="KE55" s="12">
        <f>INT((KC55-1+LaunchMonth-1)/12)+1</f>
        <v/>
      </c>
      <c r="KF55" s="12">
        <f>VLOOKUP(KD55,SeasonTable,2,FALSE)</f>
        <v/>
      </c>
      <c r="KG55" s="12">
        <f>(1+InflationRate)^INT((KC55-1)/12)</f>
        <v/>
      </c>
      <c r="KH55" s="11">
        <f>'Sens - Churn'!$A$16*VLOOKUP(KD55,ChurnSeasonTable,4,FALSE)</f>
        <v/>
      </c>
      <c r="KI55" s="12">
        <f>MIN(MAX(MktMin19plus,LG54*MktPct19plus),MAX(0,LU54-CashBuffer))</f>
        <v/>
      </c>
      <c r="KJ55" s="12">
        <f>IF(KI55&gt;0,MAX(1,ROUND(KI55/CAC*KF55,0)),0)</f>
        <v/>
      </c>
      <c r="KK55" s="12">
        <f>IF(KJ55&gt;0,ROUND(KJ55*ReferralMix/(1-ReferralMix),0),0)</f>
        <v/>
      </c>
      <c r="KL55" s="12">
        <f>KJ55+KK55</f>
        <v/>
      </c>
      <c r="KM55" s="12">
        <f>ROUND(KL55*(1-AnnualMix),0)</f>
        <v/>
      </c>
      <c r="KN55" s="12">
        <f>KL55-KM55</f>
        <v/>
      </c>
      <c r="KO55" s="12">
        <f>ROUND(KM55*EssentialMix,0)</f>
        <v/>
      </c>
      <c r="KP55" s="12">
        <f>ROUND(KM55*PremiumMix,0)</f>
        <v/>
      </c>
      <c r="KQ55" s="12">
        <f>KM55-KO55-KP55</f>
        <v/>
      </c>
      <c r="KR55" s="12">
        <f>ROUND(KN55*EssentialMix,0)</f>
        <v/>
      </c>
      <c r="KS55" s="12">
        <f>ROUND(KN55*PremiumMix,0)</f>
        <v/>
      </c>
      <c r="KT55" s="12">
        <f>KN55-KR55-KS55</f>
        <v/>
      </c>
      <c r="KU55" s="12">
        <f>KO55+KO54+KO53+MAX(0,KU54-KO54-KO53)*(1-KH55)</f>
        <v/>
      </c>
      <c r="KV55" s="12">
        <f>KP55+KP54+KP53+MAX(0,KV54-KP54-KP53)*(1-KH55)</f>
        <v/>
      </c>
      <c r="KW55" s="12">
        <f>KQ55+KQ54+KQ53+MAX(0,KW54-KQ54-KQ53)*(1-KH55)</f>
        <v/>
      </c>
      <c r="KX55" s="12">
        <f>KX54+KR55-KR43*(AnnualChurn*VLOOKUP(KD55,ChurnSeasonTable,4,FALSE))*POWER(1-(AnnualChurn*VLOOKUP(KD55,ChurnSeasonTable,4,FALSE)),0)+KR31*(AnnualChurn*VLOOKUP(KD55,ChurnSeasonTable,4,FALSE))*POWER(1-(AnnualChurn*VLOOKUP(KD55,ChurnSeasonTable,4,FALSE)),1)+KR19*(AnnualChurn*VLOOKUP(KD55,ChurnSeasonTable,4,FALSE))*POWER(1-(AnnualChurn*VLOOKUP(KD55,ChurnSeasonTable,4,FALSE)),2)+KR7*(AnnualChurn*VLOOKUP(KD55,ChurnSeasonTable,4,FALSE))*POWER(1-(AnnualChurn*VLOOKUP(KD55,ChurnSeasonTable,4,FALSE)),3)</f>
        <v/>
      </c>
      <c r="KY55" s="12">
        <f>KY54+KS55-KS43*(AnnualChurn*VLOOKUP(KD55,ChurnSeasonTable,4,FALSE))*POWER(1-(AnnualChurn*VLOOKUP(KD55,ChurnSeasonTable,4,FALSE)),0)+KS31*(AnnualChurn*VLOOKUP(KD55,ChurnSeasonTable,4,FALSE))*POWER(1-(AnnualChurn*VLOOKUP(KD55,ChurnSeasonTable,4,FALSE)),1)+KS19*(AnnualChurn*VLOOKUP(KD55,ChurnSeasonTable,4,FALSE))*POWER(1-(AnnualChurn*VLOOKUP(KD55,ChurnSeasonTable,4,FALSE)),2)+KS7*(AnnualChurn*VLOOKUP(KD55,ChurnSeasonTable,4,FALSE))*POWER(1-(AnnualChurn*VLOOKUP(KD55,ChurnSeasonTable,4,FALSE)),3)</f>
        <v/>
      </c>
      <c r="KZ55" s="12">
        <f>KZ54+KT55-KT43*(AnnualChurn*VLOOKUP(KD55,ChurnSeasonTable,4,FALSE))*POWER(1-(AnnualChurn*VLOOKUP(KD55,ChurnSeasonTable,4,FALSE)),0)+KT31*(AnnualChurn*VLOOKUP(KD55,ChurnSeasonTable,4,FALSE))*POWER(1-(AnnualChurn*VLOOKUP(KD55,ChurnSeasonTable,4,FALSE)),1)+KT19*(AnnualChurn*VLOOKUP(KD55,ChurnSeasonTable,4,FALSE))*POWER(1-(AnnualChurn*VLOOKUP(KD55,ChurnSeasonTable,4,FALSE)),2)+KT7*(AnnualChurn*VLOOKUP(KD55,ChurnSeasonTable,4,FALSE))*POWER(1-(AnnualChurn*VLOOKUP(KD55,ChurnSeasonTable,4,FALSE)),3)</f>
        <v/>
      </c>
      <c r="LA55" s="12">
        <f>KU55+KV55+KW55+KX55+KY55+KZ55</f>
        <v/>
      </c>
      <c r="LB55" s="9">
        <f>KU55*BlendedPriceEssMonthly*KG55+KV55*BlendedPricePremMonthly*KG55+KW55*BlendedPriceEliteMonthly*KG55+KX55*BlendedPriceEssAnnual*KG55/12+KY55*BlendedPricePremAnnual*KG55/12+KZ55*BlendedPriceEliteAnnual*KG55/12</f>
        <v/>
      </c>
      <c r="LC55" s="9">
        <f>LB55*12</f>
        <v/>
      </c>
      <c r="LD55" s="12">
        <f>KU55*BlendedPriceEssMonthly*KG55+KV55*BlendedPricePremMonthly*KG55+KW55*BlendedPriceEliteMonthly*KG55</f>
        <v/>
      </c>
      <c r="LE55" s="12">
        <f>KR55*BlendedPriceEssAnnual*KG55+KS55*BlendedPricePremAnnual*KG55+KT55*BlendedPriceEliteAnnual*KG55</f>
        <v/>
      </c>
      <c r="LF55" s="12">
        <f>KR43*POWER(1-(AnnualChurn*VLOOKUP(KD55,ChurnSeasonTable,4,FALSE)),1)*BlendedPriceEssAnnual*KG55+KR31*POWER(1-(AnnualChurn*VLOOKUP(KD55,ChurnSeasonTable,4,FALSE)),2)*BlendedPriceEssAnnual*KG55+KR19*POWER(1-(AnnualChurn*VLOOKUP(KD55,ChurnSeasonTable,4,FALSE)),3)*BlendedPriceEssAnnual*KG55+KR7*POWER(1-(AnnualChurn*VLOOKUP(KD55,ChurnSeasonTable,4,FALSE)),4)*BlendedPriceEssAnnual*KG55+KS43*POWER(1-(AnnualChurn*VLOOKUP(KD55,ChurnSeasonTable,4,FALSE)),1)*BlendedPricePremAnnual*KG55+KS31*POWER(1-(AnnualChurn*VLOOKUP(KD55,ChurnSeasonTable,4,FALSE)),2)*BlendedPricePremAnnual*KG55+KS19*POWER(1-(AnnualChurn*VLOOKUP(KD55,ChurnSeasonTable,4,FALSE)),3)*BlendedPricePremAnnual*KG55+KS7*POWER(1-(AnnualChurn*VLOOKUP(KD55,ChurnSeasonTable,4,FALSE)),4)*BlendedPricePremAnnual*KG55+KT43*POWER(1-(AnnualChurn*VLOOKUP(KD55,ChurnSeasonTable,4,FALSE)),1)*BlendedPriceEliteAnnual*KG55+KT31*POWER(1-(AnnualChurn*VLOOKUP(KD55,ChurnSeasonTable,4,FALSE)),2)*BlendedPriceEliteAnnual*KG55+KT19*POWER(1-(AnnualChurn*VLOOKUP(KD55,ChurnSeasonTable,4,FALSE)),3)*BlendedPriceEliteAnnual*KG55+KT7*POWER(1-(AnnualChurn*VLOOKUP(KD55,ChurnSeasonTable,4,FALSE)),4)*BlendedPriceEliteAnnual*KG55</f>
        <v/>
      </c>
      <c r="LG55" s="9">
        <f>LD55+LE55+LF55</f>
        <v/>
      </c>
      <c r="LH55" s="12">
        <f>SUM(LG44:LG55)</f>
        <v/>
      </c>
      <c r="LI55" s="12">
        <f>OR(LI54,IF(VATAgentMode,SUM($LG44:$LG55)-SUM($LN44:$LN55)&gt;=VATThreshold,SUM($LG44:$LG55)&gt;=VATThreshold))</f>
        <v/>
      </c>
      <c r="LJ55" s="9">
        <f>IF(LI55,IF(VATAgentMode,LG55-((LG55-LN55)-(LG55-LN55)/(1+VATRate)),LG55/(1+VATRate)),LG55)</f>
        <v/>
      </c>
      <c r="LK55" s="12">
        <f>LG55-LJ55</f>
        <v/>
      </c>
      <c r="LL55" s="12">
        <f>IF(LI55=0,0,IF(KD55=1,SUMPRODUCT(--(($KE$5:$KE55=$KE55-1)*($KD$5:$KD55&gt;=10)*($KD$5:$KD55&lt;=12)),$LK$5:$LK55),IF(KD55=4,SUMPRODUCT(--(($KE$5:$KE55=$KE55)*($KD$5:$KD55&gt;=1)*($KD$5:$KD55&lt;=3)),$LK$5:$LK55),IF(KD55=7,SUMPRODUCT(--(($KE$5:$KE55=$KE55)*($KD$5:$KD55&gt;=4)*($KD$5:$KD55&lt;=6)),$LK$5:$LK55),IF(KD55=10,SUMPRODUCT(--(($KE$5:$KE55=$KE55)*($KD$5:$KD55&gt;=7)*($KD$5:$KD55&lt;=9)),$LK$5:$LK55),0)))))</f>
        <v/>
      </c>
      <c r="LM55" s="12">
        <f>LM54+LK55-LL55</f>
        <v/>
      </c>
      <c r="LN55" s="12">
        <f>IF(ProviderDelay&gt;=1,KU54*BlendedProvPayEss+KV54*BlendedProvPayPrem+KW54*BlendedProvPayElite+KX54*BlendedProvPayEss+KY54*BlendedProvPayPrem+KZ54*BlendedProvPayElite,KU55*BlendedProvPayEss+KV55*BlendedProvPayPrem+KW55*BlendedProvPayElite+KX55*BlendedProvPayEss+KY55*BlendedProvPayPrem+KZ55*BlendedProvPayElite)</f>
        <v/>
      </c>
      <c r="LO55" s="12">
        <f>LG55*PaymentFee</f>
        <v/>
      </c>
      <c r="LP55" s="12">
        <f>LA55*OpsAI</f>
        <v/>
      </c>
      <c r="LQ55" s="12">
        <f>MonthlyFixed</f>
        <v/>
      </c>
      <c r="LR55" s="12">
        <f>KK55*ReferralReward</f>
        <v/>
      </c>
      <c r="LS55" s="12">
        <f>KI55</f>
        <v/>
      </c>
      <c r="LT55" s="9">
        <f>LJ55-LN55-LO55-LP55-LQ55-LR55-LS55</f>
        <v/>
      </c>
      <c r="LU55" s="9">
        <f>LU54+LG55-(LN55+LO55+LP55+LQ55+LR55+LS55+LL55)</f>
        <v/>
      </c>
      <c r="LV55" s="12">
        <f>IF(LA55&gt;0,LB55/LA55,0)</f>
        <v/>
      </c>
      <c r="LW55" s="11">
        <f>IF(LA54&gt;0,MAX(0,(LA54+KL55-LA55)/LA54),0)</f>
        <v/>
      </c>
      <c r="LY55" s="12" t="n">
        <v>51</v>
      </c>
      <c r="LZ55" s="12">
        <f>MOD(LY55-1+LaunchMonth-1,12)+1</f>
        <v/>
      </c>
      <c r="MA55" s="12">
        <f>INT((LY55-1+LaunchMonth-1)/12)+1</f>
        <v/>
      </c>
      <c r="MB55" s="12">
        <f>VLOOKUP(LZ55,SeasonTable,2,FALSE)</f>
        <v/>
      </c>
      <c r="MC55" s="12">
        <f>(1+InflationRate)^INT((LY55-1)/12)</f>
        <v/>
      </c>
      <c r="MD55" s="11">
        <f>'Sens - Churn'!$A$17*VLOOKUP(LZ55,ChurnSeasonTable,4,FALSE)</f>
        <v/>
      </c>
      <c r="ME55" s="12">
        <f>MIN(MAX(MktMin19plus,NC54*MktPct19plus),MAX(0,NQ54-CashBuffer))</f>
        <v/>
      </c>
      <c r="MF55" s="12">
        <f>IF(ME55&gt;0,MAX(1,ROUND(ME55/CAC*MB55,0)),0)</f>
        <v/>
      </c>
      <c r="MG55" s="12">
        <f>IF(MF55&gt;0,ROUND(MF55*ReferralMix/(1-ReferralMix),0),0)</f>
        <v/>
      </c>
      <c r="MH55" s="12">
        <f>MF55+MG55</f>
        <v/>
      </c>
      <c r="MI55" s="12">
        <f>ROUND(MH55*(1-AnnualMix),0)</f>
        <v/>
      </c>
      <c r="MJ55" s="12">
        <f>MH55-MI55</f>
        <v/>
      </c>
      <c r="MK55" s="12">
        <f>ROUND(MI55*EssentialMix,0)</f>
        <v/>
      </c>
      <c r="ML55" s="12">
        <f>ROUND(MI55*PremiumMix,0)</f>
        <v/>
      </c>
      <c r="MM55" s="12">
        <f>MI55-MK55-ML55</f>
        <v/>
      </c>
      <c r="MN55" s="12">
        <f>ROUND(MJ55*EssentialMix,0)</f>
        <v/>
      </c>
      <c r="MO55" s="12">
        <f>ROUND(MJ55*PremiumMix,0)</f>
        <v/>
      </c>
      <c r="MP55" s="12">
        <f>MJ55-MN55-MO55</f>
        <v/>
      </c>
      <c r="MQ55" s="12">
        <f>MK55+MK54+MK53+MAX(0,MQ54-MK54-MK53)*(1-MD55)</f>
        <v/>
      </c>
      <c r="MR55" s="12">
        <f>ML55+ML54+ML53+MAX(0,MR54-ML54-ML53)*(1-MD55)</f>
        <v/>
      </c>
      <c r="MS55" s="12">
        <f>MM55+MM54+MM53+MAX(0,MS54-MM54-MM53)*(1-MD55)</f>
        <v/>
      </c>
      <c r="MT55" s="12">
        <f>MT54+MN55-MN43*(AnnualChurn*VLOOKUP(LZ55,ChurnSeasonTable,4,FALSE))*POWER(1-(AnnualChurn*VLOOKUP(LZ55,ChurnSeasonTable,4,FALSE)),0)+MN31*(AnnualChurn*VLOOKUP(LZ55,ChurnSeasonTable,4,FALSE))*POWER(1-(AnnualChurn*VLOOKUP(LZ55,ChurnSeasonTable,4,FALSE)),1)+MN19*(AnnualChurn*VLOOKUP(LZ55,ChurnSeasonTable,4,FALSE))*POWER(1-(AnnualChurn*VLOOKUP(LZ55,ChurnSeasonTable,4,FALSE)),2)+MN7*(AnnualChurn*VLOOKUP(LZ55,ChurnSeasonTable,4,FALSE))*POWER(1-(AnnualChurn*VLOOKUP(LZ55,ChurnSeasonTable,4,FALSE)),3)</f>
        <v/>
      </c>
      <c r="MU55" s="12">
        <f>MU54+MO55-MO43*(AnnualChurn*VLOOKUP(LZ55,ChurnSeasonTable,4,FALSE))*POWER(1-(AnnualChurn*VLOOKUP(LZ55,ChurnSeasonTable,4,FALSE)),0)+MO31*(AnnualChurn*VLOOKUP(LZ55,ChurnSeasonTable,4,FALSE))*POWER(1-(AnnualChurn*VLOOKUP(LZ55,ChurnSeasonTable,4,FALSE)),1)+MO19*(AnnualChurn*VLOOKUP(LZ55,ChurnSeasonTable,4,FALSE))*POWER(1-(AnnualChurn*VLOOKUP(LZ55,ChurnSeasonTable,4,FALSE)),2)+MO7*(AnnualChurn*VLOOKUP(LZ55,ChurnSeasonTable,4,FALSE))*POWER(1-(AnnualChurn*VLOOKUP(LZ55,ChurnSeasonTable,4,FALSE)),3)</f>
        <v/>
      </c>
      <c r="MV55" s="12">
        <f>MV54+MP55-MP43*(AnnualChurn*VLOOKUP(LZ55,ChurnSeasonTable,4,FALSE))*POWER(1-(AnnualChurn*VLOOKUP(LZ55,ChurnSeasonTable,4,FALSE)),0)+MP31*(AnnualChurn*VLOOKUP(LZ55,ChurnSeasonTable,4,FALSE))*POWER(1-(AnnualChurn*VLOOKUP(LZ55,ChurnSeasonTable,4,FALSE)),1)+MP19*(AnnualChurn*VLOOKUP(LZ55,ChurnSeasonTable,4,FALSE))*POWER(1-(AnnualChurn*VLOOKUP(LZ55,ChurnSeasonTable,4,FALSE)),2)+MP7*(AnnualChurn*VLOOKUP(LZ55,ChurnSeasonTable,4,FALSE))*POWER(1-(AnnualChurn*VLOOKUP(LZ55,ChurnSeasonTable,4,FALSE)),3)</f>
        <v/>
      </c>
      <c r="MW55" s="12">
        <f>MQ55+MR55+MS55+MT55+MU55+MV55</f>
        <v/>
      </c>
      <c r="MX55" s="9">
        <f>MQ55*BlendedPriceEssMonthly*MC55+MR55*BlendedPricePremMonthly*MC55+MS55*BlendedPriceEliteMonthly*MC55+MT55*BlendedPriceEssAnnual*MC55/12+MU55*BlendedPricePremAnnual*MC55/12+MV55*BlendedPriceEliteAnnual*MC55/12</f>
        <v/>
      </c>
      <c r="MY55" s="9">
        <f>MX55*12</f>
        <v/>
      </c>
      <c r="MZ55" s="12">
        <f>MQ55*BlendedPriceEssMonthly*MC55+MR55*BlendedPricePremMonthly*MC55+MS55*BlendedPriceEliteMonthly*MC55</f>
        <v/>
      </c>
      <c r="NA55" s="12">
        <f>MN55*BlendedPriceEssAnnual*MC55+MO55*BlendedPricePremAnnual*MC55+MP55*BlendedPriceEliteAnnual*MC55</f>
        <v/>
      </c>
      <c r="NB55" s="12">
        <f>MN43*POWER(1-(AnnualChurn*VLOOKUP(LZ55,ChurnSeasonTable,4,FALSE)),1)*BlendedPriceEssAnnual*MC55+MN31*POWER(1-(AnnualChurn*VLOOKUP(LZ55,ChurnSeasonTable,4,FALSE)),2)*BlendedPriceEssAnnual*MC55+MN19*POWER(1-(AnnualChurn*VLOOKUP(LZ55,ChurnSeasonTable,4,FALSE)),3)*BlendedPriceEssAnnual*MC55+MN7*POWER(1-(AnnualChurn*VLOOKUP(LZ55,ChurnSeasonTable,4,FALSE)),4)*BlendedPriceEssAnnual*MC55+MO43*POWER(1-(AnnualChurn*VLOOKUP(LZ55,ChurnSeasonTable,4,FALSE)),1)*BlendedPricePremAnnual*MC55+MO31*POWER(1-(AnnualChurn*VLOOKUP(LZ55,ChurnSeasonTable,4,FALSE)),2)*BlendedPricePremAnnual*MC55+MO19*POWER(1-(AnnualChurn*VLOOKUP(LZ55,ChurnSeasonTable,4,FALSE)),3)*BlendedPricePremAnnual*MC55+MO7*POWER(1-(AnnualChurn*VLOOKUP(LZ55,ChurnSeasonTable,4,FALSE)),4)*BlendedPricePremAnnual*MC55+MP43*POWER(1-(AnnualChurn*VLOOKUP(LZ55,ChurnSeasonTable,4,FALSE)),1)*BlendedPriceEliteAnnual*MC55+MP31*POWER(1-(AnnualChurn*VLOOKUP(LZ55,ChurnSeasonTable,4,FALSE)),2)*BlendedPriceEliteAnnual*MC55+MP19*POWER(1-(AnnualChurn*VLOOKUP(LZ55,ChurnSeasonTable,4,FALSE)),3)*BlendedPriceEliteAnnual*MC55+MP7*POWER(1-(AnnualChurn*VLOOKUP(LZ55,ChurnSeasonTable,4,FALSE)),4)*BlendedPriceEliteAnnual*MC55</f>
        <v/>
      </c>
      <c r="NC55" s="9">
        <f>MZ55+NA55+NB55</f>
        <v/>
      </c>
      <c r="ND55" s="12">
        <f>SUM(NC44:NC55)</f>
        <v/>
      </c>
      <c r="NE55" s="12">
        <f>OR(NE54,IF(VATAgentMode,SUM($NC44:$NC55)-SUM($NJ44:$NJ55)&gt;=VATThreshold,SUM($NC44:$NC55)&gt;=VATThreshold))</f>
        <v/>
      </c>
      <c r="NF55" s="9">
        <f>IF(NE55,IF(VATAgentMode,NC55-((NC55-NJ55)-(NC55-NJ55)/(1+VATRate)),NC55/(1+VATRate)),NC55)</f>
        <v/>
      </c>
      <c r="NG55" s="12">
        <f>NC55-NF55</f>
        <v/>
      </c>
      <c r="NH55" s="12">
        <f>IF(NE55=0,0,IF(LZ55=1,SUMPRODUCT(--(($MA$5:$MA55=$MA55-1)*($LZ$5:$LZ55&gt;=10)*($LZ$5:$LZ55&lt;=12)),$NG$5:$NG55),IF(LZ55=4,SUMPRODUCT(--(($MA$5:$MA55=$MA55)*($LZ$5:$LZ55&gt;=1)*($LZ$5:$LZ55&lt;=3)),$NG$5:$NG55),IF(LZ55=7,SUMPRODUCT(--(($MA$5:$MA55=$MA55)*($LZ$5:$LZ55&gt;=4)*($LZ$5:$LZ55&lt;=6)),$NG$5:$NG55),IF(LZ55=10,SUMPRODUCT(--(($MA$5:$MA55=$MA55)*($LZ$5:$LZ55&gt;=7)*($LZ$5:$LZ55&lt;=9)),$NG$5:$NG55),0)))))</f>
        <v/>
      </c>
      <c r="NI55" s="12">
        <f>NI54+NG55-NH55</f>
        <v/>
      </c>
      <c r="NJ55" s="12">
        <f>IF(ProviderDelay&gt;=1,MQ54*BlendedProvPayEss+MR54*BlendedProvPayPrem+MS54*BlendedProvPayElite+MT54*BlendedProvPayEss+MU54*BlendedProvPayPrem+MV54*BlendedProvPayElite,MQ55*BlendedProvPayEss+MR55*BlendedProvPayPrem+MS55*BlendedProvPayElite+MT55*BlendedProvPayEss+MU55*BlendedProvPayPrem+MV55*BlendedProvPayElite)</f>
        <v/>
      </c>
      <c r="NK55" s="12">
        <f>NC55*PaymentFee</f>
        <v/>
      </c>
      <c r="NL55" s="12">
        <f>MW55*OpsAI</f>
        <v/>
      </c>
      <c r="NM55" s="12">
        <f>MonthlyFixed</f>
        <v/>
      </c>
      <c r="NN55" s="12">
        <f>MG55*ReferralReward</f>
        <v/>
      </c>
      <c r="NO55" s="12">
        <f>ME55</f>
        <v/>
      </c>
      <c r="NP55" s="9">
        <f>NF55-NJ55-NK55-NL55-NM55-NN55-NO55</f>
        <v/>
      </c>
      <c r="NQ55" s="9">
        <f>NQ54+NC55-(NJ55+NK55+NL55+NM55+NN55+NO55+NH55)</f>
        <v/>
      </c>
      <c r="NR55" s="12">
        <f>IF(MW55&gt;0,MX55/MW55,0)</f>
        <v/>
      </c>
      <c r="NS55" s="11">
        <f>IF(MW54&gt;0,MAX(0,(MW54+MH55-MW55)/MW54),0)</f>
        <v/>
      </c>
      <c r="NU55" s="12" t="n">
        <v>51</v>
      </c>
      <c r="NV55" s="12">
        <f>MOD(NU55-1+LaunchMonth-1,12)+1</f>
        <v/>
      </c>
      <c r="NW55" s="12">
        <f>INT((NU55-1+LaunchMonth-1)/12)+1</f>
        <v/>
      </c>
      <c r="NX55" s="12">
        <f>VLOOKUP(NV55,SeasonTable,2,FALSE)</f>
        <v/>
      </c>
      <c r="NY55" s="12">
        <f>(1+InflationRate)^INT((NU55-1)/12)</f>
        <v/>
      </c>
      <c r="NZ55" s="11">
        <f>'Sens - Churn'!$A$18*VLOOKUP(NV55,ChurnSeasonTable,4,FALSE)</f>
        <v/>
      </c>
      <c r="OA55" s="12">
        <f>MIN(MAX(MktMin19plus,OY54*MktPct19plus),MAX(0,PM54-CashBuffer))</f>
        <v/>
      </c>
      <c r="OB55" s="12">
        <f>IF(OA55&gt;0,MAX(1,ROUND(OA55/CAC*NX55,0)),0)</f>
        <v/>
      </c>
      <c r="OC55" s="12">
        <f>IF(OB55&gt;0,ROUND(OB55*ReferralMix/(1-ReferralMix),0),0)</f>
        <v/>
      </c>
      <c r="OD55" s="12">
        <f>OB55+OC55</f>
        <v/>
      </c>
      <c r="OE55" s="12">
        <f>ROUND(OD55*(1-AnnualMix),0)</f>
        <v/>
      </c>
      <c r="OF55" s="12">
        <f>OD55-OE55</f>
        <v/>
      </c>
      <c r="OG55" s="12">
        <f>ROUND(OE55*EssentialMix,0)</f>
        <v/>
      </c>
      <c r="OH55" s="12">
        <f>ROUND(OE55*PremiumMix,0)</f>
        <v/>
      </c>
      <c r="OI55" s="12">
        <f>OE55-OG55-OH55</f>
        <v/>
      </c>
      <c r="OJ55" s="12">
        <f>ROUND(OF55*EssentialMix,0)</f>
        <v/>
      </c>
      <c r="OK55" s="12">
        <f>ROUND(OF55*PremiumMix,0)</f>
        <v/>
      </c>
      <c r="OL55" s="12">
        <f>OF55-OJ55-OK55</f>
        <v/>
      </c>
      <c r="OM55" s="12">
        <f>OG55+OG54+OG53+MAX(0,OM54-OG54-OG53)*(1-NZ55)</f>
        <v/>
      </c>
      <c r="ON55" s="12">
        <f>OH55+OH54+OH53+MAX(0,ON54-OH54-OH53)*(1-NZ55)</f>
        <v/>
      </c>
      <c r="OO55" s="12">
        <f>OI55+OI54+OI53+MAX(0,OO54-OI54-OI53)*(1-NZ55)</f>
        <v/>
      </c>
      <c r="OP55" s="12">
        <f>OP54+OJ55-OJ43*(AnnualChurn*VLOOKUP(NV55,ChurnSeasonTable,4,FALSE))*POWER(1-(AnnualChurn*VLOOKUP(NV55,ChurnSeasonTable,4,FALSE)),0)+OJ31*(AnnualChurn*VLOOKUP(NV55,ChurnSeasonTable,4,FALSE))*POWER(1-(AnnualChurn*VLOOKUP(NV55,ChurnSeasonTable,4,FALSE)),1)+OJ19*(AnnualChurn*VLOOKUP(NV55,ChurnSeasonTable,4,FALSE))*POWER(1-(AnnualChurn*VLOOKUP(NV55,ChurnSeasonTable,4,FALSE)),2)+OJ7*(AnnualChurn*VLOOKUP(NV55,ChurnSeasonTable,4,FALSE))*POWER(1-(AnnualChurn*VLOOKUP(NV55,ChurnSeasonTable,4,FALSE)),3)</f>
        <v/>
      </c>
      <c r="OQ55" s="12">
        <f>OQ54+OK55-OK43*(AnnualChurn*VLOOKUP(NV55,ChurnSeasonTable,4,FALSE))*POWER(1-(AnnualChurn*VLOOKUP(NV55,ChurnSeasonTable,4,FALSE)),0)+OK31*(AnnualChurn*VLOOKUP(NV55,ChurnSeasonTable,4,FALSE))*POWER(1-(AnnualChurn*VLOOKUP(NV55,ChurnSeasonTable,4,FALSE)),1)+OK19*(AnnualChurn*VLOOKUP(NV55,ChurnSeasonTable,4,FALSE))*POWER(1-(AnnualChurn*VLOOKUP(NV55,ChurnSeasonTable,4,FALSE)),2)+OK7*(AnnualChurn*VLOOKUP(NV55,ChurnSeasonTable,4,FALSE))*POWER(1-(AnnualChurn*VLOOKUP(NV55,ChurnSeasonTable,4,FALSE)),3)</f>
        <v/>
      </c>
      <c r="OR55" s="12">
        <f>OR54+OL55-OL43*(AnnualChurn*VLOOKUP(NV55,ChurnSeasonTable,4,FALSE))*POWER(1-(AnnualChurn*VLOOKUP(NV55,ChurnSeasonTable,4,FALSE)),0)+OL31*(AnnualChurn*VLOOKUP(NV55,ChurnSeasonTable,4,FALSE))*POWER(1-(AnnualChurn*VLOOKUP(NV55,ChurnSeasonTable,4,FALSE)),1)+OL19*(AnnualChurn*VLOOKUP(NV55,ChurnSeasonTable,4,FALSE))*POWER(1-(AnnualChurn*VLOOKUP(NV55,ChurnSeasonTable,4,FALSE)),2)+OL7*(AnnualChurn*VLOOKUP(NV55,ChurnSeasonTable,4,FALSE))*POWER(1-(AnnualChurn*VLOOKUP(NV55,ChurnSeasonTable,4,FALSE)),3)</f>
        <v/>
      </c>
      <c r="OS55" s="12">
        <f>OM55+ON55+OO55+OP55+OQ55+OR55</f>
        <v/>
      </c>
      <c r="OT55" s="9">
        <f>OM55*BlendedPriceEssMonthly*NY55+ON55*BlendedPricePremMonthly*NY55+OO55*BlendedPriceEliteMonthly*NY55+OP55*BlendedPriceEssAnnual*NY55/12+OQ55*BlendedPricePremAnnual*NY55/12+OR55*BlendedPriceEliteAnnual*NY55/12</f>
        <v/>
      </c>
      <c r="OU55" s="9">
        <f>OT55*12</f>
        <v/>
      </c>
      <c r="OV55" s="12">
        <f>OM55*BlendedPriceEssMonthly*NY55+ON55*BlendedPricePremMonthly*NY55+OO55*BlendedPriceEliteMonthly*NY55</f>
        <v/>
      </c>
      <c r="OW55" s="12">
        <f>OJ55*BlendedPriceEssAnnual*NY55+OK55*BlendedPricePremAnnual*NY55+OL55*BlendedPriceEliteAnnual*NY55</f>
        <v/>
      </c>
      <c r="OX55" s="12">
        <f>OJ43*POWER(1-(AnnualChurn*VLOOKUP(NV55,ChurnSeasonTable,4,FALSE)),1)*BlendedPriceEssAnnual*NY55+OJ31*POWER(1-(AnnualChurn*VLOOKUP(NV55,ChurnSeasonTable,4,FALSE)),2)*BlendedPriceEssAnnual*NY55+OJ19*POWER(1-(AnnualChurn*VLOOKUP(NV55,ChurnSeasonTable,4,FALSE)),3)*BlendedPriceEssAnnual*NY55+OJ7*POWER(1-(AnnualChurn*VLOOKUP(NV55,ChurnSeasonTable,4,FALSE)),4)*BlendedPriceEssAnnual*NY55+OK43*POWER(1-(AnnualChurn*VLOOKUP(NV55,ChurnSeasonTable,4,FALSE)),1)*BlendedPricePremAnnual*NY55+OK31*POWER(1-(AnnualChurn*VLOOKUP(NV55,ChurnSeasonTable,4,FALSE)),2)*BlendedPricePremAnnual*NY55+OK19*POWER(1-(AnnualChurn*VLOOKUP(NV55,ChurnSeasonTable,4,FALSE)),3)*BlendedPricePremAnnual*NY55+OK7*POWER(1-(AnnualChurn*VLOOKUP(NV55,ChurnSeasonTable,4,FALSE)),4)*BlendedPricePremAnnual*NY55+OL43*POWER(1-(AnnualChurn*VLOOKUP(NV55,ChurnSeasonTable,4,FALSE)),1)*BlendedPriceEliteAnnual*NY55+OL31*POWER(1-(AnnualChurn*VLOOKUP(NV55,ChurnSeasonTable,4,FALSE)),2)*BlendedPriceEliteAnnual*NY55+OL19*POWER(1-(AnnualChurn*VLOOKUP(NV55,ChurnSeasonTable,4,FALSE)),3)*BlendedPriceEliteAnnual*NY55+OL7*POWER(1-(AnnualChurn*VLOOKUP(NV55,ChurnSeasonTable,4,FALSE)),4)*BlendedPriceEliteAnnual*NY55</f>
        <v/>
      </c>
      <c r="OY55" s="9">
        <f>OV55+OW55+OX55</f>
        <v/>
      </c>
      <c r="OZ55" s="12">
        <f>SUM(OY44:OY55)</f>
        <v/>
      </c>
      <c r="PA55" s="12">
        <f>OR(PA54,IF(VATAgentMode,SUM($OY44:$OY55)-SUM($PF44:$PF55)&gt;=VATThreshold,SUM($OY44:$OY55)&gt;=VATThreshold))</f>
        <v/>
      </c>
      <c r="PB55" s="9">
        <f>IF(PA55,IF(VATAgentMode,OY55-((OY55-PF55)-(OY55-PF55)/(1+VATRate)),OY55/(1+VATRate)),OY55)</f>
        <v/>
      </c>
      <c r="PC55" s="12">
        <f>OY55-PB55</f>
        <v/>
      </c>
      <c r="PD55" s="12">
        <f>IF(PA55=0,0,IF(NV55=1,SUMPRODUCT(--(($NW$5:$NW55=$NW55-1)*($NV$5:$NV55&gt;=10)*($NV$5:$NV55&lt;=12)),$PC$5:$PC55),IF(NV55=4,SUMPRODUCT(--(($NW$5:$NW55=$NW55)*($NV$5:$NV55&gt;=1)*($NV$5:$NV55&lt;=3)),$PC$5:$PC55),IF(NV55=7,SUMPRODUCT(--(($NW$5:$NW55=$NW55)*($NV$5:$NV55&gt;=4)*($NV$5:$NV55&lt;=6)),$PC$5:$PC55),IF(NV55=10,SUMPRODUCT(--(($NW$5:$NW55=$NW55)*($NV$5:$NV55&gt;=7)*($NV$5:$NV55&lt;=9)),$PC$5:$PC55),0)))))</f>
        <v/>
      </c>
      <c r="PE55" s="12">
        <f>PE54+PC55-PD55</f>
        <v/>
      </c>
      <c r="PF55" s="12">
        <f>IF(ProviderDelay&gt;=1,OM54*BlendedProvPayEss+ON54*BlendedProvPayPrem+OO54*BlendedProvPayElite+OP54*BlendedProvPayEss+OQ54*BlendedProvPayPrem+OR54*BlendedProvPayElite,OM55*BlendedProvPayEss+ON55*BlendedProvPayPrem+OO55*BlendedProvPayElite+OP55*BlendedProvPayEss+OQ55*BlendedProvPayPrem+OR55*BlendedProvPayElite)</f>
        <v/>
      </c>
      <c r="PG55" s="12">
        <f>OY55*PaymentFee</f>
        <v/>
      </c>
      <c r="PH55" s="12">
        <f>OS55*OpsAI</f>
        <v/>
      </c>
      <c r="PI55" s="12">
        <f>MonthlyFixed</f>
        <v/>
      </c>
      <c r="PJ55" s="12">
        <f>OC55*ReferralReward</f>
        <v/>
      </c>
      <c r="PK55" s="12">
        <f>OA55</f>
        <v/>
      </c>
      <c r="PL55" s="9">
        <f>PB55-PF55-PG55-PH55-PI55-PJ55-PK55</f>
        <v/>
      </c>
      <c r="PM55" s="9">
        <f>PM54+OY55-(PF55+PG55+PH55+PI55+PJ55+PK55+PD55)</f>
        <v/>
      </c>
      <c r="PN55" s="12">
        <f>IF(OS55&gt;0,OT55/OS55,0)</f>
        <v/>
      </c>
      <c r="PO55" s="11">
        <f>IF(OS54&gt;0,MAX(0,(OS54+OD55-OS55)/OS54),0)</f>
        <v/>
      </c>
      <c r="PQ55" s="12" t="n">
        <v>51</v>
      </c>
      <c r="PR55" s="12">
        <f>MOD(PQ55-1+LaunchMonth-1,12)+1</f>
        <v/>
      </c>
      <c r="PS55" s="12">
        <f>INT((PQ55-1+LaunchMonth-1)/12)+1</f>
        <v/>
      </c>
      <c r="PT55" s="12">
        <f>VLOOKUP(PR55,SeasonTable,2,FALSE)</f>
        <v/>
      </c>
      <c r="PU55" s="12">
        <f>(1+InflationRate)^INT((PQ55-1)/12)</f>
        <v/>
      </c>
      <c r="PV55" s="11">
        <f>'Sens - Churn'!$A$19*VLOOKUP(PR55,ChurnSeasonTable,4,FALSE)</f>
        <v/>
      </c>
      <c r="PW55" s="12">
        <f>MIN(MAX(MktMin19plus,QU54*MktPct19plus),MAX(0,RI54-CashBuffer))</f>
        <v/>
      </c>
      <c r="PX55" s="12">
        <f>IF(PW55&gt;0,MAX(1,ROUND(PW55/CAC*PT55,0)),0)</f>
        <v/>
      </c>
      <c r="PY55" s="12">
        <f>IF(PX55&gt;0,ROUND(PX55*ReferralMix/(1-ReferralMix),0),0)</f>
        <v/>
      </c>
      <c r="PZ55" s="12">
        <f>PX55+PY55</f>
        <v/>
      </c>
      <c r="QA55" s="12">
        <f>ROUND(PZ55*(1-AnnualMix),0)</f>
        <v/>
      </c>
      <c r="QB55" s="12">
        <f>PZ55-QA55</f>
        <v/>
      </c>
      <c r="QC55" s="12">
        <f>ROUND(QA55*EssentialMix,0)</f>
        <v/>
      </c>
      <c r="QD55" s="12">
        <f>ROUND(QA55*PremiumMix,0)</f>
        <v/>
      </c>
      <c r="QE55" s="12">
        <f>QA55-QC55-QD55</f>
        <v/>
      </c>
      <c r="QF55" s="12">
        <f>ROUND(QB55*EssentialMix,0)</f>
        <v/>
      </c>
      <c r="QG55" s="12">
        <f>ROUND(QB55*PremiumMix,0)</f>
        <v/>
      </c>
      <c r="QH55" s="12">
        <f>QB55-QF55-QG55</f>
        <v/>
      </c>
      <c r="QI55" s="12">
        <f>QC55+QC54+QC53+MAX(0,QI54-QC54-QC53)*(1-PV55)</f>
        <v/>
      </c>
      <c r="QJ55" s="12">
        <f>QD55+QD54+QD53+MAX(0,QJ54-QD54-QD53)*(1-PV55)</f>
        <v/>
      </c>
      <c r="QK55" s="12">
        <f>QE55+QE54+QE53+MAX(0,QK54-QE54-QE53)*(1-PV55)</f>
        <v/>
      </c>
      <c r="QL55" s="12">
        <f>QL54+QF55-QF43*(AnnualChurn*VLOOKUP(PR55,ChurnSeasonTable,4,FALSE))*POWER(1-(AnnualChurn*VLOOKUP(PR55,ChurnSeasonTable,4,FALSE)),0)+QF31*(AnnualChurn*VLOOKUP(PR55,ChurnSeasonTable,4,FALSE))*POWER(1-(AnnualChurn*VLOOKUP(PR55,ChurnSeasonTable,4,FALSE)),1)+QF19*(AnnualChurn*VLOOKUP(PR55,ChurnSeasonTable,4,FALSE))*POWER(1-(AnnualChurn*VLOOKUP(PR55,ChurnSeasonTable,4,FALSE)),2)+QF7*(AnnualChurn*VLOOKUP(PR55,ChurnSeasonTable,4,FALSE))*POWER(1-(AnnualChurn*VLOOKUP(PR55,ChurnSeasonTable,4,FALSE)),3)</f>
        <v/>
      </c>
      <c r="QM55" s="12">
        <f>QM54+QG55-QG43*(AnnualChurn*VLOOKUP(PR55,ChurnSeasonTable,4,FALSE))*POWER(1-(AnnualChurn*VLOOKUP(PR55,ChurnSeasonTable,4,FALSE)),0)+QG31*(AnnualChurn*VLOOKUP(PR55,ChurnSeasonTable,4,FALSE))*POWER(1-(AnnualChurn*VLOOKUP(PR55,ChurnSeasonTable,4,FALSE)),1)+QG19*(AnnualChurn*VLOOKUP(PR55,ChurnSeasonTable,4,FALSE))*POWER(1-(AnnualChurn*VLOOKUP(PR55,ChurnSeasonTable,4,FALSE)),2)+QG7*(AnnualChurn*VLOOKUP(PR55,ChurnSeasonTable,4,FALSE))*POWER(1-(AnnualChurn*VLOOKUP(PR55,ChurnSeasonTable,4,FALSE)),3)</f>
        <v/>
      </c>
      <c r="QN55" s="12">
        <f>QN54+QH55-QH43*(AnnualChurn*VLOOKUP(PR55,ChurnSeasonTable,4,FALSE))*POWER(1-(AnnualChurn*VLOOKUP(PR55,ChurnSeasonTable,4,FALSE)),0)+QH31*(AnnualChurn*VLOOKUP(PR55,ChurnSeasonTable,4,FALSE))*POWER(1-(AnnualChurn*VLOOKUP(PR55,ChurnSeasonTable,4,FALSE)),1)+QH19*(AnnualChurn*VLOOKUP(PR55,ChurnSeasonTable,4,FALSE))*POWER(1-(AnnualChurn*VLOOKUP(PR55,ChurnSeasonTable,4,FALSE)),2)+QH7*(AnnualChurn*VLOOKUP(PR55,ChurnSeasonTable,4,FALSE))*POWER(1-(AnnualChurn*VLOOKUP(PR55,ChurnSeasonTable,4,FALSE)),3)</f>
        <v/>
      </c>
      <c r="QO55" s="12">
        <f>QI55+QJ55+QK55+QL55+QM55+QN55</f>
        <v/>
      </c>
      <c r="QP55" s="9">
        <f>QI55*BlendedPriceEssMonthly*PU55+QJ55*BlendedPricePremMonthly*PU55+QK55*BlendedPriceEliteMonthly*PU55+QL55*BlendedPriceEssAnnual*PU55/12+QM55*BlendedPricePremAnnual*PU55/12+QN55*BlendedPriceEliteAnnual*PU55/12</f>
        <v/>
      </c>
      <c r="QQ55" s="9">
        <f>QP55*12</f>
        <v/>
      </c>
      <c r="QR55" s="12">
        <f>QI55*BlendedPriceEssMonthly*PU55+QJ55*BlendedPricePremMonthly*PU55+QK55*BlendedPriceEliteMonthly*PU55</f>
        <v/>
      </c>
      <c r="QS55" s="12">
        <f>QF55*BlendedPriceEssAnnual*PU55+QG55*BlendedPricePremAnnual*PU55+QH55*BlendedPriceEliteAnnual*PU55</f>
        <v/>
      </c>
      <c r="QT55" s="12">
        <f>QF43*POWER(1-(AnnualChurn*VLOOKUP(PR55,ChurnSeasonTable,4,FALSE)),1)*BlendedPriceEssAnnual*PU55+QF31*POWER(1-(AnnualChurn*VLOOKUP(PR55,ChurnSeasonTable,4,FALSE)),2)*BlendedPriceEssAnnual*PU55+QF19*POWER(1-(AnnualChurn*VLOOKUP(PR55,ChurnSeasonTable,4,FALSE)),3)*BlendedPriceEssAnnual*PU55+QF7*POWER(1-(AnnualChurn*VLOOKUP(PR55,ChurnSeasonTable,4,FALSE)),4)*BlendedPriceEssAnnual*PU55+QG43*POWER(1-(AnnualChurn*VLOOKUP(PR55,ChurnSeasonTable,4,FALSE)),1)*BlendedPricePremAnnual*PU55+QG31*POWER(1-(AnnualChurn*VLOOKUP(PR55,ChurnSeasonTable,4,FALSE)),2)*BlendedPricePremAnnual*PU55+QG19*POWER(1-(AnnualChurn*VLOOKUP(PR55,ChurnSeasonTable,4,FALSE)),3)*BlendedPricePremAnnual*PU55+QG7*POWER(1-(AnnualChurn*VLOOKUP(PR55,ChurnSeasonTable,4,FALSE)),4)*BlendedPricePremAnnual*PU55+QH43*POWER(1-(AnnualChurn*VLOOKUP(PR55,ChurnSeasonTable,4,FALSE)),1)*BlendedPriceEliteAnnual*PU55+QH31*POWER(1-(AnnualChurn*VLOOKUP(PR55,ChurnSeasonTable,4,FALSE)),2)*BlendedPriceEliteAnnual*PU55+QH19*POWER(1-(AnnualChurn*VLOOKUP(PR55,ChurnSeasonTable,4,FALSE)),3)*BlendedPriceEliteAnnual*PU55+QH7*POWER(1-(AnnualChurn*VLOOKUP(PR55,ChurnSeasonTable,4,FALSE)),4)*BlendedPriceEliteAnnual*PU55</f>
        <v/>
      </c>
      <c r="QU55" s="9">
        <f>QR55+QS55+QT55</f>
        <v/>
      </c>
      <c r="QV55" s="12">
        <f>SUM(QU44:QU55)</f>
        <v/>
      </c>
      <c r="QW55" s="12">
        <f>OR(QW54,IF(VATAgentMode,SUM($QU44:$QU55)-SUM($RB44:$RB55)&gt;=VATThreshold,SUM($QU44:$QU55)&gt;=VATThreshold))</f>
        <v/>
      </c>
      <c r="QX55" s="9">
        <f>IF(QW55,IF(VATAgentMode,QU55-((QU55-RB55)-(QU55-RB55)/(1+VATRate)),QU55/(1+VATRate)),QU55)</f>
        <v/>
      </c>
      <c r="QY55" s="12">
        <f>QU55-QX55</f>
        <v/>
      </c>
      <c r="QZ55" s="12">
        <f>IF(QW55=0,0,IF(PR55=1,SUMPRODUCT(--(($PS$5:$PS55=$PS55-1)*($PR$5:$PR55&gt;=10)*($PR$5:$PR55&lt;=12)),$QY$5:$QY55),IF(PR55=4,SUMPRODUCT(--(($PS$5:$PS55=$PS55)*($PR$5:$PR55&gt;=1)*($PR$5:$PR55&lt;=3)),$QY$5:$QY55),IF(PR55=7,SUMPRODUCT(--(($PS$5:$PS55=$PS55)*($PR$5:$PR55&gt;=4)*($PR$5:$PR55&lt;=6)),$QY$5:$QY55),IF(PR55=10,SUMPRODUCT(--(($PS$5:$PS55=$PS55)*($PR$5:$PR55&gt;=7)*($PR$5:$PR55&lt;=9)),$QY$5:$QY55),0)))))</f>
        <v/>
      </c>
      <c r="RA55" s="12">
        <f>RA54+QY55-QZ55</f>
        <v/>
      </c>
      <c r="RB55" s="12">
        <f>IF(ProviderDelay&gt;=1,QI54*BlendedProvPayEss+QJ54*BlendedProvPayPrem+QK54*BlendedProvPayElite+QL54*BlendedProvPayEss+QM54*BlendedProvPayPrem+QN54*BlendedProvPayElite,QI55*BlendedProvPayEss+QJ55*BlendedProvPayPrem+QK55*BlendedProvPayElite+QL55*BlendedProvPayEss+QM55*BlendedProvPayPrem+QN55*BlendedProvPayElite)</f>
        <v/>
      </c>
      <c r="RC55" s="12">
        <f>QU55*PaymentFee</f>
        <v/>
      </c>
      <c r="RD55" s="12">
        <f>QO55*OpsAI</f>
        <v/>
      </c>
      <c r="RE55" s="12">
        <f>MonthlyFixed</f>
        <v/>
      </c>
      <c r="RF55" s="12">
        <f>PY55*ReferralReward</f>
        <v/>
      </c>
      <c r="RG55" s="12">
        <f>PW55</f>
        <v/>
      </c>
      <c r="RH55" s="9">
        <f>QX55-RB55-RC55-RD55-RE55-RF55-RG55</f>
        <v/>
      </c>
      <c r="RI55" s="9">
        <f>RI54+QU55-(RB55+RC55+RD55+RE55+RF55+RG55+QZ55)</f>
        <v/>
      </c>
      <c r="RJ55" s="12">
        <f>IF(QO55&gt;0,QP55/QO55,0)</f>
        <v/>
      </c>
      <c r="RK55" s="11">
        <f>IF(QO54&gt;0,MAX(0,(QO54+PZ55-QO55)/QO54),0)</f>
        <v/>
      </c>
      <c r="RM55" s="12" t="n">
        <v>51</v>
      </c>
      <c r="RN55" s="12">
        <f>MOD(RM55-1+LaunchMonth-1,12)+1</f>
        <v/>
      </c>
      <c r="RO55" s="12">
        <f>INT((RM55-1+LaunchMonth-1)/12)+1</f>
        <v/>
      </c>
      <c r="RP55" s="12">
        <f>VLOOKUP(RN55,SeasonTable,2,FALSE)</f>
        <v/>
      </c>
      <c r="RQ55" s="12">
        <f>(1+InflationRate)^INT((RM55-1)/12)</f>
        <v/>
      </c>
      <c r="RR55" s="11">
        <f>'Sens - Churn'!$A$20*VLOOKUP(RN55,ChurnSeasonTable,4,FALSE)</f>
        <v/>
      </c>
      <c r="RS55" s="12">
        <f>MIN(MAX(MktMin19plus,SQ54*MktPct19plus),MAX(0,TE54-CashBuffer))</f>
        <v/>
      </c>
      <c r="RT55" s="12">
        <f>IF(RS55&gt;0,MAX(1,ROUND(RS55/CAC*RP55,0)),0)</f>
        <v/>
      </c>
      <c r="RU55" s="12">
        <f>IF(RT55&gt;0,ROUND(RT55*ReferralMix/(1-ReferralMix),0),0)</f>
        <v/>
      </c>
      <c r="RV55" s="12">
        <f>RT55+RU55</f>
        <v/>
      </c>
      <c r="RW55" s="12">
        <f>ROUND(RV55*(1-AnnualMix),0)</f>
        <v/>
      </c>
      <c r="RX55" s="12">
        <f>RV55-RW55</f>
        <v/>
      </c>
      <c r="RY55" s="12">
        <f>ROUND(RW55*EssentialMix,0)</f>
        <v/>
      </c>
      <c r="RZ55" s="12">
        <f>ROUND(RW55*PremiumMix,0)</f>
        <v/>
      </c>
      <c r="SA55" s="12">
        <f>RW55-RY55-RZ55</f>
        <v/>
      </c>
      <c r="SB55" s="12">
        <f>ROUND(RX55*EssentialMix,0)</f>
        <v/>
      </c>
      <c r="SC55" s="12">
        <f>ROUND(RX55*PremiumMix,0)</f>
        <v/>
      </c>
      <c r="SD55" s="12">
        <f>RX55-SB55-SC55</f>
        <v/>
      </c>
      <c r="SE55" s="12">
        <f>RY55+RY54+RY53+MAX(0,SE54-RY54-RY53)*(1-RR55)</f>
        <v/>
      </c>
      <c r="SF55" s="12">
        <f>RZ55+RZ54+RZ53+MAX(0,SF54-RZ54-RZ53)*(1-RR55)</f>
        <v/>
      </c>
      <c r="SG55" s="12">
        <f>SA55+SA54+SA53+MAX(0,SG54-SA54-SA53)*(1-RR55)</f>
        <v/>
      </c>
      <c r="SH55" s="12">
        <f>SH54+SB55-SB43*(AnnualChurn*VLOOKUP(RN55,ChurnSeasonTable,4,FALSE))*POWER(1-(AnnualChurn*VLOOKUP(RN55,ChurnSeasonTable,4,FALSE)),0)+SB31*(AnnualChurn*VLOOKUP(RN55,ChurnSeasonTable,4,FALSE))*POWER(1-(AnnualChurn*VLOOKUP(RN55,ChurnSeasonTable,4,FALSE)),1)+SB19*(AnnualChurn*VLOOKUP(RN55,ChurnSeasonTable,4,FALSE))*POWER(1-(AnnualChurn*VLOOKUP(RN55,ChurnSeasonTable,4,FALSE)),2)+SB7*(AnnualChurn*VLOOKUP(RN55,ChurnSeasonTable,4,FALSE))*POWER(1-(AnnualChurn*VLOOKUP(RN55,ChurnSeasonTable,4,FALSE)),3)</f>
        <v/>
      </c>
      <c r="SI55" s="12">
        <f>SI54+SC55-SC43*(AnnualChurn*VLOOKUP(RN55,ChurnSeasonTable,4,FALSE))*POWER(1-(AnnualChurn*VLOOKUP(RN55,ChurnSeasonTable,4,FALSE)),0)+SC31*(AnnualChurn*VLOOKUP(RN55,ChurnSeasonTable,4,FALSE))*POWER(1-(AnnualChurn*VLOOKUP(RN55,ChurnSeasonTable,4,FALSE)),1)+SC19*(AnnualChurn*VLOOKUP(RN55,ChurnSeasonTable,4,FALSE))*POWER(1-(AnnualChurn*VLOOKUP(RN55,ChurnSeasonTable,4,FALSE)),2)+SC7*(AnnualChurn*VLOOKUP(RN55,ChurnSeasonTable,4,FALSE))*POWER(1-(AnnualChurn*VLOOKUP(RN55,ChurnSeasonTable,4,FALSE)),3)</f>
        <v/>
      </c>
      <c r="SJ55" s="12">
        <f>SJ54+SD55-SD43*(AnnualChurn*VLOOKUP(RN55,ChurnSeasonTable,4,FALSE))*POWER(1-(AnnualChurn*VLOOKUP(RN55,ChurnSeasonTable,4,FALSE)),0)+SD31*(AnnualChurn*VLOOKUP(RN55,ChurnSeasonTable,4,FALSE))*POWER(1-(AnnualChurn*VLOOKUP(RN55,ChurnSeasonTable,4,FALSE)),1)+SD19*(AnnualChurn*VLOOKUP(RN55,ChurnSeasonTable,4,FALSE))*POWER(1-(AnnualChurn*VLOOKUP(RN55,ChurnSeasonTable,4,FALSE)),2)+SD7*(AnnualChurn*VLOOKUP(RN55,ChurnSeasonTable,4,FALSE))*POWER(1-(AnnualChurn*VLOOKUP(RN55,ChurnSeasonTable,4,FALSE)),3)</f>
        <v/>
      </c>
      <c r="SK55" s="12">
        <f>SE55+SF55+SG55+SH55+SI55+SJ55</f>
        <v/>
      </c>
      <c r="SL55" s="9">
        <f>SE55*BlendedPriceEssMonthly*RQ55+SF55*BlendedPricePremMonthly*RQ55+SG55*BlendedPriceEliteMonthly*RQ55+SH55*BlendedPriceEssAnnual*RQ55/12+SI55*BlendedPricePremAnnual*RQ55/12+SJ55*BlendedPriceEliteAnnual*RQ55/12</f>
        <v/>
      </c>
      <c r="SM55" s="9">
        <f>SL55*12</f>
        <v/>
      </c>
      <c r="SN55" s="12">
        <f>SE55*BlendedPriceEssMonthly*RQ55+SF55*BlendedPricePremMonthly*RQ55+SG55*BlendedPriceEliteMonthly*RQ55</f>
        <v/>
      </c>
      <c r="SO55" s="12">
        <f>SB55*BlendedPriceEssAnnual*RQ55+SC55*BlendedPricePremAnnual*RQ55+SD55*BlendedPriceEliteAnnual*RQ55</f>
        <v/>
      </c>
      <c r="SP55" s="12">
        <f>SB43*POWER(1-(AnnualChurn*VLOOKUP(RN55,ChurnSeasonTable,4,FALSE)),1)*BlendedPriceEssAnnual*RQ55+SB31*POWER(1-(AnnualChurn*VLOOKUP(RN55,ChurnSeasonTable,4,FALSE)),2)*BlendedPriceEssAnnual*RQ55+SB19*POWER(1-(AnnualChurn*VLOOKUP(RN55,ChurnSeasonTable,4,FALSE)),3)*BlendedPriceEssAnnual*RQ55+SB7*POWER(1-(AnnualChurn*VLOOKUP(RN55,ChurnSeasonTable,4,FALSE)),4)*BlendedPriceEssAnnual*RQ55+SC43*POWER(1-(AnnualChurn*VLOOKUP(RN55,ChurnSeasonTable,4,FALSE)),1)*BlendedPricePremAnnual*RQ55+SC31*POWER(1-(AnnualChurn*VLOOKUP(RN55,ChurnSeasonTable,4,FALSE)),2)*BlendedPricePremAnnual*RQ55+SC19*POWER(1-(AnnualChurn*VLOOKUP(RN55,ChurnSeasonTable,4,FALSE)),3)*BlendedPricePremAnnual*RQ55+SC7*POWER(1-(AnnualChurn*VLOOKUP(RN55,ChurnSeasonTable,4,FALSE)),4)*BlendedPricePremAnnual*RQ55+SD43*POWER(1-(AnnualChurn*VLOOKUP(RN55,ChurnSeasonTable,4,FALSE)),1)*BlendedPriceEliteAnnual*RQ55+SD31*POWER(1-(AnnualChurn*VLOOKUP(RN55,ChurnSeasonTable,4,FALSE)),2)*BlendedPriceEliteAnnual*RQ55+SD19*POWER(1-(AnnualChurn*VLOOKUP(RN55,ChurnSeasonTable,4,FALSE)),3)*BlendedPriceEliteAnnual*RQ55+SD7*POWER(1-(AnnualChurn*VLOOKUP(RN55,ChurnSeasonTable,4,FALSE)),4)*BlendedPriceEliteAnnual*RQ55</f>
        <v/>
      </c>
      <c r="SQ55" s="9">
        <f>SN55+SO55+SP55</f>
        <v/>
      </c>
      <c r="SR55" s="12">
        <f>SUM(SQ44:SQ55)</f>
        <v/>
      </c>
      <c r="SS55" s="12">
        <f>OR(SS54,IF(VATAgentMode,SUM($SQ44:$SQ55)-SUM($SX44:$SX55)&gt;=VATThreshold,SUM($SQ44:$SQ55)&gt;=VATThreshold))</f>
        <v/>
      </c>
      <c r="ST55" s="9">
        <f>IF(SS55,IF(VATAgentMode,SQ55-((SQ55-SX55)-(SQ55-SX55)/(1+VATRate)),SQ55/(1+VATRate)),SQ55)</f>
        <v/>
      </c>
      <c r="SU55" s="12">
        <f>SQ55-ST55</f>
        <v/>
      </c>
      <c r="SV55" s="12">
        <f>IF(SS55=0,0,IF(RN55=1,SUMPRODUCT(--(($RO$5:$RO55=$RO55-1)*($RN$5:$RN55&gt;=10)*($RN$5:$RN55&lt;=12)),$SU$5:$SU55),IF(RN55=4,SUMPRODUCT(--(($RO$5:$RO55=$RO55)*($RN$5:$RN55&gt;=1)*($RN$5:$RN55&lt;=3)),$SU$5:$SU55),IF(RN55=7,SUMPRODUCT(--(($RO$5:$RO55=$RO55)*($RN$5:$RN55&gt;=4)*($RN$5:$RN55&lt;=6)),$SU$5:$SU55),IF(RN55=10,SUMPRODUCT(--(($RO$5:$RO55=$RO55)*($RN$5:$RN55&gt;=7)*($RN$5:$RN55&lt;=9)),$SU$5:$SU55),0)))))</f>
        <v/>
      </c>
      <c r="SW55" s="12">
        <f>SW54+SU55-SV55</f>
        <v/>
      </c>
      <c r="SX55" s="12">
        <f>IF(ProviderDelay&gt;=1,SE54*BlendedProvPayEss+SF54*BlendedProvPayPrem+SG54*BlendedProvPayElite+SH54*BlendedProvPayEss+SI54*BlendedProvPayPrem+SJ54*BlendedProvPayElite,SE55*BlendedProvPayEss+SF55*BlendedProvPayPrem+SG55*BlendedProvPayElite+SH55*BlendedProvPayEss+SI55*BlendedProvPayPrem+SJ55*BlendedProvPayElite)</f>
        <v/>
      </c>
      <c r="SY55" s="12">
        <f>SQ55*PaymentFee</f>
        <v/>
      </c>
      <c r="SZ55" s="12">
        <f>SK55*OpsAI</f>
        <v/>
      </c>
      <c r="TA55" s="12">
        <f>MonthlyFixed</f>
        <v/>
      </c>
      <c r="TB55" s="12">
        <f>RU55*ReferralReward</f>
        <v/>
      </c>
      <c r="TC55" s="12">
        <f>RS55</f>
        <v/>
      </c>
      <c r="TD55" s="9">
        <f>ST55-SX55-SY55-SZ55-TA55-TB55-TC55</f>
        <v/>
      </c>
      <c r="TE55" s="9">
        <f>TE54+SQ55-(SX55+SY55+SZ55+TA55+TB55+TC55+SV55)</f>
        <v/>
      </c>
      <c r="TF55" s="12">
        <f>IF(SK55&gt;0,SL55/SK55,0)</f>
        <v/>
      </c>
      <c r="TG55" s="11">
        <f>IF(SK54&gt;0,MAX(0,(SK54+RV55-SK55)/SK54),0)</f>
        <v/>
      </c>
      <c r="TI55" s="12" t="n">
        <v>51</v>
      </c>
      <c r="TJ55" s="12">
        <f>MOD(TI55-1+LaunchMonth-1,12)+1</f>
        <v/>
      </c>
      <c r="TK55" s="12">
        <f>INT((TI55-1+LaunchMonth-1)/12)+1</f>
        <v/>
      </c>
      <c r="TL55" s="12">
        <f>VLOOKUP(TJ55,SeasonTable,2,FALSE)</f>
        <v/>
      </c>
      <c r="TM55" s="12">
        <f>(1+InflationRate)^INT((TI55-1)/12)</f>
        <v/>
      </c>
      <c r="TN55" s="11">
        <f>'Sens - Churn'!$A$21*VLOOKUP(TJ55,ChurnSeasonTable,4,FALSE)</f>
        <v/>
      </c>
      <c r="TO55" s="12">
        <f>MIN(MAX(MktMin19plus,UM54*MktPct19plus),MAX(0,VA54-CashBuffer))</f>
        <v/>
      </c>
      <c r="TP55" s="12">
        <f>IF(TO55&gt;0,MAX(1,ROUND(TO55/CAC*TL55,0)),0)</f>
        <v/>
      </c>
      <c r="TQ55" s="12">
        <f>IF(TP55&gt;0,ROUND(TP55*ReferralMix/(1-ReferralMix),0),0)</f>
        <v/>
      </c>
      <c r="TR55" s="12">
        <f>TP55+TQ55</f>
        <v/>
      </c>
      <c r="TS55" s="12">
        <f>ROUND(TR55*(1-AnnualMix),0)</f>
        <v/>
      </c>
      <c r="TT55" s="12">
        <f>TR55-TS55</f>
        <v/>
      </c>
      <c r="TU55" s="12">
        <f>ROUND(TS55*EssentialMix,0)</f>
        <v/>
      </c>
      <c r="TV55" s="12">
        <f>ROUND(TS55*PremiumMix,0)</f>
        <v/>
      </c>
      <c r="TW55" s="12">
        <f>TS55-TU55-TV55</f>
        <v/>
      </c>
      <c r="TX55" s="12">
        <f>ROUND(TT55*EssentialMix,0)</f>
        <v/>
      </c>
      <c r="TY55" s="12">
        <f>ROUND(TT55*PremiumMix,0)</f>
        <v/>
      </c>
      <c r="TZ55" s="12">
        <f>TT55-TX55-TY55</f>
        <v/>
      </c>
      <c r="UA55" s="12">
        <f>TU55+TU54+TU53+MAX(0,UA54-TU54-TU53)*(1-TN55)</f>
        <v/>
      </c>
      <c r="UB55" s="12">
        <f>TV55+TV54+TV53+MAX(0,UB54-TV54-TV53)*(1-TN55)</f>
        <v/>
      </c>
      <c r="UC55" s="12">
        <f>TW55+TW54+TW53+MAX(0,UC54-TW54-TW53)*(1-TN55)</f>
        <v/>
      </c>
      <c r="UD55" s="12">
        <f>UD54+TX55-TX43*(AnnualChurn*VLOOKUP(TJ55,ChurnSeasonTable,4,FALSE))*POWER(1-(AnnualChurn*VLOOKUP(TJ55,ChurnSeasonTable,4,FALSE)),0)+TX31*(AnnualChurn*VLOOKUP(TJ55,ChurnSeasonTable,4,FALSE))*POWER(1-(AnnualChurn*VLOOKUP(TJ55,ChurnSeasonTable,4,FALSE)),1)+TX19*(AnnualChurn*VLOOKUP(TJ55,ChurnSeasonTable,4,FALSE))*POWER(1-(AnnualChurn*VLOOKUP(TJ55,ChurnSeasonTable,4,FALSE)),2)+TX7*(AnnualChurn*VLOOKUP(TJ55,ChurnSeasonTable,4,FALSE))*POWER(1-(AnnualChurn*VLOOKUP(TJ55,ChurnSeasonTable,4,FALSE)),3)</f>
        <v/>
      </c>
      <c r="UE55" s="12">
        <f>UE54+TY55-TY43*(AnnualChurn*VLOOKUP(TJ55,ChurnSeasonTable,4,FALSE))*POWER(1-(AnnualChurn*VLOOKUP(TJ55,ChurnSeasonTable,4,FALSE)),0)+TY31*(AnnualChurn*VLOOKUP(TJ55,ChurnSeasonTable,4,FALSE))*POWER(1-(AnnualChurn*VLOOKUP(TJ55,ChurnSeasonTable,4,FALSE)),1)+TY19*(AnnualChurn*VLOOKUP(TJ55,ChurnSeasonTable,4,FALSE))*POWER(1-(AnnualChurn*VLOOKUP(TJ55,ChurnSeasonTable,4,FALSE)),2)+TY7*(AnnualChurn*VLOOKUP(TJ55,ChurnSeasonTable,4,FALSE))*POWER(1-(AnnualChurn*VLOOKUP(TJ55,ChurnSeasonTable,4,FALSE)),3)</f>
        <v/>
      </c>
      <c r="UF55" s="12">
        <f>UF54+TZ55-TZ43*(AnnualChurn*VLOOKUP(TJ55,ChurnSeasonTable,4,FALSE))*POWER(1-(AnnualChurn*VLOOKUP(TJ55,ChurnSeasonTable,4,FALSE)),0)+TZ31*(AnnualChurn*VLOOKUP(TJ55,ChurnSeasonTable,4,FALSE))*POWER(1-(AnnualChurn*VLOOKUP(TJ55,ChurnSeasonTable,4,FALSE)),1)+TZ19*(AnnualChurn*VLOOKUP(TJ55,ChurnSeasonTable,4,FALSE))*POWER(1-(AnnualChurn*VLOOKUP(TJ55,ChurnSeasonTable,4,FALSE)),2)+TZ7*(AnnualChurn*VLOOKUP(TJ55,ChurnSeasonTable,4,FALSE))*POWER(1-(AnnualChurn*VLOOKUP(TJ55,ChurnSeasonTable,4,FALSE)),3)</f>
        <v/>
      </c>
      <c r="UG55" s="12">
        <f>UA55+UB55+UC55+UD55+UE55+UF55</f>
        <v/>
      </c>
      <c r="UH55" s="9">
        <f>UA55*BlendedPriceEssMonthly*TM55+UB55*BlendedPricePremMonthly*TM55+UC55*BlendedPriceEliteMonthly*TM55+UD55*BlendedPriceEssAnnual*TM55/12+UE55*BlendedPricePremAnnual*TM55/12+UF55*BlendedPriceEliteAnnual*TM55/12</f>
        <v/>
      </c>
      <c r="UI55" s="9">
        <f>UH55*12</f>
        <v/>
      </c>
      <c r="UJ55" s="12">
        <f>UA55*BlendedPriceEssMonthly*TM55+UB55*BlendedPricePremMonthly*TM55+UC55*BlendedPriceEliteMonthly*TM55</f>
        <v/>
      </c>
      <c r="UK55" s="12">
        <f>TX55*BlendedPriceEssAnnual*TM55+TY55*BlendedPricePremAnnual*TM55+TZ55*BlendedPriceEliteAnnual*TM55</f>
        <v/>
      </c>
      <c r="UL55" s="12">
        <f>TX43*POWER(1-(AnnualChurn*VLOOKUP(TJ55,ChurnSeasonTable,4,FALSE)),1)*BlendedPriceEssAnnual*TM55+TX31*POWER(1-(AnnualChurn*VLOOKUP(TJ55,ChurnSeasonTable,4,FALSE)),2)*BlendedPriceEssAnnual*TM55+TX19*POWER(1-(AnnualChurn*VLOOKUP(TJ55,ChurnSeasonTable,4,FALSE)),3)*BlendedPriceEssAnnual*TM55+TX7*POWER(1-(AnnualChurn*VLOOKUP(TJ55,ChurnSeasonTable,4,FALSE)),4)*BlendedPriceEssAnnual*TM55+TY43*POWER(1-(AnnualChurn*VLOOKUP(TJ55,ChurnSeasonTable,4,FALSE)),1)*BlendedPricePremAnnual*TM55+TY31*POWER(1-(AnnualChurn*VLOOKUP(TJ55,ChurnSeasonTable,4,FALSE)),2)*BlendedPricePremAnnual*TM55+TY19*POWER(1-(AnnualChurn*VLOOKUP(TJ55,ChurnSeasonTable,4,FALSE)),3)*BlendedPricePremAnnual*TM55+TY7*POWER(1-(AnnualChurn*VLOOKUP(TJ55,ChurnSeasonTable,4,FALSE)),4)*BlendedPricePremAnnual*TM55+TZ43*POWER(1-(AnnualChurn*VLOOKUP(TJ55,ChurnSeasonTable,4,FALSE)),1)*BlendedPriceEliteAnnual*TM55+TZ31*POWER(1-(AnnualChurn*VLOOKUP(TJ55,ChurnSeasonTable,4,FALSE)),2)*BlendedPriceEliteAnnual*TM55+TZ19*POWER(1-(AnnualChurn*VLOOKUP(TJ55,ChurnSeasonTable,4,FALSE)),3)*BlendedPriceEliteAnnual*TM55+TZ7*POWER(1-(AnnualChurn*VLOOKUP(TJ55,ChurnSeasonTable,4,FALSE)),4)*BlendedPriceEliteAnnual*TM55</f>
        <v/>
      </c>
      <c r="UM55" s="9">
        <f>UJ55+UK55+UL55</f>
        <v/>
      </c>
      <c r="UN55" s="12">
        <f>SUM(UM44:UM55)</f>
        <v/>
      </c>
      <c r="UO55" s="12">
        <f>OR(UO54,IF(VATAgentMode,SUM($UM44:$UM55)-SUM($UT44:$UT55)&gt;=VATThreshold,SUM($UM44:$UM55)&gt;=VATThreshold))</f>
        <v/>
      </c>
      <c r="UP55" s="9">
        <f>IF(UO55,IF(VATAgentMode,UM55-((UM55-UT55)-(UM55-UT55)/(1+VATRate)),UM55/(1+VATRate)),UM55)</f>
        <v/>
      </c>
      <c r="UQ55" s="12">
        <f>UM55-UP55</f>
        <v/>
      </c>
      <c r="UR55" s="12">
        <f>IF(UO55=0,0,IF(TJ55=1,SUMPRODUCT(--(($TK$5:$TK55=$TK55-1)*($TJ$5:$TJ55&gt;=10)*($TJ$5:$TJ55&lt;=12)),$UQ$5:$UQ55),IF(TJ55=4,SUMPRODUCT(--(($TK$5:$TK55=$TK55)*($TJ$5:$TJ55&gt;=1)*($TJ$5:$TJ55&lt;=3)),$UQ$5:$UQ55),IF(TJ55=7,SUMPRODUCT(--(($TK$5:$TK55=$TK55)*($TJ$5:$TJ55&gt;=4)*($TJ$5:$TJ55&lt;=6)),$UQ$5:$UQ55),IF(TJ55=10,SUMPRODUCT(--(($TK$5:$TK55=$TK55)*($TJ$5:$TJ55&gt;=7)*($TJ$5:$TJ55&lt;=9)),$UQ$5:$UQ55),0)))))</f>
        <v/>
      </c>
      <c r="US55" s="12">
        <f>US54+UQ55-UR55</f>
        <v/>
      </c>
      <c r="UT55" s="12">
        <f>IF(ProviderDelay&gt;=1,UA54*BlendedProvPayEss+UB54*BlendedProvPayPrem+UC54*BlendedProvPayElite+UD54*BlendedProvPayEss+UE54*BlendedProvPayPrem+UF54*BlendedProvPayElite,UA55*BlendedProvPayEss+UB55*BlendedProvPayPrem+UC55*BlendedProvPayElite+UD55*BlendedProvPayEss+UE55*BlendedProvPayPrem+UF55*BlendedProvPayElite)</f>
        <v/>
      </c>
      <c r="UU55" s="12">
        <f>UM55*PaymentFee</f>
        <v/>
      </c>
      <c r="UV55" s="12">
        <f>UG55*OpsAI</f>
        <v/>
      </c>
      <c r="UW55" s="12">
        <f>MonthlyFixed</f>
        <v/>
      </c>
      <c r="UX55" s="12">
        <f>TQ55*ReferralReward</f>
        <v/>
      </c>
      <c r="UY55" s="12">
        <f>TO55</f>
        <v/>
      </c>
      <c r="UZ55" s="9">
        <f>UP55-UT55-UU55-UV55-UW55-UX55-UY55</f>
        <v/>
      </c>
      <c r="VA55" s="9">
        <f>VA54+UM55-(UT55+UU55+UV55+UW55+UX55+UY55+UR55)</f>
        <v/>
      </c>
      <c r="VB55" s="12">
        <f>IF(UG55&gt;0,UH55/UG55,0)</f>
        <v/>
      </c>
      <c r="VC55" s="11">
        <f>IF(UG54&gt;0,MAX(0,(UG54+TR55-UG55)/UG54),0)</f>
        <v/>
      </c>
      <c r="VE55" s="12" t="n">
        <v>51</v>
      </c>
      <c r="VF55" s="12">
        <f>MOD(VE55-1+LaunchMonth-1,12)+1</f>
        <v/>
      </c>
      <c r="VG55" s="12">
        <f>INT((VE55-1+LaunchMonth-1)/12)+1</f>
        <v/>
      </c>
      <c r="VH55" s="12">
        <f>VLOOKUP(VF55,SeasonTable,2,FALSE)</f>
        <v/>
      </c>
      <c r="VI55" s="12">
        <f>(1+InflationRate)^INT((VE55-1)/12)</f>
        <v/>
      </c>
      <c r="VJ55" s="11">
        <f>MonthlyChurn*VLOOKUP(VF55,ChurnSeasonTable,4,FALSE)</f>
        <v/>
      </c>
      <c r="VK55" s="12">
        <f>MIN(MAX(MktMin19plus,WI54*MktPct19plus),MAX(0,WW54-CashBuffer))</f>
        <v/>
      </c>
      <c r="VL55" s="12">
        <f>IF(VK55&gt;0,MAX(1,ROUND(VK55/CAC*VH55,0)),0)</f>
        <v/>
      </c>
      <c r="VM55" s="12">
        <f>IF(VL55&gt;0,ROUND(VL55*ReferralMix/(1-ReferralMix),0),0)</f>
        <v/>
      </c>
      <c r="VN55" s="12">
        <f>VL55+VM55</f>
        <v/>
      </c>
      <c r="VO55" s="12">
        <f>ROUND(VN55*(1-'Sens - Annual Mix'!$A$9),0)</f>
        <v/>
      </c>
      <c r="VP55" s="12">
        <f>VN55-VO55</f>
        <v/>
      </c>
      <c r="VQ55" s="12">
        <f>ROUND(VO55*EssentialMix,0)</f>
        <v/>
      </c>
      <c r="VR55" s="12">
        <f>ROUND(VO55*PremiumMix,0)</f>
        <v/>
      </c>
      <c r="VS55" s="12">
        <f>VO55-VQ55-VR55</f>
        <v/>
      </c>
      <c r="VT55" s="12">
        <f>ROUND(VP55*EssentialMix,0)</f>
        <v/>
      </c>
      <c r="VU55" s="12">
        <f>ROUND(VP55*PremiumMix,0)</f>
        <v/>
      </c>
      <c r="VV55" s="12">
        <f>VP55-VT55-VU55</f>
        <v/>
      </c>
      <c r="VW55" s="12">
        <f>VQ55+VQ54+VQ53+MAX(0,VW54-VQ54-VQ53)*(1-VJ55)</f>
        <v/>
      </c>
      <c r="VX55" s="12">
        <f>VR55+VR54+VR53+MAX(0,VX54-VR54-VR53)*(1-VJ55)</f>
        <v/>
      </c>
      <c r="VY55" s="12">
        <f>VS55+VS54+VS53+MAX(0,VY54-VS54-VS53)*(1-VJ55)</f>
        <v/>
      </c>
      <c r="VZ55" s="12">
        <f>VZ54+VT55-VT43*(AnnualChurn*VLOOKUP(VF55,ChurnSeasonTable,4,FALSE))*POWER(1-(AnnualChurn*VLOOKUP(VF55,ChurnSeasonTable,4,FALSE)),0)+VT31*(AnnualChurn*VLOOKUP(VF55,ChurnSeasonTable,4,FALSE))*POWER(1-(AnnualChurn*VLOOKUP(VF55,ChurnSeasonTable,4,FALSE)),1)+VT19*(AnnualChurn*VLOOKUP(VF55,ChurnSeasonTable,4,FALSE))*POWER(1-(AnnualChurn*VLOOKUP(VF55,ChurnSeasonTable,4,FALSE)),2)+VT7*(AnnualChurn*VLOOKUP(VF55,ChurnSeasonTable,4,FALSE))*POWER(1-(AnnualChurn*VLOOKUP(VF55,ChurnSeasonTable,4,FALSE)),3)</f>
        <v/>
      </c>
      <c r="WA55" s="12">
        <f>WA54+VU55-VU43*(AnnualChurn*VLOOKUP(VF55,ChurnSeasonTable,4,FALSE))*POWER(1-(AnnualChurn*VLOOKUP(VF55,ChurnSeasonTable,4,FALSE)),0)+VU31*(AnnualChurn*VLOOKUP(VF55,ChurnSeasonTable,4,FALSE))*POWER(1-(AnnualChurn*VLOOKUP(VF55,ChurnSeasonTable,4,FALSE)),1)+VU19*(AnnualChurn*VLOOKUP(VF55,ChurnSeasonTable,4,FALSE))*POWER(1-(AnnualChurn*VLOOKUP(VF55,ChurnSeasonTable,4,FALSE)),2)+VU7*(AnnualChurn*VLOOKUP(VF55,ChurnSeasonTable,4,FALSE))*POWER(1-(AnnualChurn*VLOOKUP(VF55,ChurnSeasonTable,4,FALSE)),3)</f>
        <v/>
      </c>
      <c r="WB55" s="12">
        <f>WB54+VV55-VV43*(AnnualChurn*VLOOKUP(VF55,ChurnSeasonTable,4,FALSE))*POWER(1-(AnnualChurn*VLOOKUP(VF55,ChurnSeasonTable,4,FALSE)),0)+VV31*(AnnualChurn*VLOOKUP(VF55,ChurnSeasonTable,4,FALSE))*POWER(1-(AnnualChurn*VLOOKUP(VF55,ChurnSeasonTable,4,FALSE)),1)+VV19*(AnnualChurn*VLOOKUP(VF55,ChurnSeasonTable,4,FALSE))*POWER(1-(AnnualChurn*VLOOKUP(VF55,ChurnSeasonTable,4,FALSE)),2)+VV7*(AnnualChurn*VLOOKUP(VF55,ChurnSeasonTable,4,FALSE))*POWER(1-(AnnualChurn*VLOOKUP(VF55,ChurnSeasonTable,4,FALSE)),3)</f>
        <v/>
      </c>
      <c r="WC55" s="12">
        <f>VW55+VX55+VY55+VZ55+WA55+WB55</f>
        <v/>
      </c>
      <c r="WD55" s="9">
        <f>VW55*BlendedPriceEssMonthly*VI55+VX55*BlendedPricePremMonthly*VI55+VY55*BlendedPriceEliteMonthly*VI55+VZ55*BlendedPriceEssAnnual*VI55/12+WA55*BlendedPricePremAnnual*VI55/12+WB55*BlendedPriceEliteAnnual*VI55/12</f>
        <v/>
      </c>
      <c r="WE55" s="9">
        <f>WD55*12</f>
        <v/>
      </c>
      <c r="WF55" s="12">
        <f>VW55*BlendedPriceEssMonthly*VI55+VX55*BlendedPricePremMonthly*VI55+VY55*BlendedPriceEliteMonthly*VI55</f>
        <v/>
      </c>
      <c r="WG55" s="12">
        <f>VT55*BlendedPriceEssAnnual*VI55+VU55*BlendedPricePremAnnual*VI55+VV55*BlendedPriceEliteAnnual*VI55</f>
        <v/>
      </c>
      <c r="WH55" s="12">
        <f>VT43*POWER(1-(AnnualChurn*VLOOKUP(VF55,ChurnSeasonTable,4,FALSE)),1)*BlendedPriceEssAnnual*VI55+VT31*POWER(1-(AnnualChurn*VLOOKUP(VF55,ChurnSeasonTable,4,FALSE)),2)*BlendedPriceEssAnnual*VI55+VT19*POWER(1-(AnnualChurn*VLOOKUP(VF55,ChurnSeasonTable,4,FALSE)),3)*BlendedPriceEssAnnual*VI55+VT7*POWER(1-(AnnualChurn*VLOOKUP(VF55,ChurnSeasonTable,4,FALSE)),4)*BlendedPriceEssAnnual*VI55+VU43*POWER(1-(AnnualChurn*VLOOKUP(VF55,ChurnSeasonTable,4,FALSE)),1)*BlendedPricePremAnnual*VI55+VU31*POWER(1-(AnnualChurn*VLOOKUP(VF55,ChurnSeasonTable,4,FALSE)),2)*BlendedPricePremAnnual*VI55+VU19*POWER(1-(AnnualChurn*VLOOKUP(VF55,ChurnSeasonTable,4,FALSE)),3)*BlendedPricePremAnnual*VI55+VU7*POWER(1-(AnnualChurn*VLOOKUP(VF55,ChurnSeasonTable,4,FALSE)),4)*BlendedPricePremAnnual*VI55+VV43*POWER(1-(AnnualChurn*VLOOKUP(VF55,ChurnSeasonTable,4,FALSE)),1)*BlendedPriceEliteAnnual*VI55+VV31*POWER(1-(AnnualChurn*VLOOKUP(VF55,ChurnSeasonTable,4,FALSE)),2)*BlendedPriceEliteAnnual*VI55+VV19*POWER(1-(AnnualChurn*VLOOKUP(VF55,ChurnSeasonTable,4,FALSE)),3)*BlendedPriceEliteAnnual*VI55+VV7*POWER(1-(AnnualChurn*VLOOKUP(VF55,ChurnSeasonTable,4,FALSE)),4)*BlendedPriceEliteAnnual*VI55</f>
        <v/>
      </c>
      <c r="WI55" s="9">
        <f>WF55+WG55+WH55</f>
        <v/>
      </c>
      <c r="WJ55" s="12">
        <f>SUM(WI44:WI55)</f>
        <v/>
      </c>
      <c r="WK55" s="12">
        <f>OR(WK54,IF(VATAgentMode,SUM($WI44:$WI55)-SUM($WP44:$WP55)&gt;=VATThreshold,SUM($WI44:$WI55)&gt;=VATThreshold))</f>
        <v/>
      </c>
      <c r="WL55" s="9">
        <f>IF(WK55,IF(VATAgentMode,WI55-((WI55-WP55)-(WI55-WP55)/(1+VATRate)),WI55/(1+VATRate)),WI55)</f>
        <v/>
      </c>
      <c r="WM55" s="12">
        <f>WI55-WL55</f>
        <v/>
      </c>
      <c r="WN55" s="12">
        <f>IF(WK55=0,0,IF(VF55=1,SUMPRODUCT(--(($VG$5:$VG55=$VG55-1)*($VF$5:$VF55&gt;=10)*($VF$5:$VF55&lt;=12)),$WM$5:$WM55),IF(VF55=4,SUMPRODUCT(--(($VG$5:$VG55=$VG55)*($VF$5:$VF55&gt;=1)*($VF$5:$VF55&lt;=3)),$WM$5:$WM55),IF(VF55=7,SUMPRODUCT(--(($VG$5:$VG55=$VG55)*($VF$5:$VF55&gt;=4)*($VF$5:$VF55&lt;=6)),$WM$5:$WM55),IF(VF55=10,SUMPRODUCT(--(($VG$5:$VG55=$VG55)*($VF$5:$VF55&gt;=7)*($VF$5:$VF55&lt;=9)),$WM$5:$WM55),0)))))</f>
        <v/>
      </c>
      <c r="WO55" s="12">
        <f>WO54+WM55-WN55</f>
        <v/>
      </c>
      <c r="WP55" s="12">
        <f>IF(ProviderDelay&gt;=1,VW54*BlendedProvPayEss+VX54*BlendedProvPayPrem+VY54*BlendedProvPayElite+VZ54*BlendedProvPayEss+WA54*BlendedProvPayPrem+WB54*BlendedProvPayElite,VW55*BlendedProvPayEss+VX55*BlendedProvPayPrem+VY55*BlendedProvPayElite+VZ55*BlendedProvPayEss+WA55*BlendedProvPayPrem+WB55*BlendedProvPayElite)</f>
        <v/>
      </c>
      <c r="WQ55" s="12">
        <f>WI55*PaymentFee</f>
        <v/>
      </c>
      <c r="WR55" s="12">
        <f>WC55*OpsAI</f>
        <v/>
      </c>
      <c r="WS55" s="12">
        <f>MonthlyFixed</f>
        <v/>
      </c>
      <c r="WT55" s="12">
        <f>VM55*ReferralReward</f>
        <v/>
      </c>
      <c r="WU55" s="12">
        <f>VK55</f>
        <v/>
      </c>
      <c r="WV55" s="9">
        <f>WL55-WP55-WQ55-WR55-WS55-WT55-WU55</f>
        <v/>
      </c>
      <c r="WW55" s="9">
        <f>WW54+WI55-(WP55+WQ55+WR55+WS55+WT55+WU55+WN55)</f>
        <v/>
      </c>
      <c r="WX55" s="12">
        <f>IF(WC55&gt;0,WD55/WC55,0)</f>
        <v/>
      </c>
      <c r="WY55" s="11">
        <f>IF(WC54&gt;0,MAX(0,(WC54+VN55-WC55)/WC54),0)</f>
        <v/>
      </c>
      <c r="XA55" s="12" t="n">
        <v>51</v>
      </c>
      <c r="XB55" s="12">
        <f>MOD(XA55-1+LaunchMonth-1,12)+1</f>
        <v/>
      </c>
      <c r="XC55" s="12">
        <f>INT((XA55-1+LaunchMonth-1)/12)+1</f>
        <v/>
      </c>
      <c r="XD55" s="12">
        <f>VLOOKUP(XB55,SeasonTable,2,FALSE)</f>
        <v/>
      </c>
      <c r="XE55" s="12">
        <f>(1+InflationRate)^INT((XA55-1)/12)</f>
        <v/>
      </c>
      <c r="XF55" s="11">
        <f>MonthlyChurn*VLOOKUP(XB55,ChurnSeasonTable,4,FALSE)</f>
        <v/>
      </c>
      <c r="XG55" s="12">
        <f>MIN(MAX(MktMin19plus,YE54*MktPct19plus),MAX(0,YS54-CashBuffer))</f>
        <v/>
      </c>
      <c r="XH55" s="12">
        <f>IF(XG55&gt;0,MAX(1,ROUND(XG55/CAC*XD55,0)),0)</f>
        <v/>
      </c>
      <c r="XI55" s="12">
        <f>IF(XH55&gt;0,ROUND(XH55*ReferralMix/(1-ReferralMix),0),0)</f>
        <v/>
      </c>
      <c r="XJ55" s="12">
        <f>XH55+XI55</f>
        <v/>
      </c>
      <c r="XK55" s="12">
        <f>ROUND(XJ55*(1-'Sens - Annual Mix'!$A$10),0)</f>
        <v/>
      </c>
      <c r="XL55" s="12">
        <f>XJ55-XK55</f>
        <v/>
      </c>
      <c r="XM55" s="12">
        <f>ROUND(XK55*EssentialMix,0)</f>
        <v/>
      </c>
      <c r="XN55" s="12">
        <f>ROUND(XK55*PremiumMix,0)</f>
        <v/>
      </c>
      <c r="XO55" s="12">
        <f>XK55-XM55-XN55</f>
        <v/>
      </c>
      <c r="XP55" s="12">
        <f>ROUND(XL55*EssentialMix,0)</f>
        <v/>
      </c>
      <c r="XQ55" s="12">
        <f>ROUND(XL55*PremiumMix,0)</f>
        <v/>
      </c>
      <c r="XR55" s="12">
        <f>XL55-XP55-XQ55</f>
        <v/>
      </c>
      <c r="XS55" s="12">
        <f>XM55+XM54+XM53+MAX(0,XS54-XM54-XM53)*(1-XF55)</f>
        <v/>
      </c>
      <c r="XT55" s="12">
        <f>XN55+XN54+XN53+MAX(0,XT54-XN54-XN53)*(1-XF55)</f>
        <v/>
      </c>
      <c r="XU55" s="12">
        <f>XO55+XO54+XO53+MAX(0,XU54-XO54-XO53)*(1-XF55)</f>
        <v/>
      </c>
      <c r="XV55" s="12">
        <f>XV54+XP55-XP43*(AnnualChurn*VLOOKUP(XB55,ChurnSeasonTable,4,FALSE))*POWER(1-(AnnualChurn*VLOOKUP(XB55,ChurnSeasonTable,4,FALSE)),0)+XP31*(AnnualChurn*VLOOKUP(XB55,ChurnSeasonTable,4,FALSE))*POWER(1-(AnnualChurn*VLOOKUP(XB55,ChurnSeasonTable,4,FALSE)),1)+XP19*(AnnualChurn*VLOOKUP(XB55,ChurnSeasonTable,4,FALSE))*POWER(1-(AnnualChurn*VLOOKUP(XB55,ChurnSeasonTable,4,FALSE)),2)+XP7*(AnnualChurn*VLOOKUP(XB55,ChurnSeasonTable,4,FALSE))*POWER(1-(AnnualChurn*VLOOKUP(XB55,ChurnSeasonTable,4,FALSE)),3)</f>
        <v/>
      </c>
      <c r="XW55" s="12">
        <f>XW54+XQ55-XQ43*(AnnualChurn*VLOOKUP(XB55,ChurnSeasonTable,4,FALSE))*POWER(1-(AnnualChurn*VLOOKUP(XB55,ChurnSeasonTable,4,FALSE)),0)+XQ31*(AnnualChurn*VLOOKUP(XB55,ChurnSeasonTable,4,FALSE))*POWER(1-(AnnualChurn*VLOOKUP(XB55,ChurnSeasonTable,4,FALSE)),1)+XQ19*(AnnualChurn*VLOOKUP(XB55,ChurnSeasonTable,4,FALSE))*POWER(1-(AnnualChurn*VLOOKUP(XB55,ChurnSeasonTable,4,FALSE)),2)+XQ7*(AnnualChurn*VLOOKUP(XB55,ChurnSeasonTable,4,FALSE))*POWER(1-(AnnualChurn*VLOOKUP(XB55,ChurnSeasonTable,4,FALSE)),3)</f>
        <v/>
      </c>
      <c r="XX55" s="12">
        <f>XX54+XR55-XR43*(AnnualChurn*VLOOKUP(XB55,ChurnSeasonTable,4,FALSE))*POWER(1-(AnnualChurn*VLOOKUP(XB55,ChurnSeasonTable,4,FALSE)),0)+XR31*(AnnualChurn*VLOOKUP(XB55,ChurnSeasonTable,4,FALSE))*POWER(1-(AnnualChurn*VLOOKUP(XB55,ChurnSeasonTable,4,FALSE)),1)+XR19*(AnnualChurn*VLOOKUP(XB55,ChurnSeasonTable,4,FALSE))*POWER(1-(AnnualChurn*VLOOKUP(XB55,ChurnSeasonTable,4,FALSE)),2)+XR7*(AnnualChurn*VLOOKUP(XB55,ChurnSeasonTable,4,FALSE))*POWER(1-(AnnualChurn*VLOOKUP(XB55,ChurnSeasonTable,4,FALSE)),3)</f>
        <v/>
      </c>
      <c r="XY55" s="12">
        <f>XS55+XT55+XU55+XV55+XW55+XX55</f>
        <v/>
      </c>
      <c r="XZ55" s="9">
        <f>XS55*BlendedPriceEssMonthly*XE55+XT55*BlendedPricePremMonthly*XE55+XU55*BlendedPriceEliteMonthly*XE55+XV55*BlendedPriceEssAnnual*XE55/12+XW55*BlendedPricePremAnnual*XE55/12+XX55*BlendedPriceEliteAnnual*XE55/12</f>
        <v/>
      </c>
      <c r="YA55" s="9">
        <f>XZ55*12</f>
        <v/>
      </c>
      <c r="YB55" s="12">
        <f>XS55*BlendedPriceEssMonthly*XE55+XT55*BlendedPricePremMonthly*XE55+XU55*BlendedPriceEliteMonthly*XE55</f>
        <v/>
      </c>
      <c r="YC55" s="12">
        <f>XP55*BlendedPriceEssAnnual*XE55+XQ55*BlendedPricePremAnnual*XE55+XR55*BlendedPriceEliteAnnual*XE55</f>
        <v/>
      </c>
      <c r="YD55" s="12">
        <f>XP43*POWER(1-(AnnualChurn*VLOOKUP(XB55,ChurnSeasonTable,4,FALSE)),1)*BlendedPriceEssAnnual*XE55+XP31*POWER(1-(AnnualChurn*VLOOKUP(XB55,ChurnSeasonTable,4,FALSE)),2)*BlendedPriceEssAnnual*XE55+XP19*POWER(1-(AnnualChurn*VLOOKUP(XB55,ChurnSeasonTable,4,FALSE)),3)*BlendedPriceEssAnnual*XE55+XP7*POWER(1-(AnnualChurn*VLOOKUP(XB55,ChurnSeasonTable,4,FALSE)),4)*BlendedPriceEssAnnual*XE55+XQ43*POWER(1-(AnnualChurn*VLOOKUP(XB55,ChurnSeasonTable,4,FALSE)),1)*BlendedPricePremAnnual*XE55+XQ31*POWER(1-(AnnualChurn*VLOOKUP(XB55,ChurnSeasonTable,4,FALSE)),2)*BlendedPricePremAnnual*XE55+XQ19*POWER(1-(AnnualChurn*VLOOKUP(XB55,ChurnSeasonTable,4,FALSE)),3)*BlendedPricePremAnnual*XE55+XQ7*POWER(1-(AnnualChurn*VLOOKUP(XB55,ChurnSeasonTable,4,FALSE)),4)*BlendedPricePremAnnual*XE55+XR43*POWER(1-(AnnualChurn*VLOOKUP(XB55,ChurnSeasonTable,4,FALSE)),1)*BlendedPriceEliteAnnual*XE55+XR31*POWER(1-(AnnualChurn*VLOOKUP(XB55,ChurnSeasonTable,4,FALSE)),2)*BlendedPriceEliteAnnual*XE55+XR19*POWER(1-(AnnualChurn*VLOOKUP(XB55,ChurnSeasonTable,4,FALSE)),3)*BlendedPriceEliteAnnual*XE55+XR7*POWER(1-(AnnualChurn*VLOOKUP(XB55,ChurnSeasonTable,4,FALSE)),4)*BlendedPriceEliteAnnual*XE55</f>
        <v/>
      </c>
      <c r="YE55" s="9">
        <f>YB55+YC55+YD55</f>
        <v/>
      </c>
      <c r="YF55" s="12">
        <f>SUM(YE44:YE55)</f>
        <v/>
      </c>
      <c r="YG55" s="12">
        <f>OR(YG54,IF(VATAgentMode,SUM($YE44:$YE55)-SUM($YL44:$YL55)&gt;=VATThreshold,SUM($YE44:$YE55)&gt;=VATThreshold))</f>
        <v/>
      </c>
      <c r="YH55" s="9">
        <f>IF(YG55,IF(VATAgentMode,YE55-((YE55-YL55)-(YE55-YL55)/(1+VATRate)),YE55/(1+VATRate)),YE55)</f>
        <v/>
      </c>
      <c r="YI55" s="12">
        <f>YE55-YH55</f>
        <v/>
      </c>
      <c r="YJ55" s="12">
        <f>IF(YG55=0,0,IF(XB55=1,SUMPRODUCT(--(($XC$5:$XC55=$XC55-1)*($XB$5:$XB55&gt;=10)*($XB$5:$XB55&lt;=12)),$YI$5:$YI55),IF(XB55=4,SUMPRODUCT(--(($XC$5:$XC55=$XC55)*($XB$5:$XB55&gt;=1)*($XB$5:$XB55&lt;=3)),$YI$5:$YI55),IF(XB55=7,SUMPRODUCT(--(($XC$5:$XC55=$XC55)*($XB$5:$XB55&gt;=4)*($XB$5:$XB55&lt;=6)),$YI$5:$YI55),IF(XB55=10,SUMPRODUCT(--(($XC$5:$XC55=$XC55)*($XB$5:$XB55&gt;=7)*($XB$5:$XB55&lt;=9)),$YI$5:$YI55),0)))))</f>
        <v/>
      </c>
      <c r="YK55" s="12">
        <f>YK54+YI55-YJ55</f>
        <v/>
      </c>
      <c r="YL55" s="12">
        <f>IF(ProviderDelay&gt;=1,XS54*BlendedProvPayEss+XT54*BlendedProvPayPrem+XU54*BlendedProvPayElite+XV54*BlendedProvPayEss+XW54*BlendedProvPayPrem+XX54*BlendedProvPayElite,XS55*BlendedProvPayEss+XT55*BlendedProvPayPrem+XU55*BlendedProvPayElite+XV55*BlendedProvPayEss+XW55*BlendedProvPayPrem+XX55*BlendedProvPayElite)</f>
        <v/>
      </c>
      <c r="YM55" s="12">
        <f>YE55*PaymentFee</f>
        <v/>
      </c>
      <c r="YN55" s="12">
        <f>XY55*OpsAI</f>
        <v/>
      </c>
      <c r="YO55" s="12">
        <f>MonthlyFixed</f>
        <v/>
      </c>
      <c r="YP55" s="12">
        <f>XI55*ReferralReward</f>
        <v/>
      </c>
      <c r="YQ55" s="12">
        <f>XG55</f>
        <v/>
      </c>
      <c r="YR55" s="9">
        <f>YH55-YL55-YM55-YN55-YO55-YP55-YQ55</f>
        <v/>
      </c>
      <c r="YS55" s="9">
        <f>YS54+YE55-(YL55+YM55+YN55+YO55+YP55+YQ55+YJ55)</f>
        <v/>
      </c>
      <c r="YT55" s="12">
        <f>IF(XY55&gt;0,XZ55/XY55,0)</f>
        <v/>
      </c>
      <c r="YU55" s="11">
        <f>IF(XY54&gt;0,MAX(0,(XY54+XJ55-XY55)/XY54),0)</f>
        <v/>
      </c>
      <c r="YW55" s="12" t="n">
        <v>51</v>
      </c>
      <c r="YX55" s="12">
        <f>MOD(YW55-1+LaunchMonth-1,12)+1</f>
        <v/>
      </c>
      <c r="YY55" s="12">
        <f>INT((YW55-1+LaunchMonth-1)/12)+1</f>
        <v/>
      </c>
      <c r="YZ55" s="12">
        <f>VLOOKUP(YX55,SeasonTable,2,FALSE)</f>
        <v/>
      </c>
      <c r="ZA55" s="12">
        <f>(1+InflationRate)^INT((YW55-1)/12)</f>
        <v/>
      </c>
      <c r="ZB55" s="11">
        <f>MonthlyChurn*VLOOKUP(YX55,ChurnSeasonTable,4,FALSE)</f>
        <v/>
      </c>
      <c r="ZC55" s="12">
        <f>MIN(MAX(MktMin19plus,AAA54*MktPct19plus),MAX(0,AAO54-CashBuffer))</f>
        <v/>
      </c>
      <c r="ZD55" s="12">
        <f>IF(ZC55&gt;0,MAX(1,ROUND(ZC55/CAC*YZ55,0)),0)</f>
        <v/>
      </c>
      <c r="ZE55" s="12">
        <f>IF(ZD55&gt;0,ROUND(ZD55*ReferralMix/(1-ReferralMix),0),0)</f>
        <v/>
      </c>
      <c r="ZF55" s="12">
        <f>ZD55+ZE55</f>
        <v/>
      </c>
      <c r="ZG55" s="12">
        <f>ROUND(ZF55*(1-'Sens - Annual Mix'!$A$11),0)</f>
        <v/>
      </c>
      <c r="ZH55" s="12">
        <f>ZF55-ZG55</f>
        <v/>
      </c>
      <c r="ZI55" s="12">
        <f>ROUND(ZG55*EssentialMix,0)</f>
        <v/>
      </c>
      <c r="ZJ55" s="12">
        <f>ROUND(ZG55*PremiumMix,0)</f>
        <v/>
      </c>
      <c r="ZK55" s="12">
        <f>ZG55-ZI55-ZJ55</f>
        <v/>
      </c>
      <c r="ZL55" s="12">
        <f>ROUND(ZH55*EssentialMix,0)</f>
        <v/>
      </c>
      <c r="ZM55" s="12">
        <f>ROUND(ZH55*PremiumMix,0)</f>
        <v/>
      </c>
      <c r="ZN55" s="12">
        <f>ZH55-ZL55-ZM55</f>
        <v/>
      </c>
      <c r="ZO55" s="12">
        <f>ZI55+ZI54+ZI53+MAX(0,ZO54-ZI54-ZI53)*(1-ZB55)</f>
        <v/>
      </c>
      <c r="ZP55" s="12">
        <f>ZJ55+ZJ54+ZJ53+MAX(0,ZP54-ZJ54-ZJ53)*(1-ZB55)</f>
        <v/>
      </c>
      <c r="ZQ55" s="12">
        <f>ZK55+ZK54+ZK53+MAX(0,ZQ54-ZK54-ZK53)*(1-ZB55)</f>
        <v/>
      </c>
      <c r="ZR55" s="12">
        <f>ZR54+ZL55-ZL43*(AnnualChurn*VLOOKUP(YX55,ChurnSeasonTable,4,FALSE))*POWER(1-(AnnualChurn*VLOOKUP(YX55,ChurnSeasonTable,4,FALSE)),0)+ZL31*(AnnualChurn*VLOOKUP(YX55,ChurnSeasonTable,4,FALSE))*POWER(1-(AnnualChurn*VLOOKUP(YX55,ChurnSeasonTable,4,FALSE)),1)+ZL19*(AnnualChurn*VLOOKUP(YX55,ChurnSeasonTable,4,FALSE))*POWER(1-(AnnualChurn*VLOOKUP(YX55,ChurnSeasonTable,4,FALSE)),2)+ZL7*(AnnualChurn*VLOOKUP(YX55,ChurnSeasonTable,4,FALSE))*POWER(1-(AnnualChurn*VLOOKUP(YX55,ChurnSeasonTable,4,FALSE)),3)</f>
        <v/>
      </c>
      <c r="ZS55" s="12">
        <f>ZS54+ZM55-ZM43*(AnnualChurn*VLOOKUP(YX55,ChurnSeasonTable,4,FALSE))*POWER(1-(AnnualChurn*VLOOKUP(YX55,ChurnSeasonTable,4,FALSE)),0)+ZM31*(AnnualChurn*VLOOKUP(YX55,ChurnSeasonTable,4,FALSE))*POWER(1-(AnnualChurn*VLOOKUP(YX55,ChurnSeasonTable,4,FALSE)),1)+ZM19*(AnnualChurn*VLOOKUP(YX55,ChurnSeasonTable,4,FALSE))*POWER(1-(AnnualChurn*VLOOKUP(YX55,ChurnSeasonTable,4,FALSE)),2)+ZM7*(AnnualChurn*VLOOKUP(YX55,ChurnSeasonTable,4,FALSE))*POWER(1-(AnnualChurn*VLOOKUP(YX55,ChurnSeasonTable,4,FALSE)),3)</f>
        <v/>
      </c>
      <c r="ZT55" s="12">
        <f>ZT54+ZN55-ZN43*(AnnualChurn*VLOOKUP(YX55,ChurnSeasonTable,4,FALSE))*POWER(1-(AnnualChurn*VLOOKUP(YX55,ChurnSeasonTable,4,FALSE)),0)+ZN31*(AnnualChurn*VLOOKUP(YX55,ChurnSeasonTable,4,FALSE))*POWER(1-(AnnualChurn*VLOOKUP(YX55,ChurnSeasonTable,4,FALSE)),1)+ZN19*(AnnualChurn*VLOOKUP(YX55,ChurnSeasonTable,4,FALSE))*POWER(1-(AnnualChurn*VLOOKUP(YX55,ChurnSeasonTable,4,FALSE)),2)+ZN7*(AnnualChurn*VLOOKUP(YX55,ChurnSeasonTable,4,FALSE))*POWER(1-(AnnualChurn*VLOOKUP(YX55,ChurnSeasonTable,4,FALSE)),3)</f>
        <v/>
      </c>
      <c r="ZU55" s="12">
        <f>ZO55+ZP55+ZQ55+ZR55+ZS55+ZT55</f>
        <v/>
      </c>
      <c r="ZV55" s="9">
        <f>ZO55*BlendedPriceEssMonthly*ZA55+ZP55*BlendedPricePremMonthly*ZA55+ZQ55*BlendedPriceEliteMonthly*ZA55+ZR55*BlendedPriceEssAnnual*ZA55/12+ZS55*BlendedPricePremAnnual*ZA55/12+ZT55*BlendedPriceEliteAnnual*ZA55/12</f>
        <v/>
      </c>
      <c r="ZW55" s="9">
        <f>ZV55*12</f>
        <v/>
      </c>
      <c r="ZX55" s="12">
        <f>ZO55*BlendedPriceEssMonthly*ZA55+ZP55*BlendedPricePremMonthly*ZA55+ZQ55*BlendedPriceEliteMonthly*ZA55</f>
        <v/>
      </c>
      <c r="ZY55" s="12">
        <f>ZL55*BlendedPriceEssAnnual*ZA55+ZM55*BlendedPricePremAnnual*ZA55+ZN55*BlendedPriceEliteAnnual*ZA55</f>
        <v/>
      </c>
      <c r="ZZ55" s="12">
        <f>ZL43*POWER(1-(AnnualChurn*VLOOKUP(YX55,ChurnSeasonTable,4,FALSE)),1)*BlendedPriceEssAnnual*ZA55+ZL31*POWER(1-(AnnualChurn*VLOOKUP(YX55,ChurnSeasonTable,4,FALSE)),2)*BlendedPriceEssAnnual*ZA55+ZL19*POWER(1-(AnnualChurn*VLOOKUP(YX55,ChurnSeasonTable,4,FALSE)),3)*BlendedPriceEssAnnual*ZA55+ZL7*POWER(1-(AnnualChurn*VLOOKUP(YX55,ChurnSeasonTable,4,FALSE)),4)*BlendedPriceEssAnnual*ZA55+ZM43*POWER(1-(AnnualChurn*VLOOKUP(YX55,ChurnSeasonTable,4,FALSE)),1)*BlendedPricePremAnnual*ZA55+ZM31*POWER(1-(AnnualChurn*VLOOKUP(YX55,ChurnSeasonTable,4,FALSE)),2)*BlendedPricePremAnnual*ZA55+ZM19*POWER(1-(AnnualChurn*VLOOKUP(YX55,ChurnSeasonTable,4,FALSE)),3)*BlendedPricePremAnnual*ZA55+ZM7*POWER(1-(AnnualChurn*VLOOKUP(YX55,ChurnSeasonTable,4,FALSE)),4)*BlendedPricePremAnnual*ZA55+ZN43*POWER(1-(AnnualChurn*VLOOKUP(YX55,ChurnSeasonTable,4,FALSE)),1)*BlendedPriceEliteAnnual*ZA55+ZN31*POWER(1-(AnnualChurn*VLOOKUP(YX55,ChurnSeasonTable,4,FALSE)),2)*BlendedPriceEliteAnnual*ZA55+ZN19*POWER(1-(AnnualChurn*VLOOKUP(YX55,ChurnSeasonTable,4,FALSE)),3)*BlendedPriceEliteAnnual*ZA55+ZN7*POWER(1-(AnnualChurn*VLOOKUP(YX55,ChurnSeasonTable,4,FALSE)),4)*BlendedPriceEliteAnnual*ZA55</f>
        <v/>
      </c>
      <c r="AAA55" s="9">
        <f>ZX55+ZY55+ZZ55</f>
        <v/>
      </c>
      <c r="AAB55" s="12">
        <f>SUM(AAA44:AAA55)</f>
        <v/>
      </c>
      <c r="AAC55" s="12">
        <f>OR(AAC54,IF(VATAgentMode,SUM($AAA44:$AAA55)-SUM($AAH44:$AAH55)&gt;=VATThreshold,SUM($AAA44:$AAA55)&gt;=VATThreshold))</f>
        <v/>
      </c>
      <c r="AAD55" s="9">
        <f>IF(AAC55,IF(VATAgentMode,AAA55-((AAA55-AAH55)-(AAA55-AAH55)/(1+VATRate)),AAA55/(1+VATRate)),AAA55)</f>
        <v/>
      </c>
      <c r="AAE55" s="12">
        <f>AAA55-AAD55</f>
        <v/>
      </c>
      <c r="AAF55" s="12">
        <f>IF(AAC55=0,0,IF(YX55=1,SUMPRODUCT(--(($YY$5:$YY55=$YY55-1)*($YX$5:$YX55&gt;=10)*($YX$5:$YX55&lt;=12)),$AAE$5:$AAE55),IF(YX55=4,SUMPRODUCT(--(($YY$5:$YY55=$YY55)*($YX$5:$YX55&gt;=1)*($YX$5:$YX55&lt;=3)),$AAE$5:$AAE55),IF(YX55=7,SUMPRODUCT(--(($YY$5:$YY55=$YY55)*($YX$5:$YX55&gt;=4)*($YX$5:$YX55&lt;=6)),$AAE$5:$AAE55),IF(YX55=10,SUMPRODUCT(--(($YY$5:$YY55=$YY55)*($YX$5:$YX55&gt;=7)*($YX$5:$YX55&lt;=9)),$AAE$5:$AAE55),0)))))</f>
        <v/>
      </c>
      <c r="AAG55" s="12">
        <f>AAG54+AAE55-AAF55</f>
        <v/>
      </c>
      <c r="AAH55" s="12">
        <f>IF(ProviderDelay&gt;=1,ZO54*BlendedProvPayEss+ZP54*BlendedProvPayPrem+ZQ54*BlendedProvPayElite+ZR54*BlendedProvPayEss+ZS54*BlendedProvPayPrem+ZT54*BlendedProvPayElite,ZO55*BlendedProvPayEss+ZP55*BlendedProvPayPrem+ZQ55*BlendedProvPayElite+ZR55*BlendedProvPayEss+ZS55*BlendedProvPayPrem+ZT55*BlendedProvPayElite)</f>
        <v/>
      </c>
      <c r="AAI55" s="12">
        <f>AAA55*PaymentFee</f>
        <v/>
      </c>
      <c r="AAJ55" s="12">
        <f>ZU55*OpsAI</f>
        <v/>
      </c>
      <c r="AAK55" s="12">
        <f>MonthlyFixed</f>
        <v/>
      </c>
      <c r="AAL55" s="12">
        <f>ZE55*ReferralReward</f>
        <v/>
      </c>
      <c r="AAM55" s="12">
        <f>ZC55</f>
        <v/>
      </c>
      <c r="AAN55" s="9">
        <f>AAD55-AAH55-AAI55-AAJ55-AAK55-AAL55-AAM55</f>
        <v/>
      </c>
      <c r="AAO55" s="9">
        <f>AAO54+AAA55-(AAH55+AAI55+AAJ55+AAK55+AAL55+AAM55+AAF55)</f>
        <v/>
      </c>
      <c r="AAP55" s="12">
        <f>IF(ZU55&gt;0,ZV55/ZU55,0)</f>
        <v/>
      </c>
      <c r="AAQ55" s="11">
        <f>IF(ZU54&gt;0,MAX(0,(ZU54+ZF55-ZU55)/ZU54),0)</f>
        <v/>
      </c>
      <c r="AAS55" s="12" t="n">
        <v>51</v>
      </c>
      <c r="AAT55" s="12">
        <f>MOD(AAS55-1+LaunchMonth-1,12)+1</f>
        <v/>
      </c>
      <c r="AAU55" s="12">
        <f>INT((AAS55-1+LaunchMonth-1)/12)+1</f>
        <v/>
      </c>
      <c r="AAV55" s="12">
        <f>VLOOKUP(AAT55,SeasonTable,2,FALSE)</f>
        <v/>
      </c>
      <c r="AAW55" s="12">
        <f>(1+InflationRate)^INT((AAS55-1)/12)</f>
        <v/>
      </c>
      <c r="AAX55" s="11">
        <f>MonthlyChurn*VLOOKUP(AAT55,ChurnSeasonTable,4,FALSE)</f>
        <v/>
      </c>
      <c r="AAY55" s="12">
        <f>MIN(MAX(MktMin19plus,ABW54*MktPct19plus),MAX(0,ACK54-CashBuffer))</f>
        <v/>
      </c>
      <c r="AAZ55" s="12">
        <f>IF(AAY55&gt;0,MAX(1,ROUND(AAY55/CAC*AAV55,0)),0)</f>
        <v/>
      </c>
      <c r="ABA55" s="12">
        <f>IF(AAZ55&gt;0,ROUND(AAZ55*ReferralMix/(1-ReferralMix),0),0)</f>
        <v/>
      </c>
      <c r="ABB55" s="12">
        <f>AAZ55+ABA55</f>
        <v/>
      </c>
      <c r="ABC55" s="12">
        <f>ROUND(ABB55*(1-'Sens - Annual Mix'!$A$12),0)</f>
        <v/>
      </c>
      <c r="ABD55" s="12">
        <f>ABB55-ABC55</f>
        <v/>
      </c>
      <c r="ABE55" s="12">
        <f>ROUND(ABC55*EssentialMix,0)</f>
        <v/>
      </c>
      <c r="ABF55" s="12">
        <f>ROUND(ABC55*PremiumMix,0)</f>
        <v/>
      </c>
      <c r="ABG55" s="12">
        <f>ABC55-ABE55-ABF55</f>
        <v/>
      </c>
      <c r="ABH55" s="12">
        <f>ROUND(ABD55*EssentialMix,0)</f>
        <v/>
      </c>
      <c r="ABI55" s="12">
        <f>ROUND(ABD55*PremiumMix,0)</f>
        <v/>
      </c>
      <c r="ABJ55" s="12">
        <f>ABD55-ABH55-ABI55</f>
        <v/>
      </c>
      <c r="ABK55" s="12">
        <f>ABE55+ABE54+ABE53+MAX(0,ABK54-ABE54-ABE53)*(1-AAX55)</f>
        <v/>
      </c>
      <c r="ABL55" s="12">
        <f>ABF55+ABF54+ABF53+MAX(0,ABL54-ABF54-ABF53)*(1-AAX55)</f>
        <v/>
      </c>
      <c r="ABM55" s="12">
        <f>ABG55+ABG54+ABG53+MAX(0,ABM54-ABG54-ABG53)*(1-AAX55)</f>
        <v/>
      </c>
      <c r="ABN55" s="12">
        <f>ABN54+ABH55-ABH43*(AnnualChurn*VLOOKUP(AAT55,ChurnSeasonTable,4,FALSE))*POWER(1-(AnnualChurn*VLOOKUP(AAT55,ChurnSeasonTable,4,FALSE)),0)+ABH31*(AnnualChurn*VLOOKUP(AAT55,ChurnSeasonTable,4,FALSE))*POWER(1-(AnnualChurn*VLOOKUP(AAT55,ChurnSeasonTable,4,FALSE)),1)+ABH19*(AnnualChurn*VLOOKUP(AAT55,ChurnSeasonTable,4,FALSE))*POWER(1-(AnnualChurn*VLOOKUP(AAT55,ChurnSeasonTable,4,FALSE)),2)+ABH7*(AnnualChurn*VLOOKUP(AAT55,ChurnSeasonTable,4,FALSE))*POWER(1-(AnnualChurn*VLOOKUP(AAT55,ChurnSeasonTable,4,FALSE)),3)</f>
        <v/>
      </c>
      <c r="ABO55" s="12">
        <f>ABO54+ABI55-ABI43*(AnnualChurn*VLOOKUP(AAT55,ChurnSeasonTable,4,FALSE))*POWER(1-(AnnualChurn*VLOOKUP(AAT55,ChurnSeasonTable,4,FALSE)),0)+ABI31*(AnnualChurn*VLOOKUP(AAT55,ChurnSeasonTable,4,FALSE))*POWER(1-(AnnualChurn*VLOOKUP(AAT55,ChurnSeasonTable,4,FALSE)),1)+ABI19*(AnnualChurn*VLOOKUP(AAT55,ChurnSeasonTable,4,FALSE))*POWER(1-(AnnualChurn*VLOOKUP(AAT55,ChurnSeasonTable,4,FALSE)),2)+ABI7*(AnnualChurn*VLOOKUP(AAT55,ChurnSeasonTable,4,FALSE))*POWER(1-(AnnualChurn*VLOOKUP(AAT55,ChurnSeasonTable,4,FALSE)),3)</f>
        <v/>
      </c>
      <c r="ABP55" s="12">
        <f>ABP54+ABJ55-ABJ43*(AnnualChurn*VLOOKUP(AAT55,ChurnSeasonTable,4,FALSE))*POWER(1-(AnnualChurn*VLOOKUP(AAT55,ChurnSeasonTable,4,FALSE)),0)+ABJ31*(AnnualChurn*VLOOKUP(AAT55,ChurnSeasonTable,4,FALSE))*POWER(1-(AnnualChurn*VLOOKUP(AAT55,ChurnSeasonTable,4,FALSE)),1)+ABJ19*(AnnualChurn*VLOOKUP(AAT55,ChurnSeasonTable,4,FALSE))*POWER(1-(AnnualChurn*VLOOKUP(AAT55,ChurnSeasonTable,4,FALSE)),2)+ABJ7*(AnnualChurn*VLOOKUP(AAT55,ChurnSeasonTable,4,FALSE))*POWER(1-(AnnualChurn*VLOOKUP(AAT55,ChurnSeasonTable,4,FALSE)),3)</f>
        <v/>
      </c>
      <c r="ABQ55" s="12">
        <f>ABK55+ABL55+ABM55+ABN55+ABO55+ABP55</f>
        <v/>
      </c>
      <c r="ABR55" s="9">
        <f>ABK55*BlendedPriceEssMonthly*AAW55+ABL55*BlendedPricePremMonthly*AAW55+ABM55*BlendedPriceEliteMonthly*AAW55+ABN55*BlendedPriceEssAnnual*AAW55/12+ABO55*BlendedPricePremAnnual*AAW55/12+ABP55*BlendedPriceEliteAnnual*AAW55/12</f>
        <v/>
      </c>
      <c r="ABS55" s="9">
        <f>ABR55*12</f>
        <v/>
      </c>
      <c r="ABT55" s="12">
        <f>ABK55*BlendedPriceEssMonthly*AAW55+ABL55*BlendedPricePremMonthly*AAW55+ABM55*BlendedPriceEliteMonthly*AAW55</f>
        <v/>
      </c>
      <c r="ABU55" s="12">
        <f>ABH55*BlendedPriceEssAnnual*AAW55+ABI55*BlendedPricePremAnnual*AAW55+ABJ55*BlendedPriceEliteAnnual*AAW55</f>
        <v/>
      </c>
      <c r="ABV55" s="12">
        <f>ABH43*POWER(1-(AnnualChurn*VLOOKUP(AAT55,ChurnSeasonTable,4,FALSE)),1)*BlendedPriceEssAnnual*AAW55+ABH31*POWER(1-(AnnualChurn*VLOOKUP(AAT55,ChurnSeasonTable,4,FALSE)),2)*BlendedPriceEssAnnual*AAW55+ABH19*POWER(1-(AnnualChurn*VLOOKUP(AAT55,ChurnSeasonTable,4,FALSE)),3)*BlendedPriceEssAnnual*AAW55+ABH7*POWER(1-(AnnualChurn*VLOOKUP(AAT55,ChurnSeasonTable,4,FALSE)),4)*BlendedPriceEssAnnual*AAW55+ABI43*POWER(1-(AnnualChurn*VLOOKUP(AAT55,ChurnSeasonTable,4,FALSE)),1)*BlendedPricePremAnnual*AAW55+ABI31*POWER(1-(AnnualChurn*VLOOKUP(AAT55,ChurnSeasonTable,4,FALSE)),2)*BlendedPricePremAnnual*AAW55+ABI19*POWER(1-(AnnualChurn*VLOOKUP(AAT55,ChurnSeasonTable,4,FALSE)),3)*BlendedPricePremAnnual*AAW55+ABI7*POWER(1-(AnnualChurn*VLOOKUP(AAT55,ChurnSeasonTable,4,FALSE)),4)*BlendedPricePremAnnual*AAW55+ABJ43*POWER(1-(AnnualChurn*VLOOKUP(AAT55,ChurnSeasonTable,4,FALSE)),1)*BlendedPriceEliteAnnual*AAW55+ABJ31*POWER(1-(AnnualChurn*VLOOKUP(AAT55,ChurnSeasonTable,4,FALSE)),2)*BlendedPriceEliteAnnual*AAW55+ABJ19*POWER(1-(AnnualChurn*VLOOKUP(AAT55,ChurnSeasonTable,4,FALSE)),3)*BlendedPriceEliteAnnual*AAW55+ABJ7*POWER(1-(AnnualChurn*VLOOKUP(AAT55,ChurnSeasonTable,4,FALSE)),4)*BlendedPriceEliteAnnual*AAW55</f>
        <v/>
      </c>
      <c r="ABW55" s="9">
        <f>ABT55+ABU55+ABV55</f>
        <v/>
      </c>
      <c r="ABX55" s="12">
        <f>SUM(ABW44:ABW55)</f>
        <v/>
      </c>
      <c r="ABY55" s="12">
        <f>OR(ABY54,IF(VATAgentMode,SUM($ABW44:$ABW55)-SUM($ACD44:$ACD55)&gt;=VATThreshold,SUM($ABW44:$ABW55)&gt;=VATThreshold))</f>
        <v/>
      </c>
      <c r="ABZ55" s="9">
        <f>IF(ABY55,IF(VATAgentMode,ABW55-((ABW55-ACD55)-(ABW55-ACD55)/(1+VATRate)),ABW55/(1+VATRate)),ABW55)</f>
        <v/>
      </c>
      <c r="ACA55" s="12">
        <f>ABW55-ABZ55</f>
        <v/>
      </c>
      <c r="ACB55" s="12">
        <f>IF(ABY55=0,0,IF(AAT55=1,SUMPRODUCT(--(($AAU$5:$AAU55=$AAU55-1)*($AAT$5:$AAT55&gt;=10)*($AAT$5:$AAT55&lt;=12)),$ACA$5:$ACA55),IF(AAT55=4,SUMPRODUCT(--(($AAU$5:$AAU55=$AAU55)*($AAT$5:$AAT55&gt;=1)*($AAT$5:$AAT55&lt;=3)),$ACA$5:$ACA55),IF(AAT55=7,SUMPRODUCT(--(($AAU$5:$AAU55=$AAU55)*($AAT$5:$AAT55&gt;=4)*($AAT$5:$AAT55&lt;=6)),$ACA$5:$ACA55),IF(AAT55=10,SUMPRODUCT(--(($AAU$5:$AAU55=$AAU55)*($AAT$5:$AAT55&gt;=7)*($AAT$5:$AAT55&lt;=9)),$ACA$5:$ACA55),0)))))</f>
        <v/>
      </c>
      <c r="ACC55" s="12">
        <f>ACC54+ACA55-ACB55</f>
        <v/>
      </c>
      <c r="ACD55" s="12">
        <f>IF(ProviderDelay&gt;=1,ABK54*BlendedProvPayEss+ABL54*BlendedProvPayPrem+ABM54*BlendedProvPayElite+ABN54*BlendedProvPayEss+ABO54*BlendedProvPayPrem+ABP54*BlendedProvPayElite,ABK55*BlendedProvPayEss+ABL55*BlendedProvPayPrem+ABM55*BlendedProvPayElite+ABN55*BlendedProvPayEss+ABO55*BlendedProvPayPrem+ABP55*BlendedProvPayElite)</f>
        <v/>
      </c>
      <c r="ACE55" s="12">
        <f>ABW55*PaymentFee</f>
        <v/>
      </c>
      <c r="ACF55" s="12">
        <f>ABQ55*OpsAI</f>
        <v/>
      </c>
      <c r="ACG55" s="12">
        <f>MonthlyFixed</f>
        <v/>
      </c>
      <c r="ACH55" s="12">
        <f>ABA55*ReferralReward</f>
        <v/>
      </c>
      <c r="ACI55" s="12">
        <f>AAY55</f>
        <v/>
      </c>
      <c r="ACJ55" s="9">
        <f>ABZ55-ACD55-ACE55-ACF55-ACG55-ACH55-ACI55</f>
        <v/>
      </c>
      <c r="ACK55" s="9">
        <f>ACK54+ABW55-(ACD55+ACE55+ACF55+ACG55+ACH55+ACI55+ACB55)</f>
        <v/>
      </c>
      <c r="ACL55" s="12">
        <f>IF(ABQ55&gt;0,ABR55/ABQ55,0)</f>
        <v/>
      </c>
      <c r="ACM55" s="11">
        <f>IF(ABQ54&gt;0,MAX(0,(ABQ54+ABB55-ABQ55)/ABQ54),0)</f>
        <v/>
      </c>
      <c r="ACO55" s="12" t="n">
        <v>51</v>
      </c>
      <c r="ACP55" s="12">
        <f>MOD(ACO55-1+LaunchMonth-1,12)+1</f>
        <v/>
      </c>
      <c r="ACQ55" s="12">
        <f>INT((ACO55-1+LaunchMonth-1)/12)+1</f>
        <v/>
      </c>
      <c r="ACR55" s="12">
        <f>VLOOKUP(ACP55,SeasonTable,2,FALSE)</f>
        <v/>
      </c>
      <c r="ACS55" s="12">
        <f>(1+InflationRate)^INT((ACO55-1)/12)</f>
        <v/>
      </c>
      <c r="ACT55" s="11">
        <f>MonthlyChurn*VLOOKUP(ACP55,ChurnSeasonTable,4,FALSE)</f>
        <v/>
      </c>
      <c r="ACU55" s="12">
        <f>MIN(MAX(MktMin19plus,ADS54*MktPct19plus),MAX(0,AEG54-CashBuffer))</f>
        <v/>
      </c>
      <c r="ACV55" s="12">
        <f>IF(ACU55&gt;0,MAX(1,ROUND(ACU55/CAC*ACR55,0)),0)</f>
        <v/>
      </c>
      <c r="ACW55" s="12">
        <f>IF(ACV55&gt;0,ROUND(ACV55*ReferralMix/(1-ReferralMix),0),0)</f>
        <v/>
      </c>
      <c r="ACX55" s="12">
        <f>ACV55+ACW55</f>
        <v/>
      </c>
      <c r="ACY55" s="12">
        <f>ROUND(ACX55*(1-'Sens - Annual Mix'!$A$13),0)</f>
        <v/>
      </c>
      <c r="ACZ55" s="12">
        <f>ACX55-ACY55</f>
        <v/>
      </c>
      <c r="ADA55" s="12">
        <f>ROUND(ACY55*EssentialMix,0)</f>
        <v/>
      </c>
      <c r="ADB55" s="12">
        <f>ROUND(ACY55*PremiumMix,0)</f>
        <v/>
      </c>
      <c r="ADC55" s="12">
        <f>ACY55-ADA55-ADB55</f>
        <v/>
      </c>
      <c r="ADD55" s="12">
        <f>ROUND(ACZ55*EssentialMix,0)</f>
        <v/>
      </c>
      <c r="ADE55" s="12">
        <f>ROUND(ACZ55*PremiumMix,0)</f>
        <v/>
      </c>
      <c r="ADF55" s="12">
        <f>ACZ55-ADD55-ADE55</f>
        <v/>
      </c>
      <c r="ADG55" s="12">
        <f>ADA55+ADA54+ADA53+MAX(0,ADG54-ADA54-ADA53)*(1-ACT55)</f>
        <v/>
      </c>
      <c r="ADH55" s="12">
        <f>ADB55+ADB54+ADB53+MAX(0,ADH54-ADB54-ADB53)*(1-ACT55)</f>
        <v/>
      </c>
      <c r="ADI55" s="12">
        <f>ADC55+ADC54+ADC53+MAX(0,ADI54-ADC54-ADC53)*(1-ACT55)</f>
        <v/>
      </c>
      <c r="ADJ55" s="12">
        <f>ADJ54+ADD55-ADD43*(AnnualChurn*VLOOKUP(ACP55,ChurnSeasonTable,4,FALSE))*POWER(1-(AnnualChurn*VLOOKUP(ACP55,ChurnSeasonTable,4,FALSE)),0)+ADD31*(AnnualChurn*VLOOKUP(ACP55,ChurnSeasonTable,4,FALSE))*POWER(1-(AnnualChurn*VLOOKUP(ACP55,ChurnSeasonTable,4,FALSE)),1)+ADD19*(AnnualChurn*VLOOKUP(ACP55,ChurnSeasonTable,4,FALSE))*POWER(1-(AnnualChurn*VLOOKUP(ACP55,ChurnSeasonTable,4,FALSE)),2)+ADD7*(AnnualChurn*VLOOKUP(ACP55,ChurnSeasonTable,4,FALSE))*POWER(1-(AnnualChurn*VLOOKUP(ACP55,ChurnSeasonTable,4,FALSE)),3)</f>
        <v/>
      </c>
      <c r="ADK55" s="12">
        <f>ADK54+ADE55-ADE43*(AnnualChurn*VLOOKUP(ACP55,ChurnSeasonTable,4,FALSE))*POWER(1-(AnnualChurn*VLOOKUP(ACP55,ChurnSeasonTable,4,FALSE)),0)+ADE31*(AnnualChurn*VLOOKUP(ACP55,ChurnSeasonTable,4,FALSE))*POWER(1-(AnnualChurn*VLOOKUP(ACP55,ChurnSeasonTable,4,FALSE)),1)+ADE19*(AnnualChurn*VLOOKUP(ACP55,ChurnSeasonTable,4,FALSE))*POWER(1-(AnnualChurn*VLOOKUP(ACP55,ChurnSeasonTable,4,FALSE)),2)+ADE7*(AnnualChurn*VLOOKUP(ACP55,ChurnSeasonTable,4,FALSE))*POWER(1-(AnnualChurn*VLOOKUP(ACP55,ChurnSeasonTable,4,FALSE)),3)</f>
        <v/>
      </c>
      <c r="ADL55" s="12">
        <f>ADL54+ADF55-ADF43*(AnnualChurn*VLOOKUP(ACP55,ChurnSeasonTable,4,FALSE))*POWER(1-(AnnualChurn*VLOOKUP(ACP55,ChurnSeasonTable,4,FALSE)),0)+ADF31*(AnnualChurn*VLOOKUP(ACP55,ChurnSeasonTable,4,FALSE))*POWER(1-(AnnualChurn*VLOOKUP(ACP55,ChurnSeasonTable,4,FALSE)),1)+ADF19*(AnnualChurn*VLOOKUP(ACP55,ChurnSeasonTable,4,FALSE))*POWER(1-(AnnualChurn*VLOOKUP(ACP55,ChurnSeasonTable,4,FALSE)),2)+ADF7*(AnnualChurn*VLOOKUP(ACP55,ChurnSeasonTable,4,FALSE))*POWER(1-(AnnualChurn*VLOOKUP(ACP55,ChurnSeasonTable,4,FALSE)),3)</f>
        <v/>
      </c>
      <c r="ADM55" s="12">
        <f>ADG55+ADH55+ADI55+ADJ55+ADK55+ADL55</f>
        <v/>
      </c>
      <c r="ADN55" s="9">
        <f>ADG55*BlendedPriceEssMonthly*ACS55+ADH55*BlendedPricePremMonthly*ACS55+ADI55*BlendedPriceEliteMonthly*ACS55+ADJ55*BlendedPriceEssAnnual*ACS55/12+ADK55*BlendedPricePremAnnual*ACS55/12+ADL55*BlendedPriceEliteAnnual*ACS55/12</f>
        <v/>
      </c>
      <c r="ADO55" s="9">
        <f>ADN55*12</f>
        <v/>
      </c>
      <c r="ADP55" s="12">
        <f>ADG55*BlendedPriceEssMonthly*ACS55+ADH55*BlendedPricePremMonthly*ACS55+ADI55*BlendedPriceEliteMonthly*ACS55</f>
        <v/>
      </c>
      <c r="ADQ55" s="12">
        <f>ADD55*BlendedPriceEssAnnual*ACS55+ADE55*BlendedPricePremAnnual*ACS55+ADF55*BlendedPriceEliteAnnual*ACS55</f>
        <v/>
      </c>
      <c r="ADR55" s="12">
        <f>ADD43*POWER(1-(AnnualChurn*VLOOKUP(ACP55,ChurnSeasonTable,4,FALSE)),1)*BlendedPriceEssAnnual*ACS55+ADD31*POWER(1-(AnnualChurn*VLOOKUP(ACP55,ChurnSeasonTable,4,FALSE)),2)*BlendedPriceEssAnnual*ACS55+ADD19*POWER(1-(AnnualChurn*VLOOKUP(ACP55,ChurnSeasonTable,4,FALSE)),3)*BlendedPriceEssAnnual*ACS55+ADD7*POWER(1-(AnnualChurn*VLOOKUP(ACP55,ChurnSeasonTable,4,FALSE)),4)*BlendedPriceEssAnnual*ACS55+ADE43*POWER(1-(AnnualChurn*VLOOKUP(ACP55,ChurnSeasonTable,4,FALSE)),1)*BlendedPricePremAnnual*ACS55+ADE31*POWER(1-(AnnualChurn*VLOOKUP(ACP55,ChurnSeasonTable,4,FALSE)),2)*BlendedPricePremAnnual*ACS55+ADE19*POWER(1-(AnnualChurn*VLOOKUP(ACP55,ChurnSeasonTable,4,FALSE)),3)*BlendedPricePremAnnual*ACS55+ADE7*POWER(1-(AnnualChurn*VLOOKUP(ACP55,ChurnSeasonTable,4,FALSE)),4)*BlendedPricePremAnnual*ACS55+ADF43*POWER(1-(AnnualChurn*VLOOKUP(ACP55,ChurnSeasonTable,4,FALSE)),1)*BlendedPriceEliteAnnual*ACS55+ADF31*POWER(1-(AnnualChurn*VLOOKUP(ACP55,ChurnSeasonTable,4,FALSE)),2)*BlendedPriceEliteAnnual*ACS55+ADF19*POWER(1-(AnnualChurn*VLOOKUP(ACP55,ChurnSeasonTable,4,FALSE)),3)*BlendedPriceEliteAnnual*ACS55+ADF7*POWER(1-(AnnualChurn*VLOOKUP(ACP55,ChurnSeasonTable,4,FALSE)),4)*BlendedPriceEliteAnnual*ACS55</f>
        <v/>
      </c>
      <c r="ADS55" s="9">
        <f>ADP55+ADQ55+ADR55</f>
        <v/>
      </c>
      <c r="ADT55" s="12">
        <f>SUM(ADS44:ADS55)</f>
        <v/>
      </c>
      <c r="ADU55" s="12">
        <f>OR(ADU54,IF(VATAgentMode,SUM($ADS44:$ADS55)-SUM($ADZ44:$ADZ55)&gt;=VATThreshold,SUM($ADS44:$ADS55)&gt;=VATThreshold))</f>
        <v/>
      </c>
      <c r="ADV55" s="9">
        <f>IF(ADU55,IF(VATAgentMode,ADS55-((ADS55-ADZ55)-(ADS55-ADZ55)/(1+VATRate)),ADS55/(1+VATRate)),ADS55)</f>
        <v/>
      </c>
      <c r="ADW55" s="12">
        <f>ADS55-ADV55</f>
        <v/>
      </c>
      <c r="ADX55" s="12">
        <f>IF(ADU55=0,0,IF(ACP55=1,SUMPRODUCT(--(($ACQ$5:$ACQ55=$ACQ55-1)*($ACP$5:$ACP55&gt;=10)*($ACP$5:$ACP55&lt;=12)),$ADW$5:$ADW55),IF(ACP55=4,SUMPRODUCT(--(($ACQ$5:$ACQ55=$ACQ55)*($ACP$5:$ACP55&gt;=1)*($ACP$5:$ACP55&lt;=3)),$ADW$5:$ADW55),IF(ACP55=7,SUMPRODUCT(--(($ACQ$5:$ACQ55=$ACQ55)*($ACP$5:$ACP55&gt;=4)*($ACP$5:$ACP55&lt;=6)),$ADW$5:$ADW55),IF(ACP55=10,SUMPRODUCT(--(($ACQ$5:$ACQ55=$ACQ55)*($ACP$5:$ACP55&gt;=7)*($ACP$5:$ACP55&lt;=9)),$ADW$5:$ADW55),0)))))</f>
        <v/>
      </c>
      <c r="ADY55" s="12">
        <f>ADY54+ADW55-ADX55</f>
        <v/>
      </c>
      <c r="ADZ55" s="12">
        <f>IF(ProviderDelay&gt;=1,ADG54*BlendedProvPayEss+ADH54*BlendedProvPayPrem+ADI54*BlendedProvPayElite+ADJ54*BlendedProvPayEss+ADK54*BlendedProvPayPrem+ADL54*BlendedProvPayElite,ADG55*BlendedProvPayEss+ADH55*BlendedProvPayPrem+ADI55*BlendedProvPayElite+ADJ55*BlendedProvPayEss+ADK55*BlendedProvPayPrem+ADL55*BlendedProvPayElite)</f>
        <v/>
      </c>
      <c r="AEA55" s="12">
        <f>ADS55*PaymentFee</f>
        <v/>
      </c>
      <c r="AEB55" s="12">
        <f>ADM55*OpsAI</f>
        <v/>
      </c>
      <c r="AEC55" s="12">
        <f>MonthlyFixed</f>
        <v/>
      </c>
      <c r="AED55" s="12">
        <f>ACW55*ReferralReward</f>
        <v/>
      </c>
      <c r="AEE55" s="12">
        <f>ACU55</f>
        <v/>
      </c>
      <c r="AEF55" s="9">
        <f>ADV55-ADZ55-AEA55-AEB55-AEC55-AED55-AEE55</f>
        <v/>
      </c>
      <c r="AEG55" s="9">
        <f>AEG54+ADS55-(ADZ55+AEA55+AEB55+AEC55+AED55+AEE55+ADX55)</f>
        <v/>
      </c>
      <c r="AEH55" s="12">
        <f>IF(ADM55&gt;0,ADN55/ADM55,0)</f>
        <v/>
      </c>
      <c r="AEI55" s="11">
        <f>IF(ADM54&gt;0,MAX(0,(ADM54+ACX55-ADM55)/ADM54),0)</f>
        <v/>
      </c>
      <c r="AEK55" s="12" t="n">
        <v>51</v>
      </c>
      <c r="AEL55" s="12">
        <f>MOD(AEK55-1+LaunchMonth-1,12)+1</f>
        <v/>
      </c>
      <c r="AEM55" s="12">
        <f>INT((AEK55-1+LaunchMonth-1)/12)+1</f>
        <v/>
      </c>
      <c r="AEN55" s="12">
        <f>VLOOKUP(AEL55,SeasonTable,2,FALSE)</f>
        <v/>
      </c>
      <c r="AEO55" s="12">
        <f>(1+InflationRate)^INT((AEK55-1)/12)</f>
        <v/>
      </c>
      <c r="AEP55" s="11">
        <f>MonthlyChurn*VLOOKUP(AEL55,ChurnSeasonTable,4,FALSE)</f>
        <v/>
      </c>
      <c r="AEQ55" s="12">
        <f>MIN(MAX(MktMin19plus,AFO54*MktPct19plus),MAX(0,AGC54-CashBuffer))</f>
        <v/>
      </c>
      <c r="AER55" s="12">
        <f>IF(AEQ55&gt;0,MAX(1,ROUND(AEQ55/CAC*AEN55,0)),0)</f>
        <v/>
      </c>
      <c r="AES55" s="12">
        <f>IF(AER55&gt;0,ROUND(AER55*ReferralMix/(1-ReferralMix),0),0)</f>
        <v/>
      </c>
      <c r="AET55" s="12">
        <f>AER55+AES55</f>
        <v/>
      </c>
      <c r="AEU55" s="12">
        <f>ROUND(AET55*(1-'Sens - Annual Mix'!$A$14),0)</f>
        <v/>
      </c>
      <c r="AEV55" s="12">
        <f>AET55-AEU55</f>
        <v/>
      </c>
      <c r="AEW55" s="12">
        <f>ROUND(AEU55*EssentialMix,0)</f>
        <v/>
      </c>
      <c r="AEX55" s="12">
        <f>ROUND(AEU55*PremiumMix,0)</f>
        <v/>
      </c>
      <c r="AEY55" s="12">
        <f>AEU55-AEW55-AEX55</f>
        <v/>
      </c>
      <c r="AEZ55" s="12">
        <f>ROUND(AEV55*EssentialMix,0)</f>
        <v/>
      </c>
      <c r="AFA55" s="12">
        <f>ROUND(AEV55*PremiumMix,0)</f>
        <v/>
      </c>
      <c r="AFB55" s="12">
        <f>AEV55-AEZ55-AFA55</f>
        <v/>
      </c>
      <c r="AFC55" s="12">
        <f>AEW55+AEW54+AEW53+MAX(0,AFC54-AEW54-AEW53)*(1-AEP55)</f>
        <v/>
      </c>
      <c r="AFD55" s="12">
        <f>AEX55+AEX54+AEX53+MAX(0,AFD54-AEX54-AEX53)*(1-AEP55)</f>
        <v/>
      </c>
      <c r="AFE55" s="12">
        <f>AEY55+AEY54+AEY53+MAX(0,AFE54-AEY54-AEY53)*(1-AEP55)</f>
        <v/>
      </c>
      <c r="AFF55" s="12">
        <f>AFF54+AEZ55-AEZ43*(AnnualChurn*VLOOKUP(AEL55,ChurnSeasonTable,4,FALSE))*POWER(1-(AnnualChurn*VLOOKUP(AEL55,ChurnSeasonTable,4,FALSE)),0)+AEZ31*(AnnualChurn*VLOOKUP(AEL55,ChurnSeasonTable,4,FALSE))*POWER(1-(AnnualChurn*VLOOKUP(AEL55,ChurnSeasonTable,4,FALSE)),1)+AEZ19*(AnnualChurn*VLOOKUP(AEL55,ChurnSeasonTable,4,FALSE))*POWER(1-(AnnualChurn*VLOOKUP(AEL55,ChurnSeasonTable,4,FALSE)),2)+AEZ7*(AnnualChurn*VLOOKUP(AEL55,ChurnSeasonTable,4,FALSE))*POWER(1-(AnnualChurn*VLOOKUP(AEL55,ChurnSeasonTable,4,FALSE)),3)</f>
        <v/>
      </c>
      <c r="AFG55" s="12">
        <f>AFG54+AFA55-AFA43*(AnnualChurn*VLOOKUP(AEL55,ChurnSeasonTable,4,FALSE))*POWER(1-(AnnualChurn*VLOOKUP(AEL55,ChurnSeasonTable,4,FALSE)),0)+AFA31*(AnnualChurn*VLOOKUP(AEL55,ChurnSeasonTable,4,FALSE))*POWER(1-(AnnualChurn*VLOOKUP(AEL55,ChurnSeasonTable,4,FALSE)),1)+AFA19*(AnnualChurn*VLOOKUP(AEL55,ChurnSeasonTable,4,FALSE))*POWER(1-(AnnualChurn*VLOOKUP(AEL55,ChurnSeasonTable,4,FALSE)),2)+AFA7*(AnnualChurn*VLOOKUP(AEL55,ChurnSeasonTable,4,FALSE))*POWER(1-(AnnualChurn*VLOOKUP(AEL55,ChurnSeasonTable,4,FALSE)),3)</f>
        <v/>
      </c>
      <c r="AFH55" s="12">
        <f>AFH54+AFB55-AFB43*(AnnualChurn*VLOOKUP(AEL55,ChurnSeasonTable,4,FALSE))*POWER(1-(AnnualChurn*VLOOKUP(AEL55,ChurnSeasonTable,4,FALSE)),0)+AFB31*(AnnualChurn*VLOOKUP(AEL55,ChurnSeasonTable,4,FALSE))*POWER(1-(AnnualChurn*VLOOKUP(AEL55,ChurnSeasonTable,4,FALSE)),1)+AFB19*(AnnualChurn*VLOOKUP(AEL55,ChurnSeasonTable,4,FALSE))*POWER(1-(AnnualChurn*VLOOKUP(AEL55,ChurnSeasonTable,4,FALSE)),2)+AFB7*(AnnualChurn*VLOOKUP(AEL55,ChurnSeasonTable,4,FALSE))*POWER(1-(AnnualChurn*VLOOKUP(AEL55,ChurnSeasonTable,4,FALSE)),3)</f>
        <v/>
      </c>
      <c r="AFI55" s="12">
        <f>AFC55+AFD55+AFE55+AFF55+AFG55+AFH55</f>
        <v/>
      </c>
      <c r="AFJ55" s="9">
        <f>AFC55*BlendedPriceEssMonthly*AEO55+AFD55*BlendedPricePremMonthly*AEO55+AFE55*BlendedPriceEliteMonthly*AEO55+AFF55*BlendedPriceEssAnnual*AEO55/12+AFG55*BlendedPricePremAnnual*AEO55/12+AFH55*BlendedPriceEliteAnnual*AEO55/12</f>
        <v/>
      </c>
      <c r="AFK55" s="9">
        <f>AFJ55*12</f>
        <v/>
      </c>
      <c r="AFL55" s="12">
        <f>AFC55*BlendedPriceEssMonthly*AEO55+AFD55*BlendedPricePremMonthly*AEO55+AFE55*BlendedPriceEliteMonthly*AEO55</f>
        <v/>
      </c>
      <c r="AFM55" s="12">
        <f>AEZ55*BlendedPriceEssAnnual*AEO55+AFA55*BlendedPricePremAnnual*AEO55+AFB55*BlendedPriceEliteAnnual*AEO55</f>
        <v/>
      </c>
      <c r="AFN55" s="12">
        <f>AEZ43*POWER(1-(AnnualChurn*VLOOKUP(AEL55,ChurnSeasonTable,4,FALSE)),1)*BlendedPriceEssAnnual*AEO55+AEZ31*POWER(1-(AnnualChurn*VLOOKUP(AEL55,ChurnSeasonTable,4,FALSE)),2)*BlendedPriceEssAnnual*AEO55+AEZ19*POWER(1-(AnnualChurn*VLOOKUP(AEL55,ChurnSeasonTable,4,FALSE)),3)*BlendedPriceEssAnnual*AEO55+AEZ7*POWER(1-(AnnualChurn*VLOOKUP(AEL55,ChurnSeasonTable,4,FALSE)),4)*BlendedPriceEssAnnual*AEO55+AFA43*POWER(1-(AnnualChurn*VLOOKUP(AEL55,ChurnSeasonTable,4,FALSE)),1)*BlendedPricePremAnnual*AEO55+AFA31*POWER(1-(AnnualChurn*VLOOKUP(AEL55,ChurnSeasonTable,4,FALSE)),2)*BlendedPricePremAnnual*AEO55+AFA19*POWER(1-(AnnualChurn*VLOOKUP(AEL55,ChurnSeasonTable,4,FALSE)),3)*BlendedPricePremAnnual*AEO55+AFA7*POWER(1-(AnnualChurn*VLOOKUP(AEL55,ChurnSeasonTable,4,FALSE)),4)*BlendedPricePremAnnual*AEO55+AFB43*POWER(1-(AnnualChurn*VLOOKUP(AEL55,ChurnSeasonTable,4,FALSE)),1)*BlendedPriceEliteAnnual*AEO55+AFB31*POWER(1-(AnnualChurn*VLOOKUP(AEL55,ChurnSeasonTable,4,FALSE)),2)*BlendedPriceEliteAnnual*AEO55+AFB19*POWER(1-(AnnualChurn*VLOOKUP(AEL55,ChurnSeasonTable,4,FALSE)),3)*BlendedPriceEliteAnnual*AEO55+AFB7*POWER(1-(AnnualChurn*VLOOKUP(AEL55,ChurnSeasonTable,4,FALSE)),4)*BlendedPriceEliteAnnual*AEO55</f>
        <v/>
      </c>
      <c r="AFO55" s="9">
        <f>AFL55+AFM55+AFN55</f>
        <v/>
      </c>
      <c r="AFP55" s="12">
        <f>SUM(AFO44:AFO55)</f>
        <v/>
      </c>
      <c r="AFQ55" s="12">
        <f>OR(AFQ54,IF(VATAgentMode,SUM($AFO44:$AFO55)-SUM($AFV44:$AFV55)&gt;=VATThreshold,SUM($AFO44:$AFO55)&gt;=VATThreshold))</f>
        <v/>
      </c>
      <c r="AFR55" s="9">
        <f>IF(AFQ55,IF(VATAgentMode,AFO55-((AFO55-AFV55)-(AFO55-AFV55)/(1+VATRate)),AFO55/(1+VATRate)),AFO55)</f>
        <v/>
      </c>
      <c r="AFS55" s="12">
        <f>AFO55-AFR55</f>
        <v/>
      </c>
      <c r="AFT55" s="12">
        <f>IF(AFQ55=0,0,IF(AEL55=1,SUMPRODUCT(--(($AEM$5:$AEM55=$AEM55-1)*($AEL$5:$AEL55&gt;=10)*($AEL$5:$AEL55&lt;=12)),$AFS$5:$AFS55),IF(AEL55=4,SUMPRODUCT(--(($AEM$5:$AEM55=$AEM55)*($AEL$5:$AEL55&gt;=1)*($AEL$5:$AEL55&lt;=3)),$AFS$5:$AFS55),IF(AEL55=7,SUMPRODUCT(--(($AEM$5:$AEM55=$AEM55)*($AEL$5:$AEL55&gt;=4)*($AEL$5:$AEL55&lt;=6)),$AFS$5:$AFS55),IF(AEL55=10,SUMPRODUCT(--(($AEM$5:$AEM55=$AEM55)*($AEL$5:$AEL55&gt;=7)*($AEL$5:$AEL55&lt;=9)),$AFS$5:$AFS55),0)))))</f>
        <v/>
      </c>
      <c r="AFU55" s="12">
        <f>AFU54+AFS55-AFT55</f>
        <v/>
      </c>
      <c r="AFV55" s="12">
        <f>IF(ProviderDelay&gt;=1,AFC54*BlendedProvPayEss+AFD54*BlendedProvPayPrem+AFE54*BlendedProvPayElite+AFF54*BlendedProvPayEss+AFG54*BlendedProvPayPrem+AFH54*BlendedProvPayElite,AFC55*BlendedProvPayEss+AFD55*BlendedProvPayPrem+AFE55*BlendedProvPayElite+AFF55*BlendedProvPayEss+AFG55*BlendedProvPayPrem+AFH55*BlendedProvPayElite)</f>
        <v/>
      </c>
      <c r="AFW55" s="12">
        <f>AFO55*PaymentFee</f>
        <v/>
      </c>
      <c r="AFX55" s="12">
        <f>AFI55*OpsAI</f>
        <v/>
      </c>
      <c r="AFY55" s="12">
        <f>MonthlyFixed</f>
        <v/>
      </c>
      <c r="AFZ55" s="12">
        <f>AES55*ReferralReward</f>
        <v/>
      </c>
      <c r="AGA55" s="12">
        <f>AEQ55</f>
        <v/>
      </c>
      <c r="AGB55" s="9">
        <f>AFR55-AFV55-AFW55-AFX55-AFY55-AFZ55-AGA55</f>
        <v/>
      </c>
      <c r="AGC55" s="9">
        <f>AGC54+AFO55-(AFV55+AFW55+AFX55+AFY55+AFZ55+AGA55+AFT55)</f>
        <v/>
      </c>
      <c r="AGD55" s="12">
        <f>IF(AFI55&gt;0,AFJ55/AFI55,0)</f>
        <v/>
      </c>
      <c r="AGE55" s="11">
        <f>IF(AFI54&gt;0,MAX(0,(AFI54+AET55-AFI55)/AFI54),0)</f>
        <v/>
      </c>
      <c r="AGG55" s="12" t="n">
        <v>51</v>
      </c>
      <c r="AGH55" s="12">
        <f>MOD(AGG55-1+LaunchMonth-1,12)+1</f>
        <v/>
      </c>
      <c r="AGI55" s="12">
        <f>INT((AGG55-1+LaunchMonth-1)/12)+1</f>
        <v/>
      </c>
      <c r="AGJ55" s="12">
        <f>VLOOKUP(AGH55,SeasonTable,2,FALSE)</f>
        <v/>
      </c>
      <c r="AGK55" s="12">
        <f>(1+InflationRate)^INT((AGG55-1)/12)</f>
        <v/>
      </c>
      <c r="AGL55" s="11">
        <f>MonthlyChurn*VLOOKUP(AGH55,ChurnSeasonTable,4,FALSE)</f>
        <v/>
      </c>
      <c r="AGM55" s="12">
        <f>MIN(MAX(MktMin19plus,AHK54*MktPct19plus),MAX(0,AHY54-CashBuffer))</f>
        <v/>
      </c>
      <c r="AGN55" s="12">
        <f>IF(AGM55&gt;0,MAX(1,ROUND(AGM55/CAC*AGJ55,0)),0)</f>
        <v/>
      </c>
      <c r="AGO55" s="12">
        <f>IF(AGN55&gt;0,ROUND(AGN55*ReferralMix/(1-ReferralMix),0),0)</f>
        <v/>
      </c>
      <c r="AGP55" s="12">
        <f>AGN55+AGO55</f>
        <v/>
      </c>
      <c r="AGQ55" s="12">
        <f>ROUND(AGP55*(1-'Sens - Annual Mix'!$A$15),0)</f>
        <v/>
      </c>
      <c r="AGR55" s="12">
        <f>AGP55-AGQ55</f>
        <v/>
      </c>
      <c r="AGS55" s="12">
        <f>ROUND(AGQ55*EssentialMix,0)</f>
        <v/>
      </c>
      <c r="AGT55" s="12">
        <f>ROUND(AGQ55*PremiumMix,0)</f>
        <v/>
      </c>
      <c r="AGU55" s="12">
        <f>AGQ55-AGS55-AGT55</f>
        <v/>
      </c>
      <c r="AGV55" s="12">
        <f>ROUND(AGR55*EssentialMix,0)</f>
        <v/>
      </c>
      <c r="AGW55" s="12">
        <f>ROUND(AGR55*PremiumMix,0)</f>
        <v/>
      </c>
      <c r="AGX55" s="12">
        <f>AGR55-AGV55-AGW55</f>
        <v/>
      </c>
      <c r="AGY55" s="12">
        <f>AGS55+AGS54+AGS53+MAX(0,AGY54-AGS54-AGS53)*(1-AGL55)</f>
        <v/>
      </c>
      <c r="AGZ55" s="12">
        <f>AGT55+AGT54+AGT53+MAX(0,AGZ54-AGT54-AGT53)*(1-AGL55)</f>
        <v/>
      </c>
      <c r="AHA55" s="12">
        <f>AGU55+AGU54+AGU53+MAX(0,AHA54-AGU54-AGU53)*(1-AGL55)</f>
        <v/>
      </c>
      <c r="AHB55" s="12">
        <f>AHB54+AGV55-AGV43*(AnnualChurn*VLOOKUP(AGH55,ChurnSeasonTable,4,FALSE))*POWER(1-(AnnualChurn*VLOOKUP(AGH55,ChurnSeasonTable,4,FALSE)),0)+AGV31*(AnnualChurn*VLOOKUP(AGH55,ChurnSeasonTable,4,FALSE))*POWER(1-(AnnualChurn*VLOOKUP(AGH55,ChurnSeasonTable,4,FALSE)),1)+AGV19*(AnnualChurn*VLOOKUP(AGH55,ChurnSeasonTable,4,FALSE))*POWER(1-(AnnualChurn*VLOOKUP(AGH55,ChurnSeasonTable,4,FALSE)),2)+AGV7*(AnnualChurn*VLOOKUP(AGH55,ChurnSeasonTable,4,FALSE))*POWER(1-(AnnualChurn*VLOOKUP(AGH55,ChurnSeasonTable,4,FALSE)),3)</f>
        <v/>
      </c>
      <c r="AHC55" s="12">
        <f>AHC54+AGW55-AGW43*(AnnualChurn*VLOOKUP(AGH55,ChurnSeasonTable,4,FALSE))*POWER(1-(AnnualChurn*VLOOKUP(AGH55,ChurnSeasonTable,4,FALSE)),0)+AGW31*(AnnualChurn*VLOOKUP(AGH55,ChurnSeasonTable,4,FALSE))*POWER(1-(AnnualChurn*VLOOKUP(AGH55,ChurnSeasonTable,4,FALSE)),1)+AGW19*(AnnualChurn*VLOOKUP(AGH55,ChurnSeasonTable,4,FALSE))*POWER(1-(AnnualChurn*VLOOKUP(AGH55,ChurnSeasonTable,4,FALSE)),2)+AGW7*(AnnualChurn*VLOOKUP(AGH55,ChurnSeasonTable,4,FALSE))*POWER(1-(AnnualChurn*VLOOKUP(AGH55,ChurnSeasonTable,4,FALSE)),3)</f>
        <v/>
      </c>
      <c r="AHD55" s="12">
        <f>AHD54+AGX55-AGX43*(AnnualChurn*VLOOKUP(AGH55,ChurnSeasonTable,4,FALSE))*POWER(1-(AnnualChurn*VLOOKUP(AGH55,ChurnSeasonTable,4,FALSE)),0)+AGX31*(AnnualChurn*VLOOKUP(AGH55,ChurnSeasonTable,4,FALSE))*POWER(1-(AnnualChurn*VLOOKUP(AGH55,ChurnSeasonTable,4,FALSE)),1)+AGX19*(AnnualChurn*VLOOKUP(AGH55,ChurnSeasonTable,4,FALSE))*POWER(1-(AnnualChurn*VLOOKUP(AGH55,ChurnSeasonTable,4,FALSE)),2)+AGX7*(AnnualChurn*VLOOKUP(AGH55,ChurnSeasonTable,4,FALSE))*POWER(1-(AnnualChurn*VLOOKUP(AGH55,ChurnSeasonTable,4,FALSE)),3)</f>
        <v/>
      </c>
      <c r="AHE55" s="12">
        <f>AGY55+AGZ55+AHA55+AHB55+AHC55+AHD55</f>
        <v/>
      </c>
      <c r="AHF55" s="9">
        <f>AGY55*BlendedPriceEssMonthly*AGK55+AGZ55*BlendedPricePremMonthly*AGK55+AHA55*BlendedPriceEliteMonthly*AGK55+AHB55*BlendedPriceEssAnnual*AGK55/12+AHC55*BlendedPricePremAnnual*AGK55/12+AHD55*BlendedPriceEliteAnnual*AGK55/12</f>
        <v/>
      </c>
      <c r="AHG55" s="9">
        <f>AHF55*12</f>
        <v/>
      </c>
      <c r="AHH55" s="12">
        <f>AGY55*BlendedPriceEssMonthly*AGK55+AGZ55*BlendedPricePremMonthly*AGK55+AHA55*BlendedPriceEliteMonthly*AGK55</f>
        <v/>
      </c>
      <c r="AHI55" s="12">
        <f>AGV55*BlendedPriceEssAnnual*AGK55+AGW55*BlendedPricePremAnnual*AGK55+AGX55*BlendedPriceEliteAnnual*AGK55</f>
        <v/>
      </c>
      <c r="AHJ55" s="12">
        <f>AGV43*POWER(1-(AnnualChurn*VLOOKUP(AGH55,ChurnSeasonTable,4,FALSE)),1)*BlendedPriceEssAnnual*AGK55+AGV31*POWER(1-(AnnualChurn*VLOOKUP(AGH55,ChurnSeasonTable,4,FALSE)),2)*BlendedPriceEssAnnual*AGK55+AGV19*POWER(1-(AnnualChurn*VLOOKUP(AGH55,ChurnSeasonTable,4,FALSE)),3)*BlendedPriceEssAnnual*AGK55+AGV7*POWER(1-(AnnualChurn*VLOOKUP(AGH55,ChurnSeasonTable,4,FALSE)),4)*BlendedPriceEssAnnual*AGK55+AGW43*POWER(1-(AnnualChurn*VLOOKUP(AGH55,ChurnSeasonTable,4,FALSE)),1)*BlendedPricePremAnnual*AGK55+AGW31*POWER(1-(AnnualChurn*VLOOKUP(AGH55,ChurnSeasonTable,4,FALSE)),2)*BlendedPricePremAnnual*AGK55+AGW19*POWER(1-(AnnualChurn*VLOOKUP(AGH55,ChurnSeasonTable,4,FALSE)),3)*BlendedPricePremAnnual*AGK55+AGW7*POWER(1-(AnnualChurn*VLOOKUP(AGH55,ChurnSeasonTable,4,FALSE)),4)*BlendedPricePremAnnual*AGK55+AGX43*POWER(1-(AnnualChurn*VLOOKUP(AGH55,ChurnSeasonTable,4,FALSE)),1)*BlendedPriceEliteAnnual*AGK55+AGX31*POWER(1-(AnnualChurn*VLOOKUP(AGH55,ChurnSeasonTable,4,FALSE)),2)*BlendedPriceEliteAnnual*AGK55+AGX19*POWER(1-(AnnualChurn*VLOOKUP(AGH55,ChurnSeasonTable,4,FALSE)),3)*BlendedPriceEliteAnnual*AGK55+AGX7*POWER(1-(AnnualChurn*VLOOKUP(AGH55,ChurnSeasonTable,4,FALSE)),4)*BlendedPriceEliteAnnual*AGK55</f>
        <v/>
      </c>
      <c r="AHK55" s="9">
        <f>AHH55+AHI55+AHJ55</f>
        <v/>
      </c>
      <c r="AHL55" s="12">
        <f>SUM(AHK44:AHK55)</f>
        <v/>
      </c>
      <c r="AHM55" s="12">
        <f>OR(AHM54,IF(VATAgentMode,SUM($AHK44:$AHK55)-SUM($AHR44:$AHR55)&gt;=VATThreshold,SUM($AHK44:$AHK55)&gt;=VATThreshold))</f>
        <v/>
      </c>
      <c r="AHN55" s="9">
        <f>IF(AHM55,IF(VATAgentMode,AHK55-((AHK55-AHR55)-(AHK55-AHR55)/(1+VATRate)),AHK55/(1+VATRate)),AHK55)</f>
        <v/>
      </c>
      <c r="AHO55" s="12">
        <f>AHK55-AHN55</f>
        <v/>
      </c>
      <c r="AHP55" s="12">
        <f>IF(AHM55=0,0,IF(AGH55=1,SUMPRODUCT(--(($AGI$5:$AGI55=$AGI55-1)*($AGH$5:$AGH55&gt;=10)*($AGH$5:$AGH55&lt;=12)),$AHO$5:$AHO55),IF(AGH55=4,SUMPRODUCT(--(($AGI$5:$AGI55=$AGI55)*($AGH$5:$AGH55&gt;=1)*($AGH$5:$AGH55&lt;=3)),$AHO$5:$AHO55),IF(AGH55=7,SUMPRODUCT(--(($AGI$5:$AGI55=$AGI55)*($AGH$5:$AGH55&gt;=4)*($AGH$5:$AGH55&lt;=6)),$AHO$5:$AHO55),IF(AGH55=10,SUMPRODUCT(--(($AGI$5:$AGI55=$AGI55)*($AGH$5:$AGH55&gt;=7)*($AGH$5:$AGH55&lt;=9)),$AHO$5:$AHO55),0)))))</f>
        <v/>
      </c>
      <c r="AHQ55" s="12">
        <f>AHQ54+AHO55-AHP55</f>
        <v/>
      </c>
      <c r="AHR55" s="12">
        <f>IF(ProviderDelay&gt;=1,AGY54*BlendedProvPayEss+AGZ54*BlendedProvPayPrem+AHA54*BlendedProvPayElite+AHB54*BlendedProvPayEss+AHC54*BlendedProvPayPrem+AHD54*BlendedProvPayElite,AGY55*BlendedProvPayEss+AGZ55*BlendedProvPayPrem+AHA55*BlendedProvPayElite+AHB55*BlendedProvPayEss+AHC55*BlendedProvPayPrem+AHD55*BlendedProvPayElite)</f>
        <v/>
      </c>
      <c r="AHS55" s="12">
        <f>AHK55*PaymentFee</f>
        <v/>
      </c>
      <c r="AHT55" s="12">
        <f>AHE55*OpsAI</f>
        <v/>
      </c>
      <c r="AHU55" s="12">
        <f>MonthlyFixed</f>
        <v/>
      </c>
      <c r="AHV55" s="12">
        <f>AGO55*ReferralReward</f>
        <v/>
      </c>
      <c r="AHW55" s="12">
        <f>AGM55</f>
        <v/>
      </c>
      <c r="AHX55" s="9">
        <f>AHN55-AHR55-AHS55-AHT55-AHU55-AHV55-AHW55</f>
        <v/>
      </c>
      <c r="AHY55" s="9">
        <f>AHY54+AHK55-(AHR55+AHS55+AHT55+AHU55+AHV55+AHW55+AHP55)</f>
        <v/>
      </c>
      <c r="AHZ55" s="12">
        <f>IF(AHE55&gt;0,AHF55/AHE55,0)</f>
        <v/>
      </c>
      <c r="AIA55" s="11">
        <f>IF(AHE54&gt;0,MAX(0,(AHE54+AGP55-AHE55)/AHE54),0)</f>
        <v/>
      </c>
      <c r="AIC55" s="12" t="n">
        <v>51</v>
      </c>
      <c r="AID55" s="12">
        <f>MOD(AIC55-1+LaunchMonth-1,12)+1</f>
        <v/>
      </c>
      <c r="AIE55" s="12">
        <f>INT((AIC55-1+LaunchMonth-1)/12)+1</f>
        <v/>
      </c>
      <c r="AIF55" s="12">
        <f>VLOOKUP(AID55,SeasonTable,2,FALSE)</f>
        <v/>
      </c>
      <c r="AIG55" s="12">
        <f>(1+InflationRate)^INT((AIC55-1)/12)</f>
        <v/>
      </c>
      <c r="AIH55" s="11">
        <f>MonthlyChurn*VLOOKUP(AID55,ChurnSeasonTable,4,FALSE)</f>
        <v/>
      </c>
      <c r="AII55" s="12">
        <f>MIN(MAX(MktMin19plus,AJG54*MktPct19plus),MAX(0,AJU54-CashBuffer))</f>
        <v/>
      </c>
      <c r="AIJ55" s="12">
        <f>IF(AII55&gt;0,MAX(1,ROUND(AII55/'Sens - CAC &amp; Marketing'!$A$9*AIF55,0)),0)</f>
        <v/>
      </c>
      <c r="AIK55" s="12">
        <f>IF(AIJ55&gt;0,ROUND(AIJ55*ReferralMix/(1-ReferralMix),0),0)</f>
        <v/>
      </c>
      <c r="AIL55" s="12">
        <f>AIJ55+AIK55</f>
        <v/>
      </c>
      <c r="AIM55" s="12">
        <f>ROUND(AIL55*(1-AnnualMix),0)</f>
        <v/>
      </c>
      <c r="AIN55" s="12">
        <f>AIL55-AIM55</f>
        <v/>
      </c>
      <c r="AIO55" s="12">
        <f>ROUND(AIM55*EssentialMix,0)</f>
        <v/>
      </c>
      <c r="AIP55" s="12">
        <f>ROUND(AIM55*PremiumMix,0)</f>
        <v/>
      </c>
      <c r="AIQ55" s="12">
        <f>AIM55-AIO55-AIP55</f>
        <v/>
      </c>
      <c r="AIR55" s="12">
        <f>ROUND(AIN55*EssentialMix,0)</f>
        <v/>
      </c>
      <c r="AIS55" s="12">
        <f>ROUND(AIN55*PremiumMix,0)</f>
        <v/>
      </c>
      <c r="AIT55" s="12">
        <f>AIN55-AIR55-AIS55</f>
        <v/>
      </c>
      <c r="AIU55" s="12">
        <f>AIO55+AIO54+AIO53+MAX(0,AIU54-AIO54-AIO53)*(1-AIH55)</f>
        <v/>
      </c>
      <c r="AIV55" s="12">
        <f>AIP55+AIP54+AIP53+MAX(0,AIV54-AIP54-AIP53)*(1-AIH55)</f>
        <v/>
      </c>
      <c r="AIW55" s="12">
        <f>AIQ55+AIQ54+AIQ53+MAX(0,AIW54-AIQ54-AIQ53)*(1-AIH55)</f>
        <v/>
      </c>
      <c r="AIX55" s="12">
        <f>AIX54+AIR55-AIR43*(AnnualChurn*VLOOKUP(AID55,ChurnSeasonTable,4,FALSE))*POWER(1-(AnnualChurn*VLOOKUP(AID55,ChurnSeasonTable,4,FALSE)),0)+AIR31*(AnnualChurn*VLOOKUP(AID55,ChurnSeasonTable,4,FALSE))*POWER(1-(AnnualChurn*VLOOKUP(AID55,ChurnSeasonTable,4,FALSE)),1)+AIR19*(AnnualChurn*VLOOKUP(AID55,ChurnSeasonTable,4,FALSE))*POWER(1-(AnnualChurn*VLOOKUP(AID55,ChurnSeasonTable,4,FALSE)),2)+AIR7*(AnnualChurn*VLOOKUP(AID55,ChurnSeasonTable,4,FALSE))*POWER(1-(AnnualChurn*VLOOKUP(AID55,ChurnSeasonTable,4,FALSE)),3)</f>
        <v/>
      </c>
      <c r="AIY55" s="12">
        <f>AIY54+AIS55-AIS43*(AnnualChurn*VLOOKUP(AID55,ChurnSeasonTable,4,FALSE))*POWER(1-(AnnualChurn*VLOOKUP(AID55,ChurnSeasonTable,4,FALSE)),0)+AIS31*(AnnualChurn*VLOOKUP(AID55,ChurnSeasonTable,4,FALSE))*POWER(1-(AnnualChurn*VLOOKUP(AID55,ChurnSeasonTable,4,FALSE)),1)+AIS19*(AnnualChurn*VLOOKUP(AID55,ChurnSeasonTable,4,FALSE))*POWER(1-(AnnualChurn*VLOOKUP(AID55,ChurnSeasonTable,4,FALSE)),2)+AIS7*(AnnualChurn*VLOOKUP(AID55,ChurnSeasonTable,4,FALSE))*POWER(1-(AnnualChurn*VLOOKUP(AID55,ChurnSeasonTable,4,FALSE)),3)</f>
        <v/>
      </c>
      <c r="AIZ55" s="12">
        <f>AIZ54+AIT55-AIT43*(AnnualChurn*VLOOKUP(AID55,ChurnSeasonTable,4,FALSE))*POWER(1-(AnnualChurn*VLOOKUP(AID55,ChurnSeasonTable,4,FALSE)),0)+AIT31*(AnnualChurn*VLOOKUP(AID55,ChurnSeasonTable,4,FALSE))*POWER(1-(AnnualChurn*VLOOKUP(AID55,ChurnSeasonTable,4,FALSE)),1)+AIT19*(AnnualChurn*VLOOKUP(AID55,ChurnSeasonTable,4,FALSE))*POWER(1-(AnnualChurn*VLOOKUP(AID55,ChurnSeasonTable,4,FALSE)),2)+AIT7*(AnnualChurn*VLOOKUP(AID55,ChurnSeasonTable,4,FALSE))*POWER(1-(AnnualChurn*VLOOKUP(AID55,ChurnSeasonTable,4,FALSE)),3)</f>
        <v/>
      </c>
      <c r="AJA55" s="12">
        <f>AIU55+AIV55+AIW55+AIX55+AIY55+AIZ55</f>
        <v/>
      </c>
      <c r="AJB55" s="9">
        <f>AIU55*BlendedPriceEssMonthly*AIG55+AIV55*BlendedPricePremMonthly*AIG55+AIW55*BlendedPriceEliteMonthly*AIG55+AIX55*BlendedPriceEssAnnual*AIG55/12+AIY55*BlendedPricePremAnnual*AIG55/12+AIZ55*BlendedPriceEliteAnnual*AIG55/12</f>
        <v/>
      </c>
      <c r="AJC55" s="9">
        <f>AJB55*12</f>
        <v/>
      </c>
      <c r="AJD55" s="12">
        <f>AIU55*BlendedPriceEssMonthly*AIG55+AIV55*BlendedPricePremMonthly*AIG55+AIW55*BlendedPriceEliteMonthly*AIG55</f>
        <v/>
      </c>
      <c r="AJE55" s="12">
        <f>AIR55*BlendedPriceEssAnnual*AIG55+AIS55*BlendedPricePremAnnual*AIG55+AIT55*BlendedPriceEliteAnnual*AIG55</f>
        <v/>
      </c>
      <c r="AJF55" s="12">
        <f>AIR43*POWER(1-(AnnualChurn*VLOOKUP(AID55,ChurnSeasonTable,4,FALSE)),1)*BlendedPriceEssAnnual*AIG55+AIR31*POWER(1-(AnnualChurn*VLOOKUP(AID55,ChurnSeasonTable,4,FALSE)),2)*BlendedPriceEssAnnual*AIG55+AIR19*POWER(1-(AnnualChurn*VLOOKUP(AID55,ChurnSeasonTable,4,FALSE)),3)*BlendedPriceEssAnnual*AIG55+AIR7*POWER(1-(AnnualChurn*VLOOKUP(AID55,ChurnSeasonTable,4,FALSE)),4)*BlendedPriceEssAnnual*AIG55+AIS43*POWER(1-(AnnualChurn*VLOOKUP(AID55,ChurnSeasonTable,4,FALSE)),1)*BlendedPricePremAnnual*AIG55+AIS31*POWER(1-(AnnualChurn*VLOOKUP(AID55,ChurnSeasonTable,4,FALSE)),2)*BlendedPricePremAnnual*AIG55+AIS19*POWER(1-(AnnualChurn*VLOOKUP(AID55,ChurnSeasonTable,4,FALSE)),3)*BlendedPricePremAnnual*AIG55+AIS7*POWER(1-(AnnualChurn*VLOOKUP(AID55,ChurnSeasonTable,4,FALSE)),4)*BlendedPricePremAnnual*AIG55+AIT43*POWER(1-(AnnualChurn*VLOOKUP(AID55,ChurnSeasonTable,4,FALSE)),1)*BlendedPriceEliteAnnual*AIG55+AIT31*POWER(1-(AnnualChurn*VLOOKUP(AID55,ChurnSeasonTable,4,FALSE)),2)*BlendedPriceEliteAnnual*AIG55+AIT19*POWER(1-(AnnualChurn*VLOOKUP(AID55,ChurnSeasonTable,4,FALSE)),3)*BlendedPriceEliteAnnual*AIG55+AIT7*POWER(1-(AnnualChurn*VLOOKUP(AID55,ChurnSeasonTable,4,FALSE)),4)*BlendedPriceEliteAnnual*AIG55</f>
        <v/>
      </c>
      <c r="AJG55" s="9">
        <f>AJD55+AJE55+AJF55</f>
        <v/>
      </c>
      <c r="AJH55" s="12">
        <f>SUM(AJG44:AJG55)</f>
        <v/>
      </c>
      <c r="AJI55" s="12">
        <f>OR(AJI54,IF(VATAgentMode,SUM($AJG44:$AJG55)-SUM($AJN44:$AJN55)&gt;=VATThreshold,SUM($AJG44:$AJG55)&gt;=VATThreshold))</f>
        <v/>
      </c>
      <c r="AJJ55" s="9">
        <f>IF(AJI55,IF(VATAgentMode,AJG55-((AJG55-AJN55)-(AJG55-AJN55)/(1+VATRate)),AJG55/(1+VATRate)),AJG55)</f>
        <v/>
      </c>
      <c r="AJK55" s="12">
        <f>AJG55-AJJ55</f>
        <v/>
      </c>
      <c r="AJL55" s="12">
        <f>IF(AJI55=0,0,IF(AID55=1,SUMPRODUCT(--(($AIE$5:$AIE55=$AIE55-1)*($AID$5:$AID55&gt;=10)*($AID$5:$AID55&lt;=12)),$AJK$5:$AJK55),IF(AID55=4,SUMPRODUCT(--(($AIE$5:$AIE55=$AIE55)*($AID$5:$AID55&gt;=1)*($AID$5:$AID55&lt;=3)),$AJK$5:$AJK55),IF(AID55=7,SUMPRODUCT(--(($AIE$5:$AIE55=$AIE55)*($AID$5:$AID55&gt;=4)*($AID$5:$AID55&lt;=6)),$AJK$5:$AJK55),IF(AID55=10,SUMPRODUCT(--(($AIE$5:$AIE55=$AIE55)*($AID$5:$AID55&gt;=7)*($AID$5:$AID55&lt;=9)),$AJK$5:$AJK55),0)))))</f>
        <v/>
      </c>
      <c r="AJM55" s="12">
        <f>AJM54+AJK55-AJL55</f>
        <v/>
      </c>
      <c r="AJN55" s="12">
        <f>IF(ProviderDelay&gt;=1,AIU54*BlendedProvPayEss+AIV54*BlendedProvPayPrem+AIW54*BlendedProvPayElite+AIX54*BlendedProvPayEss+AIY54*BlendedProvPayPrem+AIZ54*BlendedProvPayElite,AIU55*BlendedProvPayEss+AIV55*BlendedProvPayPrem+AIW55*BlendedProvPayElite+AIX55*BlendedProvPayEss+AIY55*BlendedProvPayPrem+AIZ55*BlendedProvPayElite)</f>
        <v/>
      </c>
      <c r="AJO55" s="12">
        <f>AJG55*PaymentFee</f>
        <v/>
      </c>
      <c r="AJP55" s="12">
        <f>AJA55*OpsAI</f>
        <v/>
      </c>
      <c r="AJQ55" s="12">
        <f>MonthlyFixed</f>
        <v/>
      </c>
      <c r="AJR55" s="12">
        <f>AIK55*ReferralReward</f>
        <v/>
      </c>
      <c r="AJS55" s="12">
        <f>AII55</f>
        <v/>
      </c>
      <c r="AJT55" s="9">
        <f>AJJ55-AJN55-AJO55-AJP55-AJQ55-AJR55-AJS55</f>
        <v/>
      </c>
      <c r="AJU55" s="9">
        <f>AJU54+AJG55-(AJN55+AJO55+AJP55+AJQ55+AJR55+AJS55+AJL55)</f>
        <v/>
      </c>
      <c r="AJV55" s="12">
        <f>IF(AJA55&gt;0,AJB55/AJA55,0)</f>
        <v/>
      </c>
      <c r="AJW55" s="11">
        <f>IF(AJA54&gt;0,MAX(0,(AJA54+AIL55-AJA55)/AJA54),0)</f>
        <v/>
      </c>
      <c r="AJY55" s="12" t="n">
        <v>51</v>
      </c>
      <c r="AJZ55" s="12">
        <f>MOD(AJY55-1+LaunchMonth-1,12)+1</f>
        <v/>
      </c>
      <c r="AKA55" s="12">
        <f>INT((AJY55-1+LaunchMonth-1)/12)+1</f>
        <v/>
      </c>
      <c r="AKB55" s="12">
        <f>VLOOKUP(AJZ55,SeasonTable,2,FALSE)</f>
        <v/>
      </c>
      <c r="AKC55" s="12">
        <f>(1+InflationRate)^INT((AJY55-1)/12)</f>
        <v/>
      </c>
      <c r="AKD55" s="11">
        <f>MonthlyChurn*VLOOKUP(AJZ55,ChurnSeasonTable,4,FALSE)</f>
        <v/>
      </c>
      <c r="AKE55" s="12">
        <f>MIN(MAX(MktMin19plus,ALC54*MktPct19plus),MAX(0,ALQ54-CashBuffer))</f>
        <v/>
      </c>
      <c r="AKF55" s="12">
        <f>IF(AKE55&gt;0,MAX(1,ROUND(AKE55/'Sens - CAC &amp; Marketing'!$A$10*AKB55,0)),0)</f>
        <v/>
      </c>
      <c r="AKG55" s="12">
        <f>IF(AKF55&gt;0,ROUND(AKF55*ReferralMix/(1-ReferralMix),0),0)</f>
        <v/>
      </c>
      <c r="AKH55" s="12">
        <f>AKF55+AKG55</f>
        <v/>
      </c>
      <c r="AKI55" s="12">
        <f>ROUND(AKH55*(1-AnnualMix),0)</f>
        <v/>
      </c>
      <c r="AKJ55" s="12">
        <f>AKH55-AKI55</f>
        <v/>
      </c>
      <c r="AKK55" s="12">
        <f>ROUND(AKI55*EssentialMix,0)</f>
        <v/>
      </c>
      <c r="AKL55" s="12">
        <f>ROUND(AKI55*PremiumMix,0)</f>
        <v/>
      </c>
      <c r="AKM55" s="12">
        <f>AKI55-AKK55-AKL55</f>
        <v/>
      </c>
      <c r="AKN55" s="12">
        <f>ROUND(AKJ55*EssentialMix,0)</f>
        <v/>
      </c>
      <c r="AKO55" s="12">
        <f>ROUND(AKJ55*PremiumMix,0)</f>
        <v/>
      </c>
      <c r="AKP55" s="12">
        <f>AKJ55-AKN55-AKO55</f>
        <v/>
      </c>
      <c r="AKQ55" s="12">
        <f>AKK55+AKK54+AKK53+MAX(0,AKQ54-AKK54-AKK53)*(1-AKD55)</f>
        <v/>
      </c>
      <c r="AKR55" s="12">
        <f>AKL55+AKL54+AKL53+MAX(0,AKR54-AKL54-AKL53)*(1-AKD55)</f>
        <v/>
      </c>
      <c r="AKS55" s="12">
        <f>AKM55+AKM54+AKM53+MAX(0,AKS54-AKM54-AKM53)*(1-AKD55)</f>
        <v/>
      </c>
      <c r="AKT55" s="12">
        <f>AKT54+AKN55-AKN43*(AnnualChurn*VLOOKUP(AJZ55,ChurnSeasonTable,4,FALSE))*POWER(1-(AnnualChurn*VLOOKUP(AJZ55,ChurnSeasonTable,4,FALSE)),0)+AKN31*(AnnualChurn*VLOOKUP(AJZ55,ChurnSeasonTable,4,FALSE))*POWER(1-(AnnualChurn*VLOOKUP(AJZ55,ChurnSeasonTable,4,FALSE)),1)+AKN19*(AnnualChurn*VLOOKUP(AJZ55,ChurnSeasonTable,4,FALSE))*POWER(1-(AnnualChurn*VLOOKUP(AJZ55,ChurnSeasonTable,4,FALSE)),2)+AKN7*(AnnualChurn*VLOOKUP(AJZ55,ChurnSeasonTable,4,FALSE))*POWER(1-(AnnualChurn*VLOOKUP(AJZ55,ChurnSeasonTable,4,FALSE)),3)</f>
        <v/>
      </c>
      <c r="AKU55" s="12">
        <f>AKU54+AKO55-AKO43*(AnnualChurn*VLOOKUP(AJZ55,ChurnSeasonTable,4,FALSE))*POWER(1-(AnnualChurn*VLOOKUP(AJZ55,ChurnSeasonTable,4,FALSE)),0)+AKO31*(AnnualChurn*VLOOKUP(AJZ55,ChurnSeasonTable,4,FALSE))*POWER(1-(AnnualChurn*VLOOKUP(AJZ55,ChurnSeasonTable,4,FALSE)),1)+AKO19*(AnnualChurn*VLOOKUP(AJZ55,ChurnSeasonTable,4,FALSE))*POWER(1-(AnnualChurn*VLOOKUP(AJZ55,ChurnSeasonTable,4,FALSE)),2)+AKO7*(AnnualChurn*VLOOKUP(AJZ55,ChurnSeasonTable,4,FALSE))*POWER(1-(AnnualChurn*VLOOKUP(AJZ55,ChurnSeasonTable,4,FALSE)),3)</f>
        <v/>
      </c>
      <c r="AKV55" s="12">
        <f>AKV54+AKP55-AKP43*(AnnualChurn*VLOOKUP(AJZ55,ChurnSeasonTable,4,FALSE))*POWER(1-(AnnualChurn*VLOOKUP(AJZ55,ChurnSeasonTable,4,FALSE)),0)+AKP31*(AnnualChurn*VLOOKUP(AJZ55,ChurnSeasonTable,4,FALSE))*POWER(1-(AnnualChurn*VLOOKUP(AJZ55,ChurnSeasonTable,4,FALSE)),1)+AKP19*(AnnualChurn*VLOOKUP(AJZ55,ChurnSeasonTable,4,FALSE))*POWER(1-(AnnualChurn*VLOOKUP(AJZ55,ChurnSeasonTable,4,FALSE)),2)+AKP7*(AnnualChurn*VLOOKUP(AJZ55,ChurnSeasonTable,4,FALSE))*POWER(1-(AnnualChurn*VLOOKUP(AJZ55,ChurnSeasonTable,4,FALSE)),3)</f>
        <v/>
      </c>
      <c r="AKW55" s="12">
        <f>AKQ55+AKR55+AKS55+AKT55+AKU55+AKV55</f>
        <v/>
      </c>
      <c r="AKX55" s="9">
        <f>AKQ55*BlendedPriceEssMonthly*AKC55+AKR55*BlendedPricePremMonthly*AKC55+AKS55*BlendedPriceEliteMonthly*AKC55+AKT55*BlendedPriceEssAnnual*AKC55/12+AKU55*BlendedPricePremAnnual*AKC55/12+AKV55*BlendedPriceEliteAnnual*AKC55/12</f>
        <v/>
      </c>
      <c r="AKY55" s="9">
        <f>AKX55*12</f>
        <v/>
      </c>
      <c r="AKZ55" s="12">
        <f>AKQ55*BlendedPriceEssMonthly*AKC55+AKR55*BlendedPricePremMonthly*AKC55+AKS55*BlendedPriceEliteMonthly*AKC55</f>
        <v/>
      </c>
      <c r="ALA55" s="12">
        <f>AKN55*BlendedPriceEssAnnual*AKC55+AKO55*BlendedPricePremAnnual*AKC55+AKP55*BlendedPriceEliteAnnual*AKC55</f>
        <v/>
      </c>
      <c r="ALB55" s="12">
        <f>AKN43*POWER(1-(AnnualChurn*VLOOKUP(AJZ55,ChurnSeasonTable,4,FALSE)),1)*BlendedPriceEssAnnual*AKC55+AKN31*POWER(1-(AnnualChurn*VLOOKUP(AJZ55,ChurnSeasonTable,4,FALSE)),2)*BlendedPriceEssAnnual*AKC55+AKN19*POWER(1-(AnnualChurn*VLOOKUP(AJZ55,ChurnSeasonTable,4,FALSE)),3)*BlendedPriceEssAnnual*AKC55+AKN7*POWER(1-(AnnualChurn*VLOOKUP(AJZ55,ChurnSeasonTable,4,FALSE)),4)*BlendedPriceEssAnnual*AKC55+AKO43*POWER(1-(AnnualChurn*VLOOKUP(AJZ55,ChurnSeasonTable,4,FALSE)),1)*BlendedPricePremAnnual*AKC55+AKO31*POWER(1-(AnnualChurn*VLOOKUP(AJZ55,ChurnSeasonTable,4,FALSE)),2)*BlendedPricePremAnnual*AKC55+AKO19*POWER(1-(AnnualChurn*VLOOKUP(AJZ55,ChurnSeasonTable,4,FALSE)),3)*BlendedPricePremAnnual*AKC55+AKO7*POWER(1-(AnnualChurn*VLOOKUP(AJZ55,ChurnSeasonTable,4,FALSE)),4)*BlendedPricePremAnnual*AKC55+AKP43*POWER(1-(AnnualChurn*VLOOKUP(AJZ55,ChurnSeasonTable,4,FALSE)),1)*BlendedPriceEliteAnnual*AKC55+AKP31*POWER(1-(AnnualChurn*VLOOKUP(AJZ55,ChurnSeasonTable,4,FALSE)),2)*BlendedPriceEliteAnnual*AKC55+AKP19*POWER(1-(AnnualChurn*VLOOKUP(AJZ55,ChurnSeasonTable,4,FALSE)),3)*BlendedPriceEliteAnnual*AKC55+AKP7*POWER(1-(AnnualChurn*VLOOKUP(AJZ55,ChurnSeasonTable,4,FALSE)),4)*BlendedPriceEliteAnnual*AKC55</f>
        <v/>
      </c>
      <c r="ALC55" s="9">
        <f>AKZ55+ALA55+ALB55</f>
        <v/>
      </c>
      <c r="ALD55" s="12">
        <f>SUM(ALC44:ALC55)</f>
        <v/>
      </c>
      <c r="ALE55" s="12">
        <f>OR(ALE54,IF(VATAgentMode,SUM($ALC44:$ALC55)-SUM($ALJ44:$ALJ55)&gt;=VATThreshold,SUM($ALC44:$ALC55)&gt;=VATThreshold))</f>
        <v/>
      </c>
      <c r="ALF55" s="9">
        <f>IF(ALE55,IF(VATAgentMode,ALC55-((ALC55-ALJ55)-(ALC55-ALJ55)/(1+VATRate)),ALC55/(1+VATRate)),ALC55)</f>
        <v/>
      </c>
      <c r="ALG55" s="12">
        <f>ALC55-ALF55</f>
        <v/>
      </c>
      <c r="ALH55" s="12">
        <f>IF(ALE55=0,0,IF(AJZ55=1,SUMPRODUCT(--(($AKA$5:$AKA55=$AKA55-1)*($AJZ$5:$AJZ55&gt;=10)*($AJZ$5:$AJZ55&lt;=12)),$ALG$5:$ALG55),IF(AJZ55=4,SUMPRODUCT(--(($AKA$5:$AKA55=$AKA55)*($AJZ$5:$AJZ55&gt;=1)*($AJZ$5:$AJZ55&lt;=3)),$ALG$5:$ALG55),IF(AJZ55=7,SUMPRODUCT(--(($AKA$5:$AKA55=$AKA55)*($AJZ$5:$AJZ55&gt;=4)*($AJZ$5:$AJZ55&lt;=6)),$ALG$5:$ALG55),IF(AJZ55=10,SUMPRODUCT(--(($AKA$5:$AKA55=$AKA55)*($AJZ$5:$AJZ55&gt;=7)*($AJZ$5:$AJZ55&lt;=9)),$ALG$5:$ALG55),0)))))</f>
        <v/>
      </c>
      <c r="ALI55" s="12">
        <f>ALI54+ALG55-ALH55</f>
        <v/>
      </c>
      <c r="ALJ55" s="12">
        <f>IF(ProviderDelay&gt;=1,AKQ54*BlendedProvPayEss+AKR54*BlendedProvPayPrem+AKS54*BlendedProvPayElite+AKT54*BlendedProvPayEss+AKU54*BlendedProvPayPrem+AKV54*BlendedProvPayElite,AKQ55*BlendedProvPayEss+AKR55*BlendedProvPayPrem+AKS55*BlendedProvPayElite+AKT55*BlendedProvPayEss+AKU55*BlendedProvPayPrem+AKV55*BlendedProvPayElite)</f>
        <v/>
      </c>
      <c r="ALK55" s="12">
        <f>ALC55*PaymentFee</f>
        <v/>
      </c>
      <c r="ALL55" s="12">
        <f>AKW55*OpsAI</f>
        <v/>
      </c>
      <c r="ALM55" s="12">
        <f>MonthlyFixed</f>
        <v/>
      </c>
      <c r="ALN55" s="12">
        <f>AKG55*ReferralReward</f>
        <v/>
      </c>
      <c r="ALO55" s="12">
        <f>AKE55</f>
        <v/>
      </c>
      <c r="ALP55" s="9">
        <f>ALF55-ALJ55-ALK55-ALL55-ALM55-ALN55-ALO55</f>
        <v/>
      </c>
      <c r="ALQ55" s="9">
        <f>ALQ54+ALC55-(ALJ55+ALK55+ALL55+ALM55+ALN55+ALO55+ALH55)</f>
        <v/>
      </c>
      <c r="ALR55" s="12">
        <f>IF(AKW55&gt;0,AKX55/AKW55,0)</f>
        <v/>
      </c>
      <c r="ALS55" s="11">
        <f>IF(AKW54&gt;0,MAX(0,(AKW54+AKH55-AKW55)/AKW54),0)</f>
        <v/>
      </c>
      <c r="ALU55" s="12" t="n">
        <v>51</v>
      </c>
      <c r="ALV55" s="12">
        <f>MOD(ALU55-1+LaunchMonth-1,12)+1</f>
        <v/>
      </c>
      <c r="ALW55" s="12">
        <f>INT((ALU55-1+LaunchMonth-1)/12)+1</f>
        <v/>
      </c>
      <c r="ALX55" s="12">
        <f>VLOOKUP(ALV55,SeasonTable,2,FALSE)</f>
        <v/>
      </c>
      <c r="ALY55" s="12">
        <f>(1+InflationRate)^INT((ALU55-1)/12)</f>
        <v/>
      </c>
      <c r="ALZ55" s="11">
        <f>MonthlyChurn*VLOOKUP(ALV55,ChurnSeasonTable,4,FALSE)</f>
        <v/>
      </c>
      <c r="AMA55" s="12">
        <f>MIN(MAX(MktMin19plus,AMY54*MktPct19plus),MAX(0,ANM54-CashBuffer))</f>
        <v/>
      </c>
      <c r="AMB55" s="12">
        <f>IF(AMA55&gt;0,MAX(1,ROUND(AMA55/'Sens - CAC &amp; Marketing'!$A$11*ALX55,0)),0)</f>
        <v/>
      </c>
      <c r="AMC55" s="12">
        <f>IF(AMB55&gt;0,ROUND(AMB55*ReferralMix/(1-ReferralMix),0),0)</f>
        <v/>
      </c>
      <c r="AMD55" s="12">
        <f>AMB55+AMC55</f>
        <v/>
      </c>
      <c r="AME55" s="12">
        <f>ROUND(AMD55*(1-AnnualMix),0)</f>
        <v/>
      </c>
      <c r="AMF55" s="12">
        <f>AMD55-AME55</f>
        <v/>
      </c>
      <c r="AMG55" s="12">
        <f>ROUND(AME55*EssentialMix,0)</f>
        <v/>
      </c>
      <c r="AMH55" s="12">
        <f>ROUND(AME55*PremiumMix,0)</f>
        <v/>
      </c>
      <c r="AMI55" s="12">
        <f>AME55-AMG55-AMH55</f>
        <v/>
      </c>
      <c r="AMJ55" s="12">
        <f>ROUND(AMF55*EssentialMix,0)</f>
        <v/>
      </c>
      <c r="AMK55" s="12">
        <f>ROUND(AMF55*PremiumMix,0)</f>
        <v/>
      </c>
      <c r="AML55" s="12">
        <f>AMF55-AMJ55-AMK55</f>
        <v/>
      </c>
      <c r="AMM55" s="12">
        <f>AMG55+AMG54+AMG53+MAX(0,AMM54-AMG54-AMG53)*(1-ALZ55)</f>
        <v/>
      </c>
      <c r="AMN55" s="12">
        <f>AMH55+AMH54+AMH53+MAX(0,AMN54-AMH54-AMH53)*(1-ALZ55)</f>
        <v/>
      </c>
      <c r="AMO55" s="12">
        <f>AMI55+AMI54+AMI53+MAX(0,AMO54-AMI54-AMI53)*(1-ALZ55)</f>
        <v/>
      </c>
      <c r="AMP55" s="12">
        <f>AMP54+AMJ55-AMJ43*(AnnualChurn*VLOOKUP(ALV55,ChurnSeasonTable,4,FALSE))*POWER(1-(AnnualChurn*VLOOKUP(ALV55,ChurnSeasonTable,4,FALSE)),0)+AMJ31*(AnnualChurn*VLOOKUP(ALV55,ChurnSeasonTable,4,FALSE))*POWER(1-(AnnualChurn*VLOOKUP(ALV55,ChurnSeasonTable,4,FALSE)),1)+AMJ19*(AnnualChurn*VLOOKUP(ALV55,ChurnSeasonTable,4,FALSE))*POWER(1-(AnnualChurn*VLOOKUP(ALV55,ChurnSeasonTable,4,FALSE)),2)+AMJ7*(AnnualChurn*VLOOKUP(ALV55,ChurnSeasonTable,4,FALSE))*POWER(1-(AnnualChurn*VLOOKUP(ALV55,ChurnSeasonTable,4,FALSE)),3)</f>
        <v/>
      </c>
      <c r="AMQ55" s="12">
        <f>AMQ54+AMK55-AMK43*(AnnualChurn*VLOOKUP(ALV55,ChurnSeasonTable,4,FALSE))*POWER(1-(AnnualChurn*VLOOKUP(ALV55,ChurnSeasonTable,4,FALSE)),0)+AMK31*(AnnualChurn*VLOOKUP(ALV55,ChurnSeasonTable,4,FALSE))*POWER(1-(AnnualChurn*VLOOKUP(ALV55,ChurnSeasonTable,4,FALSE)),1)+AMK19*(AnnualChurn*VLOOKUP(ALV55,ChurnSeasonTable,4,FALSE))*POWER(1-(AnnualChurn*VLOOKUP(ALV55,ChurnSeasonTable,4,FALSE)),2)+AMK7*(AnnualChurn*VLOOKUP(ALV55,ChurnSeasonTable,4,FALSE))*POWER(1-(AnnualChurn*VLOOKUP(ALV55,ChurnSeasonTable,4,FALSE)),3)</f>
        <v/>
      </c>
      <c r="AMR55" s="12">
        <f>AMR54+AML55-AML43*(AnnualChurn*VLOOKUP(ALV55,ChurnSeasonTable,4,FALSE))*POWER(1-(AnnualChurn*VLOOKUP(ALV55,ChurnSeasonTable,4,FALSE)),0)+AML31*(AnnualChurn*VLOOKUP(ALV55,ChurnSeasonTable,4,FALSE))*POWER(1-(AnnualChurn*VLOOKUP(ALV55,ChurnSeasonTable,4,FALSE)),1)+AML19*(AnnualChurn*VLOOKUP(ALV55,ChurnSeasonTable,4,FALSE))*POWER(1-(AnnualChurn*VLOOKUP(ALV55,ChurnSeasonTable,4,FALSE)),2)+AML7*(AnnualChurn*VLOOKUP(ALV55,ChurnSeasonTable,4,FALSE))*POWER(1-(AnnualChurn*VLOOKUP(ALV55,ChurnSeasonTable,4,FALSE)),3)</f>
        <v/>
      </c>
      <c r="AMS55" s="12">
        <f>AMM55+AMN55+AMO55+AMP55+AMQ55+AMR55</f>
        <v/>
      </c>
      <c r="AMT55" s="9">
        <f>AMM55*BlendedPriceEssMonthly*ALY55+AMN55*BlendedPricePremMonthly*ALY55+AMO55*BlendedPriceEliteMonthly*ALY55+AMP55*BlendedPriceEssAnnual*ALY55/12+AMQ55*BlendedPricePremAnnual*ALY55/12+AMR55*BlendedPriceEliteAnnual*ALY55/12</f>
        <v/>
      </c>
      <c r="AMU55" s="9">
        <f>AMT55*12</f>
        <v/>
      </c>
      <c r="AMV55" s="12">
        <f>AMM55*BlendedPriceEssMonthly*ALY55+AMN55*BlendedPricePremMonthly*ALY55+AMO55*BlendedPriceEliteMonthly*ALY55</f>
        <v/>
      </c>
      <c r="AMW55" s="12">
        <f>AMJ55*BlendedPriceEssAnnual*ALY55+AMK55*BlendedPricePremAnnual*ALY55+AML55*BlendedPriceEliteAnnual*ALY55</f>
        <v/>
      </c>
      <c r="AMX55" s="12">
        <f>AMJ43*POWER(1-(AnnualChurn*VLOOKUP(ALV55,ChurnSeasonTable,4,FALSE)),1)*BlendedPriceEssAnnual*ALY55+AMJ31*POWER(1-(AnnualChurn*VLOOKUP(ALV55,ChurnSeasonTable,4,FALSE)),2)*BlendedPriceEssAnnual*ALY55+AMJ19*POWER(1-(AnnualChurn*VLOOKUP(ALV55,ChurnSeasonTable,4,FALSE)),3)*BlendedPriceEssAnnual*ALY55+AMJ7*POWER(1-(AnnualChurn*VLOOKUP(ALV55,ChurnSeasonTable,4,FALSE)),4)*BlendedPriceEssAnnual*ALY55+AMK43*POWER(1-(AnnualChurn*VLOOKUP(ALV55,ChurnSeasonTable,4,FALSE)),1)*BlendedPricePremAnnual*ALY55+AMK31*POWER(1-(AnnualChurn*VLOOKUP(ALV55,ChurnSeasonTable,4,FALSE)),2)*BlendedPricePremAnnual*ALY55+AMK19*POWER(1-(AnnualChurn*VLOOKUP(ALV55,ChurnSeasonTable,4,FALSE)),3)*BlendedPricePremAnnual*ALY55+AMK7*POWER(1-(AnnualChurn*VLOOKUP(ALV55,ChurnSeasonTable,4,FALSE)),4)*BlendedPricePremAnnual*ALY55+AML43*POWER(1-(AnnualChurn*VLOOKUP(ALV55,ChurnSeasonTable,4,FALSE)),1)*BlendedPriceEliteAnnual*ALY55+AML31*POWER(1-(AnnualChurn*VLOOKUP(ALV55,ChurnSeasonTable,4,FALSE)),2)*BlendedPriceEliteAnnual*ALY55+AML19*POWER(1-(AnnualChurn*VLOOKUP(ALV55,ChurnSeasonTable,4,FALSE)),3)*BlendedPriceEliteAnnual*ALY55+AML7*POWER(1-(AnnualChurn*VLOOKUP(ALV55,ChurnSeasonTable,4,FALSE)),4)*BlendedPriceEliteAnnual*ALY55</f>
        <v/>
      </c>
      <c r="AMY55" s="9">
        <f>AMV55+AMW55+AMX55</f>
        <v/>
      </c>
      <c r="AMZ55" s="12">
        <f>SUM(AMY44:AMY55)</f>
        <v/>
      </c>
      <c r="ANA55" s="12">
        <f>OR(ANA54,IF(VATAgentMode,SUM($AMY44:$AMY55)-SUM($ANF44:$ANF55)&gt;=VATThreshold,SUM($AMY44:$AMY55)&gt;=VATThreshold))</f>
        <v/>
      </c>
      <c r="ANB55" s="9">
        <f>IF(ANA55,IF(VATAgentMode,AMY55-((AMY55-ANF55)-(AMY55-ANF55)/(1+VATRate)),AMY55/(1+VATRate)),AMY55)</f>
        <v/>
      </c>
      <c r="ANC55" s="12">
        <f>AMY55-ANB55</f>
        <v/>
      </c>
      <c r="AND55" s="12">
        <f>IF(ANA55=0,0,IF(ALV55=1,SUMPRODUCT(--(($ALW$5:$ALW55=$ALW55-1)*($ALV$5:$ALV55&gt;=10)*($ALV$5:$ALV55&lt;=12)),$ANC$5:$ANC55),IF(ALV55=4,SUMPRODUCT(--(($ALW$5:$ALW55=$ALW55)*($ALV$5:$ALV55&gt;=1)*($ALV$5:$ALV55&lt;=3)),$ANC$5:$ANC55),IF(ALV55=7,SUMPRODUCT(--(($ALW$5:$ALW55=$ALW55)*($ALV$5:$ALV55&gt;=4)*($ALV$5:$ALV55&lt;=6)),$ANC$5:$ANC55),IF(ALV55=10,SUMPRODUCT(--(($ALW$5:$ALW55=$ALW55)*($ALV$5:$ALV55&gt;=7)*($ALV$5:$ALV55&lt;=9)),$ANC$5:$ANC55),0)))))</f>
        <v/>
      </c>
      <c r="ANE55" s="12">
        <f>ANE54+ANC55-AND55</f>
        <v/>
      </c>
      <c r="ANF55" s="12">
        <f>IF(ProviderDelay&gt;=1,AMM54*BlendedProvPayEss+AMN54*BlendedProvPayPrem+AMO54*BlendedProvPayElite+AMP54*BlendedProvPayEss+AMQ54*BlendedProvPayPrem+AMR54*BlendedProvPayElite,AMM55*BlendedProvPayEss+AMN55*BlendedProvPayPrem+AMO55*BlendedProvPayElite+AMP55*BlendedProvPayEss+AMQ55*BlendedProvPayPrem+AMR55*BlendedProvPayElite)</f>
        <v/>
      </c>
      <c r="ANG55" s="12">
        <f>AMY55*PaymentFee</f>
        <v/>
      </c>
      <c r="ANH55" s="12">
        <f>AMS55*OpsAI</f>
        <v/>
      </c>
      <c r="ANI55" s="12">
        <f>MonthlyFixed</f>
        <v/>
      </c>
      <c r="ANJ55" s="12">
        <f>AMC55*ReferralReward</f>
        <v/>
      </c>
      <c r="ANK55" s="12">
        <f>AMA55</f>
        <v/>
      </c>
      <c r="ANL55" s="9">
        <f>ANB55-ANF55-ANG55-ANH55-ANI55-ANJ55-ANK55</f>
        <v/>
      </c>
      <c r="ANM55" s="9">
        <f>ANM54+AMY55-(ANF55+ANG55+ANH55+ANI55+ANJ55+ANK55+AND55)</f>
        <v/>
      </c>
      <c r="ANN55" s="12">
        <f>IF(AMS55&gt;0,AMT55/AMS55,0)</f>
        <v/>
      </c>
      <c r="ANO55" s="11">
        <f>IF(AMS54&gt;0,MAX(0,(AMS54+AMD55-AMS55)/AMS54),0)</f>
        <v/>
      </c>
      <c r="ANQ55" s="12" t="n">
        <v>51</v>
      </c>
      <c r="ANR55" s="12">
        <f>MOD(ANQ55-1+LaunchMonth-1,12)+1</f>
        <v/>
      </c>
      <c r="ANS55" s="12">
        <f>INT((ANQ55-1+LaunchMonth-1)/12)+1</f>
        <v/>
      </c>
      <c r="ANT55" s="12">
        <f>VLOOKUP(ANR55,SeasonTable,2,FALSE)</f>
        <v/>
      </c>
      <c r="ANU55" s="12">
        <f>(1+InflationRate)^INT((ANQ55-1)/12)</f>
        <v/>
      </c>
      <c r="ANV55" s="11">
        <f>MonthlyChurn*VLOOKUP(ANR55,ChurnSeasonTable,4,FALSE)</f>
        <v/>
      </c>
      <c r="ANW55" s="12">
        <f>MIN(MAX(MktMin19plus,AOU54*MktPct19plus),MAX(0,API54-CashBuffer))</f>
        <v/>
      </c>
      <c r="ANX55" s="12">
        <f>IF(ANW55&gt;0,MAX(1,ROUND(ANW55/'Sens - CAC &amp; Marketing'!$A$12*ANT55,0)),0)</f>
        <v/>
      </c>
      <c r="ANY55" s="12">
        <f>IF(ANX55&gt;0,ROUND(ANX55*ReferralMix/(1-ReferralMix),0),0)</f>
        <v/>
      </c>
      <c r="ANZ55" s="12">
        <f>ANX55+ANY55</f>
        <v/>
      </c>
      <c r="AOA55" s="12">
        <f>ROUND(ANZ55*(1-AnnualMix),0)</f>
        <v/>
      </c>
      <c r="AOB55" s="12">
        <f>ANZ55-AOA55</f>
        <v/>
      </c>
      <c r="AOC55" s="12">
        <f>ROUND(AOA55*EssentialMix,0)</f>
        <v/>
      </c>
      <c r="AOD55" s="12">
        <f>ROUND(AOA55*PremiumMix,0)</f>
        <v/>
      </c>
      <c r="AOE55" s="12">
        <f>AOA55-AOC55-AOD55</f>
        <v/>
      </c>
      <c r="AOF55" s="12">
        <f>ROUND(AOB55*EssentialMix,0)</f>
        <v/>
      </c>
      <c r="AOG55" s="12">
        <f>ROUND(AOB55*PremiumMix,0)</f>
        <v/>
      </c>
      <c r="AOH55" s="12">
        <f>AOB55-AOF55-AOG55</f>
        <v/>
      </c>
      <c r="AOI55" s="12">
        <f>AOC55+AOC54+AOC53+MAX(0,AOI54-AOC54-AOC53)*(1-ANV55)</f>
        <v/>
      </c>
      <c r="AOJ55" s="12">
        <f>AOD55+AOD54+AOD53+MAX(0,AOJ54-AOD54-AOD53)*(1-ANV55)</f>
        <v/>
      </c>
      <c r="AOK55" s="12">
        <f>AOE55+AOE54+AOE53+MAX(0,AOK54-AOE54-AOE53)*(1-ANV55)</f>
        <v/>
      </c>
      <c r="AOL55" s="12">
        <f>AOL54+AOF55-AOF43*(AnnualChurn*VLOOKUP(ANR55,ChurnSeasonTable,4,FALSE))*POWER(1-(AnnualChurn*VLOOKUP(ANR55,ChurnSeasonTable,4,FALSE)),0)+AOF31*(AnnualChurn*VLOOKUP(ANR55,ChurnSeasonTable,4,FALSE))*POWER(1-(AnnualChurn*VLOOKUP(ANR55,ChurnSeasonTable,4,FALSE)),1)+AOF19*(AnnualChurn*VLOOKUP(ANR55,ChurnSeasonTable,4,FALSE))*POWER(1-(AnnualChurn*VLOOKUP(ANR55,ChurnSeasonTable,4,FALSE)),2)+AOF7*(AnnualChurn*VLOOKUP(ANR55,ChurnSeasonTable,4,FALSE))*POWER(1-(AnnualChurn*VLOOKUP(ANR55,ChurnSeasonTable,4,FALSE)),3)</f>
        <v/>
      </c>
      <c r="AOM55" s="12">
        <f>AOM54+AOG55-AOG43*(AnnualChurn*VLOOKUP(ANR55,ChurnSeasonTable,4,FALSE))*POWER(1-(AnnualChurn*VLOOKUP(ANR55,ChurnSeasonTable,4,FALSE)),0)+AOG31*(AnnualChurn*VLOOKUP(ANR55,ChurnSeasonTable,4,FALSE))*POWER(1-(AnnualChurn*VLOOKUP(ANR55,ChurnSeasonTable,4,FALSE)),1)+AOG19*(AnnualChurn*VLOOKUP(ANR55,ChurnSeasonTable,4,FALSE))*POWER(1-(AnnualChurn*VLOOKUP(ANR55,ChurnSeasonTable,4,FALSE)),2)+AOG7*(AnnualChurn*VLOOKUP(ANR55,ChurnSeasonTable,4,FALSE))*POWER(1-(AnnualChurn*VLOOKUP(ANR55,ChurnSeasonTable,4,FALSE)),3)</f>
        <v/>
      </c>
      <c r="AON55" s="12">
        <f>AON54+AOH55-AOH43*(AnnualChurn*VLOOKUP(ANR55,ChurnSeasonTable,4,FALSE))*POWER(1-(AnnualChurn*VLOOKUP(ANR55,ChurnSeasonTable,4,FALSE)),0)+AOH31*(AnnualChurn*VLOOKUP(ANR55,ChurnSeasonTable,4,FALSE))*POWER(1-(AnnualChurn*VLOOKUP(ANR55,ChurnSeasonTable,4,FALSE)),1)+AOH19*(AnnualChurn*VLOOKUP(ANR55,ChurnSeasonTable,4,FALSE))*POWER(1-(AnnualChurn*VLOOKUP(ANR55,ChurnSeasonTable,4,FALSE)),2)+AOH7*(AnnualChurn*VLOOKUP(ANR55,ChurnSeasonTable,4,FALSE))*POWER(1-(AnnualChurn*VLOOKUP(ANR55,ChurnSeasonTable,4,FALSE)),3)</f>
        <v/>
      </c>
      <c r="AOO55" s="12">
        <f>AOI55+AOJ55+AOK55+AOL55+AOM55+AON55</f>
        <v/>
      </c>
      <c r="AOP55" s="9">
        <f>AOI55*BlendedPriceEssMonthly*ANU55+AOJ55*BlendedPricePremMonthly*ANU55+AOK55*BlendedPriceEliteMonthly*ANU55+AOL55*BlendedPriceEssAnnual*ANU55/12+AOM55*BlendedPricePremAnnual*ANU55/12+AON55*BlendedPriceEliteAnnual*ANU55/12</f>
        <v/>
      </c>
      <c r="AOQ55" s="9">
        <f>AOP55*12</f>
        <v/>
      </c>
      <c r="AOR55" s="12">
        <f>AOI55*BlendedPriceEssMonthly*ANU55+AOJ55*BlendedPricePremMonthly*ANU55+AOK55*BlendedPriceEliteMonthly*ANU55</f>
        <v/>
      </c>
      <c r="AOS55" s="12">
        <f>AOF55*BlendedPriceEssAnnual*ANU55+AOG55*BlendedPricePremAnnual*ANU55+AOH55*BlendedPriceEliteAnnual*ANU55</f>
        <v/>
      </c>
      <c r="AOT55" s="12">
        <f>AOF43*POWER(1-(AnnualChurn*VLOOKUP(ANR55,ChurnSeasonTable,4,FALSE)),1)*BlendedPriceEssAnnual*ANU55+AOF31*POWER(1-(AnnualChurn*VLOOKUP(ANR55,ChurnSeasonTable,4,FALSE)),2)*BlendedPriceEssAnnual*ANU55+AOF19*POWER(1-(AnnualChurn*VLOOKUP(ANR55,ChurnSeasonTable,4,FALSE)),3)*BlendedPriceEssAnnual*ANU55+AOF7*POWER(1-(AnnualChurn*VLOOKUP(ANR55,ChurnSeasonTable,4,FALSE)),4)*BlendedPriceEssAnnual*ANU55+AOG43*POWER(1-(AnnualChurn*VLOOKUP(ANR55,ChurnSeasonTable,4,FALSE)),1)*BlendedPricePremAnnual*ANU55+AOG31*POWER(1-(AnnualChurn*VLOOKUP(ANR55,ChurnSeasonTable,4,FALSE)),2)*BlendedPricePremAnnual*ANU55+AOG19*POWER(1-(AnnualChurn*VLOOKUP(ANR55,ChurnSeasonTable,4,FALSE)),3)*BlendedPricePremAnnual*ANU55+AOG7*POWER(1-(AnnualChurn*VLOOKUP(ANR55,ChurnSeasonTable,4,FALSE)),4)*BlendedPricePremAnnual*ANU55+AOH43*POWER(1-(AnnualChurn*VLOOKUP(ANR55,ChurnSeasonTable,4,FALSE)),1)*BlendedPriceEliteAnnual*ANU55+AOH31*POWER(1-(AnnualChurn*VLOOKUP(ANR55,ChurnSeasonTable,4,FALSE)),2)*BlendedPriceEliteAnnual*ANU55+AOH19*POWER(1-(AnnualChurn*VLOOKUP(ANR55,ChurnSeasonTable,4,FALSE)),3)*BlendedPriceEliteAnnual*ANU55+AOH7*POWER(1-(AnnualChurn*VLOOKUP(ANR55,ChurnSeasonTable,4,FALSE)),4)*BlendedPriceEliteAnnual*ANU55</f>
        <v/>
      </c>
      <c r="AOU55" s="9">
        <f>AOR55+AOS55+AOT55</f>
        <v/>
      </c>
      <c r="AOV55" s="12">
        <f>SUM(AOU44:AOU55)</f>
        <v/>
      </c>
      <c r="AOW55" s="12">
        <f>OR(AOW54,IF(VATAgentMode,SUM($AOU44:$AOU55)-SUM($APB44:$APB55)&gt;=VATThreshold,SUM($AOU44:$AOU55)&gt;=VATThreshold))</f>
        <v/>
      </c>
      <c r="AOX55" s="9">
        <f>IF(AOW55,IF(VATAgentMode,AOU55-((AOU55-APB55)-(AOU55-APB55)/(1+VATRate)),AOU55/(1+VATRate)),AOU55)</f>
        <v/>
      </c>
      <c r="AOY55" s="12">
        <f>AOU55-AOX55</f>
        <v/>
      </c>
      <c r="AOZ55" s="12">
        <f>IF(AOW55=0,0,IF(ANR55=1,SUMPRODUCT(--(($ANS$5:$ANS55=$ANS55-1)*($ANR$5:$ANR55&gt;=10)*($ANR$5:$ANR55&lt;=12)),$AOY$5:$AOY55),IF(ANR55=4,SUMPRODUCT(--(($ANS$5:$ANS55=$ANS55)*($ANR$5:$ANR55&gt;=1)*($ANR$5:$ANR55&lt;=3)),$AOY$5:$AOY55),IF(ANR55=7,SUMPRODUCT(--(($ANS$5:$ANS55=$ANS55)*($ANR$5:$ANR55&gt;=4)*($ANR$5:$ANR55&lt;=6)),$AOY$5:$AOY55),IF(ANR55=10,SUMPRODUCT(--(($ANS$5:$ANS55=$ANS55)*($ANR$5:$ANR55&gt;=7)*($ANR$5:$ANR55&lt;=9)),$AOY$5:$AOY55),0)))))</f>
        <v/>
      </c>
      <c r="APA55" s="12">
        <f>APA54+AOY55-AOZ55</f>
        <v/>
      </c>
      <c r="APB55" s="12">
        <f>IF(ProviderDelay&gt;=1,AOI54*BlendedProvPayEss+AOJ54*BlendedProvPayPrem+AOK54*BlendedProvPayElite+AOL54*BlendedProvPayEss+AOM54*BlendedProvPayPrem+AON54*BlendedProvPayElite,AOI55*BlendedProvPayEss+AOJ55*BlendedProvPayPrem+AOK55*BlendedProvPayElite+AOL55*BlendedProvPayEss+AOM55*BlendedProvPayPrem+AON55*BlendedProvPayElite)</f>
        <v/>
      </c>
      <c r="APC55" s="12">
        <f>AOU55*PaymentFee</f>
        <v/>
      </c>
      <c r="APD55" s="12">
        <f>AOO55*OpsAI</f>
        <v/>
      </c>
      <c r="APE55" s="12">
        <f>MonthlyFixed</f>
        <v/>
      </c>
      <c r="APF55" s="12">
        <f>ANY55*ReferralReward</f>
        <v/>
      </c>
      <c r="APG55" s="12">
        <f>ANW55</f>
        <v/>
      </c>
      <c r="APH55" s="9">
        <f>AOX55-APB55-APC55-APD55-APE55-APF55-APG55</f>
        <v/>
      </c>
      <c r="API55" s="9">
        <f>API54+AOU55-(APB55+APC55+APD55+APE55+APF55+APG55+AOZ55)</f>
        <v/>
      </c>
      <c r="APJ55" s="12">
        <f>IF(AOO55&gt;0,AOP55/AOO55,0)</f>
        <v/>
      </c>
      <c r="APK55" s="11">
        <f>IF(AOO54&gt;0,MAX(0,(AOO54+ANZ55-AOO55)/AOO54),0)</f>
        <v/>
      </c>
      <c r="APM55" s="12" t="n">
        <v>51</v>
      </c>
      <c r="APN55" s="12">
        <f>MOD(APM55-1+LaunchMonth-1,12)+1</f>
        <v/>
      </c>
      <c r="APO55" s="12">
        <f>INT((APM55-1+LaunchMonth-1)/12)+1</f>
        <v/>
      </c>
      <c r="APP55" s="12">
        <f>VLOOKUP(APN55,SeasonTable,2,FALSE)</f>
        <v/>
      </c>
      <c r="APQ55" s="12">
        <f>(1+InflationRate)^INT((APM55-1)/12)</f>
        <v/>
      </c>
      <c r="APR55" s="11">
        <f>MonthlyChurn*VLOOKUP(APN55,ChurnSeasonTable,4,FALSE)</f>
        <v/>
      </c>
      <c r="APS55" s="12">
        <f>MIN(MAX(MktMin19plus,AQQ54*MktPct19plus),MAX(0,ARE54-CashBuffer))</f>
        <v/>
      </c>
      <c r="APT55" s="12">
        <f>IF(APS55&gt;0,MAX(1,ROUND(APS55/'Sens - CAC &amp; Marketing'!$A$13*APP55,0)),0)</f>
        <v/>
      </c>
      <c r="APU55" s="12">
        <f>IF(APT55&gt;0,ROUND(APT55*ReferralMix/(1-ReferralMix),0),0)</f>
        <v/>
      </c>
      <c r="APV55" s="12">
        <f>APT55+APU55</f>
        <v/>
      </c>
      <c r="APW55" s="12">
        <f>ROUND(APV55*(1-AnnualMix),0)</f>
        <v/>
      </c>
      <c r="APX55" s="12">
        <f>APV55-APW55</f>
        <v/>
      </c>
      <c r="APY55" s="12">
        <f>ROUND(APW55*EssentialMix,0)</f>
        <v/>
      </c>
      <c r="APZ55" s="12">
        <f>ROUND(APW55*PremiumMix,0)</f>
        <v/>
      </c>
      <c r="AQA55" s="12">
        <f>APW55-APY55-APZ55</f>
        <v/>
      </c>
      <c r="AQB55" s="12">
        <f>ROUND(APX55*EssentialMix,0)</f>
        <v/>
      </c>
      <c r="AQC55" s="12">
        <f>ROUND(APX55*PremiumMix,0)</f>
        <v/>
      </c>
      <c r="AQD55" s="12">
        <f>APX55-AQB55-AQC55</f>
        <v/>
      </c>
      <c r="AQE55" s="12">
        <f>APY55+APY54+APY53+MAX(0,AQE54-APY54-APY53)*(1-APR55)</f>
        <v/>
      </c>
      <c r="AQF55" s="12">
        <f>APZ55+APZ54+APZ53+MAX(0,AQF54-APZ54-APZ53)*(1-APR55)</f>
        <v/>
      </c>
      <c r="AQG55" s="12">
        <f>AQA55+AQA54+AQA53+MAX(0,AQG54-AQA54-AQA53)*(1-APR55)</f>
        <v/>
      </c>
      <c r="AQH55" s="12">
        <f>AQH54+AQB55-AQB43*(AnnualChurn*VLOOKUP(APN55,ChurnSeasonTable,4,FALSE))*POWER(1-(AnnualChurn*VLOOKUP(APN55,ChurnSeasonTable,4,FALSE)),0)+AQB31*(AnnualChurn*VLOOKUP(APN55,ChurnSeasonTable,4,FALSE))*POWER(1-(AnnualChurn*VLOOKUP(APN55,ChurnSeasonTable,4,FALSE)),1)+AQB19*(AnnualChurn*VLOOKUP(APN55,ChurnSeasonTable,4,FALSE))*POWER(1-(AnnualChurn*VLOOKUP(APN55,ChurnSeasonTable,4,FALSE)),2)+AQB7*(AnnualChurn*VLOOKUP(APN55,ChurnSeasonTable,4,FALSE))*POWER(1-(AnnualChurn*VLOOKUP(APN55,ChurnSeasonTable,4,FALSE)),3)</f>
        <v/>
      </c>
      <c r="AQI55" s="12">
        <f>AQI54+AQC55-AQC43*(AnnualChurn*VLOOKUP(APN55,ChurnSeasonTable,4,FALSE))*POWER(1-(AnnualChurn*VLOOKUP(APN55,ChurnSeasonTable,4,FALSE)),0)+AQC31*(AnnualChurn*VLOOKUP(APN55,ChurnSeasonTable,4,FALSE))*POWER(1-(AnnualChurn*VLOOKUP(APN55,ChurnSeasonTable,4,FALSE)),1)+AQC19*(AnnualChurn*VLOOKUP(APN55,ChurnSeasonTable,4,FALSE))*POWER(1-(AnnualChurn*VLOOKUP(APN55,ChurnSeasonTable,4,FALSE)),2)+AQC7*(AnnualChurn*VLOOKUP(APN55,ChurnSeasonTable,4,FALSE))*POWER(1-(AnnualChurn*VLOOKUP(APN55,ChurnSeasonTable,4,FALSE)),3)</f>
        <v/>
      </c>
      <c r="AQJ55" s="12">
        <f>AQJ54+AQD55-AQD43*(AnnualChurn*VLOOKUP(APN55,ChurnSeasonTable,4,FALSE))*POWER(1-(AnnualChurn*VLOOKUP(APN55,ChurnSeasonTable,4,FALSE)),0)+AQD31*(AnnualChurn*VLOOKUP(APN55,ChurnSeasonTable,4,FALSE))*POWER(1-(AnnualChurn*VLOOKUP(APN55,ChurnSeasonTable,4,FALSE)),1)+AQD19*(AnnualChurn*VLOOKUP(APN55,ChurnSeasonTable,4,FALSE))*POWER(1-(AnnualChurn*VLOOKUP(APN55,ChurnSeasonTable,4,FALSE)),2)+AQD7*(AnnualChurn*VLOOKUP(APN55,ChurnSeasonTable,4,FALSE))*POWER(1-(AnnualChurn*VLOOKUP(APN55,ChurnSeasonTable,4,FALSE)),3)</f>
        <v/>
      </c>
      <c r="AQK55" s="12">
        <f>AQE55+AQF55+AQG55+AQH55+AQI55+AQJ55</f>
        <v/>
      </c>
      <c r="AQL55" s="9">
        <f>AQE55*BlendedPriceEssMonthly*APQ55+AQF55*BlendedPricePremMonthly*APQ55+AQG55*BlendedPriceEliteMonthly*APQ55+AQH55*BlendedPriceEssAnnual*APQ55/12+AQI55*BlendedPricePremAnnual*APQ55/12+AQJ55*BlendedPriceEliteAnnual*APQ55/12</f>
        <v/>
      </c>
      <c r="AQM55" s="9">
        <f>AQL55*12</f>
        <v/>
      </c>
      <c r="AQN55" s="12">
        <f>AQE55*BlendedPriceEssMonthly*APQ55+AQF55*BlendedPricePremMonthly*APQ55+AQG55*BlendedPriceEliteMonthly*APQ55</f>
        <v/>
      </c>
      <c r="AQO55" s="12">
        <f>AQB55*BlendedPriceEssAnnual*APQ55+AQC55*BlendedPricePremAnnual*APQ55+AQD55*BlendedPriceEliteAnnual*APQ55</f>
        <v/>
      </c>
      <c r="AQP55" s="12">
        <f>AQB43*POWER(1-(AnnualChurn*VLOOKUP(APN55,ChurnSeasonTable,4,FALSE)),1)*BlendedPriceEssAnnual*APQ55+AQB31*POWER(1-(AnnualChurn*VLOOKUP(APN55,ChurnSeasonTable,4,FALSE)),2)*BlendedPriceEssAnnual*APQ55+AQB19*POWER(1-(AnnualChurn*VLOOKUP(APN55,ChurnSeasonTable,4,FALSE)),3)*BlendedPriceEssAnnual*APQ55+AQB7*POWER(1-(AnnualChurn*VLOOKUP(APN55,ChurnSeasonTable,4,FALSE)),4)*BlendedPriceEssAnnual*APQ55+AQC43*POWER(1-(AnnualChurn*VLOOKUP(APN55,ChurnSeasonTable,4,FALSE)),1)*BlendedPricePremAnnual*APQ55+AQC31*POWER(1-(AnnualChurn*VLOOKUP(APN55,ChurnSeasonTable,4,FALSE)),2)*BlendedPricePremAnnual*APQ55+AQC19*POWER(1-(AnnualChurn*VLOOKUP(APN55,ChurnSeasonTable,4,FALSE)),3)*BlendedPricePremAnnual*APQ55+AQC7*POWER(1-(AnnualChurn*VLOOKUP(APN55,ChurnSeasonTable,4,FALSE)),4)*BlendedPricePremAnnual*APQ55+AQD43*POWER(1-(AnnualChurn*VLOOKUP(APN55,ChurnSeasonTable,4,FALSE)),1)*BlendedPriceEliteAnnual*APQ55+AQD31*POWER(1-(AnnualChurn*VLOOKUP(APN55,ChurnSeasonTable,4,FALSE)),2)*BlendedPriceEliteAnnual*APQ55+AQD19*POWER(1-(AnnualChurn*VLOOKUP(APN55,ChurnSeasonTable,4,FALSE)),3)*BlendedPriceEliteAnnual*APQ55+AQD7*POWER(1-(AnnualChurn*VLOOKUP(APN55,ChurnSeasonTable,4,FALSE)),4)*BlendedPriceEliteAnnual*APQ55</f>
        <v/>
      </c>
      <c r="AQQ55" s="9">
        <f>AQN55+AQO55+AQP55</f>
        <v/>
      </c>
      <c r="AQR55" s="12">
        <f>SUM(AQQ44:AQQ55)</f>
        <v/>
      </c>
      <c r="AQS55" s="12">
        <f>OR(AQS54,IF(VATAgentMode,SUM($AQQ44:$AQQ55)-SUM($AQX44:$AQX55)&gt;=VATThreshold,SUM($AQQ44:$AQQ55)&gt;=VATThreshold))</f>
        <v/>
      </c>
      <c r="AQT55" s="9">
        <f>IF(AQS55,IF(VATAgentMode,AQQ55-((AQQ55-AQX55)-(AQQ55-AQX55)/(1+VATRate)),AQQ55/(1+VATRate)),AQQ55)</f>
        <v/>
      </c>
      <c r="AQU55" s="12">
        <f>AQQ55-AQT55</f>
        <v/>
      </c>
      <c r="AQV55" s="12">
        <f>IF(AQS55=0,0,IF(APN55=1,SUMPRODUCT(--(($APO$5:$APO55=$APO55-1)*($APN$5:$APN55&gt;=10)*($APN$5:$APN55&lt;=12)),$AQU$5:$AQU55),IF(APN55=4,SUMPRODUCT(--(($APO$5:$APO55=$APO55)*($APN$5:$APN55&gt;=1)*($APN$5:$APN55&lt;=3)),$AQU$5:$AQU55),IF(APN55=7,SUMPRODUCT(--(($APO$5:$APO55=$APO55)*($APN$5:$APN55&gt;=4)*($APN$5:$APN55&lt;=6)),$AQU$5:$AQU55),IF(APN55=10,SUMPRODUCT(--(($APO$5:$APO55=$APO55)*($APN$5:$APN55&gt;=7)*($APN$5:$APN55&lt;=9)),$AQU$5:$AQU55),0)))))</f>
        <v/>
      </c>
      <c r="AQW55" s="12">
        <f>AQW54+AQU55-AQV55</f>
        <v/>
      </c>
      <c r="AQX55" s="12">
        <f>IF(ProviderDelay&gt;=1,AQE54*BlendedProvPayEss+AQF54*BlendedProvPayPrem+AQG54*BlendedProvPayElite+AQH54*BlendedProvPayEss+AQI54*BlendedProvPayPrem+AQJ54*BlendedProvPayElite,AQE55*BlendedProvPayEss+AQF55*BlendedProvPayPrem+AQG55*BlendedProvPayElite+AQH55*BlendedProvPayEss+AQI55*BlendedProvPayPrem+AQJ55*BlendedProvPayElite)</f>
        <v/>
      </c>
      <c r="AQY55" s="12">
        <f>AQQ55*PaymentFee</f>
        <v/>
      </c>
      <c r="AQZ55" s="12">
        <f>AQK55*OpsAI</f>
        <v/>
      </c>
      <c r="ARA55" s="12">
        <f>MonthlyFixed</f>
        <v/>
      </c>
      <c r="ARB55" s="12">
        <f>APU55*ReferralReward</f>
        <v/>
      </c>
      <c r="ARC55" s="12">
        <f>APS55</f>
        <v/>
      </c>
      <c r="ARD55" s="9">
        <f>AQT55-AQX55-AQY55-AQZ55-ARA55-ARB55-ARC55</f>
        <v/>
      </c>
      <c r="ARE55" s="9">
        <f>ARE54+AQQ55-(AQX55+AQY55+AQZ55+ARA55+ARB55+ARC55+AQV55)</f>
        <v/>
      </c>
      <c r="ARF55" s="12">
        <f>IF(AQK55&gt;0,AQL55/AQK55,0)</f>
        <v/>
      </c>
      <c r="ARG55" s="11">
        <f>IF(AQK54&gt;0,MAX(0,(AQK54+APV55-AQK55)/AQK54),0)</f>
        <v/>
      </c>
      <c r="ARI55" s="12" t="n">
        <v>51</v>
      </c>
      <c r="ARJ55" s="12">
        <f>MOD(ARI55-1+LaunchMonth-1,12)+1</f>
        <v/>
      </c>
      <c r="ARK55" s="12">
        <f>INT((ARI55-1+LaunchMonth-1)/12)+1</f>
        <v/>
      </c>
      <c r="ARL55" s="12">
        <f>VLOOKUP(ARJ55,SeasonTable,2,FALSE)</f>
        <v/>
      </c>
      <c r="ARM55" s="12">
        <f>(1+InflationRate)^INT((ARI55-1)/12)</f>
        <v/>
      </c>
      <c r="ARN55" s="11">
        <f>MonthlyChurn*VLOOKUP(ARJ55,ChurnSeasonTable,4,FALSE)</f>
        <v/>
      </c>
      <c r="ARO55" s="12">
        <f>MIN(MAX(MktMin19plus,ASM54*MktPct19plus),MAX(0,ATA54-CashBuffer))</f>
        <v/>
      </c>
      <c r="ARP55" s="12">
        <f>IF(ARO55&gt;0,MAX(1,ROUND(ARO55/'Sens - CAC &amp; Marketing'!$A$14*ARL55,0)),0)</f>
        <v/>
      </c>
      <c r="ARQ55" s="12">
        <f>IF(ARP55&gt;0,ROUND(ARP55*ReferralMix/(1-ReferralMix),0),0)</f>
        <v/>
      </c>
      <c r="ARR55" s="12">
        <f>ARP55+ARQ55</f>
        <v/>
      </c>
      <c r="ARS55" s="12">
        <f>ROUND(ARR55*(1-AnnualMix),0)</f>
        <v/>
      </c>
      <c r="ART55" s="12">
        <f>ARR55-ARS55</f>
        <v/>
      </c>
      <c r="ARU55" s="12">
        <f>ROUND(ARS55*EssentialMix,0)</f>
        <v/>
      </c>
      <c r="ARV55" s="12">
        <f>ROUND(ARS55*PremiumMix,0)</f>
        <v/>
      </c>
      <c r="ARW55" s="12">
        <f>ARS55-ARU55-ARV55</f>
        <v/>
      </c>
      <c r="ARX55" s="12">
        <f>ROUND(ART55*EssentialMix,0)</f>
        <v/>
      </c>
      <c r="ARY55" s="12">
        <f>ROUND(ART55*PremiumMix,0)</f>
        <v/>
      </c>
      <c r="ARZ55" s="12">
        <f>ART55-ARX55-ARY55</f>
        <v/>
      </c>
      <c r="ASA55" s="12">
        <f>ARU55+ARU54+ARU53+MAX(0,ASA54-ARU54-ARU53)*(1-ARN55)</f>
        <v/>
      </c>
      <c r="ASB55" s="12">
        <f>ARV55+ARV54+ARV53+MAX(0,ASB54-ARV54-ARV53)*(1-ARN55)</f>
        <v/>
      </c>
      <c r="ASC55" s="12">
        <f>ARW55+ARW54+ARW53+MAX(0,ASC54-ARW54-ARW53)*(1-ARN55)</f>
        <v/>
      </c>
      <c r="ASD55" s="12">
        <f>ASD54+ARX55-ARX43*(AnnualChurn*VLOOKUP(ARJ55,ChurnSeasonTable,4,FALSE))*POWER(1-(AnnualChurn*VLOOKUP(ARJ55,ChurnSeasonTable,4,FALSE)),0)+ARX31*(AnnualChurn*VLOOKUP(ARJ55,ChurnSeasonTable,4,FALSE))*POWER(1-(AnnualChurn*VLOOKUP(ARJ55,ChurnSeasonTable,4,FALSE)),1)+ARX19*(AnnualChurn*VLOOKUP(ARJ55,ChurnSeasonTable,4,FALSE))*POWER(1-(AnnualChurn*VLOOKUP(ARJ55,ChurnSeasonTable,4,FALSE)),2)+ARX7*(AnnualChurn*VLOOKUP(ARJ55,ChurnSeasonTable,4,FALSE))*POWER(1-(AnnualChurn*VLOOKUP(ARJ55,ChurnSeasonTable,4,FALSE)),3)</f>
        <v/>
      </c>
      <c r="ASE55" s="12">
        <f>ASE54+ARY55-ARY43*(AnnualChurn*VLOOKUP(ARJ55,ChurnSeasonTable,4,FALSE))*POWER(1-(AnnualChurn*VLOOKUP(ARJ55,ChurnSeasonTable,4,FALSE)),0)+ARY31*(AnnualChurn*VLOOKUP(ARJ55,ChurnSeasonTable,4,FALSE))*POWER(1-(AnnualChurn*VLOOKUP(ARJ55,ChurnSeasonTable,4,FALSE)),1)+ARY19*(AnnualChurn*VLOOKUP(ARJ55,ChurnSeasonTable,4,FALSE))*POWER(1-(AnnualChurn*VLOOKUP(ARJ55,ChurnSeasonTable,4,FALSE)),2)+ARY7*(AnnualChurn*VLOOKUP(ARJ55,ChurnSeasonTable,4,FALSE))*POWER(1-(AnnualChurn*VLOOKUP(ARJ55,ChurnSeasonTable,4,FALSE)),3)</f>
        <v/>
      </c>
      <c r="ASF55" s="12">
        <f>ASF54+ARZ55-ARZ43*(AnnualChurn*VLOOKUP(ARJ55,ChurnSeasonTable,4,FALSE))*POWER(1-(AnnualChurn*VLOOKUP(ARJ55,ChurnSeasonTable,4,FALSE)),0)+ARZ31*(AnnualChurn*VLOOKUP(ARJ55,ChurnSeasonTable,4,FALSE))*POWER(1-(AnnualChurn*VLOOKUP(ARJ55,ChurnSeasonTable,4,FALSE)),1)+ARZ19*(AnnualChurn*VLOOKUP(ARJ55,ChurnSeasonTable,4,FALSE))*POWER(1-(AnnualChurn*VLOOKUP(ARJ55,ChurnSeasonTable,4,FALSE)),2)+ARZ7*(AnnualChurn*VLOOKUP(ARJ55,ChurnSeasonTable,4,FALSE))*POWER(1-(AnnualChurn*VLOOKUP(ARJ55,ChurnSeasonTable,4,FALSE)),3)</f>
        <v/>
      </c>
      <c r="ASG55" s="12">
        <f>ASA55+ASB55+ASC55+ASD55+ASE55+ASF55</f>
        <v/>
      </c>
      <c r="ASH55" s="9">
        <f>ASA55*BlendedPriceEssMonthly*ARM55+ASB55*BlendedPricePremMonthly*ARM55+ASC55*BlendedPriceEliteMonthly*ARM55+ASD55*BlendedPriceEssAnnual*ARM55/12+ASE55*BlendedPricePremAnnual*ARM55/12+ASF55*BlendedPriceEliteAnnual*ARM55/12</f>
        <v/>
      </c>
      <c r="ASI55" s="9">
        <f>ASH55*12</f>
        <v/>
      </c>
      <c r="ASJ55" s="12">
        <f>ASA55*BlendedPriceEssMonthly*ARM55+ASB55*BlendedPricePremMonthly*ARM55+ASC55*BlendedPriceEliteMonthly*ARM55</f>
        <v/>
      </c>
      <c r="ASK55" s="12">
        <f>ARX55*BlendedPriceEssAnnual*ARM55+ARY55*BlendedPricePremAnnual*ARM55+ARZ55*BlendedPriceEliteAnnual*ARM55</f>
        <v/>
      </c>
      <c r="ASL55" s="12">
        <f>ARX43*POWER(1-(AnnualChurn*VLOOKUP(ARJ55,ChurnSeasonTable,4,FALSE)),1)*BlendedPriceEssAnnual*ARM55+ARX31*POWER(1-(AnnualChurn*VLOOKUP(ARJ55,ChurnSeasonTable,4,FALSE)),2)*BlendedPriceEssAnnual*ARM55+ARX19*POWER(1-(AnnualChurn*VLOOKUP(ARJ55,ChurnSeasonTable,4,FALSE)),3)*BlendedPriceEssAnnual*ARM55+ARX7*POWER(1-(AnnualChurn*VLOOKUP(ARJ55,ChurnSeasonTable,4,FALSE)),4)*BlendedPriceEssAnnual*ARM55+ARY43*POWER(1-(AnnualChurn*VLOOKUP(ARJ55,ChurnSeasonTable,4,FALSE)),1)*BlendedPricePremAnnual*ARM55+ARY31*POWER(1-(AnnualChurn*VLOOKUP(ARJ55,ChurnSeasonTable,4,FALSE)),2)*BlendedPricePremAnnual*ARM55+ARY19*POWER(1-(AnnualChurn*VLOOKUP(ARJ55,ChurnSeasonTable,4,FALSE)),3)*BlendedPricePremAnnual*ARM55+ARY7*POWER(1-(AnnualChurn*VLOOKUP(ARJ55,ChurnSeasonTable,4,FALSE)),4)*BlendedPricePremAnnual*ARM55+ARZ43*POWER(1-(AnnualChurn*VLOOKUP(ARJ55,ChurnSeasonTable,4,FALSE)),1)*BlendedPriceEliteAnnual*ARM55+ARZ31*POWER(1-(AnnualChurn*VLOOKUP(ARJ55,ChurnSeasonTable,4,FALSE)),2)*BlendedPriceEliteAnnual*ARM55+ARZ19*POWER(1-(AnnualChurn*VLOOKUP(ARJ55,ChurnSeasonTable,4,FALSE)),3)*BlendedPriceEliteAnnual*ARM55+ARZ7*POWER(1-(AnnualChurn*VLOOKUP(ARJ55,ChurnSeasonTable,4,FALSE)),4)*BlendedPriceEliteAnnual*ARM55</f>
        <v/>
      </c>
      <c r="ASM55" s="9">
        <f>ASJ55+ASK55+ASL55</f>
        <v/>
      </c>
      <c r="ASN55" s="12">
        <f>SUM(ASM44:ASM55)</f>
        <v/>
      </c>
      <c r="ASO55" s="12">
        <f>OR(ASO54,IF(VATAgentMode,SUM($ASM44:$ASM55)-SUM($AST44:$AST55)&gt;=VATThreshold,SUM($ASM44:$ASM55)&gt;=VATThreshold))</f>
        <v/>
      </c>
      <c r="ASP55" s="9">
        <f>IF(ASO55,IF(VATAgentMode,ASM55-((ASM55-AST55)-(ASM55-AST55)/(1+VATRate)),ASM55/(1+VATRate)),ASM55)</f>
        <v/>
      </c>
      <c r="ASQ55" s="12">
        <f>ASM55-ASP55</f>
        <v/>
      </c>
      <c r="ASR55" s="12">
        <f>IF(ASO55=0,0,IF(ARJ55=1,SUMPRODUCT(--(($ARK$5:$ARK55=$ARK55-1)*($ARJ$5:$ARJ55&gt;=10)*($ARJ$5:$ARJ55&lt;=12)),$ASQ$5:$ASQ55),IF(ARJ55=4,SUMPRODUCT(--(($ARK$5:$ARK55=$ARK55)*($ARJ$5:$ARJ55&gt;=1)*($ARJ$5:$ARJ55&lt;=3)),$ASQ$5:$ASQ55),IF(ARJ55=7,SUMPRODUCT(--(($ARK$5:$ARK55=$ARK55)*($ARJ$5:$ARJ55&gt;=4)*($ARJ$5:$ARJ55&lt;=6)),$ASQ$5:$ASQ55),IF(ARJ55=10,SUMPRODUCT(--(($ARK$5:$ARK55=$ARK55)*($ARJ$5:$ARJ55&gt;=7)*($ARJ$5:$ARJ55&lt;=9)),$ASQ$5:$ASQ55),0)))))</f>
        <v/>
      </c>
      <c r="ASS55" s="12">
        <f>ASS54+ASQ55-ASR55</f>
        <v/>
      </c>
      <c r="AST55" s="12">
        <f>IF(ProviderDelay&gt;=1,ASA54*BlendedProvPayEss+ASB54*BlendedProvPayPrem+ASC54*BlendedProvPayElite+ASD54*BlendedProvPayEss+ASE54*BlendedProvPayPrem+ASF54*BlendedProvPayElite,ASA55*BlendedProvPayEss+ASB55*BlendedProvPayPrem+ASC55*BlendedProvPayElite+ASD55*BlendedProvPayEss+ASE55*BlendedProvPayPrem+ASF55*BlendedProvPayElite)</f>
        <v/>
      </c>
      <c r="ASU55" s="12">
        <f>ASM55*PaymentFee</f>
        <v/>
      </c>
      <c r="ASV55" s="12">
        <f>ASG55*OpsAI</f>
        <v/>
      </c>
      <c r="ASW55" s="12">
        <f>MonthlyFixed</f>
        <v/>
      </c>
      <c r="ASX55" s="12">
        <f>ARQ55*ReferralReward</f>
        <v/>
      </c>
      <c r="ASY55" s="12">
        <f>ARO55</f>
        <v/>
      </c>
      <c r="ASZ55" s="9">
        <f>ASP55-AST55-ASU55-ASV55-ASW55-ASX55-ASY55</f>
        <v/>
      </c>
      <c r="ATA55" s="9">
        <f>ATA54+ASM55-(AST55+ASU55+ASV55+ASW55+ASX55+ASY55+ASR55)</f>
        <v/>
      </c>
      <c r="ATB55" s="12">
        <f>IF(ASG55&gt;0,ASH55/ASG55,0)</f>
        <v/>
      </c>
      <c r="ATC55" s="11">
        <f>IF(ASG54&gt;0,MAX(0,(ASG54+ARR55-ASG55)/ASG54),0)</f>
        <v/>
      </c>
      <c r="ATE55" s="12" t="n">
        <v>51</v>
      </c>
      <c r="ATF55" s="12">
        <f>MOD(ATE55-1+LaunchMonth-1,12)+1</f>
        <v/>
      </c>
      <c r="ATG55" s="12">
        <f>INT((ATE55-1+LaunchMonth-1)/12)+1</f>
        <v/>
      </c>
      <c r="ATH55" s="12">
        <f>VLOOKUP(ATF55,SeasonTable,2,FALSE)</f>
        <v/>
      </c>
      <c r="ATI55" s="12">
        <f>(1+InflationRate)^INT((ATE55-1)/12)</f>
        <v/>
      </c>
      <c r="ATJ55" s="11">
        <f>MonthlyChurn*VLOOKUP(ATF55,ChurnSeasonTable,4,FALSE)</f>
        <v/>
      </c>
      <c r="ATK55" s="12">
        <f>MIN(MAX(MktMin19plus,AUI54*MktPct19plus),MAX(0,AUW54-CashBuffer))</f>
        <v/>
      </c>
      <c r="ATL55" s="12">
        <f>IF(ATK55&gt;0,MAX(1,ROUND(ATK55/'Sens - CAC &amp; Marketing'!$A$15*ATH55,0)),0)</f>
        <v/>
      </c>
      <c r="ATM55" s="12">
        <f>IF(ATL55&gt;0,ROUND(ATL55*ReferralMix/(1-ReferralMix),0),0)</f>
        <v/>
      </c>
      <c r="ATN55" s="12">
        <f>ATL55+ATM55</f>
        <v/>
      </c>
      <c r="ATO55" s="12">
        <f>ROUND(ATN55*(1-AnnualMix),0)</f>
        <v/>
      </c>
      <c r="ATP55" s="12">
        <f>ATN55-ATO55</f>
        <v/>
      </c>
      <c r="ATQ55" s="12">
        <f>ROUND(ATO55*EssentialMix,0)</f>
        <v/>
      </c>
      <c r="ATR55" s="12">
        <f>ROUND(ATO55*PremiumMix,0)</f>
        <v/>
      </c>
      <c r="ATS55" s="12">
        <f>ATO55-ATQ55-ATR55</f>
        <v/>
      </c>
      <c r="ATT55" s="12">
        <f>ROUND(ATP55*EssentialMix,0)</f>
        <v/>
      </c>
      <c r="ATU55" s="12">
        <f>ROUND(ATP55*PremiumMix,0)</f>
        <v/>
      </c>
      <c r="ATV55" s="12">
        <f>ATP55-ATT55-ATU55</f>
        <v/>
      </c>
      <c r="ATW55" s="12">
        <f>ATQ55+ATQ54+ATQ53+MAX(0,ATW54-ATQ54-ATQ53)*(1-ATJ55)</f>
        <v/>
      </c>
      <c r="ATX55" s="12">
        <f>ATR55+ATR54+ATR53+MAX(0,ATX54-ATR54-ATR53)*(1-ATJ55)</f>
        <v/>
      </c>
      <c r="ATY55" s="12">
        <f>ATS55+ATS54+ATS53+MAX(0,ATY54-ATS54-ATS53)*(1-ATJ55)</f>
        <v/>
      </c>
      <c r="ATZ55" s="12">
        <f>ATZ54+ATT55-ATT43*(AnnualChurn*VLOOKUP(ATF55,ChurnSeasonTable,4,FALSE))*POWER(1-(AnnualChurn*VLOOKUP(ATF55,ChurnSeasonTable,4,FALSE)),0)+ATT31*(AnnualChurn*VLOOKUP(ATF55,ChurnSeasonTable,4,FALSE))*POWER(1-(AnnualChurn*VLOOKUP(ATF55,ChurnSeasonTable,4,FALSE)),1)+ATT19*(AnnualChurn*VLOOKUP(ATF55,ChurnSeasonTable,4,FALSE))*POWER(1-(AnnualChurn*VLOOKUP(ATF55,ChurnSeasonTable,4,FALSE)),2)+ATT7*(AnnualChurn*VLOOKUP(ATF55,ChurnSeasonTable,4,FALSE))*POWER(1-(AnnualChurn*VLOOKUP(ATF55,ChurnSeasonTable,4,FALSE)),3)</f>
        <v/>
      </c>
      <c r="AUA55" s="12">
        <f>AUA54+ATU55-ATU43*(AnnualChurn*VLOOKUP(ATF55,ChurnSeasonTable,4,FALSE))*POWER(1-(AnnualChurn*VLOOKUP(ATF55,ChurnSeasonTable,4,FALSE)),0)+ATU31*(AnnualChurn*VLOOKUP(ATF55,ChurnSeasonTable,4,FALSE))*POWER(1-(AnnualChurn*VLOOKUP(ATF55,ChurnSeasonTable,4,FALSE)),1)+ATU19*(AnnualChurn*VLOOKUP(ATF55,ChurnSeasonTable,4,FALSE))*POWER(1-(AnnualChurn*VLOOKUP(ATF55,ChurnSeasonTable,4,FALSE)),2)+ATU7*(AnnualChurn*VLOOKUP(ATF55,ChurnSeasonTable,4,FALSE))*POWER(1-(AnnualChurn*VLOOKUP(ATF55,ChurnSeasonTable,4,FALSE)),3)</f>
        <v/>
      </c>
      <c r="AUB55" s="12">
        <f>AUB54+ATV55-ATV43*(AnnualChurn*VLOOKUP(ATF55,ChurnSeasonTable,4,FALSE))*POWER(1-(AnnualChurn*VLOOKUP(ATF55,ChurnSeasonTable,4,FALSE)),0)+ATV31*(AnnualChurn*VLOOKUP(ATF55,ChurnSeasonTable,4,FALSE))*POWER(1-(AnnualChurn*VLOOKUP(ATF55,ChurnSeasonTable,4,FALSE)),1)+ATV19*(AnnualChurn*VLOOKUP(ATF55,ChurnSeasonTable,4,FALSE))*POWER(1-(AnnualChurn*VLOOKUP(ATF55,ChurnSeasonTable,4,FALSE)),2)+ATV7*(AnnualChurn*VLOOKUP(ATF55,ChurnSeasonTable,4,FALSE))*POWER(1-(AnnualChurn*VLOOKUP(ATF55,ChurnSeasonTable,4,FALSE)),3)</f>
        <v/>
      </c>
      <c r="AUC55" s="12">
        <f>ATW55+ATX55+ATY55+ATZ55+AUA55+AUB55</f>
        <v/>
      </c>
      <c r="AUD55" s="9">
        <f>ATW55*BlendedPriceEssMonthly*ATI55+ATX55*BlendedPricePremMonthly*ATI55+ATY55*BlendedPriceEliteMonthly*ATI55+ATZ55*BlendedPriceEssAnnual*ATI55/12+AUA55*BlendedPricePremAnnual*ATI55/12+AUB55*BlendedPriceEliteAnnual*ATI55/12</f>
        <v/>
      </c>
      <c r="AUE55" s="9">
        <f>AUD55*12</f>
        <v/>
      </c>
      <c r="AUF55" s="12">
        <f>ATW55*BlendedPriceEssMonthly*ATI55+ATX55*BlendedPricePremMonthly*ATI55+ATY55*BlendedPriceEliteMonthly*ATI55</f>
        <v/>
      </c>
      <c r="AUG55" s="12">
        <f>ATT55*BlendedPriceEssAnnual*ATI55+ATU55*BlendedPricePremAnnual*ATI55+ATV55*BlendedPriceEliteAnnual*ATI55</f>
        <v/>
      </c>
      <c r="AUH55" s="12">
        <f>ATT43*POWER(1-(AnnualChurn*VLOOKUP(ATF55,ChurnSeasonTable,4,FALSE)),1)*BlendedPriceEssAnnual*ATI55+ATT31*POWER(1-(AnnualChurn*VLOOKUP(ATF55,ChurnSeasonTable,4,FALSE)),2)*BlendedPriceEssAnnual*ATI55+ATT19*POWER(1-(AnnualChurn*VLOOKUP(ATF55,ChurnSeasonTable,4,FALSE)),3)*BlendedPriceEssAnnual*ATI55+ATT7*POWER(1-(AnnualChurn*VLOOKUP(ATF55,ChurnSeasonTable,4,FALSE)),4)*BlendedPriceEssAnnual*ATI55+ATU43*POWER(1-(AnnualChurn*VLOOKUP(ATF55,ChurnSeasonTable,4,FALSE)),1)*BlendedPricePremAnnual*ATI55+ATU31*POWER(1-(AnnualChurn*VLOOKUP(ATF55,ChurnSeasonTable,4,FALSE)),2)*BlendedPricePremAnnual*ATI55+ATU19*POWER(1-(AnnualChurn*VLOOKUP(ATF55,ChurnSeasonTable,4,FALSE)),3)*BlendedPricePremAnnual*ATI55+ATU7*POWER(1-(AnnualChurn*VLOOKUP(ATF55,ChurnSeasonTable,4,FALSE)),4)*BlendedPricePremAnnual*ATI55+ATV43*POWER(1-(AnnualChurn*VLOOKUP(ATF55,ChurnSeasonTable,4,FALSE)),1)*BlendedPriceEliteAnnual*ATI55+ATV31*POWER(1-(AnnualChurn*VLOOKUP(ATF55,ChurnSeasonTable,4,FALSE)),2)*BlendedPriceEliteAnnual*ATI55+ATV19*POWER(1-(AnnualChurn*VLOOKUP(ATF55,ChurnSeasonTable,4,FALSE)),3)*BlendedPriceEliteAnnual*ATI55+ATV7*POWER(1-(AnnualChurn*VLOOKUP(ATF55,ChurnSeasonTable,4,FALSE)),4)*BlendedPriceEliteAnnual*ATI55</f>
        <v/>
      </c>
      <c r="AUI55" s="9">
        <f>AUF55+AUG55+AUH55</f>
        <v/>
      </c>
      <c r="AUJ55" s="12">
        <f>SUM(AUI44:AUI55)</f>
        <v/>
      </c>
      <c r="AUK55" s="12">
        <f>OR(AUK54,IF(VATAgentMode,SUM($AUI44:$AUI55)-SUM($AUP44:$AUP55)&gt;=VATThreshold,SUM($AUI44:$AUI55)&gt;=VATThreshold))</f>
        <v/>
      </c>
      <c r="AUL55" s="9">
        <f>IF(AUK55,IF(VATAgentMode,AUI55-((AUI55-AUP55)-(AUI55-AUP55)/(1+VATRate)),AUI55/(1+VATRate)),AUI55)</f>
        <v/>
      </c>
      <c r="AUM55" s="12">
        <f>AUI55-AUL55</f>
        <v/>
      </c>
      <c r="AUN55" s="12">
        <f>IF(AUK55=0,0,IF(ATF55=1,SUMPRODUCT(--(($ATG$5:$ATG55=$ATG55-1)*($ATF$5:$ATF55&gt;=10)*($ATF$5:$ATF55&lt;=12)),$AUM$5:$AUM55),IF(ATF55=4,SUMPRODUCT(--(($ATG$5:$ATG55=$ATG55)*($ATF$5:$ATF55&gt;=1)*($ATF$5:$ATF55&lt;=3)),$AUM$5:$AUM55),IF(ATF55=7,SUMPRODUCT(--(($ATG$5:$ATG55=$ATG55)*($ATF$5:$ATF55&gt;=4)*($ATF$5:$ATF55&lt;=6)),$AUM$5:$AUM55),IF(ATF55=10,SUMPRODUCT(--(($ATG$5:$ATG55=$ATG55)*($ATF$5:$ATF55&gt;=7)*($ATF$5:$ATF55&lt;=9)),$AUM$5:$AUM55),0)))))</f>
        <v/>
      </c>
      <c r="AUO55" s="12">
        <f>AUO54+AUM55-AUN55</f>
        <v/>
      </c>
      <c r="AUP55" s="12">
        <f>IF(ProviderDelay&gt;=1,ATW54*BlendedProvPayEss+ATX54*BlendedProvPayPrem+ATY54*BlendedProvPayElite+ATZ54*BlendedProvPayEss+AUA54*BlendedProvPayPrem+AUB54*BlendedProvPayElite,ATW55*BlendedProvPayEss+ATX55*BlendedProvPayPrem+ATY55*BlendedProvPayElite+ATZ55*BlendedProvPayEss+AUA55*BlendedProvPayPrem+AUB55*BlendedProvPayElite)</f>
        <v/>
      </c>
      <c r="AUQ55" s="12">
        <f>AUI55*PaymentFee</f>
        <v/>
      </c>
      <c r="AUR55" s="12">
        <f>AUC55*OpsAI</f>
        <v/>
      </c>
      <c r="AUS55" s="12">
        <f>MonthlyFixed</f>
        <v/>
      </c>
      <c r="AUT55" s="12">
        <f>ATM55*ReferralReward</f>
        <v/>
      </c>
      <c r="AUU55" s="12">
        <f>ATK55</f>
        <v/>
      </c>
      <c r="AUV55" s="9">
        <f>AUL55-AUP55-AUQ55-AUR55-AUS55-AUT55-AUU55</f>
        <v/>
      </c>
      <c r="AUW55" s="9">
        <f>AUW54+AUI55-(AUP55+AUQ55+AUR55+AUS55+AUT55+AUU55+AUN55)</f>
        <v/>
      </c>
      <c r="AUX55" s="12">
        <f>IF(AUC55&gt;0,AUD55/AUC55,0)</f>
        <v/>
      </c>
      <c r="AUY55" s="11">
        <f>IF(AUC54&gt;0,MAX(0,(AUC54+ATN55-AUC55)/AUC54),0)</f>
        <v/>
      </c>
      <c r="AVA55" s="12" t="n">
        <v>51</v>
      </c>
      <c r="AVB55" s="12">
        <f>MOD(AVA55-1+LaunchMonth-1,12)+1</f>
        <v/>
      </c>
      <c r="AVC55" s="12">
        <f>INT((AVA55-1+LaunchMonth-1)/12)+1</f>
        <v/>
      </c>
      <c r="AVD55" s="12">
        <f>VLOOKUP(AVB55,WinterPivotSeasonTable,5,FALSE)</f>
        <v/>
      </c>
      <c r="AVE55" s="12">
        <f>(1+InflationRate)^INT((AVA55-1)/12)</f>
        <v/>
      </c>
      <c r="AVF55" s="11">
        <f>MonthlyChurn*VLOOKUP(AVB55,WinterPivotChurnTable,6,FALSE)</f>
        <v/>
      </c>
      <c r="AVG55" s="12">
        <f>MIN(MAX(MktMin19plus,AWE54*MktPct19plus),MAX(0,AWS54-CashBuffer))</f>
        <v/>
      </c>
      <c r="AVH55" s="12">
        <f>IF(AVG55&gt;0,MAX(1,ROUND(AVG55/CAC*AVD55,0)),0)</f>
        <v/>
      </c>
      <c r="AVI55" s="12">
        <f>IF(AVH55&gt;0,ROUND(AVH55*ReferralMix/(1-ReferralMix),0),0)</f>
        <v/>
      </c>
      <c r="AVJ55" s="12">
        <f>AVH55+AVI55</f>
        <v/>
      </c>
      <c r="AVK55" s="12">
        <f>ROUND(AVJ55*(1-AnnualMix),0)</f>
        <v/>
      </c>
      <c r="AVL55" s="12">
        <f>AVJ55-AVK55</f>
        <v/>
      </c>
      <c r="AVM55" s="12">
        <f>ROUND(AVK55*'Sens - Winter Pivot'!$B$6,0)</f>
        <v/>
      </c>
      <c r="AVN55" s="12">
        <f>ROUND(AVK55*PremiumMix,0)</f>
        <v/>
      </c>
      <c r="AVO55" s="12">
        <f>AVK55-AVM55-AVN55</f>
        <v/>
      </c>
      <c r="AVP55" s="12">
        <f>ROUND(AVL55*'Sens - Winter Pivot'!$B$6,0)</f>
        <v/>
      </c>
      <c r="AVQ55" s="12">
        <f>ROUND(AVL55*PremiumMix,0)</f>
        <v/>
      </c>
      <c r="AVR55" s="12">
        <f>AVL55-AVP55-AVQ55</f>
        <v/>
      </c>
      <c r="AVS55" s="12">
        <f>AVM55+AVM54+AVM53+MAX(0,AVS54-AVM54-AVM53)*(1-AVF55)</f>
        <v/>
      </c>
      <c r="AVT55" s="12">
        <f>AVN55+AVN54+AVN53+MAX(0,AVT54-AVN54-AVN53)*(1-AVF55)</f>
        <v/>
      </c>
      <c r="AVU55" s="12">
        <f>AVO55+AVO54+AVO53+MAX(0,AVU54-AVO54-AVO53)*(1-AVF55)</f>
        <v/>
      </c>
      <c r="AVV55" s="12">
        <f>AVV54+AVP55-AVP43*(AnnualChurn*VLOOKUP(AVB55,ChurnSeasonTable,4,FALSE))*POWER(1-(AnnualChurn*VLOOKUP(AVB55,ChurnSeasonTable,4,FALSE)),0)+AVP31*(AnnualChurn*VLOOKUP(AVB55,ChurnSeasonTable,4,FALSE))*POWER(1-(AnnualChurn*VLOOKUP(AVB55,ChurnSeasonTable,4,FALSE)),1)+AVP19*(AnnualChurn*VLOOKUP(AVB55,ChurnSeasonTable,4,FALSE))*POWER(1-(AnnualChurn*VLOOKUP(AVB55,ChurnSeasonTable,4,FALSE)),2)+AVP7*(AnnualChurn*VLOOKUP(AVB55,ChurnSeasonTable,4,FALSE))*POWER(1-(AnnualChurn*VLOOKUP(AVB55,ChurnSeasonTable,4,FALSE)),3)</f>
        <v/>
      </c>
      <c r="AVW55" s="12">
        <f>AVW54+AVQ55-AVQ43*(AnnualChurn*VLOOKUP(AVB55,ChurnSeasonTable,4,FALSE))*POWER(1-(AnnualChurn*VLOOKUP(AVB55,ChurnSeasonTable,4,FALSE)),0)+AVQ31*(AnnualChurn*VLOOKUP(AVB55,ChurnSeasonTable,4,FALSE))*POWER(1-(AnnualChurn*VLOOKUP(AVB55,ChurnSeasonTable,4,FALSE)),1)+AVQ19*(AnnualChurn*VLOOKUP(AVB55,ChurnSeasonTable,4,FALSE))*POWER(1-(AnnualChurn*VLOOKUP(AVB55,ChurnSeasonTable,4,FALSE)),2)+AVQ7*(AnnualChurn*VLOOKUP(AVB55,ChurnSeasonTable,4,FALSE))*POWER(1-(AnnualChurn*VLOOKUP(AVB55,ChurnSeasonTable,4,FALSE)),3)</f>
        <v/>
      </c>
      <c r="AVX55" s="12">
        <f>AVX54+AVR55-AVR43*(AnnualChurn*VLOOKUP(AVB55,ChurnSeasonTable,4,FALSE))*POWER(1-(AnnualChurn*VLOOKUP(AVB55,ChurnSeasonTable,4,FALSE)),0)+AVR31*(AnnualChurn*VLOOKUP(AVB55,ChurnSeasonTable,4,FALSE))*POWER(1-(AnnualChurn*VLOOKUP(AVB55,ChurnSeasonTable,4,FALSE)),1)+AVR19*(AnnualChurn*VLOOKUP(AVB55,ChurnSeasonTable,4,FALSE))*POWER(1-(AnnualChurn*VLOOKUP(AVB55,ChurnSeasonTable,4,FALSE)),2)+AVR7*(AnnualChurn*VLOOKUP(AVB55,ChurnSeasonTable,4,FALSE))*POWER(1-(AnnualChurn*VLOOKUP(AVB55,ChurnSeasonTable,4,FALSE)),3)</f>
        <v/>
      </c>
      <c r="AVY55" s="12">
        <f>AVS55+AVT55+AVU55+AVV55+AVW55+AVX55</f>
        <v/>
      </c>
      <c r="AVZ55" s="9">
        <f>AVS55*BlendedPriceEssMonthly*AVE55+AVT55*(BlendedPricePremMonthly+'Sens - Winter Pivot'!$B$7)*AVE55+AVU55*BlendedPriceEliteMonthly*AVE55+AVV55*BlendedPriceEssAnnual*AVE55/12+AVW55*(BlendedPricePremAnnual+'Sens - Winter Pivot'!$B$7*12)*AVE55/12+AVX55*BlendedPriceEliteAnnual*AVE55/12</f>
        <v/>
      </c>
      <c r="AWA55" s="9">
        <f>AVZ55*12</f>
        <v/>
      </c>
      <c r="AWB55" s="12">
        <f>AVS55*BlendedPriceEssMonthly*AVE55+AVT55*(BlendedPricePremMonthly+'Sens - Winter Pivot'!$B$7)*AVE55+AVU55*BlendedPriceEliteMonthly*AVE55</f>
        <v/>
      </c>
      <c r="AWC55" s="12">
        <f>AVP55*BlendedPriceEssAnnual*AVE55+AVQ55*(BlendedPricePremAnnual+'Sens - Winter Pivot'!$B$7*12)*AVE55+AVR55*BlendedPriceEliteAnnual*AVE55</f>
        <v/>
      </c>
      <c r="AWD55" s="12">
        <f>AVP43*POWER(1-(AnnualChurn*VLOOKUP(AVB55,ChurnSeasonTable,4,FALSE)),1)*BlendedPriceEssAnnual*AVE55+AVP31*POWER(1-(AnnualChurn*VLOOKUP(AVB55,ChurnSeasonTable,4,FALSE)),2)*BlendedPriceEssAnnual*AVE55+AVP19*POWER(1-(AnnualChurn*VLOOKUP(AVB55,ChurnSeasonTable,4,FALSE)),3)*BlendedPriceEssAnnual*AVE55+AVP7*POWER(1-(AnnualChurn*VLOOKUP(AVB55,ChurnSeasonTable,4,FALSE)),4)*BlendedPriceEssAnnual*AVE55+AVQ43*POWER(1-(AnnualChurn*VLOOKUP(AVB55,ChurnSeasonTable,4,FALSE)),1)*BlendedPricePremAnnual*AVE55+AVQ31*POWER(1-(AnnualChurn*VLOOKUP(AVB55,ChurnSeasonTable,4,FALSE)),2)*BlendedPricePremAnnual*AVE55+AVQ19*POWER(1-(AnnualChurn*VLOOKUP(AVB55,ChurnSeasonTable,4,FALSE)),3)*BlendedPricePremAnnual*AVE55+AVQ7*POWER(1-(AnnualChurn*VLOOKUP(AVB55,ChurnSeasonTable,4,FALSE)),4)*BlendedPricePremAnnual*AVE55+AVR43*POWER(1-(AnnualChurn*VLOOKUP(AVB55,ChurnSeasonTable,4,FALSE)),1)*BlendedPriceEliteAnnual*AVE55+AVR31*POWER(1-(AnnualChurn*VLOOKUP(AVB55,ChurnSeasonTable,4,FALSE)),2)*BlendedPriceEliteAnnual*AVE55+AVR19*POWER(1-(AnnualChurn*VLOOKUP(AVB55,ChurnSeasonTable,4,FALSE)),3)*BlendedPriceEliteAnnual*AVE55+AVR7*POWER(1-(AnnualChurn*VLOOKUP(AVB55,ChurnSeasonTable,4,FALSE)),4)*BlendedPriceEliteAnnual*AVE55</f>
        <v/>
      </c>
      <c r="AWE55" s="9">
        <f>AWB55+AWC55+AWD55</f>
        <v/>
      </c>
      <c r="AWF55" s="12">
        <f>SUM(AWE44:AWE55)</f>
        <v/>
      </c>
      <c r="AWG55" s="12">
        <f>OR(AWG54,IF(VATAgentMode,SUM($AWE44:$AWE55)-SUM($AWL44:$AWL55)&gt;=VATThreshold,SUM($AWE44:$AWE55)&gt;=VATThreshold))</f>
        <v/>
      </c>
      <c r="AWH55" s="9">
        <f>IF(AWG55,IF(VATAgentMode,AWE55-((AWE55-AWL55)-(AWE55-AWL55)/(1+VATRate)),AWE55/(1+VATRate)),AWE55)</f>
        <v/>
      </c>
      <c r="AWI55" s="12">
        <f>AWE55-AWH55</f>
        <v/>
      </c>
      <c r="AWJ55" s="12">
        <f>IF(AWG55=0,0,IF(AVB55=1,SUMPRODUCT(--(($AVC$5:$AVC55=$AVC55-1)*($AVB$5:$AVB55&gt;=10)*($AVB$5:$AVB55&lt;=12)),$AWI$5:$AWI55),IF(AVB55=4,SUMPRODUCT(--(($AVC$5:$AVC55=$AVC55)*($AVB$5:$AVB55&gt;=1)*($AVB$5:$AVB55&lt;=3)),$AWI$5:$AWI55),IF(AVB55=7,SUMPRODUCT(--(($AVC$5:$AVC55=$AVC55)*($AVB$5:$AVB55&gt;=4)*($AVB$5:$AVB55&lt;=6)),$AWI$5:$AWI55),IF(AVB55=10,SUMPRODUCT(--(($AVC$5:$AVC55=$AVC55)*($AVB$5:$AVB55&gt;=7)*($AVB$5:$AVB55&lt;=9)),$AWI$5:$AWI55),0)))))</f>
        <v/>
      </c>
      <c r="AWK55" s="12">
        <f>AWK54+AWI55-AWJ55</f>
        <v/>
      </c>
      <c r="AWL55" s="12">
        <f>IF(ProviderDelay&gt;=1,AVS54*BlendedProvPayEss+AVT54*BlendedProvPayPrem+AVU54*BlendedProvPayElite+AVV54*BlendedProvPayEss+AVW54*BlendedProvPayPrem+AVX54*BlendedProvPayElite,AVS55*BlendedProvPayEss+AVT55*BlendedProvPayPrem+AVU55*BlendedProvPayElite+AVV55*BlendedProvPayEss+AVW55*BlendedProvPayPrem+AVX55*BlendedProvPayElite)</f>
        <v/>
      </c>
      <c r="AWM55" s="12">
        <f>AWE55*PaymentFee</f>
        <v/>
      </c>
      <c r="AWN55" s="12">
        <f>AVY55*OpsAI</f>
        <v/>
      </c>
      <c r="AWO55" s="12">
        <f>MonthlyFixed</f>
        <v/>
      </c>
      <c r="AWP55" s="12">
        <f>AVI55*ReferralReward</f>
        <v/>
      </c>
      <c r="AWQ55" s="12">
        <f>AVG55</f>
        <v/>
      </c>
      <c r="AWR55" s="9">
        <f>AWH55-AWL55-AWM55-AWN55-AWO55-AWP55-AWQ55</f>
        <v/>
      </c>
      <c r="AWS55" s="9">
        <f>AWS54+AWE55-(AWL55+AWM55+AWN55+AWO55+AWP55+AWQ55+AWJ55)</f>
        <v/>
      </c>
      <c r="AWT55" s="12">
        <f>IF(AVY55&gt;0,AVZ55/AVY55,0)</f>
        <v/>
      </c>
      <c r="AWU55" s="11">
        <f>IF(AVY54&gt;0,MAX(0,(AVY54+AVJ55-AVY55)/AVY54),0)</f>
        <v/>
      </c>
    </row>
    <row r="56">
      <c r="A56" s="12" t="n">
        <v>52</v>
      </c>
      <c r="B56" s="12">
        <f>MOD(A56-1+LaunchMonth-1,12)+1</f>
        <v/>
      </c>
      <c r="C56" s="12">
        <f>INT((A56-1+LaunchMonth-1)/12)+1</f>
        <v/>
      </c>
      <c r="D56" s="12">
        <f>VLOOKUP(B56,SeasonTable,2,FALSE)</f>
        <v/>
      </c>
      <c r="E56" s="12">
        <f>(1+InflationRate)^INT((A56-1)/12)</f>
        <v/>
      </c>
      <c r="F56" s="11">
        <f>'Sens - Scenarios'!$B$5*VLOOKUP(B56,ChurnSeasonTable,4,FALSE)</f>
        <v/>
      </c>
      <c r="G56" s="12">
        <f>MIN(MAX(MktMin19plus,AE55*MktPct19plus),MAX(0,AS55-CashBuffer))</f>
        <v/>
      </c>
      <c r="H56" s="12">
        <f>IF(G56&gt;0,MAX(1,ROUND(G56/'Sens - Scenarios'!$B$8*D56,0)),0)</f>
        <v/>
      </c>
      <c r="I56" s="12">
        <f>IF(H56&gt;0,ROUND(H56*ReferralMix/(1-ReferralMix),0),0)</f>
        <v/>
      </c>
      <c r="J56" s="12">
        <f>H56+I56</f>
        <v/>
      </c>
      <c r="K56" s="12">
        <f>ROUND(J56*(1-'Sens - Scenarios'!$B$7),0)</f>
        <v/>
      </c>
      <c r="L56" s="12">
        <f>J56-K56</f>
        <v/>
      </c>
      <c r="M56" s="12">
        <f>ROUND(K56*EssentialMix,0)</f>
        <v/>
      </c>
      <c r="N56" s="12">
        <f>ROUND(K56*PremiumMix,0)</f>
        <v/>
      </c>
      <c r="O56" s="12">
        <f>K56-M56-N56</f>
        <v/>
      </c>
      <c r="P56" s="12">
        <f>ROUND(L56*EssentialMix,0)</f>
        <v/>
      </c>
      <c r="Q56" s="12">
        <f>ROUND(L56*PremiumMix,0)</f>
        <v/>
      </c>
      <c r="R56" s="12">
        <f>L56-P56-Q56</f>
        <v/>
      </c>
      <c r="S56" s="12">
        <f>M56+M55+M54+MAX(0,S55-M55-M54)*(1-F56)</f>
        <v/>
      </c>
      <c r="T56" s="12">
        <f>N56+N55+N54+MAX(0,T55-N55-N54)*(1-F56)</f>
        <v/>
      </c>
      <c r="U56" s="12">
        <f>O56+O55+O54+MAX(0,U55-O55-O54)*(1-F56)</f>
        <v/>
      </c>
      <c r="V56" s="12">
        <f>V55+P56-P44*('Sens - Scenarios'!$B$6*VLOOKUP(B56,ChurnSeasonTable,4,FALSE))*POWER(1-('Sens - Scenarios'!$B$6*VLOOKUP(B56,ChurnSeasonTable,4,FALSE)),0)+P32*('Sens - Scenarios'!$B$6*VLOOKUP(B56,ChurnSeasonTable,4,FALSE))*POWER(1-('Sens - Scenarios'!$B$6*VLOOKUP(B56,ChurnSeasonTable,4,FALSE)),1)+P20*('Sens - Scenarios'!$B$6*VLOOKUP(B56,ChurnSeasonTable,4,FALSE))*POWER(1-('Sens - Scenarios'!$B$6*VLOOKUP(B56,ChurnSeasonTable,4,FALSE)),2)+P8*('Sens - Scenarios'!$B$6*VLOOKUP(B56,ChurnSeasonTable,4,FALSE))*POWER(1-('Sens - Scenarios'!$B$6*VLOOKUP(B56,ChurnSeasonTable,4,FALSE)),3)</f>
        <v/>
      </c>
      <c r="W56" s="12">
        <f>W55+Q56-Q44*('Sens - Scenarios'!$B$6*VLOOKUP(B56,ChurnSeasonTable,4,FALSE))*POWER(1-('Sens - Scenarios'!$B$6*VLOOKUP(B56,ChurnSeasonTable,4,FALSE)),0)+Q32*('Sens - Scenarios'!$B$6*VLOOKUP(B56,ChurnSeasonTable,4,FALSE))*POWER(1-('Sens - Scenarios'!$B$6*VLOOKUP(B56,ChurnSeasonTable,4,FALSE)),1)+Q20*('Sens - Scenarios'!$B$6*VLOOKUP(B56,ChurnSeasonTable,4,FALSE))*POWER(1-('Sens - Scenarios'!$B$6*VLOOKUP(B56,ChurnSeasonTable,4,FALSE)),2)+Q8*('Sens - Scenarios'!$B$6*VLOOKUP(B56,ChurnSeasonTable,4,FALSE))*POWER(1-('Sens - Scenarios'!$B$6*VLOOKUP(B56,ChurnSeasonTable,4,FALSE)),3)</f>
        <v/>
      </c>
      <c r="X56" s="12">
        <f>X55+R56-R44*('Sens - Scenarios'!$B$6*VLOOKUP(B56,ChurnSeasonTable,4,FALSE))*POWER(1-('Sens - Scenarios'!$B$6*VLOOKUP(B56,ChurnSeasonTable,4,FALSE)),0)+R32*('Sens - Scenarios'!$B$6*VLOOKUP(B56,ChurnSeasonTable,4,FALSE))*POWER(1-('Sens - Scenarios'!$B$6*VLOOKUP(B56,ChurnSeasonTable,4,FALSE)),1)+R20*('Sens - Scenarios'!$B$6*VLOOKUP(B56,ChurnSeasonTable,4,FALSE))*POWER(1-('Sens - Scenarios'!$B$6*VLOOKUP(B56,ChurnSeasonTable,4,FALSE)),2)+R8*('Sens - Scenarios'!$B$6*VLOOKUP(B56,ChurnSeasonTable,4,FALSE))*POWER(1-('Sens - Scenarios'!$B$6*VLOOKUP(B56,ChurnSeasonTable,4,FALSE)),3)</f>
        <v/>
      </c>
      <c r="Y56" s="12">
        <f>S56+T56+U56+V56+W56+X56</f>
        <v/>
      </c>
      <c r="Z56" s="9">
        <f>S56*BlendedPriceEssMonthly*E56+T56*BlendedPricePremMonthly*E56+U56*BlendedPriceEliteMonthly*E56+V56*BlendedPriceEssAnnual*E56/12+W56*BlendedPricePremAnnual*E56/12+X56*BlendedPriceEliteAnnual*E56/12</f>
        <v/>
      </c>
      <c r="AA56" s="9">
        <f>Z56*12</f>
        <v/>
      </c>
      <c r="AB56" s="12">
        <f>S56*BlendedPriceEssMonthly*E56+T56*BlendedPricePremMonthly*E56+U56*BlendedPriceEliteMonthly*E56</f>
        <v/>
      </c>
      <c r="AC56" s="12">
        <f>P56*BlendedPriceEssAnnual*E56+Q56*BlendedPricePremAnnual*E56+R56*BlendedPriceEliteAnnual*E56</f>
        <v/>
      </c>
      <c r="AD56" s="12">
        <f>P44*POWER(1-('Sens - Scenarios'!$B$6*VLOOKUP(B56,ChurnSeasonTable,4,FALSE)),1)*BlendedPriceEssAnnual*E56+P32*POWER(1-('Sens - Scenarios'!$B$6*VLOOKUP(B56,ChurnSeasonTable,4,FALSE)),2)*BlendedPriceEssAnnual*E56+P20*POWER(1-('Sens - Scenarios'!$B$6*VLOOKUP(B56,ChurnSeasonTable,4,FALSE)),3)*BlendedPriceEssAnnual*E56+P8*POWER(1-('Sens - Scenarios'!$B$6*VLOOKUP(B56,ChurnSeasonTable,4,FALSE)),4)*BlendedPriceEssAnnual*E56+Q44*POWER(1-('Sens - Scenarios'!$B$6*VLOOKUP(B56,ChurnSeasonTable,4,FALSE)),1)*BlendedPricePremAnnual*E56+Q32*POWER(1-('Sens - Scenarios'!$B$6*VLOOKUP(B56,ChurnSeasonTable,4,FALSE)),2)*BlendedPricePremAnnual*E56+Q20*POWER(1-('Sens - Scenarios'!$B$6*VLOOKUP(B56,ChurnSeasonTable,4,FALSE)),3)*BlendedPricePremAnnual*E56+Q8*POWER(1-('Sens - Scenarios'!$B$6*VLOOKUP(B56,ChurnSeasonTable,4,FALSE)),4)*BlendedPricePremAnnual*E56+R44*POWER(1-('Sens - Scenarios'!$B$6*VLOOKUP(B56,ChurnSeasonTable,4,FALSE)),1)*BlendedPriceEliteAnnual*E56+R32*POWER(1-('Sens - Scenarios'!$B$6*VLOOKUP(B56,ChurnSeasonTable,4,FALSE)),2)*BlendedPriceEliteAnnual*E56+R20*POWER(1-('Sens - Scenarios'!$B$6*VLOOKUP(B56,ChurnSeasonTable,4,FALSE)),3)*BlendedPriceEliteAnnual*E56+R8*POWER(1-('Sens - Scenarios'!$B$6*VLOOKUP(B56,ChurnSeasonTable,4,FALSE)),4)*BlendedPriceEliteAnnual*E56</f>
        <v/>
      </c>
      <c r="AE56" s="9">
        <f>AB56+AC56+AD56</f>
        <v/>
      </c>
      <c r="AF56" s="12">
        <f>SUM(AE45:AE56)</f>
        <v/>
      </c>
      <c r="AG56" s="12">
        <f>OR(AG55,IF(VATAgentMode,SUM($AE45:$AE56)-SUM($AL45:$AL56)&gt;=VATThreshold,SUM($AE45:$AE56)&gt;=VATThreshold))</f>
        <v/>
      </c>
      <c r="AH56" s="9">
        <f>IF(AG56,IF(VATAgentMode,AE56-((AE56-AL56)-(AE56-AL56)/(1+VATRate)),AE56/(1+VATRate)),AE56)</f>
        <v/>
      </c>
      <c r="AI56" s="12">
        <f>AE56-AH56</f>
        <v/>
      </c>
      <c r="AJ56" s="12">
        <f>IF(AG56=0,0,IF(B56=1,SUMPRODUCT(--(($C$5:$C56=$C56-1)*($B$5:$B56&gt;=10)*($B$5:$B56&lt;=12)),$AI$5:$AI56),IF(B56=4,SUMPRODUCT(--(($C$5:$C56=$C56)*($B$5:$B56&gt;=1)*($B$5:$B56&lt;=3)),$AI$5:$AI56),IF(B56=7,SUMPRODUCT(--(($C$5:$C56=$C56)*($B$5:$B56&gt;=4)*($B$5:$B56&lt;=6)),$AI$5:$AI56),IF(B56=10,SUMPRODUCT(--(($C$5:$C56=$C56)*($B$5:$B56&gt;=7)*($B$5:$B56&lt;=9)),$AI$5:$AI56),0)))))</f>
        <v/>
      </c>
      <c r="AK56" s="12">
        <f>AK55+AI56-AJ56</f>
        <v/>
      </c>
      <c r="AL56" s="12">
        <f>IF(ProviderDelay&gt;=1,S55*BlendedProvPayEss+T55*BlendedProvPayPrem+U55*BlendedProvPayElite+V55*BlendedProvPayEss+W55*BlendedProvPayPrem+X55*BlendedProvPayElite,S56*BlendedProvPayEss+T56*BlendedProvPayPrem+U56*BlendedProvPayElite+V56*BlendedProvPayEss+W56*BlendedProvPayPrem+X56*BlendedProvPayElite)</f>
        <v/>
      </c>
      <c r="AM56" s="12">
        <f>AE56*PaymentFee</f>
        <v/>
      </c>
      <c r="AN56" s="12">
        <f>Y56*OpsAI</f>
        <v/>
      </c>
      <c r="AO56" s="12">
        <f>MonthlyFixed</f>
        <v/>
      </c>
      <c r="AP56" s="12">
        <f>I56*ReferralReward</f>
        <v/>
      </c>
      <c r="AQ56" s="12">
        <f>G56</f>
        <v/>
      </c>
      <c r="AR56" s="9">
        <f>AH56-AL56-AM56-AN56-AO56-AP56-AQ56</f>
        <v/>
      </c>
      <c r="AS56" s="9">
        <f>AS55+AE56-(AL56+AM56+AN56+AO56+AP56+AQ56+AJ56)</f>
        <v/>
      </c>
      <c r="AT56" s="12">
        <f>IF(Y56&gt;0,Z56/Y56,0)</f>
        <v/>
      </c>
      <c r="AU56" s="11">
        <f>IF(Y55&gt;0,MAX(0,(Y55+J56-Y56)/Y55),0)</f>
        <v/>
      </c>
      <c r="AW56" s="12" t="n">
        <v>52</v>
      </c>
      <c r="AX56" s="12">
        <f>MOD(AW56-1+LaunchMonth-1,12)+1</f>
        <v/>
      </c>
      <c r="AY56" s="12">
        <f>INT((AW56-1+LaunchMonth-1)/12)+1</f>
        <v/>
      </c>
      <c r="AZ56" s="12">
        <f>VLOOKUP(AX56,SeasonTable,2,FALSE)</f>
        <v/>
      </c>
      <c r="BA56" s="12">
        <f>(1+InflationRate)^INT((AW56-1)/12)</f>
        <v/>
      </c>
      <c r="BB56" s="11">
        <f>MonthlyChurn*VLOOKUP(AX56,ChurnSeasonTable,4,FALSE)</f>
        <v/>
      </c>
      <c r="BC56" s="12">
        <f>MIN(MAX(MktMin19plus,CA55*MktPct19plus),MAX(0,CO55-CashBuffer))</f>
        <v/>
      </c>
      <c r="BD56" s="12">
        <f>IF(BC56&gt;0,MAX(1,ROUND(BC56/CAC*AZ56,0)),0)</f>
        <v/>
      </c>
      <c r="BE56" s="12">
        <f>IF(BD56&gt;0,ROUND(BD56*ReferralMix/(1-ReferralMix),0),0)</f>
        <v/>
      </c>
      <c r="BF56" s="12">
        <f>BD56+BE56</f>
        <v/>
      </c>
      <c r="BG56" s="12">
        <f>ROUND(BF56*(1-AnnualMix),0)</f>
        <v/>
      </c>
      <c r="BH56" s="12">
        <f>BF56-BG56</f>
        <v/>
      </c>
      <c r="BI56" s="12">
        <f>ROUND(BG56*EssentialMix,0)</f>
        <v/>
      </c>
      <c r="BJ56" s="12">
        <f>ROUND(BG56*PremiumMix,0)</f>
        <v/>
      </c>
      <c r="BK56" s="12">
        <f>BG56-BI56-BJ56</f>
        <v/>
      </c>
      <c r="BL56" s="12">
        <f>ROUND(BH56*EssentialMix,0)</f>
        <v/>
      </c>
      <c r="BM56" s="12">
        <f>ROUND(BH56*PremiumMix,0)</f>
        <v/>
      </c>
      <c r="BN56" s="12">
        <f>BH56-BL56-BM56</f>
        <v/>
      </c>
      <c r="BO56" s="12">
        <f>BI56+BI55+BI54+MAX(0,BO55-BI55-BI54)*(1-BB56)</f>
        <v/>
      </c>
      <c r="BP56" s="12">
        <f>BJ56+BJ55+BJ54+MAX(0,BP55-BJ55-BJ54)*(1-BB56)</f>
        <v/>
      </c>
      <c r="BQ56" s="12">
        <f>BK56+BK55+BK54+MAX(0,BQ55-BK55-BK54)*(1-BB56)</f>
        <v/>
      </c>
      <c r="BR56" s="12">
        <f>BR55+BL56-BL44*(AnnualChurn*VLOOKUP(AX56,ChurnSeasonTable,4,FALSE))*POWER(1-(AnnualChurn*VLOOKUP(AX56,ChurnSeasonTable,4,FALSE)),0)+BL32*(AnnualChurn*VLOOKUP(AX56,ChurnSeasonTable,4,FALSE))*POWER(1-(AnnualChurn*VLOOKUP(AX56,ChurnSeasonTable,4,FALSE)),1)+BL20*(AnnualChurn*VLOOKUP(AX56,ChurnSeasonTable,4,FALSE))*POWER(1-(AnnualChurn*VLOOKUP(AX56,ChurnSeasonTable,4,FALSE)),2)+BL8*(AnnualChurn*VLOOKUP(AX56,ChurnSeasonTable,4,FALSE))*POWER(1-(AnnualChurn*VLOOKUP(AX56,ChurnSeasonTable,4,FALSE)),3)</f>
        <v/>
      </c>
      <c r="BS56" s="12">
        <f>BS55+BM56-BM44*(AnnualChurn*VLOOKUP(AX56,ChurnSeasonTable,4,FALSE))*POWER(1-(AnnualChurn*VLOOKUP(AX56,ChurnSeasonTable,4,FALSE)),0)+BM32*(AnnualChurn*VLOOKUP(AX56,ChurnSeasonTable,4,FALSE))*POWER(1-(AnnualChurn*VLOOKUP(AX56,ChurnSeasonTable,4,FALSE)),1)+BM20*(AnnualChurn*VLOOKUP(AX56,ChurnSeasonTable,4,FALSE))*POWER(1-(AnnualChurn*VLOOKUP(AX56,ChurnSeasonTable,4,FALSE)),2)+BM8*(AnnualChurn*VLOOKUP(AX56,ChurnSeasonTable,4,FALSE))*POWER(1-(AnnualChurn*VLOOKUP(AX56,ChurnSeasonTable,4,FALSE)),3)</f>
        <v/>
      </c>
      <c r="BT56" s="12">
        <f>BT55+BN56-BN44*(AnnualChurn*VLOOKUP(AX56,ChurnSeasonTable,4,FALSE))*POWER(1-(AnnualChurn*VLOOKUP(AX56,ChurnSeasonTable,4,FALSE)),0)+BN32*(AnnualChurn*VLOOKUP(AX56,ChurnSeasonTable,4,FALSE))*POWER(1-(AnnualChurn*VLOOKUP(AX56,ChurnSeasonTable,4,FALSE)),1)+BN20*(AnnualChurn*VLOOKUP(AX56,ChurnSeasonTable,4,FALSE))*POWER(1-(AnnualChurn*VLOOKUP(AX56,ChurnSeasonTable,4,FALSE)),2)+BN8*(AnnualChurn*VLOOKUP(AX56,ChurnSeasonTable,4,FALSE))*POWER(1-(AnnualChurn*VLOOKUP(AX56,ChurnSeasonTable,4,FALSE)),3)</f>
        <v/>
      </c>
      <c r="BU56" s="12">
        <f>BO56+BP56+BQ56+BR56+BS56+BT56</f>
        <v/>
      </c>
      <c r="BV56" s="9">
        <f>BO56*BlendedPriceEssMonthly*BA56+BP56*BlendedPricePremMonthly*BA56+BQ56*BlendedPriceEliteMonthly*BA56+BR56*BlendedPriceEssAnnual*BA56/12+BS56*BlendedPricePremAnnual*BA56/12+BT56*BlendedPriceEliteAnnual*BA56/12</f>
        <v/>
      </c>
      <c r="BW56" s="9">
        <f>BV56*12</f>
        <v/>
      </c>
      <c r="BX56" s="12">
        <f>BO56*BlendedPriceEssMonthly*BA56+BP56*BlendedPricePremMonthly*BA56+BQ56*BlendedPriceEliteMonthly*BA56</f>
        <v/>
      </c>
      <c r="BY56" s="12">
        <f>BL56*BlendedPriceEssAnnual*BA56+BM56*BlendedPricePremAnnual*BA56+BN56*BlendedPriceEliteAnnual*BA56</f>
        <v/>
      </c>
      <c r="BZ56" s="12">
        <f>BL44*POWER(1-(AnnualChurn*VLOOKUP(AX56,ChurnSeasonTable,4,FALSE)),1)*BlendedPriceEssAnnual*BA56+BL32*POWER(1-(AnnualChurn*VLOOKUP(AX56,ChurnSeasonTable,4,FALSE)),2)*BlendedPriceEssAnnual*BA56+BL20*POWER(1-(AnnualChurn*VLOOKUP(AX56,ChurnSeasonTable,4,FALSE)),3)*BlendedPriceEssAnnual*BA56+BL8*POWER(1-(AnnualChurn*VLOOKUP(AX56,ChurnSeasonTable,4,FALSE)),4)*BlendedPriceEssAnnual*BA56+BM44*POWER(1-(AnnualChurn*VLOOKUP(AX56,ChurnSeasonTable,4,FALSE)),1)*BlendedPricePremAnnual*BA56+BM32*POWER(1-(AnnualChurn*VLOOKUP(AX56,ChurnSeasonTable,4,FALSE)),2)*BlendedPricePremAnnual*BA56+BM20*POWER(1-(AnnualChurn*VLOOKUP(AX56,ChurnSeasonTable,4,FALSE)),3)*BlendedPricePremAnnual*BA56+BM8*POWER(1-(AnnualChurn*VLOOKUP(AX56,ChurnSeasonTable,4,FALSE)),4)*BlendedPricePremAnnual*BA56+BN44*POWER(1-(AnnualChurn*VLOOKUP(AX56,ChurnSeasonTable,4,FALSE)),1)*BlendedPriceEliteAnnual*BA56+BN32*POWER(1-(AnnualChurn*VLOOKUP(AX56,ChurnSeasonTable,4,FALSE)),2)*BlendedPriceEliteAnnual*BA56+BN20*POWER(1-(AnnualChurn*VLOOKUP(AX56,ChurnSeasonTable,4,FALSE)),3)*BlendedPriceEliteAnnual*BA56+BN8*POWER(1-(AnnualChurn*VLOOKUP(AX56,ChurnSeasonTable,4,FALSE)),4)*BlendedPriceEliteAnnual*BA56</f>
        <v/>
      </c>
      <c r="CA56" s="9">
        <f>BX56+BY56+BZ56</f>
        <v/>
      </c>
      <c r="CB56" s="12">
        <f>SUM(CA45:CA56)</f>
        <v/>
      </c>
      <c r="CC56" s="12">
        <f>OR(CC55,IF(VATAgentMode,SUM($CA45:$CA56)-SUM($CH45:$CH56)&gt;=VATThreshold,SUM($CA45:$CA56)&gt;=VATThreshold))</f>
        <v/>
      </c>
      <c r="CD56" s="9">
        <f>IF(CC56,IF(VATAgentMode,CA56-((CA56-CH56)-(CA56-CH56)/(1+VATRate)),CA56/(1+VATRate)),CA56)</f>
        <v/>
      </c>
      <c r="CE56" s="12">
        <f>CA56-CD56</f>
        <v/>
      </c>
      <c r="CF56" s="12">
        <f>IF(CC56=0,0,IF(AX56=1,SUMPRODUCT(--(($AY$5:$AY56=$AY56-1)*($AX$5:$AX56&gt;=10)*($AX$5:$AX56&lt;=12)),$CE$5:$CE56),IF(AX56=4,SUMPRODUCT(--(($AY$5:$AY56=$AY56)*($AX$5:$AX56&gt;=1)*($AX$5:$AX56&lt;=3)),$CE$5:$CE56),IF(AX56=7,SUMPRODUCT(--(($AY$5:$AY56=$AY56)*($AX$5:$AX56&gt;=4)*($AX$5:$AX56&lt;=6)),$CE$5:$CE56),IF(AX56=10,SUMPRODUCT(--(($AY$5:$AY56=$AY56)*($AX$5:$AX56&gt;=7)*($AX$5:$AX56&lt;=9)),$CE$5:$CE56),0)))))</f>
        <v/>
      </c>
      <c r="CG56" s="12">
        <f>CG55+CE56-CF56</f>
        <v/>
      </c>
      <c r="CH56" s="12">
        <f>IF(ProviderDelay&gt;=1,BO55*BlendedProvPayEss+BP55*BlendedProvPayPrem+BQ55*BlendedProvPayElite+BR55*BlendedProvPayEss+BS55*BlendedProvPayPrem+BT55*BlendedProvPayElite,BO56*BlendedProvPayEss+BP56*BlendedProvPayPrem+BQ56*BlendedProvPayElite+BR56*BlendedProvPayEss+BS56*BlendedProvPayPrem+BT56*BlendedProvPayElite)</f>
        <v/>
      </c>
      <c r="CI56" s="12">
        <f>CA56*PaymentFee</f>
        <v/>
      </c>
      <c r="CJ56" s="12">
        <f>BU56*OpsAI</f>
        <v/>
      </c>
      <c r="CK56" s="12">
        <f>MonthlyFixed</f>
        <v/>
      </c>
      <c r="CL56" s="12">
        <f>BE56*ReferralReward</f>
        <v/>
      </c>
      <c r="CM56" s="12">
        <f>BC56</f>
        <v/>
      </c>
      <c r="CN56" s="9">
        <f>CD56-CH56-CI56-CJ56-CK56-CL56-CM56</f>
        <v/>
      </c>
      <c r="CO56" s="9">
        <f>CO55+CA56-(CH56+CI56+CJ56+CK56+CL56+CM56+CF56)</f>
        <v/>
      </c>
      <c r="CP56" s="12">
        <f>IF(BU56&gt;0,BV56/BU56,0)</f>
        <v/>
      </c>
      <c r="CQ56" s="11">
        <f>IF(BU55&gt;0,MAX(0,(BU55+BF56-BU56)/BU55),0)</f>
        <v/>
      </c>
      <c r="CS56" s="12" t="n">
        <v>52</v>
      </c>
      <c r="CT56" s="12">
        <f>MOD(CS56-1+LaunchMonth-1,12)+1</f>
        <v/>
      </c>
      <c r="CU56" s="12">
        <f>INT((CS56-1+LaunchMonth-1)/12)+1</f>
        <v/>
      </c>
      <c r="CV56" s="12">
        <f>VLOOKUP(CT56,SeasonTable,2,FALSE)</f>
        <v/>
      </c>
      <c r="CW56" s="12">
        <f>(1+InflationRate)^INT((CS56-1)/12)</f>
        <v/>
      </c>
      <c r="CX56" s="11">
        <f>'Sens - Scenarios'!$D$5*VLOOKUP(CT56,ChurnSeasonTable,4,FALSE)</f>
        <v/>
      </c>
      <c r="CY56" s="12">
        <f>MIN(MAX(MktMin19plus,DW55*MktPct19plus),MAX(0,EK55-CashBuffer))</f>
        <v/>
      </c>
      <c r="CZ56" s="12">
        <f>IF(CY56&gt;0,MAX(1,ROUND(CY56/'Sens - Scenarios'!$D$8*CV56,0)),0)</f>
        <v/>
      </c>
      <c r="DA56" s="12">
        <f>IF(CZ56&gt;0,ROUND(CZ56*ReferralMix/(1-ReferralMix),0),0)</f>
        <v/>
      </c>
      <c r="DB56" s="12">
        <f>CZ56+DA56</f>
        <v/>
      </c>
      <c r="DC56" s="12">
        <f>ROUND(DB56*(1-'Sens - Scenarios'!$D$7),0)</f>
        <v/>
      </c>
      <c r="DD56" s="12">
        <f>DB56-DC56</f>
        <v/>
      </c>
      <c r="DE56" s="12">
        <f>ROUND(DC56*EssentialMix,0)</f>
        <v/>
      </c>
      <c r="DF56" s="12">
        <f>ROUND(DC56*PremiumMix,0)</f>
        <v/>
      </c>
      <c r="DG56" s="12">
        <f>DC56-DE56-DF56</f>
        <v/>
      </c>
      <c r="DH56" s="12">
        <f>ROUND(DD56*EssentialMix,0)</f>
        <v/>
      </c>
      <c r="DI56" s="12">
        <f>ROUND(DD56*PremiumMix,0)</f>
        <v/>
      </c>
      <c r="DJ56" s="12">
        <f>DD56-DH56-DI56</f>
        <v/>
      </c>
      <c r="DK56" s="12">
        <f>DE56+DE55+DE54+MAX(0,DK55-DE55-DE54)*(1-CX56)</f>
        <v/>
      </c>
      <c r="DL56" s="12">
        <f>DF56+DF55+DF54+MAX(0,DL55-DF55-DF54)*(1-CX56)</f>
        <v/>
      </c>
      <c r="DM56" s="12">
        <f>DG56+DG55+DG54+MAX(0,DM55-DG55-DG54)*(1-CX56)</f>
        <v/>
      </c>
      <c r="DN56" s="12">
        <f>DN55+DH56-DH44*('Sens - Scenarios'!$D$6*VLOOKUP(CT56,ChurnSeasonTable,4,FALSE))*POWER(1-('Sens - Scenarios'!$D$6*VLOOKUP(CT56,ChurnSeasonTable,4,FALSE)),0)+DH32*('Sens - Scenarios'!$D$6*VLOOKUP(CT56,ChurnSeasonTable,4,FALSE))*POWER(1-('Sens - Scenarios'!$D$6*VLOOKUP(CT56,ChurnSeasonTable,4,FALSE)),1)+DH20*('Sens - Scenarios'!$D$6*VLOOKUP(CT56,ChurnSeasonTable,4,FALSE))*POWER(1-('Sens - Scenarios'!$D$6*VLOOKUP(CT56,ChurnSeasonTable,4,FALSE)),2)+DH8*('Sens - Scenarios'!$D$6*VLOOKUP(CT56,ChurnSeasonTable,4,FALSE))*POWER(1-('Sens - Scenarios'!$D$6*VLOOKUP(CT56,ChurnSeasonTable,4,FALSE)),3)</f>
        <v/>
      </c>
      <c r="DO56" s="12">
        <f>DO55+DI56-DI44*('Sens - Scenarios'!$D$6*VLOOKUP(CT56,ChurnSeasonTable,4,FALSE))*POWER(1-('Sens - Scenarios'!$D$6*VLOOKUP(CT56,ChurnSeasonTable,4,FALSE)),0)+DI32*('Sens - Scenarios'!$D$6*VLOOKUP(CT56,ChurnSeasonTable,4,FALSE))*POWER(1-('Sens - Scenarios'!$D$6*VLOOKUP(CT56,ChurnSeasonTable,4,FALSE)),1)+DI20*('Sens - Scenarios'!$D$6*VLOOKUP(CT56,ChurnSeasonTable,4,FALSE))*POWER(1-('Sens - Scenarios'!$D$6*VLOOKUP(CT56,ChurnSeasonTable,4,FALSE)),2)+DI8*('Sens - Scenarios'!$D$6*VLOOKUP(CT56,ChurnSeasonTable,4,FALSE))*POWER(1-('Sens - Scenarios'!$D$6*VLOOKUP(CT56,ChurnSeasonTable,4,FALSE)),3)</f>
        <v/>
      </c>
      <c r="DP56" s="12">
        <f>DP55+DJ56-DJ44*('Sens - Scenarios'!$D$6*VLOOKUP(CT56,ChurnSeasonTable,4,FALSE))*POWER(1-('Sens - Scenarios'!$D$6*VLOOKUP(CT56,ChurnSeasonTable,4,FALSE)),0)+DJ32*('Sens - Scenarios'!$D$6*VLOOKUP(CT56,ChurnSeasonTable,4,FALSE))*POWER(1-('Sens - Scenarios'!$D$6*VLOOKUP(CT56,ChurnSeasonTable,4,FALSE)),1)+DJ20*('Sens - Scenarios'!$D$6*VLOOKUP(CT56,ChurnSeasonTable,4,FALSE))*POWER(1-('Sens - Scenarios'!$D$6*VLOOKUP(CT56,ChurnSeasonTable,4,FALSE)),2)+DJ8*('Sens - Scenarios'!$D$6*VLOOKUP(CT56,ChurnSeasonTable,4,FALSE))*POWER(1-('Sens - Scenarios'!$D$6*VLOOKUP(CT56,ChurnSeasonTable,4,FALSE)),3)</f>
        <v/>
      </c>
      <c r="DQ56" s="12">
        <f>DK56+DL56+DM56+DN56+DO56+DP56</f>
        <v/>
      </c>
      <c r="DR56" s="9">
        <f>DK56*BlendedPriceEssMonthly*CW56+DL56*BlendedPricePremMonthly*CW56+DM56*BlendedPriceEliteMonthly*CW56+DN56*BlendedPriceEssAnnual*CW56/12+DO56*BlendedPricePremAnnual*CW56/12+DP56*BlendedPriceEliteAnnual*CW56/12</f>
        <v/>
      </c>
      <c r="DS56" s="9">
        <f>DR56*12</f>
        <v/>
      </c>
      <c r="DT56" s="12">
        <f>DK56*BlendedPriceEssMonthly*CW56+DL56*BlendedPricePremMonthly*CW56+DM56*BlendedPriceEliteMonthly*CW56</f>
        <v/>
      </c>
      <c r="DU56" s="12">
        <f>DH56*BlendedPriceEssAnnual*CW56+DI56*BlendedPricePremAnnual*CW56+DJ56*BlendedPriceEliteAnnual*CW56</f>
        <v/>
      </c>
      <c r="DV56" s="12">
        <f>DH44*POWER(1-('Sens - Scenarios'!$D$6*VLOOKUP(CT56,ChurnSeasonTable,4,FALSE)),1)*BlendedPriceEssAnnual*CW56+DH32*POWER(1-('Sens - Scenarios'!$D$6*VLOOKUP(CT56,ChurnSeasonTable,4,FALSE)),2)*BlendedPriceEssAnnual*CW56+DH20*POWER(1-('Sens - Scenarios'!$D$6*VLOOKUP(CT56,ChurnSeasonTable,4,FALSE)),3)*BlendedPriceEssAnnual*CW56+DH8*POWER(1-('Sens - Scenarios'!$D$6*VLOOKUP(CT56,ChurnSeasonTable,4,FALSE)),4)*BlendedPriceEssAnnual*CW56+DI44*POWER(1-('Sens - Scenarios'!$D$6*VLOOKUP(CT56,ChurnSeasonTable,4,FALSE)),1)*BlendedPricePremAnnual*CW56+DI32*POWER(1-('Sens - Scenarios'!$D$6*VLOOKUP(CT56,ChurnSeasonTable,4,FALSE)),2)*BlendedPricePremAnnual*CW56+DI20*POWER(1-('Sens - Scenarios'!$D$6*VLOOKUP(CT56,ChurnSeasonTable,4,FALSE)),3)*BlendedPricePremAnnual*CW56+DI8*POWER(1-('Sens - Scenarios'!$D$6*VLOOKUP(CT56,ChurnSeasonTable,4,FALSE)),4)*BlendedPricePremAnnual*CW56+DJ44*POWER(1-('Sens - Scenarios'!$D$6*VLOOKUP(CT56,ChurnSeasonTable,4,FALSE)),1)*BlendedPriceEliteAnnual*CW56+DJ32*POWER(1-('Sens - Scenarios'!$D$6*VLOOKUP(CT56,ChurnSeasonTable,4,FALSE)),2)*BlendedPriceEliteAnnual*CW56+DJ20*POWER(1-('Sens - Scenarios'!$D$6*VLOOKUP(CT56,ChurnSeasonTable,4,FALSE)),3)*BlendedPriceEliteAnnual*CW56+DJ8*POWER(1-('Sens - Scenarios'!$D$6*VLOOKUP(CT56,ChurnSeasonTable,4,FALSE)),4)*BlendedPriceEliteAnnual*CW56</f>
        <v/>
      </c>
      <c r="DW56" s="9">
        <f>DT56+DU56+DV56</f>
        <v/>
      </c>
      <c r="DX56" s="12">
        <f>SUM(DW45:DW56)</f>
        <v/>
      </c>
      <c r="DY56" s="12">
        <f>OR(DY55,IF(VATAgentMode,SUM($DW45:$DW56)-SUM($ED45:$ED56)&gt;=VATThreshold,SUM($DW45:$DW56)&gt;=VATThreshold))</f>
        <v/>
      </c>
      <c r="DZ56" s="9">
        <f>IF(DY56,IF(VATAgentMode,DW56-((DW56-ED56)-(DW56-ED56)/(1+VATRate)),DW56/(1+VATRate)),DW56)</f>
        <v/>
      </c>
      <c r="EA56" s="12">
        <f>DW56-DZ56</f>
        <v/>
      </c>
      <c r="EB56" s="12">
        <f>IF(DY56=0,0,IF(CT56=1,SUMPRODUCT(--(($CU$5:$CU56=$CU56-1)*($CT$5:$CT56&gt;=10)*($CT$5:$CT56&lt;=12)),$EA$5:$EA56),IF(CT56=4,SUMPRODUCT(--(($CU$5:$CU56=$CU56)*($CT$5:$CT56&gt;=1)*($CT$5:$CT56&lt;=3)),$EA$5:$EA56),IF(CT56=7,SUMPRODUCT(--(($CU$5:$CU56=$CU56)*($CT$5:$CT56&gt;=4)*($CT$5:$CT56&lt;=6)),$EA$5:$EA56),IF(CT56=10,SUMPRODUCT(--(($CU$5:$CU56=$CU56)*($CT$5:$CT56&gt;=7)*($CT$5:$CT56&lt;=9)),$EA$5:$EA56),0)))))</f>
        <v/>
      </c>
      <c r="EC56" s="12">
        <f>EC55+EA56-EB56</f>
        <v/>
      </c>
      <c r="ED56" s="12">
        <f>IF(ProviderDelay&gt;=1,DK55*BlendedProvPayEss+DL55*BlendedProvPayPrem+DM55*BlendedProvPayElite+DN55*BlendedProvPayEss+DO55*BlendedProvPayPrem+DP55*BlendedProvPayElite,DK56*BlendedProvPayEss+DL56*BlendedProvPayPrem+DM56*BlendedProvPayElite+DN56*BlendedProvPayEss+DO56*BlendedProvPayPrem+DP56*BlendedProvPayElite)</f>
        <v/>
      </c>
      <c r="EE56" s="12">
        <f>DW56*PaymentFee</f>
        <v/>
      </c>
      <c r="EF56" s="12">
        <f>DQ56*OpsAI</f>
        <v/>
      </c>
      <c r="EG56" s="12">
        <f>MonthlyFixed</f>
        <v/>
      </c>
      <c r="EH56" s="12">
        <f>DA56*ReferralReward</f>
        <v/>
      </c>
      <c r="EI56" s="12">
        <f>CY56</f>
        <v/>
      </c>
      <c r="EJ56" s="9">
        <f>DZ56-ED56-EE56-EF56-EG56-EH56-EI56</f>
        <v/>
      </c>
      <c r="EK56" s="9">
        <f>EK55+DW56-(ED56+EE56+EF56+EG56+EH56+EI56+EB56)</f>
        <v/>
      </c>
      <c r="EL56" s="12">
        <f>IF(DQ56&gt;0,DR56/DQ56,0)</f>
        <v/>
      </c>
      <c r="EM56" s="11">
        <f>IF(DQ55&gt;0,MAX(0,(DQ55+DB56-DQ56)/DQ55),0)</f>
        <v/>
      </c>
      <c r="EO56" s="12" t="n">
        <v>52</v>
      </c>
      <c r="EP56" s="12">
        <f>MOD(EO56-1+LaunchMonth-1,12)+1</f>
        <v/>
      </c>
      <c r="EQ56" s="12">
        <f>INT((EO56-1+LaunchMonth-1)/12)+1</f>
        <v/>
      </c>
      <c r="ER56" s="12">
        <f>VLOOKUP(EP56,SeasonTable,2,FALSE)</f>
        <v/>
      </c>
      <c r="ES56" s="12">
        <f>(1+InflationRate)^INT((EO56-1)/12)</f>
        <v/>
      </c>
      <c r="ET56" s="11">
        <f>'Sens - Churn'!$A$13*VLOOKUP(EP56,ChurnSeasonTable,4,FALSE)</f>
        <v/>
      </c>
      <c r="EU56" s="12">
        <f>MIN(MAX(MktMin19plus,FS55*MktPct19plus),MAX(0,GG55-CashBuffer))</f>
        <v/>
      </c>
      <c r="EV56" s="12">
        <f>IF(EU56&gt;0,MAX(1,ROUND(EU56/CAC*ER56,0)),0)</f>
        <v/>
      </c>
      <c r="EW56" s="12">
        <f>IF(EV56&gt;0,ROUND(EV56*ReferralMix/(1-ReferralMix),0),0)</f>
        <v/>
      </c>
      <c r="EX56" s="12">
        <f>EV56+EW56</f>
        <v/>
      </c>
      <c r="EY56" s="12">
        <f>ROUND(EX56*(1-AnnualMix),0)</f>
        <v/>
      </c>
      <c r="EZ56" s="12">
        <f>EX56-EY56</f>
        <v/>
      </c>
      <c r="FA56" s="12">
        <f>ROUND(EY56*EssentialMix,0)</f>
        <v/>
      </c>
      <c r="FB56" s="12">
        <f>ROUND(EY56*PremiumMix,0)</f>
        <v/>
      </c>
      <c r="FC56" s="12">
        <f>EY56-FA56-FB56</f>
        <v/>
      </c>
      <c r="FD56" s="12">
        <f>ROUND(EZ56*EssentialMix,0)</f>
        <v/>
      </c>
      <c r="FE56" s="12">
        <f>ROUND(EZ56*PremiumMix,0)</f>
        <v/>
      </c>
      <c r="FF56" s="12">
        <f>EZ56-FD56-FE56</f>
        <v/>
      </c>
      <c r="FG56" s="12">
        <f>FA56+FA55+FA54+MAX(0,FG55-FA55-FA54)*(1-ET56)</f>
        <v/>
      </c>
      <c r="FH56" s="12">
        <f>FB56+FB55+FB54+MAX(0,FH55-FB55-FB54)*(1-ET56)</f>
        <v/>
      </c>
      <c r="FI56" s="12">
        <f>FC56+FC55+FC54+MAX(0,FI55-FC55-FC54)*(1-ET56)</f>
        <v/>
      </c>
      <c r="FJ56" s="12">
        <f>FJ55+FD56-FD44*(AnnualChurn*VLOOKUP(EP56,ChurnSeasonTable,4,FALSE))*POWER(1-(AnnualChurn*VLOOKUP(EP56,ChurnSeasonTable,4,FALSE)),0)+FD32*(AnnualChurn*VLOOKUP(EP56,ChurnSeasonTable,4,FALSE))*POWER(1-(AnnualChurn*VLOOKUP(EP56,ChurnSeasonTable,4,FALSE)),1)+FD20*(AnnualChurn*VLOOKUP(EP56,ChurnSeasonTable,4,FALSE))*POWER(1-(AnnualChurn*VLOOKUP(EP56,ChurnSeasonTable,4,FALSE)),2)+FD8*(AnnualChurn*VLOOKUP(EP56,ChurnSeasonTable,4,FALSE))*POWER(1-(AnnualChurn*VLOOKUP(EP56,ChurnSeasonTable,4,FALSE)),3)</f>
        <v/>
      </c>
      <c r="FK56" s="12">
        <f>FK55+FE56-FE44*(AnnualChurn*VLOOKUP(EP56,ChurnSeasonTable,4,FALSE))*POWER(1-(AnnualChurn*VLOOKUP(EP56,ChurnSeasonTable,4,FALSE)),0)+FE32*(AnnualChurn*VLOOKUP(EP56,ChurnSeasonTable,4,FALSE))*POWER(1-(AnnualChurn*VLOOKUP(EP56,ChurnSeasonTable,4,FALSE)),1)+FE20*(AnnualChurn*VLOOKUP(EP56,ChurnSeasonTable,4,FALSE))*POWER(1-(AnnualChurn*VLOOKUP(EP56,ChurnSeasonTable,4,FALSE)),2)+FE8*(AnnualChurn*VLOOKUP(EP56,ChurnSeasonTable,4,FALSE))*POWER(1-(AnnualChurn*VLOOKUP(EP56,ChurnSeasonTable,4,FALSE)),3)</f>
        <v/>
      </c>
      <c r="FL56" s="12">
        <f>FL55+FF56-FF44*(AnnualChurn*VLOOKUP(EP56,ChurnSeasonTable,4,FALSE))*POWER(1-(AnnualChurn*VLOOKUP(EP56,ChurnSeasonTable,4,FALSE)),0)+FF32*(AnnualChurn*VLOOKUP(EP56,ChurnSeasonTable,4,FALSE))*POWER(1-(AnnualChurn*VLOOKUP(EP56,ChurnSeasonTable,4,FALSE)),1)+FF20*(AnnualChurn*VLOOKUP(EP56,ChurnSeasonTable,4,FALSE))*POWER(1-(AnnualChurn*VLOOKUP(EP56,ChurnSeasonTable,4,FALSE)),2)+FF8*(AnnualChurn*VLOOKUP(EP56,ChurnSeasonTable,4,FALSE))*POWER(1-(AnnualChurn*VLOOKUP(EP56,ChurnSeasonTable,4,FALSE)),3)</f>
        <v/>
      </c>
      <c r="FM56" s="12">
        <f>FG56+FH56+FI56+FJ56+FK56+FL56</f>
        <v/>
      </c>
      <c r="FN56" s="9">
        <f>FG56*BlendedPriceEssMonthly*ES56+FH56*BlendedPricePremMonthly*ES56+FI56*BlendedPriceEliteMonthly*ES56+FJ56*BlendedPriceEssAnnual*ES56/12+FK56*BlendedPricePremAnnual*ES56/12+FL56*BlendedPriceEliteAnnual*ES56/12</f>
        <v/>
      </c>
      <c r="FO56" s="9">
        <f>FN56*12</f>
        <v/>
      </c>
      <c r="FP56" s="12">
        <f>FG56*BlendedPriceEssMonthly*ES56+FH56*BlendedPricePremMonthly*ES56+FI56*BlendedPriceEliteMonthly*ES56</f>
        <v/>
      </c>
      <c r="FQ56" s="12">
        <f>FD56*BlendedPriceEssAnnual*ES56+FE56*BlendedPricePremAnnual*ES56+FF56*BlendedPriceEliteAnnual*ES56</f>
        <v/>
      </c>
      <c r="FR56" s="12">
        <f>FD44*POWER(1-(AnnualChurn*VLOOKUP(EP56,ChurnSeasonTable,4,FALSE)),1)*BlendedPriceEssAnnual*ES56+FD32*POWER(1-(AnnualChurn*VLOOKUP(EP56,ChurnSeasonTable,4,FALSE)),2)*BlendedPriceEssAnnual*ES56+FD20*POWER(1-(AnnualChurn*VLOOKUP(EP56,ChurnSeasonTable,4,FALSE)),3)*BlendedPriceEssAnnual*ES56+FD8*POWER(1-(AnnualChurn*VLOOKUP(EP56,ChurnSeasonTable,4,FALSE)),4)*BlendedPriceEssAnnual*ES56+FE44*POWER(1-(AnnualChurn*VLOOKUP(EP56,ChurnSeasonTable,4,FALSE)),1)*BlendedPricePremAnnual*ES56+FE32*POWER(1-(AnnualChurn*VLOOKUP(EP56,ChurnSeasonTable,4,FALSE)),2)*BlendedPricePremAnnual*ES56+FE20*POWER(1-(AnnualChurn*VLOOKUP(EP56,ChurnSeasonTable,4,FALSE)),3)*BlendedPricePremAnnual*ES56+FE8*POWER(1-(AnnualChurn*VLOOKUP(EP56,ChurnSeasonTable,4,FALSE)),4)*BlendedPricePremAnnual*ES56+FF44*POWER(1-(AnnualChurn*VLOOKUP(EP56,ChurnSeasonTable,4,FALSE)),1)*BlendedPriceEliteAnnual*ES56+FF32*POWER(1-(AnnualChurn*VLOOKUP(EP56,ChurnSeasonTable,4,FALSE)),2)*BlendedPriceEliteAnnual*ES56+FF20*POWER(1-(AnnualChurn*VLOOKUP(EP56,ChurnSeasonTable,4,FALSE)),3)*BlendedPriceEliteAnnual*ES56+FF8*POWER(1-(AnnualChurn*VLOOKUP(EP56,ChurnSeasonTable,4,FALSE)),4)*BlendedPriceEliteAnnual*ES56</f>
        <v/>
      </c>
      <c r="FS56" s="9">
        <f>FP56+FQ56+FR56</f>
        <v/>
      </c>
      <c r="FT56" s="12">
        <f>SUM(FS45:FS56)</f>
        <v/>
      </c>
      <c r="FU56" s="12">
        <f>OR(FU55,IF(VATAgentMode,SUM($FS45:$FS56)-SUM($FZ45:$FZ56)&gt;=VATThreshold,SUM($FS45:$FS56)&gt;=VATThreshold))</f>
        <v/>
      </c>
      <c r="FV56" s="9">
        <f>IF(FU56,IF(VATAgentMode,FS56-((FS56-FZ56)-(FS56-FZ56)/(1+VATRate)),FS56/(1+VATRate)),FS56)</f>
        <v/>
      </c>
      <c r="FW56" s="12">
        <f>FS56-FV56</f>
        <v/>
      </c>
      <c r="FX56" s="12">
        <f>IF(FU56=0,0,IF(EP56=1,SUMPRODUCT(--(($EQ$5:$EQ56=$EQ56-1)*($EP$5:$EP56&gt;=10)*($EP$5:$EP56&lt;=12)),$FW$5:$FW56),IF(EP56=4,SUMPRODUCT(--(($EQ$5:$EQ56=$EQ56)*($EP$5:$EP56&gt;=1)*($EP$5:$EP56&lt;=3)),$FW$5:$FW56),IF(EP56=7,SUMPRODUCT(--(($EQ$5:$EQ56=$EQ56)*($EP$5:$EP56&gt;=4)*($EP$5:$EP56&lt;=6)),$FW$5:$FW56),IF(EP56=10,SUMPRODUCT(--(($EQ$5:$EQ56=$EQ56)*($EP$5:$EP56&gt;=7)*($EP$5:$EP56&lt;=9)),$FW$5:$FW56),0)))))</f>
        <v/>
      </c>
      <c r="FY56" s="12">
        <f>FY55+FW56-FX56</f>
        <v/>
      </c>
      <c r="FZ56" s="12">
        <f>IF(ProviderDelay&gt;=1,FG55*BlendedProvPayEss+FH55*BlendedProvPayPrem+FI55*BlendedProvPayElite+FJ55*BlendedProvPayEss+FK55*BlendedProvPayPrem+FL55*BlendedProvPayElite,FG56*BlendedProvPayEss+FH56*BlendedProvPayPrem+FI56*BlendedProvPayElite+FJ56*BlendedProvPayEss+FK56*BlendedProvPayPrem+FL56*BlendedProvPayElite)</f>
        <v/>
      </c>
      <c r="GA56" s="12">
        <f>FS56*PaymentFee</f>
        <v/>
      </c>
      <c r="GB56" s="12">
        <f>FM56*OpsAI</f>
        <v/>
      </c>
      <c r="GC56" s="12">
        <f>MonthlyFixed</f>
        <v/>
      </c>
      <c r="GD56" s="12">
        <f>EW56*ReferralReward</f>
        <v/>
      </c>
      <c r="GE56" s="12">
        <f>EU56</f>
        <v/>
      </c>
      <c r="GF56" s="9">
        <f>FV56-FZ56-GA56-GB56-GC56-GD56-GE56</f>
        <v/>
      </c>
      <c r="GG56" s="9">
        <f>GG55+FS56-(FZ56+GA56+GB56+GC56+GD56+GE56+FX56)</f>
        <v/>
      </c>
      <c r="GH56" s="12">
        <f>IF(FM56&gt;0,FN56/FM56,0)</f>
        <v/>
      </c>
      <c r="GI56" s="11">
        <f>IF(FM55&gt;0,MAX(0,(FM55+EX56-FM56)/FM55),0)</f>
        <v/>
      </c>
      <c r="GK56" s="12" t="n">
        <v>52</v>
      </c>
      <c r="GL56" s="12">
        <f>MOD(GK56-1+LaunchMonth-1,12)+1</f>
        <v/>
      </c>
      <c r="GM56" s="12">
        <f>INT((GK56-1+LaunchMonth-1)/12)+1</f>
        <v/>
      </c>
      <c r="GN56" s="12">
        <f>VLOOKUP(GL56,SeasonTable,2,FALSE)</f>
        <v/>
      </c>
      <c r="GO56" s="12">
        <f>(1+InflationRate)^INT((GK56-1)/12)</f>
        <v/>
      </c>
      <c r="GP56" s="11">
        <f>'Sens - Churn'!$A$14*VLOOKUP(GL56,ChurnSeasonTable,4,FALSE)</f>
        <v/>
      </c>
      <c r="GQ56" s="12">
        <f>MIN(MAX(MktMin19plus,HO55*MktPct19plus),MAX(0,IC55-CashBuffer))</f>
        <v/>
      </c>
      <c r="GR56" s="12">
        <f>IF(GQ56&gt;0,MAX(1,ROUND(GQ56/CAC*GN56,0)),0)</f>
        <v/>
      </c>
      <c r="GS56" s="12">
        <f>IF(GR56&gt;0,ROUND(GR56*ReferralMix/(1-ReferralMix),0),0)</f>
        <v/>
      </c>
      <c r="GT56" s="12">
        <f>GR56+GS56</f>
        <v/>
      </c>
      <c r="GU56" s="12">
        <f>ROUND(GT56*(1-AnnualMix),0)</f>
        <v/>
      </c>
      <c r="GV56" s="12">
        <f>GT56-GU56</f>
        <v/>
      </c>
      <c r="GW56" s="12">
        <f>ROUND(GU56*EssentialMix,0)</f>
        <v/>
      </c>
      <c r="GX56" s="12">
        <f>ROUND(GU56*PremiumMix,0)</f>
        <v/>
      </c>
      <c r="GY56" s="12">
        <f>GU56-GW56-GX56</f>
        <v/>
      </c>
      <c r="GZ56" s="12">
        <f>ROUND(GV56*EssentialMix,0)</f>
        <v/>
      </c>
      <c r="HA56" s="12">
        <f>ROUND(GV56*PremiumMix,0)</f>
        <v/>
      </c>
      <c r="HB56" s="12">
        <f>GV56-GZ56-HA56</f>
        <v/>
      </c>
      <c r="HC56" s="12">
        <f>GW56+GW55+GW54+MAX(0,HC55-GW55-GW54)*(1-GP56)</f>
        <v/>
      </c>
      <c r="HD56" s="12">
        <f>GX56+GX55+GX54+MAX(0,HD55-GX55-GX54)*(1-GP56)</f>
        <v/>
      </c>
      <c r="HE56" s="12">
        <f>GY56+GY55+GY54+MAX(0,HE55-GY55-GY54)*(1-GP56)</f>
        <v/>
      </c>
      <c r="HF56" s="12">
        <f>HF55+GZ56-GZ44*(AnnualChurn*VLOOKUP(GL56,ChurnSeasonTable,4,FALSE))*POWER(1-(AnnualChurn*VLOOKUP(GL56,ChurnSeasonTable,4,FALSE)),0)+GZ32*(AnnualChurn*VLOOKUP(GL56,ChurnSeasonTable,4,FALSE))*POWER(1-(AnnualChurn*VLOOKUP(GL56,ChurnSeasonTable,4,FALSE)),1)+GZ20*(AnnualChurn*VLOOKUP(GL56,ChurnSeasonTable,4,FALSE))*POWER(1-(AnnualChurn*VLOOKUP(GL56,ChurnSeasonTable,4,FALSE)),2)+GZ8*(AnnualChurn*VLOOKUP(GL56,ChurnSeasonTable,4,FALSE))*POWER(1-(AnnualChurn*VLOOKUP(GL56,ChurnSeasonTable,4,FALSE)),3)</f>
        <v/>
      </c>
      <c r="HG56" s="12">
        <f>HG55+HA56-HA44*(AnnualChurn*VLOOKUP(GL56,ChurnSeasonTable,4,FALSE))*POWER(1-(AnnualChurn*VLOOKUP(GL56,ChurnSeasonTable,4,FALSE)),0)+HA32*(AnnualChurn*VLOOKUP(GL56,ChurnSeasonTable,4,FALSE))*POWER(1-(AnnualChurn*VLOOKUP(GL56,ChurnSeasonTable,4,FALSE)),1)+HA20*(AnnualChurn*VLOOKUP(GL56,ChurnSeasonTable,4,FALSE))*POWER(1-(AnnualChurn*VLOOKUP(GL56,ChurnSeasonTable,4,FALSE)),2)+HA8*(AnnualChurn*VLOOKUP(GL56,ChurnSeasonTable,4,FALSE))*POWER(1-(AnnualChurn*VLOOKUP(GL56,ChurnSeasonTable,4,FALSE)),3)</f>
        <v/>
      </c>
      <c r="HH56" s="12">
        <f>HH55+HB56-HB44*(AnnualChurn*VLOOKUP(GL56,ChurnSeasonTable,4,FALSE))*POWER(1-(AnnualChurn*VLOOKUP(GL56,ChurnSeasonTable,4,FALSE)),0)+HB32*(AnnualChurn*VLOOKUP(GL56,ChurnSeasonTable,4,FALSE))*POWER(1-(AnnualChurn*VLOOKUP(GL56,ChurnSeasonTable,4,FALSE)),1)+HB20*(AnnualChurn*VLOOKUP(GL56,ChurnSeasonTable,4,FALSE))*POWER(1-(AnnualChurn*VLOOKUP(GL56,ChurnSeasonTable,4,FALSE)),2)+HB8*(AnnualChurn*VLOOKUP(GL56,ChurnSeasonTable,4,FALSE))*POWER(1-(AnnualChurn*VLOOKUP(GL56,ChurnSeasonTable,4,FALSE)),3)</f>
        <v/>
      </c>
      <c r="HI56" s="12">
        <f>HC56+HD56+HE56+HF56+HG56+HH56</f>
        <v/>
      </c>
      <c r="HJ56" s="9">
        <f>HC56*BlendedPriceEssMonthly*GO56+HD56*BlendedPricePremMonthly*GO56+HE56*BlendedPriceEliteMonthly*GO56+HF56*BlendedPriceEssAnnual*GO56/12+HG56*BlendedPricePremAnnual*GO56/12+HH56*BlendedPriceEliteAnnual*GO56/12</f>
        <v/>
      </c>
      <c r="HK56" s="9">
        <f>HJ56*12</f>
        <v/>
      </c>
      <c r="HL56" s="12">
        <f>HC56*BlendedPriceEssMonthly*GO56+HD56*BlendedPricePremMonthly*GO56+HE56*BlendedPriceEliteMonthly*GO56</f>
        <v/>
      </c>
      <c r="HM56" s="12">
        <f>GZ56*BlendedPriceEssAnnual*GO56+HA56*BlendedPricePremAnnual*GO56+HB56*BlendedPriceEliteAnnual*GO56</f>
        <v/>
      </c>
      <c r="HN56" s="12">
        <f>GZ44*POWER(1-(AnnualChurn*VLOOKUP(GL56,ChurnSeasonTable,4,FALSE)),1)*BlendedPriceEssAnnual*GO56+GZ32*POWER(1-(AnnualChurn*VLOOKUP(GL56,ChurnSeasonTable,4,FALSE)),2)*BlendedPriceEssAnnual*GO56+GZ20*POWER(1-(AnnualChurn*VLOOKUP(GL56,ChurnSeasonTable,4,FALSE)),3)*BlendedPriceEssAnnual*GO56+GZ8*POWER(1-(AnnualChurn*VLOOKUP(GL56,ChurnSeasonTable,4,FALSE)),4)*BlendedPriceEssAnnual*GO56+HA44*POWER(1-(AnnualChurn*VLOOKUP(GL56,ChurnSeasonTable,4,FALSE)),1)*BlendedPricePremAnnual*GO56+HA32*POWER(1-(AnnualChurn*VLOOKUP(GL56,ChurnSeasonTable,4,FALSE)),2)*BlendedPricePremAnnual*GO56+HA20*POWER(1-(AnnualChurn*VLOOKUP(GL56,ChurnSeasonTable,4,FALSE)),3)*BlendedPricePremAnnual*GO56+HA8*POWER(1-(AnnualChurn*VLOOKUP(GL56,ChurnSeasonTable,4,FALSE)),4)*BlendedPricePremAnnual*GO56+HB44*POWER(1-(AnnualChurn*VLOOKUP(GL56,ChurnSeasonTable,4,FALSE)),1)*BlendedPriceEliteAnnual*GO56+HB32*POWER(1-(AnnualChurn*VLOOKUP(GL56,ChurnSeasonTable,4,FALSE)),2)*BlendedPriceEliteAnnual*GO56+HB20*POWER(1-(AnnualChurn*VLOOKUP(GL56,ChurnSeasonTable,4,FALSE)),3)*BlendedPriceEliteAnnual*GO56+HB8*POWER(1-(AnnualChurn*VLOOKUP(GL56,ChurnSeasonTable,4,FALSE)),4)*BlendedPriceEliteAnnual*GO56</f>
        <v/>
      </c>
      <c r="HO56" s="9">
        <f>HL56+HM56+HN56</f>
        <v/>
      </c>
      <c r="HP56" s="12">
        <f>SUM(HO45:HO56)</f>
        <v/>
      </c>
      <c r="HQ56" s="12">
        <f>OR(HQ55,IF(VATAgentMode,SUM($HO45:$HO56)-SUM($HV45:$HV56)&gt;=VATThreshold,SUM($HO45:$HO56)&gt;=VATThreshold))</f>
        <v/>
      </c>
      <c r="HR56" s="9">
        <f>IF(HQ56,IF(VATAgentMode,HO56-((HO56-HV56)-(HO56-HV56)/(1+VATRate)),HO56/(1+VATRate)),HO56)</f>
        <v/>
      </c>
      <c r="HS56" s="12">
        <f>HO56-HR56</f>
        <v/>
      </c>
      <c r="HT56" s="12">
        <f>IF(HQ56=0,0,IF(GL56=1,SUMPRODUCT(--(($GM$5:$GM56=$GM56-1)*($GL$5:$GL56&gt;=10)*($GL$5:$GL56&lt;=12)),$HS$5:$HS56),IF(GL56=4,SUMPRODUCT(--(($GM$5:$GM56=$GM56)*($GL$5:$GL56&gt;=1)*($GL$5:$GL56&lt;=3)),$HS$5:$HS56),IF(GL56=7,SUMPRODUCT(--(($GM$5:$GM56=$GM56)*($GL$5:$GL56&gt;=4)*($GL$5:$GL56&lt;=6)),$HS$5:$HS56),IF(GL56=10,SUMPRODUCT(--(($GM$5:$GM56=$GM56)*($GL$5:$GL56&gt;=7)*($GL$5:$GL56&lt;=9)),$HS$5:$HS56),0)))))</f>
        <v/>
      </c>
      <c r="HU56" s="12">
        <f>HU55+HS56-HT56</f>
        <v/>
      </c>
      <c r="HV56" s="12">
        <f>IF(ProviderDelay&gt;=1,HC55*BlendedProvPayEss+HD55*BlendedProvPayPrem+HE55*BlendedProvPayElite+HF55*BlendedProvPayEss+HG55*BlendedProvPayPrem+HH55*BlendedProvPayElite,HC56*BlendedProvPayEss+HD56*BlendedProvPayPrem+HE56*BlendedProvPayElite+HF56*BlendedProvPayEss+HG56*BlendedProvPayPrem+HH56*BlendedProvPayElite)</f>
        <v/>
      </c>
      <c r="HW56" s="12">
        <f>HO56*PaymentFee</f>
        <v/>
      </c>
      <c r="HX56" s="12">
        <f>HI56*OpsAI</f>
        <v/>
      </c>
      <c r="HY56" s="12">
        <f>MonthlyFixed</f>
        <v/>
      </c>
      <c r="HZ56" s="12">
        <f>GS56*ReferralReward</f>
        <v/>
      </c>
      <c r="IA56" s="12">
        <f>GQ56</f>
        <v/>
      </c>
      <c r="IB56" s="9">
        <f>HR56-HV56-HW56-HX56-HY56-HZ56-IA56</f>
        <v/>
      </c>
      <c r="IC56" s="9">
        <f>IC55+HO56-(HV56+HW56+HX56+HY56+HZ56+IA56+HT56)</f>
        <v/>
      </c>
      <c r="ID56" s="12">
        <f>IF(HI56&gt;0,HJ56/HI56,0)</f>
        <v/>
      </c>
      <c r="IE56" s="11">
        <f>IF(HI55&gt;0,MAX(0,(HI55+GT56-HI56)/HI55),0)</f>
        <v/>
      </c>
      <c r="IG56" s="12" t="n">
        <v>52</v>
      </c>
      <c r="IH56" s="12">
        <f>MOD(IG56-1+LaunchMonth-1,12)+1</f>
        <v/>
      </c>
      <c r="II56" s="12">
        <f>INT((IG56-1+LaunchMonth-1)/12)+1</f>
        <v/>
      </c>
      <c r="IJ56" s="12">
        <f>VLOOKUP(IH56,SeasonTable,2,FALSE)</f>
        <v/>
      </c>
      <c r="IK56" s="12">
        <f>(1+InflationRate)^INT((IG56-1)/12)</f>
        <v/>
      </c>
      <c r="IL56" s="11">
        <f>'Sens - Churn'!$A$15*VLOOKUP(IH56,ChurnSeasonTable,4,FALSE)</f>
        <v/>
      </c>
      <c r="IM56" s="12">
        <f>MIN(MAX(MktMin19plus,JK55*MktPct19plus),MAX(0,JY55-CashBuffer))</f>
        <v/>
      </c>
      <c r="IN56" s="12">
        <f>IF(IM56&gt;0,MAX(1,ROUND(IM56/CAC*IJ56,0)),0)</f>
        <v/>
      </c>
      <c r="IO56" s="12">
        <f>IF(IN56&gt;0,ROUND(IN56*ReferralMix/(1-ReferralMix),0),0)</f>
        <v/>
      </c>
      <c r="IP56" s="12">
        <f>IN56+IO56</f>
        <v/>
      </c>
      <c r="IQ56" s="12">
        <f>ROUND(IP56*(1-AnnualMix),0)</f>
        <v/>
      </c>
      <c r="IR56" s="12">
        <f>IP56-IQ56</f>
        <v/>
      </c>
      <c r="IS56" s="12">
        <f>ROUND(IQ56*EssentialMix,0)</f>
        <v/>
      </c>
      <c r="IT56" s="12">
        <f>ROUND(IQ56*PremiumMix,0)</f>
        <v/>
      </c>
      <c r="IU56" s="12">
        <f>IQ56-IS56-IT56</f>
        <v/>
      </c>
      <c r="IV56" s="12">
        <f>ROUND(IR56*EssentialMix,0)</f>
        <v/>
      </c>
      <c r="IW56" s="12">
        <f>ROUND(IR56*PremiumMix,0)</f>
        <v/>
      </c>
      <c r="IX56" s="12">
        <f>IR56-IV56-IW56</f>
        <v/>
      </c>
      <c r="IY56" s="12">
        <f>IS56+IS55+IS54+MAX(0,IY55-IS55-IS54)*(1-IL56)</f>
        <v/>
      </c>
      <c r="IZ56" s="12">
        <f>IT56+IT55+IT54+MAX(0,IZ55-IT55-IT54)*(1-IL56)</f>
        <v/>
      </c>
      <c r="JA56" s="12">
        <f>IU56+IU55+IU54+MAX(0,JA55-IU55-IU54)*(1-IL56)</f>
        <v/>
      </c>
      <c r="JB56" s="12">
        <f>JB55+IV56-IV44*(AnnualChurn*VLOOKUP(IH56,ChurnSeasonTable,4,FALSE))*POWER(1-(AnnualChurn*VLOOKUP(IH56,ChurnSeasonTable,4,FALSE)),0)+IV32*(AnnualChurn*VLOOKUP(IH56,ChurnSeasonTable,4,FALSE))*POWER(1-(AnnualChurn*VLOOKUP(IH56,ChurnSeasonTable,4,FALSE)),1)+IV20*(AnnualChurn*VLOOKUP(IH56,ChurnSeasonTable,4,FALSE))*POWER(1-(AnnualChurn*VLOOKUP(IH56,ChurnSeasonTable,4,FALSE)),2)+IV8*(AnnualChurn*VLOOKUP(IH56,ChurnSeasonTable,4,FALSE))*POWER(1-(AnnualChurn*VLOOKUP(IH56,ChurnSeasonTable,4,FALSE)),3)</f>
        <v/>
      </c>
      <c r="JC56" s="12">
        <f>JC55+IW56-IW44*(AnnualChurn*VLOOKUP(IH56,ChurnSeasonTable,4,FALSE))*POWER(1-(AnnualChurn*VLOOKUP(IH56,ChurnSeasonTable,4,FALSE)),0)+IW32*(AnnualChurn*VLOOKUP(IH56,ChurnSeasonTable,4,FALSE))*POWER(1-(AnnualChurn*VLOOKUP(IH56,ChurnSeasonTable,4,FALSE)),1)+IW20*(AnnualChurn*VLOOKUP(IH56,ChurnSeasonTable,4,FALSE))*POWER(1-(AnnualChurn*VLOOKUP(IH56,ChurnSeasonTable,4,FALSE)),2)+IW8*(AnnualChurn*VLOOKUP(IH56,ChurnSeasonTable,4,FALSE))*POWER(1-(AnnualChurn*VLOOKUP(IH56,ChurnSeasonTable,4,FALSE)),3)</f>
        <v/>
      </c>
      <c r="JD56" s="12">
        <f>JD55+IX56-IX44*(AnnualChurn*VLOOKUP(IH56,ChurnSeasonTable,4,FALSE))*POWER(1-(AnnualChurn*VLOOKUP(IH56,ChurnSeasonTable,4,FALSE)),0)+IX32*(AnnualChurn*VLOOKUP(IH56,ChurnSeasonTable,4,FALSE))*POWER(1-(AnnualChurn*VLOOKUP(IH56,ChurnSeasonTable,4,FALSE)),1)+IX20*(AnnualChurn*VLOOKUP(IH56,ChurnSeasonTable,4,FALSE))*POWER(1-(AnnualChurn*VLOOKUP(IH56,ChurnSeasonTable,4,FALSE)),2)+IX8*(AnnualChurn*VLOOKUP(IH56,ChurnSeasonTable,4,FALSE))*POWER(1-(AnnualChurn*VLOOKUP(IH56,ChurnSeasonTable,4,FALSE)),3)</f>
        <v/>
      </c>
      <c r="JE56" s="12">
        <f>IY56+IZ56+JA56+JB56+JC56+JD56</f>
        <v/>
      </c>
      <c r="JF56" s="9">
        <f>IY56*BlendedPriceEssMonthly*IK56+IZ56*BlendedPricePremMonthly*IK56+JA56*BlendedPriceEliteMonthly*IK56+JB56*BlendedPriceEssAnnual*IK56/12+JC56*BlendedPricePremAnnual*IK56/12+JD56*BlendedPriceEliteAnnual*IK56/12</f>
        <v/>
      </c>
      <c r="JG56" s="9">
        <f>JF56*12</f>
        <v/>
      </c>
      <c r="JH56" s="12">
        <f>IY56*BlendedPriceEssMonthly*IK56+IZ56*BlendedPricePremMonthly*IK56+JA56*BlendedPriceEliteMonthly*IK56</f>
        <v/>
      </c>
      <c r="JI56" s="12">
        <f>IV56*BlendedPriceEssAnnual*IK56+IW56*BlendedPricePremAnnual*IK56+IX56*BlendedPriceEliteAnnual*IK56</f>
        <v/>
      </c>
      <c r="JJ56" s="12">
        <f>IV44*POWER(1-(AnnualChurn*VLOOKUP(IH56,ChurnSeasonTable,4,FALSE)),1)*BlendedPriceEssAnnual*IK56+IV32*POWER(1-(AnnualChurn*VLOOKUP(IH56,ChurnSeasonTable,4,FALSE)),2)*BlendedPriceEssAnnual*IK56+IV20*POWER(1-(AnnualChurn*VLOOKUP(IH56,ChurnSeasonTable,4,FALSE)),3)*BlendedPriceEssAnnual*IK56+IV8*POWER(1-(AnnualChurn*VLOOKUP(IH56,ChurnSeasonTable,4,FALSE)),4)*BlendedPriceEssAnnual*IK56+IW44*POWER(1-(AnnualChurn*VLOOKUP(IH56,ChurnSeasonTable,4,FALSE)),1)*BlendedPricePremAnnual*IK56+IW32*POWER(1-(AnnualChurn*VLOOKUP(IH56,ChurnSeasonTable,4,FALSE)),2)*BlendedPricePremAnnual*IK56+IW20*POWER(1-(AnnualChurn*VLOOKUP(IH56,ChurnSeasonTable,4,FALSE)),3)*BlendedPricePremAnnual*IK56+IW8*POWER(1-(AnnualChurn*VLOOKUP(IH56,ChurnSeasonTable,4,FALSE)),4)*BlendedPricePremAnnual*IK56+IX44*POWER(1-(AnnualChurn*VLOOKUP(IH56,ChurnSeasonTable,4,FALSE)),1)*BlendedPriceEliteAnnual*IK56+IX32*POWER(1-(AnnualChurn*VLOOKUP(IH56,ChurnSeasonTable,4,FALSE)),2)*BlendedPriceEliteAnnual*IK56+IX20*POWER(1-(AnnualChurn*VLOOKUP(IH56,ChurnSeasonTable,4,FALSE)),3)*BlendedPriceEliteAnnual*IK56+IX8*POWER(1-(AnnualChurn*VLOOKUP(IH56,ChurnSeasonTable,4,FALSE)),4)*BlendedPriceEliteAnnual*IK56</f>
        <v/>
      </c>
      <c r="JK56" s="9">
        <f>JH56+JI56+JJ56</f>
        <v/>
      </c>
      <c r="JL56" s="12">
        <f>SUM(JK45:JK56)</f>
        <v/>
      </c>
      <c r="JM56" s="12">
        <f>OR(JM55,IF(VATAgentMode,SUM($JK45:$JK56)-SUM($JR45:$JR56)&gt;=VATThreshold,SUM($JK45:$JK56)&gt;=VATThreshold))</f>
        <v/>
      </c>
      <c r="JN56" s="9">
        <f>IF(JM56,IF(VATAgentMode,JK56-((JK56-JR56)-(JK56-JR56)/(1+VATRate)),JK56/(1+VATRate)),JK56)</f>
        <v/>
      </c>
      <c r="JO56" s="12">
        <f>JK56-JN56</f>
        <v/>
      </c>
      <c r="JP56" s="12">
        <f>IF(JM56=0,0,IF(IH56=1,SUMPRODUCT(--(($II$5:$II56=$II56-1)*($IH$5:$IH56&gt;=10)*($IH$5:$IH56&lt;=12)),$JO$5:$JO56),IF(IH56=4,SUMPRODUCT(--(($II$5:$II56=$II56)*($IH$5:$IH56&gt;=1)*($IH$5:$IH56&lt;=3)),$JO$5:$JO56),IF(IH56=7,SUMPRODUCT(--(($II$5:$II56=$II56)*($IH$5:$IH56&gt;=4)*($IH$5:$IH56&lt;=6)),$JO$5:$JO56),IF(IH56=10,SUMPRODUCT(--(($II$5:$II56=$II56)*($IH$5:$IH56&gt;=7)*($IH$5:$IH56&lt;=9)),$JO$5:$JO56),0)))))</f>
        <v/>
      </c>
      <c r="JQ56" s="12">
        <f>JQ55+JO56-JP56</f>
        <v/>
      </c>
      <c r="JR56" s="12">
        <f>IF(ProviderDelay&gt;=1,IY55*BlendedProvPayEss+IZ55*BlendedProvPayPrem+JA55*BlendedProvPayElite+JB55*BlendedProvPayEss+JC55*BlendedProvPayPrem+JD55*BlendedProvPayElite,IY56*BlendedProvPayEss+IZ56*BlendedProvPayPrem+JA56*BlendedProvPayElite+JB56*BlendedProvPayEss+JC56*BlendedProvPayPrem+JD56*BlendedProvPayElite)</f>
        <v/>
      </c>
      <c r="JS56" s="12">
        <f>JK56*PaymentFee</f>
        <v/>
      </c>
      <c r="JT56" s="12">
        <f>JE56*OpsAI</f>
        <v/>
      </c>
      <c r="JU56" s="12">
        <f>MonthlyFixed</f>
        <v/>
      </c>
      <c r="JV56" s="12">
        <f>IO56*ReferralReward</f>
        <v/>
      </c>
      <c r="JW56" s="12">
        <f>IM56</f>
        <v/>
      </c>
      <c r="JX56" s="9">
        <f>JN56-JR56-JS56-JT56-JU56-JV56-JW56</f>
        <v/>
      </c>
      <c r="JY56" s="9">
        <f>JY55+JK56-(JR56+JS56+JT56+JU56+JV56+JW56+JP56)</f>
        <v/>
      </c>
      <c r="JZ56" s="12">
        <f>IF(JE56&gt;0,JF56/JE56,0)</f>
        <v/>
      </c>
      <c r="KA56" s="11">
        <f>IF(JE55&gt;0,MAX(0,(JE55+IP56-JE56)/JE55),0)</f>
        <v/>
      </c>
      <c r="KC56" s="12" t="n">
        <v>52</v>
      </c>
      <c r="KD56" s="12">
        <f>MOD(KC56-1+LaunchMonth-1,12)+1</f>
        <v/>
      </c>
      <c r="KE56" s="12">
        <f>INT((KC56-1+LaunchMonth-1)/12)+1</f>
        <v/>
      </c>
      <c r="KF56" s="12">
        <f>VLOOKUP(KD56,SeasonTable,2,FALSE)</f>
        <v/>
      </c>
      <c r="KG56" s="12">
        <f>(1+InflationRate)^INT((KC56-1)/12)</f>
        <v/>
      </c>
      <c r="KH56" s="11">
        <f>'Sens - Churn'!$A$16*VLOOKUP(KD56,ChurnSeasonTable,4,FALSE)</f>
        <v/>
      </c>
      <c r="KI56" s="12">
        <f>MIN(MAX(MktMin19plus,LG55*MktPct19plus),MAX(0,LU55-CashBuffer))</f>
        <v/>
      </c>
      <c r="KJ56" s="12">
        <f>IF(KI56&gt;0,MAX(1,ROUND(KI56/CAC*KF56,0)),0)</f>
        <v/>
      </c>
      <c r="KK56" s="12">
        <f>IF(KJ56&gt;0,ROUND(KJ56*ReferralMix/(1-ReferralMix),0),0)</f>
        <v/>
      </c>
      <c r="KL56" s="12">
        <f>KJ56+KK56</f>
        <v/>
      </c>
      <c r="KM56" s="12">
        <f>ROUND(KL56*(1-AnnualMix),0)</f>
        <v/>
      </c>
      <c r="KN56" s="12">
        <f>KL56-KM56</f>
        <v/>
      </c>
      <c r="KO56" s="12">
        <f>ROUND(KM56*EssentialMix,0)</f>
        <v/>
      </c>
      <c r="KP56" s="12">
        <f>ROUND(KM56*PremiumMix,0)</f>
        <v/>
      </c>
      <c r="KQ56" s="12">
        <f>KM56-KO56-KP56</f>
        <v/>
      </c>
      <c r="KR56" s="12">
        <f>ROUND(KN56*EssentialMix,0)</f>
        <v/>
      </c>
      <c r="KS56" s="12">
        <f>ROUND(KN56*PremiumMix,0)</f>
        <v/>
      </c>
      <c r="KT56" s="12">
        <f>KN56-KR56-KS56</f>
        <v/>
      </c>
      <c r="KU56" s="12">
        <f>KO56+KO55+KO54+MAX(0,KU55-KO55-KO54)*(1-KH56)</f>
        <v/>
      </c>
      <c r="KV56" s="12">
        <f>KP56+KP55+KP54+MAX(0,KV55-KP55-KP54)*(1-KH56)</f>
        <v/>
      </c>
      <c r="KW56" s="12">
        <f>KQ56+KQ55+KQ54+MAX(0,KW55-KQ55-KQ54)*(1-KH56)</f>
        <v/>
      </c>
      <c r="KX56" s="12">
        <f>KX55+KR56-KR44*(AnnualChurn*VLOOKUP(KD56,ChurnSeasonTable,4,FALSE))*POWER(1-(AnnualChurn*VLOOKUP(KD56,ChurnSeasonTable,4,FALSE)),0)+KR32*(AnnualChurn*VLOOKUP(KD56,ChurnSeasonTable,4,FALSE))*POWER(1-(AnnualChurn*VLOOKUP(KD56,ChurnSeasonTable,4,FALSE)),1)+KR20*(AnnualChurn*VLOOKUP(KD56,ChurnSeasonTable,4,FALSE))*POWER(1-(AnnualChurn*VLOOKUP(KD56,ChurnSeasonTable,4,FALSE)),2)+KR8*(AnnualChurn*VLOOKUP(KD56,ChurnSeasonTable,4,FALSE))*POWER(1-(AnnualChurn*VLOOKUP(KD56,ChurnSeasonTable,4,FALSE)),3)</f>
        <v/>
      </c>
      <c r="KY56" s="12">
        <f>KY55+KS56-KS44*(AnnualChurn*VLOOKUP(KD56,ChurnSeasonTable,4,FALSE))*POWER(1-(AnnualChurn*VLOOKUP(KD56,ChurnSeasonTable,4,FALSE)),0)+KS32*(AnnualChurn*VLOOKUP(KD56,ChurnSeasonTable,4,FALSE))*POWER(1-(AnnualChurn*VLOOKUP(KD56,ChurnSeasonTable,4,FALSE)),1)+KS20*(AnnualChurn*VLOOKUP(KD56,ChurnSeasonTable,4,FALSE))*POWER(1-(AnnualChurn*VLOOKUP(KD56,ChurnSeasonTable,4,FALSE)),2)+KS8*(AnnualChurn*VLOOKUP(KD56,ChurnSeasonTable,4,FALSE))*POWER(1-(AnnualChurn*VLOOKUP(KD56,ChurnSeasonTable,4,FALSE)),3)</f>
        <v/>
      </c>
      <c r="KZ56" s="12">
        <f>KZ55+KT56-KT44*(AnnualChurn*VLOOKUP(KD56,ChurnSeasonTable,4,FALSE))*POWER(1-(AnnualChurn*VLOOKUP(KD56,ChurnSeasonTable,4,FALSE)),0)+KT32*(AnnualChurn*VLOOKUP(KD56,ChurnSeasonTable,4,FALSE))*POWER(1-(AnnualChurn*VLOOKUP(KD56,ChurnSeasonTable,4,FALSE)),1)+KT20*(AnnualChurn*VLOOKUP(KD56,ChurnSeasonTable,4,FALSE))*POWER(1-(AnnualChurn*VLOOKUP(KD56,ChurnSeasonTable,4,FALSE)),2)+KT8*(AnnualChurn*VLOOKUP(KD56,ChurnSeasonTable,4,FALSE))*POWER(1-(AnnualChurn*VLOOKUP(KD56,ChurnSeasonTable,4,FALSE)),3)</f>
        <v/>
      </c>
      <c r="LA56" s="12">
        <f>KU56+KV56+KW56+KX56+KY56+KZ56</f>
        <v/>
      </c>
      <c r="LB56" s="9">
        <f>KU56*BlendedPriceEssMonthly*KG56+KV56*BlendedPricePremMonthly*KG56+KW56*BlendedPriceEliteMonthly*KG56+KX56*BlendedPriceEssAnnual*KG56/12+KY56*BlendedPricePremAnnual*KG56/12+KZ56*BlendedPriceEliteAnnual*KG56/12</f>
        <v/>
      </c>
      <c r="LC56" s="9">
        <f>LB56*12</f>
        <v/>
      </c>
      <c r="LD56" s="12">
        <f>KU56*BlendedPriceEssMonthly*KG56+KV56*BlendedPricePremMonthly*KG56+KW56*BlendedPriceEliteMonthly*KG56</f>
        <v/>
      </c>
      <c r="LE56" s="12">
        <f>KR56*BlendedPriceEssAnnual*KG56+KS56*BlendedPricePremAnnual*KG56+KT56*BlendedPriceEliteAnnual*KG56</f>
        <v/>
      </c>
      <c r="LF56" s="12">
        <f>KR44*POWER(1-(AnnualChurn*VLOOKUP(KD56,ChurnSeasonTable,4,FALSE)),1)*BlendedPriceEssAnnual*KG56+KR32*POWER(1-(AnnualChurn*VLOOKUP(KD56,ChurnSeasonTable,4,FALSE)),2)*BlendedPriceEssAnnual*KG56+KR20*POWER(1-(AnnualChurn*VLOOKUP(KD56,ChurnSeasonTable,4,FALSE)),3)*BlendedPriceEssAnnual*KG56+KR8*POWER(1-(AnnualChurn*VLOOKUP(KD56,ChurnSeasonTable,4,FALSE)),4)*BlendedPriceEssAnnual*KG56+KS44*POWER(1-(AnnualChurn*VLOOKUP(KD56,ChurnSeasonTable,4,FALSE)),1)*BlendedPricePremAnnual*KG56+KS32*POWER(1-(AnnualChurn*VLOOKUP(KD56,ChurnSeasonTable,4,FALSE)),2)*BlendedPricePremAnnual*KG56+KS20*POWER(1-(AnnualChurn*VLOOKUP(KD56,ChurnSeasonTable,4,FALSE)),3)*BlendedPricePremAnnual*KG56+KS8*POWER(1-(AnnualChurn*VLOOKUP(KD56,ChurnSeasonTable,4,FALSE)),4)*BlendedPricePremAnnual*KG56+KT44*POWER(1-(AnnualChurn*VLOOKUP(KD56,ChurnSeasonTable,4,FALSE)),1)*BlendedPriceEliteAnnual*KG56+KT32*POWER(1-(AnnualChurn*VLOOKUP(KD56,ChurnSeasonTable,4,FALSE)),2)*BlendedPriceEliteAnnual*KG56+KT20*POWER(1-(AnnualChurn*VLOOKUP(KD56,ChurnSeasonTable,4,FALSE)),3)*BlendedPriceEliteAnnual*KG56+KT8*POWER(1-(AnnualChurn*VLOOKUP(KD56,ChurnSeasonTable,4,FALSE)),4)*BlendedPriceEliteAnnual*KG56</f>
        <v/>
      </c>
      <c r="LG56" s="9">
        <f>LD56+LE56+LF56</f>
        <v/>
      </c>
      <c r="LH56" s="12">
        <f>SUM(LG45:LG56)</f>
        <v/>
      </c>
      <c r="LI56" s="12">
        <f>OR(LI55,IF(VATAgentMode,SUM($LG45:$LG56)-SUM($LN45:$LN56)&gt;=VATThreshold,SUM($LG45:$LG56)&gt;=VATThreshold))</f>
        <v/>
      </c>
      <c r="LJ56" s="9">
        <f>IF(LI56,IF(VATAgentMode,LG56-((LG56-LN56)-(LG56-LN56)/(1+VATRate)),LG56/(1+VATRate)),LG56)</f>
        <v/>
      </c>
      <c r="LK56" s="12">
        <f>LG56-LJ56</f>
        <v/>
      </c>
      <c r="LL56" s="12">
        <f>IF(LI56=0,0,IF(KD56=1,SUMPRODUCT(--(($KE$5:$KE56=$KE56-1)*($KD$5:$KD56&gt;=10)*($KD$5:$KD56&lt;=12)),$LK$5:$LK56),IF(KD56=4,SUMPRODUCT(--(($KE$5:$KE56=$KE56)*($KD$5:$KD56&gt;=1)*($KD$5:$KD56&lt;=3)),$LK$5:$LK56),IF(KD56=7,SUMPRODUCT(--(($KE$5:$KE56=$KE56)*($KD$5:$KD56&gt;=4)*($KD$5:$KD56&lt;=6)),$LK$5:$LK56),IF(KD56=10,SUMPRODUCT(--(($KE$5:$KE56=$KE56)*($KD$5:$KD56&gt;=7)*($KD$5:$KD56&lt;=9)),$LK$5:$LK56),0)))))</f>
        <v/>
      </c>
      <c r="LM56" s="12">
        <f>LM55+LK56-LL56</f>
        <v/>
      </c>
      <c r="LN56" s="12">
        <f>IF(ProviderDelay&gt;=1,KU55*BlendedProvPayEss+KV55*BlendedProvPayPrem+KW55*BlendedProvPayElite+KX55*BlendedProvPayEss+KY55*BlendedProvPayPrem+KZ55*BlendedProvPayElite,KU56*BlendedProvPayEss+KV56*BlendedProvPayPrem+KW56*BlendedProvPayElite+KX56*BlendedProvPayEss+KY56*BlendedProvPayPrem+KZ56*BlendedProvPayElite)</f>
        <v/>
      </c>
      <c r="LO56" s="12">
        <f>LG56*PaymentFee</f>
        <v/>
      </c>
      <c r="LP56" s="12">
        <f>LA56*OpsAI</f>
        <v/>
      </c>
      <c r="LQ56" s="12">
        <f>MonthlyFixed</f>
        <v/>
      </c>
      <c r="LR56" s="12">
        <f>KK56*ReferralReward</f>
        <v/>
      </c>
      <c r="LS56" s="12">
        <f>KI56</f>
        <v/>
      </c>
      <c r="LT56" s="9">
        <f>LJ56-LN56-LO56-LP56-LQ56-LR56-LS56</f>
        <v/>
      </c>
      <c r="LU56" s="9">
        <f>LU55+LG56-(LN56+LO56+LP56+LQ56+LR56+LS56+LL56)</f>
        <v/>
      </c>
      <c r="LV56" s="12">
        <f>IF(LA56&gt;0,LB56/LA56,0)</f>
        <v/>
      </c>
      <c r="LW56" s="11">
        <f>IF(LA55&gt;0,MAX(0,(LA55+KL56-LA56)/LA55),0)</f>
        <v/>
      </c>
      <c r="LY56" s="12" t="n">
        <v>52</v>
      </c>
      <c r="LZ56" s="12">
        <f>MOD(LY56-1+LaunchMonth-1,12)+1</f>
        <v/>
      </c>
      <c r="MA56" s="12">
        <f>INT((LY56-1+LaunchMonth-1)/12)+1</f>
        <v/>
      </c>
      <c r="MB56" s="12">
        <f>VLOOKUP(LZ56,SeasonTable,2,FALSE)</f>
        <v/>
      </c>
      <c r="MC56" s="12">
        <f>(1+InflationRate)^INT((LY56-1)/12)</f>
        <v/>
      </c>
      <c r="MD56" s="11">
        <f>'Sens - Churn'!$A$17*VLOOKUP(LZ56,ChurnSeasonTable,4,FALSE)</f>
        <v/>
      </c>
      <c r="ME56" s="12">
        <f>MIN(MAX(MktMin19plus,NC55*MktPct19plus),MAX(0,NQ55-CashBuffer))</f>
        <v/>
      </c>
      <c r="MF56" s="12">
        <f>IF(ME56&gt;0,MAX(1,ROUND(ME56/CAC*MB56,0)),0)</f>
        <v/>
      </c>
      <c r="MG56" s="12">
        <f>IF(MF56&gt;0,ROUND(MF56*ReferralMix/(1-ReferralMix),0),0)</f>
        <v/>
      </c>
      <c r="MH56" s="12">
        <f>MF56+MG56</f>
        <v/>
      </c>
      <c r="MI56" s="12">
        <f>ROUND(MH56*(1-AnnualMix),0)</f>
        <v/>
      </c>
      <c r="MJ56" s="12">
        <f>MH56-MI56</f>
        <v/>
      </c>
      <c r="MK56" s="12">
        <f>ROUND(MI56*EssentialMix,0)</f>
        <v/>
      </c>
      <c r="ML56" s="12">
        <f>ROUND(MI56*PremiumMix,0)</f>
        <v/>
      </c>
      <c r="MM56" s="12">
        <f>MI56-MK56-ML56</f>
        <v/>
      </c>
      <c r="MN56" s="12">
        <f>ROUND(MJ56*EssentialMix,0)</f>
        <v/>
      </c>
      <c r="MO56" s="12">
        <f>ROUND(MJ56*PremiumMix,0)</f>
        <v/>
      </c>
      <c r="MP56" s="12">
        <f>MJ56-MN56-MO56</f>
        <v/>
      </c>
      <c r="MQ56" s="12">
        <f>MK56+MK55+MK54+MAX(0,MQ55-MK55-MK54)*(1-MD56)</f>
        <v/>
      </c>
      <c r="MR56" s="12">
        <f>ML56+ML55+ML54+MAX(0,MR55-ML55-ML54)*(1-MD56)</f>
        <v/>
      </c>
      <c r="MS56" s="12">
        <f>MM56+MM55+MM54+MAX(0,MS55-MM55-MM54)*(1-MD56)</f>
        <v/>
      </c>
      <c r="MT56" s="12">
        <f>MT55+MN56-MN44*(AnnualChurn*VLOOKUP(LZ56,ChurnSeasonTable,4,FALSE))*POWER(1-(AnnualChurn*VLOOKUP(LZ56,ChurnSeasonTable,4,FALSE)),0)+MN32*(AnnualChurn*VLOOKUP(LZ56,ChurnSeasonTable,4,FALSE))*POWER(1-(AnnualChurn*VLOOKUP(LZ56,ChurnSeasonTable,4,FALSE)),1)+MN20*(AnnualChurn*VLOOKUP(LZ56,ChurnSeasonTable,4,FALSE))*POWER(1-(AnnualChurn*VLOOKUP(LZ56,ChurnSeasonTable,4,FALSE)),2)+MN8*(AnnualChurn*VLOOKUP(LZ56,ChurnSeasonTable,4,FALSE))*POWER(1-(AnnualChurn*VLOOKUP(LZ56,ChurnSeasonTable,4,FALSE)),3)</f>
        <v/>
      </c>
      <c r="MU56" s="12">
        <f>MU55+MO56-MO44*(AnnualChurn*VLOOKUP(LZ56,ChurnSeasonTable,4,FALSE))*POWER(1-(AnnualChurn*VLOOKUP(LZ56,ChurnSeasonTable,4,FALSE)),0)+MO32*(AnnualChurn*VLOOKUP(LZ56,ChurnSeasonTable,4,FALSE))*POWER(1-(AnnualChurn*VLOOKUP(LZ56,ChurnSeasonTable,4,FALSE)),1)+MO20*(AnnualChurn*VLOOKUP(LZ56,ChurnSeasonTable,4,FALSE))*POWER(1-(AnnualChurn*VLOOKUP(LZ56,ChurnSeasonTable,4,FALSE)),2)+MO8*(AnnualChurn*VLOOKUP(LZ56,ChurnSeasonTable,4,FALSE))*POWER(1-(AnnualChurn*VLOOKUP(LZ56,ChurnSeasonTable,4,FALSE)),3)</f>
        <v/>
      </c>
      <c r="MV56" s="12">
        <f>MV55+MP56-MP44*(AnnualChurn*VLOOKUP(LZ56,ChurnSeasonTable,4,FALSE))*POWER(1-(AnnualChurn*VLOOKUP(LZ56,ChurnSeasonTable,4,FALSE)),0)+MP32*(AnnualChurn*VLOOKUP(LZ56,ChurnSeasonTable,4,FALSE))*POWER(1-(AnnualChurn*VLOOKUP(LZ56,ChurnSeasonTable,4,FALSE)),1)+MP20*(AnnualChurn*VLOOKUP(LZ56,ChurnSeasonTable,4,FALSE))*POWER(1-(AnnualChurn*VLOOKUP(LZ56,ChurnSeasonTable,4,FALSE)),2)+MP8*(AnnualChurn*VLOOKUP(LZ56,ChurnSeasonTable,4,FALSE))*POWER(1-(AnnualChurn*VLOOKUP(LZ56,ChurnSeasonTable,4,FALSE)),3)</f>
        <v/>
      </c>
      <c r="MW56" s="12">
        <f>MQ56+MR56+MS56+MT56+MU56+MV56</f>
        <v/>
      </c>
      <c r="MX56" s="9">
        <f>MQ56*BlendedPriceEssMonthly*MC56+MR56*BlendedPricePremMonthly*MC56+MS56*BlendedPriceEliteMonthly*MC56+MT56*BlendedPriceEssAnnual*MC56/12+MU56*BlendedPricePremAnnual*MC56/12+MV56*BlendedPriceEliteAnnual*MC56/12</f>
        <v/>
      </c>
      <c r="MY56" s="9">
        <f>MX56*12</f>
        <v/>
      </c>
      <c r="MZ56" s="12">
        <f>MQ56*BlendedPriceEssMonthly*MC56+MR56*BlendedPricePremMonthly*MC56+MS56*BlendedPriceEliteMonthly*MC56</f>
        <v/>
      </c>
      <c r="NA56" s="12">
        <f>MN56*BlendedPriceEssAnnual*MC56+MO56*BlendedPricePremAnnual*MC56+MP56*BlendedPriceEliteAnnual*MC56</f>
        <v/>
      </c>
      <c r="NB56" s="12">
        <f>MN44*POWER(1-(AnnualChurn*VLOOKUP(LZ56,ChurnSeasonTable,4,FALSE)),1)*BlendedPriceEssAnnual*MC56+MN32*POWER(1-(AnnualChurn*VLOOKUP(LZ56,ChurnSeasonTable,4,FALSE)),2)*BlendedPriceEssAnnual*MC56+MN20*POWER(1-(AnnualChurn*VLOOKUP(LZ56,ChurnSeasonTable,4,FALSE)),3)*BlendedPriceEssAnnual*MC56+MN8*POWER(1-(AnnualChurn*VLOOKUP(LZ56,ChurnSeasonTable,4,FALSE)),4)*BlendedPriceEssAnnual*MC56+MO44*POWER(1-(AnnualChurn*VLOOKUP(LZ56,ChurnSeasonTable,4,FALSE)),1)*BlendedPricePremAnnual*MC56+MO32*POWER(1-(AnnualChurn*VLOOKUP(LZ56,ChurnSeasonTable,4,FALSE)),2)*BlendedPricePremAnnual*MC56+MO20*POWER(1-(AnnualChurn*VLOOKUP(LZ56,ChurnSeasonTable,4,FALSE)),3)*BlendedPricePremAnnual*MC56+MO8*POWER(1-(AnnualChurn*VLOOKUP(LZ56,ChurnSeasonTable,4,FALSE)),4)*BlendedPricePremAnnual*MC56+MP44*POWER(1-(AnnualChurn*VLOOKUP(LZ56,ChurnSeasonTable,4,FALSE)),1)*BlendedPriceEliteAnnual*MC56+MP32*POWER(1-(AnnualChurn*VLOOKUP(LZ56,ChurnSeasonTable,4,FALSE)),2)*BlendedPriceEliteAnnual*MC56+MP20*POWER(1-(AnnualChurn*VLOOKUP(LZ56,ChurnSeasonTable,4,FALSE)),3)*BlendedPriceEliteAnnual*MC56+MP8*POWER(1-(AnnualChurn*VLOOKUP(LZ56,ChurnSeasonTable,4,FALSE)),4)*BlendedPriceEliteAnnual*MC56</f>
        <v/>
      </c>
      <c r="NC56" s="9">
        <f>MZ56+NA56+NB56</f>
        <v/>
      </c>
      <c r="ND56" s="12">
        <f>SUM(NC45:NC56)</f>
        <v/>
      </c>
      <c r="NE56" s="12">
        <f>OR(NE55,IF(VATAgentMode,SUM($NC45:$NC56)-SUM($NJ45:$NJ56)&gt;=VATThreshold,SUM($NC45:$NC56)&gt;=VATThreshold))</f>
        <v/>
      </c>
      <c r="NF56" s="9">
        <f>IF(NE56,IF(VATAgentMode,NC56-((NC56-NJ56)-(NC56-NJ56)/(1+VATRate)),NC56/(1+VATRate)),NC56)</f>
        <v/>
      </c>
      <c r="NG56" s="12">
        <f>NC56-NF56</f>
        <v/>
      </c>
      <c r="NH56" s="12">
        <f>IF(NE56=0,0,IF(LZ56=1,SUMPRODUCT(--(($MA$5:$MA56=$MA56-1)*($LZ$5:$LZ56&gt;=10)*($LZ$5:$LZ56&lt;=12)),$NG$5:$NG56),IF(LZ56=4,SUMPRODUCT(--(($MA$5:$MA56=$MA56)*($LZ$5:$LZ56&gt;=1)*($LZ$5:$LZ56&lt;=3)),$NG$5:$NG56),IF(LZ56=7,SUMPRODUCT(--(($MA$5:$MA56=$MA56)*($LZ$5:$LZ56&gt;=4)*($LZ$5:$LZ56&lt;=6)),$NG$5:$NG56),IF(LZ56=10,SUMPRODUCT(--(($MA$5:$MA56=$MA56)*($LZ$5:$LZ56&gt;=7)*($LZ$5:$LZ56&lt;=9)),$NG$5:$NG56),0)))))</f>
        <v/>
      </c>
      <c r="NI56" s="12">
        <f>NI55+NG56-NH56</f>
        <v/>
      </c>
      <c r="NJ56" s="12">
        <f>IF(ProviderDelay&gt;=1,MQ55*BlendedProvPayEss+MR55*BlendedProvPayPrem+MS55*BlendedProvPayElite+MT55*BlendedProvPayEss+MU55*BlendedProvPayPrem+MV55*BlendedProvPayElite,MQ56*BlendedProvPayEss+MR56*BlendedProvPayPrem+MS56*BlendedProvPayElite+MT56*BlendedProvPayEss+MU56*BlendedProvPayPrem+MV56*BlendedProvPayElite)</f>
        <v/>
      </c>
      <c r="NK56" s="12">
        <f>NC56*PaymentFee</f>
        <v/>
      </c>
      <c r="NL56" s="12">
        <f>MW56*OpsAI</f>
        <v/>
      </c>
      <c r="NM56" s="12">
        <f>MonthlyFixed</f>
        <v/>
      </c>
      <c r="NN56" s="12">
        <f>MG56*ReferralReward</f>
        <v/>
      </c>
      <c r="NO56" s="12">
        <f>ME56</f>
        <v/>
      </c>
      <c r="NP56" s="9">
        <f>NF56-NJ56-NK56-NL56-NM56-NN56-NO56</f>
        <v/>
      </c>
      <c r="NQ56" s="9">
        <f>NQ55+NC56-(NJ56+NK56+NL56+NM56+NN56+NO56+NH56)</f>
        <v/>
      </c>
      <c r="NR56" s="12">
        <f>IF(MW56&gt;0,MX56/MW56,0)</f>
        <v/>
      </c>
      <c r="NS56" s="11">
        <f>IF(MW55&gt;0,MAX(0,(MW55+MH56-MW56)/MW55),0)</f>
        <v/>
      </c>
      <c r="NU56" s="12" t="n">
        <v>52</v>
      </c>
      <c r="NV56" s="12">
        <f>MOD(NU56-1+LaunchMonth-1,12)+1</f>
        <v/>
      </c>
      <c r="NW56" s="12">
        <f>INT((NU56-1+LaunchMonth-1)/12)+1</f>
        <v/>
      </c>
      <c r="NX56" s="12">
        <f>VLOOKUP(NV56,SeasonTable,2,FALSE)</f>
        <v/>
      </c>
      <c r="NY56" s="12">
        <f>(1+InflationRate)^INT((NU56-1)/12)</f>
        <v/>
      </c>
      <c r="NZ56" s="11">
        <f>'Sens - Churn'!$A$18*VLOOKUP(NV56,ChurnSeasonTable,4,FALSE)</f>
        <v/>
      </c>
      <c r="OA56" s="12">
        <f>MIN(MAX(MktMin19plus,OY55*MktPct19plus),MAX(0,PM55-CashBuffer))</f>
        <v/>
      </c>
      <c r="OB56" s="12">
        <f>IF(OA56&gt;0,MAX(1,ROUND(OA56/CAC*NX56,0)),0)</f>
        <v/>
      </c>
      <c r="OC56" s="12">
        <f>IF(OB56&gt;0,ROUND(OB56*ReferralMix/(1-ReferralMix),0),0)</f>
        <v/>
      </c>
      <c r="OD56" s="12">
        <f>OB56+OC56</f>
        <v/>
      </c>
      <c r="OE56" s="12">
        <f>ROUND(OD56*(1-AnnualMix),0)</f>
        <v/>
      </c>
      <c r="OF56" s="12">
        <f>OD56-OE56</f>
        <v/>
      </c>
      <c r="OG56" s="12">
        <f>ROUND(OE56*EssentialMix,0)</f>
        <v/>
      </c>
      <c r="OH56" s="12">
        <f>ROUND(OE56*PremiumMix,0)</f>
        <v/>
      </c>
      <c r="OI56" s="12">
        <f>OE56-OG56-OH56</f>
        <v/>
      </c>
      <c r="OJ56" s="12">
        <f>ROUND(OF56*EssentialMix,0)</f>
        <v/>
      </c>
      <c r="OK56" s="12">
        <f>ROUND(OF56*PremiumMix,0)</f>
        <v/>
      </c>
      <c r="OL56" s="12">
        <f>OF56-OJ56-OK56</f>
        <v/>
      </c>
      <c r="OM56" s="12">
        <f>OG56+OG55+OG54+MAX(0,OM55-OG55-OG54)*(1-NZ56)</f>
        <v/>
      </c>
      <c r="ON56" s="12">
        <f>OH56+OH55+OH54+MAX(0,ON55-OH55-OH54)*(1-NZ56)</f>
        <v/>
      </c>
      <c r="OO56" s="12">
        <f>OI56+OI55+OI54+MAX(0,OO55-OI55-OI54)*(1-NZ56)</f>
        <v/>
      </c>
      <c r="OP56" s="12">
        <f>OP55+OJ56-OJ44*(AnnualChurn*VLOOKUP(NV56,ChurnSeasonTable,4,FALSE))*POWER(1-(AnnualChurn*VLOOKUP(NV56,ChurnSeasonTable,4,FALSE)),0)+OJ32*(AnnualChurn*VLOOKUP(NV56,ChurnSeasonTable,4,FALSE))*POWER(1-(AnnualChurn*VLOOKUP(NV56,ChurnSeasonTable,4,FALSE)),1)+OJ20*(AnnualChurn*VLOOKUP(NV56,ChurnSeasonTable,4,FALSE))*POWER(1-(AnnualChurn*VLOOKUP(NV56,ChurnSeasonTable,4,FALSE)),2)+OJ8*(AnnualChurn*VLOOKUP(NV56,ChurnSeasonTable,4,FALSE))*POWER(1-(AnnualChurn*VLOOKUP(NV56,ChurnSeasonTable,4,FALSE)),3)</f>
        <v/>
      </c>
      <c r="OQ56" s="12">
        <f>OQ55+OK56-OK44*(AnnualChurn*VLOOKUP(NV56,ChurnSeasonTable,4,FALSE))*POWER(1-(AnnualChurn*VLOOKUP(NV56,ChurnSeasonTable,4,FALSE)),0)+OK32*(AnnualChurn*VLOOKUP(NV56,ChurnSeasonTable,4,FALSE))*POWER(1-(AnnualChurn*VLOOKUP(NV56,ChurnSeasonTable,4,FALSE)),1)+OK20*(AnnualChurn*VLOOKUP(NV56,ChurnSeasonTable,4,FALSE))*POWER(1-(AnnualChurn*VLOOKUP(NV56,ChurnSeasonTable,4,FALSE)),2)+OK8*(AnnualChurn*VLOOKUP(NV56,ChurnSeasonTable,4,FALSE))*POWER(1-(AnnualChurn*VLOOKUP(NV56,ChurnSeasonTable,4,FALSE)),3)</f>
        <v/>
      </c>
      <c r="OR56" s="12">
        <f>OR55+OL56-OL44*(AnnualChurn*VLOOKUP(NV56,ChurnSeasonTable,4,FALSE))*POWER(1-(AnnualChurn*VLOOKUP(NV56,ChurnSeasonTable,4,FALSE)),0)+OL32*(AnnualChurn*VLOOKUP(NV56,ChurnSeasonTable,4,FALSE))*POWER(1-(AnnualChurn*VLOOKUP(NV56,ChurnSeasonTable,4,FALSE)),1)+OL20*(AnnualChurn*VLOOKUP(NV56,ChurnSeasonTable,4,FALSE))*POWER(1-(AnnualChurn*VLOOKUP(NV56,ChurnSeasonTable,4,FALSE)),2)+OL8*(AnnualChurn*VLOOKUP(NV56,ChurnSeasonTable,4,FALSE))*POWER(1-(AnnualChurn*VLOOKUP(NV56,ChurnSeasonTable,4,FALSE)),3)</f>
        <v/>
      </c>
      <c r="OS56" s="12">
        <f>OM56+ON56+OO56+OP56+OQ56+OR56</f>
        <v/>
      </c>
      <c r="OT56" s="9">
        <f>OM56*BlendedPriceEssMonthly*NY56+ON56*BlendedPricePremMonthly*NY56+OO56*BlendedPriceEliteMonthly*NY56+OP56*BlendedPriceEssAnnual*NY56/12+OQ56*BlendedPricePremAnnual*NY56/12+OR56*BlendedPriceEliteAnnual*NY56/12</f>
        <v/>
      </c>
      <c r="OU56" s="9">
        <f>OT56*12</f>
        <v/>
      </c>
      <c r="OV56" s="12">
        <f>OM56*BlendedPriceEssMonthly*NY56+ON56*BlendedPricePremMonthly*NY56+OO56*BlendedPriceEliteMonthly*NY56</f>
        <v/>
      </c>
      <c r="OW56" s="12">
        <f>OJ56*BlendedPriceEssAnnual*NY56+OK56*BlendedPricePremAnnual*NY56+OL56*BlendedPriceEliteAnnual*NY56</f>
        <v/>
      </c>
      <c r="OX56" s="12">
        <f>OJ44*POWER(1-(AnnualChurn*VLOOKUP(NV56,ChurnSeasonTable,4,FALSE)),1)*BlendedPriceEssAnnual*NY56+OJ32*POWER(1-(AnnualChurn*VLOOKUP(NV56,ChurnSeasonTable,4,FALSE)),2)*BlendedPriceEssAnnual*NY56+OJ20*POWER(1-(AnnualChurn*VLOOKUP(NV56,ChurnSeasonTable,4,FALSE)),3)*BlendedPriceEssAnnual*NY56+OJ8*POWER(1-(AnnualChurn*VLOOKUP(NV56,ChurnSeasonTable,4,FALSE)),4)*BlendedPriceEssAnnual*NY56+OK44*POWER(1-(AnnualChurn*VLOOKUP(NV56,ChurnSeasonTable,4,FALSE)),1)*BlendedPricePremAnnual*NY56+OK32*POWER(1-(AnnualChurn*VLOOKUP(NV56,ChurnSeasonTable,4,FALSE)),2)*BlendedPricePremAnnual*NY56+OK20*POWER(1-(AnnualChurn*VLOOKUP(NV56,ChurnSeasonTable,4,FALSE)),3)*BlendedPricePremAnnual*NY56+OK8*POWER(1-(AnnualChurn*VLOOKUP(NV56,ChurnSeasonTable,4,FALSE)),4)*BlendedPricePremAnnual*NY56+OL44*POWER(1-(AnnualChurn*VLOOKUP(NV56,ChurnSeasonTable,4,FALSE)),1)*BlendedPriceEliteAnnual*NY56+OL32*POWER(1-(AnnualChurn*VLOOKUP(NV56,ChurnSeasonTable,4,FALSE)),2)*BlendedPriceEliteAnnual*NY56+OL20*POWER(1-(AnnualChurn*VLOOKUP(NV56,ChurnSeasonTable,4,FALSE)),3)*BlendedPriceEliteAnnual*NY56+OL8*POWER(1-(AnnualChurn*VLOOKUP(NV56,ChurnSeasonTable,4,FALSE)),4)*BlendedPriceEliteAnnual*NY56</f>
        <v/>
      </c>
      <c r="OY56" s="9">
        <f>OV56+OW56+OX56</f>
        <v/>
      </c>
      <c r="OZ56" s="12">
        <f>SUM(OY45:OY56)</f>
        <v/>
      </c>
      <c r="PA56" s="12">
        <f>OR(PA55,IF(VATAgentMode,SUM($OY45:$OY56)-SUM($PF45:$PF56)&gt;=VATThreshold,SUM($OY45:$OY56)&gt;=VATThreshold))</f>
        <v/>
      </c>
      <c r="PB56" s="9">
        <f>IF(PA56,IF(VATAgentMode,OY56-((OY56-PF56)-(OY56-PF56)/(1+VATRate)),OY56/(1+VATRate)),OY56)</f>
        <v/>
      </c>
      <c r="PC56" s="12">
        <f>OY56-PB56</f>
        <v/>
      </c>
      <c r="PD56" s="12">
        <f>IF(PA56=0,0,IF(NV56=1,SUMPRODUCT(--(($NW$5:$NW56=$NW56-1)*($NV$5:$NV56&gt;=10)*($NV$5:$NV56&lt;=12)),$PC$5:$PC56),IF(NV56=4,SUMPRODUCT(--(($NW$5:$NW56=$NW56)*($NV$5:$NV56&gt;=1)*($NV$5:$NV56&lt;=3)),$PC$5:$PC56),IF(NV56=7,SUMPRODUCT(--(($NW$5:$NW56=$NW56)*($NV$5:$NV56&gt;=4)*($NV$5:$NV56&lt;=6)),$PC$5:$PC56),IF(NV56=10,SUMPRODUCT(--(($NW$5:$NW56=$NW56)*($NV$5:$NV56&gt;=7)*($NV$5:$NV56&lt;=9)),$PC$5:$PC56),0)))))</f>
        <v/>
      </c>
      <c r="PE56" s="12">
        <f>PE55+PC56-PD56</f>
        <v/>
      </c>
      <c r="PF56" s="12">
        <f>IF(ProviderDelay&gt;=1,OM55*BlendedProvPayEss+ON55*BlendedProvPayPrem+OO55*BlendedProvPayElite+OP55*BlendedProvPayEss+OQ55*BlendedProvPayPrem+OR55*BlendedProvPayElite,OM56*BlendedProvPayEss+ON56*BlendedProvPayPrem+OO56*BlendedProvPayElite+OP56*BlendedProvPayEss+OQ56*BlendedProvPayPrem+OR56*BlendedProvPayElite)</f>
        <v/>
      </c>
      <c r="PG56" s="12">
        <f>OY56*PaymentFee</f>
        <v/>
      </c>
      <c r="PH56" s="12">
        <f>OS56*OpsAI</f>
        <v/>
      </c>
      <c r="PI56" s="12">
        <f>MonthlyFixed</f>
        <v/>
      </c>
      <c r="PJ56" s="12">
        <f>OC56*ReferralReward</f>
        <v/>
      </c>
      <c r="PK56" s="12">
        <f>OA56</f>
        <v/>
      </c>
      <c r="PL56" s="9">
        <f>PB56-PF56-PG56-PH56-PI56-PJ56-PK56</f>
        <v/>
      </c>
      <c r="PM56" s="9">
        <f>PM55+OY56-(PF56+PG56+PH56+PI56+PJ56+PK56+PD56)</f>
        <v/>
      </c>
      <c r="PN56" s="12">
        <f>IF(OS56&gt;0,OT56/OS56,0)</f>
        <v/>
      </c>
      <c r="PO56" s="11">
        <f>IF(OS55&gt;0,MAX(0,(OS55+OD56-OS56)/OS55),0)</f>
        <v/>
      </c>
      <c r="PQ56" s="12" t="n">
        <v>52</v>
      </c>
      <c r="PR56" s="12">
        <f>MOD(PQ56-1+LaunchMonth-1,12)+1</f>
        <v/>
      </c>
      <c r="PS56" s="12">
        <f>INT((PQ56-1+LaunchMonth-1)/12)+1</f>
        <v/>
      </c>
      <c r="PT56" s="12">
        <f>VLOOKUP(PR56,SeasonTable,2,FALSE)</f>
        <v/>
      </c>
      <c r="PU56" s="12">
        <f>(1+InflationRate)^INT((PQ56-1)/12)</f>
        <v/>
      </c>
      <c r="PV56" s="11">
        <f>'Sens - Churn'!$A$19*VLOOKUP(PR56,ChurnSeasonTable,4,FALSE)</f>
        <v/>
      </c>
      <c r="PW56" s="12">
        <f>MIN(MAX(MktMin19plus,QU55*MktPct19plus),MAX(0,RI55-CashBuffer))</f>
        <v/>
      </c>
      <c r="PX56" s="12">
        <f>IF(PW56&gt;0,MAX(1,ROUND(PW56/CAC*PT56,0)),0)</f>
        <v/>
      </c>
      <c r="PY56" s="12">
        <f>IF(PX56&gt;0,ROUND(PX56*ReferralMix/(1-ReferralMix),0),0)</f>
        <v/>
      </c>
      <c r="PZ56" s="12">
        <f>PX56+PY56</f>
        <v/>
      </c>
      <c r="QA56" s="12">
        <f>ROUND(PZ56*(1-AnnualMix),0)</f>
        <v/>
      </c>
      <c r="QB56" s="12">
        <f>PZ56-QA56</f>
        <v/>
      </c>
      <c r="QC56" s="12">
        <f>ROUND(QA56*EssentialMix,0)</f>
        <v/>
      </c>
      <c r="QD56" s="12">
        <f>ROUND(QA56*PremiumMix,0)</f>
        <v/>
      </c>
      <c r="QE56" s="12">
        <f>QA56-QC56-QD56</f>
        <v/>
      </c>
      <c r="QF56" s="12">
        <f>ROUND(QB56*EssentialMix,0)</f>
        <v/>
      </c>
      <c r="QG56" s="12">
        <f>ROUND(QB56*PremiumMix,0)</f>
        <v/>
      </c>
      <c r="QH56" s="12">
        <f>QB56-QF56-QG56</f>
        <v/>
      </c>
      <c r="QI56" s="12">
        <f>QC56+QC55+QC54+MAX(0,QI55-QC55-QC54)*(1-PV56)</f>
        <v/>
      </c>
      <c r="QJ56" s="12">
        <f>QD56+QD55+QD54+MAX(0,QJ55-QD55-QD54)*(1-PV56)</f>
        <v/>
      </c>
      <c r="QK56" s="12">
        <f>QE56+QE55+QE54+MAX(0,QK55-QE55-QE54)*(1-PV56)</f>
        <v/>
      </c>
      <c r="QL56" s="12">
        <f>QL55+QF56-QF44*(AnnualChurn*VLOOKUP(PR56,ChurnSeasonTable,4,FALSE))*POWER(1-(AnnualChurn*VLOOKUP(PR56,ChurnSeasonTable,4,FALSE)),0)+QF32*(AnnualChurn*VLOOKUP(PR56,ChurnSeasonTable,4,FALSE))*POWER(1-(AnnualChurn*VLOOKUP(PR56,ChurnSeasonTable,4,FALSE)),1)+QF20*(AnnualChurn*VLOOKUP(PR56,ChurnSeasonTable,4,FALSE))*POWER(1-(AnnualChurn*VLOOKUP(PR56,ChurnSeasonTable,4,FALSE)),2)+QF8*(AnnualChurn*VLOOKUP(PR56,ChurnSeasonTable,4,FALSE))*POWER(1-(AnnualChurn*VLOOKUP(PR56,ChurnSeasonTable,4,FALSE)),3)</f>
        <v/>
      </c>
      <c r="QM56" s="12">
        <f>QM55+QG56-QG44*(AnnualChurn*VLOOKUP(PR56,ChurnSeasonTable,4,FALSE))*POWER(1-(AnnualChurn*VLOOKUP(PR56,ChurnSeasonTable,4,FALSE)),0)+QG32*(AnnualChurn*VLOOKUP(PR56,ChurnSeasonTable,4,FALSE))*POWER(1-(AnnualChurn*VLOOKUP(PR56,ChurnSeasonTable,4,FALSE)),1)+QG20*(AnnualChurn*VLOOKUP(PR56,ChurnSeasonTable,4,FALSE))*POWER(1-(AnnualChurn*VLOOKUP(PR56,ChurnSeasonTable,4,FALSE)),2)+QG8*(AnnualChurn*VLOOKUP(PR56,ChurnSeasonTable,4,FALSE))*POWER(1-(AnnualChurn*VLOOKUP(PR56,ChurnSeasonTable,4,FALSE)),3)</f>
        <v/>
      </c>
      <c r="QN56" s="12">
        <f>QN55+QH56-QH44*(AnnualChurn*VLOOKUP(PR56,ChurnSeasonTable,4,FALSE))*POWER(1-(AnnualChurn*VLOOKUP(PR56,ChurnSeasonTable,4,FALSE)),0)+QH32*(AnnualChurn*VLOOKUP(PR56,ChurnSeasonTable,4,FALSE))*POWER(1-(AnnualChurn*VLOOKUP(PR56,ChurnSeasonTable,4,FALSE)),1)+QH20*(AnnualChurn*VLOOKUP(PR56,ChurnSeasonTable,4,FALSE))*POWER(1-(AnnualChurn*VLOOKUP(PR56,ChurnSeasonTable,4,FALSE)),2)+QH8*(AnnualChurn*VLOOKUP(PR56,ChurnSeasonTable,4,FALSE))*POWER(1-(AnnualChurn*VLOOKUP(PR56,ChurnSeasonTable,4,FALSE)),3)</f>
        <v/>
      </c>
      <c r="QO56" s="12">
        <f>QI56+QJ56+QK56+QL56+QM56+QN56</f>
        <v/>
      </c>
      <c r="QP56" s="9">
        <f>QI56*BlendedPriceEssMonthly*PU56+QJ56*BlendedPricePremMonthly*PU56+QK56*BlendedPriceEliteMonthly*PU56+QL56*BlendedPriceEssAnnual*PU56/12+QM56*BlendedPricePremAnnual*PU56/12+QN56*BlendedPriceEliteAnnual*PU56/12</f>
        <v/>
      </c>
      <c r="QQ56" s="9">
        <f>QP56*12</f>
        <v/>
      </c>
      <c r="QR56" s="12">
        <f>QI56*BlendedPriceEssMonthly*PU56+QJ56*BlendedPricePremMonthly*PU56+QK56*BlendedPriceEliteMonthly*PU56</f>
        <v/>
      </c>
      <c r="QS56" s="12">
        <f>QF56*BlendedPriceEssAnnual*PU56+QG56*BlendedPricePremAnnual*PU56+QH56*BlendedPriceEliteAnnual*PU56</f>
        <v/>
      </c>
      <c r="QT56" s="12">
        <f>QF44*POWER(1-(AnnualChurn*VLOOKUP(PR56,ChurnSeasonTable,4,FALSE)),1)*BlendedPriceEssAnnual*PU56+QF32*POWER(1-(AnnualChurn*VLOOKUP(PR56,ChurnSeasonTable,4,FALSE)),2)*BlendedPriceEssAnnual*PU56+QF20*POWER(1-(AnnualChurn*VLOOKUP(PR56,ChurnSeasonTable,4,FALSE)),3)*BlendedPriceEssAnnual*PU56+QF8*POWER(1-(AnnualChurn*VLOOKUP(PR56,ChurnSeasonTable,4,FALSE)),4)*BlendedPriceEssAnnual*PU56+QG44*POWER(1-(AnnualChurn*VLOOKUP(PR56,ChurnSeasonTable,4,FALSE)),1)*BlendedPricePremAnnual*PU56+QG32*POWER(1-(AnnualChurn*VLOOKUP(PR56,ChurnSeasonTable,4,FALSE)),2)*BlendedPricePremAnnual*PU56+QG20*POWER(1-(AnnualChurn*VLOOKUP(PR56,ChurnSeasonTable,4,FALSE)),3)*BlendedPricePremAnnual*PU56+QG8*POWER(1-(AnnualChurn*VLOOKUP(PR56,ChurnSeasonTable,4,FALSE)),4)*BlendedPricePremAnnual*PU56+QH44*POWER(1-(AnnualChurn*VLOOKUP(PR56,ChurnSeasonTable,4,FALSE)),1)*BlendedPriceEliteAnnual*PU56+QH32*POWER(1-(AnnualChurn*VLOOKUP(PR56,ChurnSeasonTable,4,FALSE)),2)*BlendedPriceEliteAnnual*PU56+QH20*POWER(1-(AnnualChurn*VLOOKUP(PR56,ChurnSeasonTable,4,FALSE)),3)*BlendedPriceEliteAnnual*PU56+QH8*POWER(1-(AnnualChurn*VLOOKUP(PR56,ChurnSeasonTable,4,FALSE)),4)*BlendedPriceEliteAnnual*PU56</f>
        <v/>
      </c>
      <c r="QU56" s="9">
        <f>QR56+QS56+QT56</f>
        <v/>
      </c>
      <c r="QV56" s="12">
        <f>SUM(QU45:QU56)</f>
        <v/>
      </c>
      <c r="QW56" s="12">
        <f>OR(QW55,IF(VATAgentMode,SUM($QU45:$QU56)-SUM($RB45:$RB56)&gt;=VATThreshold,SUM($QU45:$QU56)&gt;=VATThreshold))</f>
        <v/>
      </c>
      <c r="QX56" s="9">
        <f>IF(QW56,IF(VATAgentMode,QU56-((QU56-RB56)-(QU56-RB56)/(1+VATRate)),QU56/(1+VATRate)),QU56)</f>
        <v/>
      </c>
      <c r="QY56" s="12">
        <f>QU56-QX56</f>
        <v/>
      </c>
      <c r="QZ56" s="12">
        <f>IF(QW56=0,0,IF(PR56=1,SUMPRODUCT(--(($PS$5:$PS56=$PS56-1)*($PR$5:$PR56&gt;=10)*($PR$5:$PR56&lt;=12)),$QY$5:$QY56),IF(PR56=4,SUMPRODUCT(--(($PS$5:$PS56=$PS56)*($PR$5:$PR56&gt;=1)*($PR$5:$PR56&lt;=3)),$QY$5:$QY56),IF(PR56=7,SUMPRODUCT(--(($PS$5:$PS56=$PS56)*($PR$5:$PR56&gt;=4)*($PR$5:$PR56&lt;=6)),$QY$5:$QY56),IF(PR56=10,SUMPRODUCT(--(($PS$5:$PS56=$PS56)*($PR$5:$PR56&gt;=7)*($PR$5:$PR56&lt;=9)),$QY$5:$QY56),0)))))</f>
        <v/>
      </c>
      <c r="RA56" s="12">
        <f>RA55+QY56-QZ56</f>
        <v/>
      </c>
      <c r="RB56" s="12">
        <f>IF(ProviderDelay&gt;=1,QI55*BlendedProvPayEss+QJ55*BlendedProvPayPrem+QK55*BlendedProvPayElite+QL55*BlendedProvPayEss+QM55*BlendedProvPayPrem+QN55*BlendedProvPayElite,QI56*BlendedProvPayEss+QJ56*BlendedProvPayPrem+QK56*BlendedProvPayElite+QL56*BlendedProvPayEss+QM56*BlendedProvPayPrem+QN56*BlendedProvPayElite)</f>
        <v/>
      </c>
      <c r="RC56" s="12">
        <f>QU56*PaymentFee</f>
        <v/>
      </c>
      <c r="RD56" s="12">
        <f>QO56*OpsAI</f>
        <v/>
      </c>
      <c r="RE56" s="12">
        <f>MonthlyFixed</f>
        <v/>
      </c>
      <c r="RF56" s="12">
        <f>PY56*ReferralReward</f>
        <v/>
      </c>
      <c r="RG56" s="12">
        <f>PW56</f>
        <v/>
      </c>
      <c r="RH56" s="9">
        <f>QX56-RB56-RC56-RD56-RE56-RF56-RG56</f>
        <v/>
      </c>
      <c r="RI56" s="9">
        <f>RI55+QU56-(RB56+RC56+RD56+RE56+RF56+RG56+QZ56)</f>
        <v/>
      </c>
      <c r="RJ56" s="12">
        <f>IF(QO56&gt;0,QP56/QO56,0)</f>
        <v/>
      </c>
      <c r="RK56" s="11">
        <f>IF(QO55&gt;0,MAX(0,(QO55+PZ56-QO56)/QO55),0)</f>
        <v/>
      </c>
      <c r="RM56" s="12" t="n">
        <v>52</v>
      </c>
      <c r="RN56" s="12">
        <f>MOD(RM56-1+LaunchMonth-1,12)+1</f>
        <v/>
      </c>
      <c r="RO56" s="12">
        <f>INT((RM56-1+LaunchMonth-1)/12)+1</f>
        <v/>
      </c>
      <c r="RP56" s="12">
        <f>VLOOKUP(RN56,SeasonTable,2,FALSE)</f>
        <v/>
      </c>
      <c r="RQ56" s="12">
        <f>(1+InflationRate)^INT((RM56-1)/12)</f>
        <v/>
      </c>
      <c r="RR56" s="11">
        <f>'Sens - Churn'!$A$20*VLOOKUP(RN56,ChurnSeasonTable,4,FALSE)</f>
        <v/>
      </c>
      <c r="RS56" s="12">
        <f>MIN(MAX(MktMin19plus,SQ55*MktPct19plus),MAX(0,TE55-CashBuffer))</f>
        <v/>
      </c>
      <c r="RT56" s="12">
        <f>IF(RS56&gt;0,MAX(1,ROUND(RS56/CAC*RP56,0)),0)</f>
        <v/>
      </c>
      <c r="RU56" s="12">
        <f>IF(RT56&gt;0,ROUND(RT56*ReferralMix/(1-ReferralMix),0),0)</f>
        <v/>
      </c>
      <c r="RV56" s="12">
        <f>RT56+RU56</f>
        <v/>
      </c>
      <c r="RW56" s="12">
        <f>ROUND(RV56*(1-AnnualMix),0)</f>
        <v/>
      </c>
      <c r="RX56" s="12">
        <f>RV56-RW56</f>
        <v/>
      </c>
      <c r="RY56" s="12">
        <f>ROUND(RW56*EssentialMix,0)</f>
        <v/>
      </c>
      <c r="RZ56" s="12">
        <f>ROUND(RW56*PremiumMix,0)</f>
        <v/>
      </c>
      <c r="SA56" s="12">
        <f>RW56-RY56-RZ56</f>
        <v/>
      </c>
      <c r="SB56" s="12">
        <f>ROUND(RX56*EssentialMix,0)</f>
        <v/>
      </c>
      <c r="SC56" s="12">
        <f>ROUND(RX56*PremiumMix,0)</f>
        <v/>
      </c>
      <c r="SD56" s="12">
        <f>RX56-SB56-SC56</f>
        <v/>
      </c>
      <c r="SE56" s="12">
        <f>RY56+RY55+RY54+MAX(0,SE55-RY55-RY54)*(1-RR56)</f>
        <v/>
      </c>
      <c r="SF56" s="12">
        <f>RZ56+RZ55+RZ54+MAX(0,SF55-RZ55-RZ54)*(1-RR56)</f>
        <v/>
      </c>
      <c r="SG56" s="12">
        <f>SA56+SA55+SA54+MAX(0,SG55-SA55-SA54)*(1-RR56)</f>
        <v/>
      </c>
      <c r="SH56" s="12">
        <f>SH55+SB56-SB44*(AnnualChurn*VLOOKUP(RN56,ChurnSeasonTable,4,FALSE))*POWER(1-(AnnualChurn*VLOOKUP(RN56,ChurnSeasonTable,4,FALSE)),0)+SB32*(AnnualChurn*VLOOKUP(RN56,ChurnSeasonTable,4,FALSE))*POWER(1-(AnnualChurn*VLOOKUP(RN56,ChurnSeasonTable,4,FALSE)),1)+SB20*(AnnualChurn*VLOOKUP(RN56,ChurnSeasonTable,4,FALSE))*POWER(1-(AnnualChurn*VLOOKUP(RN56,ChurnSeasonTable,4,FALSE)),2)+SB8*(AnnualChurn*VLOOKUP(RN56,ChurnSeasonTable,4,FALSE))*POWER(1-(AnnualChurn*VLOOKUP(RN56,ChurnSeasonTable,4,FALSE)),3)</f>
        <v/>
      </c>
      <c r="SI56" s="12">
        <f>SI55+SC56-SC44*(AnnualChurn*VLOOKUP(RN56,ChurnSeasonTable,4,FALSE))*POWER(1-(AnnualChurn*VLOOKUP(RN56,ChurnSeasonTable,4,FALSE)),0)+SC32*(AnnualChurn*VLOOKUP(RN56,ChurnSeasonTable,4,FALSE))*POWER(1-(AnnualChurn*VLOOKUP(RN56,ChurnSeasonTable,4,FALSE)),1)+SC20*(AnnualChurn*VLOOKUP(RN56,ChurnSeasonTable,4,FALSE))*POWER(1-(AnnualChurn*VLOOKUP(RN56,ChurnSeasonTable,4,FALSE)),2)+SC8*(AnnualChurn*VLOOKUP(RN56,ChurnSeasonTable,4,FALSE))*POWER(1-(AnnualChurn*VLOOKUP(RN56,ChurnSeasonTable,4,FALSE)),3)</f>
        <v/>
      </c>
      <c r="SJ56" s="12">
        <f>SJ55+SD56-SD44*(AnnualChurn*VLOOKUP(RN56,ChurnSeasonTable,4,FALSE))*POWER(1-(AnnualChurn*VLOOKUP(RN56,ChurnSeasonTable,4,FALSE)),0)+SD32*(AnnualChurn*VLOOKUP(RN56,ChurnSeasonTable,4,FALSE))*POWER(1-(AnnualChurn*VLOOKUP(RN56,ChurnSeasonTable,4,FALSE)),1)+SD20*(AnnualChurn*VLOOKUP(RN56,ChurnSeasonTable,4,FALSE))*POWER(1-(AnnualChurn*VLOOKUP(RN56,ChurnSeasonTable,4,FALSE)),2)+SD8*(AnnualChurn*VLOOKUP(RN56,ChurnSeasonTable,4,FALSE))*POWER(1-(AnnualChurn*VLOOKUP(RN56,ChurnSeasonTable,4,FALSE)),3)</f>
        <v/>
      </c>
      <c r="SK56" s="12">
        <f>SE56+SF56+SG56+SH56+SI56+SJ56</f>
        <v/>
      </c>
      <c r="SL56" s="9">
        <f>SE56*BlendedPriceEssMonthly*RQ56+SF56*BlendedPricePremMonthly*RQ56+SG56*BlendedPriceEliteMonthly*RQ56+SH56*BlendedPriceEssAnnual*RQ56/12+SI56*BlendedPricePremAnnual*RQ56/12+SJ56*BlendedPriceEliteAnnual*RQ56/12</f>
        <v/>
      </c>
      <c r="SM56" s="9">
        <f>SL56*12</f>
        <v/>
      </c>
      <c r="SN56" s="12">
        <f>SE56*BlendedPriceEssMonthly*RQ56+SF56*BlendedPricePremMonthly*RQ56+SG56*BlendedPriceEliteMonthly*RQ56</f>
        <v/>
      </c>
      <c r="SO56" s="12">
        <f>SB56*BlendedPriceEssAnnual*RQ56+SC56*BlendedPricePremAnnual*RQ56+SD56*BlendedPriceEliteAnnual*RQ56</f>
        <v/>
      </c>
      <c r="SP56" s="12">
        <f>SB44*POWER(1-(AnnualChurn*VLOOKUP(RN56,ChurnSeasonTable,4,FALSE)),1)*BlendedPriceEssAnnual*RQ56+SB32*POWER(1-(AnnualChurn*VLOOKUP(RN56,ChurnSeasonTable,4,FALSE)),2)*BlendedPriceEssAnnual*RQ56+SB20*POWER(1-(AnnualChurn*VLOOKUP(RN56,ChurnSeasonTable,4,FALSE)),3)*BlendedPriceEssAnnual*RQ56+SB8*POWER(1-(AnnualChurn*VLOOKUP(RN56,ChurnSeasonTable,4,FALSE)),4)*BlendedPriceEssAnnual*RQ56+SC44*POWER(1-(AnnualChurn*VLOOKUP(RN56,ChurnSeasonTable,4,FALSE)),1)*BlendedPricePremAnnual*RQ56+SC32*POWER(1-(AnnualChurn*VLOOKUP(RN56,ChurnSeasonTable,4,FALSE)),2)*BlendedPricePremAnnual*RQ56+SC20*POWER(1-(AnnualChurn*VLOOKUP(RN56,ChurnSeasonTable,4,FALSE)),3)*BlendedPricePremAnnual*RQ56+SC8*POWER(1-(AnnualChurn*VLOOKUP(RN56,ChurnSeasonTable,4,FALSE)),4)*BlendedPricePremAnnual*RQ56+SD44*POWER(1-(AnnualChurn*VLOOKUP(RN56,ChurnSeasonTable,4,FALSE)),1)*BlendedPriceEliteAnnual*RQ56+SD32*POWER(1-(AnnualChurn*VLOOKUP(RN56,ChurnSeasonTable,4,FALSE)),2)*BlendedPriceEliteAnnual*RQ56+SD20*POWER(1-(AnnualChurn*VLOOKUP(RN56,ChurnSeasonTable,4,FALSE)),3)*BlendedPriceEliteAnnual*RQ56+SD8*POWER(1-(AnnualChurn*VLOOKUP(RN56,ChurnSeasonTable,4,FALSE)),4)*BlendedPriceEliteAnnual*RQ56</f>
        <v/>
      </c>
      <c r="SQ56" s="9">
        <f>SN56+SO56+SP56</f>
        <v/>
      </c>
      <c r="SR56" s="12">
        <f>SUM(SQ45:SQ56)</f>
        <v/>
      </c>
      <c r="SS56" s="12">
        <f>OR(SS55,IF(VATAgentMode,SUM($SQ45:$SQ56)-SUM($SX45:$SX56)&gt;=VATThreshold,SUM($SQ45:$SQ56)&gt;=VATThreshold))</f>
        <v/>
      </c>
      <c r="ST56" s="9">
        <f>IF(SS56,IF(VATAgentMode,SQ56-((SQ56-SX56)-(SQ56-SX56)/(1+VATRate)),SQ56/(1+VATRate)),SQ56)</f>
        <v/>
      </c>
      <c r="SU56" s="12">
        <f>SQ56-ST56</f>
        <v/>
      </c>
      <c r="SV56" s="12">
        <f>IF(SS56=0,0,IF(RN56=1,SUMPRODUCT(--(($RO$5:$RO56=$RO56-1)*($RN$5:$RN56&gt;=10)*($RN$5:$RN56&lt;=12)),$SU$5:$SU56),IF(RN56=4,SUMPRODUCT(--(($RO$5:$RO56=$RO56)*($RN$5:$RN56&gt;=1)*($RN$5:$RN56&lt;=3)),$SU$5:$SU56),IF(RN56=7,SUMPRODUCT(--(($RO$5:$RO56=$RO56)*($RN$5:$RN56&gt;=4)*($RN$5:$RN56&lt;=6)),$SU$5:$SU56),IF(RN56=10,SUMPRODUCT(--(($RO$5:$RO56=$RO56)*($RN$5:$RN56&gt;=7)*($RN$5:$RN56&lt;=9)),$SU$5:$SU56),0)))))</f>
        <v/>
      </c>
      <c r="SW56" s="12">
        <f>SW55+SU56-SV56</f>
        <v/>
      </c>
      <c r="SX56" s="12">
        <f>IF(ProviderDelay&gt;=1,SE55*BlendedProvPayEss+SF55*BlendedProvPayPrem+SG55*BlendedProvPayElite+SH55*BlendedProvPayEss+SI55*BlendedProvPayPrem+SJ55*BlendedProvPayElite,SE56*BlendedProvPayEss+SF56*BlendedProvPayPrem+SG56*BlendedProvPayElite+SH56*BlendedProvPayEss+SI56*BlendedProvPayPrem+SJ56*BlendedProvPayElite)</f>
        <v/>
      </c>
      <c r="SY56" s="12">
        <f>SQ56*PaymentFee</f>
        <v/>
      </c>
      <c r="SZ56" s="12">
        <f>SK56*OpsAI</f>
        <v/>
      </c>
      <c r="TA56" s="12">
        <f>MonthlyFixed</f>
        <v/>
      </c>
      <c r="TB56" s="12">
        <f>RU56*ReferralReward</f>
        <v/>
      </c>
      <c r="TC56" s="12">
        <f>RS56</f>
        <v/>
      </c>
      <c r="TD56" s="9">
        <f>ST56-SX56-SY56-SZ56-TA56-TB56-TC56</f>
        <v/>
      </c>
      <c r="TE56" s="9">
        <f>TE55+SQ56-(SX56+SY56+SZ56+TA56+TB56+TC56+SV56)</f>
        <v/>
      </c>
      <c r="TF56" s="12">
        <f>IF(SK56&gt;0,SL56/SK56,0)</f>
        <v/>
      </c>
      <c r="TG56" s="11">
        <f>IF(SK55&gt;0,MAX(0,(SK55+RV56-SK56)/SK55),0)</f>
        <v/>
      </c>
      <c r="TI56" s="12" t="n">
        <v>52</v>
      </c>
      <c r="TJ56" s="12">
        <f>MOD(TI56-1+LaunchMonth-1,12)+1</f>
        <v/>
      </c>
      <c r="TK56" s="12">
        <f>INT((TI56-1+LaunchMonth-1)/12)+1</f>
        <v/>
      </c>
      <c r="TL56" s="12">
        <f>VLOOKUP(TJ56,SeasonTable,2,FALSE)</f>
        <v/>
      </c>
      <c r="TM56" s="12">
        <f>(1+InflationRate)^INT((TI56-1)/12)</f>
        <v/>
      </c>
      <c r="TN56" s="11">
        <f>'Sens - Churn'!$A$21*VLOOKUP(TJ56,ChurnSeasonTable,4,FALSE)</f>
        <v/>
      </c>
      <c r="TO56" s="12">
        <f>MIN(MAX(MktMin19plus,UM55*MktPct19plus),MAX(0,VA55-CashBuffer))</f>
        <v/>
      </c>
      <c r="TP56" s="12">
        <f>IF(TO56&gt;0,MAX(1,ROUND(TO56/CAC*TL56,0)),0)</f>
        <v/>
      </c>
      <c r="TQ56" s="12">
        <f>IF(TP56&gt;0,ROUND(TP56*ReferralMix/(1-ReferralMix),0),0)</f>
        <v/>
      </c>
      <c r="TR56" s="12">
        <f>TP56+TQ56</f>
        <v/>
      </c>
      <c r="TS56" s="12">
        <f>ROUND(TR56*(1-AnnualMix),0)</f>
        <v/>
      </c>
      <c r="TT56" s="12">
        <f>TR56-TS56</f>
        <v/>
      </c>
      <c r="TU56" s="12">
        <f>ROUND(TS56*EssentialMix,0)</f>
        <v/>
      </c>
      <c r="TV56" s="12">
        <f>ROUND(TS56*PremiumMix,0)</f>
        <v/>
      </c>
      <c r="TW56" s="12">
        <f>TS56-TU56-TV56</f>
        <v/>
      </c>
      <c r="TX56" s="12">
        <f>ROUND(TT56*EssentialMix,0)</f>
        <v/>
      </c>
      <c r="TY56" s="12">
        <f>ROUND(TT56*PremiumMix,0)</f>
        <v/>
      </c>
      <c r="TZ56" s="12">
        <f>TT56-TX56-TY56</f>
        <v/>
      </c>
      <c r="UA56" s="12">
        <f>TU56+TU55+TU54+MAX(0,UA55-TU55-TU54)*(1-TN56)</f>
        <v/>
      </c>
      <c r="UB56" s="12">
        <f>TV56+TV55+TV54+MAX(0,UB55-TV55-TV54)*(1-TN56)</f>
        <v/>
      </c>
      <c r="UC56" s="12">
        <f>TW56+TW55+TW54+MAX(0,UC55-TW55-TW54)*(1-TN56)</f>
        <v/>
      </c>
      <c r="UD56" s="12">
        <f>UD55+TX56-TX44*(AnnualChurn*VLOOKUP(TJ56,ChurnSeasonTable,4,FALSE))*POWER(1-(AnnualChurn*VLOOKUP(TJ56,ChurnSeasonTable,4,FALSE)),0)+TX32*(AnnualChurn*VLOOKUP(TJ56,ChurnSeasonTable,4,FALSE))*POWER(1-(AnnualChurn*VLOOKUP(TJ56,ChurnSeasonTable,4,FALSE)),1)+TX20*(AnnualChurn*VLOOKUP(TJ56,ChurnSeasonTable,4,FALSE))*POWER(1-(AnnualChurn*VLOOKUP(TJ56,ChurnSeasonTable,4,FALSE)),2)+TX8*(AnnualChurn*VLOOKUP(TJ56,ChurnSeasonTable,4,FALSE))*POWER(1-(AnnualChurn*VLOOKUP(TJ56,ChurnSeasonTable,4,FALSE)),3)</f>
        <v/>
      </c>
      <c r="UE56" s="12">
        <f>UE55+TY56-TY44*(AnnualChurn*VLOOKUP(TJ56,ChurnSeasonTable,4,FALSE))*POWER(1-(AnnualChurn*VLOOKUP(TJ56,ChurnSeasonTable,4,FALSE)),0)+TY32*(AnnualChurn*VLOOKUP(TJ56,ChurnSeasonTable,4,FALSE))*POWER(1-(AnnualChurn*VLOOKUP(TJ56,ChurnSeasonTable,4,FALSE)),1)+TY20*(AnnualChurn*VLOOKUP(TJ56,ChurnSeasonTable,4,FALSE))*POWER(1-(AnnualChurn*VLOOKUP(TJ56,ChurnSeasonTable,4,FALSE)),2)+TY8*(AnnualChurn*VLOOKUP(TJ56,ChurnSeasonTable,4,FALSE))*POWER(1-(AnnualChurn*VLOOKUP(TJ56,ChurnSeasonTable,4,FALSE)),3)</f>
        <v/>
      </c>
      <c r="UF56" s="12">
        <f>UF55+TZ56-TZ44*(AnnualChurn*VLOOKUP(TJ56,ChurnSeasonTable,4,FALSE))*POWER(1-(AnnualChurn*VLOOKUP(TJ56,ChurnSeasonTable,4,FALSE)),0)+TZ32*(AnnualChurn*VLOOKUP(TJ56,ChurnSeasonTable,4,FALSE))*POWER(1-(AnnualChurn*VLOOKUP(TJ56,ChurnSeasonTable,4,FALSE)),1)+TZ20*(AnnualChurn*VLOOKUP(TJ56,ChurnSeasonTable,4,FALSE))*POWER(1-(AnnualChurn*VLOOKUP(TJ56,ChurnSeasonTable,4,FALSE)),2)+TZ8*(AnnualChurn*VLOOKUP(TJ56,ChurnSeasonTable,4,FALSE))*POWER(1-(AnnualChurn*VLOOKUP(TJ56,ChurnSeasonTable,4,FALSE)),3)</f>
        <v/>
      </c>
      <c r="UG56" s="12">
        <f>UA56+UB56+UC56+UD56+UE56+UF56</f>
        <v/>
      </c>
      <c r="UH56" s="9">
        <f>UA56*BlendedPriceEssMonthly*TM56+UB56*BlendedPricePremMonthly*TM56+UC56*BlendedPriceEliteMonthly*TM56+UD56*BlendedPriceEssAnnual*TM56/12+UE56*BlendedPricePremAnnual*TM56/12+UF56*BlendedPriceEliteAnnual*TM56/12</f>
        <v/>
      </c>
      <c r="UI56" s="9">
        <f>UH56*12</f>
        <v/>
      </c>
      <c r="UJ56" s="12">
        <f>UA56*BlendedPriceEssMonthly*TM56+UB56*BlendedPricePremMonthly*TM56+UC56*BlendedPriceEliteMonthly*TM56</f>
        <v/>
      </c>
      <c r="UK56" s="12">
        <f>TX56*BlendedPriceEssAnnual*TM56+TY56*BlendedPricePremAnnual*TM56+TZ56*BlendedPriceEliteAnnual*TM56</f>
        <v/>
      </c>
      <c r="UL56" s="12">
        <f>TX44*POWER(1-(AnnualChurn*VLOOKUP(TJ56,ChurnSeasonTable,4,FALSE)),1)*BlendedPriceEssAnnual*TM56+TX32*POWER(1-(AnnualChurn*VLOOKUP(TJ56,ChurnSeasonTable,4,FALSE)),2)*BlendedPriceEssAnnual*TM56+TX20*POWER(1-(AnnualChurn*VLOOKUP(TJ56,ChurnSeasonTable,4,FALSE)),3)*BlendedPriceEssAnnual*TM56+TX8*POWER(1-(AnnualChurn*VLOOKUP(TJ56,ChurnSeasonTable,4,FALSE)),4)*BlendedPriceEssAnnual*TM56+TY44*POWER(1-(AnnualChurn*VLOOKUP(TJ56,ChurnSeasonTable,4,FALSE)),1)*BlendedPricePremAnnual*TM56+TY32*POWER(1-(AnnualChurn*VLOOKUP(TJ56,ChurnSeasonTable,4,FALSE)),2)*BlendedPricePremAnnual*TM56+TY20*POWER(1-(AnnualChurn*VLOOKUP(TJ56,ChurnSeasonTable,4,FALSE)),3)*BlendedPricePremAnnual*TM56+TY8*POWER(1-(AnnualChurn*VLOOKUP(TJ56,ChurnSeasonTable,4,FALSE)),4)*BlendedPricePremAnnual*TM56+TZ44*POWER(1-(AnnualChurn*VLOOKUP(TJ56,ChurnSeasonTable,4,FALSE)),1)*BlendedPriceEliteAnnual*TM56+TZ32*POWER(1-(AnnualChurn*VLOOKUP(TJ56,ChurnSeasonTable,4,FALSE)),2)*BlendedPriceEliteAnnual*TM56+TZ20*POWER(1-(AnnualChurn*VLOOKUP(TJ56,ChurnSeasonTable,4,FALSE)),3)*BlendedPriceEliteAnnual*TM56+TZ8*POWER(1-(AnnualChurn*VLOOKUP(TJ56,ChurnSeasonTable,4,FALSE)),4)*BlendedPriceEliteAnnual*TM56</f>
        <v/>
      </c>
      <c r="UM56" s="9">
        <f>UJ56+UK56+UL56</f>
        <v/>
      </c>
      <c r="UN56" s="12">
        <f>SUM(UM45:UM56)</f>
        <v/>
      </c>
      <c r="UO56" s="12">
        <f>OR(UO55,IF(VATAgentMode,SUM($UM45:$UM56)-SUM($UT45:$UT56)&gt;=VATThreshold,SUM($UM45:$UM56)&gt;=VATThreshold))</f>
        <v/>
      </c>
      <c r="UP56" s="9">
        <f>IF(UO56,IF(VATAgentMode,UM56-((UM56-UT56)-(UM56-UT56)/(1+VATRate)),UM56/(1+VATRate)),UM56)</f>
        <v/>
      </c>
      <c r="UQ56" s="12">
        <f>UM56-UP56</f>
        <v/>
      </c>
      <c r="UR56" s="12">
        <f>IF(UO56=0,0,IF(TJ56=1,SUMPRODUCT(--(($TK$5:$TK56=$TK56-1)*($TJ$5:$TJ56&gt;=10)*($TJ$5:$TJ56&lt;=12)),$UQ$5:$UQ56),IF(TJ56=4,SUMPRODUCT(--(($TK$5:$TK56=$TK56)*($TJ$5:$TJ56&gt;=1)*($TJ$5:$TJ56&lt;=3)),$UQ$5:$UQ56),IF(TJ56=7,SUMPRODUCT(--(($TK$5:$TK56=$TK56)*($TJ$5:$TJ56&gt;=4)*($TJ$5:$TJ56&lt;=6)),$UQ$5:$UQ56),IF(TJ56=10,SUMPRODUCT(--(($TK$5:$TK56=$TK56)*($TJ$5:$TJ56&gt;=7)*($TJ$5:$TJ56&lt;=9)),$UQ$5:$UQ56),0)))))</f>
        <v/>
      </c>
      <c r="US56" s="12">
        <f>US55+UQ56-UR56</f>
        <v/>
      </c>
      <c r="UT56" s="12">
        <f>IF(ProviderDelay&gt;=1,UA55*BlendedProvPayEss+UB55*BlendedProvPayPrem+UC55*BlendedProvPayElite+UD55*BlendedProvPayEss+UE55*BlendedProvPayPrem+UF55*BlendedProvPayElite,UA56*BlendedProvPayEss+UB56*BlendedProvPayPrem+UC56*BlendedProvPayElite+UD56*BlendedProvPayEss+UE56*BlendedProvPayPrem+UF56*BlendedProvPayElite)</f>
        <v/>
      </c>
      <c r="UU56" s="12">
        <f>UM56*PaymentFee</f>
        <v/>
      </c>
      <c r="UV56" s="12">
        <f>UG56*OpsAI</f>
        <v/>
      </c>
      <c r="UW56" s="12">
        <f>MonthlyFixed</f>
        <v/>
      </c>
      <c r="UX56" s="12">
        <f>TQ56*ReferralReward</f>
        <v/>
      </c>
      <c r="UY56" s="12">
        <f>TO56</f>
        <v/>
      </c>
      <c r="UZ56" s="9">
        <f>UP56-UT56-UU56-UV56-UW56-UX56-UY56</f>
        <v/>
      </c>
      <c r="VA56" s="9">
        <f>VA55+UM56-(UT56+UU56+UV56+UW56+UX56+UY56+UR56)</f>
        <v/>
      </c>
      <c r="VB56" s="12">
        <f>IF(UG56&gt;0,UH56/UG56,0)</f>
        <v/>
      </c>
      <c r="VC56" s="11">
        <f>IF(UG55&gt;0,MAX(0,(UG55+TR56-UG56)/UG55),0)</f>
        <v/>
      </c>
      <c r="VE56" s="12" t="n">
        <v>52</v>
      </c>
      <c r="VF56" s="12">
        <f>MOD(VE56-1+LaunchMonth-1,12)+1</f>
        <v/>
      </c>
      <c r="VG56" s="12">
        <f>INT((VE56-1+LaunchMonth-1)/12)+1</f>
        <v/>
      </c>
      <c r="VH56" s="12">
        <f>VLOOKUP(VF56,SeasonTable,2,FALSE)</f>
        <v/>
      </c>
      <c r="VI56" s="12">
        <f>(1+InflationRate)^INT((VE56-1)/12)</f>
        <v/>
      </c>
      <c r="VJ56" s="11">
        <f>MonthlyChurn*VLOOKUP(VF56,ChurnSeasonTable,4,FALSE)</f>
        <v/>
      </c>
      <c r="VK56" s="12">
        <f>MIN(MAX(MktMin19plus,WI55*MktPct19plus),MAX(0,WW55-CashBuffer))</f>
        <v/>
      </c>
      <c r="VL56" s="12">
        <f>IF(VK56&gt;0,MAX(1,ROUND(VK56/CAC*VH56,0)),0)</f>
        <v/>
      </c>
      <c r="VM56" s="12">
        <f>IF(VL56&gt;0,ROUND(VL56*ReferralMix/(1-ReferralMix),0),0)</f>
        <v/>
      </c>
      <c r="VN56" s="12">
        <f>VL56+VM56</f>
        <v/>
      </c>
      <c r="VO56" s="12">
        <f>ROUND(VN56*(1-'Sens - Annual Mix'!$A$9),0)</f>
        <v/>
      </c>
      <c r="VP56" s="12">
        <f>VN56-VO56</f>
        <v/>
      </c>
      <c r="VQ56" s="12">
        <f>ROUND(VO56*EssentialMix,0)</f>
        <v/>
      </c>
      <c r="VR56" s="12">
        <f>ROUND(VO56*PremiumMix,0)</f>
        <v/>
      </c>
      <c r="VS56" s="12">
        <f>VO56-VQ56-VR56</f>
        <v/>
      </c>
      <c r="VT56" s="12">
        <f>ROUND(VP56*EssentialMix,0)</f>
        <v/>
      </c>
      <c r="VU56" s="12">
        <f>ROUND(VP56*PremiumMix,0)</f>
        <v/>
      </c>
      <c r="VV56" s="12">
        <f>VP56-VT56-VU56</f>
        <v/>
      </c>
      <c r="VW56" s="12">
        <f>VQ56+VQ55+VQ54+MAX(0,VW55-VQ55-VQ54)*(1-VJ56)</f>
        <v/>
      </c>
      <c r="VX56" s="12">
        <f>VR56+VR55+VR54+MAX(0,VX55-VR55-VR54)*(1-VJ56)</f>
        <v/>
      </c>
      <c r="VY56" s="12">
        <f>VS56+VS55+VS54+MAX(0,VY55-VS55-VS54)*(1-VJ56)</f>
        <v/>
      </c>
      <c r="VZ56" s="12">
        <f>VZ55+VT56-VT44*(AnnualChurn*VLOOKUP(VF56,ChurnSeasonTable,4,FALSE))*POWER(1-(AnnualChurn*VLOOKUP(VF56,ChurnSeasonTable,4,FALSE)),0)+VT32*(AnnualChurn*VLOOKUP(VF56,ChurnSeasonTable,4,FALSE))*POWER(1-(AnnualChurn*VLOOKUP(VF56,ChurnSeasonTable,4,FALSE)),1)+VT20*(AnnualChurn*VLOOKUP(VF56,ChurnSeasonTable,4,FALSE))*POWER(1-(AnnualChurn*VLOOKUP(VF56,ChurnSeasonTable,4,FALSE)),2)+VT8*(AnnualChurn*VLOOKUP(VF56,ChurnSeasonTable,4,FALSE))*POWER(1-(AnnualChurn*VLOOKUP(VF56,ChurnSeasonTable,4,FALSE)),3)</f>
        <v/>
      </c>
      <c r="WA56" s="12">
        <f>WA55+VU56-VU44*(AnnualChurn*VLOOKUP(VF56,ChurnSeasonTable,4,FALSE))*POWER(1-(AnnualChurn*VLOOKUP(VF56,ChurnSeasonTable,4,FALSE)),0)+VU32*(AnnualChurn*VLOOKUP(VF56,ChurnSeasonTable,4,FALSE))*POWER(1-(AnnualChurn*VLOOKUP(VF56,ChurnSeasonTable,4,FALSE)),1)+VU20*(AnnualChurn*VLOOKUP(VF56,ChurnSeasonTable,4,FALSE))*POWER(1-(AnnualChurn*VLOOKUP(VF56,ChurnSeasonTable,4,FALSE)),2)+VU8*(AnnualChurn*VLOOKUP(VF56,ChurnSeasonTable,4,FALSE))*POWER(1-(AnnualChurn*VLOOKUP(VF56,ChurnSeasonTable,4,FALSE)),3)</f>
        <v/>
      </c>
      <c r="WB56" s="12">
        <f>WB55+VV56-VV44*(AnnualChurn*VLOOKUP(VF56,ChurnSeasonTable,4,FALSE))*POWER(1-(AnnualChurn*VLOOKUP(VF56,ChurnSeasonTable,4,FALSE)),0)+VV32*(AnnualChurn*VLOOKUP(VF56,ChurnSeasonTable,4,FALSE))*POWER(1-(AnnualChurn*VLOOKUP(VF56,ChurnSeasonTable,4,FALSE)),1)+VV20*(AnnualChurn*VLOOKUP(VF56,ChurnSeasonTable,4,FALSE))*POWER(1-(AnnualChurn*VLOOKUP(VF56,ChurnSeasonTable,4,FALSE)),2)+VV8*(AnnualChurn*VLOOKUP(VF56,ChurnSeasonTable,4,FALSE))*POWER(1-(AnnualChurn*VLOOKUP(VF56,ChurnSeasonTable,4,FALSE)),3)</f>
        <v/>
      </c>
      <c r="WC56" s="12">
        <f>VW56+VX56+VY56+VZ56+WA56+WB56</f>
        <v/>
      </c>
      <c r="WD56" s="9">
        <f>VW56*BlendedPriceEssMonthly*VI56+VX56*BlendedPricePremMonthly*VI56+VY56*BlendedPriceEliteMonthly*VI56+VZ56*BlendedPriceEssAnnual*VI56/12+WA56*BlendedPricePremAnnual*VI56/12+WB56*BlendedPriceEliteAnnual*VI56/12</f>
        <v/>
      </c>
      <c r="WE56" s="9">
        <f>WD56*12</f>
        <v/>
      </c>
      <c r="WF56" s="12">
        <f>VW56*BlendedPriceEssMonthly*VI56+VX56*BlendedPricePremMonthly*VI56+VY56*BlendedPriceEliteMonthly*VI56</f>
        <v/>
      </c>
      <c r="WG56" s="12">
        <f>VT56*BlendedPriceEssAnnual*VI56+VU56*BlendedPricePremAnnual*VI56+VV56*BlendedPriceEliteAnnual*VI56</f>
        <v/>
      </c>
      <c r="WH56" s="12">
        <f>VT44*POWER(1-(AnnualChurn*VLOOKUP(VF56,ChurnSeasonTable,4,FALSE)),1)*BlendedPriceEssAnnual*VI56+VT32*POWER(1-(AnnualChurn*VLOOKUP(VF56,ChurnSeasonTable,4,FALSE)),2)*BlendedPriceEssAnnual*VI56+VT20*POWER(1-(AnnualChurn*VLOOKUP(VF56,ChurnSeasonTable,4,FALSE)),3)*BlendedPriceEssAnnual*VI56+VT8*POWER(1-(AnnualChurn*VLOOKUP(VF56,ChurnSeasonTable,4,FALSE)),4)*BlendedPriceEssAnnual*VI56+VU44*POWER(1-(AnnualChurn*VLOOKUP(VF56,ChurnSeasonTable,4,FALSE)),1)*BlendedPricePremAnnual*VI56+VU32*POWER(1-(AnnualChurn*VLOOKUP(VF56,ChurnSeasonTable,4,FALSE)),2)*BlendedPricePremAnnual*VI56+VU20*POWER(1-(AnnualChurn*VLOOKUP(VF56,ChurnSeasonTable,4,FALSE)),3)*BlendedPricePremAnnual*VI56+VU8*POWER(1-(AnnualChurn*VLOOKUP(VF56,ChurnSeasonTable,4,FALSE)),4)*BlendedPricePremAnnual*VI56+VV44*POWER(1-(AnnualChurn*VLOOKUP(VF56,ChurnSeasonTable,4,FALSE)),1)*BlendedPriceEliteAnnual*VI56+VV32*POWER(1-(AnnualChurn*VLOOKUP(VF56,ChurnSeasonTable,4,FALSE)),2)*BlendedPriceEliteAnnual*VI56+VV20*POWER(1-(AnnualChurn*VLOOKUP(VF56,ChurnSeasonTable,4,FALSE)),3)*BlendedPriceEliteAnnual*VI56+VV8*POWER(1-(AnnualChurn*VLOOKUP(VF56,ChurnSeasonTable,4,FALSE)),4)*BlendedPriceEliteAnnual*VI56</f>
        <v/>
      </c>
      <c r="WI56" s="9">
        <f>WF56+WG56+WH56</f>
        <v/>
      </c>
      <c r="WJ56" s="12">
        <f>SUM(WI45:WI56)</f>
        <v/>
      </c>
      <c r="WK56" s="12">
        <f>OR(WK55,IF(VATAgentMode,SUM($WI45:$WI56)-SUM($WP45:$WP56)&gt;=VATThreshold,SUM($WI45:$WI56)&gt;=VATThreshold))</f>
        <v/>
      </c>
      <c r="WL56" s="9">
        <f>IF(WK56,IF(VATAgentMode,WI56-((WI56-WP56)-(WI56-WP56)/(1+VATRate)),WI56/(1+VATRate)),WI56)</f>
        <v/>
      </c>
      <c r="WM56" s="12">
        <f>WI56-WL56</f>
        <v/>
      </c>
      <c r="WN56" s="12">
        <f>IF(WK56=0,0,IF(VF56=1,SUMPRODUCT(--(($VG$5:$VG56=$VG56-1)*($VF$5:$VF56&gt;=10)*($VF$5:$VF56&lt;=12)),$WM$5:$WM56),IF(VF56=4,SUMPRODUCT(--(($VG$5:$VG56=$VG56)*($VF$5:$VF56&gt;=1)*($VF$5:$VF56&lt;=3)),$WM$5:$WM56),IF(VF56=7,SUMPRODUCT(--(($VG$5:$VG56=$VG56)*($VF$5:$VF56&gt;=4)*($VF$5:$VF56&lt;=6)),$WM$5:$WM56),IF(VF56=10,SUMPRODUCT(--(($VG$5:$VG56=$VG56)*($VF$5:$VF56&gt;=7)*($VF$5:$VF56&lt;=9)),$WM$5:$WM56),0)))))</f>
        <v/>
      </c>
      <c r="WO56" s="12">
        <f>WO55+WM56-WN56</f>
        <v/>
      </c>
      <c r="WP56" s="12">
        <f>IF(ProviderDelay&gt;=1,VW55*BlendedProvPayEss+VX55*BlendedProvPayPrem+VY55*BlendedProvPayElite+VZ55*BlendedProvPayEss+WA55*BlendedProvPayPrem+WB55*BlendedProvPayElite,VW56*BlendedProvPayEss+VX56*BlendedProvPayPrem+VY56*BlendedProvPayElite+VZ56*BlendedProvPayEss+WA56*BlendedProvPayPrem+WB56*BlendedProvPayElite)</f>
        <v/>
      </c>
      <c r="WQ56" s="12">
        <f>WI56*PaymentFee</f>
        <v/>
      </c>
      <c r="WR56" s="12">
        <f>WC56*OpsAI</f>
        <v/>
      </c>
      <c r="WS56" s="12">
        <f>MonthlyFixed</f>
        <v/>
      </c>
      <c r="WT56" s="12">
        <f>VM56*ReferralReward</f>
        <v/>
      </c>
      <c r="WU56" s="12">
        <f>VK56</f>
        <v/>
      </c>
      <c r="WV56" s="9">
        <f>WL56-WP56-WQ56-WR56-WS56-WT56-WU56</f>
        <v/>
      </c>
      <c r="WW56" s="9">
        <f>WW55+WI56-(WP56+WQ56+WR56+WS56+WT56+WU56+WN56)</f>
        <v/>
      </c>
      <c r="WX56" s="12">
        <f>IF(WC56&gt;0,WD56/WC56,0)</f>
        <v/>
      </c>
      <c r="WY56" s="11">
        <f>IF(WC55&gt;0,MAX(0,(WC55+VN56-WC56)/WC55),0)</f>
        <v/>
      </c>
      <c r="XA56" s="12" t="n">
        <v>52</v>
      </c>
      <c r="XB56" s="12">
        <f>MOD(XA56-1+LaunchMonth-1,12)+1</f>
        <v/>
      </c>
      <c r="XC56" s="12">
        <f>INT((XA56-1+LaunchMonth-1)/12)+1</f>
        <v/>
      </c>
      <c r="XD56" s="12">
        <f>VLOOKUP(XB56,SeasonTable,2,FALSE)</f>
        <v/>
      </c>
      <c r="XE56" s="12">
        <f>(1+InflationRate)^INT((XA56-1)/12)</f>
        <v/>
      </c>
      <c r="XF56" s="11">
        <f>MonthlyChurn*VLOOKUP(XB56,ChurnSeasonTable,4,FALSE)</f>
        <v/>
      </c>
      <c r="XG56" s="12">
        <f>MIN(MAX(MktMin19plus,YE55*MktPct19plus),MAX(0,YS55-CashBuffer))</f>
        <v/>
      </c>
      <c r="XH56" s="12">
        <f>IF(XG56&gt;0,MAX(1,ROUND(XG56/CAC*XD56,0)),0)</f>
        <v/>
      </c>
      <c r="XI56" s="12">
        <f>IF(XH56&gt;0,ROUND(XH56*ReferralMix/(1-ReferralMix),0),0)</f>
        <v/>
      </c>
      <c r="XJ56" s="12">
        <f>XH56+XI56</f>
        <v/>
      </c>
      <c r="XK56" s="12">
        <f>ROUND(XJ56*(1-'Sens - Annual Mix'!$A$10),0)</f>
        <v/>
      </c>
      <c r="XL56" s="12">
        <f>XJ56-XK56</f>
        <v/>
      </c>
      <c r="XM56" s="12">
        <f>ROUND(XK56*EssentialMix,0)</f>
        <v/>
      </c>
      <c r="XN56" s="12">
        <f>ROUND(XK56*PremiumMix,0)</f>
        <v/>
      </c>
      <c r="XO56" s="12">
        <f>XK56-XM56-XN56</f>
        <v/>
      </c>
      <c r="XP56" s="12">
        <f>ROUND(XL56*EssentialMix,0)</f>
        <v/>
      </c>
      <c r="XQ56" s="12">
        <f>ROUND(XL56*PremiumMix,0)</f>
        <v/>
      </c>
      <c r="XR56" s="12">
        <f>XL56-XP56-XQ56</f>
        <v/>
      </c>
      <c r="XS56" s="12">
        <f>XM56+XM55+XM54+MAX(0,XS55-XM55-XM54)*(1-XF56)</f>
        <v/>
      </c>
      <c r="XT56" s="12">
        <f>XN56+XN55+XN54+MAX(0,XT55-XN55-XN54)*(1-XF56)</f>
        <v/>
      </c>
      <c r="XU56" s="12">
        <f>XO56+XO55+XO54+MAX(0,XU55-XO55-XO54)*(1-XF56)</f>
        <v/>
      </c>
      <c r="XV56" s="12">
        <f>XV55+XP56-XP44*(AnnualChurn*VLOOKUP(XB56,ChurnSeasonTable,4,FALSE))*POWER(1-(AnnualChurn*VLOOKUP(XB56,ChurnSeasonTable,4,FALSE)),0)+XP32*(AnnualChurn*VLOOKUP(XB56,ChurnSeasonTable,4,FALSE))*POWER(1-(AnnualChurn*VLOOKUP(XB56,ChurnSeasonTable,4,FALSE)),1)+XP20*(AnnualChurn*VLOOKUP(XB56,ChurnSeasonTable,4,FALSE))*POWER(1-(AnnualChurn*VLOOKUP(XB56,ChurnSeasonTable,4,FALSE)),2)+XP8*(AnnualChurn*VLOOKUP(XB56,ChurnSeasonTable,4,FALSE))*POWER(1-(AnnualChurn*VLOOKUP(XB56,ChurnSeasonTable,4,FALSE)),3)</f>
        <v/>
      </c>
      <c r="XW56" s="12">
        <f>XW55+XQ56-XQ44*(AnnualChurn*VLOOKUP(XB56,ChurnSeasonTable,4,FALSE))*POWER(1-(AnnualChurn*VLOOKUP(XB56,ChurnSeasonTable,4,FALSE)),0)+XQ32*(AnnualChurn*VLOOKUP(XB56,ChurnSeasonTable,4,FALSE))*POWER(1-(AnnualChurn*VLOOKUP(XB56,ChurnSeasonTable,4,FALSE)),1)+XQ20*(AnnualChurn*VLOOKUP(XB56,ChurnSeasonTable,4,FALSE))*POWER(1-(AnnualChurn*VLOOKUP(XB56,ChurnSeasonTable,4,FALSE)),2)+XQ8*(AnnualChurn*VLOOKUP(XB56,ChurnSeasonTable,4,FALSE))*POWER(1-(AnnualChurn*VLOOKUP(XB56,ChurnSeasonTable,4,FALSE)),3)</f>
        <v/>
      </c>
      <c r="XX56" s="12">
        <f>XX55+XR56-XR44*(AnnualChurn*VLOOKUP(XB56,ChurnSeasonTable,4,FALSE))*POWER(1-(AnnualChurn*VLOOKUP(XB56,ChurnSeasonTable,4,FALSE)),0)+XR32*(AnnualChurn*VLOOKUP(XB56,ChurnSeasonTable,4,FALSE))*POWER(1-(AnnualChurn*VLOOKUP(XB56,ChurnSeasonTable,4,FALSE)),1)+XR20*(AnnualChurn*VLOOKUP(XB56,ChurnSeasonTable,4,FALSE))*POWER(1-(AnnualChurn*VLOOKUP(XB56,ChurnSeasonTable,4,FALSE)),2)+XR8*(AnnualChurn*VLOOKUP(XB56,ChurnSeasonTable,4,FALSE))*POWER(1-(AnnualChurn*VLOOKUP(XB56,ChurnSeasonTable,4,FALSE)),3)</f>
        <v/>
      </c>
      <c r="XY56" s="12">
        <f>XS56+XT56+XU56+XV56+XW56+XX56</f>
        <v/>
      </c>
      <c r="XZ56" s="9">
        <f>XS56*BlendedPriceEssMonthly*XE56+XT56*BlendedPricePremMonthly*XE56+XU56*BlendedPriceEliteMonthly*XE56+XV56*BlendedPriceEssAnnual*XE56/12+XW56*BlendedPricePremAnnual*XE56/12+XX56*BlendedPriceEliteAnnual*XE56/12</f>
        <v/>
      </c>
      <c r="YA56" s="9">
        <f>XZ56*12</f>
        <v/>
      </c>
      <c r="YB56" s="12">
        <f>XS56*BlendedPriceEssMonthly*XE56+XT56*BlendedPricePremMonthly*XE56+XU56*BlendedPriceEliteMonthly*XE56</f>
        <v/>
      </c>
      <c r="YC56" s="12">
        <f>XP56*BlendedPriceEssAnnual*XE56+XQ56*BlendedPricePremAnnual*XE56+XR56*BlendedPriceEliteAnnual*XE56</f>
        <v/>
      </c>
      <c r="YD56" s="12">
        <f>XP44*POWER(1-(AnnualChurn*VLOOKUP(XB56,ChurnSeasonTable,4,FALSE)),1)*BlendedPriceEssAnnual*XE56+XP32*POWER(1-(AnnualChurn*VLOOKUP(XB56,ChurnSeasonTable,4,FALSE)),2)*BlendedPriceEssAnnual*XE56+XP20*POWER(1-(AnnualChurn*VLOOKUP(XB56,ChurnSeasonTable,4,FALSE)),3)*BlendedPriceEssAnnual*XE56+XP8*POWER(1-(AnnualChurn*VLOOKUP(XB56,ChurnSeasonTable,4,FALSE)),4)*BlendedPriceEssAnnual*XE56+XQ44*POWER(1-(AnnualChurn*VLOOKUP(XB56,ChurnSeasonTable,4,FALSE)),1)*BlendedPricePremAnnual*XE56+XQ32*POWER(1-(AnnualChurn*VLOOKUP(XB56,ChurnSeasonTable,4,FALSE)),2)*BlendedPricePremAnnual*XE56+XQ20*POWER(1-(AnnualChurn*VLOOKUP(XB56,ChurnSeasonTable,4,FALSE)),3)*BlendedPricePremAnnual*XE56+XQ8*POWER(1-(AnnualChurn*VLOOKUP(XB56,ChurnSeasonTable,4,FALSE)),4)*BlendedPricePremAnnual*XE56+XR44*POWER(1-(AnnualChurn*VLOOKUP(XB56,ChurnSeasonTable,4,FALSE)),1)*BlendedPriceEliteAnnual*XE56+XR32*POWER(1-(AnnualChurn*VLOOKUP(XB56,ChurnSeasonTable,4,FALSE)),2)*BlendedPriceEliteAnnual*XE56+XR20*POWER(1-(AnnualChurn*VLOOKUP(XB56,ChurnSeasonTable,4,FALSE)),3)*BlendedPriceEliteAnnual*XE56+XR8*POWER(1-(AnnualChurn*VLOOKUP(XB56,ChurnSeasonTable,4,FALSE)),4)*BlendedPriceEliteAnnual*XE56</f>
        <v/>
      </c>
      <c r="YE56" s="9">
        <f>YB56+YC56+YD56</f>
        <v/>
      </c>
      <c r="YF56" s="12">
        <f>SUM(YE45:YE56)</f>
        <v/>
      </c>
      <c r="YG56" s="12">
        <f>OR(YG55,IF(VATAgentMode,SUM($YE45:$YE56)-SUM($YL45:$YL56)&gt;=VATThreshold,SUM($YE45:$YE56)&gt;=VATThreshold))</f>
        <v/>
      </c>
      <c r="YH56" s="9">
        <f>IF(YG56,IF(VATAgentMode,YE56-((YE56-YL56)-(YE56-YL56)/(1+VATRate)),YE56/(1+VATRate)),YE56)</f>
        <v/>
      </c>
      <c r="YI56" s="12">
        <f>YE56-YH56</f>
        <v/>
      </c>
      <c r="YJ56" s="12">
        <f>IF(YG56=0,0,IF(XB56=1,SUMPRODUCT(--(($XC$5:$XC56=$XC56-1)*($XB$5:$XB56&gt;=10)*($XB$5:$XB56&lt;=12)),$YI$5:$YI56),IF(XB56=4,SUMPRODUCT(--(($XC$5:$XC56=$XC56)*($XB$5:$XB56&gt;=1)*($XB$5:$XB56&lt;=3)),$YI$5:$YI56),IF(XB56=7,SUMPRODUCT(--(($XC$5:$XC56=$XC56)*($XB$5:$XB56&gt;=4)*($XB$5:$XB56&lt;=6)),$YI$5:$YI56),IF(XB56=10,SUMPRODUCT(--(($XC$5:$XC56=$XC56)*($XB$5:$XB56&gt;=7)*($XB$5:$XB56&lt;=9)),$YI$5:$YI56),0)))))</f>
        <v/>
      </c>
      <c r="YK56" s="12">
        <f>YK55+YI56-YJ56</f>
        <v/>
      </c>
      <c r="YL56" s="12">
        <f>IF(ProviderDelay&gt;=1,XS55*BlendedProvPayEss+XT55*BlendedProvPayPrem+XU55*BlendedProvPayElite+XV55*BlendedProvPayEss+XW55*BlendedProvPayPrem+XX55*BlendedProvPayElite,XS56*BlendedProvPayEss+XT56*BlendedProvPayPrem+XU56*BlendedProvPayElite+XV56*BlendedProvPayEss+XW56*BlendedProvPayPrem+XX56*BlendedProvPayElite)</f>
        <v/>
      </c>
      <c r="YM56" s="12">
        <f>YE56*PaymentFee</f>
        <v/>
      </c>
      <c r="YN56" s="12">
        <f>XY56*OpsAI</f>
        <v/>
      </c>
      <c r="YO56" s="12">
        <f>MonthlyFixed</f>
        <v/>
      </c>
      <c r="YP56" s="12">
        <f>XI56*ReferralReward</f>
        <v/>
      </c>
      <c r="YQ56" s="12">
        <f>XG56</f>
        <v/>
      </c>
      <c r="YR56" s="9">
        <f>YH56-YL56-YM56-YN56-YO56-YP56-YQ56</f>
        <v/>
      </c>
      <c r="YS56" s="9">
        <f>YS55+YE56-(YL56+YM56+YN56+YO56+YP56+YQ56+YJ56)</f>
        <v/>
      </c>
      <c r="YT56" s="12">
        <f>IF(XY56&gt;0,XZ56/XY56,0)</f>
        <v/>
      </c>
      <c r="YU56" s="11">
        <f>IF(XY55&gt;0,MAX(0,(XY55+XJ56-XY56)/XY55),0)</f>
        <v/>
      </c>
      <c r="YW56" s="12" t="n">
        <v>52</v>
      </c>
      <c r="YX56" s="12">
        <f>MOD(YW56-1+LaunchMonth-1,12)+1</f>
        <v/>
      </c>
      <c r="YY56" s="12">
        <f>INT((YW56-1+LaunchMonth-1)/12)+1</f>
        <v/>
      </c>
      <c r="YZ56" s="12">
        <f>VLOOKUP(YX56,SeasonTable,2,FALSE)</f>
        <v/>
      </c>
      <c r="ZA56" s="12">
        <f>(1+InflationRate)^INT((YW56-1)/12)</f>
        <v/>
      </c>
      <c r="ZB56" s="11">
        <f>MonthlyChurn*VLOOKUP(YX56,ChurnSeasonTable,4,FALSE)</f>
        <v/>
      </c>
      <c r="ZC56" s="12">
        <f>MIN(MAX(MktMin19plus,AAA55*MktPct19plus),MAX(0,AAO55-CashBuffer))</f>
        <v/>
      </c>
      <c r="ZD56" s="12">
        <f>IF(ZC56&gt;0,MAX(1,ROUND(ZC56/CAC*YZ56,0)),0)</f>
        <v/>
      </c>
      <c r="ZE56" s="12">
        <f>IF(ZD56&gt;0,ROUND(ZD56*ReferralMix/(1-ReferralMix),0),0)</f>
        <v/>
      </c>
      <c r="ZF56" s="12">
        <f>ZD56+ZE56</f>
        <v/>
      </c>
      <c r="ZG56" s="12">
        <f>ROUND(ZF56*(1-'Sens - Annual Mix'!$A$11),0)</f>
        <v/>
      </c>
      <c r="ZH56" s="12">
        <f>ZF56-ZG56</f>
        <v/>
      </c>
      <c r="ZI56" s="12">
        <f>ROUND(ZG56*EssentialMix,0)</f>
        <v/>
      </c>
      <c r="ZJ56" s="12">
        <f>ROUND(ZG56*PremiumMix,0)</f>
        <v/>
      </c>
      <c r="ZK56" s="12">
        <f>ZG56-ZI56-ZJ56</f>
        <v/>
      </c>
      <c r="ZL56" s="12">
        <f>ROUND(ZH56*EssentialMix,0)</f>
        <v/>
      </c>
      <c r="ZM56" s="12">
        <f>ROUND(ZH56*PremiumMix,0)</f>
        <v/>
      </c>
      <c r="ZN56" s="12">
        <f>ZH56-ZL56-ZM56</f>
        <v/>
      </c>
      <c r="ZO56" s="12">
        <f>ZI56+ZI55+ZI54+MAX(0,ZO55-ZI55-ZI54)*(1-ZB56)</f>
        <v/>
      </c>
      <c r="ZP56" s="12">
        <f>ZJ56+ZJ55+ZJ54+MAX(0,ZP55-ZJ55-ZJ54)*(1-ZB56)</f>
        <v/>
      </c>
      <c r="ZQ56" s="12">
        <f>ZK56+ZK55+ZK54+MAX(0,ZQ55-ZK55-ZK54)*(1-ZB56)</f>
        <v/>
      </c>
      <c r="ZR56" s="12">
        <f>ZR55+ZL56-ZL44*(AnnualChurn*VLOOKUP(YX56,ChurnSeasonTable,4,FALSE))*POWER(1-(AnnualChurn*VLOOKUP(YX56,ChurnSeasonTable,4,FALSE)),0)+ZL32*(AnnualChurn*VLOOKUP(YX56,ChurnSeasonTable,4,FALSE))*POWER(1-(AnnualChurn*VLOOKUP(YX56,ChurnSeasonTable,4,FALSE)),1)+ZL20*(AnnualChurn*VLOOKUP(YX56,ChurnSeasonTable,4,FALSE))*POWER(1-(AnnualChurn*VLOOKUP(YX56,ChurnSeasonTable,4,FALSE)),2)+ZL8*(AnnualChurn*VLOOKUP(YX56,ChurnSeasonTable,4,FALSE))*POWER(1-(AnnualChurn*VLOOKUP(YX56,ChurnSeasonTable,4,FALSE)),3)</f>
        <v/>
      </c>
      <c r="ZS56" s="12">
        <f>ZS55+ZM56-ZM44*(AnnualChurn*VLOOKUP(YX56,ChurnSeasonTable,4,FALSE))*POWER(1-(AnnualChurn*VLOOKUP(YX56,ChurnSeasonTable,4,FALSE)),0)+ZM32*(AnnualChurn*VLOOKUP(YX56,ChurnSeasonTable,4,FALSE))*POWER(1-(AnnualChurn*VLOOKUP(YX56,ChurnSeasonTable,4,FALSE)),1)+ZM20*(AnnualChurn*VLOOKUP(YX56,ChurnSeasonTable,4,FALSE))*POWER(1-(AnnualChurn*VLOOKUP(YX56,ChurnSeasonTable,4,FALSE)),2)+ZM8*(AnnualChurn*VLOOKUP(YX56,ChurnSeasonTable,4,FALSE))*POWER(1-(AnnualChurn*VLOOKUP(YX56,ChurnSeasonTable,4,FALSE)),3)</f>
        <v/>
      </c>
      <c r="ZT56" s="12">
        <f>ZT55+ZN56-ZN44*(AnnualChurn*VLOOKUP(YX56,ChurnSeasonTable,4,FALSE))*POWER(1-(AnnualChurn*VLOOKUP(YX56,ChurnSeasonTable,4,FALSE)),0)+ZN32*(AnnualChurn*VLOOKUP(YX56,ChurnSeasonTable,4,FALSE))*POWER(1-(AnnualChurn*VLOOKUP(YX56,ChurnSeasonTable,4,FALSE)),1)+ZN20*(AnnualChurn*VLOOKUP(YX56,ChurnSeasonTable,4,FALSE))*POWER(1-(AnnualChurn*VLOOKUP(YX56,ChurnSeasonTable,4,FALSE)),2)+ZN8*(AnnualChurn*VLOOKUP(YX56,ChurnSeasonTable,4,FALSE))*POWER(1-(AnnualChurn*VLOOKUP(YX56,ChurnSeasonTable,4,FALSE)),3)</f>
        <v/>
      </c>
      <c r="ZU56" s="12">
        <f>ZO56+ZP56+ZQ56+ZR56+ZS56+ZT56</f>
        <v/>
      </c>
      <c r="ZV56" s="9">
        <f>ZO56*BlendedPriceEssMonthly*ZA56+ZP56*BlendedPricePremMonthly*ZA56+ZQ56*BlendedPriceEliteMonthly*ZA56+ZR56*BlendedPriceEssAnnual*ZA56/12+ZS56*BlendedPricePremAnnual*ZA56/12+ZT56*BlendedPriceEliteAnnual*ZA56/12</f>
        <v/>
      </c>
      <c r="ZW56" s="9">
        <f>ZV56*12</f>
        <v/>
      </c>
      <c r="ZX56" s="12">
        <f>ZO56*BlendedPriceEssMonthly*ZA56+ZP56*BlendedPricePremMonthly*ZA56+ZQ56*BlendedPriceEliteMonthly*ZA56</f>
        <v/>
      </c>
      <c r="ZY56" s="12">
        <f>ZL56*BlendedPriceEssAnnual*ZA56+ZM56*BlendedPricePremAnnual*ZA56+ZN56*BlendedPriceEliteAnnual*ZA56</f>
        <v/>
      </c>
      <c r="ZZ56" s="12">
        <f>ZL44*POWER(1-(AnnualChurn*VLOOKUP(YX56,ChurnSeasonTable,4,FALSE)),1)*BlendedPriceEssAnnual*ZA56+ZL32*POWER(1-(AnnualChurn*VLOOKUP(YX56,ChurnSeasonTable,4,FALSE)),2)*BlendedPriceEssAnnual*ZA56+ZL20*POWER(1-(AnnualChurn*VLOOKUP(YX56,ChurnSeasonTable,4,FALSE)),3)*BlendedPriceEssAnnual*ZA56+ZL8*POWER(1-(AnnualChurn*VLOOKUP(YX56,ChurnSeasonTable,4,FALSE)),4)*BlendedPriceEssAnnual*ZA56+ZM44*POWER(1-(AnnualChurn*VLOOKUP(YX56,ChurnSeasonTable,4,FALSE)),1)*BlendedPricePremAnnual*ZA56+ZM32*POWER(1-(AnnualChurn*VLOOKUP(YX56,ChurnSeasonTable,4,FALSE)),2)*BlendedPricePremAnnual*ZA56+ZM20*POWER(1-(AnnualChurn*VLOOKUP(YX56,ChurnSeasonTable,4,FALSE)),3)*BlendedPricePremAnnual*ZA56+ZM8*POWER(1-(AnnualChurn*VLOOKUP(YX56,ChurnSeasonTable,4,FALSE)),4)*BlendedPricePremAnnual*ZA56+ZN44*POWER(1-(AnnualChurn*VLOOKUP(YX56,ChurnSeasonTable,4,FALSE)),1)*BlendedPriceEliteAnnual*ZA56+ZN32*POWER(1-(AnnualChurn*VLOOKUP(YX56,ChurnSeasonTable,4,FALSE)),2)*BlendedPriceEliteAnnual*ZA56+ZN20*POWER(1-(AnnualChurn*VLOOKUP(YX56,ChurnSeasonTable,4,FALSE)),3)*BlendedPriceEliteAnnual*ZA56+ZN8*POWER(1-(AnnualChurn*VLOOKUP(YX56,ChurnSeasonTable,4,FALSE)),4)*BlendedPriceEliteAnnual*ZA56</f>
        <v/>
      </c>
      <c r="AAA56" s="9">
        <f>ZX56+ZY56+ZZ56</f>
        <v/>
      </c>
      <c r="AAB56" s="12">
        <f>SUM(AAA45:AAA56)</f>
        <v/>
      </c>
      <c r="AAC56" s="12">
        <f>OR(AAC55,IF(VATAgentMode,SUM($AAA45:$AAA56)-SUM($AAH45:$AAH56)&gt;=VATThreshold,SUM($AAA45:$AAA56)&gt;=VATThreshold))</f>
        <v/>
      </c>
      <c r="AAD56" s="9">
        <f>IF(AAC56,IF(VATAgentMode,AAA56-((AAA56-AAH56)-(AAA56-AAH56)/(1+VATRate)),AAA56/(1+VATRate)),AAA56)</f>
        <v/>
      </c>
      <c r="AAE56" s="12">
        <f>AAA56-AAD56</f>
        <v/>
      </c>
      <c r="AAF56" s="12">
        <f>IF(AAC56=0,0,IF(YX56=1,SUMPRODUCT(--(($YY$5:$YY56=$YY56-1)*($YX$5:$YX56&gt;=10)*($YX$5:$YX56&lt;=12)),$AAE$5:$AAE56),IF(YX56=4,SUMPRODUCT(--(($YY$5:$YY56=$YY56)*($YX$5:$YX56&gt;=1)*($YX$5:$YX56&lt;=3)),$AAE$5:$AAE56),IF(YX56=7,SUMPRODUCT(--(($YY$5:$YY56=$YY56)*($YX$5:$YX56&gt;=4)*($YX$5:$YX56&lt;=6)),$AAE$5:$AAE56),IF(YX56=10,SUMPRODUCT(--(($YY$5:$YY56=$YY56)*($YX$5:$YX56&gt;=7)*($YX$5:$YX56&lt;=9)),$AAE$5:$AAE56),0)))))</f>
        <v/>
      </c>
      <c r="AAG56" s="12">
        <f>AAG55+AAE56-AAF56</f>
        <v/>
      </c>
      <c r="AAH56" s="12">
        <f>IF(ProviderDelay&gt;=1,ZO55*BlendedProvPayEss+ZP55*BlendedProvPayPrem+ZQ55*BlendedProvPayElite+ZR55*BlendedProvPayEss+ZS55*BlendedProvPayPrem+ZT55*BlendedProvPayElite,ZO56*BlendedProvPayEss+ZP56*BlendedProvPayPrem+ZQ56*BlendedProvPayElite+ZR56*BlendedProvPayEss+ZS56*BlendedProvPayPrem+ZT56*BlendedProvPayElite)</f>
        <v/>
      </c>
      <c r="AAI56" s="12">
        <f>AAA56*PaymentFee</f>
        <v/>
      </c>
      <c r="AAJ56" s="12">
        <f>ZU56*OpsAI</f>
        <v/>
      </c>
      <c r="AAK56" s="12">
        <f>MonthlyFixed</f>
        <v/>
      </c>
      <c r="AAL56" s="12">
        <f>ZE56*ReferralReward</f>
        <v/>
      </c>
      <c r="AAM56" s="12">
        <f>ZC56</f>
        <v/>
      </c>
      <c r="AAN56" s="9">
        <f>AAD56-AAH56-AAI56-AAJ56-AAK56-AAL56-AAM56</f>
        <v/>
      </c>
      <c r="AAO56" s="9">
        <f>AAO55+AAA56-(AAH56+AAI56+AAJ56+AAK56+AAL56+AAM56+AAF56)</f>
        <v/>
      </c>
      <c r="AAP56" s="12">
        <f>IF(ZU56&gt;0,ZV56/ZU56,0)</f>
        <v/>
      </c>
      <c r="AAQ56" s="11">
        <f>IF(ZU55&gt;0,MAX(0,(ZU55+ZF56-ZU56)/ZU55),0)</f>
        <v/>
      </c>
      <c r="AAS56" s="12" t="n">
        <v>52</v>
      </c>
      <c r="AAT56" s="12">
        <f>MOD(AAS56-1+LaunchMonth-1,12)+1</f>
        <v/>
      </c>
      <c r="AAU56" s="12">
        <f>INT((AAS56-1+LaunchMonth-1)/12)+1</f>
        <v/>
      </c>
      <c r="AAV56" s="12">
        <f>VLOOKUP(AAT56,SeasonTable,2,FALSE)</f>
        <v/>
      </c>
      <c r="AAW56" s="12">
        <f>(1+InflationRate)^INT((AAS56-1)/12)</f>
        <v/>
      </c>
      <c r="AAX56" s="11">
        <f>MonthlyChurn*VLOOKUP(AAT56,ChurnSeasonTable,4,FALSE)</f>
        <v/>
      </c>
      <c r="AAY56" s="12">
        <f>MIN(MAX(MktMin19plus,ABW55*MktPct19plus),MAX(0,ACK55-CashBuffer))</f>
        <v/>
      </c>
      <c r="AAZ56" s="12">
        <f>IF(AAY56&gt;0,MAX(1,ROUND(AAY56/CAC*AAV56,0)),0)</f>
        <v/>
      </c>
      <c r="ABA56" s="12">
        <f>IF(AAZ56&gt;0,ROUND(AAZ56*ReferralMix/(1-ReferralMix),0),0)</f>
        <v/>
      </c>
      <c r="ABB56" s="12">
        <f>AAZ56+ABA56</f>
        <v/>
      </c>
      <c r="ABC56" s="12">
        <f>ROUND(ABB56*(1-'Sens - Annual Mix'!$A$12),0)</f>
        <v/>
      </c>
      <c r="ABD56" s="12">
        <f>ABB56-ABC56</f>
        <v/>
      </c>
      <c r="ABE56" s="12">
        <f>ROUND(ABC56*EssentialMix,0)</f>
        <v/>
      </c>
      <c r="ABF56" s="12">
        <f>ROUND(ABC56*PremiumMix,0)</f>
        <v/>
      </c>
      <c r="ABG56" s="12">
        <f>ABC56-ABE56-ABF56</f>
        <v/>
      </c>
      <c r="ABH56" s="12">
        <f>ROUND(ABD56*EssentialMix,0)</f>
        <v/>
      </c>
      <c r="ABI56" s="12">
        <f>ROUND(ABD56*PremiumMix,0)</f>
        <v/>
      </c>
      <c r="ABJ56" s="12">
        <f>ABD56-ABH56-ABI56</f>
        <v/>
      </c>
      <c r="ABK56" s="12">
        <f>ABE56+ABE55+ABE54+MAX(0,ABK55-ABE55-ABE54)*(1-AAX56)</f>
        <v/>
      </c>
      <c r="ABL56" s="12">
        <f>ABF56+ABF55+ABF54+MAX(0,ABL55-ABF55-ABF54)*(1-AAX56)</f>
        <v/>
      </c>
      <c r="ABM56" s="12">
        <f>ABG56+ABG55+ABG54+MAX(0,ABM55-ABG55-ABG54)*(1-AAX56)</f>
        <v/>
      </c>
      <c r="ABN56" s="12">
        <f>ABN55+ABH56-ABH44*(AnnualChurn*VLOOKUP(AAT56,ChurnSeasonTable,4,FALSE))*POWER(1-(AnnualChurn*VLOOKUP(AAT56,ChurnSeasonTable,4,FALSE)),0)+ABH32*(AnnualChurn*VLOOKUP(AAT56,ChurnSeasonTable,4,FALSE))*POWER(1-(AnnualChurn*VLOOKUP(AAT56,ChurnSeasonTable,4,FALSE)),1)+ABH20*(AnnualChurn*VLOOKUP(AAT56,ChurnSeasonTable,4,FALSE))*POWER(1-(AnnualChurn*VLOOKUP(AAT56,ChurnSeasonTable,4,FALSE)),2)+ABH8*(AnnualChurn*VLOOKUP(AAT56,ChurnSeasonTable,4,FALSE))*POWER(1-(AnnualChurn*VLOOKUP(AAT56,ChurnSeasonTable,4,FALSE)),3)</f>
        <v/>
      </c>
      <c r="ABO56" s="12">
        <f>ABO55+ABI56-ABI44*(AnnualChurn*VLOOKUP(AAT56,ChurnSeasonTable,4,FALSE))*POWER(1-(AnnualChurn*VLOOKUP(AAT56,ChurnSeasonTable,4,FALSE)),0)+ABI32*(AnnualChurn*VLOOKUP(AAT56,ChurnSeasonTable,4,FALSE))*POWER(1-(AnnualChurn*VLOOKUP(AAT56,ChurnSeasonTable,4,FALSE)),1)+ABI20*(AnnualChurn*VLOOKUP(AAT56,ChurnSeasonTable,4,FALSE))*POWER(1-(AnnualChurn*VLOOKUP(AAT56,ChurnSeasonTable,4,FALSE)),2)+ABI8*(AnnualChurn*VLOOKUP(AAT56,ChurnSeasonTable,4,FALSE))*POWER(1-(AnnualChurn*VLOOKUP(AAT56,ChurnSeasonTable,4,FALSE)),3)</f>
        <v/>
      </c>
      <c r="ABP56" s="12">
        <f>ABP55+ABJ56-ABJ44*(AnnualChurn*VLOOKUP(AAT56,ChurnSeasonTable,4,FALSE))*POWER(1-(AnnualChurn*VLOOKUP(AAT56,ChurnSeasonTable,4,FALSE)),0)+ABJ32*(AnnualChurn*VLOOKUP(AAT56,ChurnSeasonTable,4,FALSE))*POWER(1-(AnnualChurn*VLOOKUP(AAT56,ChurnSeasonTable,4,FALSE)),1)+ABJ20*(AnnualChurn*VLOOKUP(AAT56,ChurnSeasonTable,4,FALSE))*POWER(1-(AnnualChurn*VLOOKUP(AAT56,ChurnSeasonTable,4,FALSE)),2)+ABJ8*(AnnualChurn*VLOOKUP(AAT56,ChurnSeasonTable,4,FALSE))*POWER(1-(AnnualChurn*VLOOKUP(AAT56,ChurnSeasonTable,4,FALSE)),3)</f>
        <v/>
      </c>
      <c r="ABQ56" s="12">
        <f>ABK56+ABL56+ABM56+ABN56+ABO56+ABP56</f>
        <v/>
      </c>
      <c r="ABR56" s="9">
        <f>ABK56*BlendedPriceEssMonthly*AAW56+ABL56*BlendedPricePremMonthly*AAW56+ABM56*BlendedPriceEliteMonthly*AAW56+ABN56*BlendedPriceEssAnnual*AAW56/12+ABO56*BlendedPricePremAnnual*AAW56/12+ABP56*BlendedPriceEliteAnnual*AAW56/12</f>
        <v/>
      </c>
      <c r="ABS56" s="9">
        <f>ABR56*12</f>
        <v/>
      </c>
      <c r="ABT56" s="12">
        <f>ABK56*BlendedPriceEssMonthly*AAW56+ABL56*BlendedPricePremMonthly*AAW56+ABM56*BlendedPriceEliteMonthly*AAW56</f>
        <v/>
      </c>
      <c r="ABU56" s="12">
        <f>ABH56*BlendedPriceEssAnnual*AAW56+ABI56*BlendedPricePremAnnual*AAW56+ABJ56*BlendedPriceEliteAnnual*AAW56</f>
        <v/>
      </c>
      <c r="ABV56" s="12">
        <f>ABH44*POWER(1-(AnnualChurn*VLOOKUP(AAT56,ChurnSeasonTable,4,FALSE)),1)*BlendedPriceEssAnnual*AAW56+ABH32*POWER(1-(AnnualChurn*VLOOKUP(AAT56,ChurnSeasonTable,4,FALSE)),2)*BlendedPriceEssAnnual*AAW56+ABH20*POWER(1-(AnnualChurn*VLOOKUP(AAT56,ChurnSeasonTable,4,FALSE)),3)*BlendedPriceEssAnnual*AAW56+ABH8*POWER(1-(AnnualChurn*VLOOKUP(AAT56,ChurnSeasonTable,4,FALSE)),4)*BlendedPriceEssAnnual*AAW56+ABI44*POWER(1-(AnnualChurn*VLOOKUP(AAT56,ChurnSeasonTable,4,FALSE)),1)*BlendedPricePremAnnual*AAW56+ABI32*POWER(1-(AnnualChurn*VLOOKUP(AAT56,ChurnSeasonTable,4,FALSE)),2)*BlendedPricePremAnnual*AAW56+ABI20*POWER(1-(AnnualChurn*VLOOKUP(AAT56,ChurnSeasonTable,4,FALSE)),3)*BlendedPricePremAnnual*AAW56+ABI8*POWER(1-(AnnualChurn*VLOOKUP(AAT56,ChurnSeasonTable,4,FALSE)),4)*BlendedPricePremAnnual*AAW56+ABJ44*POWER(1-(AnnualChurn*VLOOKUP(AAT56,ChurnSeasonTable,4,FALSE)),1)*BlendedPriceEliteAnnual*AAW56+ABJ32*POWER(1-(AnnualChurn*VLOOKUP(AAT56,ChurnSeasonTable,4,FALSE)),2)*BlendedPriceEliteAnnual*AAW56+ABJ20*POWER(1-(AnnualChurn*VLOOKUP(AAT56,ChurnSeasonTable,4,FALSE)),3)*BlendedPriceEliteAnnual*AAW56+ABJ8*POWER(1-(AnnualChurn*VLOOKUP(AAT56,ChurnSeasonTable,4,FALSE)),4)*BlendedPriceEliteAnnual*AAW56</f>
        <v/>
      </c>
      <c r="ABW56" s="9">
        <f>ABT56+ABU56+ABV56</f>
        <v/>
      </c>
      <c r="ABX56" s="12">
        <f>SUM(ABW45:ABW56)</f>
        <v/>
      </c>
      <c r="ABY56" s="12">
        <f>OR(ABY55,IF(VATAgentMode,SUM($ABW45:$ABW56)-SUM($ACD45:$ACD56)&gt;=VATThreshold,SUM($ABW45:$ABW56)&gt;=VATThreshold))</f>
        <v/>
      </c>
      <c r="ABZ56" s="9">
        <f>IF(ABY56,IF(VATAgentMode,ABW56-((ABW56-ACD56)-(ABW56-ACD56)/(1+VATRate)),ABW56/(1+VATRate)),ABW56)</f>
        <v/>
      </c>
      <c r="ACA56" s="12">
        <f>ABW56-ABZ56</f>
        <v/>
      </c>
      <c r="ACB56" s="12">
        <f>IF(ABY56=0,0,IF(AAT56=1,SUMPRODUCT(--(($AAU$5:$AAU56=$AAU56-1)*($AAT$5:$AAT56&gt;=10)*($AAT$5:$AAT56&lt;=12)),$ACA$5:$ACA56),IF(AAT56=4,SUMPRODUCT(--(($AAU$5:$AAU56=$AAU56)*($AAT$5:$AAT56&gt;=1)*($AAT$5:$AAT56&lt;=3)),$ACA$5:$ACA56),IF(AAT56=7,SUMPRODUCT(--(($AAU$5:$AAU56=$AAU56)*($AAT$5:$AAT56&gt;=4)*($AAT$5:$AAT56&lt;=6)),$ACA$5:$ACA56),IF(AAT56=10,SUMPRODUCT(--(($AAU$5:$AAU56=$AAU56)*($AAT$5:$AAT56&gt;=7)*($AAT$5:$AAT56&lt;=9)),$ACA$5:$ACA56),0)))))</f>
        <v/>
      </c>
      <c r="ACC56" s="12">
        <f>ACC55+ACA56-ACB56</f>
        <v/>
      </c>
      <c r="ACD56" s="12">
        <f>IF(ProviderDelay&gt;=1,ABK55*BlendedProvPayEss+ABL55*BlendedProvPayPrem+ABM55*BlendedProvPayElite+ABN55*BlendedProvPayEss+ABO55*BlendedProvPayPrem+ABP55*BlendedProvPayElite,ABK56*BlendedProvPayEss+ABL56*BlendedProvPayPrem+ABM56*BlendedProvPayElite+ABN56*BlendedProvPayEss+ABO56*BlendedProvPayPrem+ABP56*BlendedProvPayElite)</f>
        <v/>
      </c>
      <c r="ACE56" s="12">
        <f>ABW56*PaymentFee</f>
        <v/>
      </c>
      <c r="ACF56" s="12">
        <f>ABQ56*OpsAI</f>
        <v/>
      </c>
      <c r="ACG56" s="12">
        <f>MonthlyFixed</f>
        <v/>
      </c>
      <c r="ACH56" s="12">
        <f>ABA56*ReferralReward</f>
        <v/>
      </c>
      <c r="ACI56" s="12">
        <f>AAY56</f>
        <v/>
      </c>
      <c r="ACJ56" s="9">
        <f>ABZ56-ACD56-ACE56-ACF56-ACG56-ACH56-ACI56</f>
        <v/>
      </c>
      <c r="ACK56" s="9">
        <f>ACK55+ABW56-(ACD56+ACE56+ACF56+ACG56+ACH56+ACI56+ACB56)</f>
        <v/>
      </c>
      <c r="ACL56" s="12">
        <f>IF(ABQ56&gt;0,ABR56/ABQ56,0)</f>
        <v/>
      </c>
      <c r="ACM56" s="11">
        <f>IF(ABQ55&gt;0,MAX(0,(ABQ55+ABB56-ABQ56)/ABQ55),0)</f>
        <v/>
      </c>
      <c r="ACO56" s="12" t="n">
        <v>52</v>
      </c>
      <c r="ACP56" s="12">
        <f>MOD(ACO56-1+LaunchMonth-1,12)+1</f>
        <v/>
      </c>
      <c r="ACQ56" s="12">
        <f>INT((ACO56-1+LaunchMonth-1)/12)+1</f>
        <v/>
      </c>
      <c r="ACR56" s="12">
        <f>VLOOKUP(ACP56,SeasonTable,2,FALSE)</f>
        <v/>
      </c>
      <c r="ACS56" s="12">
        <f>(1+InflationRate)^INT((ACO56-1)/12)</f>
        <v/>
      </c>
      <c r="ACT56" s="11">
        <f>MonthlyChurn*VLOOKUP(ACP56,ChurnSeasonTable,4,FALSE)</f>
        <v/>
      </c>
      <c r="ACU56" s="12">
        <f>MIN(MAX(MktMin19plus,ADS55*MktPct19plus),MAX(0,AEG55-CashBuffer))</f>
        <v/>
      </c>
      <c r="ACV56" s="12">
        <f>IF(ACU56&gt;0,MAX(1,ROUND(ACU56/CAC*ACR56,0)),0)</f>
        <v/>
      </c>
      <c r="ACW56" s="12">
        <f>IF(ACV56&gt;0,ROUND(ACV56*ReferralMix/(1-ReferralMix),0),0)</f>
        <v/>
      </c>
      <c r="ACX56" s="12">
        <f>ACV56+ACW56</f>
        <v/>
      </c>
      <c r="ACY56" s="12">
        <f>ROUND(ACX56*(1-'Sens - Annual Mix'!$A$13),0)</f>
        <v/>
      </c>
      <c r="ACZ56" s="12">
        <f>ACX56-ACY56</f>
        <v/>
      </c>
      <c r="ADA56" s="12">
        <f>ROUND(ACY56*EssentialMix,0)</f>
        <v/>
      </c>
      <c r="ADB56" s="12">
        <f>ROUND(ACY56*PremiumMix,0)</f>
        <v/>
      </c>
      <c r="ADC56" s="12">
        <f>ACY56-ADA56-ADB56</f>
        <v/>
      </c>
      <c r="ADD56" s="12">
        <f>ROUND(ACZ56*EssentialMix,0)</f>
        <v/>
      </c>
      <c r="ADE56" s="12">
        <f>ROUND(ACZ56*PremiumMix,0)</f>
        <v/>
      </c>
      <c r="ADF56" s="12">
        <f>ACZ56-ADD56-ADE56</f>
        <v/>
      </c>
      <c r="ADG56" s="12">
        <f>ADA56+ADA55+ADA54+MAX(0,ADG55-ADA55-ADA54)*(1-ACT56)</f>
        <v/>
      </c>
      <c r="ADH56" s="12">
        <f>ADB56+ADB55+ADB54+MAX(0,ADH55-ADB55-ADB54)*(1-ACT56)</f>
        <v/>
      </c>
      <c r="ADI56" s="12">
        <f>ADC56+ADC55+ADC54+MAX(0,ADI55-ADC55-ADC54)*(1-ACT56)</f>
        <v/>
      </c>
      <c r="ADJ56" s="12">
        <f>ADJ55+ADD56-ADD44*(AnnualChurn*VLOOKUP(ACP56,ChurnSeasonTable,4,FALSE))*POWER(1-(AnnualChurn*VLOOKUP(ACP56,ChurnSeasonTable,4,FALSE)),0)+ADD32*(AnnualChurn*VLOOKUP(ACP56,ChurnSeasonTable,4,FALSE))*POWER(1-(AnnualChurn*VLOOKUP(ACP56,ChurnSeasonTable,4,FALSE)),1)+ADD20*(AnnualChurn*VLOOKUP(ACP56,ChurnSeasonTable,4,FALSE))*POWER(1-(AnnualChurn*VLOOKUP(ACP56,ChurnSeasonTable,4,FALSE)),2)+ADD8*(AnnualChurn*VLOOKUP(ACP56,ChurnSeasonTable,4,FALSE))*POWER(1-(AnnualChurn*VLOOKUP(ACP56,ChurnSeasonTable,4,FALSE)),3)</f>
        <v/>
      </c>
      <c r="ADK56" s="12">
        <f>ADK55+ADE56-ADE44*(AnnualChurn*VLOOKUP(ACP56,ChurnSeasonTable,4,FALSE))*POWER(1-(AnnualChurn*VLOOKUP(ACP56,ChurnSeasonTable,4,FALSE)),0)+ADE32*(AnnualChurn*VLOOKUP(ACP56,ChurnSeasonTable,4,FALSE))*POWER(1-(AnnualChurn*VLOOKUP(ACP56,ChurnSeasonTable,4,FALSE)),1)+ADE20*(AnnualChurn*VLOOKUP(ACP56,ChurnSeasonTable,4,FALSE))*POWER(1-(AnnualChurn*VLOOKUP(ACP56,ChurnSeasonTable,4,FALSE)),2)+ADE8*(AnnualChurn*VLOOKUP(ACP56,ChurnSeasonTable,4,FALSE))*POWER(1-(AnnualChurn*VLOOKUP(ACP56,ChurnSeasonTable,4,FALSE)),3)</f>
        <v/>
      </c>
      <c r="ADL56" s="12">
        <f>ADL55+ADF56-ADF44*(AnnualChurn*VLOOKUP(ACP56,ChurnSeasonTable,4,FALSE))*POWER(1-(AnnualChurn*VLOOKUP(ACP56,ChurnSeasonTable,4,FALSE)),0)+ADF32*(AnnualChurn*VLOOKUP(ACP56,ChurnSeasonTable,4,FALSE))*POWER(1-(AnnualChurn*VLOOKUP(ACP56,ChurnSeasonTable,4,FALSE)),1)+ADF20*(AnnualChurn*VLOOKUP(ACP56,ChurnSeasonTable,4,FALSE))*POWER(1-(AnnualChurn*VLOOKUP(ACP56,ChurnSeasonTable,4,FALSE)),2)+ADF8*(AnnualChurn*VLOOKUP(ACP56,ChurnSeasonTable,4,FALSE))*POWER(1-(AnnualChurn*VLOOKUP(ACP56,ChurnSeasonTable,4,FALSE)),3)</f>
        <v/>
      </c>
      <c r="ADM56" s="12">
        <f>ADG56+ADH56+ADI56+ADJ56+ADK56+ADL56</f>
        <v/>
      </c>
      <c r="ADN56" s="9">
        <f>ADG56*BlendedPriceEssMonthly*ACS56+ADH56*BlendedPricePremMonthly*ACS56+ADI56*BlendedPriceEliteMonthly*ACS56+ADJ56*BlendedPriceEssAnnual*ACS56/12+ADK56*BlendedPricePremAnnual*ACS56/12+ADL56*BlendedPriceEliteAnnual*ACS56/12</f>
        <v/>
      </c>
      <c r="ADO56" s="9">
        <f>ADN56*12</f>
        <v/>
      </c>
      <c r="ADP56" s="12">
        <f>ADG56*BlendedPriceEssMonthly*ACS56+ADH56*BlendedPricePremMonthly*ACS56+ADI56*BlendedPriceEliteMonthly*ACS56</f>
        <v/>
      </c>
      <c r="ADQ56" s="12">
        <f>ADD56*BlendedPriceEssAnnual*ACS56+ADE56*BlendedPricePremAnnual*ACS56+ADF56*BlendedPriceEliteAnnual*ACS56</f>
        <v/>
      </c>
      <c r="ADR56" s="12">
        <f>ADD44*POWER(1-(AnnualChurn*VLOOKUP(ACP56,ChurnSeasonTable,4,FALSE)),1)*BlendedPriceEssAnnual*ACS56+ADD32*POWER(1-(AnnualChurn*VLOOKUP(ACP56,ChurnSeasonTable,4,FALSE)),2)*BlendedPriceEssAnnual*ACS56+ADD20*POWER(1-(AnnualChurn*VLOOKUP(ACP56,ChurnSeasonTable,4,FALSE)),3)*BlendedPriceEssAnnual*ACS56+ADD8*POWER(1-(AnnualChurn*VLOOKUP(ACP56,ChurnSeasonTable,4,FALSE)),4)*BlendedPriceEssAnnual*ACS56+ADE44*POWER(1-(AnnualChurn*VLOOKUP(ACP56,ChurnSeasonTable,4,FALSE)),1)*BlendedPricePremAnnual*ACS56+ADE32*POWER(1-(AnnualChurn*VLOOKUP(ACP56,ChurnSeasonTable,4,FALSE)),2)*BlendedPricePremAnnual*ACS56+ADE20*POWER(1-(AnnualChurn*VLOOKUP(ACP56,ChurnSeasonTable,4,FALSE)),3)*BlendedPricePremAnnual*ACS56+ADE8*POWER(1-(AnnualChurn*VLOOKUP(ACP56,ChurnSeasonTable,4,FALSE)),4)*BlendedPricePremAnnual*ACS56+ADF44*POWER(1-(AnnualChurn*VLOOKUP(ACP56,ChurnSeasonTable,4,FALSE)),1)*BlendedPriceEliteAnnual*ACS56+ADF32*POWER(1-(AnnualChurn*VLOOKUP(ACP56,ChurnSeasonTable,4,FALSE)),2)*BlendedPriceEliteAnnual*ACS56+ADF20*POWER(1-(AnnualChurn*VLOOKUP(ACP56,ChurnSeasonTable,4,FALSE)),3)*BlendedPriceEliteAnnual*ACS56+ADF8*POWER(1-(AnnualChurn*VLOOKUP(ACP56,ChurnSeasonTable,4,FALSE)),4)*BlendedPriceEliteAnnual*ACS56</f>
        <v/>
      </c>
      <c r="ADS56" s="9">
        <f>ADP56+ADQ56+ADR56</f>
        <v/>
      </c>
      <c r="ADT56" s="12">
        <f>SUM(ADS45:ADS56)</f>
        <v/>
      </c>
      <c r="ADU56" s="12">
        <f>OR(ADU55,IF(VATAgentMode,SUM($ADS45:$ADS56)-SUM($ADZ45:$ADZ56)&gt;=VATThreshold,SUM($ADS45:$ADS56)&gt;=VATThreshold))</f>
        <v/>
      </c>
      <c r="ADV56" s="9">
        <f>IF(ADU56,IF(VATAgentMode,ADS56-((ADS56-ADZ56)-(ADS56-ADZ56)/(1+VATRate)),ADS56/(1+VATRate)),ADS56)</f>
        <v/>
      </c>
      <c r="ADW56" s="12">
        <f>ADS56-ADV56</f>
        <v/>
      </c>
      <c r="ADX56" s="12">
        <f>IF(ADU56=0,0,IF(ACP56=1,SUMPRODUCT(--(($ACQ$5:$ACQ56=$ACQ56-1)*($ACP$5:$ACP56&gt;=10)*($ACP$5:$ACP56&lt;=12)),$ADW$5:$ADW56),IF(ACP56=4,SUMPRODUCT(--(($ACQ$5:$ACQ56=$ACQ56)*($ACP$5:$ACP56&gt;=1)*($ACP$5:$ACP56&lt;=3)),$ADW$5:$ADW56),IF(ACP56=7,SUMPRODUCT(--(($ACQ$5:$ACQ56=$ACQ56)*($ACP$5:$ACP56&gt;=4)*($ACP$5:$ACP56&lt;=6)),$ADW$5:$ADW56),IF(ACP56=10,SUMPRODUCT(--(($ACQ$5:$ACQ56=$ACQ56)*($ACP$5:$ACP56&gt;=7)*($ACP$5:$ACP56&lt;=9)),$ADW$5:$ADW56),0)))))</f>
        <v/>
      </c>
      <c r="ADY56" s="12">
        <f>ADY55+ADW56-ADX56</f>
        <v/>
      </c>
      <c r="ADZ56" s="12">
        <f>IF(ProviderDelay&gt;=1,ADG55*BlendedProvPayEss+ADH55*BlendedProvPayPrem+ADI55*BlendedProvPayElite+ADJ55*BlendedProvPayEss+ADK55*BlendedProvPayPrem+ADL55*BlendedProvPayElite,ADG56*BlendedProvPayEss+ADH56*BlendedProvPayPrem+ADI56*BlendedProvPayElite+ADJ56*BlendedProvPayEss+ADK56*BlendedProvPayPrem+ADL56*BlendedProvPayElite)</f>
        <v/>
      </c>
      <c r="AEA56" s="12">
        <f>ADS56*PaymentFee</f>
        <v/>
      </c>
      <c r="AEB56" s="12">
        <f>ADM56*OpsAI</f>
        <v/>
      </c>
      <c r="AEC56" s="12">
        <f>MonthlyFixed</f>
        <v/>
      </c>
      <c r="AED56" s="12">
        <f>ACW56*ReferralReward</f>
        <v/>
      </c>
      <c r="AEE56" s="12">
        <f>ACU56</f>
        <v/>
      </c>
      <c r="AEF56" s="9">
        <f>ADV56-ADZ56-AEA56-AEB56-AEC56-AED56-AEE56</f>
        <v/>
      </c>
      <c r="AEG56" s="9">
        <f>AEG55+ADS56-(ADZ56+AEA56+AEB56+AEC56+AED56+AEE56+ADX56)</f>
        <v/>
      </c>
      <c r="AEH56" s="12">
        <f>IF(ADM56&gt;0,ADN56/ADM56,0)</f>
        <v/>
      </c>
      <c r="AEI56" s="11">
        <f>IF(ADM55&gt;0,MAX(0,(ADM55+ACX56-ADM56)/ADM55),0)</f>
        <v/>
      </c>
      <c r="AEK56" s="12" t="n">
        <v>52</v>
      </c>
      <c r="AEL56" s="12">
        <f>MOD(AEK56-1+LaunchMonth-1,12)+1</f>
        <v/>
      </c>
      <c r="AEM56" s="12">
        <f>INT((AEK56-1+LaunchMonth-1)/12)+1</f>
        <v/>
      </c>
      <c r="AEN56" s="12">
        <f>VLOOKUP(AEL56,SeasonTable,2,FALSE)</f>
        <v/>
      </c>
      <c r="AEO56" s="12">
        <f>(1+InflationRate)^INT((AEK56-1)/12)</f>
        <v/>
      </c>
      <c r="AEP56" s="11">
        <f>MonthlyChurn*VLOOKUP(AEL56,ChurnSeasonTable,4,FALSE)</f>
        <v/>
      </c>
      <c r="AEQ56" s="12">
        <f>MIN(MAX(MktMin19plus,AFO55*MktPct19plus),MAX(0,AGC55-CashBuffer))</f>
        <v/>
      </c>
      <c r="AER56" s="12">
        <f>IF(AEQ56&gt;0,MAX(1,ROUND(AEQ56/CAC*AEN56,0)),0)</f>
        <v/>
      </c>
      <c r="AES56" s="12">
        <f>IF(AER56&gt;0,ROUND(AER56*ReferralMix/(1-ReferralMix),0),0)</f>
        <v/>
      </c>
      <c r="AET56" s="12">
        <f>AER56+AES56</f>
        <v/>
      </c>
      <c r="AEU56" s="12">
        <f>ROUND(AET56*(1-'Sens - Annual Mix'!$A$14),0)</f>
        <v/>
      </c>
      <c r="AEV56" s="12">
        <f>AET56-AEU56</f>
        <v/>
      </c>
      <c r="AEW56" s="12">
        <f>ROUND(AEU56*EssentialMix,0)</f>
        <v/>
      </c>
      <c r="AEX56" s="12">
        <f>ROUND(AEU56*PremiumMix,0)</f>
        <v/>
      </c>
      <c r="AEY56" s="12">
        <f>AEU56-AEW56-AEX56</f>
        <v/>
      </c>
      <c r="AEZ56" s="12">
        <f>ROUND(AEV56*EssentialMix,0)</f>
        <v/>
      </c>
      <c r="AFA56" s="12">
        <f>ROUND(AEV56*PremiumMix,0)</f>
        <v/>
      </c>
      <c r="AFB56" s="12">
        <f>AEV56-AEZ56-AFA56</f>
        <v/>
      </c>
      <c r="AFC56" s="12">
        <f>AEW56+AEW55+AEW54+MAX(0,AFC55-AEW55-AEW54)*(1-AEP56)</f>
        <v/>
      </c>
      <c r="AFD56" s="12">
        <f>AEX56+AEX55+AEX54+MAX(0,AFD55-AEX55-AEX54)*(1-AEP56)</f>
        <v/>
      </c>
      <c r="AFE56" s="12">
        <f>AEY56+AEY55+AEY54+MAX(0,AFE55-AEY55-AEY54)*(1-AEP56)</f>
        <v/>
      </c>
      <c r="AFF56" s="12">
        <f>AFF55+AEZ56-AEZ44*(AnnualChurn*VLOOKUP(AEL56,ChurnSeasonTable,4,FALSE))*POWER(1-(AnnualChurn*VLOOKUP(AEL56,ChurnSeasonTable,4,FALSE)),0)+AEZ32*(AnnualChurn*VLOOKUP(AEL56,ChurnSeasonTable,4,FALSE))*POWER(1-(AnnualChurn*VLOOKUP(AEL56,ChurnSeasonTable,4,FALSE)),1)+AEZ20*(AnnualChurn*VLOOKUP(AEL56,ChurnSeasonTable,4,FALSE))*POWER(1-(AnnualChurn*VLOOKUP(AEL56,ChurnSeasonTable,4,FALSE)),2)+AEZ8*(AnnualChurn*VLOOKUP(AEL56,ChurnSeasonTable,4,FALSE))*POWER(1-(AnnualChurn*VLOOKUP(AEL56,ChurnSeasonTable,4,FALSE)),3)</f>
        <v/>
      </c>
      <c r="AFG56" s="12">
        <f>AFG55+AFA56-AFA44*(AnnualChurn*VLOOKUP(AEL56,ChurnSeasonTable,4,FALSE))*POWER(1-(AnnualChurn*VLOOKUP(AEL56,ChurnSeasonTable,4,FALSE)),0)+AFA32*(AnnualChurn*VLOOKUP(AEL56,ChurnSeasonTable,4,FALSE))*POWER(1-(AnnualChurn*VLOOKUP(AEL56,ChurnSeasonTable,4,FALSE)),1)+AFA20*(AnnualChurn*VLOOKUP(AEL56,ChurnSeasonTable,4,FALSE))*POWER(1-(AnnualChurn*VLOOKUP(AEL56,ChurnSeasonTable,4,FALSE)),2)+AFA8*(AnnualChurn*VLOOKUP(AEL56,ChurnSeasonTable,4,FALSE))*POWER(1-(AnnualChurn*VLOOKUP(AEL56,ChurnSeasonTable,4,FALSE)),3)</f>
        <v/>
      </c>
      <c r="AFH56" s="12">
        <f>AFH55+AFB56-AFB44*(AnnualChurn*VLOOKUP(AEL56,ChurnSeasonTable,4,FALSE))*POWER(1-(AnnualChurn*VLOOKUP(AEL56,ChurnSeasonTable,4,FALSE)),0)+AFB32*(AnnualChurn*VLOOKUP(AEL56,ChurnSeasonTable,4,FALSE))*POWER(1-(AnnualChurn*VLOOKUP(AEL56,ChurnSeasonTable,4,FALSE)),1)+AFB20*(AnnualChurn*VLOOKUP(AEL56,ChurnSeasonTable,4,FALSE))*POWER(1-(AnnualChurn*VLOOKUP(AEL56,ChurnSeasonTable,4,FALSE)),2)+AFB8*(AnnualChurn*VLOOKUP(AEL56,ChurnSeasonTable,4,FALSE))*POWER(1-(AnnualChurn*VLOOKUP(AEL56,ChurnSeasonTable,4,FALSE)),3)</f>
        <v/>
      </c>
      <c r="AFI56" s="12">
        <f>AFC56+AFD56+AFE56+AFF56+AFG56+AFH56</f>
        <v/>
      </c>
      <c r="AFJ56" s="9">
        <f>AFC56*BlendedPriceEssMonthly*AEO56+AFD56*BlendedPricePremMonthly*AEO56+AFE56*BlendedPriceEliteMonthly*AEO56+AFF56*BlendedPriceEssAnnual*AEO56/12+AFG56*BlendedPricePremAnnual*AEO56/12+AFH56*BlendedPriceEliteAnnual*AEO56/12</f>
        <v/>
      </c>
      <c r="AFK56" s="9">
        <f>AFJ56*12</f>
        <v/>
      </c>
      <c r="AFL56" s="12">
        <f>AFC56*BlendedPriceEssMonthly*AEO56+AFD56*BlendedPricePremMonthly*AEO56+AFE56*BlendedPriceEliteMonthly*AEO56</f>
        <v/>
      </c>
      <c r="AFM56" s="12">
        <f>AEZ56*BlendedPriceEssAnnual*AEO56+AFA56*BlendedPricePremAnnual*AEO56+AFB56*BlendedPriceEliteAnnual*AEO56</f>
        <v/>
      </c>
      <c r="AFN56" s="12">
        <f>AEZ44*POWER(1-(AnnualChurn*VLOOKUP(AEL56,ChurnSeasonTable,4,FALSE)),1)*BlendedPriceEssAnnual*AEO56+AEZ32*POWER(1-(AnnualChurn*VLOOKUP(AEL56,ChurnSeasonTable,4,FALSE)),2)*BlendedPriceEssAnnual*AEO56+AEZ20*POWER(1-(AnnualChurn*VLOOKUP(AEL56,ChurnSeasonTable,4,FALSE)),3)*BlendedPriceEssAnnual*AEO56+AEZ8*POWER(1-(AnnualChurn*VLOOKUP(AEL56,ChurnSeasonTable,4,FALSE)),4)*BlendedPriceEssAnnual*AEO56+AFA44*POWER(1-(AnnualChurn*VLOOKUP(AEL56,ChurnSeasonTable,4,FALSE)),1)*BlendedPricePremAnnual*AEO56+AFA32*POWER(1-(AnnualChurn*VLOOKUP(AEL56,ChurnSeasonTable,4,FALSE)),2)*BlendedPricePremAnnual*AEO56+AFA20*POWER(1-(AnnualChurn*VLOOKUP(AEL56,ChurnSeasonTable,4,FALSE)),3)*BlendedPricePremAnnual*AEO56+AFA8*POWER(1-(AnnualChurn*VLOOKUP(AEL56,ChurnSeasonTable,4,FALSE)),4)*BlendedPricePremAnnual*AEO56+AFB44*POWER(1-(AnnualChurn*VLOOKUP(AEL56,ChurnSeasonTable,4,FALSE)),1)*BlendedPriceEliteAnnual*AEO56+AFB32*POWER(1-(AnnualChurn*VLOOKUP(AEL56,ChurnSeasonTable,4,FALSE)),2)*BlendedPriceEliteAnnual*AEO56+AFB20*POWER(1-(AnnualChurn*VLOOKUP(AEL56,ChurnSeasonTable,4,FALSE)),3)*BlendedPriceEliteAnnual*AEO56+AFB8*POWER(1-(AnnualChurn*VLOOKUP(AEL56,ChurnSeasonTable,4,FALSE)),4)*BlendedPriceEliteAnnual*AEO56</f>
        <v/>
      </c>
      <c r="AFO56" s="9">
        <f>AFL56+AFM56+AFN56</f>
        <v/>
      </c>
      <c r="AFP56" s="12">
        <f>SUM(AFO45:AFO56)</f>
        <v/>
      </c>
      <c r="AFQ56" s="12">
        <f>OR(AFQ55,IF(VATAgentMode,SUM($AFO45:$AFO56)-SUM($AFV45:$AFV56)&gt;=VATThreshold,SUM($AFO45:$AFO56)&gt;=VATThreshold))</f>
        <v/>
      </c>
      <c r="AFR56" s="9">
        <f>IF(AFQ56,IF(VATAgentMode,AFO56-((AFO56-AFV56)-(AFO56-AFV56)/(1+VATRate)),AFO56/(1+VATRate)),AFO56)</f>
        <v/>
      </c>
      <c r="AFS56" s="12">
        <f>AFO56-AFR56</f>
        <v/>
      </c>
      <c r="AFT56" s="12">
        <f>IF(AFQ56=0,0,IF(AEL56=1,SUMPRODUCT(--(($AEM$5:$AEM56=$AEM56-1)*($AEL$5:$AEL56&gt;=10)*($AEL$5:$AEL56&lt;=12)),$AFS$5:$AFS56),IF(AEL56=4,SUMPRODUCT(--(($AEM$5:$AEM56=$AEM56)*($AEL$5:$AEL56&gt;=1)*($AEL$5:$AEL56&lt;=3)),$AFS$5:$AFS56),IF(AEL56=7,SUMPRODUCT(--(($AEM$5:$AEM56=$AEM56)*($AEL$5:$AEL56&gt;=4)*($AEL$5:$AEL56&lt;=6)),$AFS$5:$AFS56),IF(AEL56=10,SUMPRODUCT(--(($AEM$5:$AEM56=$AEM56)*($AEL$5:$AEL56&gt;=7)*($AEL$5:$AEL56&lt;=9)),$AFS$5:$AFS56),0)))))</f>
        <v/>
      </c>
      <c r="AFU56" s="12">
        <f>AFU55+AFS56-AFT56</f>
        <v/>
      </c>
      <c r="AFV56" s="12">
        <f>IF(ProviderDelay&gt;=1,AFC55*BlendedProvPayEss+AFD55*BlendedProvPayPrem+AFE55*BlendedProvPayElite+AFF55*BlendedProvPayEss+AFG55*BlendedProvPayPrem+AFH55*BlendedProvPayElite,AFC56*BlendedProvPayEss+AFD56*BlendedProvPayPrem+AFE56*BlendedProvPayElite+AFF56*BlendedProvPayEss+AFG56*BlendedProvPayPrem+AFH56*BlendedProvPayElite)</f>
        <v/>
      </c>
      <c r="AFW56" s="12">
        <f>AFO56*PaymentFee</f>
        <v/>
      </c>
      <c r="AFX56" s="12">
        <f>AFI56*OpsAI</f>
        <v/>
      </c>
      <c r="AFY56" s="12">
        <f>MonthlyFixed</f>
        <v/>
      </c>
      <c r="AFZ56" s="12">
        <f>AES56*ReferralReward</f>
        <v/>
      </c>
      <c r="AGA56" s="12">
        <f>AEQ56</f>
        <v/>
      </c>
      <c r="AGB56" s="9">
        <f>AFR56-AFV56-AFW56-AFX56-AFY56-AFZ56-AGA56</f>
        <v/>
      </c>
      <c r="AGC56" s="9">
        <f>AGC55+AFO56-(AFV56+AFW56+AFX56+AFY56+AFZ56+AGA56+AFT56)</f>
        <v/>
      </c>
      <c r="AGD56" s="12">
        <f>IF(AFI56&gt;0,AFJ56/AFI56,0)</f>
        <v/>
      </c>
      <c r="AGE56" s="11">
        <f>IF(AFI55&gt;0,MAX(0,(AFI55+AET56-AFI56)/AFI55),0)</f>
        <v/>
      </c>
      <c r="AGG56" s="12" t="n">
        <v>52</v>
      </c>
      <c r="AGH56" s="12">
        <f>MOD(AGG56-1+LaunchMonth-1,12)+1</f>
        <v/>
      </c>
      <c r="AGI56" s="12">
        <f>INT((AGG56-1+LaunchMonth-1)/12)+1</f>
        <v/>
      </c>
      <c r="AGJ56" s="12">
        <f>VLOOKUP(AGH56,SeasonTable,2,FALSE)</f>
        <v/>
      </c>
      <c r="AGK56" s="12">
        <f>(1+InflationRate)^INT((AGG56-1)/12)</f>
        <v/>
      </c>
      <c r="AGL56" s="11">
        <f>MonthlyChurn*VLOOKUP(AGH56,ChurnSeasonTable,4,FALSE)</f>
        <v/>
      </c>
      <c r="AGM56" s="12">
        <f>MIN(MAX(MktMin19plus,AHK55*MktPct19plus),MAX(0,AHY55-CashBuffer))</f>
        <v/>
      </c>
      <c r="AGN56" s="12">
        <f>IF(AGM56&gt;0,MAX(1,ROUND(AGM56/CAC*AGJ56,0)),0)</f>
        <v/>
      </c>
      <c r="AGO56" s="12">
        <f>IF(AGN56&gt;0,ROUND(AGN56*ReferralMix/(1-ReferralMix),0),0)</f>
        <v/>
      </c>
      <c r="AGP56" s="12">
        <f>AGN56+AGO56</f>
        <v/>
      </c>
      <c r="AGQ56" s="12">
        <f>ROUND(AGP56*(1-'Sens - Annual Mix'!$A$15),0)</f>
        <v/>
      </c>
      <c r="AGR56" s="12">
        <f>AGP56-AGQ56</f>
        <v/>
      </c>
      <c r="AGS56" s="12">
        <f>ROUND(AGQ56*EssentialMix,0)</f>
        <v/>
      </c>
      <c r="AGT56" s="12">
        <f>ROUND(AGQ56*PremiumMix,0)</f>
        <v/>
      </c>
      <c r="AGU56" s="12">
        <f>AGQ56-AGS56-AGT56</f>
        <v/>
      </c>
      <c r="AGV56" s="12">
        <f>ROUND(AGR56*EssentialMix,0)</f>
        <v/>
      </c>
      <c r="AGW56" s="12">
        <f>ROUND(AGR56*PremiumMix,0)</f>
        <v/>
      </c>
      <c r="AGX56" s="12">
        <f>AGR56-AGV56-AGW56</f>
        <v/>
      </c>
      <c r="AGY56" s="12">
        <f>AGS56+AGS55+AGS54+MAX(0,AGY55-AGS55-AGS54)*(1-AGL56)</f>
        <v/>
      </c>
      <c r="AGZ56" s="12">
        <f>AGT56+AGT55+AGT54+MAX(0,AGZ55-AGT55-AGT54)*(1-AGL56)</f>
        <v/>
      </c>
      <c r="AHA56" s="12">
        <f>AGU56+AGU55+AGU54+MAX(0,AHA55-AGU55-AGU54)*(1-AGL56)</f>
        <v/>
      </c>
      <c r="AHB56" s="12">
        <f>AHB55+AGV56-AGV44*(AnnualChurn*VLOOKUP(AGH56,ChurnSeasonTable,4,FALSE))*POWER(1-(AnnualChurn*VLOOKUP(AGH56,ChurnSeasonTable,4,FALSE)),0)+AGV32*(AnnualChurn*VLOOKUP(AGH56,ChurnSeasonTable,4,FALSE))*POWER(1-(AnnualChurn*VLOOKUP(AGH56,ChurnSeasonTable,4,FALSE)),1)+AGV20*(AnnualChurn*VLOOKUP(AGH56,ChurnSeasonTable,4,FALSE))*POWER(1-(AnnualChurn*VLOOKUP(AGH56,ChurnSeasonTable,4,FALSE)),2)+AGV8*(AnnualChurn*VLOOKUP(AGH56,ChurnSeasonTable,4,FALSE))*POWER(1-(AnnualChurn*VLOOKUP(AGH56,ChurnSeasonTable,4,FALSE)),3)</f>
        <v/>
      </c>
      <c r="AHC56" s="12">
        <f>AHC55+AGW56-AGW44*(AnnualChurn*VLOOKUP(AGH56,ChurnSeasonTable,4,FALSE))*POWER(1-(AnnualChurn*VLOOKUP(AGH56,ChurnSeasonTable,4,FALSE)),0)+AGW32*(AnnualChurn*VLOOKUP(AGH56,ChurnSeasonTable,4,FALSE))*POWER(1-(AnnualChurn*VLOOKUP(AGH56,ChurnSeasonTable,4,FALSE)),1)+AGW20*(AnnualChurn*VLOOKUP(AGH56,ChurnSeasonTable,4,FALSE))*POWER(1-(AnnualChurn*VLOOKUP(AGH56,ChurnSeasonTable,4,FALSE)),2)+AGW8*(AnnualChurn*VLOOKUP(AGH56,ChurnSeasonTable,4,FALSE))*POWER(1-(AnnualChurn*VLOOKUP(AGH56,ChurnSeasonTable,4,FALSE)),3)</f>
        <v/>
      </c>
      <c r="AHD56" s="12">
        <f>AHD55+AGX56-AGX44*(AnnualChurn*VLOOKUP(AGH56,ChurnSeasonTable,4,FALSE))*POWER(1-(AnnualChurn*VLOOKUP(AGH56,ChurnSeasonTable,4,FALSE)),0)+AGX32*(AnnualChurn*VLOOKUP(AGH56,ChurnSeasonTable,4,FALSE))*POWER(1-(AnnualChurn*VLOOKUP(AGH56,ChurnSeasonTable,4,FALSE)),1)+AGX20*(AnnualChurn*VLOOKUP(AGH56,ChurnSeasonTable,4,FALSE))*POWER(1-(AnnualChurn*VLOOKUP(AGH56,ChurnSeasonTable,4,FALSE)),2)+AGX8*(AnnualChurn*VLOOKUP(AGH56,ChurnSeasonTable,4,FALSE))*POWER(1-(AnnualChurn*VLOOKUP(AGH56,ChurnSeasonTable,4,FALSE)),3)</f>
        <v/>
      </c>
      <c r="AHE56" s="12">
        <f>AGY56+AGZ56+AHA56+AHB56+AHC56+AHD56</f>
        <v/>
      </c>
      <c r="AHF56" s="9">
        <f>AGY56*BlendedPriceEssMonthly*AGK56+AGZ56*BlendedPricePremMonthly*AGK56+AHA56*BlendedPriceEliteMonthly*AGK56+AHB56*BlendedPriceEssAnnual*AGK56/12+AHC56*BlendedPricePremAnnual*AGK56/12+AHD56*BlendedPriceEliteAnnual*AGK56/12</f>
        <v/>
      </c>
      <c r="AHG56" s="9">
        <f>AHF56*12</f>
        <v/>
      </c>
      <c r="AHH56" s="12">
        <f>AGY56*BlendedPriceEssMonthly*AGK56+AGZ56*BlendedPricePremMonthly*AGK56+AHA56*BlendedPriceEliteMonthly*AGK56</f>
        <v/>
      </c>
      <c r="AHI56" s="12">
        <f>AGV56*BlendedPriceEssAnnual*AGK56+AGW56*BlendedPricePremAnnual*AGK56+AGX56*BlendedPriceEliteAnnual*AGK56</f>
        <v/>
      </c>
      <c r="AHJ56" s="12">
        <f>AGV44*POWER(1-(AnnualChurn*VLOOKUP(AGH56,ChurnSeasonTable,4,FALSE)),1)*BlendedPriceEssAnnual*AGK56+AGV32*POWER(1-(AnnualChurn*VLOOKUP(AGH56,ChurnSeasonTable,4,FALSE)),2)*BlendedPriceEssAnnual*AGK56+AGV20*POWER(1-(AnnualChurn*VLOOKUP(AGH56,ChurnSeasonTable,4,FALSE)),3)*BlendedPriceEssAnnual*AGK56+AGV8*POWER(1-(AnnualChurn*VLOOKUP(AGH56,ChurnSeasonTable,4,FALSE)),4)*BlendedPriceEssAnnual*AGK56+AGW44*POWER(1-(AnnualChurn*VLOOKUP(AGH56,ChurnSeasonTable,4,FALSE)),1)*BlendedPricePremAnnual*AGK56+AGW32*POWER(1-(AnnualChurn*VLOOKUP(AGH56,ChurnSeasonTable,4,FALSE)),2)*BlendedPricePremAnnual*AGK56+AGW20*POWER(1-(AnnualChurn*VLOOKUP(AGH56,ChurnSeasonTable,4,FALSE)),3)*BlendedPricePremAnnual*AGK56+AGW8*POWER(1-(AnnualChurn*VLOOKUP(AGH56,ChurnSeasonTable,4,FALSE)),4)*BlendedPricePremAnnual*AGK56+AGX44*POWER(1-(AnnualChurn*VLOOKUP(AGH56,ChurnSeasonTable,4,FALSE)),1)*BlendedPriceEliteAnnual*AGK56+AGX32*POWER(1-(AnnualChurn*VLOOKUP(AGH56,ChurnSeasonTable,4,FALSE)),2)*BlendedPriceEliteAnnual*AGK56+AGX20*POWER(1-(AnnualChurn*VLOOKUP(AGH56,ChurnSeasonTable,4,FALSE)),3)*BlendedPriceEliteAnnual*AGK56+AGX8*POWER(1-(AnnualChurn*VLOOKUP(AGH56,ChurnSeasonTable,4,FALSE)),4)*BlendedPriceEliteAnnual*AGK56</f>
        <v/>
      </c>
      <c r="AHK56" s="9">
        <f>AHH56+AHI56+AHJ56</f>
        <v/>
      </c>
      <c r="AHL56" s="12">
        <f>SUM(AHK45:AHK56)</f>
        <v/>
      </c>
      <c r="AHM56" s="12">
        <f>OR(AHM55,IF(VATAgentMode,SUM($AHK45:$AHK56)-SUM($AHR45:$AHR56)&gt;=VATThreshold,SUM($AHK45:$AHK56)&gt;=VATThreshold))</f>
        <v/>
      </c>
      <c r="AHN56" s="9">
        <f>IF(AHM56,IF(VATAgentMode,AHK56-((AHK56-AHR56)-(AHK56-AHR56)/(1+VATRate)),AHK56/(1+VATRate)),AHK56)</f>
        <v/>
      </c>
      <c r="AHO56" s="12">
        <f>AHK56-AHN56</f>
        <v/>
      </c>
      <c r="AHP56" s="12">
        <f>IF(AHM56=0,0,IF(AGH56=1,SUMPRODUCT(--(($AGI$5:$AGI56=$AGI56-1)*($AGH$5:$AGH56&gt;=10)*($AGH$5:$AGH56&lt;=12)),$AHO$5:$AHO56),IF(AGH56=4,SUMPRODUCT(--(($AGI$5:$AGI56=$AGI56)*($AGH$5:$AGH56&gt;=1)*($AGH$5:$AGH56&lt;=3)),$AHO$5:$AHO56),IF(AGH56=7,SUMPRODUCT(--(($AGI$5:$AGI56=$AGI56)*($AGH$5:$AGH56&gt;=4)*($AGH$5:$AGH56&lt;=6)),$AHO$5:$AHO56),IF(AGH56=10,SUMPRODUCT(--(($AGI$5:$AGI56=$AGI56)*($AGH$5:$AGH56&gt;=7)*($AGH$5:$AGH56&lt;=9)),$AHO$5:$AHO56),0)))))</f>
        <v/>
      </c>
      <c r="AHQ56" s="12">
        <f>AHQ55+AHO56-AHP56</f>
        <v/>
      </c>
      <c r="AHR56" s="12">
        <f>IF(ProviderDelay&gt;=1,AGY55*BlendedProvPayEss+AGZ55*BlendedProvPayPrem+AHA55*BlendedProvPayElite+AHB55*BlendedProvPayEss+AHC55*BlendedProvPayPrem+AHD55*BlendedProvPayElite,AGY56*BlendedProvPayEss+AGZ56*BlendedProvPayPrem+AHA56*BlendedProvPayElite+AHB56*BlendedProvPayEss+AHC56*BlendedProvPayPrem+AHD56*BlendedProvPayElite)</f>
        <v/>
      </c>
      <c r="AHS56" s="12">
        <f>AHK56*PaymentFee</f>
        <v/>
      </c>
      <c r="AHT56" s="12">
        <f>AHE56*OpsAI</f>
        <v/>
      </c>
      <c r="AHU56" s="12">
        <f>MonthlyFixed</f>
        <v/>
      </c>
      <c r="AHV56" s="12">
        <f>AGO56*ReferralReward</f>
        <v/>
      </c>
      <c r="AHW56" s="12">
        <f>AGM56</f>
        <v/>
      </c>
      <c r="AHX56" s="9">
        <f>AHN56-AHR56-AHS56-AHT56-AHU56-AHV56-AHW56</f>
        <v/>
      </c>
      <c r="AHY56" s="9">
        <f>AHY55+AHK56-(AHR56+AHS56+AHT56+AHU56+AHV56+AHW56+AHP56)</f>
        <v/>
      </c>
      <c r="AHZ56" s="12">
        <f>IF(AHE56&gt;0,AHF56/AHE56,0)</f>
        <v/>
      </c>
      <c r="AIA56" s="11">
        <f>IF(AHE55&gt;0,MAX(0,(AHE55+AGP56-AHE56)/AHE55),0)</f>
        <v/>
      </c>
      <c r="AIC56" s="12" t="n">
        <v>52</v>
      </c>
      <c r="AID56" s="12">
        <f>MOD(AIC56-1+LaunchMonth-1,12)+1</f>
        <v/>
      </c>
      <c r="AIE56" s="12">
        <f>INT((AIC56-1+LaunchMonth-1)/12)+1</f>
        <v/>
      </c>
      <c r="AIF56" s="12">
        <f>VLOOKUP(AID56,SeasonTable,2,FALSE)</f>
        <v/>
      </c>
      <c r="AIG56" s="12">
        <f>(1+InflationRate)^INT((AIC56-1)/12)</f>
        <v/>
      </c>
      <c r="AIH56" s="11">
        <f>MonthlyChurn*VLOOKUP(AID56,ChurnSeasonTable,4,FALSE)</f>
        <v/>
      </c>
      <c r="AII56" s="12">
        <f>MIN(MAX(MktMin19plus,AJG55*MktPct19plus),MAX(0,AJU55-CashBuffer))</f>
        <v/>
      </c>
      <c r="AIJ56" s="12">
        <f>IF(AII56&gt;0,MAX(1,ROUND(AII56/'Sens - CAC &amp; Marketing'!$A$9*AIF56,0)),0)</f>
        <v/>
      </c>
      <c r="AIK56" s="12">
        <f>IF(AIJ56&gt;0,ROUND(AIJ56*ReferralMix/(1-ReferralMix),0),0)</f>
        <v/>
      </c>
      <c r="AIL56" s="12">
        <f>AIJ56+AIK56</f>
        <v/>
      </c>
      <c r="AIM56" s="12">
        <f>ROUND(AIL56*(1-AnnualMix),0)</f>
        <v/>
      </c>
      <c r="AIN56" s="12">
        <f>AIL56-AIM56</f>
        <v/>
      </c>
      <c r="AIO56" s="12">
        <f>ROUND(AIM56*EssentialMix,0)</f>
        <v/>
      </c>
      <c r="AIP56" s="12">
        <f>ROUND(AIM56*PremiumMix,0)</f>
        <v/>
      </c>
      <c r="AIQ56" s="12">
        <f>AIM56-AIO56-AIP56</f>
        <v/>
      </c>
      <c r="AIR56" s="12">
        <f>ROUND(AIN56*EssentialMix,0)</f>
        <v/>
      </c>
      <c r="AIS56" s="12">
        <f>ROUND(AIN56*PremiumMix,0)</f>
        <v/>
      </c>
      <c r="AIT56" s="12">
        <f>AIN56-AIR56-AIS56</f>
        <v/>
      </c>
      <c r="AIU56" s="12">
        <f>AIO56+AIO55+AIO54+MAX(0,AIU55-AIO55-AIO54)*(1-AIH56)</f>
        <v/>
      </c>
      <c r="AIV56" s="12">
        <f>AIP56+AIP55+AIP54+MAX(0,AIV55-AIP55-AIP54)*(1-AIH56)</f>
        <v/>
      </c>
      <c r="AIW56" s="12">
        <f>AIQ56+AIQ55+AIQ54+MAX(0,AIW55-AIQ55-AIQ54)*(1-AIH56)</f>
        <v/>
      </c>
      <c r="AIX56" s="12">
        <f>AIX55+AIR56-AIR44*(AnnualChurn*VLOOKUP(AID56,ChurnSeasonTable,4,FALSE))*POWER(1-(AnnualChurn*VLOOKUP(AID56,ChurnSeasonTable,4,FALSE)),0)+AIR32*(AnnualChurn*VLOOKUP(AID56,ChurnSeasonTable,4,FALSE))*POWER(1-(AnnualChurn*VLOOKUP(AID56,ChurnSeasonTable,4,FALSE)),1)+AIR20*(AnnualChurn*VLOOKUP(AID56,ChurnSeasonTable,4,FALSE))*POWER(1-(AnnualChurn*VLOOKUP(AID56,ChurnSeasonTable,4,FALSE)),2)+AIR8*(AnnualChurn*VLOOKUP(AID56,ChurnSeasonTable,4,FALSE))*POWER(1-(AnnualChurn*VLOOKUP(AID56,ChurnSeasonTable,4,FALSE)),3)</f>
        <v/>
      </c>
      <c r="AIY56" s="12">
        <f>AIY55+AIS56-AIS44*(AnnualChurn*VLOOKUP(AID56,ChurnSeasonTable,4,FALSE))*POWER(1-(AnnualChurn*VLOOKUP(AID56,ChurnSeasonTable,4,FALSE)),0)+AIS32*(AnnualChurn*VLOOKUP(AID56,ChurnSeasonTable,4,FALSE))*POWER(1-(AnnualChurn*VLOOKUP(AID56,ChurnSeasonTable,4,FALSE)),1)+AIS20*(AnnualChurn*VLOOKUP(AID56,ChurnSeasonTable,4,FALSE))*POWER(1-(AnnualChurn*VLOOKUP(AID56,ChurnSeasonTable,4,FALSE)),2)+AIS8*(AnnualChurn*VLOOKUP(AID56,ChurnSeasonTable,4,FALSE))*POWER(1-(AnnualChurn*VLOOKUP(AID56,ChurnSeasonTable,4,FALSE)),3)</f>
        <v/>
      </c>
      <c r="AIZ56" s="12">
        <f>AIZ55+AIT56-AIT44*(AnnualChurn*VLOOKUP(AID56,ChurnSeasonTable,4,FALSE))*POWER(1-(AnnualChurn*VLOOKUP(AID56,ChurnSeasonTable,4,FALSE)),0)+AIT32*(AnnualChurn*VLOOKUP(AID56,ChurnSeasonTable,4,FALSE))*POWER(1-(AnnualChurn*VLOOKUP(AID56,ChurnSeasonTable,4,FALSE)),1)+AIT20*(AnnualChurn*VLOOKUP(AID56,ChurnSeasonTable,4,FALSE))*POWER(1-(AnnualChurn*VLOOKUP(AID56,ChurnSeasonTable,4,FALSE)),2)+AIT8*(AnnualChurn*VLOOKUP(AID56,ChurnSeasonTable,4,FALSE))*POWER(1-(AnnualChurn*VLOOKUP(AID56,ChurnSeasonTable,4,FALSE)),3)</f>
        <v/>
      </c>
      <c r="AJA56" s="12">
        <f>AIU56+AIV56+AIW56+AIX56+AIY56+AIZ56</f>
        <v/>
      </c>
      <c r="AJB56" s="9">
        <f>AIU56*BlendedPriceEssMonthly*AIG56+AIV56*BlendedPricePremMonthly*AIG56+AIW56*BlendedPriceEliteMonthly*AIG56+AIX56*BlendedPriceEssAnnual*AIG56/12+AIY56*BlendedPricePremAnnual*AIG56/12+AIZ56*BlendedPriceEliteAnnual*AIG56/12</f>
        <v/>
      </c>
      <c r="AJC56" s="9">
        <f>AJB56*12</f>
        <v/>
      </c>
      <c r="AJD56" s="12">
        <f>AIU56*BlendedPriceEssMonthly*AIG56+AIV56*BlendedPricePremMonthly*AIG56+AIW56*BlendedPriceEliteMonthly*AIG56</f>
        <v/>
      </c>
      <c r="AJE56" s="12">
        <f>AIR56*BlendedPriceEssAnnual*AIG56+AIS56*BlendedPricePremAnnual*AIG56+AIT56*BlendedPriceEliteAnnual*AIG56</f>
        <v/>
      </c>
      <c r="AJF56" s="12">
        <f>AIR44*POWER(1-(AnnualChurn*VLOOKUP(AID56,ChurnSeasonTable,4,FALSE)),1)*BlendedPriceEssAnnual*AIG56+AIR32*POWER(1-(AnnualChurn*VLOOKUP(AID56,ChurnSeasonTable,4,FALSE)),2)*BlendedPriceEssAnnual*AIG56+AIR20*POWER(1-(AnnualChurn*VLOOKUP(AID56,ChurnSeasonTable,4,FALSE)),3)*BlendedPriceEssAnnual*AIG56+AIR8*POWER(1-(AnnualChurn*VLOOKUP(AID56,ChurnSeasonTable,4,FALSE)),4)*BlendedPriceEssAnnual*AIG56+AIS44*POWER(1-(AnnualChurn*VLOOKUP(AID56,ChurnSeasonTable,4,FALSE)),1)*BlendedPricePremAnnual*AIG56+AIS32*POWER(1-(AnnualChurn*VLOOKUP(AID56,ChurnSeasonTable,4,FALSE)),2)*BlendedPricePremAnnual*AIG56+AIS20*POWER(1-(AnnualChurn*VLOOKUP(AID56,ChurnSeasonTable,4,FALSE)),3)*BlendedPricePremAnnual*AIG56+AIS8*POWER(1-(AnnualChurn*VLOOKUP(AID56,ChurnSeasonTable,4,FALSE)),4)*BlendedPricePremAnnual*AIG56+AIT44*POWER(1-(AnnualChurn*VLOOKUP(AID56,ChurnSeasonTable,4,FALSE)),1)*BlendedPriceEliteAnnual*AIG56+AIT32*POWER(1-(AnnualChurn*VLOOKUP(AID56,ChurnSeasonTable,4,FALSE)),2)*BlendedPriceEliteAnnual*AIG56+AIT20*POWER(1-(AnnualChurn*VLOOKUP(AID56,ChurnSeasonTable,4,FALSE)),3)*BlendedPriceEliteAnnual*AIG56+AIT8*POWER(1-(AnnualChurn*VLOOKUP(AID56,ChurnSeasonTable,4,FALSE)),4)*BlendedPriceEliteAnnual*AIG56</f>
        <v/>
      </c>
      <c r="AJG56" s="9">
        <f>AJD56+AJE56+AJF56</f>
        <v/>
      </c>
      <c r="AJH56" s="12">
        <f>SUM(AJG45:AJG56)</f>
        <v/>
      </c>
      <c r="AJI56" s="12">
        <f>OR(AJI55,IF(VATAgentMode,SUM($AJG45:$AJG56)-SUM($AJN45:$AJN56)&gt;=VATThreshold,SUM($AJG45:$AJG56)&gt;=VATThreshold))</f>
        <v/>
      </c>
      <c r="AJJ56" s="9">
        <f>IF(AJI56,IF(VATAgentMode,AJG56-((AJG56-AJN56)-(AJG56-AJN56)/(1+VATRate)),AJG56/(1+VATRate)),AJG56)</f>
        <v/>
      </c>
      <c r="AJK56" s="12">
        <f>AJG56-AJJ56</f>
        <v/>
      </c>
      <c r="AJL56" s="12">
        <f>IF(AJI56=0,0,IF(AID56=1,SUMPRODUCT(--(($AIE$5:$AIE56=$AIE56-1)*($AID$5:$AID56&gt;=10)*($AID$5:$AID56&lt;=12)),$AJK$5:$AJK56),IF(AID56=4,SUMPRODUCT(--(($AIE$5:$AIE56=$AIE56)*($AID$5:$AID56&gt;=1)*($AID$5:$AID56&lt;=3)),$AJK$5:$AJK56),IF(AID56=7,SUMPRODUCT(--(($AIE$5:$AIE56=$AIE56)*($AID$5:$AID56&gt;=4)*($AID$5:$AID56&lt;=6)),$AJK$5:$AJK56),IF(AID56=10,SUMPRODUCT(--(($AIE$5:$AIE56=$AIE56)*($AID$5:$AID56&gt;=7)*($AID$5:$AID56&lt;=9)),$AJK$5:$AJK56),0)))))</f>
        <v/>
      </c>
      <c r="AJM56" s="12">
        <f>AJM55+AJK56-AJL56</f>
        <v/>
      </c>
      <c r="AJN56" s="12">
        <f>IF(ProviderDelay&gt;=1,AIU55*BlendedProvPayEss+AIV55*BlendedProvPayPrem+AIW55*BlendedProvPayElite+AIX55*BlendedProvPayEss+AIY55*BlendedProvPayPrem+AIZ55*BlendedProvPayElite,AIU56*BlendedProvPayEss+AIV56*BlendedProvPayPrem+AIW56*BlendedProvPayElite+AIX56*BlendedProvPayEss+AIY56*BlendedProvPayPrem+AIZ56*BlendedProvPayElite)</f>
        <v/>
      </c>
      <c r="AJO56" s="12">
        <f>AJG56*PaymentFee</f>
        <v/>
      </c>
      <c r="AJP56" s="12">
        <f>AJA56*OpsAI</f>
        <v/>
      </c>
      <c r="AJQ56" s="12">
        <f>MonthlyFixed</f>
        <v/>
      </c>
      <c r="AJR56" s="12">
        <f>AIK56*ReferralReward</f>
        <v/>
      </c>
      <c r="AJS56" s="12">
        <f>AII56</f>
        <v/>
      </c>
      <c r="AJT56" s="9">
        <f>AJJ56-AJN56-AJO56-AJP56-AJQ56-AJR56-AJS56</f>
        <v/>
      </c>
      <c r="AJU56" s="9">
        <f>AJU55+AJG56-(AJN56+AJO56+AJP56+AJQ56+AJR56+AJS56+AJL56)</f>
        <v/>
      </c>
      <c r="AJV56" s="12">
        <f>IF(AJA56&gt;0,AJB56/AJA56,0)</f>
        <v/>
      </c>
      <c r="AJW56" s="11">
        <f>IF(AJA55&gt;0,MAX(0,(AJA55+AIL56-AJA56)/AJA55),0)</f>
        <v/>
      </c>
      <c r="AJY56" s="12" t="n">
        <v>52</v>
      </c>
      <c r="AJZ56" s="12">
        <f>MOD(AJY56-1+LaunchMonth-1,12)+1</f>
        <v/>
      </c>
      <c r="AKA56" s="12">
        <f>INT((AJY56-1+LaunchMonth-1)/12)+1</f>
        <v/>
      </c>
      <c r="AKB56" s="12">
        <f>VLOOKUP(AJZ56,SeasonTable,2,FALSE)</f>
        <v/>
      </c>
      <c r="AKC56" s="12">
        <f>(1+InflationRate)^INT((AJY56-1)/12)</f>
        <v/>
      </c>
      <c r="AKD56" s="11">
        <f>MonthlyChurn*VLOOKUP(AJZ56,ChurnSeasonTable,4,FALSE)</f>
        <v/>
      </c>
      <c r="AKE56" s="12">
        <f>MIN(MAX(MktMin19plus,ALC55*MktPct19plus),MAX(0,ALQ55-CashBuffer))</f>
        <v/>
      </c>
      <c r="AKF56" s="12">
        <f>IF(AKE56&gt;0,MAX(1,ROUND(AKE56/'Sens - CAC &amp; Marketing'!$A$10*AKB56,0)),0)</f>
        <v/>
      </c>
      <c r="AKG56" s="12">
        <f>IF(AKF56&gt;0,ROUND(AKF56*ReferralMix/(1-ReferralMix),0),0)</f>
        <v/>
      </c>
      <c r="AKH56" s="12">
        <f>AKF56+AKG56</f>
        <v/>
      </c>
      <c r="AKI56" s="12">
        <f>ROUND(AKH56*(1-AnnualMix),0)</f>
        <v/>
      </c>
      <c r="AKJ56" s="12">
        <f>AKH56-AKI56</f>
        <v/>
      </c>
      <c r="AKK56" s="12">
        <f>ROUND(AKI56*EssentialMix,0)</f>
        <v/>
      </c>
      <c r="AKL56" s="12">
        <f>ROUND(AKI56*PremiumMix,0)</f>
        <v/>
      </c>
      <c r="AKM56" s="12">
        <f>AKI56-AKK56-AKL56</f>
        <v/>
      </c>
      <c r="AKN56" s="12">
        <f>ROUND(AKJ56*EssentialMix,0)</f>
        <v/>
      </c>
      <c r="AKO56" s="12">
        <f>ROUND(AKJ56*PremiumMix,0)</f>
        <v/>
      </c>
      <c r="AKP56" s="12">
        <f>AKJ56-AKN56-AKO56</f>
        <v/>
      </c>
      <c r="AKQ56" s="12">
        <f>AKK56+AKK55+AKK54+MAX(0,AKQ55-AKK55-AKK54)*(1-AKD56)</f>
        <v/>
      </c>
      <c r="AKR56" s="12">
        <f>AKL56+AKL55+AKL54+MAX(0,AKR55-AKL55-AKL54)*(1-AKD56)</f>
        <v/>
      </c>
      <c r="AKS56" s="12">
        <f>AKM56+AKM55+AKM54+MAX(0,AKS55-AKM55-AKM54)*(1-AKD56)</f>
        <v/>
      </c>
      <c r="AKT56" s="12">
        <f>AKT55+AKN56-AKN44*(AnnualChurn*VLOOKUP(AJZ56,ChurnSeasonTable,4,FALSE))*POWER(1-(AnnualChurn*VLOOKUP(AJZ56,ChurnSeasonTable,4,FALSE)),0)+AKN32*(AnnualChurn*VLOOKUP(AJZ56,ChurnSeasonTable,4,FALSE))*POWER(1-(AnnualChurn*VLOOKUP(AJZ56,ChurnSeasonTable,4,FALSE)),1)+AKN20*(AnnualChurn*VLOOKUP(AJZ56,ChurnSeasonTable,4,FALSE))*POWER(1-(AnnualChurn*VLOOKUP(AJZ56,ChurnSeasonTable,4,FALSE)),2)+AKN8*(AnnualChurn*VLOOKUP(AJZ56,ChurnSeasonTable,4,FALSE))*POWER(1-(AnnualChurn*VLOOKUP(AJZ56,ChurnSeasonTable,4,FALSE)),3)</f>
        <v/>
      </c>
      <c r="AKU56" s="12">
        <f>AKU55+AKO56-AKO44*(AnnualChurn*VLOOKUP(AJZ56,ChurnSeasonTable,4,FALSE))*POWER(1-(AnnualChurn*VLOOKUP(AJZ56,ChurnSeasonTable,4,FALSE)),0)+AKO32*(AnnualChurn*VLOOKUP(AJZ56,ChurnSeasonTable,4,FALSE))*POWER(1-(AnnualChurn*VLOOKUP(AJZ56,ChurnSeasonTable,4,FALSE)),1)+AKO20*(AnnualChurn*VLOOKUP(AJZ56,ChurnSeasonTable,4,FALSE))*POWER(1-(AnnualChurn*VLOOKUP(AJZ56,ChurnSeasonTable,4,FALSE)),2)+AKO8*(AnnualChurn*VLOOKUP(AJZ56,ChurnSeasonTable,4,FALSE))*POWER(1-(AnnualChurn*VLOOKUP(AJZ56,ChurnSeasonTable,4,FALSE)),3)</f>
        <v/>
      </c>
      <c r="AKV56" s="12">
        <f>AKV55+AKP56-AKP44*(AnnualChurn*VLOOKUP(AJZ56,ChurnSeasonTable,4,FALSE))*POWER(1-(AnnualChurn*VLOOKUP(AJZ56,ChurnSeasonTable,4,FALSE)),0)+AKP32*(AnnualChurn*VLOOKUP(AJZ56,ChurnSeasonTable,4,FALSE))*POWER(1-(AnnualChurn*VLOOKUP(AJZ56,ChurnSeasonTable,4,FALSE)),1)+AKP20*(AnnualChurn*VLOOKUP(AJZ56,ChurnSeasonTable,4,FALSE))*POWER(1-(AnnualChurn*VLOOKUP(AJZ56,ChurnSeasonTable,4,FALSE)),2)+AKP8*(AnnualChurn*VLOOKUP(AJZ56,ChurnSeasonTable,4,FALSE))*POWER(1-(AnnualChurn*VLOOKUP(AJZ56,ChurnSeasonTable,4,FALSE)),3)</f>
        <v/>
      </c>
      <c r="AKW56" s="12">
        <f>AKQ56+AKR56+AKS56+AKT56+AKU56+AKV56</f>
        <v/>
      </c>
      <c r="AKX56" s="9">
        <f>AKQ56*BlendedPriceEssMonthly*AKC56+AKR56*BlendedPricePremMonthly*AKC56+AKS56*BlendedPriceEliteMonthly*AKC56+AKT56*BlendedPriceEssAnnual*AKC56/12+AKU56*BlendedPricePremAnnual*AKC56/12+AKV56*BlendedPriceEliteAnnual*AKC56/12</f>
        <v/>
      </c>
      <c r="AKY56" s="9">
        <f>AKX56*12</f>
        <v/>
      </c>
      <c r="AKZ56" s="12">
        <f>AKQ56*BlendedPriceEssMonthly*AKC56+AKR56*BlendedPricePremMonthly*AKC56+AKS56*BlendedPriceEliteMonthly*AKC56</f>
        <v/>
      </c>
      <c r="ALA56" s="12">
        <f>AKN56*BlendedPriceEssAnnual*AKC56+AKO56*BlendedPricePremAnnual*AKC56+AKP56*BlendedPriceEliteAnnual*AKC56</f>
        <v/>
      </c>
      <c r="ALB56" s="12">
        <f>AKN44*POWER(1-(AnnualChurn*VLOOKUP(AJZ56,ChurnSeasonTable,4,FALSE)),1)*BlendedPriceEssAnnual*AKC56+AKN32*POWER(1-(AnnualChurn*VLOOKUP(AJZ56,ChurnSeasonTable,4,FALSE)),2)*BlendedPriceEssAnnual*AKC56+AKN20*POWER(1-(AnnualChurn*VLOOKUP(AJZ56,ChurnSeasonTable,4,FALSE)),3)*BlendedPriceEssAnnual*AKC56+AKN8*POWER(1-(AnnualChurn*VLOOKUP(AJZ56,ChurnSeasonTable,4,FALSE)),4)*BlendedPriceEssAnnual*AKC56+AKO44*POWER(1-(AnnualChurn*VLOOKUP(AJZ56,ChurnSeasonTable,4,FALSE)),1)*BlendedPricePremAnnual*AKC56+AKO32*POWER(1-(AnnualChurn*VLOOKUP(AJZ56,ChurnSeasonTable,4,FALSE)),2)*BlendedPricePremAnnual*AKC56+AKO20*POWER(1-(AnnualChurn*VLOOKUP(AJZ56,ChurnSeasonTable,4,FALSE)),3)*BlendedPricePremAnnual*AKC56+AKO8*POWER(1-(AnnualChurn*VLOOKUP(AJZ56,ChurnSeasonTable,4,FALSE)),4)*BlendedPricePremAnnual*AKC56+AKP44*POWER(1-(AnnualChurn*VLOOKUP(AJZ56,ChurnSeasonTable,4,FALSE)),1)*BlendedPriceEliteAnnual*AKC56+AKP32*POWER(1-(AnnualChurn*VLOOKUP(AJZ56,ChurnSeasonTable,4,FALSE)),2)*BlendedPriceEliteAnnual*AKC56+AKP20*POWER(1-(AnnualChurn*VLOOKUP(AJZ56,ChurnSeasonTable,4,FALSE)),3)*BlendedPriceEliteAnnual*AKC56+AKP8*POWER(1-(AnnualChurn*VLOOKUP(AJZ56,ChurnSeasonTable,4,FALSE)),4)*BlendedPriceEliteAnnual*AKC56</f>
        <v/>
      </c>
      <c r="ALC56" s="9">
        <f>AKZ56+ALA56+ALB56</f>
        <v/>
      </c>
      <c r="ALD56" s="12">
        <f>SUM(ALC45:ALC56)</f>
        <v/>
      </c>
      <c r="ALE56" s="12">
        <f>OR(ALE55,IF(VATAgentMode,SUM($ALC45:$ALC56)-SUM($ALJ45:$ALJ56)&gt;=VATThreshold,SUM($ALC45:$ALC56)&gt;=VATThreshold))</f>
        <v/>
      </c>
      <c r="ALF56" s="9">
        <f>IF(ALE56,IF(VATAgentMode,ALC56-((ALC56-ALJ56)-(ALC56-ALJ56)/(1+VATRate)),ALC56/(1+VATRate)),ALC56)</f>
        <v/>
      </c>
      <c r="ALG56" s="12">
        <f>ALC56-ALF56</f>
        <v/>
      </c>
      <c r="ALH56" s="12">
        <f>IF(ALE56=0,0,IF(AJZ56=1,SUMPRODUCT(--(($AKA$5:$AKA56=$AKA56-1)*($AJZ$5:$AJZ56&gt;=10)*($AJZ$5:$AJZ56&lt;=12)),$ALG$5:$ALG56),IF(AJZ56=4,SUMPRODUCT(--(($AKA$5:$AKA56=$AKA56)*($AJZ$5:$AJZ56&gt;=1)*($AJZ$5:$AJZ56&lt;=3)),$ALG$5:$ALG56),IF(AJZ56=7,SUMPRODUCT(--(($AKA$5:$AKA56=$AKA56)*($AJZ$5:$AJZ56&gt;=4)*($AJZ$5:$AJZ56&lt;=6)),$ALG$5:$ALG56),IF(AJZ56=10,SUMPRODUCT(--(($AKA$5:$AKA56=$AKA56)*($AJZ$5:$AJZ56&gt;=7)*($AJZ$5:$AJZ56&lt;=9)),$ALG$5:$ALG56),0)))))</f>
        <v/>
      </c>
      <c r="ALI56" s="12">
        <f>ALI55+ALG56-ALH56</f>
        <v/>
      </c>
      <c r="ALJ56" s="12">
        <f>IF(ProviderDelay&gt;=1,AKQ55*BlendedProvPayEss+AKR55*BlendedProvPayPrem+AKS55*BlendedProvPayElite+AKT55*BlendedProvPayEss+AKU55*BlendedProvPayPrem+AKV55*BlendedProvPayElite,AKQ56*BlendedProvPayEss+AKR56*BlendedProvPayPrem+AKS56*BlendedProvPayElite+AKT56*BlendedProvPayEss+AKU56*BlendedProvPayPrem+AKV56*BlendedProvPayElite)</f>
        <v/>
      </c>
      <c r="ALK56" s="12">
        <f>ALC56*PaymentFee</f>
        <v/>
      </c>
      <c r="ALL56" s="12">
        <f>AKW56*OpsAI</f>
        <v/>
      </c>
      <c r="ALM56" s="12">
        <f>MonthlyFixed</f>
        <v/>
      </c>
      <c r="ALN56" s="12">
        <f>AKG56*ReferralReward</f>
        <v/>
      </c>
      <c r="ALO56" s="12">
        <f>AKE56</f>
        <v/>
      </c>
      <c r="ALP56" s="9">
        <f>ALF56-ALJ56-ALK56-ALL56-ALM56-ALN56-ALO56</f>
        <v/>
      </c>
      <c r="ALQ56" s="9">
        <f>ALQ55+ALC56-(ALJ56+ALK56+ALL56+ALM56+ALN56+ALO56+ALH56)</f>
        <v/>
      </c>
      <c r="ALR56" s="12">
        <f>IF(AKW56&gt;0,AKX56/AKW56,0)</f>
        <v/>
      </c>
      <c r="ALS56" s="11">
        <f>IF(AKW55&gt;0,MAX(0,(AKW55+AKH56-AKW56)/AKW55),0)</f>
        <v/>
      </c>
      <c r="ALU56" s="12" t="n">
        <v>52</v>
      </c>
      <c r="ALV56" s="12">
        <f>MOD(ALU56-1+LaunchMonth-1,12)+1</f>
        <v/>
      </c>
      <c r="ALW56" s="12">
        <f>INT((ALU56-1+LaunchMonth-1)/12)+1</f>
        <v/>
      </c>
      <c r="ALX56" s="12">
        <f>VLOOKUP(ALV56,SeasonTable,2,FALSE)</f>
        <v/>
      </c>
      <c r="ALY56" s="12">
        <f>(1+InflationRate)^INT((ALU56-1)/12)</f>
        <v/>
      </c>
      <c r="ALZ56" s="11">
        <f>MonthlyChurn*VLOOKUP(ALV56,ChurnSeasonTable,4,FALSE)</f>
        <v/>
      </c>
      <c r="AMA56" s="12">
        <f>MIN(MAX(MktMin19plus,AMY55*MktPct19plus),MAX(0,ANM55-CashBuffer))</f>
        <v/>
      </c>
      <c r="AMB56" s="12">
        <f>IF(AMA56&gt;0,MAX(1,ROUND(AMA56/'Sens - CAC &amp; Marketing'!$A$11*ALX56,0)),0)</f>
        <v/>
      </c>
      <c r="AMC56" s="12">
        <f>IF(AMB56&gt;0,ROUND(AMB56*ReferralMix/(1-ReferralMix),0),0)</f>
        <v/>
      </c>
      <c r="AMD56" s="12">
        <f>AMB56+AMC56</f>
        <v/>
      </c>
      <c r="AME56" s="12">
        <f>ROUND(AMD56*(1-AnnualMix),0)</f>
        <v/>
      </c>
      <c r="AMF56" s="12">
        <f>AMD56-AME56</f>
        <v/>
      </c>
      <c r="AMG56" s="12">
        <f>ROUND(AME56*EssentialMix,0)</f>
        <v/>
      </c>
      <c r="AMH56" s="12">
        <f>ROUND(AME56*PremiumMix,0)</f>
        <v/>
      </c>
      <c r="AMI56" s="12">
        <f>AME56-AMG56-AMH56</f>
        <v/>
      </c>
      <c r="AMJ56" s="12">
        <f>ROUND(AMF56*EssentialMix,0)</f>
        <v/>
      </c>
      <c r="AMK56" s="12">
        <f>ROUND(AMF56*PremiumMix,0)</f>
        <v/>
      </c>
      <c r="AML56" s="12">
        <f>AMF56-AMJ56-AMK56</f>
        <v/>
      </c>
      <c r="AMM56" s="12">
        <f>AMG56+AMG55+AMG54+MAX(0,AMM55-AMG55-AMG54)*(1-ALZ56)</f>
        <v/>
      </c>
      <c r="AMN56" s="12">
        <f>AMH56+AMH55+AMH54+MAX(0,AMN55-AMH55-AMH54)*(1-ALZ56)</f>
        <v/>
      </c>
      <c r="AMO56" s="12">
        <f>AMI56+AMI55+AMI54+MAX(0,AMO55-AMI55-AMI54)*(1-ALZ56)</f>
        <v/>
      </c>
      <c r="AMP56" s="12">
        <f>AMP55+AMJ56-AMJ44*(AnnualChurn*VLOOKUP(ALV56,ChurnSeasonTable,4,FALSE))*POWER(1-(AnnualChurn*VLOOKUP(ALV56,ChurnSeasonTable,4,FALSE)),0)+AMJ32*(AnnualChurn*VLOOKUP(ALV56,ChurnSeasonTable,4,FALSE))*POWER(1-(AnnualChurn*VLOOKUP(ALV56,ChurnSeasonTable,4,FALSE)),1)+AMJ20*(AnnualChurn*VLOOKUP(ALV56,ChurnSeasonTable,4,FALSE))*POWER(1-(AnnualChurn*VLOOKUP(ALV56,ChurnSeasonTable,4,FALSE)),2)+AMJ8*(AnnualChurn*VLOOKUP(ALV56,ChurnSeasonTable,4,FALSE))*POWER(1-(AnnualChurn*VLOOKUP(ALV56,ChurnSeasonTable,4,FALSE)),3)</f>
        <v/>
      </c>
      <c r="AMQ56" s="12">
        <f>AMQ55+AMK56-AMK44*(AnnualChurn*VLOOKUP(ALV56,ChurnSeasonTable,4,FALSE))*POWER(1-(AnnualChurn*VLOOKUP(ALV56,ChurnSeasonTable,4,FALSE)),0)+AMK32*(AnnualChurn*VLOOKUP(ALV56,ChurnSeasonTable,4,FALSE))*POWER(1-(AnnualChurn*VLOOKUP(ALV56,ChurnSeasonTable,4,FALSE)),1)+AMK20*(AnnualChurn*VLOOKUP(ALV56,ChurnSeasonTable,4,FALSE))*POWER(1-(AnnualChurn*VLOOKUP(ALV56,ChurnSeasonTable,4,FALSE)),2)+AMK8*(AnnualChurn*VLOOKUP(ALV56,ChurnSeasonTable,4,FALSE))*POWER(1-(AnnualChurn*VLOOKUP(ALV56,ChurnSeasonTable,4,FALSE)),3)</f>
        <v/>
      </c>
      <c r="AMR56" s="12">
        <f>AMR55+AML56-AML44*(AnnualChurn*VLOOKUP(ALV56,ChurnSeasonTable,4,FALSE))*POWER(1-(AnnualChurn*VLOOKUP(ALV56,ChurnSeasonTable,4,FALSE)),0)+AML32*(AnnualChurn*VLOOKUP(ALV56,ChurnSeasonTable,4,FALSE))*POWER(1-(AnnualChurn*VLOOKUP(ALV56,ChurnSeasonTable,4,FALSE)),1)+AML20*(AnnualChurn*VLOOKUP(ALV56,ChurnSeasonTable,4,FALSE))*POWER(1-(AnnualChurn*VLOOKUP(ALV56,ChurnSeasonTable,4,FALSE)),2)+AML8*(AnnualChurn*VLOOKUP(ALV56,ChurnSeasonTable,4,FALSE))*POWER(1-(AnnualChurn*VLOOKUP(ALV56,ChurnSeasonTable,4,FALSE)),3)</f>
        <v/>
      </c>
      <c r="AMS56" s="12">
        <f>AMM56+AMN56+AMO56+AMP56+AMQ56+AMR56</f>
        <v/>
      </c>
      <c r="AMT56" s="9">
        <f>AMM56*BlendedPriceEssMonthly*ALY56+AMN56*BlendedPricePremMonthly*ALY56+AMO56*BlendedPriceEliteMonthly*ALY56+AMP56*BlendedPriceEssAnnual*ALY56/12+AMQ56*BlendedPricePremAnnual*ALY56/12+AMR56*BlendedPriceEliteAnnual*ALY56/12</f>
        <v/>
      </c>
      <c r="AMU56" s="9">
        <f>AMT56*12</f>
        <v/>
      </c>
      <c r="AMV56" s="12">
        <f>AMM56*BlendedPriceEssMonthly*ALY56+AMN56*BlendedPricePremMonthly*ALY56+AMO56*BlendedPriceEliteMonthly*ALY56</f>
        <v/>
      </c>
      <c r="AMW56" s="12">
        <f>AMJ56*BlendedPriceEssAnnual*ALY56+AMK56*BlendedPricePremAnnual*ALY56+AML56*BlendedPriceEliteAnnual*ALY56</f>
        <v/>
      </c>
      <c r="AMX56" s="12">
        <f>AMJ44*POWER(1-(AnnualChurn*VLOOKUP(ALV56,ChurnSeasonTable,4,FALSE)),1)*BlendedPriceEssAnnual*ALY56+AMJ32*POWER(1-(AnnualChurn*VLOOKUP(ALV56,ChurnSeasonTable,4,FALSE)),2)*BlendedPriceEssAnnual*ALY56+AMJ20*POWER(1-(AnnualChurn*VLOOKUP(ALV56,ChurnSeasonTable,4,FALSE)),3)*BlendedPriceEssAnnual*ALY56+AMJ8*POWER(1-(AnnualChurn*VLOOKUP(ALV56,ChurnSeasonTable,4,FALSE)),4)*BlendedPriceEssAnnual*ALY56+AMK44*POWER(1-(AnnualChurn*VLOOKUP(ALV56,ChurnSeasonTable,4,FALSE)),1)*BlendedPricePremAnnual*ALY56+AMK32*POWER(1-(AnnualChurn*VLOOKUP(ALV56,ChurnSeasonTable,4,FALSE)),2)*BlendedPricePremAnnual*ALY56+AMK20*POWER(1-(AnnualChurn*VLOOKUP(ALV56,ChurnSeasonTable,4,FALSE)),3)*BlendedPricePremAnnual*ALY56+AMK8*POWER(1-(AnnualChurn*VLOOKUP(ALV56,ChurnSeasonTable,4,FALSE)),4)*BlendedPricePremAnnual*ALY56+AML44*POWER(1-(AnnualChurn*VLOOKUP(ALV56,ChurnSeasonTable,4,FALSE)),1)*BlendedPriceEliteAnnual*ALY56+AML32*POWER(1-(AnnualChurn*VLOOKUP(ALV56,ChurnSeasonTable,4,FALSE)),2)*BlendedPriceEliteAnnual*ALY56+AML20*POWER(1-(AnnualChurn*VLOOKUP(ALV56,ChurnSeasonTable,4,FALSE)),3)*BlendedPriceEliteAnnual*ALY56+AML8*POWER(1-(AnnualChurn*VLOOKUP(ALV56,ChurnSeasonTable,4,FALSE)),4)*BlendedPriceEliteAnnual*ALY56</f>
        <v/>
      </c>
      <c r="AMY56" s="9">
        <f>AMV56+AMW56+AMX56</f>
        <v/>
      </c>
      <c r="AMZ56" s="12">
        <f>SUM(AMY45:AMY56)</f>
        <v/>
      </c>
      <c r="ANA56" s="12">
        <f>OR(ANA55,IF(VATAgentMode,SUM($AMY45:$AMY56)-SUM($ANF45:$ANF56)&gt;=VATThreshold,SUM($AMY45:$AMY56)&gt;=VATThreshold))</f>
        <v/>
      </c>
      <c r="ANB56" s="9">
        <f>IF(ANA56,IF(VATAgentMode,AMY56-((AMY56-ANF56)-(AMY56-ANF56)/(1+VATRate)),AMY56/(1+VATRate)),AMY56)</f>
        <v/>
      </c>
      <c r="ANC56" s="12">
        <f>AMY56-ANB56</f>
        <v/>
      </c>
      <c r="AND56" s="12">
        <f>IF(ANA56=0,0,IF(ALV56=1,SUMPRODUCT(--(($ALW$5:$ALW56=$ALW56-1)*($ALV$5:$ALV56&gt;=10)*($ALV$5:$ALV56&lt;=12)),$ANC$5:$ANC56),IF(ALV56=4,SUMPRODUCT(--(($ALW$5:$ALW56=$ALW56)*($ALV$5:$ALV56&gt;=1)*($ALV$5:$ALV56&lt;=3)),$ANC$5:$ANC56),IF(ALV56=7,SUMPRODUCT(--(($ALW$5:$ALW56=$ALW56)*($ALV$5:$ALV56&gt;=4)*($ALV$5:$ALV56&lt;=6)),$ANC$5:$ANC56),IF(ALV56=10,SUMPRODUCT(--(($ALW$5:$ALW56=$ALW56)*($ALV$5:$ALV56&gt;=7)*($ALV$5:$ALV56&lt;=9)),$ANC$5:$ANC56),0)))))</f>
        <v/>
      </c>
      <c r="ANE56" s="12">
        <f>ANE55+ANC56-AND56</f>
        <v/>
      </c>
      <c r="ANF56" s="12">
        <f>IF(ProviderDelay&gt;=1,AMM55*BlendedProvPayEss+AMN55*BlendedProvPayPrem+AMO55*BlendedProvPayElite+AMP55*BlendedProvPayEss+AMQ55*BlendedProvPayPrem+AMR55*BlendedProvPayElite,AMM56*BlendedProvPayEss+AMN56*BlendedProvPayPrem+AMO56*BlendedProvPayElite+AMP56*BlendedProvPayEss+AMQ56*BlendedProvPayPrem+AMR56*BlendedProvPayElite)</f>
        <v/>
      </c>
      <c r="ANG56" s="12">
        <f>AMY56*PaymentFee</f>
        <v/>
      </c>
      <c r="ANH56" s="12">
        <f>AMS56*OpsAI</f>
        <v/>
      </c>
      <c r="ANI56" s="12">
        <f>MonthlyFixed</f>
        <v/>
      </c>
      <c r="ANJ56" s="12">
        <f>AMC56*ReferralReward</f>
        <v/>
      </c>
      <c r="ANK56" s="12">
        <f>AMA56</f>
        <v/>
      </c>
      <c r="ANL56" s="9">
        <f>ANB56-ANF56-ANG56-ANH56-ANI56-ANJ56-ANK56</f>
        <v/>
      </c>
      <c r="ANM56" s="9">
        <f>ANM55+AMY56-(ANF56+ANG56+ANH56+ANI56+ANJ56+ANK56+AND56)</f>
        <v/>
      </c>
      <c r="ANN56" s="12">
        <f>IF(AMS56&gt;0,AMT56/AMS56,0)</f>
        <v/>
      </c>
      <c r="ANO56" s="11">
        <f>IF(AMS55&gt;0,MAX(0,(AMS55+AMD56-AMS56)/AMS55),0)</f>
        <v/>
      </c>
      <c r="ANQ56" s="12" t="n">
        <v>52</v>
      </c>
      <c r="ANR56" s="12">
        <f>MOD(ANQ56-1+LaunchMonth-1,12)+1</f>
        <v/>
      </c>
      <c r="ANS56" s="12">
        <f>INT((ANQ56-1+LaunchMonth-1)/12)+1</f>
        <v/>
      </c>
      <c r="ANT56" s="12">
        <f>VLOOKUP(ANR56,SeasonTable,2,FALSE)</f>
        <v/>
      </c>
      <c r="ANU56" s="12">
        <f>(1+InflationRate)^INT((ANQ56-1)/12)</f>
        <v/>
      </c>
      <c r="ANV56" s="11">
        <f>MonthlyChurn*VLOOKUP(ANR56,ChurnSeasonTable,4,FALSE)</f>
        <v/>
      </c>
      <c r="ANW56" s="12">
        <f>MIN(MAX(MktMin19plus,AOU55*MktPct19plus),MAX(0,API55-CashBuffer))</f>
        <v/>
      </c>
      <c r="ANX56" s="12">
        <f>IF(ANW56&gt;0,MAX(1,ROUND(ANW56/'Sens - CAC &amp; Marketing'!$A$12*ANT56,0)),0)</f>
        <v/>
      </c>
      <c r="ANY56" s="12">
        <f>IF(ANX56&gt;0,ROUND(ANX56*ReferralMix/(1-ReferralMix),0),0)</f>
        <v/>
      </c>
      <c r="ANZ56" s="12">
        <f>ANX56+ANY56</f>
        <v/>
      </c>
      <c r="AOA56" s="12">
        <f>ROUND(ANZ56*(1-AnnualMix),0)</f>
        <v/>
      </c>
      <c r="AOB56" s="12">
        <f>ANZ56-AOA56</f>
        <v/>
      </c>
      <c r="AOC56" s="12">
        <f>ROUND(AOA56*EssentialMix,0)</f>
        <v/>
      </c>
      <c r="AOD56" s="12">
        <f>ROUND(AOA56*PremiumMix,0)</f>
        <v/>
      </c>
      <c r="AOE56" s="12">
        <f>AOA56-AOC56-AOD56</f>
        <v/>
      </c>
      <c r="AOF56" s="12">
        <f>ROUND(AOB56*EssentialMix,0)</f>
        <v/>
      </c>
      <c r="AOG56" s="12">
        <f>ROUND(AOB56*PremiumMix,0)</f>
        <v/>
      </c>
      <c r="AOH56" s="12">
        <f>AOB56-AOF56-AOG56</f>
        <v/>
      </c>
      <c r="AOI56" s="12">
        <f>AOC56+AOC55+AOC54+MAX(0,AOI55-AOC55-AOC54)*(1-ANV56)</f>
        <v/>
      </c>
      <c r="AOJ56" s="12">
        <f>AOD56+AOD55+AOD54+MAX(0,AOJ55-AOD55-AOD54)*(1-ANV56)</f>
        <v/>
      </c>
      <c r="AOK56" s="12">
        <f>AOE56+AOE55+AOE54+MAX(0,AOK55-AOE55-AOE54)*(1-ANV56)</f>
        <v/>
      </c>
      <c r="AOL56" s="12">
        <f>AOL55+AOF56-AOF44*(AnnualChurn*VLOOKUP(ANR56,ChurnSeasonTable,4,FALSE))*POWER(1-(AnnualChurn*VLOOKUP(ANR56,ChurnSeasonTable,4,FALSE)),0)+AOF32*(AnnualChurn*VLOOKUP(ANR56,ChurnSeasonTable,4,FALSE))*POWER(1-(AnnualChurn*VLOOKUP(ANR56,ChurnSeasonTable,4,FALSE)),1)+AOF20*(AnnualChurn*VLOOKUP(ANR56,ChurnSeasonTable,4,FALSE))*POWER(1-(AnnualChurn*VLOOKUP(ANR56,ChurnSeasonTable,4,FALSE)),2)+AOF8*(AnnualChurn*VLOOKUP(ANR56,ChurnSeasonTable,4,FALSE))*POWER(1-(AnnualChurn*VLOOKUP(ANR56,ChurnSeasonTable,4,FALSE)),3)</f>
        <v/>
      </c>
      <c r="AOM56" s="12">
        <f>AOM55+AOG56-AOG44*(AnnualChurn*VLOOKUP(ANR56,ChurnSeasonTable,4,FALSE))*POWER(1-(AnnualChurn*VLOOKUP(ANR56,ChurnSeasonTable,4,FALSE)),0)+AOG32*(AnnualChurn*VLOOKUP(ANR56,ChurnSeasonTable,4,FALSE))*POWER(1-(AnnualChurn*VLOOKUP(ANR56,ChurnSeasonTable,4,FALSE)),1)+AOG20*(AnnualChurn*VLOOKUP(ANR56,ChurnSeasonTable,4,FALSE))*POWER(1-(AnnualChurn*VLOOKUP(ANR56,ChurnSeasonTable,4,FALSE)),2)+AOG8*(AnnualChurn*VLOOKUP(ANR56,ChurnSeasonTable,4,FALSE))*POWER(1-(AnnualChurn*VLOOKUP(ANR56,ChurnSeasonTable,4,FALSE)),3)</f>
        <v/>
      </c>
      <c r="AON56" s="12">
        <f>AON55+AOH56-AOH44*(AnnualChurn*VLOOKUP(ANR56,ChurnSeasonTable,4,FALSE))*POWER(1-(AnnualChurn*VLOOKUP(ANR56,ChurnSeasonTable,4,FALSE)),0)+AOH32*(AnnualChurn*VLOOKUP(ANR56,ChurnSeasonTable,4,FALSE))*POWER(1-(AnnualChurn*VLOOKUP(ANR56,ChurnSeasonTable,4,FALSE)),1)+AOH20*(AnnualChurn*VLOOKUP(ANR56,ChurnSeasonTable,4,FALSE))*POWER(1-(AnnualChurn*VLOOKUP(ANR56,ChurnSeasonTable,4,FALSE)),2)+AOH8*(AnnualChurn*VLOOKUP(ANR56,ChurnSeasonTable,4,FALSE))*POWER(1-(AnnualChurn*VLOOKUP(ANR56,ChurnSeasonTable,4,FALSE)),3)</f>
        <v/>
      </c>
      <c r="AOO56" s="12">
        <f>AOI56+AOJ56+AOK56+AOL56+AOM56+AON56</f>
        <v/>
      </c>
      <c r="AOP56" s="9">
        <f>AOI56*BlendedPriceEssMonthly*ANU56+AOJ56*BlendedPricePremMonthly*ANU56+AOK56*BlendedPriceEliteMonthly*ANU56+AOL56*BlendedPriceEssAnnual*ANU56/12+AOM56*BlendedPricePremAnnual*ANU56/12+AON56*BlendedPriceEliteAnnual*ANU56/12</f>
        <v/>
      </c>
      <c r="AOQ56" s="9">
        <f>AOP56*12</f>
        <v/>
      </c>
      <c r="AOR56" s="12">
        <f>AOI56*BlendedPriceEssMonthly*ANU56+AOJ56*BlendedPricePremMonthly*ANU56+AOK56*BlendedPriceEliteMonthly*ANU56</f>
        <v/>
      </c>
      <c r="AOS56" s="12">
        <f>AOF56*BlendedPriceEssAnnual*ANU56+AOG56*BlendedPricePremAnnual*ANU56+AOH56*BlendedPriceEliteAnnual*ANU56</f>
        <v/>
      </c>
      <c r="AOT56" s="12">
        <f>AOF44*POWER(1-(AnnualChurn*VLOOKUP(ANR56,ChurnSeasonTable,4,FALSE)),1)*BlendedPriceEssAnnual*ANU56+AOF32*POWER(1-(AnnualChurn*VLOOKUP(ANR56,ChurnSeasonTable,4,FALSE)),2)*BlendedPriceEssAnnual*ANU56+AOF20*POWER(1-(AnnualChurn*VLOOKUP(ANR56,ChurnSeasonTable,4,FALSE)),3)*BlendedPriceEssAnnual*ANU56+AOF8*POWER(1-(AnnualChurn*VLOOKUP(ANR56,ChurnSeasonTable,4,FALSE)),4)*BlendedPriceEssAnnual*ANU56+AOG44*POWER(1-(AnnualChurn*VLOOKUP(ANR56,ChurnSeasonTable,4,FALSE)),1)*BlendedPricePremAnnual*ANU56+AOG32*POWER(1-(AnnualChurn*VLOOKUP(ANR56,ChurnSeasonTable,4,FALSE)),2)*BlendedPricePremAnnual*ANU56+AOG20*POWER(1-(AnnualChurn*VLOOKUP(ANR56,ChurnSeasonTable,4,FALSE)),3)*BlendedPricePremAnnual*ANU56+AOG8*POWER(1-(AnnualChurn*VLOOKUP(ANR56,ChurnSeasonTable,4,FALSE)),4)*BlendedPricePremAnnual*ANU56+AOH44*POWER(1-(AnnualChurn*VLOOKUP(ANR56,ChurnSeasonTable,4,FALSE)),1)*BlendedPriceEliteAnnual*ANU56+AOH32*POWER(1-(AnnualChurn*VLOOKUP(ANR56,ChurnSeasonTable,4,FALSE)),2)*BlendedPriceEliteAnnual*ANU56+AOH20*POWER(1-(AnnualChurn*VLOOKUP(ANR56,ChurnSeasonTable,4,FALSE)),3)*BlendedPriceEliteAnnual*ANU56+AOH8*POWER(1-(AnnualChurn*VLOOKUP(ANR56,ChurnSeasonTable,4,FALSE)),4)*BlendedPriceEliteAnnual*ANU56</f>
        <v/>
      </c>
      <c r="AOU56" s="9">
        <f>AOR56+AOS56+AOT56</f>
        <v/>
      </c>
      <c r="AOV56" s="12">
        <f>SUM(AOU45:AOU56)</f>
        <v/>
      </c>
      <c r="AOW56" s="12">
        <f>OR(AOW55,IF(VATAgentMode,SUM($AOU45:$AOU56)-SUM($APB45:$APB56)&gt;=VATThreshold,SUM($AOU45:$AOU56)&gt;=VATThreshold))</f>
        <v/>
      </c>
      <c r="AOX56" s="9">
        <f>IF(AOW56,IF(VATAgentMode,AOU56-((AOU56-APB56)-(AOU56-APB56)/(1+VATRate)),AOU56/(1+VATRate)),AOU56)</f>
        <v/>
      </c>
      <c r="AOY56" s="12">
        <f>AOU56-AOX56</f>
        <v/>
      </c>
      <c r="AOZ56" s="12">
        <f>IF(AOW56=0,0,IF(ANR56=1,SUMPRODUCT(--(($ANS$5:$ANS56=$ANS56-1)*($ANR$5:$ANR56&gt;=10)*($ANR$5:$ANR56&lt;=12)),$AOY$5:$AOY56),IF(ANR56=4,SUMPRODUCT(--(($ANS$5:$ANS56=$ANS56)*($ANR$5:$ANR56&gt;=1)*($ANR$5:$ANR56&lt;=3)),$AOY$5:$AOY56),IF(ANR56=7,SUMPRODUCT(--(($ANS$5:$ANS56=$ANS56)*($ANR$5:$ANR56&gt;=4)*($ANR$5:$ANR56&lt;=6)),$AOY$5:$AOY56),IF(ANR56=10,SUMPRODUCT(--(($ANS$5:$ANS56=$ANS56)*($ANR$5:$ANR56&gt;=7)*($ANR$5:$ANR56&lt;=9)),$AOY$5:$AOY56),0)))))</f>
        <v/>
      </c>
      <c r="APA56" s="12">
        <f>APA55+AOY56-AOZ56</f>
        <v/>
      </c>
      <c r="APB56" s="12">
        <f>IF(ProviderDelay&gt;=1,AOI55*BlendedProvPayEss+AOJ55*BlendedProvPayPrem+AOK55*BlendedProvPayElite+AOL55*BlendedProvPayEss+AOM55*BlendedProvPayPrem+AON55*BlendedProvPayElite,AOI56*BlendedProvPayEss+AOJ56*BlendedProvPayPrem+AOK56*BlendedProvPayElite+AOL56*BlendedProvPayEss+AOM56*BlendedProvPayPrem+AON56*BlendedProvPayElite)</f>
        <v/>
      </c>
      <c r="APC56" s="12">
        <f>AOU56*PaymentFee</f>
        <v/>
      </c>
      <c r="APD56" s="12">
        <f>AOO56*OpsAI</f>
        <v/>
      </c>
      <c r="APE56" s="12">
        <f>MonthlyFixed</f>
        <v/>
      </c>
      <c r="APF56" s="12">
        <f>ANY56*ReferralReward</f>
        <v/>
      </c>
      <c r="APG56" s="12">
        <f>ANW56</f>
        <v/>
      </c>
      <c r="APH56" s="9">
        <f>AOX56-APB56-APC56-APD56-APE56-APF56-APG56</f>
        <v/>
      </c>
      <c r="API56" s="9">
        <f>API55+AOU56-(APB56+APC56+APD56+APE56+APF56+APG56+AOZ56)</f>
        <v/>
      </c>
      <c r="APJ56" s="12">
        <f>IF(AOO56&gt;0,AOP56/AOO56,0)</f>
        <v/>
      </c>
      <c r="APK56" s="11">
        <f>IF(AOO55&gt;0,MAX(0,(AOO55+ANZ56-AOO56)/AOO55),0)</f>
        <v/>
      </c>
      <c r="APM56" s="12" t="n">
        <v>52</v>
      </c>
      <c r="APN56" s="12">
        <f>MOD(APM56-1+LaunchMonth-1,12)+1</f>
        <v/>
      </c>
      <c r="APO56" s="12">
        <f>INT((APM56-1+LaunchMonth-1)/12)+1</f>
        <v/>
      </c>
      <c r="APP56" s="12">
        <f>VLOOKUP(APN56,SeasonTable,2,FALSE)</f>
        <v/>
      </c>
      <c r="APQ56" s="12">
        <f>(1+InflationRate)^INT((APM56-1)/12)</f>
        <v/>
      </c>
      <c r="APR56" s="11">
        <f>MonthlyChurn*VLOOKUP(APN56,ChurnSeasonTable,4,FALSE)</f>
        <v/>
      </c>
      <c r="APS56" s="12">
        <f>MIN(MAX(MktMin19plus,AQQ55*MktPct19plus),MAX(0,ARE55-CashBuffer))</f>
        <v/>
      </c>
      <c r="APT56" s="12">
        <f>IF(APS56&gt;0,MAX(1,ROUND(APS56/'Sens - CAC &amp; Marketing'!$A$13*APP56,0)),0)</f>
        <v/>
      </c>
      <c r="APU56" s="12">
        <f>IF(APT56&gt;0,ROUND(APT56*ReferralMix/(1-ReferralMix),0),0)</f>
        <v/>
      </c>
      <c r="APV56" s="12">
        <f>APT56+APU56</f>
        <v/>
      </c>
      <c r="APW56" s="12">
        <f>ROUND(APV56*(1-AnnualMix),0)</f>
        <v/>
      </c>
      <c r="APX56" s="12">
        <f>APV56-APW56</f>
        <v/>
      </c>
      <c r="APY56" s="12">
        <f>ROUND(APW56*EssentialMix,0)</f>
        <v/>
      </c>
      <c r="APZ56" s="12">
        <f>ROUND(APW56*PremiumMix,0)</f>
        <v/>
      </c>
      <c r="AQA56" s="12">
        <f>APW56-APY56-APZ56</f>
        <v/>
      </c>
      <c r="AQB56" s="12">
        <f>ROUND(APX56*EssentialMix,0)</f>
        <v/>
      </c>
      <c r="AQC56" s="12">
        <f>ROUND(APX56*PremiumMix,0)</f>
        <v/>
      </c>
      <c r="AQD56" s="12">
        <f>APX56-AQB56-AQC56</f>
        <v/>
      </c>
      <c r="AQE56" s="12">
        <f>APY56+APY55+APY54+MAX(0,AQE55-APY55-APY54)*(1-APR56)</f>
        <v/>
      </c>
      <c r="AQF56" s="12">
        <f>APZ56+APZ55+APZ54+MAX(0,AQF55-APZ55-APZ54)*(1-APR56)</f>
        <v/>
      </c>
      <c r="AQG56" s="12">
        <f>AQA56+AQA55+AQA54+MAX(0,AQG55-AQA55-AQA54)*(1-APR56)</f>
        <v/>
      </c>
      <c r="AQH56" s="12">
        <f>AQH55+AQB56-AQB44*(AnnualChurn*VLOOKUP(APN56,ChurnSeasonTable,4,FALSE))*POWER(1-(AnnualChurn*VLOOKUP(APN56,ChurnSeasonTable,4,FALSE)),0)+AQB32*(AnnualChurn*VLOOKUP(APN56,ChurnSeasonTable,4,FALSE))*POWER(1-(AnnualChurn*VLOOKUP(APN56,ChurnSeasonTable,4,FALSE)),1)+AQB20*(AnnualChurn*VLOOKUP(APN56,ChurnSeasonTable,4,FALSE))*POWER(1-(AnnualChurn*VLOOKUP(APN56,ChurnSeasonTable,4,FALSE)),2)+AQB8*(AnnualChurn*VLOOKUP(APN56,ChurnSeasonTable,4,FALSE))*POWER(1-(AnnualChurn*VLOOKUP(APN56,ChurnSeasonTable,4,FALSE)),3)</f>
        <v/>
      </c>
      <c r="AQI56" s="12">
        <f>AQI55+AQC56-AQC44*(AnnualChurn*VLOOKUP(APN56,ChurnSeasonTable,4,FALSE))*POWER(1-(AnnualChurn*VLOOKUP(APN56,ChurnSeasonTable,4,FALSE)),0)+AQC32*(AnnualChurn*VLOOKUP(APN56,ChurnSeasonTable,4,FALSE))*POWER(1-(AnnualChurn*VLOOKUP(APN56,ChurnSeasonTable,4,FALSE)),1)+AQC20*(AnnualChurn*VLOOKUP(APN56,ChurnSeasonTable,4,FALSE))*POWER(1-(AnnualChurn*VLOOKUP(APN56,ChurnSeasonTable,4,FALSE)),2)+AQC8*(AnnualChurn*VLOOKUP(APN56,ChurnSeasonTable,4,FALSE))*POWER(1-(AnnualChurn*VLOOKUP(APN56,ChurnSeasonTable,4,FALSE)),3)</f>
        <v/>
      </c>
      <c r="AQJ56" s="12">
        <f>AQJ55+AQD56-AQD44*(AnnualChurn*VLOOKUP(APN56,ChurnSeasonTable,4,FALSE))*POWER(1-(AnnualChurn*VLOOKUP(APN56,ChurnSeasonTable,4,FALSE)),0)+AQD32*(AnnualChurn*VLOOKUP(APN56,ChurnSeasonTable,4,FALSE))*POWER(1-(AnnualChurn*VLOOKUP(APN56,ChurnSeasonTable,4,FALSE)),1)+AQD20*(AnnualChurn*VLOOKUP(APN56,ChurnSeasonTable,4,FALSE))*POWER(1-(AnnualChurn*VLOOKUP(APN56,ChurnSeasonTable,4,FALSE)),2)+AQD8*(AnnualChurn*VLOOKUP(APN56,ChurnSeasonTable,4,FALSE))*POWER(1-(AnnualChurn*VLOOKUP(APN56,ChurnSeasonTable,4,FALSE)),3)</f>
        <v/>
      </c>
      <c r="AQK56" s="12">
        <f>AQE56+AQF56+AQG56+AQH56+AQI56+AQJ56</f>
        <v/>
      </c>
      <c r="AQL56" s="9">
        <f>AQE56*BlendedPriceEssMonthly*APQ56+AQF56*BlendedPricePremMonthly*APQ56+AQG56*BlendedPriceEliteMonthly*APQ56+AQH56*BlendedPriceEssAnnual*APQ56/12+AQI56*BlendedPricePremAnnual*APQ56/12+AQJ56*BlendedPriceEliteAnnual*APQ56/12</f>
        <v/>
      </c>
      <c r="AQM56" s="9">
        <f>AQL56*12</f>
        <v/>
      </c>
      <c r="AQN56" s="12">
        <f>AQE56*BlendedPriceEssMonthly*APQ56+AQF56*BlendedPricePremMonthly*APQ56+AQG56*BlendedPriceEliteMonthly*APQ56</f>
        <v/>
      </c>
      <c r="AQO56" s="12">
        <f>AQB56*BlendedPriceEssAnnual*APQ56+AQC56*BlendedPricePremAnnual*APQ56+AQD56*BlendedPriceEliteAnnual*APQ56</f>
        <v/>
      </c>
      <c r="AQP56" s="12">
        <f>AQB44*POWER(1-(AnnualChurn*VLOOKUP(APN56,ChurnSeasonTable,4,FALSE)),1)*BlendedPriceEssAnnual*APQ56+AQB32*POWER(1-(AnnualChurn*VLOOKUP(APN56,ChurnSeasonTable,4,FALSE)),2)*BlendedPriceEssAnnual*APQ56+AQB20*POWER(1-(AnnualChurn*VLOOKUP(APN56,ChurnSeasonTable,4,FALSE)),3)*BlendedPriceEssAnnual*APQ56+AQB8*POWER(1-(AnnualChurn*VLOOKUP(APN56,ChurnSeasonTable,4,FALSE)),4)*BlendedPriceEssAnnual*APQ56+AQC44*POWER(1-(AnnualChurn*VLOOKUP(APN56,ChurnSeasonTable,4,FALSE)),1)*BlendedPricePremAnnual*APQ56+AQC32*POWER(1-(AnnualChurn*VLOOKUP(APN56,ChurnSeasonTable,4,FALSE)),2)*BlendedPricePremAnnual*APQ56+AQC20*POWER(1-(AnnualChurn*VLOOKUP(APN56,ChurnSeasonTable,4,FALSE)),3)*BlendedPricePremAnnual*APQ56+AQC8*POWER(1-(AnnualChurn*VLOOKUP(APN56,ChurnSeasonTable,4,FALSE)),4)*BlendedPricePremAnnual*APQ56+AQD44*POWER(1-(AnnualChurn*VLOOKUP(APN56,ChurnSeasonTable,4,FALSE)),1)*BlendedPriceEliteAnnual*APQ56+AQD32*POWER(1-(AnnualChurn*VLOOKUP(APN56,ChurnSeasonTable,4,FALSE)),2)*BlendedPriceEliteAnnual*APQ56+AQD20*POWER(1-(AnnualChurn*VLOOKUP(APN56,ChurnSeasonTable,4,FALSE)),3)*BlendedPriceEliteAnnual*APQ56+AQD8*POWER(1-(AnnualChurn*VLOOKUP(APN56,ChurnSeasonTable,4,FALSE)),4)*BlendedPriceEliteAnnual*APQ56</f>
        <v/>
      </c>
      <c r="AQQ56" s="9">
        <f>AQN56+AQO56+AQP56</f>
        <v/>
      </c>
      <c r="AQR56" s="12">
        <f>SUM(AQQ45:AQQ56)</f>
        <v/>
      </c>
      <c r="AQS56" s="12">
        <f>OR(AQS55,IF(VATAgentMode,SUM($AQQ45:$AQQ56)-SUM($AQX45:$AQX56)&gt;=VATThreshold,SUM($AQQ45:$AQQ56)&gt;=VATThreshold))</f>
        <v/>
      </c>
      <c r="AQT56" s="9">
        <f>IF(AQS56,IF(VATAgentMode,AQQ56-((AQQ56-AQX56)-(AQQ56-AQX56)/(1+VATRate)),AQQ56/(1+VATRate)),AQQ56)</f>
        <v/>
      </c>
      <c r="AQU56" s="12">
        <f>AQQ56-AQT56</f>
        <v/>
      </c>
      <c r="AQV56" s="12">
        <f>IF(AQS56=0,0,IF(APN56=1,SUMPRODUCT(--(($APO$5:$APO56=$APO56-1)*($APN$5:$APN56&gt;=10)*($APN$5:$APN56&lt;=12)),$AQU$5:$AQU56),IF(APN56=4,SUMPRODUCT(--(($APO$5:$APO56=$APO56)*($APN$5:$APN56&gt;=1)*($APN$5:$APN56&lt;=3)),$AQU$5:$AQU56),IF(APN56=7,SUMPRODUCT(--(($APO$5:$APO56=$APO56)*($APN$5:$APN56&gt;=4)*($APN$5:$APN56&lt;=6)),$AQU$5:$AQU56),IF(APN56=10,SUMPRODUCT(--(($APO$5:$APO56=$APO56)*($APN$5:$APN56&gt;=7)*($APN$5:$APN56&lt;=9)),$AQU$5:$AQU56),0)))))</f>
        <v/>
      </c>
      <c r="AQW56" s="12">
        <f>AQW55+AQU56-AQV56</f>
        <v/>
      </c>
      <c r="AQX56" s="12">
        <f>IF(ProviderDelay&gt;=1,AQE55*BlendedProvPayEss+AQF55*BlendedProvPayPrem+AQG55*BlendedProvPayElite+AQH55*BlendedProvPayEss+AQI55*BlendedProvPayPrem+AQJ55*BlendedProvPayElite,AQE56*BlendedProvPayEss+AQF56*BlendedProvPayPrem+AQG56*BlendedProvPayElite+AQH56*BlendedProvPayEss+AQI56*BlendedProvPayPrem+AQJ56*BlendedProvPayElite)</f>
        <v/>
      </c>
      <c r="AQY56" s="12">
        <f>AQQ56*PaymentFee</f>
        <v/>
      </c>
      <c r="AQZ56" s="12">
        <f>AQK56*OpsAI</f>
        <v/>
      </c>
      <c r="ARA56" s="12">
        <f>MonthlyFixed</f>
        <v/>
      </c>
      <c r="ARB56" s="12">
        <f>APU56*ReferralReward</f>
        <v/>
      </c>
      <c r="ARC56" s="12">
        <f>APS56</f>
        <v/>
      </c>
      <c r="ARD56" s="9">
        <f>AQT56-AQX56-AQY56-AQZ56-ARA56-ARB56-ARC56</f>
        <v/>
      </c>
      <c r="ARE56" s="9">
        <f>ARE55+AQQ56-(AQX56+AQY56+AQZ56+ARA56+ARB56+ARC56+AQV56)</f>
        <v/>
      </c>
      <c r="ARF56" s="12">
        <f>IF(AQK56&gt;0,AQL56/AQK56,0)</f>
        <v/>
      </c>
      <c r="ARG56" s="11">
        <f>IF(AQK55&gt;0,MAX(0,(AQK55+APV56-AQK56)/AQK55),0)</f>
        <v/>
      </c>
      <c r="ARI56" s="12" t="n">
        <v>52</v>
      </c>
      <c r="ARJ56" s="12">
        <f>MOD(ARI56-1+LaunchMonth-1,12)+1</f>
        <v/>
      </c>
      <c r="ARK56" s="12">
        <f>INT((ARI56-1+LaunchMonth-1)/12)+1</f>
        <v/>
      </c>
      <c r="ARL56" s="12">
        <f>VLOOKUP(ARJ56,SeasonTable,2,FALSE)</f>
        <v/>
      </c>
      <c r="ARM56" s="12">
        <f>(1+InflationRate)^INT((ARI56-1)/12)</f>
        <v/>
      </c>
      <c r="ARN56" s="11">
        <f>MonthlyChurn*VLOOKUP(ARJ56,ChurnSeasonTable,4,FALSE)</f>
        <v/>
      </c>
      <c r="ARO56" s="12">
        <f>MIN(MAX(MktMin19plus,ASM55*MktPct19plus),MAX(0,ATA55-CashBuffer))</f>
        <v/>
      </c>
      <c r="ARP56" s="12">
        <f>IF(ARO56&gt;0,MAX(1,ROUND(ARO56/'Sens - CAC &amp; Marketing'!$A$14*ARL56,0)),0)</f>
        <v/>
      </c>
      <c r="ARQ56" s="12">
        <f>IF(ARP56&gt;0,ROUND(ARP56*ReferralMix/(1-ReferralMix),0),0)</f>
        <v/>
      </c>
      <c r="ARR56" s="12">
        <f>ARP56+ARQ56</f>
        <v/>
      </c>
      <c r="ARS56" s="12">
        <f>ROUND(ARR56*(1-AnnualMix),0)</f>
        <v/>
      </c>
      <c r="ART56" s="12">
        <f>ARR56-ARS56</f>
        <v/>
      </c>
      <c r="ARU56" s="12">
        <f>ROUND(ARS56*EssentialMix,0)</f>
        <v/>
      </c>
      <c r="ARV56" s="12">
        <f>ROUND(ARS56*PremiumMix,0)</f>
        <v/>
      </c>
      <c r="ARW56" s="12">
        <f>ARS56-ARU56-ARV56</f>
        <v/>
      </c>
      <c r="ARX56" s="12">
        <f>ROUND(ART56*EssentialMix,0)</f>
        <v/>
      </c>
      <c r="ARY56" s="12">
        <f>ROUND(ART56*PremiumMix,0)</f>
        <v/>
      </c>
      <c r="ARZ56" s="12">
        <f>ART56-ARX56-ARY56</f>
        <v/>
      </c>
      <c r="ASA56" s="12">
        <f>ARU56+ARU55+ARU54+MAX(0,ASA55-ARU55-ARU54)*(1-ARN56)</f>
        <v/>
      </c>
      <c r="ASB56" s="12">
        <f>ARV56+ARV55+ARV54+MAX(0,ASB55-ARV55-ARV54)*(1-ARN56)</f>
        <v/>
      </c>
      <c r="ASC56" s="12">
        <f>ARW56+ARW55+ARW54+MAX(0,ASC55-ARW55-ARW54)*(1-ARN56)</f>
        <v/>
      </c>
      <c r="ASD56" s="12">
        <f>ASD55+ARX56-ARX44*(AnnualChurn*VLOOKUP(ARJ56,ChurnSeasonTable,4,FALSE))*POWER(1-(AnnualChurn*VLOOKUP(ARJ56,ChurnSeasonTable,4,FALSE)),0)+ARX32*(AnnualChurn*VLOOKUP(ARJ56,ChurnSeasonTable,4,FALSE))*POWER(1-(AnnualChurn*VLOOKUP(ARJ56,ChurnSeasonTable,4,FALSE)),1)+ARX20*(AnnualChurn*VLOOKUP(ARJ56,ChurnSeasonTable,4,FALSE))*POWER(1-(AnnualChurn*VLOOKUP(ARJ56,ChurnSeasonTable,4,FALSE)),2)+ARX8*(AnnualChurn*VLOOKUP(ARJ56,ChurnSeasonTable,4,FALSE))*POWER(1-(AnnualChurn*VLOOKUP(ARJ56,ChurnSeasonTable,4,FALSE)),3)</f>
        <v/>
      </c>
      <c r="ASE56" s="12">
        <f>ASE55+ARY56-ARY44*(AnnualChurn*VLOOKUP(ARJ56,ChurnSeasonTable,4,FALSE))*POWER(1-(AnnualChurn*VLOOKUP(ARJ56,ChurnSeasonTable,4,FALSE)),0)+ARY32*(AnnualChurn*VLOOKUP(ARJ56,ChurnSeasonTable,4,FALSE))*POWER(1-(AnnualChurn*VLOOKUP(ARJ56,ChurnSeasonTable,4,FALSE)),1)+ARY20*(AnnualChurn*VLOOKUP(ARJ56,ChurnSeasonTable,4,FALSE))*POWER(1-(AnnualChurn*VLOOKUP(ARJ56,ChurnSeasonTable,4,FALSE)),2)+ARY8*(AnnualChurn*VLOOKUP(ARJ56,ChurnSeasonTable,4,FALSE))*POWER(1-(AnnualChurn*VLOOKUP(ARJ56,ChurnSeasonTable,4,FALSE)),3)</f>
        <v/>
      </c>
      <c r="ASF56" s="12">
        <f>ASF55+ARZ56-ARZ44*(AnnualChurn*VLOOKUP(ARJ56,ChurnSeasonTable,4,FALSE))*POWER(1-(AnnualChurn*VLOOKUP(ARJ56,ChurnSeasonTable,4,FALSE)),0)+ARZ32*(AnnualChurn*VLOOKUP(ARJ56,ChurnSeasonTable,4,FALSE))*POWER(1-(AnnualChurn*VLOOKUP(ARJ56,ChurnSeasonTable,4,FALSE)),1)+ARZ20*(AnnualChurn*VLOOKUP(ARJ56,ChurnSeasonTable,4,FALSE))*POWER(1-(AnnualChurn*VLOOKUP(ARJ56,ChurnSeasonTable,4,FALSE)),2)+ARZ8*(AnnualChurn*VLOOKUP(ARJ56,ChurnSeasonTable,4,FALSE))*POWER(1-(AnnualChurn*VLOOKUP(ARJ56,ChurnSeasonTable,4,FALSE)),3)</f>
        <v/>
      </c>
      <c r="ASG56" s="12">
        <f>ASA56+ASB56+ASC56+ASD56+ASE56+ASF56</f>
        <v/>
      </c>
      <c r="ASH56" s="9">
        <f>ASA56*BlendedPriceEssMonthly*ARM56+ASB56*BlendedPricePremMonthly*ARM56+ASC56*BlendedPriceEliteMonthly*ARM56+ASD56*BlendedPriceEssAnnual*ARM56/12+ASE56*BlendedPricePremAnnual*ARM56/12+ASF56*BlendedPriceEliteAnnual*ARM56/12</f>
        <v/>
      </c>
      <c r="ASI56" s="9">
        <f>ASH56*12</f>
        <v/>
      </c>
      <c r="ASJ56" s="12">
        <f>ASA56*BlendedPriceEssMonthly*ARM56+ASB56*BlendedPricePremMonthly*ARM56+ASC56*BlendedPriceEliteMonthly*ARM56</f>
        <v/>
      </c>
      <c r="ASK56" s="12">
        <f>ARX56*BlendedPriceEssAnnual*ARM56+ARY56*BlendedPricePremAnnual*ARM56+ARZ56*BlendedPriceEliteAnnual*ARM56</f>
        <v/>
      </c>
      <c r="ASL56" s="12">
        <f>ARX44*POWER(1-(AnnualChurn*VLOOKUP(ARJ56,ChurnSeasonTable,4,FALSE)),1)*BlendedPriceEssAnnual*ARM56+ARX32*POWER(1-(AnnualChurn*VLOOKUP(ARJ56,ChurnSeasonTable,4,FALSE)),2)*BlendedPriceEssAnnual*ARM56+ARX20*POWER(1-(AnnualChurn*VLOOKUP(ARJ56,ChurnSeasonTable,4,FALSE)),3)*BlendedPriceEssAnnual*ARM56+ARX8*POWER(1-(AnnualChurn*VLOOKUP(ARJ56,ChurnSeasonTable,4,FALSE)),4)*BlendedPriceEssAnnual*ARM56+ARY44*POWER(1-(AnnualChurn*VLOOKUP(ARJ56,ChurnSeasonTable,4,FALSE)),1)*BlendedPricePremAnnual*ARM56+ARY32*POWER(1-(AnnualChurn*VLOOKUP(ARJ56,ChurnSeasonTable,4,FALSE)),2)*BlendedPricePremAnnual*ARM56+ARY20*POWER(1-(AnnualChurn*VLOOKUP(ARJ56,ChurnSeasonTable,4,FALSE)),3)*BlendedPricePremAnnual*ARM56+ARY8*POWER(1-(AnnualChurn*VLOOKUP(ARJ56,ChurnSeasonTable,4,FALSE)),4)*BlendedPricePremAnnual*ARM56+ARZ44*POWER(1-(AnnualChurn*VLOOKUP(ARJ56,ChurnSeasonTable,4,FALSE)),1)*BlendedPriceEliteAnnual*ARM56+ARZ32*POWER(1-(AnnualChurn*VLOOKUP(ARJ56,ChurnSeasonTable,4,FALSE)),2)*BlendedPriceEliteAnnual*ARM56+ARZ20*POWER(1-(AnnualChurn*VLOOKUP(ARJ56,ChurnSeasonTable,4,FALSE)),3)*BlendedPriceEliteAnnual*ARM56+ARZ8*POWER(1-(AnnualChurn*VLOOKUP(ARJ56,ChurnSeasonTable,4,FALSE)),4)*BlendedPriceEliteAnnual*ARM56</f>
        <v/>
      </c>
      <c r="ASM56" s="9">
        <f>ASJ56+ASK56+ASL56</f>
        <v/>
      </c>
      <c r="ASN56" s="12">
        <f>SUM(ASM45:ASM56)</f>
        <v/>
      </c>
      <c r="ASO56" s="12">
        <f>OR(ASO55,IF(VATAgentMode,SUM($ASM45:$ASM56)-SUM($AST45:$AST56)&gt;=VATThreshold,SUM($ASM45:$ASM56)&gt;=VATThreshold))</f>
        <v/>
      </c>
      <c r="ASP56" s="9">
        <f>IF(ASO56,IF(VATAgentMode,ASM56-((ASM56-AST56)-(ASM56-AST56)/(1+VATRate)),ASM56/(1+VATRate)),ASM56)</f>
        <v/>
      </c>
      <c r="ASQ56" s="12">
        <f>ASM56-ASP56</f>
        <v/>
      </c>
      <c r="ASR56" s="12">
        <f>IF(ASO56=0,0,IF(ARJ56=1,SUMPRODUCT(--(($ARK$5:$ARK56=$ARK56-1)*($ARJ$5:$ARJ56&gt;=10)*($ARJ$5:$ARJ56&lt;=12)),$ASQ$5:$ASQ56),IF(ARJ56=4,SUMPRODUCT(--(($ARK$5:$ARK56=$ARK56)*($ARJ$5:$ARJ56&gt;=1)*($ARJ$5:$ARJ56&lt;=3)),$ASQ$5:$ASQ56),IF(ARJ56=7,SUMPRODUCT(--(($ARK$5:$ARK56=$ARK56)*($ARJ$5:$ARJ56&gt;=4)*($ARJ$5:$ARJ56&lt;=6)),$ASQ$5:$ASQ56),IF(ARJ56=10,SUMPRODUCT(--(($ARK$5:$ARK56=$ARK56)*($ARJ$5:$ARJ56&gt;=7)*($ARJ$5:$ARJ56&lt;=9)),$ASQ$5:$ASQ56),0)))))</f>
        <v/>
      </c>
      <c r="ASS56" s="12">
        <f>ASS55+ASQ56-ASR56</f>
        <v/>
      </c>
      <c r="AST56" s="12">
        <f>IF(ProviderDelay&gt;=1,ASA55*BlendedProvPayEss+ASB55*BlendedProvPayPrem+ASC55*BlendedProvPayElite+ASD55*BlendedProvPayEss+ASE55*BlendedProvPayPrem+ASF55*BlendedProvPayElite,ASA56*BlendedProvPayEss+ASB56*BlendedProvPayPrem+ASC56*BlendedProvPayElite+ASD56*BlendedProvPayEss+ASE56*BlendedProvPayPrem+ASF56*BlendedProvPayElite)</f>
        <v/>
      </c>
      <c r="ASU56" s="12">
        <f>ASM56*PaymentFee</f>
        <v/>
      </c>
      <c r="ASV56" s="12">
        <f>ASG56*OpsAI</f>
        <v/>
      </c>
      <c r="ASW56" s="12">
        <f>MonthlyFixed</f>
        <v/>
      </c>
      <c r="ASX56" s="12">
        <f>ARQ56*ReferralReward</f>
        <v/>
      </c>
      <c r="ASY56" s="12">
        <f>ARO56</f>
        <v/>
      </c>
      <c r="ASZ56" s="9">
        <f>ASP56-AST56-ASU56-ASV56-ASW56-ASX56-ASY56</f>
        <v/>
      </c>
      <c r="ATA56" s="9">
        <f>ATA55+ASM56-(AST56+ASU56+ASV56+ASW56+ASX56+ASY56+ASR56)</f>
        <v/>
      </c>
      <c r="ATB56" s="12">
        <f>IF(ASG56&gt;0,ASH56/ASG56,0)</f>
        <v/>
      </c>
      <c r="ATC56" s="11">
        <f>IF(ASG55&gt;0,MAX(0,(ASG55+ARR56-ASG56)/ASG55),0)</f>
        <v/>
      </c>
      <c r="ATE56" s="12" t="n">
        <v>52</v>
      </c>
      <c r="ATF56" s="12">
        <f>MOD(ATE56-1+LaunchMonth-1,12)+1</f>
        <v/>
      </c>
      <c r="ATG56" s="12">
        <f>INT((ATE56-1+LaunchMonth-1)/12)+1</f>
        <v/>
      </c>
      <c r="ATH56" s="12">
        <f>VLOOKUP(ATF56,SeasonTable,2,FALSE)</f>
        <v/>
      </c>
      <c r="ATI56" s="12">
        <f>(1+InflationRate)^INT((ATE56-1)/12)</f>
        <v/>
      </c>
      <c r="ATJ56" s="11">
        <f>MonthlyChurn*VLOOKUP(ATF56,ChurnSeasonTable,4,FALSE)</f>
        <v/>
      </c>
      <c r="ATK56" s="12">
        <f>MIN(MAX(MktMin19plus,AUI55*MktPct19plus),MAX(0,AUW55-CashBuffer))</f>
        <v/>
      </c>
      <c r="ATL56" s="12">
        <f>IF(ATK56&gt;0,MAX(1,ROUND(ATK56/'Sens - CAC &amp; Marketing'!$A$15*ATH56,0)),0)</f>
        <v/>
      </c>
      <c r="ATM56" s="12">
        <f>IF(ATL56&gt;0,ROUND(ATL56*ReferralMix/(1-ReferralMix),0),0)</f>
        <v/>
      </c>
      <c r="ATN56" s="12">
        <f>ATL56+ATM56</f>
        <v/>
      </c>
      <c r="ATO56" s="12">
        <f>ROUND(ATN56*(1-AnnualMix),0)</f>
        <v/>
      </c>
      <c r="ATP56" s="12">
        <f>ATN56-ATO56</f>
        <v/>
      </c>
      <c r="ATQ56" s="12">
        <f>ROUND(ATO56*EssentialMix,0)</f>
        <v/>
      </c>
      <c r="ATR56" s="12">
        <f>ROUND(ATO56*PremiumMix,0)</f>
        <v/>
      </c>
      <c r="ATS56" s="12">
        <f>ATO56-ATQ56-ATR56</f>
        <v/>
      </c>
      <c r="ATT56" s="12">
        <f>ROUND(ATP56*EssentialMix,0)</f>
        <v/>
      </c>
      <c r="ATU56" s="12">
        <f>ROUND(ATP56*PremiumMix,0)</f>
        <v/>
      </c>
      <c r="ATV56" s="12">
        <f>ATP56-ATT56-ATU56</f>
        <v/>
      </c>
      <c r="ATW56" s="12">
        <f>ATQ56+ATQ55+ATQ54+MAX(0,ATW55-ATQ55-ATQ54)*(1-ATJ56)</f>
        <v/>
      </c>
      <c r="ATX56" s="12">
        <f>ATR56+ATR55+ATR54+MAX(0,ATX55-ATR55-ATR54)*(1-ATJ56)</f>
        <v/>
      </c>
      <c r="ATY56" s="12">
        <f>ATS56+ATS55+ATS54+MAX(0,ATY55-ATS55-ATS54)*(1-ATJ56)</f>
        <v/>
      </c>
      <c r="ATZ56" s="12">
        <f>ATZ55+ATT56-ATT44*(AnnualChurn*VLOOKUP(ATF56,ChurnSeasonTable,4,FALSE))*POWER(1-(AnnualChurn*VLOOKUP(ATF56,ChurnSeasonTable,4,FALSE)),0)+ATT32*(AnnualChurn*VLOOKUP(ATF56,ChurnSeasonTable,4,FALSE))*POWER(1-(AnnualChurn*VLOOKUP(ATF56,ChurnSeasonTable,4,FALSE)),1)+ATT20*(AnnualChurn*VLOOKUP(ATF56,ChurnSeasonTable,4,FALSE))*POWER(1-(AnnualChurn*VLOOKUP(ATF56,ChurnSeasonTable,4,FALSE)),2)+ATT8*(AnnualChurn*VLOOKUP(ATF56,ChurnSeasonTable,4,FALSE))*POWER(1-(AnnualChurn*VLOOKUP(ATF56,ChurnSeasonTable,4,FALSE)),3)</f>
        <v/>
      </c>
      <c r="AUA56" s="12">
        <f>AUA55+ATU56-ATU44*(AnnualChurn*VLOOKUP(ATF56,ChurnSeasonTable,4,FALSE))*POWER(1-(AnnualChurn*VLOOKUP(ATF56,ChurnSeasonTable,4,FALSE)),0)+ATU32*(AnnualChurn*VLOOKUP(ATF56,ChurnSeasonTable,4,FALSE))*POWER(1-(AnnualChurn*VLOOKUP(ATF56,ChurnSeasonTable,4,FALSE)),1)+ATU20*(AnnualChurn*VLOOKUP(ATF56,ChurnSeasonTable,4,FALSE))*POWER(1-(AnnualChurn*VLOOKUP(ATF56,ChurnSeasonTable,4,FALSE)),2)+ATU8*(AnnualChurn*VLOOKUP(ATF56,ChurnSeasonTable,4,FALSE))*POWER(1-(AnnualChurn*VLOOKUP(ATF56,ChurnSeasonTable,4,FALSE)),3)</f>
        <v/>
      </c>
      <c r="AUB56" s="12">
        <f>AUB55+ATV56-ATV44*(AnnualChurn*VLOOKUP(ATF56,ChurnSeasonTable,4,FALSE))*POWER(1-(AnnualChurn*VLOOKUP(ATF56,ChurnSeasonTable,4,FALSE)),0)+ATV32*(AnnualChurn*VLOOKUP(ATF56,ChurnSeasonTable,4,FALSE))*POWER(1-(AnnualChurn*VLOOKUP(ATF56,ChurnSeasonTable,4,FALSE)),1)+ATV20*(AnnualChurn*VLOOKUP(ATF56,ChurnSeasonTable,4,FALSE))*POWER(1-(AnnualChurn*VLOOKUP(ATF56,ChurnSeasonTable,4,FALSE)),2)+ATV8*(AnnualChurn*VLOOKUP(ATF56,ChurnSeasonTable,4,FALSE))*POWER(1-(AnnualChurn*VLOOKUP(ATF56,ChurnSeasonTable,4,FALSE)),3)</f>
        <v/>
      </c>
      <c r="AUC56" s="12">
        <f>ATW56+ATX56+ATY56+ATZ56+AUA56+AUB56</f>
        <v/>
      </c>
      <c r="AUD56" s="9">
        <f>ATW56*BlendedPriceEssMonthly*ATI56+ATX56*BlendedPricePremMonthly*ATI56+ATY56*BlendedPriceEliteMonthly*ATI56+ATZ56*BlendedPriceEssAnnual*ATI56/12+AUA56*BlendedPricePremAnnual*ATI56/12+AUB56*BlendedPriceEliteAnnual*ATI56/12</f>
        <v/>
      </c>
      <c r="AUE56" s="9">
        <f>AUD56*12</f>
        <v/>
      </c>
      <c r="AUF56" s="12">
        <f>ATW56*BlendedPriceEssMonthly*ATI56+ATX56*BlendedPricePremMonthly*ATI56+ATY56*BlendedPriceEliteMonthly*ATI56</f>
        <v/>
      </c>
      <c r="AUG56" s="12">
        <f>ATT56*BlendedPriceEssAnnual*ATI56+ATU56*BlendedPricePremAnnual*ATI56+ATV56*BlendedPriceEliteAnnual*ATI56</f>
        <v/>
      </c>
      <c r="AUH56" s="12">
        <f>ATT44*POWER(1-(AnnualChurn*VLOOKUP(ATF56,ChurnSeasonTable,4,FALSE)),1)*BlendedPriceEssAnnual*ATI56+ATT32*POWER(1-(AnnualChurn*VLOOKUP(ATF56,ChurnSeasonTable,4,FALSE)),2)*BlendedPriceEssAnnual*ATI56+ATT20*POWER(1-(AnnualChurn*VLOOKUP(ATF56,ChurnSeasonTable,4,FALSE)),3)*BlendedPriceEssAnnual*ATI56+ATT8*POWER(1-(AnnualChurn*VLOOKUP(ATF56,ChurnSeasonTable,4,FALSE)),4)*BlendedPriceEssAnnual*ATI56+ATU44*POWER(1-(AnnualChurn*VLOOKUP(ATF56,ChurnSeasonTable,4,FALSE)),1)*BlendedPricePremAnnual*ATI56+ATU32*POWER(1-(AnnualChurn*VLOOKUP(ATF56,ChurnSeasonTable,4,FALSE)),2)*BlendedPricePremAnnual*ATI56+ATU20*POWER(1-(AnnualChurn*VLOOKUP(ATF56,ChurnSeasonTable,4,FALSE)),3)*BlendedPricePremAnnual*ATI56+ATU8*POWER(1-(AnnualChurn*VLOOKUP(ATF56,ChurnSeasonTable,4,FALSE)),4)*BlendedPricePremAnnual*ATI56+ATV44*POWER(1-(AnnualChurn*VLOOKUP(ATF56,ChurnSeasonTable,4,FALSE)),1)*BlendedPriceEliteAnnual*ATI56+ATV32*POWER(1-(AnnualChurn*VLOOKUP(ATF56,ChurnSeasonTable,4,FALSE)),2)*BlendedPriceEliteAnnual*ATI56+ATV20*POWER(1-(AnnualChurn*VLOOKUP(ATF56,ChurnSeasonTable,4,FALSE)),3)*BlendedPriceEliteAnnual*ATI56+ATV8*POWER(1-(AnnualChurn*VLOOKUP(ATF56,ChurnSeasonTable,4,FALSE)),4)*BlendedPriceEliteAnnual*ATI56</f>
        <v/>
      </c>
      <c r="AUI56" s="9">
        <f>AUF56+AUG56+AUH56</f>
        <v/>
      </c>
      <c r="AUJ56" s="12">
        <f>SUM(AUI45:AUI56)</f>
        <v/>
      </c>
      <c r="AUK56" s="12">
        <f>OR(AUK55,IF(VATAgentMode,SUM($AUI45:$AUI56)-SUM($AUP45:$AUP56)&gt;=VATThreshold,SUM($AUI45:$AUI56)&gt;=VATThreshold))</f>
        <v/>
      </c>
      <c r="AUL56" s="9">
        <f>IF(AUK56,IF(VATAgentMode,AUI56-((AUI56-AUP56)-(AUI56-AUP56)/(1+VATRate)),AUI56/(1+VATRate)),AUI56)</f>
        <v/>
      </c>
      <c r="AUM56" s="12">
        <f>AUI56-AUL56</f>
        <v/>
      </c>
      <c r="AUN56" s="12">
        <f>IF(AUK56=0,0,IF(ATF56=1,SUMPRODUCT(--(($ATG$5:$ATG56=$ATG56-1)*($ATF$5:$ATF56&gt;=10)*($ATF$5:$ATF56&lt;=12)),$AUM$5:$AUM56),IF(ATF56=4,SUMPRODUCT(--(($ATG$5:$ATG56=$ATG56)*($ATF$5:$ATF56&gt;=1)*($ATF$5:$ATF56&lt;=3)),$AUM$5:$AUM56),IF(ATF56=7,SUMPRODUCT(--(($ATG$5:$ATG56=$ATG56)*($ATF$5:$ATF56&gt;=4)*($ATF$5:$ATF56&lt;=6)),$AUM$5:$AUM56),IF(ATF56=10,SUMPRODUCT(--(($ATG$5:$ATG56=$ATG56)*($ATF$5:$ATF56&gt;=7)*($ATF$5:$ATF56&lt;=9)),$AUM$5:$AUM56),0)))))</f>
        <v/>
      </c>
      <c r="AUO56" s="12">
        <f>AUO55+AUM56-AUN56</f>
        <v/>
      </c>
      <c r="AUP56" s="12">
        <f>IF(ProviderDelay&gt;=1,ATW55*BlendedProvPayEss+ATX55*BlendedProvPayPrem+ATY55*BlendedProvPayElite+ATZ55*BlendedProvPayEss+AUA55*BlendedProvPayPrem+AUB55*BlendedProvPayElite,ATW56*BlendedProvPayEss+ATX56*BlendedProvPayPrem+ATY56*BlendedProvPayElite+ATZ56*BlendedProvPayEss+AUA56*BlendedProvPayPrem+AUB56*BlendedProvPayElite)</f>
        <v/>
      </c>
      <c r="AUQ56" s="12">
        <f>AUI56*PaymentFee</f>
        <v/>
      </c>
      <c r="AUR56" s="12">
        <f>AUC56*OpsAI</f>
        <v/>
      </c>
      <c r="AUS56" s="12">
        <f>MonthlyFixed</f>
        <v/>
      </c>
      <c r="AUT56" s="12">
        <f>ATM56*ReferralReward</f>
        <v/>
      </c>
      <c r="AUU56" s="12">
        <f>ATK56</f>
        <v/>
      </c>
      <c r="AUV56" s="9">
        <f>AUL56-AUP56-AUQ56-AUR56-AUS56-AUT56-AUU56</f>
        <v/>
      </c>
      <c r="AUW56" s="9">
        <f>AUW55+AUI56-(AUP56+AUQ56+AUR56+AUS56+AUT56+AUU56+AUN56)</f>
        <v/>
      </c>
      <c r="AUX56" s="12">
        <f>IF(AUC56&gt;0,AUD56/AUC56,0)</f>
        <v/>
      </c>
      <c r="AUY56" s="11">
        <f>IF(AUC55&gt;0,MAX(0,(AUC55+ATN56-AUC56)/AUC55),0)</f>
        <v/>
      </c>
      <c r="AVA56" s="12" t="n">
        <v>52</v>
      </c>
      <c r="AVB56" s="12">
        <f>MOD(AVA56-1+LaunchMonth-1,12)+1</f>
        <v/>
      </c>
      <c r="AVC56" s="12">
        <f>INT((AVA56-1+LaunchMonth-1)/12)+1</f>
        <v/>
      </c>
      <c r="AVD56" s="12">
        <f>VLOOKUP(AVB56,WinterPivotSeasonTable,5,FALSE)</f>
        <v/>
      </c>
      <c r="AVE56" s="12">
        <f>(1+InflationRate)^INT((AVA56-1)/12)</f>
        <v/>
      </c>
      <c r="AVF56" s="11">
        <f>MonthlyChurn*VLOOKUP(AVB56,WinterPivotChurnTable,6,FALSE)</f>
        <v/>
      </c>
      <c r="AVG56" s="12">
        <f>MIN(MAX(MktMin19plus,AWE55*MktPct19plus),MAX(0,AWS55-CashBuffer))</f>
        <v/>
      </c>
      <c r="AVH56" s="12">
        <f>IF(AVG56&gt;0,MAX(1,ROUND(AVG56/CAC*AVD56,0)),0)</f>
        <v/>
      </c>
      <c r="AVI56" s="12">
        <f>IF(AVH56&gt;0,ROUND(AVH56*ReferralMix/(1-ReferralMix),0),0)</f>
        <v/>
      </c>
      <c r="AVJ56" s="12">
        <f>AVH56+AVI56</f>
        <v/>
      </c>
      <c r="AVK56" s="12">
        <f>ROUND(AVJ56*(1-AnnualMix),0)</f>
        <v/>
      </c>
      <c r="AVL56" s="12">
        <f>AVJ56-AVK56</f>
        <v/>
      </c>
      <c r="AVM56" s="12">
        <f>ROUND(AVK56*'Sens - Winter Pivot'!$B$6,0)</f>
        <v/>
      </c>
      <c r="AVN56" s="12">
        <f>ROUND(AVK56*PremiumMix,0)</f>
        <v/>
      </c>
      <c r="AVO56" s="12">
        <f>AVK56-AVM56-AVN56</f>
        <v/>
      </c>
      <c r="AVP56" s="12">
        <f>ROUND(AVL56*'Sens - Winter Pivot'!$B$6,0)</f>
        <v/>
      </c>
      <c r="AVQ56" s="12">
        <f>ROUND(AVL56*PremiumMix,0)</f>
        <v/>
      </c>
      <c r="AVR56" s="12">
        <f>AVL56-AVP56-AVQ56</f>
        <v/>
      </c>
      <c r="AVS56" s="12">
        <f>AVM56+AVM55+AVM54+MAX(0,AVS55-AVM55-AVM54)*(1-AVF56)</f>
        <v/>
      </c>
      <c r="AVT56" s="12">
        <f>AVN56+AVN55+AVN54+MAX(0,AVT55-AVN55-AVN54)*(1-AVF56)</f>
        <v/>
      </c>
      <c r="AVU56" s="12">
        <f>AVO56+AVO55+AVO54+MAX(0,AVU55-AVO55-AVO54)*(1-AVF56)</f>
        <v/>
      </c>
      <c r="AVV56" s="12">
        <f>AVV55+AVP56-AVP44*(AnnualChurn*VLOOKUP(AVB56,ChurnSeasonTable,4,FALSE))*POWER(1-(AnnualChurn*VLOOKUP(AVB56,ChurnSeasonTable,4,FALSE)),0)+AVP32*(AnnualChurn*VLOOKUP(AVB56,ChurnSeasonTable,4,FALSE))*POWER(1-(AnnualChurn*VLOOKUP(AVB56,ChurnSeasonTable,4,FALSE)),1)+AVP20*(AnnualChurn*VLOOKUP(AVB56,ChurnSeasonTable,4,FALSE))*POWER(1-(AnnualChurn*VLOOKUP(AVB56,ChurnSeasonTable,4,FALSE)),2)+AVP8*(AnnualChurn*VLOOKUP(AVB56,ChurnSeasonTable,4,FALSE))*POWER(1-(AnnualChurn*VLOOKUP(AVB56,ChurnSeasonTable,4,FALSE)),3)</f>
        <v/>
      </c>
      <c r="AVW56" s="12">
        <f>AVW55+AVQ56-AVQ44*(AnnualChurn*VLOOKUP(AVB56,ChurnSeasonTable,4,FALSE))*POWER(1-(AnnualChurn*VLOOKUP(AVB56,ChurnSeasonTable,4,FALSE)),0)+AVQ32*(AnnualChurn*VLOOKUP(AVB56,ChurnSeasonTable,4,FALSE))*POWER(1-(AnnualChurn*VLOOKUP(AVB56,ChurnSeasonTable,4,FALSE)),1)+AVQ20*(AnnualChurn*VLOOKUP(AVB56,ChurnSeasonTable,4,FALSE))*POWER(1-(AnnualChurn*VLOOKUP(AVB56,ChurnSeasonTable,4,FALSE)),2)+AVQ8*(AnnualChurn*VLOOKUP(AVB56,ChurnSeasonTable,4,FALSE))*POWER(1-(AnnualChurn*VLOOKUP(AVB56,ChurnSeasonTable,4,FALSE)),3)</f>
        <v/>
      </c>
      <c r="AVX56" s="12">
        <f>AVX55+AVR56-AVR44*(AnnualChurn*VLOOKUP(AVB56,ChurnSeasonTable,4,FALSE))*POWER(1-(AnnualChurn*VLOOKUP(AVB56,ChurnSeasonTable,4,FALSE)),0)+AVR32*(AnnualChurn*VLOOKUP(AVB56,ChurnSeasonTable,4,FALSE))*POWER(1-(AnnualChurn*VLOOKUP(AVB56,ChurnSeasonTable,4,FALSE)),1)+AVR20*(AnnualChurn*VLOOKUP(AVB56,ChurnSeasonTable,4,FALSE))*POWER(1-(AnnualChurn*VLOOKUP(AVB56,ChurnSeasonTable,4,FALSE)),2)+AVR8*(AnnualChurn*VLOOKUP(AVB56,ChurnSeasonTable,4,FALSE))*POWER(1-(AnnualChurn*VLOOKUP(AVB56,ChurnSeasonTable,4,FALSE)),3)</f>
        <v/>
      </c>
      <c r="AVY56" s="12">
        <f>AVS56+AVT56+AVU56+AVV56+AVW56+AVX56</f>
        <v/>
      </c>
      <c r="AVZ56" s="9">
        <f>AVS56*BlendedPriceEssMonthly*AVE56+AVT56*(BlendedPricePremMonthly+'Sens - Winter Pivot'!$B$7)*AVE56+AVU56*BlendedPriceEliteMonthly*AVE56+AVV56*BlendedPriceEssAnnual*AVE56/12+AVW56*(BlendedPricePremAnnual+'Sens - Winter Pivot'!$B$7*12)*AVE56/12+AVX56*BlendedPriceEliteAnnual*AVE56/12</f>
        <v/>
      </c>
      <c r="AWA56" s="9">
        <f>AVZ56*12</f>
        <v/>
      </c>
      <c r="AWB56" s="12">
        <f>AVS56*BlendedPriceEssMonthly*AVE56+AVT56*(BlendedPricePremMonthly+'Sens - Winter Pivot'!$B$7)*AVE56+AVU56*BlendedPriceEliteMonthly*AVE56</f>
        <v/>
      </c>
      <c r="AWC56" s="12">
        <f>AVP56*BlendedPriceEssAnnual*AVE56+AVQ56*(BlendedPricePremAnnual+'Sens - Winter Pivot'!$B$7*12)*AVE56+AVR56*BlendedPriceEliteAnnual*AVE56</f>
        <v/>
      </c>
      <c r="AWD56" s="12">
        <f>AVP44*POWER(1-(AnnualChurn*VLOOKUP(AVB56,ChurnSeasonTable,4,FALSE)),1)*BlendedPriceEssAnnual*AVE56+AVP32*POWER(1-(AnnualChurn*VLOOKUP(AVB56,ChurnSeasonTable,4,FALSE)),2)*BlendedPriceEssAnnual*AVE56+AVP20*POWER(1-(AnnualChurn*VLOOKUP(AVB56,ChurnSeasonTable,4,FALSE)),3)*BlendedPriceEssAnnual*AVE56+AVP8*POWER(1-(AnnualChurn*VLOOKUP(AVB56,ChurnSeasonTable,4,FALSE)),4)*BlendedPriceEssAnnual*AVE56+AVQ44*POWER(1-(AnnualChurn*VLOOKUP(AVB56,ChurnSeasonTable,4,FALSE)),1)*BlendedPricePremAnnual*AVE56+AVQ32*POWER(1-(AnnualChurn*VLOOKUP(AVB56,ChurnSeasonTable,4,FALSE)),2)*BlendedPricePremAnnual*AVE56+AVQ20*POWER(1-(AnnualChurn*VLOOKUP(AVB56,ChurnSeasonTable,4,FALSE)),3)*BlendedPricePremAnnual*AVE56+AVQ8*POWER(1-(AnnualChurn*VLOOKUP(AVB56,ChurnSeasonTable,4,FALSE)),4)*BlendedPricePremAnnual*AVE56+AVR44*POWER(1-(AnnualChurn*VLOOKUP(AVB56,ChurnSeasonTable,4,FALSE)),1)*BlendedPriceEliteAnnual*AVE56+AVR32*POWER(1-(AnnualChurn*VLOOKUP(AVB56,ChurnSeasonTable,4,FALSE)),2)*BlendedPriceEliteAnnual*AVE56+AVR20*POWER(1-(AnnualChurn*VLOOKUP(AVB56,ChurnSeasonTable,4,FALSE)),3)*BlendedPriceEliteAnnual*AVE56+AVR8*POWER(1-(AnnualChurn*VLOOKUP(AVB56,ChurnSeasonTable,4,FALSE)),4)*BlendedPriceEliteAnnual*AVE56</f>
        <v/>
      </c>
      <c r="AWE56" s="9">
        <f>AWB56+AWC56+AWD56</f>
        <v/>
      </c>
      <c r="AWF56" s="12">
        <f>SUM(AWE45:AWE56)</f>
        <v/>
      </c>
      <c r="AWG56" s="12">
        <f>OR(AWG55,IF(VATAgentMode,SUM($AWE45:$AWE56)-SUM($AWL45:$AWL56)&gt;=VATThreshold,SUM($AWE45:$AWE56)&gt;=VATThreshold))</f>
        <v/>
      </c>
      <c r="AWH56" s="9">
        <f>IF(AWG56,IF(VATAgentMode,AWE56-((AWE56-AWL56)-(AWE56-AWL56)/(1+VATRate)),AWE56/(1+VATRate)),AWE56)</f>
        <v/>
      </c>
      <c r="AWI56" s="12">
        <f>AWE56-AWH56</f>
        <v/>
      </c>
      <c r="AWJ56" s="12">
        <f>IF(AWG56=0,0,IF(AVB56=1,SUMPRODUCT(--(($AVC$5:$AVC56=$AVC56-1)*($AVB$5:$AVB56&gt;=10)*($AVB$5:$AVB56&lt;=12)),$AWI$5:$AWI56),IF(AVB56=4,SUMPRODUCT(--(($AVC$5:$AVC56=$AVC56)*($AVB$5:$AVB56&gt;=1)*($AVB$5:$AVB56&lt;=3)),$AWI$5:$AWI56),IF(AVB56=7,SUMPRODUCT(--(($AVC$5:$AVC56=$AVC56)*($AVB$5:$AVB56&gt;=4)*($AVB$5:$AVB56&lt;=6)),$AWI$5:$AWI56),IF(AVB56=10,SUMPRODUCT(--(($AVC$5:$AVC56=$AVC56)*($AVB$5:$AVB56&gt;=7)*($AVB$5:$AVB56&lt;=9)),$AWI$5:$AWI56),0)))))</f>
        <v/>
      </c>
      <c r="AWK56" s="12">
        <f>AWK55+AWI56-AWJ56</f>
        <v/>
      </c>
      <c r="AWL56" s="12">
        <f>IF(ProviderDelay&gt;=1,AVS55*BlendedProvPayEss+AVT55*BlendedProvPayPrem+AVU55*BlendedProvPayElite+AVV55*BlendedProvPayEss+AVW55*BlendedProvPayPrem+AVX55*BlendedProvPayElite,AVS56*BlendedProvPayEss+AVT56*BlendedProvPayPrem+AVU56*BlendedProvPayElite+AVV56*BlendedProvPayEss+AVW56*BlendedProvPayPrem+AVX56*BlendedProvPayElite)</f>
        <v/>
      </c>
      <c r="AWM56" s="12">
        <f>AWE56*PaymentFee</f>
        <v/>
      </c>
      <c r="AWN56" s="12">
        <f>AVY56*OpsAI</f>
        <v/>
      </c>
      <c r="AWO56" s="12">
        <f>MonthlyFixed</f>
        <v/>
      </c>
      <c r="AWP56" s="12">
        <f>AVI56*ReferralReward</f>
        <v/>
      </c>
      <c r="AWQ56" s="12">
        <f>AVG56</f>
        <v/>
      </c>
      <c r="AWR56" s="9">
        <f>AWH56-AWL56-AWM56-AWN56-AWO56-AWP56-AWQ56</f>
        <v/>
      </c>
      <c r="AWS56" s="9">
        <f>AWS55+AWE56-(AWL56+AWM56+AWN56+AWO56+AWP56+AWQ56+AWJ56)</f>
        <v/>
      </c>
      <c r="AWT56" s="12">
        <f>IF(AVY56&gt;0,AVZ56/AVY56,0)</f>
        <v/>
      </c>
      <c r="AWU56" s="11">
        <f>IF(AVY55&gt;0,MAX(0,(AVY55+AVJ56-AVY56)/AVY55),0)</f>
        <v/>
      </c>
    </row>
    <row r="57">
      <c r="A57" s="12" t="n">
        <v>53</v>
      </c>
      <c r="B57" s="12">
        <f>MOD(A57-1+LaunchMonth-1,12)+1</f>
        <v/>
      </c>
      <c r="C57" s="12">
        <f>INT((A57-1+LaunchMonth-1)/12)+1</f>
        <v/>
      </c>
      <c r="D57" s="12">
        <f>VLOOKUP(B57,SeasonTable,2,FALSE)</f>
        <v/>
      </c>
      <c r="E57" s="12">
        <f>(1+InflationRate)^INT((A57-1)/12)</f>
        <v/>
      </c>
      <c r="F57" s="11">
        <f>'Sens - Scenarios'!$B$5*VLOOKUP(B57,ChurnSeasonTable,4,FALSE)</f>
        <v/>
      </c>
      <c r="G57" s="12">
        <f>MIN(MAX(MktMin19plus,AE56*MktPct19plus),MAX(0,AS56-CashBuffer))</f>
        <v/>
      </c>
      <c r="H57" s="12">
        <f>IF(G57&gt;0,MAX(1,ROUND(G57/'Sens - Scenarios'!$B$8*D57,0)),0)</f>
        <v/>
      </c>
      <c r="I57" s="12">
        <f>IF(H57&gt;0,ROUND(H57*ReferralMix/(1-ReferralMix),0),0)</f>
        <v/>
      </c>
      <c r="J57" s="12">
        <f>H57+I57</f>
        <v/>
      </c>
      <c r="K57" s="12">
        <f>ROUND(J57*(1-'Sens - Scenarios'!$B$7),0)</f>
        <v/>
      </c>
      <c r="L57" s="12">
        <f>J57-K57</f>
        <v/>
      </c>
      <c r="M57" s="12">
        <f>ROUND(K57*EssentialMix,0)</f>
        <v/>
      </c>
      <c r="N57" s="12">
        <f>ROUND(K57*PremiumMix,0)</f>
        <v/>
      </c>
      <c r="O57" s="12">
        <f>K57-M57-N57</f>
        <v/>
      </c>
      <c r="P57" s="12">
        <f>ROUND(L57*EssentialMix,0)</f>
        <v/>
      </c>
      <c r="Q57" s="12">
        <f>ROUND(L57*PremiumMix,0)</f>
        <v/>
      </c>
      <c r="R57" s="12">
        <f>L57-P57-Q57</f>
        <v/>
      </c>
      <c r="S57" s="12">
        <f>M57+M56+M55+MAX(0,S56-M56-M55)*(1-F57)</f>
        <v/>
      </c>
      <c r="T57" s="12">
        <f>N57+N56+N55+MAX(0,T56-N56-N55)*(1-F57)</f>
        <v/>
      </c>
      <c r="U57" s="12">
        <f>O57+O56+O55+MAX(0,U56-O56-O55)*(1-F57)</f>
        <v/>
      </c>
      <c r="V57" s="12">
        <f>V56+P57-P45*('Sens - Scenarios'!$B$6*VLOOKUP(B57,ChurnSeasonTable,4,FALSE))*POWER(1-('Sens - Scenarios'!$B$6*VLOOKUP(B57,ChurnSeasonTable,4,FALSE)),0)+P33*('Sens - Scenarios'!$B$6*VLOOKUP(B57,ChurnSeasonTable,4,FALSE))*POWER(1-('Sens - Scenarios'!$B$6*VLOOKUP(B57,ChurnSeasonTable,4,FALSE)),1)+P21*('Sens - Scenarios'!$B$6*VLOOKUP(B57,ChurnSeasonTable,4,FALSE))*POWER(1-('Sens - Scenarios'!$B$6*VLOOKUP(B57,ChurnSeasonTable,4,FALSE)),2)+P9*('Sens - Scenarios'!$B$6*VLOOKUP(B57,ChurnSeasonTable,4,FALSE))*POWER(1-('Sens - Scenarios'!$B$6*VLOOKUP(B57,ChurnSeasonTable,4,FALSE)),3)</f>
        <v/>
      </c>
      <c r="W57" s="12">
        <f>W56+Q57-Q45*('Sens - Scenarios'!$B$6*VLOOKUP(B57,ChurnSeasonTable,4,FALSE))*POWER(1-('Sens - Scenarios'!$B$6*VLOOKUP(B57,ChurnSeasonTable,4,FALSE)),0)+Q33*('Sens - Scenarios'!$B$6*VLOOKUP(B57,ChurnSeasonTable,4,FALSE))*POWER(1-('Sens - Scenarios'!$B$6*VLOOKUP(B57,ChurnSeasonTable,4,FALSE)),1)+Q21*('Sens - Scenarios'!$B$6*VLOOKUP(B57,ChurnSeasonTable,4,FALSE))*POWER(1-('Sens - Scenarios'!$B$6*VLOOKUP(B57,ChurnSeasonTable,4,FALSE)),2)+Q9*('Sens - Scenarios'!$B$6*VLOOKUP(B57,ChurnSeasonTable,4,FALSE))*POWER(1-('Sens - Scenarios'!$B$6*VLOOKUP(B57,ChurnSeasonTable,4,FALSE)),3)</f>
        <v/>
      </c>
      <c r="X57" s="12">
        <f>X56+R57-R45*('Sens - Scenarios'!$B$6*VLOOKUP(B57,ChurnSeasonTable,4,FALSE))*POWER(1-('Sens - Scenarios'!$B$6*VLOOKUP(B57,ChurnSeasonTable,4,FALSE)),0)+R33*('Sens - Scenarios'!$B$6*VLOOKUP(B57,ChurnSeasonTable,4,FALSE))*POWER(1-('Sens - Scenarios'!$B$6*VLOOKUP(B57,ChurnSeasonTable,4,FALSE)),1)+R21*('Sens - Scenarios'!$B$6*VLOOKUP(B57,ChurnSeasonTable,4,FALSE))*POWER(1-('Sens - Scenarios'!$B$6*VLOOKUP(B57,ChurnSeasonTable,4,FALSE)),2)+R9*('Sens - Scenarios'!$B$6*VLOOKUP(B57,ChurnSeasonTable,4,FALSE))*POWER(1-('Sens - Scenarios'!$B$6*VLOOKUP(B57,ChurnSeasonTable,4,FALSE)),3)</f>
        <v/>
      </c>
      <c r="Y57" s="12">
        <f>S57+T57+U57+V57+W57+X57</f>
        <v/>
      </c>
      <c r="Z57" s="9">
        <f>S57*BlendedPriceEssMonthly*E57+T57*BlendedPricePremMonthly*E57+U57*BlendedPriceEliteMonthly*E57+V57*BlendedPriceEssAnnual*E57/12+W57*BlendedPricePremAnnual*E57/12+X57*BlendedPriceEliteAnnual*E57/12</f>
        <v/>
      </c>
      <c r="AA57" s="9">
        <f>Z57*12</f>
        <v/>
      </c>
      <c r="AB57" s="12">
        <f>S57*BlendedPriceEssMonthly*E57+T57*BlendedPricePremMonthly*E57+U57*BlendedPriceEliteMonthly*E57</f>
        <v/>
      </c>
      <c r="AC57" s="12">
        <f>P57*BlendedPriceEssAnnual*E57+Q57*BlendedPricePremAnnual*E57+R57*BlendedPriceEliteAnnual*E57</f>
        <v/>
      </c>
      <c r="AD57" s="12">
        <f>P45*POWER(1-('Sens - Scenarios'!$B$6*VLOOKUP(B57,ChurnSeasonTable,4,FALSE)),1)*BlendedPriceEssAnnual*E57+P33*POWER(1-('Sens - Scenarios'!$B$6*VLOOKUP(B57,ChurnSeasonTable,4,FALSE)),2)*BlendedPriceEssAnnual*E57+P21*POWER(1-('Sens - Scenarios'!$B$6*VLOOKUP(B57,ChurnSeasonTable,4,FALSE)),3)*BlendedPriceEssAnnual*E57+P9*POWER(1-('Sens - Scenarios'!$B$6*VLOOKUP(B57,ChurnSeasonTable,4,FALSE)),4)*BlendedPriceEssAnnual*E57+Q45*POWER(1-('Sens - Scenarios'!$B$6*VLOOKUP(B57,ChurnSeasonTable,4,FALSE)),1)*BlendedPricePremAnnual*E57+Q33*POWER(1-('Sens - Scenarios'!$B$6*VLOOKUP(B57,ChurnSeasonTable,4,FALSE)),2)*BlendedPricePremAnnual*E57+Q21*POWER(1-('Sens - Scenarios'!$B$6*VLOOKUP(B57,ChurnSeasonTable,4,FALSE)),3)*BlendedPricePremAnnual*E57+Q9*POWER(1-('Sens - Scenarios'!$B$6*VLOOKUP(B57,ChurnSeasonTable,4,FALSE)),4)*BlendedPricePremAnnual*E57+R45*POWER(1-('Sens - Scenarios'!$B$6*VLOOKUP(B57,ChurnSeasonTable,4,FALSE)),1)*BlendedPriceEliteAnnual*E57+R33*POWER(1-('Sens - Scenarios'!$B$6*VLOOKUP(B57,ChurnSeasonTable,4,FALSE)),2)*BlendedPriceEliteAnnual*E57+R21*POWER(1-('Sens - Scenarios'!$B$6*VLOOKUP(B57,ChurnSeasonTable,4,FALSE)),3)*BlendedPriceEliteAnnual*E57+R9*POWER(1-('Sens - Scenarios'!$B$6*VLOOKUP(B57,ChurnSeasonTable,4,FALSE)),4)*BlendedPriceEliteAnnual*E57</f>
        <v/>
      </c>
      <c r="AE57" s="9">
        <f>AB57+AC57+AD57</f>
        <v/>
      </c>
      <c r="AF57" s="12">
        <f>SUM(AE46:AE57)</f>
        <v/>
      </c>
      <c r="AG57" s="12">
        <f>OR(AG56,IF(VATAgentMode,SUM($AE46:$AE57)-SUM($AL46:$AL57)&gt;=VATThreshold,SUM($AE46:$AE57)&gt;=VATThreshold))</f>
        <v/>
      </c>
      <c r="AH57" s="9">
        <f>IF(AG57,IF(VATAgentMode,AE57-((AE57-AL57)-(AE57-AL57)/(1+VATRate)),AE57/(1+VATRate)),AE57)</f>
        <v/>
      </c>
      <c r="AI57" s="12">
        <f>AE57-AH57</f>
        <v/>
      </c>
      <c r="AJ57" s="12">
        <f>IF(AG57=0,0,IF(B57=1,SUMPRODUCT(--(($C$5:$C57=$C57-1)*($B$5:$B57&gt;=10)*($B$5:$B57&lt;=12)),$AI$5:$AI57),IF(B57=4,SUMPRODUCT(--(($C$5:$C57=$C57)*($B$5:$B57&gt;=1)*($B$5:$B57&lt;=3)),$AI$5:$AI57),IF(B57=7,SUMPRODUCT(--(($C$5:$C57=$C57)*($B$5:$B57&gt;=4)*($B$5:$B57&lt;=6)),$AI$5:$AI57),IF(B57=10,SUMPRODUCT(--(($C$5:$C57=$C57)*($B$5:$B57&gt;=7)*($B$5:$B57&lt;=9)),$AI$5:$AI57),0)))))</f>
        <v/>
      </c>
      <c r="AK57" s="12">
        <f>AK56+AI57-AJ57</f>
        <v/>
      </c>
      <c r="AL57" s="12">
        <f>IF(ProviderDelay&gt;=1,S56*BlendedProvPayEss+T56*BlendedProvPayPrem+U56*BlendedProvPayElite+V56*BlendedProvPayEss+W56*BlendedProvPayPrem+X56*BlendedProvPayElite,S57*BlendedProvPayEss+T57*BlendedProvPayPrem+U57*BlendedProvPayElite+V57*BlendedProvPayEss+W57*BlendedProvPayPrem+X57*BlendedProvPayElite)</f>
        <v/>
      </c>
      <c r="AM57" s="12">
        <f>AE57*PaymentFee</f>
        <v/>
      </c>
      <c r="AN57" s="12">
        <f>Y57*OpsAI</f>
        <v/>
      </c>
      <c r="AO57" s="12">
        <f>MonthlyFixed</f>
        <v/>
      </c>
      <c r="AP57" s="12">
        <f>I57*ReferralReward</f>
        <v/>
      </c>
      <c r="AQ57" s="12">
        <f>G57</f>
        <v/>
      </c>
      <c r="AR57" s="9">
        <f>AH57-AL57-AM57-AN57-AO57-AP57-AQ57</f>
        <v/>
      </c>
      <c r="AS57" s="9">
        <f>AS56+AE57-(AL57+AM57+AN57+AO57+AP57+AQ57+AJ57)</f>
        <v/>
      </c>
      <c r="AT57" s="12">
        <f>IF(Y57&gt;0,Z57/Y57,0)</f>
        <v/>
      </c>
      <c r="AU57" s="11">
        <f>IF(Y56&gt;0,MAX(0,(Y56+J57-Y57)/Y56),0)</f>
        <v/>
      </c>
      <c r="AW57" s="12" t="n">
        <v>53</v>
      </c>
      <c r="AX57" s="12">
        <f>MOD(AW57-1+LaunchMonth-1,12)+1</f>
        <v/>
      </c>
      <c r="AY57" s="12">
        <f>INT((AW57-1+LaunchMonth-1)/12)+1</f>
        <v/>
      </c>
      <c r="AZ57" s="12">
        <f>VLOOKUP(AX57,SeasonTable,2,FALSE)</f>
        <v/>
      </c>
      <c r="BA57" s="12">
        <f>(1+InflationRate)^INT((AW57-1)/12)</f>
        <v/>
      </c>
      <c r="BB57" s="11">
        <f>MonthlyChurn*VLOOKUP(AX57,ChurnSeasonTable,4,FALSE)</f>
        <v/>
      </c>
      <c r="BC57" s="12">
        <f>MIN(MAX(MktMin19plus,CA56*MktPct19plus),MAX(0,CO56-CashBuffer))</f>
        <v/>
      </c>
      <c r="BD57" s="12">
        <f>IF(BC57&gt;0,MAX(1,ROUND(BC57/CAC*AZ57,0)),0)</f>
        <v/>
      </c>
      <c r="BE57" s="12">
        <f>IF(BD57&gt;0,ROUND(BD57*ReferralMix/(1-ReferralMix),0),0)</f>
        <v/>
      </c>
      <c r="BF57" s="12">
        <f>BD57+BE57</f>
        <v/>
      </c>
      <c r="BG57" s="12">
        <f>ROUND(BF57*(1-AnnualMix),0)</f>
        <v/>
      </c>
      <c r="BH57" s="12">
        <f>BF57-BG57</f>
        <v/>
      </c>
      <c r="BI57" s="12">
        <f>ROUND(BG57*EssentialMix,0)</f>
        <v/>
      </c>
      <c r="BJ57" s="12">
        <f>ROUND(BG57*PremiumMix,0)</f>
        <v/>
      </c>
      <c r="BK57" s="12">
        <f>BG57-BI57-BJ57</f>
        <v/>
      </c>
      <c r="BL57" s="12">
        <f>ROUND(BH57*EssentialMix,0)</f>
        <v/>
      </c>
      <c r="BM57" s="12">
        <f>ROUND(BH57*PremiumMix,0)</f>
        <v/>
      </c>
      <c r="BN57" s="12">
        <f>BH57-BL57-BM57</f>
        <v/>
      </c>
      <c r="BO57" s="12">
        <f>BI57+BI56+BI55+MAX(0,BO56-BI56-BI55)*(1-BB57)</f>
        <v/>
      </c>
      <c r="BP57" s="12">
        <f>BJ57+BJ56+BJ55+MAX(0,BP56-BJ56-BJ55)*(1-BB57)</f>
        <v/>
      </c>
      <c r="BQ57" s="12">
        <f>BK57+BK56+BK55+MAX(0,BQ56-BK56-BK55)*(1-BB57)</f>
        <v/>
      </c>
      <c r="BR57" s="12">
        <f>BR56+BL57-BL45*(AnnualChurn*VLOOKUP(AX57,ChurnSeasonTable,4,FALSE))*POWER(1-(AnnualChurn*VLOOKUP(AX57,ChurnSeasonTable,4,FALSE)),0)+BL33*(AnnualChurn*VLOOKUP(AX57,ChurnSeasonTable,4,FALSE))*POWER(1-(AnnualChurn*VLOOKUP(AX57,ChurnSeasonTable,4,FALSE)),1)+BL21*(AnnualChurn*VLOOKUP(AX57,ChurnSeasonTable,4,FALSE))*POWER(1-(AnnualChurn*VLOOKUP(AX57,ChurnSeasonTable,4,FALSE)),2)+BL9*(AnnualChurn*VLOOKUP(AX57,ChurnSeasonTable,4,FALSE))*POWER(1-(AnnualChurn*VLOOKUP(AX57,ChurnSeasonTable,4,FALSE)),3)</f>
        <v/>
      </c>
      <c r="BS57" s="12">
        <f>BS56+BM57-BM45*(AnnualChurn*VLOOKUP(AX57,ChurnSeasonTable,4,FALSE))*POWER(1-(AnnualChurn*VLOOKUP(AX57,ChurnSeasonTable,4,FALSE)),0)+BM33*(AnnualChurn*VLOOKUP(AX57,ChurnSeasonTable,4,FALSE))*POWER(1-(AnnualChurn*VLOOKUP(AX57,ChurnSeasonTable,4,FALSE)),1)+BM21*(AnnualChurn*VLOOKUP(AX57,ChurnSeasonTable,4,FALSE))*POWER(1-(AnnualChurn*VLOOKUP(AX57,ChurnSeasonTable,4,FALSE)),2)+BM9*(AnnualChurn*VLOOKUP(AX57,ChurnSeasonTable,4,FALSE))*POWER(1-(AnnualChurn*VLOOKUP(AX57,ChurnSeasonTable,4,FALSE)),3)</f>
        <v/>
      </c>
      <c r="BT57" s="12">
        <f>BT56+BN57-BN45*(AnnualChurn*VLOOKUP(AX57,ChurnSeasonTable,4,FALSE))*POWER(1-(AnnualChurn*VLOOKUP(AX57,ChurnSeasonTable,4,FALSE)),0)+BN33*(AnnualChurn*VLOOKUP(AX57,ChurnSeasonTable,4,FALSE))*POWER(1-(AnnualChurn*VLOOKUP(AX57,ChurnSeasonTable,4,FALSE)),1)+BN21*(AnnualChurn*VLOOKUP(AX57,ChurnSeasonTable,4,FALSE))*POWER(1-(AnnualChurn*VLOOKUP(AX57,ChurnSeasonTable,4,FALSE)),2)+BN9*(AnnualChurn*VLOOKUP(AX57,ChurnSeasonTable,4,FALSE))*POWER(1-(AnnualChurn*VLOOKUP(AX57,ChurnSeasonTable,4,FALSE)),3)</f>
        <v/>
      </c>
      <c r="BU57" s="12">
        <f>BO57+BP57+BQ57+BR57+BS57+BT57</f>
        <v/>
      </c>
      <c r="BV57" s="9">
        <f>BO57*BlendedPriceEssMonthly*BA57+BP57*BlendedPricePremMonthly*BA57+BQ57*BlendedPriceEliteMonthly*BA57+BR57*BlendedPriceEssAnnual*BA57/12+BS57*BlendedPricePremAnnual*BA57/12+BT57*BlendedPriceEliteAnnual*BA57/12</f>
        <v/>
      </c>
      <c r="BW57" s="9">
        <f>BV57*12</f>
        <v/>
      </c>
      <c r="BX57" s="12">
        <f>BO57*BlendedPriceEssMonthly*BA57+BP57*BlendedPricePremMonthly*BA57+BQ57*BlendedPriceEliteMonthly*BA57</f>
        <v/>
      </c>
      <c r="BY57" s="12">
        <f>BL57*BlendedPriceEssAnnual*BA57+BM57*BlendedPricePremAnnual*BA57+BN57*BlendedPriceEliteAnnual*BA57</f>
        <v/>
      </c>
      <c r="BZ57" s="12">
        <f>BL45*POWER(1-(AnnualChurn*VLOOKUP(AX57,ChurnSeasonTable,4,FALSE)),1)*BlendedPriceEssAnnual*BA57+BL33*POWER(1-(AnnualChurn*VLOOKUP(AX57,ChurnSeasonTable,4,FALSE)),2)*BlendedPriceEssAnnual*BA57+BL21*POWER(1-(AnnualChurn*VLOOKUP(AX57,ChurnSeasonTable,4,FALSE)),3)*BlendedPriceEssAnnual*BA57+BL9*POWER(1-(AnnualChurn*VLOOKUP(AX57,ChurnSeasonTable,4,FALSE)),4)*BlendedPriceEssAnnual*BA57+BM45*POWER(1-(AnnualChurn*VLOOKUP(AX57,ChurnSeasonTable,4,FALSE)),1)*BlendedPricePremAnnual*BA57+BM33*POWER(1-(AnnualChurn*VLOOKUP(AX57,ChurnSeasonTable,4,FALSE)),2)*BlendedPricePremAnnual*BA57+BM21*POWER(1-(AnnualChurn*VLOOKUP(AX57,ChurnSeasonTable,4,FALSE)),3)*BlendedPricePremAnnual*BA57+BM9*POWER(1-(AnnualChurn*VLOOKUP(AX57,ChurnSeasonTable,4,FALSE)),4)*BlendedPricePremAnnual*BA57+BN45*POWER(1-(AnnualChurn*VLOOKUP(AX57,ChurnSeasonTable,4,FALSE)),1)*BlendedPriceEliteAnnual*BA57+BN33*POWER(1-(AnnualChurn*VLOOKUP(AX57,ChurnSeasonTable,4,FALSE)),2)*BlendedPriceEliteAnnual*BA57+BN21*POWER(1-(AnnualChurn*VLOOKUP(AX57,ChurnSeasonTable,4,FALSE)),3)*BlendedPriceEliteAnnual*BA57+BN9*POWER(1-(AnnualChurn*VLOOKUP(AX57,ChurnSeasonTable,4,FALSE)),4)*BlendedPriceEliteAnnual*BA57</f>
        <v/>
      </c>
      <c r="CA57" s="9">
        <f>BX57+BY57+BZ57</f>
        <v/>
      </c>
      <c r="CB57" s="12">
        <f>SUM(CA46:CA57)</f>
        <v/>
      </c>
      <c r="CC57" s="12">
        <f>OR(CC56,IF(VATAgentMode,SUM($CA46:$CA57)-SUM($CH46:$CH57)&gt;=VATThreshold,SUM($CA46:$CA57)&gt;=VATThreshold))</f>
        <v/>
      </c>
      <c r="CD57" s="9">
        <f>IF(CC57,IF(VATAgentMode,CA57-((CA57-CH57)-(CA57-CH57)/(1+VATRate)),CA57/(1+VATRate)),CA57)</f>
        <v/>
      </c>
      <c r="CE57" s="12">
        <f>CA57-CD57</f>
        <v/>
      </c>
      <c r="CF57" s="12">
        <f>IF(CC57=0,0,IF(AX57=1,SUMPRODUCT(--(($AY$5:$AY57=$AY57-1)*($AX$5:$AX57&gt;=10)*($AX$5:$AX57&lt;=12)),$CE$5:$CE57),IF(AX57=4,SUMPRODUCT(--(($AY$5:$AY57=$AY57)*($AX$5:$AX57&gt;=1)*($AX$5:$AX57&lt;=3)),$CE$5:$CE57),IF(AX57=7,SUMPRODUCT(--(($AY$5:$AY57=$AY57)*($AX$5:$AX57&gt;=4)*($AX$5:$AX57&lt;=6)),$CE$5:$CE57),IF(AX57=10,SUMPRODUCT(--(($AY$5:$AY57=$AY57)*($AX$5:$AX57&gt;=7)*($AX$5:$AX57&lt;=9)),$CE$5:$CE57),0)))))</f>
        <v/>
      </c>
      <c r="CG57" s="12">
        <f>CG56+CE57-CF57</f>
        <v/>
      </c>
      <c r="CH57" s="12">
        <f>IF(ProviderDelay&gt;=1,BO56*BlendedProvPayEss+BP56*BlendedProvPayPrem+BQ56*BlendedProvPayElite+BR56*BlendedProvPayEss+BS56*BlendedProvPayPrem+BT56*BlendedProvPayElite,BO57*BlendedProvPayEss+BP57*BlendedProvPayPrem+BQ57*BlendedProvPayElite+BR57*BlendedProvPayEss+BS57*BlendedProvPayPrem+BT57*BlendedProvPayElite)</f>
        <v/>
      </c>
      <c r="CI57" s="12">
        <f>CA57*PaymentFee</f>
        <v/>
      </c>
      <c r="CJ57" s="12">
        <f>BU57*OpsAI</f>
        <v/>
      </c>
      <c r="CK57" s="12">
        <f>MonthlyFixed</f>
        <v/>
      </c>
      <c r="CL57" s="12">
        <f>BE57*ReferralReward</f>
        <v/>
      </c>
      <c r="CM57" s="12">
        <f>BC57</f>
        <v/>
      </c>
      <c r="CN57" s="9">
        <f>CD57-CH57-CI57-CJ57-CK57-CL57-CM57</f>
        <v/>
      </c>
      <c r="CO57" s="9">
        <f>CO56+CA57-(CH57+CI57+CJ57+CK57+CL57+CM57+CF57)</f>
        <v/>
      </c>
      <c r="CP57" s="12">
        <f>IF(BU57&gt;0,BV57/BU57,0)</f>
        <v/>
      </c>
      <c r="CQ57" s="11">
        <f>IF(BU56&gt;0,MAX(0,(BU56+BF57-BU57)/BU56),0)</f>
        <v/>
      </c>
      <c r="CS57" s="12" t="n">
        <v>53</v>
      </c>
      <c r="CT57" s="12">
        <f>MOD(CS57-1+LaunchMonth-1,12)+1</f>
        <v/>
      </c>
      <c r="CU57" s="12">
        <f>INT((CS57-1+LaunchMonth-1)/12)+1</f>
        <v/>
      </c>
      <c r="CV57" s="12">
        <f>VLOOKUP(CT57,SeasonTable,2,FALSE)</f>
        <v/>
      </c>
      <c r="CW57" s="12">
        <f>(1+InflationRate)^INT((CS57-1)/12)</f>
        <v/>
      </c>
      <c r="CX57" s="11">
        <f>'Sens - Scenarios'!$D$5*VLOOKUP(CT57,ChurnSeasonTable,4,FALSE)</f>
        <v/>
      </c>
      <c r="CY57" s="12">
        <f>MIN(MAX(MktMin19plus,DW56*MktPct19plus),MAX(0,EK56-CashBuffer))</f>
        <v/>
      </c>
      <c r="CZ57" s="12">
        <f>IF(CY57&gt;0,MAX(1,ROUND(CY57/'Sens - Scenarios'!$D$8*CV57,0)),0)</f>
        <v/>
      </c>
      <c r="DA57" s="12">
        <f>IF(CZ57&gt;0,ROUND(CZ57*ReferralMix/(1-ReferralMix),0),0)</f>
        <v/>
      </c>
      <c r="DB57" s="12">
        <f>CZ57+DA57</f>
        <v/>
      </c>
      <c r="DC57" s="12">
        <f>ROUND(DB57*(1-'Sens - Scenarios'!$D$7),0)</f>
        <v/>
      </c>
      <c r="DD57" s="12">
        <f>DB57-DC57</f>
        <v/>
      </c>
      <c r="DE57" s="12">
        <f>ROUND(DC57*EssentialMix,0)</f>
        <v/>
      </c>
      <c r="DF57" s="12">
        <f>ROUND(DC57*PremiumMix,0)</f>
        <v/>
      </c>
      <c r="DG57" s="12">
        <f>DC57-DE57-DF57</f>
        <v/>
      </c>
      <c r="DH57" s="12">
        <f>ROUND(DD57*EssentialMix,0)</f>
        <v/>
      </c>
      <c r="DI57" s="12">
        <f>ROUND(DD57*PremiumMix,0)</f>
        <v/>
      </c>
      <c r="DJ57" s="12">
        <f>DD57-DH57-DI57</f>
        <v/>
      </c>
      <c r="DK57" s="12">
        <f>DE57+DE56+DE55+MAX(0,DK56-DE56-DE55)*(1-CX57)</f>
        <v/>
      </c>
      <c r="DL57" s="12">
        <f>DF57+DF56+DF55+MAX(0,DL56-DF56-DF55)*(1-CX57)</f>
        <v/>
      </c>
      <c r="DM57" s="12">
        <f>DG57+DG56+DG55+MAX(0,DM56-DG56-DG55)*(1-CX57)</f>
        <v/>
      </c>
      <c r="DN57" s="12">
        <f>DN56+DH57-DH45*('Sens - Scenarios'!$D$6*VLOOKUP(CT57,ChurnSeasonTable,4,FALSE))*POWER(1-('Sens - Scenarios'!$D$6*VLOOKUP(CT57,ChurnSeasonTable,4,FALSE)),0)+DH33*('Sens - Scenarios'!$D$6*VLOOKUP(CT57,ChurnSeasonTable,4,FALSE))*POWER(1-('Sens - Scenarios'!$D$6*VLOOKUP(CT57,ChurnSeasonTable,4,FALSE)),1)+DH21*('Sens - Scenarios'!$D$6*VLOOKUP(CT57,ChurnSeasonTable,4,FALSE))*POWER(1-('Sens - Scenarios'!$D$6*VLOOKUP(CT57,ChurnSeasonTable,4,FALSE)),2)+DH9*('Sens - Scenarios'!$D$6*VLOOKUP(CT57,ChurnSeasonTable,4,FALSE))*POWER(1-('Sens - Scenarios'!$D$6*VLOOKUP(CT57,ChurnSeasonTable,4,FALSE)),3)</f>
        <v/>
      </c>
      <c r="DO57" s="12">
        <f>DO56+DI57-DI45*('Sens - Scenarios'!$D$6*VLOOKUP(CT57,ChurnSeasonTable,4,FALSE))*POWER(1-('Sens - Scenarios'!$D$6*VLOOKUP(CT57,ChurnSeasonTable,4,FALSE)),0)+DI33*('Sens - Scenarios'!$D$6*VLOOKUP(CT57,ChurnSeasonTable,4,FALSE))*POWER(1-('Sens - Scenarios'!$D$6*VLOOKUP(CT57,ChurnSeasonTable,4,FALSE)),1)+DI21*('Sens - Scenarios'!$D$6*VLOOKUP(CT57,ChurnSeasonTable,4,FALSE))*POWER(1-('Sens - Scenarios'!$D$6*VLOOKUP(CT57,ChurnSeasonTable,4,FALSE)),2)+DI9*('Sens - Scenarios'!$D$6*VLOOKUP(CT57,ChurnSeasonTable,4,FALSE))*POWER(1-('Sens - Scenarios'!$D$6*VLOOKUP(CT57,ChurnSeasonTable,4,FALSE)),3)</f>
        <v/>
      </c>
      <c r="DP57" s="12">
        <f>DP56+DJ57-DJ45*('Sens - Scenarios'!$D$6*VLOOKUP(CT57,ChurnSeasonTable,4,FALSE))*POWER(1-('Sens - Scenarios'!$D$6*VLOOKUP(CT57,ChurnSeasonTable,4,FALSE)),0)+DJ33*('Sens - Scenarios'!$D$6*VLOOKUP(CT57,ChurnSeasonTable,4,FALSE))*POWER(1-('Sens - Scenarios'!$D$6*VLOOKUP(CT57,ChurnSeasonTable,4,FALSE)),1)+DJ21*('Sens - Scenarios'!$D$6*VLOOKUP(CT57,ChurnSeasonTable,4,FALSE))*POWER(1-('Sens - Scenarios'!$D$6*VLOOKUP(CT57,ChurnSeasonTable,4,FALSE)),2)+DJ9*('Sens - Scenarios'!$D$6*VLOOKUP(CT57,ChurnSeasonTable,4,FALSE))*POWER(1-('Sens - Scenarios'!$D$6*VLOOKUP(CT57,ChurnSeasonTable,4,FALSE)),3)</f>
        <v/>
      </c>
      <c r="DQ57" s="12">
        <f>DK57+DL57+DM57+DN57+DO57+DP57</f>
        <v/>
      </c>
      <c r="DR57" s="9">
        <f>DK57*BlendedPriceEssMonthly*CW57+DL57*BlendedPricePremMonthly*CW57+DM57*BlendedPriceEliteMonthly*CW57+DN57*BlendedPriceEssAnnual*CW57/12+DO57*BlendedPricePremAnnual*CW57/12+DP57*BlendedPriceEliteAnnual*CW57/12</f>
        <v/>
      </c>
      <c r="DS57" s="9">
        <f>DR57*12</f>
        <v/>
      </c>
      <c r="DT57" s="12">
        <f>DK57*BlendedPriceEssMonthly*CW57+DL57*BlendedPricePremMonthly*CW57+DM57*BlendedPriceEliteMonthly*CW57</f>
        <v/>
      </c>
      <c r="DU57" s="12">
        <f>DH57*BlendedPriceEssAnnual*CW57+DI57*BlendedPricePremAnnual*CW57+DJ57*BlendedPriceEliteAnnual*CW57</f>
        <v/>
      </c>
      <c r="DV57" s="12">
        <f>DH45*POWER(1-('Sens - Scenarios'!$D$6*VLOOKUP(CT57,ChurnSeasonTable,4,FALSE)),1)*BlendedPriceEssAnnual*CW57+DH33*POWER(1-('Sens - Scenarios'!$D$6*VLOOKUP(CT57,ChurnSeasonTable,4,FALSE)),2)*BlendedPriceEssAnnual*CW57+DH21*POWER(1-('Sens - Scenarios'!$D$6*VLOOKUP(CT57,ChurnSeasonTable,4,FALSE)),3)*BlendedPriceEssAnnual*CW57+DH9*POWER(1-('Sens - Scenarios'!$D$6*VLOOKUP(CT57,ChurnSeasonTable,4,FALSE)),4)*BlendedPriceEssAnnual*CW57+DI45*POWER(1-('Sens - Scenarios'!$D$6*VLOOKUP(CT57,ChurnSeasonTable,4,FALSE)),1)*BlendedPricePremAnnual*CW57+DI33*POWER(1-('Sens - Scenarios'!$D$6*VLOOKUP(CT57,ChurnSeasonTable,4,FALSE)),2)*BlendedPricePremAnnual*CW57+DI21*POWER(1-('Sens - Scenarios'!$D$6*VLOOKUP(CT57,ChurnSeasonTable,4,FALSE)),3)*BlendedPricePremAnnual*CW57+DI9*POWER(1-('Sens - Scenarios'!$D$6*VLOOKUP(CT57,ChurnSeasonTable,4,FALSE)),4)*BlendedPricePremAnnual*CW57+DJ45*POWER(1-('Sens - Scenarios'!$D$6*VLOOKUP(CT57,ChurnSeasonTable,4,FALSE)),1)*BlendedPriceEliteAnnual*CW57+DJ33*POWER(1-('Sens - Scenarios'!$D$6*VLOOKUP(CT57,ChurnSeasonTable,4,FALSE)),2)*BlendedPriceEliteAnnual*CW57+DJ21*POWER(1-('Sens - Scenarios'!$D$6*VLOOKUP(CT57,ChurnSeasonTable,4,FALSE)),3)*BlendedPriceEliteAnnual*CW57+DJ9*POWER(1-('Sens - Scenarios'!$D$6*VLOOKUP(CT57,ChurnSeasonTable,4,FALSE)),4)*BlendedPriceEliteAnnual*CW57</f>
        <v/>
      </c>
      <c r="DW57" s="9">
        <f>DT57+DU57+DV57</f>
        <v/>
      </c>
      <c r="DX57" s="12">
        <f>SUM(DW46:DW57)</f>
        <v/>
      </c>
      <c r="DY57" s="12">
        <f>OR(DY56,IF(VATAgentMode,SUM($DW46:$DW57)-SUM($ED46:$ED57)&gt;=VATThreshold,SUM($DW46:$DW57)&gt;=VATThreshold))</f>
        <v/>
      </c>
      <c r="DZ57" s="9">
        <f>IF(DY57,IF(VATAgentMode,DW57-((DW57-ED57)-(DW57-ED57)/(1+VATRate)),DW57/(1+VATRate)),DW57)</f>
        <v/>
      </c>
      <c r="EA57" s="12">
        <f>DW57-DZ57</f>
        <v/>
      </c>
      <c r="EB57" s="12">
        <f>IF(DY57=0,0,IF(CT57=1,SUMPRODUCT(--(($CU$5:$CU57=$CU57-1)*($CT$5:$CT57&gt;=10)*($CT$5:$CT57&lt;=12)),$EA$5:$EA57),IF(CT57=4,SUMPRODUCT(--(($CU$5:$CU57=$CU57)*($CT$5:$CT57&gt;=1)*($CT$5:$CT57&lt;=3)),$EA$5:$EA57),IF(CT57=7,SUMPRODUCT(--(($CU$5:$CU57=$CU57)*($CT$5:$CT57&gt;=4)*($CT$5:$CT57&lt;=6)),$EA$5:$EA57),IF(CT57=10,SUMPRODUCT(--(($CU$5:$CU57=$CU57)*($CT$5:$CT57&gt;=7)*($CT$5:$CT57&lt;=9)),$EA$5:$EA57),0)))))</f>
        <v/>
      </c>
      <c r="EC57" s="12">
        <f>EC56+EA57-EB57</f>
        <v/>
      </c>
      <c r="ED57" s="12">
        <f>IF(ProviderDelay&gt;=1,DK56*BlendedProvPayEss+DL56*BlendedProvPayPrem+DM56*BlendedProvPayElite+DN56*BlendedProvPayEss+DO56*BlendedProvPayPrem+DP56*BlendedProvPayElite,DK57*BlendedProvPayEss+DL57*BlendedProvPayPrem+DM57*BlendedProvPayElite+DN57*BlendedProvPayEss+DO57*BlendedProvPayPrem+DP57*BlendedProvPayElite)</f>
        <v/>
      </c>
      <c r="EE57" s="12">
        <f>DW57*PaymentFee</f>
        <v/>
      </c>
      <c r="EF57" s="12">
        <f>DQ57*OpsAI</f>
        <v/>
      </c>
      <c r="EG57" s="12">
        <f>MonthlyFixed</f>
        <v/>
      </c>
      <c r="EH57" s="12">
        <f>DA57*ReferralReward</f>
        <v/>
      </c>
      <c r="EI57" s="12">
        <f>CY57</f>
        <v/>
      </c>
      <c r="EJ57" s="9">
        <f>DZ57-ED57-EE57-EF57-EG57-EH57-EI57</f>
        <v/>
      </c>
      <c r="EK57" s="9">
        <f>EK56+DW57-(ED57+EE57+EF57+EG57+EH57+EI57+EB57)</f>
        <v/>
      </c>
      <c r="EL57" s="12">
        <f>IF(DQ57&gt;0,DR57/DQ57,0)</f>
        <v/>
      </c>
      <c r="EM57" s="11">
        <f>IF(DQ56&gt;0,MAX(0,(DQ56+DB57-DQ57)/DQ56),0)</f>
        <v/>
      </c>
      <c r="EO57" s="12" t="n">
        <v>53</v>
      </c>
      <c r="EP57" s="12">
        <f>MOD(EO57-1+LaunchMonth-1,12)+1</f>
        <v/>
      </c>
      <c r="EQ57" s="12">
        <f>INT((EO57-1+LaunchMonth-1)/12)+1</f>
        <v/>
      </c>
      <c r="ER57" s="12">
        <f>VLOOKUP(EP57,SeasonTable,2,FALSE)</f>
        <v/>
      </c>
      <c r="ES57" s="12">
        <f>(1+InflationRate)^INT((EO57-1)/12)</f>
        <v/>
      </c>
      <c r="ET57" s="11">
        <f>'Sens - Churn'!$A$13*VLOOKUP(EP57,ChurnSeasonTable,4,FALSE)</f>
        <v/>
      </c>
      <c r="EU57" s="12">
        <f>MIN(MAX(MktMin19plus,FS56*MktPct19plus),MAX(0,GG56-CashBuffer))</f>
        <v/>
      </c>
      <c r="EV57" s="12">
        <f>IF(EU57&gt;0,MAX(1,ROUND(EU57/CAC*ER57,0)),0)</f>
        <v/>
      </c>
      <c r="EW57" s="12">
        <f>IF(EV57&gt;0,ROUND(EV57*ReferralMix/(1-ReferralMix),0),0)</f>
        <v/>
      </c>
      <c r="EX57" s="12">
        <f>EV57+EW57</f>
        <v/>
      </c>
      <c r="EY57" s="12">
        <f>ROUND(EX57*(1-AnnualMix),0)</f>
        <v/>
      </c>
      <c r="EZ57" s="12">
        <f>EX57-EY57</f>
        <v/>
      </c>
      <c r="FA57" s="12">
        <f>ROUND(EY57*EssentialMix,0)</f>
        <v/>
      </c>
      <c r="FB57" s="12">
        <f>ROUND(EY57*PremiumMix,0)</f>
        <v/>
      </c>
      <c r="FC57" s="12">
        <f>EY57-FA57-FB57</f>
        <v/>
      </c>
      <c r="FD57" s="12">
        <f>ROUND(EZ57*EssentialMix,0)</f>
        <v/>
      </c>
      <c r="FE57" s="12">
        <f>ROUND(EZ57*PremiumMix,0)</f>
        <v/>
      </c>
      <c r="FF57" s="12">
        <f>EZ57-FD57-FE57</f>
        <v/>
      </c>
      <c r="FG57" s="12">
        <f>FA57+FA56+FA55+MAX(0,FG56-FA56-FA55)*(1-ET57)</f>
        <v/>
      </c>
      <c r="FH57" s="12">
        <f>FB57+FB56+FB55+MAX(0,FH56-FB56-FB55)*(1-ET57)</f>
        <v/>
      </c>
      <c r="FI57" s="12">
        <f>FC57+FC56+FC55+MAX(0,FI56-FC56-FC55)*(1-ET57)</f>
        <v/>
      </c>
      <c r="FJ57" s="12">
        <f>FJ56+FD57-FD45*(AnnualChurn*VLOOKUP(EP57,ChurnSeasonTable,4,FALSE))*POWER(1-(AnnualChurn*VLOOKUP(EP57,ChurnSeasonTable,4,FALSE)),0)+FD33*(AnnualChurn*VLOOKUP(EP57,ChurnSeasonTable,4,FALSE))*POWER(1-(AnnualChurn*VLOOKUP(EP57,ChurnSeasonTable,4,FALSE)),1)+FD21*(AnnualChurn*VLOOKUP(EP57,ChurnSeasonTable,4,FALSE))*POWER(1-(AnnualChurn*VLOOKUP(EP57,ChurnSeasonTable,4,FALSE)),2)+FD9*(AnnualChurn*VLOOKUP(EP57,ChurnSeasonTable,4,FALSE))*POWER(1-(AnnualChurn*VLOOKUP(EP57,ChurnSeasonTable,4,FALSE)),3)</f>
        <v/>
      </c>
      <c r="FK57" s="12">
        <f>FK56+FE57-FE45*(AnnualChurn*VLOOKUP(EP57,ChurnSeasonTable,4,FALSE))*POWER(1-(AnnualChurn*VLOOKUP(EP57,ChurnSeasonTable,4,FALSE)),0)+FE33*(AnnualChurn*VLOOKUP(EP57,ChurnSeasonTable,4,FALSE))*POWER(1-(AnnualChurn*VLOOKUP(EP57,ChurnSeasonTable,4,FALSE)),1)+FE21*(AnnualChurn*VLOOKUP(EP57,ChurnSeasonTable,4,FALSE))*POWER(1-(AnnualChurn*VLOOKUP(EP57,ChurnSeasonTable,4,FALSE)),2)+FE9*(AnnualChurn*VLOOKUP(EP57,ChurnSeasonTable,4,FALSE))*POWER(1-(AnnualChurn*VLOOKUP(EP57,ChurnSeasonTable,4,FALSE)),3)</f>
        <v/>
      </c>
      <c r="FL57" s="12">
        <f>FL56+FF57-FF45*(AnnualChurn*VLOOKUP(EP57,ChurnSeasonTable,4,FALSE))*POWER(1-(AnnualChurn*VLOOKUP(EP57,ChurnSeasonTable,4,FALSE)),0)+FF33*(AnnualChurn*VLOOKUP(EP57,ChurnSeasonTable,4,FALSE))*POWER(1-(AnnualChurn*VLOOKUP(EP57,ChurnSeasonTable,4,FALSE)),1)+FF21*(AnnualChurn*VLOOKUP(EP57,ChurnSeasonTable,4,FALSE))*POWER(1-(AnnualChurn*VLOOKUP(EP57,ChurnSeasonTable,4,FALSE)),2)+FF9*(AnnualChurn*VLOOKUP(EP57,ChurnSeasonTable,4,FALSE))*POWER(1-(AnnualChurn*VLOOKUP(EP57,ChurnSeasonTable,4,FALSE)),3)</f>
        <v/>
      </c>
      <c r="FM57" s="12">
        <f>FG57+FH57+FI57+FJ57+FK57+FL57</f>
        <v/>
      </c>
      <c r="FN57" s="9">
        <f>FG57*BlendedPriceEssMonthly*ES57+FH57*BlendedPricePremMonthly*ES57+FI57*BlendedPriceEliteMonthly*ES57+FJ57*BlendedPriceEssAnnual*ES57/12+FK57*BlendedPricePremAnnual*ES57/12+FL57*BlendedPriceEliteAnnual*ES57/12</f>
        <v/>
      </c>
      <c r="FO57" s="9">
        <f>FN57*12</f>
        <v/>
      </c>
      <c r="FP57" s="12">
        <f>FG57*BlendedPriceEssMonthly*ES57+FH57*BlendedPricePremMonthly*ES57+FI57*BlendedPriceEliteMonthly*ES57</f>
        <v/>
      </c>
      <c r="FQ57" s="12">
        <f>FD57*BlendedPriceEssAnnual*ES57+FE57*BlendedPricePremAnnual*ES57+FF57*BlendedPriceEliteAnnual*ES57</f>
        <v/>
      </c>
      <c r="FR57" s="12">
        <f>FD45*POWER(1-(AnnualChurn*VLOOKUP(EP57,ChurnSeasonTable,4,FALSE)),1)*BlendedPriceEssAnnual*ES57+FD33*POWER(1-(AnnualChurn*VLOOKUP(EP57,ChurnSeasonTable,4,FALSE)),2)*BlendedPriceEssAnnual*ES57+FD21*POWER(1-(AnnualChurn*VLOOKUP(EP57,ChurnSeasonTable,4,FALSE)),3)*BlendedPriceEssAnnual*ES57+FD9*POWER(1-(AnnualChurn*VLOOKUP(EP57,ChurnSeasonTable,4,FALSE)),4)*BlendedPriceEssAnnual*ES57+FE45*POWER(1-(AnnualChurn*VLOOKUP(EP57,ChurnSeasonTable,4,FALSE)),1)*BlendedPricePremAnnual*ES57+FE33*POWER(1-(AnnualChurn*VLOOKUP(EP57,ChurnSeasonTable,4,FALSE)),2)*BlendedPricePremAnnual*ES57+FE21*POWER(1-(AnnualChurn*VLOOKUP(EP57,ChurnSeasonTable,4,FALSE)),3)*BlendedPricePremAnnual*ES57+FE9*POWER(1-(AnnualChurn*VLOOKUP(EP57,ChurnSeasonTable,4,FALSE)),4)*BlendedPricePremAnnual*ES57+FF45*POWER(1-(AnnualChurn*VLOOKUP(EP57,ChurnSeasonTable,4,FALSE)),1)*BlendedPriceEliteAnnual*ES57+FF33*POWER(1-(AnnualChurn*VLOOKUP(EP57,ChurnSeasonTable,4,FALSE)),2)*BlendedPriceEliteAnnual*ES57+FF21*POWER(1-(AnnualChurn*VLOOKUP(EP57,ChurnSeasonTable,4,FALSE)),3)*BlendedPriceEliteAnnual*ES57+FF9*POWER(1-(AnnualChurn*VLOOKUP(EP57,ChurnSeasonTable,4,FALSE)),4)*BlendedPriceEliteAnnual*ES57</f>
        <v/>
      </c>
      <c r="FS57" s="9">
        <f>FP57+FQ57+FR57</f>
        <v/>
      </c>
      <c r="FT57" s="12">
        <f>SUM(FS46:FS57)</f>
        <v/>
      </c>
      <c r="FU57" s="12">
        <f>OR(FU56,IF(VATAgentMode,SUM($FS46:$FS57)-SUM($FZ46:$FZ57)&gt;=VATThreshold,SUM($FS46:$FS57)&gt;=VATThreshold))</f>
        <v/>
      </c>
      <c r="FV57" s="9">
        <f>IF(FU57,IF(VATAgentMode,FS57-((FS57-FZ57)-(FS57-FZ57)/(1+VATRate)),FS57/(1+VATRate)),FS57)</f>
        <v/>
      </c>
      <c r="FW57" s="12">
        <f>FS57-FV57</f>
        <v/>
      </c>
      <c r="FX57" s="12">
        <f>IF(FU57=0,0,IF(EP57=1,SUMPRODUCT(--(($EQ$5:$EQ57=$EQ57-1)*($EP$5:$EP57&gt;=10)*($EP$5:$EP57&lt;=12)),$FW$5:$FW57),IF(EP57=4,SUMPRODUCT(--(($EQ$5:$EQ57=$EQ57)*($EP$5:$EP57&gt;=1)*($EP$5:$EP57&lt;=3)),$FW$5:$FW57),IF(EP57=7,SUMPRODUCT(--(($EQ$5:$EQ57=$EQ57)*($EP$5:$EP57&gt;=4)*($EP$5:$EP57&lt;=6)),$FW$5:$FW57),IF(EP57=10,SUMPRODUCT(--(($EQ$5:$EQ57=$EQ57)*($EP$5:$EP57&gt;=7)*($EP$5:$EP57&lt;=9)),$FW$5:$FW57),0)))))</f>
        <v/>
      </c>
      <c r="FY57" s="12">
        <f>FY56+FW57-FX57</f>
        <v/>
      </c>
      <c r="FZ57" s="12">
        <f>IF(ProviderDelay&gt;=1,FG56*BlendedProvPayEss+FH56*BlendedProvPayPrem+FI56*BlendedProvPayElite+FJ56*BlendedProvPayEss+FK56*BlendedProvPayPrem+FL56*BlendedProvPayElite,FG57*BlendedProvPayEss+FH57*BlendedProvPayPrem+FI57*BlendedProvPayElite+FJ57*BlendedProvPayEss+FK57*BlendedProvPayPrem+FL57*BlendedProvPayElite)</f>
        <v/>
      </c>
      <c r="GA57" s="12">
        <f>FS57*PaymentFee</f>
        <v/>
      </c>
      <c r="GB57" s="12">
        <f>FM57*OpsAI</f>
        <v/>
      </c>
      <c r="GC57" s="12">
        <f>MonthlyFixed</f>
        <v/>
      </c>
      <c r="GD57" s="12">
        <f>EW57*ReferralReward</f>
        <v/>
      </c>
      <c r="GE57" s="12">
        <f>EU57</f>
        <v/>
      </c>
      <c r="GF57" s="9">
        <f>FV57-FZ57-GA57-GB57-GC57-GD57-GE57</f>
        <v/>
      </c>
      <c r="GG57" s="9">
        <f>GG56+FS57-(FZ57+GA57+GB57+GC57+GD57+GE57+FX57)</f>
        <v/>
      </c>
      <c r="GH57" s="12">
        <f>IF(FM57&gt;0,FN57/FM57,0)</f>
        <v/>
      </c>
      <c r="GI57" s="11">
        <f>IF(FM56&gt;0,MAX(0,(FM56+EX57-FM57)/FM56),0)</f>
        <v/>
      </c>
      <c r="GK57" s="12" t="n">
        <v>53</v>
      </c>
      <c r="GL57" s="12">
        <f>MOD(GK57-1+LaunchMonth-1,12)+1</f>
        <v/>
      </c>
      <c r="GM57" s="12">
        <f>INT((GK57-1+LaunchMonth-1)/12)+1</f>
        <v/>
      </c>
      <c r="GN57" s="12">
        <f>VLOOKUP(GL57,SeasonTable,2,FALSE)</f>
        <v/>
      </c>
      <c r="GO57" s="12">
        <f>(1+InflationRate)^INT((GK57-1)/12)</f>
        <v/>
      </c>
      <c r="GP57" s="11">
        <f>'Sens - Churn'!$A$14*VLOOKUP(GL57,ChurnSeasonTable,4,FALSE)</f>
        <v/>
      </c>
      <c r="GQ57" s="12">
        <f>MIN(MAX(MktMin19plus,HO56*MktPct19plus),MAX(0,IC56-CashBuffer))</f>
        <v/>
      </c>
      <c r="GR57" s="12">
        <f>IF(GQ57&gt;0,MAX(1,ROUND(GQ57/CAC*GN57,0)),0)</f>
        <v/>
      </c>
      <c r="GS57" s="12">
        <f>IF(GR57&gt;0,ROUND(GR57*ReferralMix/(1-ReferralMix),0),0)</f>
        <v/>
      </c>
      <c r="GT57" s="12">
        <f>GR57+GS57</f>
        <v/>
      </c>
      <c r="GU57" s="12">
        <f>ROUND(GT57*(1-AnnualMix),0)</f>
        <v/>
      </c>
      <c r="GV57" s="12">
        <f>GT57-GU57</f>
        <v/>
      </c>
      <c r="GW57" s="12">
        <f>ROUND(GU57*EssentialMix,0)</f>
        <v/>
      </c>
      <c r="GX57" s="12">
        <f>ROUND(GU57*PremiumMix,0)</f>
        <v/>
      </c>
      <c r="GY57" s="12">
        <f>GU57-GW57-GX57</f>
        <v/>
      </c>
      <c r="GZ57" s="12">
        <f>ROUND(GV57*EssentialMix,0)</f>
        <v/>
      </c>
      <c r="HA57" s="12">
        <f>ROUND(GV57*PremiumMix,0)</f>
        <v/>
      </c>
      <c r="HB57" s="12">
        <f>GV57-GZ57-HA57</f>
        <v/>
      </c>
      <c r="HC57" s="12">
        <f>GW57+GW56+GW55+MAX(0,HC56-GW56-GW55)*(1-GP57)</f>
        <v/>
      </c>
      <c r="HD57" s="12">
        <f>GX57+GX56+GX55+MAX(0,HD56-GX56-GX55)*(1-GP57)</f>
        <v/>
      </c>
      <c r="HE57" s="12">
        <f>GY57+GY56+GY55+MAX(0,HE56-GY56-GY55)*(1-GP57)</f>
        <v/>
      </c>
      <c r="HF57" s="12">
        <f>HF56+GZ57-GZ45*(AnnualChurn*VLOOKUP(GL57,ChurnSeasonTable,4,FALSE))*POWER(1-(AnnualChurn*VLOOKUP(GL57,ChurnSeasonTable,4,FALSE)),0)+GZ33*(AnnualChurn*VLOOKUP(GL57,ChurnSeasonTable,4,FALSE))*POWER(1-(AnnualChurn*VLOOKUP(GL57,ChurnSeasonTable,4,FALSE)),1)+GZ21*(AnnualChurn*VLOOKUP(GL57,ChurnSeasonTable,4,FALSE))*POWER(1-(AnnualChurn*VLOOKUP(GL57,ChurnSeasonTable,4,FALSE)),2)+GZ9*(AnnualChurn*VLOOKUP(GL57,ChurnSeasonTable,4,FALSE))*POWER(1-(AnnualChurn*VLOOKUP(GL57,ChurnSeasonTable,4,FALSE)),3)</f>
        <v/>
      </c>
      <c r="HG57" s="12">
        <f>HG56+HA57-HA45*(AnnualChurn*VLOOKUP(GL57,ChurnSeasonTable,4,FALSE))*POWER(1-(AnnualChurn*VLOOKUP(GL57,ChurnSeasonTable,4,FALSE)),0)+HA33*(AnnualChurn*VLOOKUP(GL57,ChurnSeasonTable,4,FALSE))*POWER(1-(AnnualChurn*VLOOKUP(GL57,ChurnSeasonTable,4,FALSE)),1)+HA21*(AnnualChurn*VLOOKUP(GL57,ChurnSeasonTable,4,FALSE))*POWER(1-(AnnualChurn*VLOOKUP(GL57,ChurnSeasonTable,4,FALSE)),2)+HA9*(AnnualChurn*VLOOKUP(GL57,ChurnSeasonTable,4,FALSE))*POWER(1-(AnnualChurn*VLOOKUP(GL57,ChurnSeasonTable,4,FALSE)),3)</f>
        <v/>
      </c>
      <c r="HH57" s="12">
        <f>HH56+HB57-HB45*(AnnualChurn*VLOOKUP(GL57,ChurnSeasonTable,4,FALSE))*POWER(1-(AnnualChurn*VLOOKUP(GL57,ChurnSeasonTable,4,FALSE)),0)+HB33*(AnnualChurn*VLOOKUP(GL57,ChurnSeasonTable,4,FALSE))*POWER(1-(AnnualChurn*VLOOKUP(GL57,ChurnSeasonTable,4,FALSE)),1)+HB21*(AnnualChurn*VLOOKUP(GL57,ChurnSeasonTable,4,FALSE))*POWER(1-(AnnualChurn*VLOOKUP(GL57,ChurnSeasonTable,4,FALSE)),2)+HB9*(AnnualChurn*VLOOKUP(GL57,ChurnSeasonTable,4,FALSE))*POWER(1-(AnnualChurn*VLOOKUP(GL57,ChurnSeasonTable,4,FALSE)),3)</f>
        <v/>
      </c>
      <c r="HI57" s="12">
        <f>HC57+HD57+HE57+HF57+HG57+HH57</f>
        <v/>
      </c>
      <c r="HJ57" s="9">
        <f>HC57*BlendedPriceEssMonthly*GO57+HD57*BlendedPricePremMonthly*GO57+HE57*BlendedPriceEliteMonthly*GO57+HF57*BlendedPriceEssAnnual*GO57/12+HG57*BlendedPricePremAnnual*GO57/12+HH57*BlendedPriceEliteAnnual*GO57/12</f>
        <v/>
      </c>
      <c r="HK57" s="9">
        <f>HJ57*12</f>
        <v/>
      </c>
      <c r="HL57" s="12">
        <f>HC57*BlendedPriceEssMonthly*GO57+HD57*BlendedPricePremMonthly*GO57+HE57*BlendedPriceEliteMonthly*GO57</f>
        <v/>
      </c>
      <c r="HM57" s="12">
        <f>GZ57*BlendedPriceEssAnnual*GO57+HA57*BlendedPricePremAnnual*GO57+HB57*BlendedPriceEliteAnnual*GO57</f>
        <v/>
      </c>
      <c r="HN57" s="12">
        <f>GZ45*POWER(1-(AnnualChurn*VLOOKUP(GL57,ChurnSeasonTable,4,FALSE)),1)*BlendedPriceEssAnnual*GO57+GZ33*POWER(1-(AnnualChurn*VLOOKUP(GL57,ChurnSeasonTable,4,FALSE)),2)*BlendedPriceEssAnnual*GO57+GZ21*POWER(1-(AnnualChurn*VLOOKUP(GL57,ChurnSeasonTable,4,FALSE)),3)*BlendedPriceEssAnnual*GO57+GZ9*POWER(1-(AnnualChurn*VLOOKUP(GL57,ChurnSeasonTable,4,FALSE)),4)*BlendedPriceEssAnnual*GO57+HA45*POWER(1-(AnnualChurn*VLOOKUP(GL57,ChurnSeasonTable,4,FALSE)),1)*BlendedPricePremAnnual*GO57+HA33*POWER(1-(AnnualChurn*VLOOKUP(GL57,ChurnSeasonTable,4,FALSE)),2)*BlendedPricePremAnnual*GO57+HA21*POWER(1-(AnnualChurn*VLOOKUP(GL57,ChurnSeasonTable,4,FALSE)),3)*BlendedPricePremAnnual*GO57+HA9*POWER(1-(AnnualChurn*VLOOKUP(GL57,ChurnSeasonTable,4,FALSE)),4)*BlendedPricePremAnnual*GO57+HB45*POWER(1-(AnnualChurn*VLOOKUP(GL57,ChurnSeasonTable,4,FALSE)),1)*BlendedPriceEliteAnnual*GO57+HB33*POWER(1-(AnnualChurn*VLOOKUP(GL57,ChurnSeasonTable,4,FALSE)),2)*BlendedPriceEliteAnnual*GO57+HB21*POWER(1-(AnnualChurn*VLOOKUP(GL57,ChurnSeasonTable,4,FALSE)),3)*BlendedPriceEliteAnnual*GO57+HB9*POWER(1-(AnnualChurn*VLOOKUP(GL57,ChurnSeasonTable,4,FALSE)),4)*BlendedPriceEliteAnnual*GO57</f>
        <v/>
      </c>
      <c r="HO57" s="9">
        <f>HL57+HM57+HN57</f>
        <v/>
      </c>
      <c r="HP57" s="12">
        <f>SUM(HO46:HO57)</f>
        <v/>
      </c>
      <c r="HQ57" s="12">
        <f>OR(HQ56,IF(VATAgentMode,SUM($HO46:$HO57)-SUM($HV46:$HV57)&gt;=VATThreshold,SUM($HO46:$HO57)&gt;=VATThreshold))</f>
        <v/>
      </c>
      <c r="HR57" s="9">
        <f>IF(HQ57,IF(VATAgentMode,HO57-((HO57-HV57)-(HO57-HV57)/(1+VATRate)),HO57/(1+VATRate)),HO57)</f>
        <v/>
      </c>
      <c r="HS57" s="12">
        <f>HO57-HR57</f>
        <v/>
      </c>
      <c r="HT57" s="12">
        <f>IF(HQ57=0,0,IF(GL57=1,SUMPRODUCT(--(($GM$5:$GM57=$GM57-1)*($GL$5:$GL57&gt;=10)*($GL$5:$GL57&lt;=12)),$HS$5:$HS57),IF(GL57=4,SUMPRODUCT(--(($GM$5:$GM57=$GM57)*($GL$5:$GL57&gt;=1)*($GL$5:$GL57&lt;=3)),$HS$5:$HS57),IF(GL57=7,SUMPRODUCT(--(($GM$5:$GM57=$GM57)*($GL$5:$GL57&gt;=4)*($GL$5:$GL57&lt;=6)),$HS$5:$HS57),IF(GL57=10,SUMPRODUCT(--(($GM$5:$GM57=$GM57)*($GL$5:$GL57&gt;=7)*($GL$5:$GL57&lt;=9)),$HS$5:$HS57),0)))))</f>
        <v/>
      </c>
      <c r="HU57" s="12">
        <f>HU56+HS57-HT57</f>
        <v/>
      </c>
      <c r="HV57" s="12">
        <f>IF(ProviderDelay&gt;=1,HC56*BlendedProvPayEss+HD56*BlendedProvPayPrem+HE56*BlendedProvPayElite+HF56*BlendedProvPayEss+HG56*BlendedProvPayPrem+HH56*BlendedProvPayElite,HC57*BlendedProvPayEss+HD57*BlendedProvPayPrem+HE57*BlendedProvPayElite+HF57*BlendedProvPayEss+HG57*BlendedProvPayPrem+HH57*BlendedProvPayElite)</f>
        <v/>
      </c>
      <c r="HW57" s="12">
        <f>HO57*PaymentFee</f>
        <v/>
      </c>
      <c r="HX57" s="12">
        <f>HI57*OpsAI</f>
        <v/>
      </c>
      <c r="HY57" s="12">
        <f>MonthlyFixed</f>
        <v/>
      </c>
      <c r="HZ57" s="12">
        <f>GS57*ReferralReward</f>
        <v/>
      </c>
      <c r="IA57" s="12">
        <f>GQ57</f>
        <v/>
      </c>
      <c r="IB57" s="9">
        <f>HR57-HV57-HW57-HX57-HY57-HZ57-IA57</f>
        <v/>
      </c>
      <c r="IC57" s="9">
        <f>IC56+HO57-(HV57+HW57+HX57+HY57+HZ57+IA57+HT57)</f>
        <v/>
      </c>
      <c r="ID57" s="12">
        <f>IF(HI57&gt;0,HJ57/HI57,0)</f>
        <v/>
      </c>
      <c r="IE57" s="11">
        <f>IF(HI56&gt;0,MAX(0,(HI56+GT57-HI57)/HI56),0)</f>
        <v/>
      </c>
      <c r="IG57" s="12" t="n">
        <v>53</v>
      </c>
      <c r="IH57" s="12">
        <f>MOD(IG57-1+LaunchMonth-1,12)+1</f>
        <v/>
      </c>
      <c r="II57" s="12">
        <f>INT((IG57-1+LaunchMonth-1)/12)+1</f>
        <v/>
      </c>
      <c r="IJ57" s="12">
        <f>VLOOKUP(IH57,SeasonTable,2,FALSE)</f>
        <v/>
      </c>
      <c r="IK57" s="12">
        <f>(1+InflationRate)^INT((IG57-1)/12)</f>
        <v/>
      </c>
      <c r="IL57" s="11">
        <f>'Sens - Churn'!$A$15*VLOOKUP(IH57,ChurnSeasonTable,4,FALSE)</f>
        <v/>
      </c>
      <c r="IM57" s="12">
        <f>MIN(MAX(MktMin19plus,JK56*MktPct19plus),MAX(0,JY56-CashBuffer))</f>
        <v/>
      </c>
      <c r="IN57" s="12">
        <f>IF(IM57&gt;0,MAX(1,ROUND(IM57/CAC*IJ57,0)),0)</f>
        <v/>
      </c>
      <c r="IO57" s="12">
        <f>IF(IN57&gt;0,ROUND(IN57*ReferralMix/(1-ReferralMix),0),0)</f>
        <v/>
      </c>
      <c r="IP57" s="12">
        <f>IN57+IO57</f>
        <v/>
      </c>
      <c r="IQ57" s="12">
        <f>ROUND(IP57*(1-AnnualMix),0)</f>
        <v/>
      </c>
      <c r="IR57" s="12">
        <f>IP57-IQ57</f>
        <v/>
      </c>
      <c r="IS57" s="12">
        <f>ROUND(IQ57*EssentialMix,0)</f>
        <v/>
      </c>
      <c r="IT57" s="12">
        <f>ROUND(IQ57*PremiumMix,0)</f>
        <v/>
      </c>
      <c r="IU57" s="12">
        <f>IQ57-IS57-IT57</f>
        <v/>
      </c>
      <c r="IV57" s="12">
        <f>ROUND(IR57*EssentialMix,0)</f>
        <v/>
      </c>
      <c r="IW57" s="12">
        <f>ROUND(IR57*PremiumMix,0)</f>
        <v/>
      </c>
      <c r="IX57" s="12">
        <f>IR57-IV57-IW57</f>
        <v/>
      </c>
      <c r="IY57" s="12">
        <f>IS57+IS56+IS55+MAX(0,IY56-IS56-IS55)*(1-IL57)</f>
        <v/>
      </c>
      <c r="IZ57" s="12">
        <f>IT57+IT56+IT55+MAX(0,IZ56-IT56-IT55)*(1-IL57)</f>
        <v/>
      </c>
      <c r="JA57" s="12">
        <f>IU57+IU56+IU55+MAX(0,JA56-IU56-IU55)*(1-IL57)</f>
        <v/>
      </c>
      <c r="JB57" s="12">
        <f>JB56+IV57-IV45*(AnnualChurn*VLOOKUP(IH57,ChurnSeasonTable,4,FALSE))*POWER(1-(AnnualChurn*VLOOKUP(IH57,ChurnSeasonTable,4,FALSE)),0)+IV33*(AnnualChurn*VLOOKUP(IH57,ChurnSeasonTable,4,FALSE))*POWER(1-(AnnualChurn*VLOOKUP(IH57,ChurnSeasonTable,4,FALSE)),1)+IV21*(AnnualChurn*VLOOKUP(IH57,ChurnSeasonTable,4,FALSE))*POWER(1-(AnnualChurn*VLOOKUP(IH57,ChurnSeasonTable,4,FALSE)),2)+IV9*(AnnualChurn*VLOOKUP(IH57,ChurnSeasonTable,4,FALSE))*POWER(1-(AnnualChurn*VLOOKUP(IH57,ChurnSeasonTable,4,FALSE)),3)</f>
        <v/>
      </c>
      <c r="JC57" s="12">
        <f>JC56+IW57-IW45*(AnnualChurn*VLOOKUP(IH57,ChurnSeasonTable,4,FALSE))*POWER(1-(AnnualChurn*VLOOKUP(IH57,ChurnSeasonTable,4,FALSE)),0)+IW33*(AnnualChurn*VLOOKUP(IH57,ChurnSeasonTable,4,FALSE))*POWER(1-(AnnualChurn*VLOOKUP(IH57,ChurnSeasonTable,4,FALSE)),1)+IW21*(AnnualChurn*VLOOKUP(IH57,ChurnSeasonTable,4,FALSE))*POWER(1-(AnnualChurn*VLOOKUP(IH57,ChurnSeasonTable,4,FALSE)),2)+IW9*(AnnualChurn*VLOOKUP(IH57,ChurnSeasonTable,4,FALSE))*POWER(1-(AnnualChurn*VLOOKUP(IH57,ChurnSeasonTable,4,FALSE)),3)</f>
        <v/>
      </c>
      <c r="JD57" s="12">
        <f>JD56+IX57-IX45*(AnnualChurn*VLOOKUP(IH57,ChurnSeasonTable,4,FALSE))*POWER(1-(AnnualChurn*VLOOKUP(IH57,ChurnSeasonTable,4,FALSE)),0)+IX33*(AnnualChurn*VLOOKUP(IH57,ChurnSeasonTable,4,FALSE))*POWER(1-(AnnualChurn*VLOOKUP(IH57,ChurnSeasonTable,4,FALSE)),1)+IX21*(AnnualChurn*VLOOKUP(IH57,ChurnSeasonTable,4,FALSE))*POWER(1-(AnnualChurn*VLOOKUP(IH57,ChurnSeasonTable,4,FALSE)),2)+IX9*(AnnualChurn*VLOOKUP(IH57,ChurnSeasonTable,4,FALSE))*POWER(1-(AnnualChurn*VLOOKUP(IH57,ChurnSeasonTable,4,FALSE)),3)</f>
        <v/>
      </c>
      <c r="JE57" s="12">
        <f>IY57+IZ57+JA57+JB57+JC57+JD57</f>
        <v/>
      </c>
      <c r="JF57" s="9">
        <f>IY57*BlendedPriceEssMonthly*IK57+IZ57*BlendedPricePremMonthly*IK57+JA57*BlendedPriceEliteMonthly*IK57+JB57*BlendedPriceEssAnnual*IK57/12+JC57*BlendedPricePremAnnual*IK57/12+JD57*BlendedPriceEliteAnnual*IK57/12</f>
        <v/>
      </c>
      <c r="JG57" s="9">
        <f>JF57*12</f>
        <v/>
      </c>
      <c r="JH57" s="12">
        <f>IY57*BlendedPriceEssMonthly*IK57+IZ57*BlendedPricePremMonthly*IK57+JA57*BlendedPriceEliteMonthly*IK57</f>
        <v/>
      </c>
      <c r="JI57" s="12">
        <f>IV57*BlendedPriceEssAnnual*IK57+IW57*BlendedPricePremAnnual*IK57+IX57*BlendedPriceEliteAnnual*IK57</f>
        <v/>
      </c>
      <c r="JJ57" s="12">
        <f>IV45*POWER(1-(AnnualChurn*VLOOKUP(IH57,ChurnSeasonTable,4,FALSE)),1)*BlendedPriceEssAnnual*IK57+IV33*POWER(1-(AnnualChurn*VLOOKUP(IH57,ChurnSeasonTable,4,FALSE)),2)*BlendedPriceEssAnnual*IK57+IV21*POWER(1-(AnnualChurn*VLOOKUP(IH57,ChurnSeasonTable,4,FALSE)),3)*BlendedPriceEssAnnual*IK57+IV9*POWER(1-(AnnualChurn*VLOOKUP(IH57,ChurnSeasonTable,4,FALSE)),4)*BlendedPriceEssAnnual*IK57+IW45*POWER(1-(AnnualChurn*VLOOKUP(IH57,ChurnSeasonTable,4,FALSE)),1)*BlendedPricePremAnnual*IK57+IW33*POWER(1-(AnnualChurn*VLOOKUP(IH57,ChurnSeasonTable,4,FALSE)),2)*BlendedPricePremAnnual*IK57+IW21*POWER(1-(AnnualChurn*VLOOKUP(IH57,ChurnSeasonTable,4,FALSE)),3)*BlendedPricePremAnnual*IK57+IW9*POWER(1-(AnnualChurn*VLOOKUP(IH57,ChurnSeasonTable,4,FALSE)),4)*BlendedPricePremAnnual*IK57+IX45*POWER(1-(AnnualChurn*VLOOKUP(IH57,ChurnSeasonTable,4,FALSE)),1)*BlendedPriceEliteAnnual*IK57+IX33*POWER(1-(AnnualChurn*VLOOKUP(IH57,ChurnSeasonTable,4,FALSE)),2)*BlendedPriceEliteAnnual*IK57+IX21*POWER(1-(AnnualChurn*VLOOKUP(IH57,ChurnSeasonTable,4,FALSE)),3)*BlendedPriceEliteAnnual*IK57+IX9*POWER(1-(AnnualChurn*VLOOKUP(IH57,ChurnSeasonTable,4,FALSE)),4)*BlendedPriceEliteAnnual*IK57</f>
        <v/>
      </c>
      <c r="JK57" s="9">
        <f>JH57+JI57+JJ57</f>
        <v/>
      </c>
      <c r="JL57" s="12">
        <f>SUM(JK46:JK57)</f>
        <v/>
      </c>
      <c r="JM57" s="12">
        <f>OR(JM56,IF(VATAgentMode,SUM($JK46:$JK57)-SUM($JR46:$JR57)&gt;=VATThreshold,SUM($JK46:$JK57)&gt;=VATThreshold))</f>
        <v/>
      </c>
      <c r="JN57" s="9">
        <f>IF(JM57,IF(VATAgentMode,JK57-((JK57-JR57)-(JK57-JR57)/(1+VATRate)),JK57/(1+VATRate)),JK57)</f>
        <v/>
      </c>
      <c r="JO57" s="12">
        <f>JK57-JN57</f>
        <v/>
      </c>
      <c r="JP57" s="12">
        <f>IF(JM57=0,0,IF(IH57=1,SUMPRODUCT(--(($II$5:$II57=$II57-1)*($IH$5:$IH57&gt;=10)*($IH$5:$IH57&lt;=12)),$JO$5:$JO57),IF(IH57=4,SUMPRODUCT(--(($II$5:$II57=$II57)*($IH$5:$IH57&gt;=1)*($IH$5:$IH57&lt;=3)),$JO$5:$JO57),IF(IH57=7,SUMPRODUCT(--(($II$5:$II57=$II57)*($IH$5:$IH57&gt;=4)*($IH$5:$IH57&lt;=6)),$JO$5:$JO57),IF(IH57=10,SUMPRODUCT(--(($II$5:$II57=$II57)*($IH$5:$IH57&gt;=7)*($IH$5:$IH57&lt;=9)),$JO$5:$JO57),0)))))</f>
        <v/>
      </c>
      <c r="JQ57" s="12">
        <f>JQ56+JO57-JP57</f>
        <v/>
      </c>
      <c r="JR57" s="12">
        <f>IF(ProviderDelay&gt;=1,IY56*BlendedProvPayEss+IZ56*BlendedProvPayPrem+JA56*BlendedProvPayElite+JB56*BlendedProvPayEss+JC56*BlendedProvPayPrem+JD56*BlendedProvPayElite,IY57*BlendedProvPayEss+IZ57*BlendedProvPayPrem+JA57*BlendedProvPayElite+JB57*BlendedProvPayEss+JC57*BlendedProvPayPrem+JD57*BlendedProvPayElite)</f>
        <v/>
      </c>
      <c r="JS57" s="12">
        <f>JK57*PaymentFee</f>
        <v/>
      </c>
      <c r="JT57" s="12">
        <f>JE57*OpsAI</f>
        <v/>
      </c>
      <c r="JU57" s="12">
        <f>MonthlyFixed</f>
        <v/>
      </c>
      <c r="JV57" s="12">
        <f>IO57*ReferralReward</f>
        <v/>
      </c>
      <c r="JW57" s="12">
        <f>IM57</f>
        <v/>
      </c>
      <c r="JX57" s="9">
        <f>JN57-JR57-JS57-JT57-JU57-JV57-JW57</f>
        <v/>
      </c>
      <c r="JY57" s="9">
        <f>JY56+JK57-(JR57+JS57+JT57+JU57+JV57+JW57+JP57)</f>
        <v/>
      </c>
      <c r="JZ57" s="12">
        <f>IF(JE57&gt;0,JF57/JE57,0)</f>
        <v/>
      </c>
      <c r="KA57" s="11">
        <f>IF(JE56&gt;0,MAX(0,(JE56+IP57-JE57)/JE56),0)</f>
        <v/>
      </c>
      <c r="KC57" s="12" t="n">
        <v>53</v>
      </c>
      <c r="KD57" s="12">
        <f>MOD(KC57-1+LaunchMonth-1,12)+1</f>
        <v/>
      </c>
      <c r="KE57" s="12">
        <f>INT((KC57-1+LaunchMonth-1)/12)+1</f>
        <v/>
      </c>
      <c r="KF57" s="12">
        <f>VLOOKUP(KD57,SeasonTable,2,FALSE)</f>
        <v/>
      </c>
      <c r="KG57" s="12">
        <f>(1+InflationRate)^INT((KC57-1)/12)</f>
        <v/>
      </c>
      <c r="KH57" s="11">
        <f>'Sens - Churn'!$A$16*VLOOKUP(KD57,ChurnSeasonTable,4,FALSE)</f>
        <v/>
      </c>
      <c r="KI57" s="12">
        <f>MIN(MAX(MktMin19plus,LG56*MktPct19plus),MAX(0,LU56-CashBuffer))</f>
        <v/>
      </c>
      <c r="KJ57" s="12">
        <f>IF(KI57&gt;0,MAX(1,ROUND(KI57/CAC*KF57,0)),0)</f>
        <v/>
      </c>
      <c r="KK57" s="12">
        <f>IF(KJ57&gt;0,ROUND(KJ57*ReferralMix/(1-ReferralMix),0),0)</f>
        <v/>
      </c>
      <c r="KL57" s="12">
        <f>KJ57+KK57</f>
        <v/>
      </c>
      <c r="KM57" s="12">
        <f>ROUND(KL57*(1-AnnualMix),0)</f>
        <v/>
      </c>
      <c r="KN57" s="12">
        <f>KL57-KM57</f>
        <v/>
      </c>
      <c r="KO57" s="12">
        <f>ROUND(KM57*EssentialMix,0)</f>
        <v/>
      </c>
      <c r="KP57" s="12">
        <f>ROUND(KM57*PremiumMix,0)</f>
        <v/>
      </c>
      <c r="KQ57" s="12">
        <f>KM57-KO57-KP57</f>
        <v/>
      </c>
      <c r="KR57" s="12">
        <f>ROUND(KN57*EssentialMix,0)</f>
        <v/>
      </c>
      <c r="KS57" s="12">
        <f>ROUND(KN57*PremiumMix,0)</f>
        <v/>
      </c>
      <c r="KT57" s="12">
        <f>KN57-KR57-KS57</f>
        <v/>
      </c>
      <c r="KU57" s="12">
        <f>KO57+KO56+KO55+MAX(0,KU56-KO56-KO55)*(1-KH57)</f>
        <v/>
      </c>
      <c r="KV57" s="12">
        <f>KP57+KP56+KP55+MAX(0,KV56-KP56-KP55)*(1-KH57)</f>
        <v/>
      </c>
      <c r="KW57" s="12">
        <f>KQ57+KQ56+KQ55+MAX(0,KW56-KQ56-KQ55)*(1-KH57)</f>
        <v/>
      </c>
      <c r="KX57" s="12">
        <f>KX56+KR57-KR45*(AnnualChurn*VLOOKUP(KD57,ChurnSeasonTable,4,FALSE))*POWER(1-(AnnualChurn*VLOOKUP(KD57,ChurnSeasonTable,4,FALSE)),0)+KR33*(AnnualChurn*VLOOKUP(KD57,ChurnSeasonTable,4,FALSE))*POWER(1-(AnnualChurn*VLOOKUP(KD57,ChurnSeasonTable,4,FALSE)),1)+KR21*(AnnualChurn*VLOOKUP(KD57,ChurnSeasonTable,4,FALSE))*POWER(1-(AnnualChurn*VLOOKUP(KD57,ChurnSeasonTable,4,FALSE)),2)+KR9*(AnnualChurn*VLOOKUP(KD57,ChurnSeasonTable,4,FALSE))*POWER(1-(AnnualChurn*VLOOKUP(KD57,ChurnSeasonTable,4,FALSE)),3)</f>
        <v/>
      </c>
      <c r="KY57" s="12">
        <f>KY56+KS57-KS45*(AnnualChurn*VLOOKUP(KD57,ChurnSeasonTable,4,FALSE))*POWER(1-(AnnualChurn*VLOOKUP(KD57,ChurnSeasonTable,4,FALSE)),0)+KS33*(AnnualChurn*VLOOKUP(KD57,ChurnSeasonTable,4,FALSE))*POWER(1-(AnnualChurn*VLOOKUP(KD57,ChurnSeasonTable,4,FALSE)),1)+KS21*(AnnualChurn*VLOOKUP(KD57,ChurnSeasonTable,4,FALSE))*POWER(1-(AnnualChurn*VLOOKUP(KD57,ChurnSeasonTable,4,FALSE)),2)+KS9*(AnnualChurn*VLOOKUP(KD57,ChurnSeasonTable,4,FALSE))*POWER(1-(AnnualChurn*VLOOKUP(KD57,ChurnSeasonTable,4,FALSE)),3)</f>
        <v/>
      </c>
      <c r="KZ57" s="12">
        <f>KZ56+KT57-KT45*(AnnualChurn*VLOOKUP(KD57,ChurnSeasonTable,4,FALSE))*POWER(1-(AnnualChurn*VLOOKUP(KD57,ChurnSeasonTable,4,FALSE)),0)+KT33*(AnnualChurn*VLOOKUP(KD57,ChurnSeasonTable,4,FALSE))*POWER(1-(AnnualChurn*VLOOKUP(KD57,ChurnSeasonTable,4,FALSE)),1)+KT21*(AnnualChurn*VLOOKUP(KD57,ChurnSeasonTable,4,FALSE))*POWER(1-(AnnualChurn*VLOOKUP(KD57,ChurnSeasonTable,4,FALSE)),2)+KT9*(AnnualChurn*VLOOKUP(KD57,ChurnSeasonTable,4,FALSE))*POWER(1-(AnnualChurn*VLOOKUP(KD57,ChurnSeasonTable,4,FALSE)),3)</f>
        <v/>
      </c>
      <c r="LA57" s="12">
        <f>KU57+KV57+KW57+KX57+KY57+KZ57</f>
        <v/>
      </c>
      <c r="LB57" s="9">
        <f>KU57*BlendedPriceEssMonthly*KG57+KV57*BlendedPricePremMonthly*KG57+KW57*BlendedPriceEliteMonthly*KG57+KX57*BlendedPriceEssAnnual*KG57/12+KY57*BlendedPricePremAnnual*KG57/12+KZ57*BlendedPriceEliteAnnual*KG57/12</f>
        <v/>
      </c>
      <c r="LC57" s="9">
        <f>LB57*12</f>
        <v/>
      </c>
      <c r="LD57" s="12">
        <f>KU57*BlendedPriceEssMonthly*KG57+KV57*BlendedPricePremMonthly*KG57+KW57*BlendedPriceEliteMonthly*KG57</f>
        <v/>
      </c>
      <c r="LE57" s="12">
        <f>KR57*BlendedPriceEssAnnual*KG57+KS57*BlendedPricePremAnnual*KG57+KT57*BlendedPriceEliteAnnual*KG57</f>
        <v/>
      </c>
      <c r="LF57" s="12">
        <f>KR45*POWER(1-(AnnualChurn*VLOOKUP(KD57,ChurnSeasonTable,4,FALSE)),1)*BlendedPriceEssAnnual*KG57+KR33*POWER(1-(AnnualChurn*VLOOKUP(KD57,ChurnSeasonTable,4,FALSE)),2)*BlendedPriceEssAnnual*KG57+KR21*POWER(1-(AnnualChurn*VLOOKUP(KD57,ChurnSeasonTable,4,FALSE)),3)*BlendedPriceEssAnnual*KG57+KR9*POWER(1-(AnnualChurn*VLOOKUP(KD57,ChurnSeasonTable,4,FALSE)),4)*BlendedPriceEssAnnual*KG57+KS45*POWER(1-(AnnualChurn*VLOOKUP(KD57,ChurnSeasonTable,4,FALSE)),1)*BlendedPricePremAnnual*KG57+KS33*POWER(1-(AnnualChurn*VLOOKUP(KD57,ChurnSeasonTable,4,FALSE)),2)*BlendedPricePremAnnual*KG57+KS21*POWER(1-(AnnualChurn*VLOOKUP(KD57,ChurnSeasonTable,4,FALSE)),3)*BlendedPricePremAnnual*KG57+KS9*POWER(1-(AnnualChurn*VLOOKUP(KD57,ChurnSeasonTable,4,FALSE)),4)*BlendedPricePremAnnual*KG57+KT45*POWER(1-(AnnualChurn*VLOOKUP(KD57,ChurnSeasonTable,4,FALSE)),1)*BlendedPriceEliteAnnual*KG57+KT33*POWER(1-(AnnualChurn*VLOOKUP(KD57,ChurnSeasonTable,4,FALSE)),2)*BlendedPriceEliteAnnual*KG57+KT21*POWER(1-(AnnualChurn*VLOOKUP(KD57,ChurnSeasonTable,4,FALSE)),3)*BlendedPriceEliteAnnual*KG57+KT9*POWER(1-(AnnualChurn*VLOOKUP(KD57,ChurnSeasonTable,4,FALSE)),4)*BlendedPriceEliteAnnual*KG57</f>
        <v/>
      </c>
      <c r="LG57" s="9">
        <f>LD57+LE57+LF57</f>
        <v/>
      </c>
      <c r="LH57" s="12">
        <f>SUM(LG46:LG57)</f>
        <v/>
      </c>
      <c r="LI57" s="12">
        <f>OR(LI56,IF(VATAgentMode,SUM($LG46:$LG57)-SUM($LN46:$LN57)&gt;=VATThreshold,SUM($LG46:$LG57)&gt;=VATThreshold))</f>
        <v/>
      </c>
      <c r="LJ57" s="9">
        <f>IF(LI57,IF(VATAgentMode,LG57-((LG57-LN57)-(LG57-LN57)/(1+VATRate)),LG57/(1+VATRate)),LG57)</f>
        <v/>
      </c>
      <c r="LK57" s="12">
        <f>LG57-LJ57</f>
        <v/>
      </c>
      <c r="LL57" s="12">
        <f>IF(LI57=0,0,IF(KD57=1,SUMPRODUCT(--(($KE$5:$KE57=$KE57-1)*($KD$5:$KD57&gt;=10)*($KD$5:$KD57&lt;=12)),$LK$5:$LK57),IF(KD57=4,SUMPRODUCT(--(($KE$5:$KE57=$KE57)*($KD$5:$KD57&gt;=1)*($KD$5:$KD57&lt;=3)),$LK$5:$LK57),IF(KD57=7,SUMPRODUCT(--(($KE$5:$KE57=$KE57)*($KD$5:$KD57&gt;=4)*($KD$5:$KD57&lt;=6)),$LK$5:$LK57),IF(KD57=10,SUMPRODUCT(--(($KE$5:$KE57=$KE57)*($KD$5:$KD57&gt;=7)*($KD$5:$KD57&lt;=9)),$LK$5:$LK57),0)))))</f>
        <v/>
      </c>
      <c r="LM57" s="12">
        <f>LM56+LK57-LL57</f>
        <v/>
      </c>
      <c r="LN57" s="12">
        <f>IF(ProviderDelay&gt;=1,KU56*BlendedProvPayEss+KV56*BlendedProvPayPrem+KW56*BlendedProvPayElite+KX56*BlendedProvPayEss+KY56*BlendedProvPayPrem+KZ56*BlendedProvPayElite,KU57*BlendedProvPayEss+KV57*BlendedProvPayPrem+KW57*BlendedProvPayElite+KX57*BlendedProvPayEss+KY57*BlendedProvPayPrem+KZ57*BlendedProvPayElite)</f>
        <v/>
      </c>
      <c r="LO57" s="12">
        <f>LG57*PaymentFee</f>
        <v/>
      </c>
      <c r="LP57" s="12">
        <f>LA57*OpsAI</f>
        <v/>
      </c>
      <c r="LQ57" s="12">
        <f>MonthlyFixed</f>
        <v/>
      </c>
      <c r="LR57" s="12">
        <f>KK57*ReferralReward</f>
        <v/>
      </c>
      <c r="LS57" s="12">
        <f>KI57</f>
        <v/>
      </c>
      <c r="LT57" s="9">
        <f>LJ57-LN57-LO57-LP57-LQ57-LR57-LS57</f>
        <v/>
      </c>
      <c r="LU57" s="9">
        <f>LU56+LG57-(LN57+LO57+LP57+LQ57+LR57+LS57+LL57)</f>
        <v/>
      </c>
      <c r="LV57" s="12">
        <f>IF(LA57&gt;0,LB57/LA57,0)</f>
        <v/>
      </c>
      <c r="LW57" s="11">
        <f>IF(LA56&gt;0,MAX(0,(LA56+KL57-LA57)/LA56),0)</f>
        <v/>
      </c>
      <c r="LY57" s="12" t="n">
        <v>53</v>
      </c>
      <c r="LZ57" s="12">
        <f>MOD(LY57-1+LaunchMonth-1,12)+1</f>
        <v/>
      </c>
      <c r="MA57" s="12">
        <f>INT((LY57-1+LaunchMonth-1)/12)+1</f>
        <v/>
      </c>
      <c r="MB57" s="12">
        <f>VLOOKUP(LZ57,SeasonTable,2,FALSE)</f>
        <v/>
      </c>
      <c r="MC57" s="12">
        <f>(1+InflationRate)^INT((LY57-1)/12)</f>
        <v/>
      </c>
      <c r="MD57" s="11">
        <f>'Sens - Churn'!$A$17*VLOOKUP(LZ57,ChurnSeasonTable,4,FALSE)</f>
        <v/>
      </c>
      <c r="ME57" s="12">
        <f>MIN(MAX(MktMin19plus,NC56*MktPct19plus),MAX(0,NQ56-CashBuffer))</f>
        <v/>
      </c>
      <c r="MF57" s="12">
        <f>IF(ME57&gt;0,MAX(1,ROUND(ME57/CAC*MB57,0)),0)</f>
        <v/>
      </c>
      <c r="MG57" s="12">
        <f>IF(MF57&gt;0,ROUND(MF57*ReferralMix/(1-ReferralMix),0),0)</f>
        <v/>
      </c>
      <c r="MH57" s="12">
        <f>MF57+MG57</f>
        <v/>
      </c>
      <c r="MI57" s="12">
        <f>ROUND(MH57*(1-AnnualMix),0)</f>
        <v/>
      </c>
      <c r="MJ57" s="12">
        <f>MH57-MI57</f>
        <v/>
      </c>
      <c r="MK57" s="12">
        <f>ROUND(MI57*EssentialMix,0)</f>
        <v/>
      </c>
      <c r="ML57" s="12">
        <f>ROUND(MI57*PremiumMix,0)</f>
        <v/>
      </c>
      <c r="MM57" s="12">
        <f>MI57-MK57-ML57</f>
        <v/>
      </c>
      <c r="MN57" s="12">
        <f>ROUND(MJ57*EssentialMix,0)</f>
        <v/>
      </c>
      <c r="MO57" s="12">
        <f>ROUND(MJ57*PremiumMix,0)</f>
        <v/>
      </c>
      <c r="MP57" s="12">
        <f>MJ57-MN57-MO57</f>
        <v/>
      </c>
      <c r="MQ57" s="12">
        <f>MK57+MK56+MK55+MAX(0,MQ56-MK56-MK55)*(1-MD57)</f>
        <v/>
      </c>
      <c r="MR57" s="12">
        <f>ML57+ML56+ML55+MAX(0,MR56-ML56-ML55)*(1-MD57)</f>
        <v/>
      </c>
      <c r="MS57" s="12">
        <f>MM57+MM56+MM55+MAX(0,MS56-MM56-MM55)*(1-MD57)</f>
        <v/>
      </c>
      <c r="MT57" s="12">
        <f>MT56+MN57-MN45*(AnnualChurn*VLOOKUP(LZ57,ChurnSeasonTable,4,FALSE))*POWER(1-(AnnualChurn*VLOOKUP(LZ57,ChurnSeasonTable,4,FALSE)),0)+MN33*(AnnualChurn*VLOOKUP(LZ57,ChurnSeasonTable,4,FALSE))*POWER(1-(AnnualChurn*VLOOKUP(LZ57,ChurnSeasonTable,4,FALSE)),1)+MN21*(AnnualChurn*VLOOKUP(LZ57,ChurnSeasonTable,4,FALSE))*POWER(1-(AnnualChurn*VLOOKUP(LZ57,ChurnSeasonTable,4,FALSE)),2)+MN9*(AnnualChurn*VLOOKUP(LZ57,ChurnSeasonTable,4,FALSE))*POWER(1-(AnnualChurn*VLOOKUP(LZ57,ChurnSeasonTable,4,FALSE)),3)</f>
        <v/>
      </c>
      <c r="MU57" s="12">
        <f>MU56+MO57-MO45*(AnnualChurn*VLOOKUP(LZ57,ChurnSeasonTable,4,FALSE))*POWER(1-(AnnualChurn*VLOOKUP(LZ57,ChurnSeasonTable,4,FALSE)),0)+MO33*(AnnualChurn*VLOOKUP(LZ57,ChurnSeasonTable,4,FALSE))*POWER(1-(AnnualChurn*VLOOKUP(LZ57,ChurnSeasonTable,4,FALSE)),1)+MO21*(AnnualChurn*VLOOKUP(LZ57,ChurnSeasonTable,4,FALSE))*POWER(1-(AnnualChurn*VLOOKUP(LZ57,ChurnSeasonTable,4,FALSE)),2)+MO9*(AnnualChurn*VLOOKUP(LZ57,ChurnSeasonTable,4,FALSE))*POWER(1-(AnnualChurn*VLOOKUP(LZ57,ChurnSeasonTable,4,FALSE)),3)</f>
        <v/>
      </c>
      <c r="MV57" s="12">
        <f>MV56+MP57-MP45*(AnnualChurn*VLOOKUP(LZ57,ChurnSeasonTable,4,FALSE))*POWER(1-(AnnualChurn*VLOOKUP(LZ57,ChurnSeasonTable,4,FALSE)),0)+MP33*(AnnualChurn*VLOOKUP(LZ57,ChurnSeasonTable,4,FALSE))*POWER(1-(AnnualChurn*VLOOKUP(LZ57,ChurnSeasonTable,4,FALSE)),1)+MP21*(AnnualChurn*VLOOKUP(LZ57,ChurnSeasonTable,4,FALSE))*POWER(1-(AnnualChurn*VLOOKUP(LZ57,ChurnSeasonTable,4,FALSE)),2)+MP9*(AnnualChurn*VLOOKUP(LZ57,ChurnSeasonTable,4,FALSE))*POWER(1-(AnnualChurn*VLOOKUP(LZ57,ChurnSeasonTable,4,FALSE)),3)</f>
        <v/>
      </c>
      <c r="MW57" s="12">
        <f>MQ57+MR57+MS57+MT57+MU57+MV57</f>
        <v/>
      </c>
      <c r="MX57" s="9">
        <f>MQ57*BlendedPriceEssMonthly*MC57+MR57*BlendedPricePremMonthly*MC57+MS57*BlendedPriceEliteMonthly*MC57+MT57*BlendedPriceEssAnnual*MC57/12+MU57*BlendedPricePremAnnual*MC57/12+MV57*BlendedPriceEliteAnnual*MC57/12</f>
        <v/>
      </c>
      <c r="MY57" s="9">
        <f>MX57*12</f>
        <v/>
      </c>
      <c r="MZ57" s="12">
        <f>MQ57*BlendedPriceEssMonthly*MC57+MR57*BlendedPricePremMonthly*MC57+MS57*BlendedPriceEliteMonthly*MC57</f>
        <v/>
      </c>
      <c r="NA57" s="12">
        <f>MN57*BlendedPriceEssAnnual*MC57+MO57*BlendedPricePremAnnual*MC57+MP57*BlendedPriceEliteAnnual*MC57</f>
        <v/>
      </c>
      <c r="NB57" s="12">
        <f>MN45*POWER(1-(AnnualChurn*VLOOKUP(LZ57,ChurnSeasonTable,4,FALSE)),1)*BlendedPriceEssAnnual*MC57+MN33*POWER(1-(AnnualChurn*VLOOKUP(LZ57,ChurnSeasonTable,4,FALSE)),2)*BlendedPriceEssAnnual*MC57+MN21*POWER(1-(AnnualChurn*VLOOKUP(LZ57,ChurnSeasonTable,4,FALSE)),3)*BlendedPriceEssAnnual*MC57+MN9*POWER(1-(AnnualChurn*VLOOKUP(LZ57,ChurnSeasonTable,4,FALSE)),4)*BlendedPriceEssAnnual*MC57+MO45*POWER(1-(AnnualChurn*VLOOKUP(LZ57,ChurnSeasonTable,4,FALSE)),1)*BlendedPricePremAnnual*MC57+MO33*POWER(1-(AnnualChurn*VLOOKUP(LZ57,ChurnSeasonTable,4,FALSE)),2)*BlendedPricePremAnnual*MC57+MO21*POWER(1-(AnnualChurn*VLOOKUP(LZ57,ChurnSeasonTable,4,FALSE)),3)*BlendedPricePremAnnual*MC57+MO9*POWER(1-(AnnualChurn*VLOOKUP(LZ57,ChurnSeasonTable,4,FALSE)),4)*BlendedPricePremAnnual*MC57+MP45*POWER(1-(AnnualChurn*VLOOKUP(LZ57,ChurnSeasonTable,4,FALSE)),1)*BlendedPriceEliteAnnual*MC57+MP33*POWER(1-(AnnualChurn*VLOOKUP(LZ57,ChurnSeasonTable,4,FALSE)),2)*BlendedPriceEliteAnnual*MC57+MP21*POWER(1-(AnnualChurn*VLOOKUP(LZ57,ChurnSeasonTable,4,FALSE)),3)*BlendedPriceEliteAnnual*MC57+MP9*POWER(1-(AnnualChurn*VLOOKUP(LZ57,ChurnSeasonTable,4,FALSE)),4)*BlendedPriceEliteAnnual*MC57</f>
        <v/>
      </c>
      <c r="NC57" s="9">
        <f>MZ57+NA57+NB57</f>
        <v/>
      </c>
      <c r="ND57" s="12">
        <f>SUM(NC46:NC57)</f>
        <v/>
      </c>
      <c r="NE57" s="12">
        <f>OR(NE56,IF(VATAgentMode,SUM($NC46:$NC57)-SUM($NJ46:$NJ57)&gt;=VATThreshold,SUM($NC46:$NC57)&gt;=VATThreshold))</f>
        <v/>
      </c>
      <c r="NF57" s="9">
        <f>IF(NE57,IF(VATAgentMode,NC57-((NC57-NJ57)-(NC57-NJ57)/(1+VATRate)),NC57/(1+VATRate)),NC57)</f>
        <v/>
      </c>
      <c r="NG57" s="12">
        <f>NC57-NF57</f>
        <v/>
      </c>
      <c r="NH57" s="12">
        <f>IF(NE57=0,0,IF(LZ57=1,SUMPRODUCT(--(($MA$5:$MA57=$MA57-1)*($LZ$5:$LZ57&gt;=10)*($LZ$5:$LZ57&lt;=12)),$NG$5:$NG57),IF(LZ57=4,SUMPRODUCT(--(($MA$5:$MA57=$MA57)*($LZ$5:$LZ57&gt;=1)*($LZ$5:$LZ57&lt;=3)),$NG$5:$NG57),IF(LZ57=7,SUMPRODUCT(--(($MA$5:$MA57=$MA57)*($LZ$5:$LZ57&gt;=4)*($LZ$5:$LZ57&lt;=6)),$NG$5:$NG57),IF(LZ57=10,SUMPRODUCT(--(($MA$5:$MA57=$MA57)*($LZ$5:$LZ57&gt;=7)*($LZ$5:$LZ57&lt;=9)),$NG$5:$NG57),0)))))</f>
        <v/>
      </c>
      <c r="NI57" s="12">
        <f>NI56+NG57-NH57</f>
        <v/>
      </c>
      <c r="NJ57" s="12">
        <f>IF(ProviderDelay&gt;=1,MQ56*BlendedProvPayEss+MR56*BlendedProvPayPrem+MS56*BlendedProvPayElite+MT56*BlendedProvPayEss+MU56*BlendedProvPayPrem+MV56*BlendedProvPayElite,MQ57*BlendedProvPayEss+MR57*BlendedProvPayPrem+MS57*BlendedProvPayElite+MT57*BlendedProvPayEss+MU57*BlendedProvPayPrem+MV57*BlendedProvPayElite)</f>
        <v/>
      </c>
      <c r="NK57" s="12">
        <f>NC57*PaymentFee</f>
        <v/>
      </c>
      <c r="NL57" s="12">
        <f>MW57*OpsAI</f>
        <v/>
      </c>
      <c r="NM57" s="12">
        <f>MonthlyFixed</f>
        <v/>
      </c>
      <c r="NN57" s="12">
        <f>MG57*ReferralReward</f>
        <v/>
      </c>
      <c r="NO57" s="12">
        <f>ME57</f>
        <v/>
      </c>
      <c r="NP57" s="9">
        <f>NF57-NJ57-NK57-NL57-NM57-NN57-NO57</f>
        <v/>
      </c>
      <c r="NQ57" s="9">
        <f>NQ56+NC57-(NJ57+NK57+NL57+NM57+NN57+NO57+NH57)</f>
        <v/>
      </c>
      <c r="NR57" s="12">
        <f>IF(MW57&gt;0,MX57/MW57,0)</f>
        <v/>
      </c>
      <c r="NS57" s="11">
        <f>IF(MW56&gt;0,MAX(0,(MW56+MH57-MW57)/MW56),0)</f>
        <v/>
      </c>
      <c r="NU57" s="12" t="n">
        <v>53</v>
      </c>
      <c r="NV57" s="12">
        <f>MOD(NU57-1+LaunchMonth-1,12)+1</f>
        <v/>
      </c>
      <c r="NW57" s="12">
        <f>INT((NU57-1+LaunchMonth-1)/12)+1</f>
        <v/>
      </c>
      <c r="NX57" s="12">
        <f>VLOOKUP(NV57,SeasonTable,2,FALSE)</f>
        <v/>
      </c>
      <c r="NY57" s="12">
        <f>(1+InflationRate)^INT((NU57-1)/12)</f>
        <v/>
      </c>
      <c r="NZ57" s="11">
        <f>'Sens - Churn'!$A$18*VLOOKUP(NV57,ChurnSeasonTable,4,FALSE)</f>
        <v/>
      </c>
      <c r="OA57" s="12">
        <f>MIN(MAX(MktMin19plus,OY56*MktPct19plus),MAX(0,PM56-CashBuffer))</f>
        <v/>
      </c>
      <c r="OB57" s="12">
        <f>IF(OA57&gt;0,MAX(1,ROUND(OA57/CAC*NX57,0)),0)</f>
        <v/>
      </c>
      <c r="OC57" s="12">
        <f>IF(OB57&gt;0,ROUND(OB57*ReferralMix/(1-ReferralMix),0),0)</f>
        <v/>
      </c>
      <c r="OD57" s="12">
        <f>OB57+OC57</f>
        <v/>
      </c>
      <c r="OE57" s="12">
        <f>ROUND(OD57*(1-AnnualMix),0)</f>
        <v/>
      </c>
      <c r="OF57" s="12">
        <f>OD57-OE57</f>
        <v/>
      </c>
      <c r="OG57" s="12">
        <f>ROUND(OE57*EssentialMix,0)</f>
        <v/>
      </c>
      <c r="OH57" s="12">
        <f>ROUND(OE57*PremiumMix,0)</f>
        <v/>
      </c>
      <c r="OI57" s="12">
        <f>OE57-OG57-OH57</f>
        <v/>
      </c>
      <c r="OJ57" s="12">
        <f>ROUND(OF57*EssentialMix,0)</f>
        <v/>
      </c>
      <c r="OK57" s="12">
        <f>ROUND(OF57*PremiumMix,0)</f>
        <v/>
      </c>
      <c r="OL57" s="12">
        <f>OF57-OJ57-OK57</f>
        <v/>
      </c>
      <c r="OM57" s="12">
        <f>OG57+OG56+OG55+MAX(0,OM56-OG56-OG55)*(1-NZ57)</f>
        <v/>
      </c>
      <c r="ON57" s="12">
        <f>OH57+OH56+OH55+MAX(0,ON56-OH56-OH55)*(1-NZ57)</f>
        <v/>
      </c>
      <c r="OO57" s="12">
        <f>OI57+OI56+OI55+MAX(0,OO56-OI56-OI55)*(1-NZ57)</f>
        <v/>
      </c>
      <c r="OP57" s="12">
        <f>OP56+OJ57-OJ45*(AnnualChurn*VLOOKUP(NV57,ChurnSeasonTable,4,FALSE))*POWER(1-(AnnualChurn*VLOOKUP(NV57,ChurnSeasonTable,4,FALSE)),0)+OJ33*(AnnualChurn*VLOOKUP(NV57,ChurnSeasonTable,4,FALSE))*POWER(1-(AnnualChurn*VLOOKUP(NV57,ChurnSeasonTable,4,FALSE)),1)+OJ21*(AnnualChurn*VLOOKUP(NV57,ChurnSeasonTable,4,FALSE))*POWER(1-(AnnualChurn*VLOOKUP(NV57,ChurnSeasonTable,4,FALSE)),2)+OJ9*(AnnualChurn*VLOOKUP(NV57,ChurnSeasonTable,4,FALSE))*POWER(1-(AnnualChurn*VLOOKUP(NV57,ChurnSeasonTable,4,FALSE)),3)</f>
        <v/>
      </c>
      <c r="OQ57" s="12">
        <f>OQ56+OK57-OK45*(AnnualChurn*VLOOKUP(NV57,ChurnSeasonTable,4,FALSE))*POWER(1-(AnnualChurn*VLOOKUP(NV57,ChurnSeasonTable,4,FALSE)),0)+OK33*(AnnualChurn*VLOOKUP(NV57,ChurnSeasonTable,4,FALSE))*POWER(1-(AnnualChurn*VLOOKUP(NV57,ChurnSeasonTable,4,FALSE)),1)+OK21*(AnnualChurn*VLOOKUP(NV57,ChurnSeasonTable,4,FALSE))*POWER(1-(AnnualChurn*VLOOKUP(NV57,ChurnSeasonTable,4,FALSE)),2)+OK9*(AnnualChurn*VLOOKUP(NV57,ChurnSeasonTable,4,FALSE))*POWER(1-(AnnualChurn*VLOOKUP(NV57,ChurnSeasonTable,4,FALSE)),3)</f>
        <v/>
      </c>
      <c r="OR57" s="12">
        <f>OR56+OL57-OL45*(AnnualChurn*VLOOKUP(NV57,ChurnSeasonTable,4,FALSE))*POWER(1-(AnnualChurn*VLOOKUP(NV57,ChurnSeasonTable,4,FALSE)),0)+OL33*(AnnualChurn*VLOOKUP(NV57,ChurnSeasonTable,4,FALSE))*POWER(1-(AnnualChurn*VLOOKUP(NV57,ChurnSeasonTable,4,FALSE)),1)+OL21*(AnnualChurn*VLOOKUP(NV57,ChurnSeasonTable,4,FALSE))*POWER(1-(AnnualChurn*VLOOKUP(NV57,ChurnSeasonTable,4,FALSE)),2)+OL9*(AnnualChurn*VLOOKUP(NV57,ChurnSeasonTable,4,FALSE))*POWER(1-(AnnualChurn*VLOOKUP(NV57,ChurnSeasonTable,4,FALSE)),3)</f>
        <v/>
      </c>
      <c r="OS57" s="12">
        <f>OM57+ON57+OO57+OP57+OQ57+OR57</f>
        <v/>
      </c>
      <c r="OT57" s="9">
        <f>OM57*BlendedPriceEssMonthly*NY57+ON57*BlendedPricePremMonthly*NY57+OO57*BlendedPriceEliteMonthly*NY57+OP57*BlendedPriceEssAnnual*NY57/12+OQ57*BlendedPricePremAnnual*NY57/12+OR57*BlendedPriceEliteAnnual*NY57/12</f>
        <v/>
      </c>
      <c r="OU57" s="9">
        <f>OT57*12</f>
        <v/>
      </c>
      <c r="OV57" s="12">
        <f>OM57*BlendedPriceEssMonthly*NY57+ON57*BlendedPricePremMonthly*NY57+OO57*BlendedPriceEliteMonthly*NY57</f>
        <v/>
      </c>
      <c r="OW57" s="12">
        <f>OJ57*BlendedPriceEssAnnual*NY57+OK57*BlendedPricePremAnnual*NY57+OL57*BlendedPriceEliteAnnual*NY57</f>
        <v/>
      </c>
      <c r="OX57" s="12">
        <f>OJ45*POWER(1-(AnnualChurn*VLOOKUP(NV57,ChurnSeasonTable,4,FALSE)),1)*BlendedPriceEssAnnual*NY57+OJ33*POWER(1-(AnnualChurn*VLOOKUP(NV57,ChurnSeasonTable,4,FALSE)),2)*BlendedPriceEssAnnual*NY57+OJ21*POWER(1-(AnnualChurn*VLOOKUP(NV57,ChurnSeasonTable,4,FALSE)),3)*BlendedPriceEssAnnual*NY57+OJ9*POWER(1-(AnnualChurn*VLOOKUP(NV57,ChurnSeasonTable,4,FALSE)),4)*BlendedPriceEssAnnual*NY57+OK45*POWER(1-(AnnualChurn*VLOOKUP(NV57,ChurnSeasonTable,4,FALSE)),1)*BlendedPricePremAnnual*NY57+OK33*POWER(1-(AnnualChurn*VLOOKUP(NV57,ChurnSeasonTable,4,FALSE)),2)*BlendedPricePremAnnual*NY57+OK21*POWER(1-(AnnualChurn*VLOOKUP(NV57,ChurnSeasonTable,4,FALSE)),3)*BlendedPricePremAnnual*NY57+OK9*POWER(1-(AnnualChurn*VLOOKUP(NV57,ChurnSeasonTable,4,FALSE)),4)*BlendedPricePremAnnual*NY57+OL45*POWER(1-(AnnualChurn*VLOOKUP(NV57,ChurnSeasonTable,4,FALSE)),1)*BlendedPriceEliteAnnual*NY57+OL33*POWER(1-(AnnualChurn*VLOOKUP(NV57,ChurnSeasonTable,4,FALSE)),2)*BlendedPriceEliteAnnual*NY57+OL21*POWER(1-(AnnualChurn*VLOOKUP(NV57,ChurnSeasonTable,4,FALSE)),3)*BlendedPriceEliteAnnual*NY57+OL9*POWER(1-(AnnualChurn*VLOOKUP(NV57,ChurnSeasonTable,4,FALSE)),4)*BlendedPriceEliteAnnual*NY57</f>
        <v/>
      </c>
      <c r="OY57" s="9">
        <f>OV57+OW57+OX57</f>
        <v/>
      </c>
      <c r="OZ57" s="12">
        <f>SUM(OY46:OY57)</f>
        <v/>
      </c>
      <c r="PA57" s="12">
        <f>OR(PA56,IF(VATAgentMode,SUM($OY46:$OY57)-SUM($PF46:$PF57)&gt;=VATThreshold,SUM($OY46:$OY57)&gt;=VATThreshold))</f>
        <v/>
      </c>
      <c r="PB57" s="9">
        <f>IF(PA57,IF(VATAgentMode,OY57-((OY57-PF57)-(OY57-PF57)/(1+VATRate)),OY57/(1+VATRate)),OY57)</f>
        <v/>
      </c>
      <c r="PC57" s="12">
        <f>OY57-PB57</f>
        <v/>
      </c>
      <c r="PD57" s="12">
        <f>IF(PA57=0,0,IF(NV57=1,SUMPRODUCT(--(($NW$5:$NW57=$NW57-1)*($NV$5:$NV57&gt;=10)*($NV$5:$NV57&lt;=12)),$PC$5:$PC57),IF(NV57=4,SUMPRODUCT(--(($NW$5:$NW57=$NW57)*($NV$5:$NV57&gt;=1)*($NV$5:$NV57&lt;=3)),$PC$5:$PC57),IF(NV57=7,SUMPRODUCT(--(($NW$5:$NW57=$NW57)*($NV$5:$NV57&gt;=4)*($NV$5:$NV57&lt;=6)),$PC$5:$PC57),IF(NV57=10,SUMPRODUCT(--(($NW$5:$NW57=$NW57)*($NV$5:$NV57&gt;=7)*($NV$5:$NV57&lt;=9)),$PC$5:$PC57),0)))))</f>
        <v/>
      </c>
      <c r="PE57" s="12">
        <f>PE56+PC57-PD57</f>
        <v/>
      </c>
      <c r="PF57" s="12">
        <f>IF(ProviderDelay&gt;=1,OM56*BlendedProvPayEss+ON56*BlendedProvPayPrem+OO56*BlendedProvPayElite+OP56*BlendedProvPayEss+OQ56*BlendedProvPayPrem+OR56*BlendedProvPayElite,OM57*BlendedProvPayEss+ON57*BlendedProvPayPrem+OO57*BlendedProvPayElite+OP57*BlendedProvPayEss+OQ57*BlendedProvPayPrem+OR57*BlendedProvPayElite)</f>
        <v/>
      </c>
      <c r="PG57" s="12">
        <f>OY57*PaymentFee</f>
        <v/>
      </c>
      <c r="PH57" s="12">
        <f>OS57*OpsAI</f>
        <v/>
      </c>
      <c r="PI57" s="12">
        <f>MonthlyFixed</f>
        <v/>
      </c>
      <c r="PJ57" s="12">
        <f>OC57*ReferralReward</f>
        <v/>
      </c>
      <c r="PK57" s="12">
        <f>OA57</f>
        <v/>
      </c>
      <c r="PL57" s="9">
        <f>PB57-PF57-PG57-PH57-PI57-PJ57-PK57</f>
        <v/>
      </c>
      <c r="PM57" s="9">
        <f>PM56+OY57-(PF57+PG57+PH57+PI57+PJ57+PK57+PD57)</f>
        <v/>
      </c>
      <c r="PN57" s="12">
        <f>IF(OS57&gt;0,OT57/OS57,0)</f>
        <v/>
      </c>
      <c r="PO57" s="11">
        <f>IF(OS56&gt;0,MAX(0,(OS56+OD57-OS57)/OS56),0)</f>
        <v/>
      </c>
      <c r="PQ57" s="12" t="n">
        <v>53</v>
      </c>
      <c r="PR57" s="12">
        <f>MOD(PQ57-1+LaunchMonth-1,12)+1</f>
        <v/>
      </c>
      <c r="PS57" s="12">
        <f>INT((PQ57-1+LaunchMonth-1)/12)+1</f>
        <v/>
      </c>
      <c r="PT57" s="12">
        <f>VLOOKUP(PR57,SeasonTable,2,FALSE)</f>
        <v/>
      </c>
      <c r="PU57" s="12">
        <f>(1+InflationRate)^INT((PQ57-1)/12)</f>
        <v/>
      </c>
      <c r="PV57" s="11">
        <f>'Sens - Churn'!$A$19*VLOOKUP(PR57,ChurnSeasonTable,4,FALSE)</f>
        <v/>
      </c>
      <c r="PW57" s="12">
        <f>MIN(MAX(MktMin19plus,QU56*MktPct19plus),MAX(0,RI56-CashBuffer))</f>
        <v/>
      </c>
      <c r="PX57" s="12">
        <f>IF(PW57&gt;0,MAX(1,ROUND(PW57/CAC*PT57,0)),0)</f>
        <v/>
      </c>
      <c r="PY57" s="12">
        <f>IF(PX57&gt;0,ROUND(PX57*ReferralMix/(1-ReferralMix),0),0)</f>
        <v/>
      </c>
      <c r="PZ57" s="12">
        <f>PX57+PY57</f>
        <v/>
      </c>
      <c r="QA57" s="12">
        <f>ROUND(PZ57*(1-AnnualMix),0)</f>
        <v/>
      </c>
      <c r="QB57" s="12">
        <f>PZ57-QA57</f>
        <v/>
      </c>
      <c r="QC57" s="12">
        <f>ROUND(QA57*EssentialMix,0)</f>
        <v/>
      </c>
      <c r="QD57" s="12">
        <f>ROUND(QA57*PremiumMix,0)</f>
        <v/>
      </c>
      <c r="QE57" s="12">
        <f>QA57-QC57-QD57</f>
        <v/>
      </c>
      <c r="QF57" s="12">
        <f>ROUND(QB57*EssentialMix,0)</f>
        <v/>
      </c>
      <c r="QG57" s="12">
        <f>ROUND(QB57*PremiumMix,0)</f>
        <v/>
      </c>
      <c r="QH57" s="12">
        <f>QB57-QF57-QG57</f>
        <v/>
      </c>
      <c r="QI57" s="12">
        <f>QC57+QC56+QC55+MAX(0,QI56-QC56-QC55)*(1-PV57)</f>
        <v/>
      </c>
      <c r="QJ57" s="12">
        <f>QD57+QD56+QD55+MAX(0,QJ56-QD56-QD55)*(1-PV57)</f>
        <v/>
      </c>
      <c r="QK57" s="12">
        <f>QE57+QE56+QE55+MAX(0,QK56-QE56-QE55)*(1-PV57)</f>
        <v/>
      </c>
      <c r="QL57" s="12">
        <f>QL56+QF57-QF45*(AnnualChurn*VLOOKUP(PR57,ChurnSeasonTable,4,FALSE))*POWER(1-(AnnualChurn*VLOOKUP(PR57,ChurnSeasonTable,4,FALSE)),0)+QF33*(AnnualChurn*VLOOKUP(PR57,ChurnSeasonTable,4,FALSE))*POWER(1-(AnnualChurn*VLOOKUP(PR57,ChurnSeasonTable,4,FALSE)),1)+QF21*(AnnualChurn*VLOOKUP(PR57,ChurnSeasonTable,4,FALSE))*POWER(1-(AnnualChurn*VLOOKUP(PR57,ChurnSeasonTable,4,FALSE)),2)+QF9*(AnnualChurn*VLOOKUP(PR57,ChurnSeasonTable,4,FALSE))*POWER(1-(AnnualChurn*VLOOKUP(PR57,ChurnSeasonTable,4,FALSE)),3)</f>
        <v/>
      </c>
      <c r="QM57" s="12">
        <f>QM56+QG57-QG45*(AnnualChurn*VLOOKUP(PR57,ChurnSeasonTable,4,FALSE))*POWER(1-(AnnualChurn*VLOOKUP(PR57,ChurnSeasonTable,4,FALSE)),0)+QG33*(AnnualChurn*VLOOKUP(PR57,ChurnSeasonTable,4,FALSE))*POWER(1-(AnnualChurn*VLOOKUP(PR57,ChurnSeasonTable,4,FALSE)),1)+QG21*(AnnualChurn*VLOOKUP(PR57,ChurnSeasonTable,4,FALSE))*POWER(1-(AnnualChurn*VLOOKUP(PR57,ChurnSeasonTable,4,FALSE)),2)+QG9*(AnnualChurn*VLOOKUP(PR57,ChurnSeasonTable,4,FALSE))*POWER(1-(AnnualChurn*VLOOKUP(PR57,ChurnSeasonTable,4,FALSE)),3)</f>
        <v/>
      </c>
      <c r="QN57" s="12">
        <f>QN56+QH57-QH45*(AnnualChurn*VLOOKUP(PR57,ChurnSeasonTable,4,FALSE))*POWER(1-(AnnualChurn*VLOOKUP(PR57,ChurnSeasonTable,4,FALSE)),0)+QH33*(AnnualChurn*VLOOKUP(PR57,ChurnSeasonTable,4,FALSE))*POWER(1-(AnnualChurn*VLOOKUP(PR57,ChurnSeasonTable,4,FALSE)),1)+QH21*(AnnualChurn*VLOOKUP(PR57,ChurnSeasonTable,4,FALSE))*POWER(1-(AnnualChurn*VLOOKUP(PR57,ChurnSeasonTable,4,FALSE)),2)+QH9*(AnnualChurn*VLOOKUP(PR57,ChurnSeasonTable,4,FALSE))*POWER(1-(AnnualChurn*VLOOKUP(PR57,ChurnSeasonTable,4,FALSE)),3)</f>
        <v/>
      </c>
      <c r="QO57" s="12">
        <f>QI57+QJ57+QK57+QL57+QM57+QN57</f>
        <v/>
      </c>
      <c r="QP57" s="9">
        <f>QI57*BlendedPriceEssMonthly*PU57+QJ57*BlendedPricePremMonthly*PU57+QK57*BlendedPriceEliteMonthly*PU57+QL57*BlendedPriceEssAnnual*PU57/12+QM57*BlendedPricePremAnnual*PU57/12+QN57*BlendedPriceEliteAnnual*PU57/12</f>
        <v/>
      </c>
      <c r="QQ57" s="9">
        <f>QP57*12</f>
        <v/>
      </c>
      <c r="QR57" s="12">
        <f>QI57*BlendedPriceEssMonthly*PU57+QJ57*BlendedPricePremMonthly*PU57+QK57*BlendedPriceEliteMonthly*PU57</f>
        <v/>
      </c>
      <c r="QS57" s="12">
        <f>QF57*BlendedPriceEssAnnual*PU57+QG57*BlendedPricePremAnnual*PU57+QH57*BlendedPriceEliteAnnual*PU57</f>
        <v/>
      </c>
      <c r="QT57" s="12">
        <f>QF45*POWER(1-(AnnualChurn*VLOOKUP(PR57,ChurnSeasonTable,4,FALSE)),1)*BlendedPriceEssAnnual*PU57+QF33*POWER(1-(AnnualChurn*VLOOKUP(PR57,ChurnSeasonTable,4,FALSE)),2)*BlendedPriceEssAnnual*PU57+QF21*POWER(1-(AnnualChurn*VLOOKUP(PR57,ChurnSeasonTable,4,FALSE)),3)*BlendedPriceEssAnnual*PU57+QF9*POWER(1-(AnnualChurn*VLOOKUP(PR57,ChurnSeasonTable,4,FALSE)),4)*BlendedPriceEssAnnual*PU57+QG45*POWER(1-(AnnualChurn*VLOOKUP(PR57,ChurnSeasonTable,4,FALSE)),1)*BlendedPricePremAnnual*PU57+QG33*POWER(1-(AnnualChurn*VLOOKUP(PR57,ChurnSeasonTable,4,FALSE)),2)*BlendedPricePremAnnual*PU57+QG21*POWER(1-(AnnualChurn*VLOOKUP(PR57,ChurnSeasonTable,4,FALSE)),3)*BlendedPricePremAnnual*PU57+QG9*POWER(1-(AnnualChurn*VLOOKUP(PR57,ChurnSeasonTable,4,FALSE)),4)*BlendedPricePremAnnual*PU57+QH45*POWER(1-(AnnualChurn*VLOOKUP(PR57,ChurnSeasonTable,4,FALSE)),1)*BlendedPriceEliteAnnual*PU57+QH33*POWER(1-(AnnualChurn*VLOOKUP(PR57,ChurnSeasonTable,4,FALSE)),2)*BlendedPriceEliteAnnual*PU57+QH21*POWER(1-(AnnualChurn*VLOOKUP(PR57,ChurnSeasonTable,4,FALSE)),3)*BlendedPriceEliteAnnual*PU57+QH9*POWER(1-(AnnualChurn*VLOOKUP(PR57,ChurnSeasonTable,4,FALSE)),4)*BlendedPriceEliteAnnual*PU57</f>
        <v/>
      </c>
      <c r="QU57" s="9">
        <f>QR57+QS57+QT57</f>
        <v/>
      </c>
      <c r="QV57" s="12">
        <f>SUM(QU46:QU57)</f>
        <v/>
      </c>
      <c r="QW57" s="12">
        <f>OR(QW56,IF(VATAgentMode,SUM($QU46:$QU57)-SUM($RB46:$RB57)&gt;=VATThreshold,SUM($QU46:$QU57)&gt;=VATThreshold))</f>
        <v/>
      </c>
      <c r="QX57" s="9">
        <f>IF(QW57,IF(VATAgentMode,QU57-((QU57-RB57)-(QU57-RB57)/(1+VATRate)),QU57/(1+VATRate)),QU57)</f>
        <v/>
      </c>
      <c r="QY57" s="12">
        <f>QU57-QX57</f>
        <v/>
      </c>
      <c r="QZ57" s="12">
        <f>IF(QW57=0,0,IF(PR57=1,SUMPRODUCT(--(($PS$5:$PS57=$PS57-1)*($PR$5:$PR57&gt;=10)*($PR$5:$PR57&lt;=12)),$QY$5:$QY57),IF(PR57=4,SUMPRODUCT(--(($PS$5:$PS57=$PS57)*($PR$5:$PR57&gt;=1)*($PR$5:$PR57&lt;=3)),$QY$5:$QY57),IF(PR57=7,SUMPRODUCT(--(($PS$5:$PS57=$PS57)*($PR$5:$PR57&gt;=4)*($PR$5:$PR57&lt;=6)),$QY$5:$QY57),IF(PR57=10,SUMPRODUCT(--(($PS$5:$PS57=$PS57)*($PR$5:$PR57&gt;=7)*($PR$5:$PR57&lt;=9)),$QY$5:$QY57),0)))))</f>
        <v/>
      </c>
      <c r="RA57" s="12">
        <f>RA56+QY57-QZ57</f>
        <v/>
      </c>
      <c r="RB57" s="12">
        <f>IF(ProviderDelay&gt;=1,QI56*BlendedProvPayEss+QJ56*BlendedProvPayPrem+QK56*BlendedProvPayElite+QL56*BlendedProvPayEss+QM56*BlendedProvPayPrem+QN56*BlendedProvPayElite,QI57*BlendedProvPayEss+QJ57*BlendedProvPayPrem+QK57*BlendedProvPayElite+QL57*BlendedProvPayEss+QM57*BlendedProvPayPrem+QN57*BlendedProvPayElite)</f>
        <v/>
      </c>
      <c r="RC57" s="12">
        <f>QU57*PaymentFee</f>
        <v/>
      </c>
      <c r="RD57" s="12">
        <f>QO57*OpsAI</f>
        <v/>
      </c>
      <c r="RE57" s="12">
        <f>MonthlyFixed</f>
        <v/>
      </c>
      <c r="RF57" s="12">
        <f>PY57*ReferralReward</f>
        <v/>
      </c>
      <c r="RG57" s="12">
        <f>PW57</f>
        <v/>
      </c>
      <c r="RH57" s="9">
        <f>QX57-RB57-RC57-RD57-RE57-RF57-RG57</f>
        <v/>
      </c>
      <c r="RI57" s="9">
        <f>RI56+QU57-(RB57+RC57+RD57+RE57+RF57+RG57+QZ57)</f>
        <v/>
      </c>
      <c r="RJ57" s="12">
        <f>IF(QO57&gt;0,QP57/QO57,0)</f>
        <v/>
      </c>
      <c r="RK57" s="11">
        <f>IF(QO56&gt;0,MAX(0,(QO56+PZ57-QO57)/QO56),0)</f>
        <v/>
      </c>
      <c r="RM57" s="12" t="n">
        <v>53</v>
      </c>
      <c r="RN57" s="12">
        <f>MOD(RM57-1+LaunchMonth-1,12)+1</f>
        <v/>
      </c>
      <c r="RO57" s="12">
        <f>INT((RM57-1+LaunchMonth-1)/12)+1</f>
        <v/>
      </c>
      <c r="RP57" s="12">
        <f>VLOOKUP(RN57,SeasonTable,2,FALSE)</f>
        <v/>
      </c>
      <c r="RQ57" s="12">
        <f>(1+InflationRate)^INT((RM57-1)/12)</f>
        <v/>
      </c>
      <c r="RR57" s="11">
        <f>'Sens - Churn'!$A$20*VLOOKUP(RN57,ChurnSeasonTable,4,FALSE)</f>
        <v/>
      </c>
      <c r="RS57" s="12">
        <f>MIN(MAX(MktMin19plus,SQ56*MktPct19plus),MAX(0,TE56-CashBuffer))</f>
        <v/>
      </c>
      <c r="RT57" s="12">
        <f>IF(RS57&gt;0,MAX(1,ROUND(RS57/CAC*RP57,0)),0)</f>
        <v/>
      </c>
      <c r="RU57" s="12">
        <f>IF(RT57&gt;0,ROUND(RT57*ReferralMix/(1-ReferralMix),0),0)</f>
        <v/>
      </c>
      <c r="RV57" s="12">
        <f>RT57+RU57</f>
        <v/>
      </c>
      <c r="RW57" s="12">
        <f>ROUND(RV57*(1-AnnualMix),0)</f>
        <v/>
      </c>
      <c r="RX57" s="12">
        <f>RV57-RW57</f>
        <v/>
      </c>
      <c r="RY57" s="12">
        <f>ROUND(RW57*EssentialMix,0)</f>
        <v/>
      </c>
      <c r="RZ57" s="12">
        <f>ROUND(RW57*PremiumMix,0)</f>
        <v/>
      </c>
      <c r="SA57" s="12">
        <f>RW57-RY57-RZ57</f>
        <v/>
      </c>
      <c r="SB57" s="12">
        <f>ROUND(RX57*EssentialMix,0)</f>
        <v/>
      </c>
      <c r="SC57" s="12">
        <f>ROUND(RX57*PremiumMix,0)</f>
        <v/>
      </c>
      <c r="SD57" s="12">
        <f>RX57-SB57-SC57</f>
        <v/>
      </c>
      <c r="SE57" s="12">
        <f>RY57+RY56+RY55+MAX(0,SE56-RY56-RY55)*(1-RR57)</f>
        <v/>
      </c>
      <c r="SF57" s="12">
        <f>RZ57+RZ56+RZ55+MAX(0,SF56-RZ56-RZ55)*(1-RR57)</f>
        <v/>
      </c>
      <c r="SG57" s="12">
        <f>SA57+SA56+SA55+MAX(0,SG56-SA56-SA55)*(1-RR57)</f>
        <v/>
      </c>
      <c r="SH57" s="12">
        <f>SH56+SB57-SB45*(AnnualChurn*VLOOKUP(RN57,ChurnSeasonTable,4,FALSE))*POWER(1-(AnnualChurn*VLOOKUP(RN57,ChurnSeasonTable,4,FALSE)),0)+SB33*(AnnualChurn*VLOOKUP(RN57,ChurnSeasonTable,4,FALSE))*POWER(1-(AnnualChurn*VLOOKUP(RN57,ChurnSeasonTable,4,FALSE)),1)+SB21*(AnnualChurn*VLOOKUP(RN57,ChurnSeasonTable,4,FALSE))*POWER(1-(AnnualChurn*VLOOKUP(RN57,ChurnSeasonTable,4,FALSE)),2)+SB9*(AnnualChurn*VLOOKUP(RN57,ChurnSeasonTable,4,FALSE))*POWER(1-(AnnualChurn*VLOOKUP(RN57,ChurnSeasonTable,4,FALSE)),3)</f>
        <v/>
      </c>
      <c r="SI57" s="12">
        <f>SI56+SC57-SC45*(AnnualChurn*VLOOKUP(RN57,ChurnSeasonTable,4,FALSE))*POWER(1-(AnnualChurn*VLOOKUP(RN57,ChurnSeasonTable,4,FALSE)),0)+SC33*(AnnualChurn*VLOOKUP(RN57,ChurnSeasonTable,4,FALSE))*POWER(1-(AnnualChurn*VLOOKUP(RN57,ChurnSeasonTable,4,FALSE)),1)+SC21*(AnnualChurn*VLOOKUP(RN57,ChurnSeasonTable,4,FALSE))*POWER(1-(AnnualChurn*VLOOKUP(RN57,ChurnSeasonTable,4,FALSE)),2)+SC9*(AnnualChurn*VLOOKUP(RN57,ChurnSeasonTable,4,FALSE))*POWER(1-(AnnualChurn*VLOOKUP(RN57,ChurnSeasonTable,4,FALSE)),3)</f>
        <v/>
      </c>
      <c r="SJ57" s="12">
        <f>SJ56+SD57-SD45*(AnnualChurn*VLOOKUP(RN57,ChurnSeasonTable,4,FALSE))*POWER(1-(AnnualChurn*VLOOKUP(RN57,ChurnSeasonTable,4,FALSE)),0)+SD33*(AnnualChurn*VLOOKUP(RN57,ChurnSeasonTable,4,FALSE))*POWER(1-(AnnualChurn*VLOOKUP(RN57,ChurnSeasonTable,4,FALSE)),1)+SD21*(AnnualChurn*VLOOKUP(RN57,ChurnSeasonTable,4,FALSE))*POWER(1-(AnnualChurn*VLOOKUP(RN57,ChurnSeasonTable,4,FALSE)),2)+SD9*(AnnualChurn*VLOOKUP(RN57,ChurnSeasonTable,4,FALSE))*POWER(1-(AnnualChurn*VLOOKUP(RN57,ChurnSeasonTable,4,FALSE)),3)</f>
        <v/>
      </c>
      <c r="SK57" s="12">
        <f>SE57+SF57+SG57+SH57+SI57+SJ57</f>
        <v/>
      </c>
      <c r="SL57" s="9">
        <f>SE57*BlendedPriceEssMonthly*RQ57+SF57*BlendedPricePremMonthly*RQ57+SG57*BlendedPriceEliteMonthly*RQ57+SH57*BlendedPriceEssAnnual*RQ57/12+SI57*BlendedPricePremAnnual*RQ57/12+SJ57*BlendedPriceEliteAnnual*RQ57/12</f>
        <v/>
      </c>
      <c r="SM57" s="9">
        <f>SL57*12</f>
        <v/>
      </c>
      <c r="SN57" s="12">
        <f>SE57*BlendedPriceEssMonthly*RQ57+SF57*BlendedPricePremMonthly*RQ57+SG57*BlendedPriceEliteMonthly*RQ57</f>
        <v/>
      </c>
      <c r="SO57" s="12">
        <f>SB57*BlendedPriceEssAnnual*RQ57+SC57*BlendedPricePremAnnual*RQ57+SD57*BlendedPriceEliteAnnual*RQ57</f>
        <v/>
      </c>
      <c r="SP57" s="12">
        <f>SB45*POWER(1-(AnnualChurn*VLOOKUP(RN57,ChurnSeasonTable,4,FALSE)),1)*BlendedPriceEssAnnual*RQ57+SB33*POWER(1-(AnnualChurn*VLOOKUP(RN57,ChurnSeasonTable,4,FALSE)),2)*BlendedPriceEssAnnual*RQ57+SB21*POWER(1-(AnnualChurn*VLOOKUP(RN57,ChurnSeasonTable,4,FALSE)),3)*BlendedPriceEssAnnual*RQ57+SB9*POWER(1-(AnnualChurn*VLOOKUP(RN57,ChurnSeasonTable,4,FALSE)),4)*BlendedPriceEssAnnual*RQ57+SC45*POWER(1-(AnnualChurn*VLOOKUP(RN57,ChurnSeasonTable,4,FALSE)),1)*BlendedPricePremAnnual*RQ57+SC33*POWER(1-(AnnualChurn*VLOOKUP(RN57,ChurnSeasonTable,4,FALSE)),2)*BlendedPricePremAnnual*RQ57+SC21*POWER(1-(AnnualChurn*VLOOKUP(RN57,ChurnSeasonTable,4,FALSE)),3)*BlendedPricePremAnnual*RQ57+SC9*POWER(1-(AnnualChurn*VLOOKUP(RN57,ChurnSeasonTable,4,FALSE)),4)*BlendedPricePremAnnual*RQ57+SD45*POWER(1-(AnnualChurn*VLOOKUP(RN57,ChurnSeasonTable,4,FALSE)),1)*BlendedPriceEliteAnnual*RQ57+SD33*POWER(1-(AnnualChurn*VLOOKUP(RN57,ChurnSeasonTable,4,FALSE)),2)*BlendedPriceEliteAnnual*RQ57+SD21*POWER(1-(AnnualChurn*VLOOKUP(RN57,ChurnSeasonTable,4,FALSE)),3)*BlendedPriceEliteAnnual*RQ57+SD9*POWER(1-(AnnualChurn*VLOOKUP(RN57,ChurnSeasonTable,4,FALSE)),4)*BlendedPriceEliteAnnual*RQ57</f>
        <v/>
      </c>
      <c r="SQ57" s="9">
        <f>SN57+SO57+SP57</f>
        <v/>
      </c>
      <c r="SR57" s="12">
        <f>SUM(SQ46:SQ57)</f>
        <v/>
      </c>
      <c r="SS57" s="12">
        <f>OR(SS56,IF(VATAgentMode,SUM($SQ46:$SQ57)-SUM($SX46:$SX57)&gt;=VATThreshold,SUM($SQ46:$SQ57)&gt;=VATThreshold))</f>
        <v/>
      </c>
      <c r="ST57" s="9">
        <f>IF(SS57,IF(VATAgentMode,SQ57-((SQ57-SX57)-(SQ57-SX57)/(1+VATRate)),SQ57/(1+VATRate)),SQ57)</f>
        <v/>
      </c>
      <c r="SU57" s="12">
        <f>SQ57-ST57</f>
        <v/>
      </c>
      <c r="SV57" s="12">
        <f>IF(SS57=0,0,IF(RN57=1,SUMPRODUCT(--(($RO$5:$RO57=$RO57-1)*($RN$5:$RN57&gt;=10)*($RN$5:$RN57&lt;=12)),$SU$5:$SU57),IF(RN57=4,SUMPRODUCT(--(($RO$5:$RO57=$RO57)*($RN$5:$RN57&gt;=1)*($RN$5:$RN57&lt;=3)),$SU$5:$SU57),IF(RN57=7,SUMPRODUCT(--(($RO$5:$RO57=$RO57)*($RN$5:$RN57&gt;=4)*($RN$5:$RN57&lt;=6)),$SU$5:$SU57),IF(RN57=10,SUMPRODUCT(--(($RO$5:$RO57=$RO57)*($RN$5:$RN57&gt;=7)*($RN$5:$RN57&lt;=9)),$SU$5:$SU57),0)))))</f>
        <v/>
      </c>
      <c r="SW57" s="12">
        <f>SW56+SU57-SV57</f>
        <v/>
      </c>
      <c r="SX57" s="12">
        <f>IF(ProviderDelay&gt;=1,SE56*BlendedProvPayEss+SF56*BlendedProvPayPrem+SG56*BlendedProvPayElite+SH56*BlendedProvPayEss+SI56*BlendedProvPayPrem+SJ56*BlendedProvPayElite,SE57*BlendedProvPayEss+SF57*BlendedProvPayPrem+SG57*BlendedProvPayElite+SH57*BlendedProvPayEss+SI57*BlendedProvPayPrem+SJ57*BlendedProvPayElite)</f>
        <v/>
      </c>
      <c r="SY57" s="12">
        <f>SQ57*PaymentFee</f>
        <v/>
      </c>
      <c r="SZ57" s="12">
        <f>SK57*OpsAI</f>
        <v/>
      </c>
      <c r="TA57" s="12">
        <f>MonthlyFixed</f>
        <v/>
      </c>
      <c r="TB57" s="12">
        <f>RU57*ReferralReward</f>
        <v/>
      </c>
      <c r="TC57" s="12">
        <f>RS57</f>
        <v/>
      </c>
      <c r="TD57" s="9">
        <f>ST57-SX57-SY57-SZ57-TA57-TB57-TC57</f>
        <v/>
      </c>
      <c r="TE57" s="9">
        <f>TE56+SQ57-(SX57+SY57+SZ57+TA57+TB57+TC57+SV57)</f>
        <v/>
      </c>
      <c r="TF57" s="12">
        <f>IF(SK57&gt;0,SL57/SK57,0)</f>
        <v/>
      </c>
      <c r="TG57" s="11">
        <f>IF(SK56&gt;0,MAX(0,(SK56+RV57-SK57)/SK56),0)</f>
        <v/>
      </c>
      <c r="TI57" s="12" t="n">
        <v>53</v>
      </c>
      <c r="TJ57" s="12">
        <f>MOD(TI57-1+LaunchMonth-1,12)+1</f>
        <v/>
      </c>
      <c r="TK57" s="12">
        <f>INT((TI57-1+LaunchMonth-1)/12)+1</f>
        <v/>
      </c>
      <c r="TL57" s="12">
        <f>VLOOKUP(TJ57,SeasonTable,2,FALSE)</f>
        <v/>
      </c>
      <c r="TM57" s="12">
        <f>(1+InflationRate)^INT((TI57-1)/12)</f>
        <v/>
      </c>
      <c r="TN57" s="11">
        <f>'Sens - Churn'!$A$21*VLOOKUP(TJ57,ChurnSeasonTable,4,FALSE)</f>
        <v/>
      </c>
      <c r="TO57" s="12">
        <f>MIN(MAX(MktMin19plus,UM56*MktPct19plus),MAX(0,VA56-CashBuffer))</f>
        <v/>
      </c>
      <c r="TP57" s="12">
        <f>IF(TO57&gt;0,MAX(1,ROUND(TO57/CAC*TL57,0)),0)</f>
        <v/>
      </c>
      <c r="TQ57" s="12">
        <f>IF(TP57&gt;0,ROUND(TP57*ReferralMix/(1-ReferralMix),0),0)</f>
        <v/>
      </c>
      <c r="TR57" s="12">
        <f>TP57+TQ57</f>
        <v/>
      </c>
      <c r="TS57" s="12">
        <f>ROUND(TR57*(1-AnnualMix),0)</f>
        <v/>
      </c>
      <c r="TT57" s="12">
        <f>TR57-TS57</f>
        <v/>
      </c>
      <c r="TU57" s="12">
        <f>ROUND(TS57*EssentialMix,0)</f>
        <v/>
      </c>
      <c r="TV57" s="12">
        <f>ROUND(TS57*PremiumMix,0)</f>
        <v/>
      </c>
      <c r="TW57" s="12">
        <f>TS57-TU57-TV57</f>
        <v/>
      </c>
      <c r="TX57" s="12">
        <f>ROUND(TT57*EssentialMix,0)</f>
        <v/>
      </c>
      <c r="TY57" s="12">
        <f>ROUND(TT57*PremiumMix,0)</f>
        <v/>
      </c>
      <c r="TZ57" s="12">
        <f>TT57-TX57-TY57</f>
        <v/>
      </c>
      <c r="UA57" s="12">
        <f>TU57+TU56+TU55+MAX(0,UA56-TU56-TU55)*(1-TN57)</f>
        <v/>
      </c>
      <c r="UB57" s="12">
        <f>TV57+TV56+TV55+MAX(0,UB56-TV56-TV55)*(1-TN57)</f>
        <v/>
      </c>
      <c r="UC57" s="12">
        <f>TW57+TW56+TW55+MAX(0,UC56-TW56-TW55)*(1-TN57)</f>
        <v/>
      </c>
      <c r="UD57" s="12">
        <f>UD56+TX57-TX45*(AnnualChurn*VLOOKUP(TJ57,ChurnSeasonTable,4,FALSE))*POWER(1-(AnnualChurn*VLOOKUP(TJ57,ChurnSeasonTable,4,FALSE)),0)+TX33*(AnnualChurn*VLOOKUP(TJ57,ChurnSeasonTable,4,FALSE))*POWER(1-(AnnualChurn*VLOOKUP(TJ57,ChurnSeasonTable,4,FALSE)),1)+TX21*(AnnualChurn*VLOOKUP(TJ57,ChurnSeasonTable,4,FALSE))*POWER(1-(AnnualChurn*VLOOKUP(TJ57,ChurnSeasonTable,4,FALSE)),2)+TX9*(AnnualChurn*VLOOKUP(TJ57,ChurnSeasonTable,4,FALSE))*POWER(1-(AnnualChurn*VLOOKUP(TJ57,ChurnSeasonTable,4,FALSE)),3)</f>
        <v/>
      </c>
      <c r="UE57" s="12">
        <f>UE56+TY57-TY45*(AnnualChurn*VLOOKUP(TJ57,ChurnSeasonTable,4,FALSE))*POWER(1-(AnnualChurn*VLOOKUP(TJ57,ChurnSeasonTable,4,FALSE)),0)+TY33*(AnnualChurn*VLOOKUP(TJ57,ChurnSeasonTable,4,FALSE))*POWER(1-(AnnualChurn*VLOOKUP(TJ57,ChurnSeasonTable,4,FALSE)),1)+TY21*(AnnualChurn*VLOOKUP(TJ57,ChurnSeasonTable,4,FALSE))*POWER(1-(AnnualChurn*VLOOKUP(TJ57,ChurnSeasonTable,4,FALSE)),2)+TY9*(AnnualChurn*VLOOKUP(TJ57,ChurnSeasonTable,4,FALSE))*POWER(1-(AnnualChurn*VLOOKUP(TJ57,ChurnSeasonTable,4,FALSE)),3)</f>
        <v/>
      </c>
      <c r="UF57" s="12">
        <f>UF56+TZ57-TZ45*(AnnualChurn*VLOOKUP(TJ57,ChurnSeasonTable,4,FALSE))*POWER(1-(AnnualChurn*VLOOKUP(TJ57,ChurnSeasonTable,4,FALSE)),0)+TZ33*(AnnualChurn*VLOOKUP(TJ57,ChurnSeasonTable,4,FALSE))*POWER(1-(AnnualChurn*VLOOKUP(TJ57,ChurnSeasonTable,4,FALSE)),1)+TZ21*(AnnualChurn*VLOOKUP(TJ57,ChurnSeasonTable,4,FALSE))*POWER(1-(AnnualChurn*VLOOKUP(TJ57,ChurnSeasonTable,4,FALSE)),2)+TZ9*(AnnualChurn*VLOOKUP(TJ57,ChurnSeasonTable,4,FALSE))*POWER(1-(AnnualChurn*VLOOKUP(TJ57,ChurnSeasonTable,4,FALSE)),3)</f>
        <v/>
      </c>
      <c r="UG57" s="12">
        <f>UA57+UB57+UC57+UD57+UE57+UF57</f>
        <v/>
      </c>
      <c r="UH57" s="9">
        <f>UA57*BlendedPriceEssMonthly*TM57+UB57*BlendedPricePremMonthly*TM57+UC57*BlendedPriceEliteMonthly*TM57+UD57*BlendedPriceEssAnnual*TM57/12+UE57*BlendedPricePremAnnual*TM57/12+UF57*BlendedPriceEliteAnnual*TM57/12</f>
        <v/>
      </c>
      <c r="UI57" s="9">
        <f>UH57*12</f>
        <v/>
      </c>
      <c r="UJ57" s="12">
        <f>UA57*BlendedPriceEssMonthly*TM57+UB57*BlendedPricePremMonthly*TM57+UC57*BlendedPriceEliteMonthly*TM57</f>
        <v/>
      </c>
      <c r="UK57" s="12">
        <f>TX57*BlendedPriceEssAnnual*TM57+TY57*BlendedPricePremAnnual*TM57+TZ57*BlendedPriceEliteAnnual*TM57</f>
        <v/>
      </c>
      <c r="UL57" s="12">
        <f>TX45*POWER(1-(AnnualChurn*VLOOKUP(TJ57,ChurnSeasonTable,4,FALSE)),1)*BlendedPriceEssAnnual*TM57+TX33*POWER(1-(AnnualChurn*VLOOKUP(TJ57,ChurnSeasonTable,4,FALSE)),2)*BlendedPriceEssAnnual*TM57+TX21*POWER(1-(AnnualChurn*VLOOKUP(TJ57,ChurnSeasonTable,4,FALSE)),3)*BlendedPriceEssAnnual*TM57+TX9*POWER(1-(AnnualChurn*VLOOKUP(TJ57,ChurnSeasonTable,4,FALSE)),4)*BlendedPriceEssAnnual*TM57+TY45*POWER(1-(AnnualChurn*VLOOKUP(TJ57,ChurnSeasonTable,4,FALSE)),1)*BlendedPricePremAnnual*TM57+TY33*POWER(1-(AnnualChurn*VLOOKUP(TJ57,ChurnSeasonTable,4,FALSE)),2)*BlendedPricePremAnnual*TM57+TY21*POWER(1-(AnnualChurn*VLOOKUP(TJ57,ChurnSeasonTable,4,FALSE)),3)*BlendedPricePremAnnual*TM57+TY9*POWER(1-(AnnualChurn*VLOOKUP(TJ57,ChurnSeasonTable,4,FALSE)),4)*BlendedPricePremAnnual*TM57+TZ45*POWER(1-(AnnualChurn*VLOOKUP(TJ57,ChurnSeasonTable,4,FALSE)),1)*BlendedPriceEliteAnnual*TM57+TZ33*POWER(1-(AnnualChurn*VLOOKUP(TJ57,ChurnSeasonTable,4,FALSE)),2)*BlendedPriceEliteAnnual*TM57+TZ21*POWER(1-(AnnualChurn*VLOOKUP(TJ57,ChurnSeasonTable,4,FALSE)),3)*BlendedPriceEliteAnnual*TM57+TZ9*POWER(1-(AnnualChurn*VLOOKUP(TJ57,ChurnSeasonTable,4,FALSE)),4)*BlendedPriceEliteAnnual*TM57</f>
        <v/>
      </c>
      <c r="UM57" s="9">
        <f>UJ57+UK57+UL57</f>
        <v/>
      </c>
      <c r="UN57" s="12">
        <f>SUM(UM46:UM57)</f>
        <v/>
      </c>
      <c r="UO57" s="12">
        <f>OR(UO56,IF(VATAgentMode,SUM($UM46:$UM57)-SUM($UT46:$UT57)&gt;=VATThreshold,SUM($UM46:$UM57)&gt;=VATThreshold))</f>
        <v/>
      </c>
      <c r="UP57" s="9">
        <f>IF(UO57,IF(VATAgentMode,UM57-((UM57-UT57)-(UM57-UT57)/(1+VATRate)),UM57/(1+VATRate)),UM57)</f>
        <v/>
      </c>
      <c r="UQ57" s="12">
        <f>UM57-UP57</f>
        <v/>
      </c>
      <c r="UR57" s="12">
        <f>IF(UO57=0,0,IF(TJ57=1,SUMPRODUCT(--(($TK$5:$TK57=$TK57-1)*($TJ$5:$TJ57&gt;=10)*($TJ$5:$TJ57&lt;=12)),$UQ$5:$UQ57),IF(TJ57=4,SUMPRODUCT(--(($TK$5:$TK57=$TK57)*($TJ$5:$TJ57&gt;=1)*($TJ$5:$TJ57&lt;=3)),$UQ$5:$UQ57),IF(TJ57=7,SUMPRODUCT(--(($TK$5:$TK57=$TK57)*($TJ$5:$TJ57&gt;=4)*($TJ$5:$TJ57&lt;=6)),$UQ$5:$UQ57),IF(TJ57=10,SUMPRODUCT(--(($TK$5:$TK57=$TK57)*($TJ$5:$TJ57&gt;=7)*($TJ$5:$TJ57&lt;=9)),$UQ$5:$UQ57),0)))))</f>
        <v/>
      </c>
      <c r="US57" s="12">
        <f>US56+UQ57-UR57</f>
        <v/>
      </c>
      <c r="UT57" s="12">
        <f>IF(ProviderDelay&gt;=1,UA56*BlendedProvPayEss+UB56*BlendedProvPayPrem+UC56*BlendedProvPayElite+UD56*BlendedProvPayEss+UE56*BlendedProvPayPrem+UF56*BlendedProvPayElite,UA57*BlendedProvPayEss+UB57*BlendedProvPayPrem+UC57*BlendedProvPayElite+UD57*BlendedProvPayEss+UE57*BlendedProvPayPrem+UF57*BlendedProvPayElite)</f>
        <v/>
      </c>
      <c r="UU57" s="12">
        <f>UM57*PaymentFee</f>
        <v/>
      </c>
      <c r="UV57" s="12">
        <f>UG57*OpsAI</f>
        <v/>
      </c>
      <c r="UW57" s="12">
        <f>MonthlyFixed</f>
        <v/>
      </c>
      <c r="UX57" s="12">
        <f>TQ57*ReferralReward</f>
        <v/>
      </c>
      <c r="UY57" s="12">
        <f>TO57</f>
        <v/>
      </c>
      <c r="UZ57" s="9">
        <f>UP57-UT57-UU57-UV57-UW57-UX57-UY57</f>
        <v/>
      </c>
      <c r="VA57" s="9">
        <f>VA56+UM57-(UT57+UU57+UV57+UW57+UX57+UY57+UR57)</f>
        <v/>
      </c>
      <c r="VB57" s="12">
        <f>IF(UG57&gt;0,UH57/UG57,0)</f>
        <v/>
      </c>
      <c r="VC57" s="11">
        <f>IF(UG56&gt;0,MAX(0,(UG56+TR57-UG57)/UG56),0)</f>
        <v/>
      </c>
      <c r="VE57" s="12" t="n">
        <v>53</v>
      </c>
      <c r="VF57" s="12">
        <f>MOD(VE57-1+LaunchMonth-1,12)+1</f>
        <v/>
      </c>
      <c r="VG57" s="12">
        <f>INT((VE57-1+LaunchMonth-1)/12)+1</f>
        <v/>
      </c>
      <c r="VH57" s="12">
        <f>VLOOKUP(VF57,SeasonTable,2,FALSE)</f>
        <v/>
      </c>
      <c r="VI57" s="12">
        <f>(1+InflationRate)^INT((VE57-1)/12)</f>
        <v/>
      </c>
      <c r="VJ57" s="11">
        <f>MonthlyChurn*VLOOKUP(VF57,ChurnSeasonTable,4,FALSE)</f>
        <v/>
      </c>
      <c r="VK57" s="12">
        <f>MIN(MAX(MktMin19plus,WI56*MktPct19plus),MAX(0,WW56-CashBuffer))</f>
        <v/>
      </c>
      <c r="VL57" s="12">
        <f>IF(VK57&gt;0,MAX(1,ROUND(VK57/CAC*VH57,0)),0)</f>
        <v/>
      </c>
      <c r="VM57" s="12">
        <f>IF(VL57&gt;0,ROUND(VL57*ReferralMix/(1-ReferralMix),0),0)</f>
        <v/>
      </c>
      <c r="VN57" s="12">
        <f>VL57+VM57</f>
        <v/>
      </c>
      <c r="VO57" s="12">
        <f>ROUND(VN57*(1-'Sens - Annual Mix'!$A$9),0)</f>
        <v/>
      </c>
      <c r="VP57" s="12">
        <f>VN57-VO57</f>
        <v/>
      </c>
      <c r="VQ57" s="12">
        <f>ROUND(VO57*EssentialMix,0)</f>
        <v/>
      </c>
      <c r="VR57" s="12">
        <f>ROUND(VO57*PremiumMix,0)</f>
        <v/>
      </c>
      <c r="VS57" s="12">
        <f>VO57-VQ57-VR57</f>
        <v/>
      </c>
      <c r="VT57" s="12">
        <f>ROUND(VP57*EssentialMix,0)</f>
        <v/>
      </c>
      <c r="VU57" s="12">
        <f>ROUND(VP57*PremiumMix,0)</f>
        <v/>
      </c>
      <c r="VV57" s="12">
        <f>VP57-VT57-VU57</f>
        <v/>
      </c>
      <c r="VW57" s="12">
        <f>VQ57+VQ56+VQ55+MAX(0,VW56-VQ56-VQ55)*(1-VJ57)</f>
        <v/>
      </c>
      <c r="VX57" s="12">
        <f>VR57+VR56+VR55+MAX(0,VX56-VR56-VR55)*(1-VJ57)</f>
        <v/>
      </c>
      <c r="VY57" s="12">
        <f>VS57+VS56+VS55+MAX(0,VY56-VS56-VS55)*(1-VJ57)</f>
        <v/>
      </c>
      <c r="VZ57" s="12">
        <f>VZ56+VT57-VT45*(AnnualChurn*VLOOKUP(VF57,ChurnSeasonTable,4,FALSE))*POWER(1-(AnnualChurn*VLOOKUP(VF57,ChurnSeasonTable,4,FALSE)),0)+VT33*(AnnualChurn*VLOOKUP(VF57,ChurnSeasonTable,4,FALSE))*POWER(1-(AnnualChurn*VLOOKUP(VF57,ChurnSeasonTable,4,FALSE)),1)+VT21*(AnnualChurn*VLOOKUP(VF57,ChurnSeasonTable,4,FALSE))*POWER(1-(AnnualChurn*VLOOKUP(VF57,ChurnSeasonTable,4,FALSE)),2)+VT9*(AnnualChurn*VLOOKUP(VF57,ChurnSeasonTable,4,FALSE))*POWER(1-(AnnualChurn*VLOOKUP(VF57,ChurnSeasonTable,4,FALSE)),3)</f>
        <v/>
      </c>
      <c r="WA57" s="12">
        <f>WA56+VU57-VU45*(AnnualChurn*VLOOKUP(VF57,ChurnSeasonTable,4,FALSE))*POWER(1-(AnnualChurn*VLOOKUP(VF57,ChurnSeasonTable,4,FALSE)),0)+VU33*(AnnualChurn*VLOOKUP(VF57,ChurnSeasonTable,4,FALSE))*POWER(1-(AnnualChurn*VLOOKUP(VF57,ChurnSeasonTable,4,FALSE)),1)+VU21*(AnnualChurn*VLOOKUP(VF57,ChurnSeasonTable,4,FALSE))*POWER(1-(AnnualChurn*VLOOKUP(VF57,ChurnSeasonTable,4,FALSE)),2)+VU9*(AnnualChurn*VLOOKUP(VF57,ChurnSeasonTable,4,FALSE))*POWER(1-(AnnualChurn*VLOOKUP(VF57,ChurnSeasonTable,4,FALSE)),3)</f>
        <v/>
      </c>
      <c r="WB57" s="12">
        <f>WB56+VV57-VV45*(AnnualChurn*VLOOKUP(VF57,ChurnSeasonTable,4,FALSE))*POWER(1-(AnnualChurn*VLOOKUP(VF57,ChurnSeasonTable,4,FALSE)),0)+VV33*(AnnualChurn*VLOOKUP(VF57,ChurnSeasonTable,4,FALSE))*POWER(1-(AnnualChurn*VLOOKUP(VF57,ChurnSeasonTable,4,FALSE)),1)+VV21*(AnnualChurn*VLOOKUP(VF57,ChurnSeasonTable,4,FALSE))*POWER(1-(AnnualChurn*VLOOKUP(VF57,ChurnSeasonTable,4,FALSE)),2)+VV9*(AnnualChurn*VLOOKUP(VF57,ChurnSeasonTable,4,FALSE))*POWER(1-(AnnualChurn*VLOOKUP(VF57,ChurnSeasonTable,4,FALSE)),3)</f>
        <v/>
      </c>
      <c r="WC57" s="12">
        <f>VW57+VX57+VY57+VZ57+WA57+WB57</f>
        <v/>
      </c>
      <c r="WD57" s="9">
        <f>VW57*BlendedPriceEssMonthly*VI57+VX57*BlendedPricePremMonthly*VI57+VY57*BlendedPriceEliteMonthly*VI57+VZ57*BlendedPriceEssAnnual*VI57/12+WA57*BlendedPricePremAnnual*VI57/12+WB57*BlendedPriceEliteAnnual*VI57/12</f>
        <v/>
      </c>
      <c r="WE57" s="9">
        <f>WD57*12</f>
        <v/>
      </c>
      <c r="WF57" s="12">
        <f>VW57*BlendedPriceEssMonthly*VI57+VX57*BlendedPricePremMonthly*VI57+VY57*BlendedPriceEliteMonthly*VI57</f>
        <v/>
      </c>
      <c r="WG57" s="12">
        <f>VT57*BlendedPriceEssAnnual*VI57+VU57*BlendedPricePremAnnual*VI57+VV57*BlendedPriceEliteAnnual*VI57</f>
        <v/>
      </c>
      <c r="WH57" s="12">
        <f>VT45*POWER(1-(AnnualChurn*VLOOKUP(VF57,ChurnSeasonTable,4,FALSE)),1)*BlendedPriceEssAnnual*VI57+VT33*POWER(1-(AnnualChurn*VLOOKUP(VF57,ChurnSeasonTable,4,FALSE)),2)*BlendedPriceEssAnnual*VI57+VT21*POWER(1-(AnnualChurn*VLOOKUP(VF57,ChurnSeasonTable,4,FALSE)),3)*BlendedPriceEssAnnual*VI57+VT9*POWER(1-(AnnualChurn*VLOOKUP(VF57,ChurnSeasonTable,4,FALSE)),4)*BlendedPriceEssAnnual*VI57+VU45*POWER(1-(AnnualChurn*VLOOKUP(VF57,ChurnSeasonTable,4,FALSE)),1)*BlendedPricePremAnnual*VI57+VU33*POWER(1-(AnnualChurn*VLOOKUP(VF57,ChurnSeasonTable,4,FALSE)),2)*BlendedPricePremAnnual*VI57+VU21*POWER(1-(AnnualChurn*VLOOKUP(VF57,ChurnSeasonTable,4,FALSE)),3)*BlendedPricePremAnnual*VI57+VU9*POWER(1-(AnnualChurn*VLOOKUP(VF57,ChurnSeasonTable,4,FALSE)),4)*BlendedPricePremAnnual*VI57+VV45*POWER(1-(AnnualChurn*VLOOKUP(VF57,ChurnSeasonTable,4,FALSE)),1)*BlendedPriceEliteAnnual*VI57+VV33*POWER(1-(AnnualChurn*VLOOKUP(VF57,ChurnSeasonTable,4,FALSE)),2)*BlendedPriceEliteAnnual*VI57+VV21*POWER(1-(AnnualChurn*VLOOKUP(VF57,ChurnSeasonTable,4,FALSE)),3)*BlendedPriceEliteAnnual*VI57+VV9*POWER(1-(AnnualChurn*VLOOKUP(VF57,ChurnSeasonTable,4,FALSE)),4)*BlendedPriceEliteAnnual*VI57</f>
        <v/>
      </c>
      <c r="WI57" s="9">
        <f>WF57+WG57+WH57</f>
        <v/>
      </c>
      <c r="WJ57" s="12">
        <f>SUM(WI46:WI57)</f>
        <v/>
      </c>
      <c r="WK57" s="12">
        <f>OR(WK56,IF(VATAgentMode,SUM($WI46:$WI57)-SUM($WP46:$WP57)&gt;=VATThreshold,SUM($WI46:$WI57)&gt;=VATThreshold))</f>
        <v/>
      </c>
      <c r="WL57" s="9">
        <f>IF(WK57,IF(VATAgentMode,WI57-((WI57-WP57)-(WI57-WP57)/(1+VATRate)),WI57/(1+VATRate)),WI57)</f>
        <v/>
      </c>
      <c r="WM57" s="12">
        <f>WI57-WL57</f>
        <v/>
      </c>
      <c r="WN57" s="12">
        <f>IF(WK57=0,0,IF(VF57=1,SUMPRODUCT(--(($VG$5:$VG57=$VG57-1)*($VF$5:$VF57&gt;=10)*($VF$5:$VF57&lt;=12)),$WM$5:$WM57),IF(VF57=4,SUMPRODUCT(--(($VG$5:$VG57=$VG57)*($VF$5:$VF57&gt;=1)*($VF$5:$VF57&lt;=3)),$WM$5:$WM57),IF(VF57=7,SUMPRODUCT(--(($VG$5:$VG57=$VG57)*($VF$5:$VF57&gt;=4)*($VF$5:$VF57&lt;=6)),$WM$5:$WM57),IF(VF57=10,SUMPRODUCT(--(($VG$5:$VG57=$VG57)*($VF$5:$VF57&gt;=7)*($VF$5:$VF57&lt;=9)),$WM$5:$WM57),0)))))</f>
        <v/>
      </c>
      <c r="WO57" s="12">
        <f>WO56+WM57-WN57</f>
        <v/>
      </c>
      <c r="WP57" s="12">
        <f>IF(ProviderDelay&gt;=1,VW56*BlendedProvPayEss+VX56*BlendedProvPayPrem+VY56*BlendedProvPayElite+VZ56*BlendedProvPayEss+WA56*BlendedProvPayPrem+WB56*BlendedProvPayElite,VW57*BlendedProvPayEss+VX57*BlendedProvPayPrem+VY57*BlendedProvPayElite+VZ57*BlendedProvPayEss+WA57*BlendedProvPayPrem+WB57*BlendedProvPayElite)</f>
        <v/>
      </c>
      <c r="WQ57" s="12">
        <f>WI57*PaymentFee</f>
        <v/>
      </c>
      <c r="WR57" s="12">
        <f>WC57*OpsAI</f>
        <v/>
      </c>
      <c r="WS57" s="12">
        <f>MonthlyFixed</f>
        <v/>
      </c>
      <c r="WT57" s="12">
        <f>VM57*ReferralReward</f>
        <v/>
      </c>
      <c r="WU57" s="12">
        <f>VK57</f>
        <v/>
      </c>
      <c r="WV57" s="9">
        <f>WL57-WP57-WQ57-WR57-WS57-WT57-WU57</f>
        <v/>
      </c>
      <c r="WW57" s="9">
        <f>WW56+WI57-(WP57+WQ57+WR57+WS57+WT57+WU57+WN57)</f>
        <v/>
      </c>
      <c r="WX57" s="12">
        <f>IF(WC57&gt;0,WD57/WC57,0)</f>
        <v/>
      </c>
      <c r="WY57" s="11">
        <f>IF(WC56&gt;0,MAX(0,(WC56+VN57-WC57)/WC56),0)</f>
        <v/>
      </c>
      <c r="XA57" s="12" t="n">
        <v>53</v>
      </c>
      <c r="XB57" s="12">
        <f>MOD(XA57-1+LaunchMonth-1,12)+1</f>
        <v/>
      </c>
      <c r="XC57" s="12">
        <f>INT((XA57-1+LaunchMonth-1)/12)+1</f>
        <v/>
      </c>
      <c r="XD57" s="12">
        <f>VLOOKUP(XB57,SeasonTable,2,FALSE)</f>
        <v/>
      </c>
      <c r="XE57" s="12">
        <f>(1+InflationRate)^INT((XA57-1)/12)</f>
        <v/>
      </c>
      <c r="XF57" s="11">
        <f>MonthlyChurn*VLOOKUP(XB57,ChurnSeasonTable,4,FALSE)</f>
        <v/>
      </c>
      <c r="XG57" s="12">
        <f>MIN(MAX(MktMin19plus,YE56*MktPct19plus),MAX(0,YS56-CashBuffer))</f>
        <v/>
      </c>
      <c r="XH57" s="12">
        <f>IF(XG57&gt;0,MAX(1,ROUND(XG57/CAC*XD57,0)),0)</f>
        <v/>
      </c>
      <c r="XI57" s="12">
        <f>IF(XH57&gt;0,ROUND(XH57*ReferralMix/(1-ReferralMix),0),0)</f>
        <v/>
      </c>
      <c r="XJ57" s="12">
        <f>XH57+XI57</f>
        <v/>
      </c>
      <c r="XK57" s="12">
        <f>ROUND(XJ57*(1-'Sens - Annual Mix'!$A$10),0)</f>
        <v/>
      </c>
      <c r="XL57" s="12">
        <f>XJ57-XK57</f>
        <v/>
      </c>
      <c r="XM57" s="12">
        <f>ROUND(XK57*EssentialMix,0)</f>
        <v/>
      </c>
      <c r="XN57" s="12">
        <f>ROUND(XK57*PremiumMix,0)</f>
        <v/>
      </c>
      <c r="XO57" s="12">
        <f>XK57-XM57-XN57</f>
        <v/>
      </c>
      <c r="XP57" s="12">
        <f>ROUND(XL57*EssentialMix,0)</f>
        <v/>
      </c>
      <c r="XQ57" s="12">
        <f>ROUND(XL57*PremiumMix,0)</f>
        <v/>
      </c>
      <c r="XR57" s="12">
        <f>XL57-XP57-XQ57</f>
        <v/>
      </c>
      <c r="XS57" s="12">
        <f>XM57+XM56+XM55+MAX(0,XS56-XM56-XM55)*(1-XF57)</f>
        <v/>
      </c>
      <c r="XT57" s="12">
        <f>XN57+XN56+XN55+MAX(0,XT56-XN56-XN55)*(1-XF57)</f>
        <v/>
      </c>
      <c r="XU57" s="12">
        <f>XO57+XO56+XO55+MAX(0,XU56-XO56-XO55)*(1-XF57)</f>
        <v/>
      </c>
      <c r="XV57" s="12">
        <f>XV56+XP57-XP45*(AnnualChurn*VLOOKUP(XB57,ChurnSeasonTable,4,FALSE))*POWER(1-(AnnualChurn*VLOOKUP(XB57,ChurnSeasonTable,4,FALSE)),0)+XP33*(AnnualChurn*VLOOKUP(XB57,ChurnSeasonTable,4,FALSE))*POWER(1-(AnnualChurn*VLOOKUP(XB57,ChurnSeasonTable,4,FALSE)),1)+XP21*(AnnualChurn*VLOOKUP(XB57,ChurnSeasonTable,4,FALSE))*POWER(1-(AnnualChurn*VLOOKUP(XB57,ChurnSeasonTable,4,FALSE)),2)+XP9*(AnnualChurn*VLOOKUP(XB57,ChurnSeasonTable,4,FALSE))*POWER(1-(AnnualChurn*VLOOKUP(XB57,ChurnSeasonTable,4,FALSE)),3)</f>
        <v/>
      </c>
      <c r="XW57" s="12">
        <f>XW56+XQ57-XQ45*(AnnualChurn*VLOOKUP(XB57,ChurnSeasonTable,4,FALSE))*POWER(1-(AnnualChurn*VLOOKUP(XB57,ChurnSeasonTable,4,FALSE)),0)+XQ33*(AnnualChurn*VLOOKUP(XB57,ChurnSeasonTable,4,FALSE))*POWER(1-(AnnualChurn*VLOOKUP(XB57,ChurnSeasonTable,4,FALSE)),1)+XQ21*(AnnualChurn*VLOOKUP(XB57,ChurnSeasonTable,4,FALSE))*POWER(1-(AnnualChurn*VLOOKUP(XB57,ChurnSeasonTable,4,FALSE)),2)+XQ9*(AnnualChurn*VLOOKUP(XB57,ChurnSeasonTable,4,FALSE))*POWER(1-(AnnualChurn*VLOOKUP(XB57,ChurnSeasonTable,4,FALSE)),3)</f>
        <v/>
      </c>
      <c r="XX57" s="12">
        <f>XX56+XR57-XR45*(AnnualChurn*VLOOKUP(XB57,ChurnSeasonTable,4,FALSE))*POWER(1-(AnnualChurn*VLOOKUP(XB57,ChurnSeasonTable,4,FALSE)),0)+XR33*(AnnualChurn*VLOOKUP(XB57,ChurnSeasonTable,4,FALSE))*POWER(1-(AnnualChurn*VLOOKUP(XB57,ChurnSeasonTable,4,FALSE)),1)+XR21*(AnnualChurn*VLOOKUP(XB57,ChurnSeasonTable,4,FALSE))*POWER(1-(AnnualChurn*VLOOKUP(XB57,ChurnSeasonTable,4,FALSE)),2)+XR9*(AnnualChurn*VLOOKUP(XB57,ChurnSeasonTable,4,FALSE))*POWER(1-(AnnualChurn*VLOOKUP(XB57,ChurnSeasonTable,4,FALSE)),3)</f>
        <v/>
      </c>
      <c r="XY57" s="12">
        <f>XS57+XT57+XU57+XV57+XW57+XX57</f>
        <v/>
      </c>
      <c r="XZ57" s="9">
        <f>XS57*BlendedPriceEssMonthly*XE57+XT57*BlendedPricePremMonthly*XE57+XU57*BlendedPriceEliteMonthly*XE57+XV57*BlendedPriceEssAnnual*XE57/12+XW57*BlendedPricePremAnnual*XE57/12+XX57*BlendedPriceEliteAnnual*XE57/12</f>
        <v/>
      </c>
      <c r="YA57" s="9">
        <f>XZ57*12</f>
        <v/>
      </c>
      <c r="YB57" s="12">
        <f>XS57*BlendedPriceEssMonthly*XE57+XT57*BlendedPricePremMonthly*XE57+XU57*BlendedPriceEliteMonthly*XE57</f>
        <v/>
      </c>
      <c r="YC57" s="12">
        <f>XP57*BlendedPriceEssAnnual*XE57+XQ57*BlendedPricePremAnnual*XE57+XR57*BlendedPriceEliteAnnual*XE57</f>
        <v/>
      </c>
      <c r="YD57" s="12">
        <f>XP45*POWER(1-(AnnualChurn*VLOOKUP(XB57,ChurnSeasonTable,4,FALSE)),1)*BlendedPriceEssAnnual*XE57+XP33*POWER(1-(AnnualChurn*VLOOKUP(XB57,ChurnSeasonTable,4,FALSE)),2)*BlendedPriceEssAnnual*XE57+XP21*POWER(1-(AnnualChurn*VLOOKUP(XB57,ChurnSeasonTable,4,FALSE)),3)*BlendedPriceEssAnnual*XE57+XP9*POWER(1-(AnnualChurn*VLOOKUP(XB57,ChurnSeasonTable,4,FALSE)),4)*BlendedPriceEssAnnual*XE57+XQ45*POWER(1-(AnnualChurn*VLOOKUP(XB57,ChurnSeasonTable,4,FALSE)),1)*BlendedPricePremAnnual*XE57+XQ33*POWER(1-(AnnualChurn*VLOOKUP(XB57,ChurnSeasonTable,4,FALSE)),2)*BlendedPricePremAnnual*XE57+XQ21*POWER(1-(AnnualChurn*VLOOKUP(XB57,ChurnSeasonTable,4,FALSE)),3)*BlendedPricePremAnnual*XE57+XQ9*POWER(1-(AnnualChurn*VLOOKUP(XB57,ChurnSeasonTable,4,FALSE)),4)*BlendedPricePremAnnual*XE57+XR45*POWER(1-(AnnualChurn*VLOOKUP(XB57,ChurnSeasonTable,4,FALSE)),1)*BlendedPriceEliteAnnual*XE57+XR33*POWER(1-(AnnualChurn*VLOOKUP(XB57,ChurnSeasonTable,4,FALSE)),2)*BlendedPriceEliteAnnual*XE57+XR21*POWER(1-(AnnualChurn*VLOOKUP(XB57,ChurnSeasonTable,4,FALSE)),3)*BlendedPriceEliteAnnual*XE57+XR9*POWER(1-(AnnualChurn*VLOOKUP(XB57,ChurnSeasonTable,4,FALSE)),4)*BlendedPriceEliteAnnual*XE57</f>
        <v/>
      </c>
      <c r="YE57" s="9">
        <f>YB57+YC57+YD57</f>
        <v/>
      </c>
      <c r="YF57" s="12">
        <f>SUM(YE46:YE57)</f>
        <v/>
      </c>
      <c r="YG57" s="12">
        <f>OR(YG56,IF(VATAgentMode,SUM($YE46:$YE57)-SUM($YL46:$YL57)&gt;=VATThreshold,SUM($YE46:$YE57)&gt;=VATThreshold))</f>
        <v/>
      </c>
      <c r="YH57" s="9">
        <f>IF(YG57,IF(VATAgentMode,YE57-((YE57-YL57)-(YE57-YL57)/(1+VATRate)),YE57/(1+VATRate)),YE57)</f>
        <v/>
      </c>
      <c r="YI57" s="12">
        <f>YE57-YH57</f>
        <v/>
      </c>
      <c r="YJ57" s="12">
        <f>IF(YG57=0,0,IF(XB57=1,SUMPRODUCT(--(($XC$5:$XC57=$XC57-1)*($XB$5:$XB57&gt;=10)*($XB$5:$XB57&lt;=12)),$YI$5:$YI57),IF(XB57=4,SUMPRODUCT(--(($XC$5:$XC57=$XC57)*($XB$5:$XB57&gt;=1)*($XB$5:$XB57&lt;=3)),$YI$5:$YI57),IF(XB57=7,SUMPRODUCT(--(($XC$5:$XC57=$XC57)*($XB$5:$XB57&gt;=4)*($XB$5:$XB57&lt;=6)),$YI$5:$YI57),IF(XB57=10,SUMPRODUCT(--(($XC$5:$XC57=$XC57)*($XB$5:$XB57&gt;=7)*($XB$5:$XB57&lt;=9)),$YI$5:$YI57),0)))))</f>
        <v/>
      </c>
      <c r="YK57" s="12">
        <f>YK56+YI57-YJ57</f>
        <v/>
      </c>
      <c r="YL57" s="12">
        <f>IF(ProviderDelay&gt;=1,XS56*BlendedProvPayEss+XT56*BlendedProvPayPrem+XU56*BlendedProvPayElite+XV56*BlendedProvPayEss+XW56*BlendedProvPayPrem+XX56*BlendedProvPayElite,XS57*BlendedProvPayEss+XT57*BlendedProvPayPrem+XU57*BlendedProvPayElite+XV57*BlendedProvPayEss+XW57*BlendedProvPayPrem+XX57*BlendedProvPayElite)</f>
        <v/>
      </c>
      <c r="YM57" s="12">
        <f>YE57*PaymentFee</f>
        <v/>
      </c>
      <c r="YN57" s="12">
        <f>XY57*OpsAI</f>
        <v/>
      </c>
      <c r="YO57" s="12">
        <f>MonthlyFixed</f>
        <v/>
      </c>
      <c r="YP57" s="12">
        <f>XI57*ReferralReward</f>
        <v/>
      </c>
      <c r="YQ57" s="12">
        <f>XG57</f>
        <v/>
      </c>
      <c r="YR57" s="9">
        <f>YH57-YL57-YM57-YN57-YO57-YP57-YQ57</f>
        <v/>
      </c>
      <c r="YS57" s="9">
        <f>YS56+YE57-(YL57+YM57+YN57+YO57+YP57+YQ57+YJ57)</f>
        <v/>
      </c>
      <c r="YT57" s="12">
        <f>IF(XY57&gt;0,XZ57/XY57,0)</f>
        <v/>
      </c>
      <c r="YU57" s="11">
        <f>IF(XY56&gt;0,MAX(0,(XY56+XJ57-XY57)/XY56),0)</f>
        <v/>
      </c>
      <c r="YW57" s="12" t="n">
        <v>53</v>
      </c>
      <c r="YX57" s="12">
        <f>MOD(YW57-1+LaunchMonth-1,12)+1</f>
        <v/>
      </c>
      <c r="YY57" s="12">
        <f>INT((YW57-1+LaunchMonth-1)/12)+1</f>
        <v/>
      </c>
      <c r="YZ57" s="12">
        <f>VLOOKUP(YX57,SeasonTable,2,FALSE)</f>
        <v/>
      </c>
      <c r="ZA57" s="12">
        <f>(1+InflationRate)^INT((YW57-1)/12)</f>
        <v/>
      </c>
      <c r="ZB57" s="11">
        <f>MonthlyChurn*VLOOKUP(YX57,ChurnSeasonTable,4,FALSE)</f>
        <v/>
      </c>
      <c r="ZC57" s="12">
        <f>MIN(MAX(MktMin19plus,AAA56*MktPct19plus),MAX(0,AAO56-CashBuffer))</f>
        <v/>
      </c>
      <c r="ZD57" s="12">
        <f>IF(ZC57&gt;0,MAX(1,ROUND(ZC57/CAC*YZ57,0)),0)</f>
        <v/>
      </c>
      <c r="ZE57" s="12">
        <f>IF(ZD57&gt;0,ROUND(ZD57*ReferralMix/(1-ReferralMix),0),0)</f>
        <v/>
      </c>
      <c r="ZF57" s="12">
        <f>ZD57+ZE57</f>
        <v/>
      </c>
      <c r="ZG57" s="12">
        <f>ROUND(ZF57*(1-'Sens - Annual Mix'!$A$11),0)</f>
        <v/>
      </c>
      <c r="ZH57" s="12">
        <f>ZF57-ZG57</f>
        <v/>
      </c>
      <c r="ZI57" s="12">
        <f>ROUND(ZG57*EssentialMix,0)</f>
        <v/>
      </c>
      <c r="ZJ57" s="12">
        <f>ROUND(ZG57*PremiumMix,0)</f>
        <v/>
      </c>
      <c r="ZK57" s="12">
        <f>ZG57-ZI57-ZJ57</f>
        <v/>
      </c>
      <c r="ZL57" s="12">
        <f>ROUND(ZH57*EssentialMix,0)</f>
        <v/>
      </c>
      <c r="ZM57" s="12">
        <f>ROUND(ZH57*PremiumMix,0)</f>
        <v/>
      </c>
      <c r="ZN57" s="12">
        <f>ZH57-ZL57-ZM57</f>
        <v/>
      </c>
      <c r="ZO57" s="12">
        <f>ZI57+ZI56+ZI55+MAX(0,ZO56-ZI56-ZI55)*(1-ZB57)</f>
        <v/>
      </c>
      <c r="ZP57" s="12">
        <f>ZJ57+ZJ56+ZJ55+MAX(0,ZP56-ZJ56-ZJ55)*(1-ZB57)</f>
        <v/>
      </c>
      <c r="ZQ57" s="12">
        <f>ZK57+ZK56+ZK55+MAX(0,ZQ56-ZK56-ZK55)*(1-ZB57)</f>
        <v/>
      </c>
      <c r="ZR57" s="12">
        <f>ZR56+ZL57-ZL45*(AnnualChurn*VLOOKUP(YX57,ChurnSeasonTable,4,FALSE))*POWER(1-(AnnualChurn*VLOOKUP(YX57,ChurnSeasonTable,4,FALSE)),0)+ZL33*(AnnualChurn*VLOOKUP(YX57,ChurnSeasonTable,4,FALSE))*POWER(1-(AnnualChurn*VLOOKUP(YX57,ChurnSeasonTable,4,FALSE)),1)+ZL21*(AnnualChurn*VLOOKUP(YX57,ChurnSeasonTable,4,FALSE))*POWER(1-(AnnualChurn*VLOOKUP(YX57,ChurnSeasonTable,4,FALSE)),2)+ZL9*(AnnualChurn*VLOOKUP(YX57,ChurnSeasonTable,4,FALSE))*POWER(1-(AnnualChurn*VLOOKUP(YX57,ChurnSeasonTable,4,FALSE)),3)</f>
        <v/>
      </c>
      <c r="ZS57" s="12">
        <f>ZS56+ZM57-ZM45*(AnnualChurn*VLOOKUP(YX57,ChurnSeasonTable,4,FALSE))*POWER(1-(AnnualChurn*VLOOKUP(YX57,ChurnSeasonTable,4,FALSE)),0)+ZM33*(AnnualChurn*VLOOKUP(YX57,ChurnSeasonTable,4,FALSE))*POWER(1-(AnnualChurn*VLOOKUP(YX57,ChurnSeasonTable,4,FALSE)),1)+ZM21*(AnnualChurn*VLOOKUP(YX57,ChurnSeasonTable,4,FALSE))*POWER(1-(AnnualChurn*VLOOKUP(YX57,ChurnSeasonTable,4,FALSE)),2)+ZM9*(AnnualChurn*VLOOKUP(YX57,ChurnSeasonTable,4,FALSE))*POWER(1-(AnnualChurn*VLOOKUP(YX57,ChurnSeasonTable,4,FALSE)),3)</f>
        <v/>
      </c>
      <c r="ZT57" s="12">
        <f>ZT56+ZN57-ZN45*(AnnualChurn*VLOOKUP(YX57,ChurnSeasonTable,4,FALSE))*POWER(1-(AnnualChurn*VLOOKUP(YX57,ChurnSeasonTable,4,FALSE)),0)+ZN33*(AnnualChurn*VLOOKUP(YX57,ChurnSeasonTable,4,FALSE))*POWER(1-(AnnualChurn*VLOOKUP(YX57,ChurnSeasonTable,4,FALSE)),1)+ZN21*(AnnualChurn*VLOOKUP(YX57,ChurnSeasonTable,4,FALSE))*POWER(1-(AnnualChurn*VLOOKUP(YX57,ChurnSeasonTable,4,FALSE)),2)+ZN9*(AnnualChurn*VLOOKUP(YX57,ChurnSeasonTable,4,FALSE))*POWER(1-(AnnualChurn*VLOOKUP(YX57,ChurnSeasonTable,4,FALSE)),3)</f>
        <v/>
      </c>
      <c r="ZU57" s="12">
        <f>ZO57+ZP57+ZQ57+ZR57+ZS57+ZT57</f>
        <v/>
      </c>
      <c r="ZV57" s="9">
        <f>ZO57*BlendedPriceEssMonthly*ZA57+ZP57*BlendedPricePremMonthly*ZA57+ZQ57*BlendedPriceEliteMonthly*ZA57+ZR57*BlendedPriceEssAnnual*ZA57/12+ZS57*BlendedPricePremAnnual*ZA57/12+ZT57*BlendedPriceEliteAnnual*ZA57/12</f>
        <v/>
      </c>
      <c r="ZW57" s="9">
        <f>ZV57*12</f>
        <v/>
      </c>
      <c r="ZX57" s="12">
        <f>ZO57*BlendedPriceEssMonthly*ZA57+ZP57*BlendedPricePremMonthly*ZA57+ZQ57*BlendedPriceEliteMonthly*ZA57</f>
        <v/>
      </c>
      <c r="ZY57" s="12">
        <f>ZL57*BlendedPriceEssAnnual*ZA57+ZM57*BlendedPricePremAnnual*ZA57+ZN57*BlendedPriceEliteAnnual*ZA57</f>
        <v/>
      </c>
      <c r="ZZ57" s="12">
        <f>ZL45*POWER(1-(AnnualChurn*VLOOKUP(YX57,ChurnSeasonTable,4,FALSE)),1)*BlendedPriceEssAnnual*ZA57+ZL33*POWER(1-(AnnualChurn*VLOOKUP(YX57,ChurnSeasonTable,4,FALSE)),2)*BlendedPriceEssAnnual*ZA57+ZL21*POWER(1-(AnnualChurn*VLOOKUP(YX57,ChurnSeasonTable,4,FALSE)),3)*BlendedPriceEssAnnual*ZA57+ZL9*POWER(1-(AnnualChurn*VLOOKUP(YX57,ChurnSeasonTable,4,FALSE)),4)*BlendedPriceEssAnnual*ZA57+ZM45*POWER(1-(AnnualChurn*VLOOKUP(YX57,ChurnSeasonTable,4,FALSE)),1)*BlendedPricePremAnnual*ZA57+ZM33*POWER(1-(AnnualChurn*VLOOKUP(YX57,ChurnSeasonTable,4,FALSE)),2)*BlendedPricePremAnnual*ZA57+ZM21*POWER(1-(AnnualChurn*VLOOKUP(YX57,ChurnSeasonTable,4,FALSE)),3)*BlendedPricePremAnnual*ZA57+ZM9*POWER(1-(AnnualChurn*VLOOKUP(YX57,ChurnSeasonTable,4,FALSE)),4)*BlendedPricePremAnnual*ZA57+ZN45*POWER(1-(AnnualChurn*VLOOKUP(YX57,ChurnSeasonTable,4,FALSE)),1)*BlendedPriceEliteAnnual*ZA57+ZN33*POWER(1-(AnnualChurn*VLOOKUP(YX57,ChurnSeasonTable,4,FALSE)),2)*BlendedPriceEliteAnnual*ZA57+ZN21*POWER(1-(AnnualChurn*VLOOKUP(YX57,ChurnSeasonTable,4,FALSE)),3)*BlendedPriceEliteAnnual*ZA57+ZN9*POWER(1-(AnnualChurn*VLOOKUP(YX57,ChurnSeasonTable,4,FALSE)),4)*BlendedPriceEliteAnnual*ZA57</f>
        <v/>
      </c>
      <c r="AAA57" s="9">
        <f>ZX57+ZY57+ZZ57</f>
        <v/>
      </c>
      <c r="AAB57" s="12">
        <f>SUM(AAA46:AAA57)</f>
        <v/>
      </c>
      <c r="AAC57" s="12">
        <f>OR(AAC56,IF(VATAgentMode,SUM($AAA46:$AAA57)-SUM($AAH46:$AAH57)&gt;=VATThreshold,SUM($AAA46:$AAA57)&gt;=VATThreshold))</f>
        <v/>
      </c>
      <c r="AAD57" s="9">
        <f>IF(AAC57,IF(VATAgentMode,AAA57-((AAA57-AAH57)-(AAA57-AAH57)/(1+VATRate)),AAA57/(1+VATRate)),AAA57)</f>
        <v/>
      </c>
      <c r="AAE57" s="12">
        <f>AAA57-AAD57</f>
        <v/>
      </c>
      <c r="AAF57" s="12">
        <f>IF(AAC57=0,0,IF(YX57=1,SUMPRODUCT(--(($YY$5:$YY57=$YY57-1)*($YX$5:$YX57&gt;=10)*($YX$5:$YX57&lt;=12)),$AAE$5:$AAE57),IF(YX57=4,SUMPRODUCT(--(($YY$5:$YY57=$YY57)*($YX$5:$YX57&gt;=1)*($YX$5:$YX57&lt;=3)),$AAE$5:$AAE57),IF(YX57=7,SUMPRODUCT(--(($YY$5:$YY57=$YY57)*($YX$5:$YX57&gt;=4)*($YX$5:$YX57&lt;=6)),$AAE$5:$AAE57),IF(YX57=10,SUMPRODUCT(--(($YY$5:$YY57=$YY57)*($YX$5:$YX57&gt;=7)*($YX$5:$YX57&lt;=9)),$AAE$5:$AAE57),0)))))</f>
        <v/>
      </c>
      <c r="AAG57" s="12">
        <f>AAG56+AAE57-AAF57</f>
        <v/>
      </c>
      <c r="AAH57" s="12">
        <f>IF(ProviderDelay&gt;=1,ZO56*BlendedProvPayEss+ZP56*BlendedProvPayPrem+ZQ56*BlendedProvPayElite+ZR56*BlendedProvPayEss+ZS56*BlendedProvPayPrem+ZT56*BlendedProvPayElite,ZO57*BlendedProvPayEss+ZP57*BlendedProvPayPrem+ZQ57*BlendedProvPayElite+ZR57*BlendedProvPayEss+ZS57*BlendedProvPayPrem+ZT57*BlendedProvPayElite)</f>
        <v/>
      </c>
      <c r="AAI57" s="12">
        <f>AAA57*PaymentFee</f>
        <v/>
      </c>
      <c r="AAJ57" s="12">
        <f>ZU57*OpsAI</f>
        <v/>
      </c>
      <c r="AAK57" s="12">
        <f>MonthlyFixed</f>
        <v/>
      </c>
      <c r="AAL57" s="12">
        <f>ZE57*ReferralReward</f>
        <v/>
      </c>
      <c r="AAM57" s="12">
        <f>ZC57</f>
        <v/>
      </c>
      <c r="AAN57" s="9">
        <f>AAD57-AAH57-AAI57-AAJ57-AAK57-AAL57-AAM57</f>
        <v/>
      </c>
      <c r="AAO57" s="9">
        <f>AAO56+AAA57-(AAH57+AAI57+AAJ57+AAK57+AAL57+AAM57+AAF57)</f>
        <v/>
      </c>
      <c r="AAP57" s="12">
        <f>IF(ZU57&gt;0,ZV57/ZU57,0)</f>
        <v/>
      </c>
      <c r="AAQ57" s="11">
        <f>IF(ZU56&gt;0,MAX(0,(ZU56+ZF57-ZU57)/ZU56),0)</f>
        <v/>
      </c>
      <c r="AAS57" s="12" t="n">
        <v>53</v>
      </c>
      <c r="AAT57" s="12">
        <f>MOD(AAS57-1+LaunchMonth-1,12)+1</f>
        <v/>
      </c>
      <c r="AAU57" s="12">
        <f>INT((AAS57-1+LaunchMonth-1)/12)+1</f>
        <v/>
      </c>
      <c r="AAV57" s="12">
        <f>VLOOKUP(AAT57,SeasonTable,2,FALSE)</f>
        <v/>
      </c>
      <c r="AAW57" s="12">
        <f>(1+InflationRate)^INT((AAS57-1)/12)</f>
        <v/>
      </c>
      <c r="AAX57" s="11">
        <f>MonthlyChurn*VLOOKUP(AAT57,ChurnSeasonTable,4,FALSE)</f>
        <v/>
      </c>
      <c r="AAY57" s="12">
        <f>MIN(MAX(MktMin19plus,ABW56*MktPct19plus),MAX(0,ACK56-CashBuffer))</f>
        <v/>
      </c>
      <c r="AAZ57" s="12">
        <f>IF(AAY57&gt;0,MAX(1,ROUND(AAY57/CAC*AAV57,0)),0)</f>
        <v/>
      </c>
      <c r="ABA57" s="12">
        <f>IF(AAZ57&gt;0,ROUND(AAZ57*ReferralMix/(1-ReferralMix),0),0)</f>
        <v/>
      </c>
      <c r="ABB57" s="12">
        <f>AAZ57+ABA57</f>
        <v/>
      </c>
      <c r="ABC57" s="12">
        <f>ROUND(ABB57*(1-'Sens - Annual Mix'!$A$12),0)</f>
        <v/>
      </c>
      <c r="ABD57" s="12">
        <f>ABB57-ABC57</f>
        <v/>
      </c>
      <c r="ABE57" s="12">
        <f>ROUND(ABC57*EssentialMix,0)</f>
        <v/>
      </c>
      <c r="ABF57" s="12">
        <f>ROUND(ABC57*PremiumMix,0)</f>
        <v/>
      </c>
      <c r="ABG57" s="12">
        <f>ABC57-ABE57-ABF57</f>
        <v/>
      </c>
      <c r="ABH57" s="12">
        <f>ROUND(ABD57*EssentialMix,0)</f>
        <v/>
      </c>
      <c r="ABI57" s="12">
        <f>ROUND(ABD57*PremiumMix,0)</f>
        <v/>
      </c>
      <c r="ABJ57" s="12">
        <f>ABD57-ABH57-ABI57</f>
        <v/>
      </c>
      <c r="ABK57" s="12">
        <f>ABE57+ABE56+ABE55+MAX(0,ABK56-ABE56-ABE55)*(1-AAX57)</f>
        <v/>
      </c>
      <c r="ABL57" s="12">
        <f>ABF57+ABF56+ABF55+MAX(0,ABL56-ABF56-ABF55)*(1-AAX57)</f>
        <v/>
      </c>
      <c r="ABM57" s="12">
        <f>ABG57+ABG56+ABG55+MAX(0,ABM56-ABG56-ABG55)*(1-AAX57)</f>
        <v/>
      </c>
      <c r="ABN57" s="12">
        <f>ABN56+ABH57-ABH45*(AnnualChurn*VLOOKUP(AAT57,ChurnSeasonTable,4,FALSE))*POWER(1-(AnnualChurn*VLOOKUP(AAT57,ChurnSeasonTable,4,FALSE)),0)+ABH33*(AnnualChurn*VLOOKUP(AAT57,ChurnSeasonTable,4,FALSE))*POWER(1-(AnnualChurn*VLOOKUP(AAT57,ChurnSeasonTable,4,FALSE)),1)+ABH21*(AnnualChurn*VLOOKUP(AAT57,ChurnSeasonTable,4,FALSE))*POWER(1-(AnnualChurn*VLOOKUP(AAT57,ChurnSeasonTable,4,FALSE)),2)+ABH9*(AnnualChurn*VLOOKUP(AAT57,ChurnSeasonTable,4,FALSE))*POWER(1-(AnnualChurn*VLOOKUP(AAT57,ChurnSeasonTable,4,FALSE)),3)</f>
        <v/>
      </c>
      <c r="ABO57" s="12">
        <f>ABO56+ABI57-ABI45*(AnnualChurn*VLOOKUP(AAT57,ChurnSeasonTable,4,FALSE))*POWER(1-(AnnualChurn*VLOOKUP(AAT57,ChurnSeasonTable,4,FALSE)),0)+ABI33*(AnnualChurn*VLOOKUP(AAT57,ChurnSeasonTable,4,FALSE))*POWER(1-(AnnualChurn*VLOOKUP(AAT57,ChurnSeasonTable,4,FALSE)),1)+ABI21*(AnnualChurn*VLOOKUP(AAT57,ChurnSeasonTable,4,FALSE))*POWER(1-(AnnualChurn*VLOOKUP(AAT57,ChurnSeasonTable,4,FALSE)),2)+ABI9*(AnnualChurn*VLOOKUP(AAT57,ChurnSeasonTable,4,FALSE))*POWER(1-(AnnualChurn*VLOOKUP(AAT57,ChurnSeasonTable,4,FALSE)),3)</f>
        <v/>
      </c>
      <c r="ABP57" s="12">
        <f>ABP56+ABJ57-ABJ45*(AnnualChurn*VLOOKUP(AAT57,ChurnSeasonTable,4,FALSE))*POWER(1-(AnnualChurn*VLOOKUP(AAT57,ChurnSeasonTable,4,FALSE)),0)+ABJ33*(AnnualChurn*VLOOKUP(AAT57,ChurnSeasonTable,4,FALSE))*POWER(1-(AnnualChurn*VLOOKUP(AAT57,ChurnSeasonTable,4,FALSE)),1)+ABJ21*(AnnualChurn*VLOOKUP(AAT57,ChurnSeasonTable,4,FALSE))*POWER(1-(AnnualChurn*VLOOKUP(AAT57,ChurnSeasonTable,4,FALSE)),2)+ABJ9*(AnnualChurn*VLOOKUP(AAT57,ChurnSeasonTable,4,FALSE))*POWER(1-(AnnualChurn*VLOOKUP(AAT57,ChurnSeasonTable,4,FALSE)),3)</f>
        <v/>
      </c>
      <c r="ABQ57" s="12">
        <f>ABK57+ABL57+ABM57+ABN57+ABO57+ABP57</f>
        <v/>
      </c>
      <c r="ABR57" s="9">
        <f>ABK57*BlendedPriceEssMonthly*AAW57+ABL57*BlendedPricePremMonthly*AAW57+ABM57*BlendedPriceEliteMonthly*AAW57+ABN57*BlendedPriceEssAnnual*AAW57/12+ABO57*BlendedPricePremAnnual*AAW57/12+ABP57*BlendedPriceEliteAnnual*AAW57/12</f>
        <v/>
      </c>
      <c r="ABS57" s="9">
        <f>ABR57*12</f>
        <v/>
      </c>
      <c r="ABT57" s="12">
        <f>ABK57*BlendedPriceEssMonthly*AAW57+ABL57*BlendedPricePremMonthly*AAW57+ABM57*BlendedPriceEliteMonthly*AAW57</f>
        <v/>
      </c>
      <c r="ABU57" s="12">
        <f>ABH57*BlendedPriceEssAnnual*AAW57+ABI57*BlendedPricePremAnnual*AAW57+ABJ57*BlendedPriceEliteAnnual*AAW57</f>
        <v/>
      </c>
      <c r="ABV57" s="12">
        <f>ABH45*POWER(1-(AnnualChurn*VLOOKUP(AAT57,ChurnSeasonTable,4,FALSE)),1)*BlendedPriceEssAnnual*AAW57+ABH33*POWER(1-(AnnualChurn*VLOOKUP(AAT57,ChurnSeasonTable,4,FALSE)),2)*BlendedPriceEssAnnual*AAW57+ABH21*POWER(1-(AnnualChurn*VLOOKUP(AAT57,ChurnSeasonTable,4,FALSE)),3)*BlendedPriceEssAnnual*AAW57+ABH9*POWER(1-(AnnualChurn*VLOOKUP(AAT57,ChurnSeasonTable,4,FALSE)),4)*BlendedPriceEssAnnual*AAW57+ABI45*POWER(1-(AnnualChurn*VLOOKUP(AAT57,ChurnSeasonTable,4,FALSE)),1)*BlendedPricePremAnnual*AAW57+ABI33*POWER(1-(AnnualChurn*VLOOKUP(AAT57,ChurnSeasonTable,4,FALSE)),2)*BlendedPricePremAnnual*AAW57+ABI21*POWER(1-(AnnualChurn*VLOOKUP(AAT57,ChurnSeasonTable,4,FALSE)),3)*BlendedPricePremAnnual*AAW57+ABI9*POWER(1-(AnnualChurn*VLOOKUP(AAT57,ChurnSeasonTable,4,FALSE)),4)*BlendedPricePremAnnual*AAW57+ABJ45*POWER(1-(AnnualChurn*VLOOKUP(AAT57,ChurnSeasonTable,4,FALSE)),1)*BlendedPriceEliteAnnual*AAW57+ABJ33*POWER(1-(AnnualChurn*VLOOKUP(AAT57,ChurnSeasonTable,4,FALSE)),2)*BlendedPriceEliteAnnual*AAW57+ABJ21*POWER(1-(AnnualChurn*VLOOKUP(AAT57,ChurnSeasonTable,4,FALSE)),3)*BlendedPriceEliteAnnual*AAW57+ABJ9*POWER(1-(AnnualChurn*VLOOKUP(AAT57,ChurnSeasonTable,4,FALSE)),4)*BlendedPriceEliteAnnual*AAW57</f>
        <v/>
      </c>
      <c r="ABW57" s="9">
        <f>ABT57+ABU57+ABV57</f>
        <v/>
      </c>
      <c r="ABX57" s="12">
        <f>SUM(ABW46:ABW57)</f>
        <v/>
      </c>
      <c r="ABY57" s="12">
        <f>OR(ABY56,IF(VATAgentMode,SUM($ABW46:$ABW57)-SUM($ACD46:$ACD57)&gt;=VATThreshold,SUM($ABW46:$ABW57)&gt;=VATThreshold))</f>
        <v/>
      </c>
      <c r="ABZ57" s="9">
        <f>IF(ABY57,IF(VATAgentMode,ABW57-((ABW57-ACD57)-(ABW57-ACD57)/(1+VATRate)),ABW57/(1+VATRate)),ABW57)</f>
        <v/>
      </c>
      <c r="ACA57" s="12">
        <f>ABW57-ABZ57</f>
        <v/>
      </c>
      <c r="ACB57" s="12">
        <f>IF(ABY57=0,0,IF(AAT57=1,SUMPRODUCT(--(($AAU$5:$AAU57=$AAU57-1)*($AAT$5:$AAT57&gt;=10)*($AAT$5:$AAT57&lt;=12)),$ACA$5:$ACA57),IF(AAT57=4,SUMPRODUCT(--(($AAU$5:$AAU57=$AAU57)*($AAT$5:$AAT57&gt;=1)*($AAT$5:$AAT57&lt;=3)),$ACA$5:$ACA57),IF(AAT57=7,SUMPRODUCT(--(($AAU$5:$AAU57=$AAU57)*($AAT$5:$AAT57&gt;=4)*($AAT$5:$AAT57&lt;=6)),$ACA$5:$ACA57),IF(AAT57=10,SUMPRODUCT(--(($AAU$5:$AAU57=$AAU57)*($AAT$5:$AAT57&gt;=7)*($AAT$5:$AAT57&lt;=9)),$ACA$5:$ACA57),0)))))</f>
        <v/>
      </c>
      <c r="ACC57" s="12">
        <f>ACC56+ACA57-ACB57</f>
        <v/>
      </c>
      <c r="ACD57" s="12">
        <f>IF(ProviderDelay&gt;=1,ABK56*BlendedProvPayEss+ABL56*BlendedProvPayPrem+ABM56*BlendedProvPayElite+ABN56*BlendedProvPayEss+ABO56*BlendedProvPayPrem+ABP56*BlendedProvPayElite,ABK57*BlendedProvPayEss+ABL57*BlendedProvPayPrem+ABM57*BlendedProvPayElite+ABN57*BlendedProvPayEss+ABO57*BlendedProvPayPrem+ABP57*BlendedProvPayElite)</f>
        <v/>
      </c>
      <c r="ACE57" s="12">
        <f>ABW57*PaymentFee</f>
        <v/>
      </c>
      <c r="ACF57" s="12">
        <f>ABQ57*OpsAI</f>
        <v/>
      </c>
      <c r="ACG57" s="12">
        <f>MonthlyFixed</f>
        <v/>
      </c>
      <c r="ACH57" s="12">
        <f>ABA57*ReferralReward</f>
        <v/>
      </c>
      <c r="ACI57" s="12">
        <f>AAY57</f>
        <v/>
      </c>
      <c r="ACJ57" s="9">
        <f>ABZ57-ACD57-ACE57-ACF57-ACG57-ACH57-ACI57</f>
        <v/>
      </c>
      <c r="ACK57" s="9">
        <f>ACK56+ABW57-(ACD57+ACE57+ACF57+ACG57+ACH57+ACI57+ACB57)</f>
        <v/>
      </c>
      <c r="ACL57" s="12">
        <f>IF(ABQ57&gt;0,ABR57/ABQ57,0)</f>
        <v/>
      </c>
      <c r="ACM57" s="11">
        <f>IF(ABQ56&gt;0,MAX(0,(ABQ56+ABB57-ABQ57)/ABQ56),0)</f>
        <v/>
      </c>
      <c r="ACO57" s="12" t="n">
        <v>53</v>
      </c>
      <c r="ACP57" s="12">
        <f>MOD(ACO57-1+LaunchMonth-1,12)+1</f>
        <v/>
      </c>
      <c r="ACQ57" s="12">
        <f>INT((ACO57-1+LaunchMonth-1)/12)+1</f>
        <v/>
      </c>
      <c r="ACR57" s="12">
        <f>VLOOKUP(ACP57,SeasonTable,2,FALSE)</f>
        <v/>
      </c>
      <c r="ACS57" s="12">
        <f>(1+InflationRate)^INT((ACO57-1)/12)</f>
        <v/>
      </c>
      <c r="ACT57" s="11">
        <f>MonthlyChurn*VLOOKUP(ACP57,ChurnSeasonTable,4,FALSE)</f>
        <v/>
      </c>
      <c r="ACU57" s="12">
        <f>MIN(MAX(MktMin19plus,ADS56*MktPct19plus),MAX(0,AEG56-CashBuffer))</f>
        <v/>
      </c>
      <c r="ACV57" s="12">
        <f>IF(ACU57&gt;0,MAX(1,ROUND(ACU57/CAC*ACR57,0)),0)</f>
        <v/>
      </c>
      <c r="ACW57" s="12">
        <f>IF(ACV57&gt;0,ROUND(ACV57*ReferralMix/(1-ReferralMix),0),0)</f>
        <v/>
      </c>
      <c r="ACX57" s="12">
        <f>ACV57+ACW57</f>
        <v/>
      </c>
      <c r="ACY57" s="12">
        <f>ROUND(ACX57*(1-'Sens - Annual Mix'!$A$13),0)</f>
        <v/>
      </c>
      <c r="ACZ57" s="12">
        <f>ACX57-ACY57</f>
        <v/>
      </c>
      <c r="ADA57" s="12">
        <f>ROUND(ACY57*EssentialMix,0)</f>
        <v/>
      </c>
      <c r="ADB57" s="12">
        <f>ROUND(ACY57*PremiumMix,0)</f>
        <v/>
      </c>
      <c r="ADC57" s="12">
        <f>ACY57-ADA57-ADB57</f>
        <v/>
      </c>
      <c r="ADD57" s="12">
        <f>ROUND(ACZ57*EssentialMix,0)</f>
        <v/>
      </c>
      <c r="ADE57" s="12">
        <f>ROUND(ACZ57*PremiumMix,0)</f>
        <v/>
      </c>
      <c r="ADF57" s="12">
        <f>ACZ57-ADD57-ADE57</f>
        <v/>
      </c>
      <c r="ADG57" s="12">
        <f>ADA57+ADA56+ADA55+MAX(0,ADG56-ADA56-ADA55)*(1-ACT57)</f>
        <v/>
      </c>
      <c r="ADH57" s="12">
        <f>ADB57+ADB56+ADB55+MAX(0,ADH56-ADB56-ADB55)*(1-ACT57)</f>
        <v/>
      </c>
      <c r="ADI57" s="12">
        <f>ADC57+ADC56+ADC55+MAX(0,ADI56-ADC56-ADC55)*(1-ACT57)</f>
        <v/>
      </c>
      <c r="ADJ57" s="12">
        <f>ADJ56+ADD57-ADD45*(AnnualChurn*VLOOKUP(ACP57,ChurnSeasonTable,4,FALSE))*POWER(1-(AnnualChurn*VLOOKUP(ACP57,ChurnSeasonTable,4,FALSE)),0)+ADD33*(AnnualChurn*VLOOKUP(ACP57,ChurnSeasonTable,4,FALSE))*POWER(1-(AnnualChurn*VLOOKUP(ACP57,ChurnSeasonTable,4,FALSE)),1)+ADD21*(AnnualChurn*VLOOKUP(ACP57,ChurnSeasonTable,4,FALSE))*POWER(1-(AnnualChurn*VLOOKUP(ACP57,ChurnSeasonTable,4,FALSE)),2)+ADD9*(AnnualChurn*VLOOKUP(ACP57,ChurnSeasonTable,4,FALSE))*POWER(1-(AnnualChurn*VLOOKUP(ACP57,ChurnSeasonTable,4,FALSE)),3)</f>
        <v/>
      </c>
      <c r="ADK57" s="12">
        <f>ADK56+ADE57-ADE45*(AnnualChurn*VLOOKUP(ACP57,ChurnSeasonTable,4,FALSE))*POWER(1-(AnnualChurn*VLOOKUP(ACP57,ChurnSeasonTable,4,FALSE)),0)+ADE33*(AnnualChurn*VLOOKUP(ACP57,ChurnSeasonTable,4,FALSE))*POWER(1-(AnnualChurn*VLOOKUP(ACP57,ChurnSeasonTable,4,FALSE)),1)+ADE21*(AnnualChurn*VLOOKUP(ACP57,ChurnSeasonTable,4,FALSE))*POWER(1-(AnnualChurn*VLOOKUP(ACP57,ChurnSeasonTable,4,FALSE)),2)+ADE9*(AnnualChurn*VLOOKUP(ACP57,ChurnSeasonTable,4,FALSE))*POWER(1-(AnnualChurn*VLOOKUP(ACP57,ChurnSeasonTable,4,FALSE)),3)</f>
        <v/>
      </c>
      <c r="ADL57" s="12">
        <f>ADL56+ADF57-ADF45*(AnnualChurn*VLOOKUP(ACP57,ChurnSeasonTable,4,FALSE))*POWER(1-(AnnualChurn*VLOOKUP(ACP57,ChurnSeasonTable,4,FALSE)),0)+ADF33*(AnnualChurn*VLOOKUP(ACP57,ChurnSeasonTable,4,FALSE))*POWER(1-(AnnualChurn*VLOOKUP(ACP57,ChurnSeasonTable,4,FALSE)),1)+ADF21*(AnnualChurn*VLOOKUP(ACP57,ChurnSeasonTable,4,FALSE))*POWER(1-(AnnualChurn*VLOOKUP(ACP57,ChurnSeasonTable,4,FALSE)),2)+ADF9*(AnnualChurn*VLOOKUP(ACP57,ChurnSeasonTable,4,FALSE))*POWER(1-(AnnualChurn*VLOOKUP(ACP57,ChurnSeasonTable,4,FALSE)),3)</f>
        <v/>
      </c>
      <c r="ADM57" s="12">
        <f>ADG57+ADH57+ADI57+ADJ57+ADK57+ADL57</f>
        <v/>
      </c>
      <c r="ADN57" s="9">
        <f>ADG57*BlendedPriceEssMonthly*ACS57+ADH57*BlendedPricePremMonthly*ACS57+ADI57*BlendedPriceEliteMonthly*ACS57+ADJ57*BlendedPriceEssAnnual*ACS57/12+ADK57*BlendedPricePremAnnual*ACS57/12+ADL57*BlendedPriceEliteAnnual*ACS57/12</f>
        <v/>
      </c>
      <c r="ADO57" s="9">
        <f>ADN57*12</f>
        <v/>
      </c>
      <c r="ADP57" s="12">
        <f>ADG57*BlendedPriceEssMonthly*ACS57+ADH57*BlendedPricePremMonthly*ACS57+ADI57*BlendedPriceEliteMonthly*ACS57</f>
        <v/>
      </c>
      <c r="ADQ57" s="12">
        <f>ADD57*BlendedPriceEssAnnual*ACS57+ADE57*BlendedPricePremAnnual*ACS57+ADF57*BlendedPriceEliteAnnual*ACS57</f>
        <v/>
      </c>
      <c r="ADR57" s="12">
        <f>ADD45*POWER(1-(AnnualChurn*VLOOKUP(ACP57,ChurnSeasonTable,4,FALSE)),1)*BlendedPriceEssAnnual*ACS57+ADD33*POWER(1-(AnnualChurn*VLOOKUP(ACP57,ChurnSeasonTable,4,FALSE)),2)*BlendedPriceEssAnnual*ACS57+ADD21*POWER(1-(AnnualChurn*VLOOKUP(ACP57,ChurnSeasonTable,4,FALSE)),3)*BlendedPriceEssAnnual*ACS57+ADD9*POWER(1-(AnnualChurn*VLOOKUP(ACP57,ChurnSeasonTable,4,FALSE)),4)*BlendedPriceEssAnnual*ACS57+ADE45*POWER(1-(AnnualChurn*VLOOKUP(ACP57,ChurnSeasonTable,4,FALSE)),1)*BlendedPricePremAnnual*ACS57+ADE33*POWER(1-(AnnualChurn*VLOOKUP(ACP57,ChurnSeasonTable,4,FALSE)),2)*BlendedPricePremAnnual*ACS57+ADE21*POWER(1-(AnnualChurn*VLOOKUP(ACP57,ChurnSeasonTable,4,FALSE)),3)*BlendedPricePremAnnual*ACS57+ADE9*POWER(1-(AnnualChurn*VLOOKUP(ACP57,ChurnSeasonTable,4,FALSE)),4)*BlendedPricePremAnnual*ACS57+ADF45*POWER(1-(AnnualChurn*VLOOKUP(ACP57,ChurnSeasonTable,4,FALSE)),1)*BlendedPriceEliteAnnual*ACS57+ADF33*POWER(1-(AnnualChurn*VLOOKUP(ACP57,ChurnSeasonTable,4,FALSE)),2)*BlendedPriceEliteAnnual*ACS57+ADF21*POWER(1-(AnnualChurn*VLOOKUP(ACP57,ChurnSeasonTable,4,FALSE)),3)*BlendedPriceEliteAnnual*ACS57+ADF9*POWER(1-(AnnualChurn*VLOOKUP(ACP57,ChurnSeasonTable,4,FALSE)),4)*BlendedPriceEliteAnnual*ACS57</f>
        <v/>
      </c>
      <c r="ADS57" s="9">
        <f>ADP57+ADQ57+ADR57</f>
        <v/>
      </c>
      <c r="ADT57" s="12">
        <f>SUM(ADS46:ADS57)</f>
        <v/>
      </c>
      <c r="ADU57" s="12">
        <f>OR(ADU56,IF(VATAgentMode,SUM($ADS46:$ADS57)-SUM($ADZ46:$ADZ57)&gt;=VATThreshold,SUM($ADS46:$ADS57)&gt;=VATThreshold))</f>
        <v/>
      </c>
      <c r="ADV57" s="9">
        <f>IF(ADU57,IF(VATAgentMode,ADS57-((ADS57-ADZ57)-(ADS57-ADZ57)/(1+VATRate)),ADS57/(1+VATRate)),ADS57)</f>
        <v/>
      </c>
      <c r="ADW57" s="12">
        <f>ADS57-ADV57</f>
        <v/>
      </c>
      <c r="ADX57" s="12">
        <f>IF(ADU57=0,0,IF(ACP57=1,SUMPRODUCT(--(($ACQ$5:$ACQ57=$ACQ57-1)*($ACP$5:$ACP57&gt;=10)*($ACP$5:$ACP57&lt;=12)),$ADW$5:$ADW57),IF(ACP57=4,SUMPRODUCT(--(($ACQ$5:$ACQ57=$ACQ57)*($ACP$5:$ACP57&gt;=1)*($ACP$5:$ACP57&lt;=3)),$ADW$5:$ADW57),IF(ACP57=7,SUMPRODUCT(--(($ACQ$5:$ACQ57=$ACQ57)*($ACP$5:$ACP57&gt;=4)*($ACP$5:$ACP57&lt;=6)),$ADW$5:$ADW57),IF(ACP57=10,SUMPRODUCT(--(($ACQ$5:$ACQ57=$ACQ57)*($ACP$5:$ACP57&gt;=7)*($ACP$5:$ACP57&lt;=9)),$ADW$5:$ADW57),0)))))</f>
        <v/>
      </c>
      <c r="ADY57" s="12">
        <f>ADY56+ADW57-ADX57</f>
        <v/>
      </c>
      <c r="ADZ57" s="12">
        <f>IF(ProviderDelay&gt;=1,ADG56*BlendedProvPayEss+ADH56*BlendedProvPayPrem+ADI56*BlendedProvPayElite+ADJ56*BlendedProvPayEss+ADK56*BlendedProvPayPrem+ADL56*BlendedProvPayElite,ADG57*BlendedProvPayEss+ADH57*BlendedProvPayPrem+ADI57*BlendedProvPayElite+ADJ57*BlendedProvPayEss+ADK57*BlendedProvPayPrem+ADL57*BlendedProvPayElite)</f>
        <v/>
      </c>
      <c r="AEA57" s="12">
        <f>ADS57*PaymentFee</f>
        <v/>
      </c>
      <c r="AEB57" s="12">
        <f>ADM57*OpsAI</f>
        <v/>
      </c>
      <c r="AEC57" s="12">
        <f>MonthlyFixed</f>
        <v/>
      </c>
      <c r="AED57" s="12">
        <f>ACW57*ReferralReward</f>
        <v/>
      </c>
      <c r="AEE57" s="12">
        <f>ACU57</f>
        <v/>
      </c>
      <c r="AEF57" s="9">
        <f>ADV57-ADZ57-AEA57-AEB57-AEC57-AED57-AEE57</f>
        <v/>
      </c>
      <c r="AEG57" s="9">
        <f>AEG56+ADS57-(ADZ57+AEA57+AEB57+AEC57+AED57+AEE57+ADX57)</f>
        <v/>
      </c>
      <c r="AEH57" s="12">
        <f>IF(ADM57&gt;0,ADN57/ADM57,0)</f>
        <v/>
      </c>
      <c r="AEI57" s="11">
        <f>IF(ADM56&gt;0,MAX(0,(ADM56+ACX57-ADM57)/ADM56),0)</f>
        <v/>
      </c>
      <c r="AEK57" s="12" t="n">
        <v>53</v>
      </c>
      <c r="AEL57" s="12">
        <f>MOD(AEK57-1+LaunchMonth-1,12)+1</f>
        <v/>
      </c>
      <c r="AEM57" s="12">
        <f>INT((AEK57-1+LaunchMonth-1)/12)+1</f>
        <v/>
      </c>
      <c r="AEN57" s="12">
        <f>VLOOKUP(AEL57,SeasonTable,2,FALSE)</f>
        <v/>
      </c>
      <c r="AEO57" s="12">
        <f>(1+InflationRate)^INT((AEK57-1)/12)</f>
        <v/>
      </c>
      <c r="AEP57" s="11">
        <f>MonthlyChurn*VLOOKUP(AEL57,ChurnSeasonTable,4,FALSE)</f>
        <v/>
      </c>
      <c r="AEQ57" s="12">
        <f>MIN(MAX(MktMin19plus,AFO56*MktPct19plus),MAX(0,AGC56-CashBuffer))</f>
        <v/>
      </c>
      <c r="AER57" s="12">
        <f>IF(AEQ57&gt;0,MAX(1,ROUND(AEQ57/CAC*AEN57,0)),0)</f>
        <v/>
      </c>
      <c r="AES57" s="12">
        <f>IF(AER57&gt;0,ROUND(AER57*ReferralMix/(1-ReferralMix),0),0)</f>
        <v/>
      </c>
      <c r="AET57" s="12">
        <f>AER57+AES57</f>
        <v/>
      </c>
      <c r="AEU57" s="12">
        <f>ROUND(AET57*(1-'Sens - Annual Mix'!$A$14),0)</f>
        <v/>
      </c>
      <c r="AEV57" s="12">
        <f>AET57-AEU57</f>
        <v/>
      </c>
      <c r="AEW57" s="12">
        <f>ROUND(AEU57*EssentialMix,0)</f>
        <v/>
      </c>
      <c r="AEX57" s="12">
        <f>ROUND(AEU57*PremiumMix,0)</f>
        <v/>
      </c>
      <c r="AEY57" s="12">
        <f>AEU57-AEW57-AEX57</f>
        <v/>
      </c>
      <c r="AEZ57" s="12">
        <f>ROUND(AEV57*EssentialMix,0)</f>
        <v/>
      </c>
      <c r="AFA57" s="12">
        <f>ROUND(AEV57*PremiumMix,0)</f>
        <v/>
      </c>
      <c r="AFB57" s="12">
        <f>AEV57-AEZ57-AFA57</f>
        <v/>
      </c>
      <c r="AFC57" s="12">
        <f>AEW57+AEW56+AEW55+MAX(0,AFC56-AEW56-AEW55)*(1-AEP57)</f>
        <v/>
      </c>
      <c r="AFD57" s="12">
        <f>AEX57+AEX56+AEX55+MAX(0,AFD56-AEX56-AEX55)*(1-AEP57)</f>
        <v/>
      </c>
      <c r="AFE57" s="12">
        <f>AEY57+AEY56+AEY55+MAX(0,AFE56-AEY56-AEY55)*(1-AEP57)</f>
        <v/>
      </c>
      <c r="AFF57" s="12">
        <f>AFF56+AEZ57-AEZ45*(AnnualChurn*VLOOKUP(AEL57,ChurnSeasonTable,4,FALSE))*POWER(1-(AnnualChurn*VLOOKUP(AEL57,ChurnSeasonTable,4,FALSE)),0)+AEZ33*(AnnualChurn*VLOOKUP(AEL57,ChurnSeasonTable,4,FALSE))*POWER(1-(AnnualChurn*VLOOKUP(AEL57,ChurnSeasonTable,4,FALSE)),1)+AEZ21*(AnnualChurn*VLOOKUP(AEL57,ChurnSeasonTable,4,FALSE))*POWER(1-(AnnualChurn*VLOOKUP(AEL57,ChurnSeasonTable,4,FALSE)),2)+AEZ9*(AnnualChurn*VLOOKUP(AEL57,ChurnSeasonTable,4,FALSE))*POWER(1-(AnnualChurn*VLOOKUP(AEL57,ChurnSeasonTable,4,FALSE)),3)</f>
        <v/>
      </c>
      <c r="AFG57" s="12">
        <f>AFG56+AFA57-AFA45*(AnnualChurn*VLOOKUP(AEL57,ChurnSeasonTable,4,FALSE))*POWER(1-(AnnualChurn*VLOOKUP(AEL57,ChurnSeasonTable,4,FALSE)),0)+AFA33*(AnnualChurn*VLOOKUP(AEL57,ChurnSeasonTable,4,FALSE))*POWER(1-(AnnualChurn*VLOOKUP(AEL57,ChurnSeasonTable,4,FALSE)),1)+AFA21*(AnnualChurn*VLOOKUP(AEL57,ChurnSeasonTable,4,FALSE))*POWER(1-(AnnualChurn*VLOOKUP(AEL57,ChurnSeasonTable,4,FALSE)),2)+AFA9*(AnnualChurn*VLOOKUP(AEL57,ChurnSeasonTable,4,FALSE))*POWER(1-(AnnualChurn*VLOOKUP(AEL57,ChurnSeasonTable,4,FALSE)),3)</f>
        <v/>
      </c>
      <c r="AFH57" s="12">
        <f>AFH56+AFB57-AFB45*(AnnualChurn*VLOOKUP(AEL57,ChurnSeasonTable,4,FALSE))*POWER(1-(AnnualChurn*VLOOKUP(AEL57,ChurnSeasonTable,4,FALSE)),0)+AFB33*(AnnualChurn*VLOOKUP(AEL57,ChurnSeasonTable,4,FALSE))*POWER(1-(AnnualChurn*VLOOKUP(AEL57,ChurnSeasonTable,4,FALSE)),1)+AFB21*(AnnualChurn*VLOOKUP(AEL57,ChurnSeasonTable,4,FALSE))*POWER(1-(AnnualChurn*VLOOKUP(AEL57,ChurnSeasonTable,4,FALSE)),2)+AFB9*(AnnualChurn*VLOOKUP(AEL57,ChurnSeasonTable,4,FALSE))*POWER(1-(AnnualChurn*VLOOKUP(AEL57,ChurnSeasonTable,4,FALSE)),3)</f>
        <v/>
      </c>
      <c r="AFI57" s="12">
        <f>AFC57+AFD57+AFE57+AFF57+AFG57+AFH57</f>
        <v/>
      </c>
      <c r="AFJ57" s="9">
        <f>AFC57*BlendedPriceEssMonthly*AEO57+AFD57*BlendedPricePremMonthly*AEO57+AFE57*BlendedPriceEliteMonthly*AEO57+AFF57*BlendedPriceEssAnnual*AEO57/12+AFG57*BlendedPricePremAnnual*AEO57/12+AFH57*BlendedPriceEliteAnnual*AEO57/12</f>
        <v/>
      </c>
      <c r="AFK57" s="9">
        <f>AFJ57*12</f>
        <v/>
      </c>
      <c r="AFL57" s="12">
        <f>AFC57*BlendedPriceEssMonthly*AEO57+AFD57*BlendedPricePremMonthly*AEO57+AFE57*BlendedPriceEliteMonthly*AEO57</f>
        <v/>
      </c>
      <c r="AFM57" s="12">
        <f>AEZ57*BlendedPriceEssAnnual*AEO57+AFA57*BlendedPricePremAnnual*AEO57+AFB57*BlendedPriceEliteAnnual*AEO57</f>
        <v/>
      </c>
      <c r="AFN57" s="12">
        <f>AEZ45*POWER(1-(AnnualChurn*VLOOKUP(AEL57,ChurnSeasonTable,4,FALSE)),1)*BlendedPriceEssAnnual*AEO57+AEZ33*POWER(1-(AnnualChurn*VLOOKUP(AEL57,ChurnSeasonTable,4,FALSE)),2)*BlendedPriceEssAnnual*AEO57+AEZ21*POWER(1-(AnnualChurn*VLOOKUP(AEL57,ChurnSeasonTable,4,FALSE)),3)*BlendedPriceEssAnnual*AEO57+AEZ9*POWER(1-(AnnualChurn*VLOOKUP(AEL57,ChurnSeasonTable,4,FALSE)),4)*BlendedPriceEssAnnual*AEO57+AFA45*POWER(1-(AnnualChurn*VLOOKUP(AEL57,ChurnSeasonTable,4,FALSE)),1)*BlendedPricePremAnnual*AEO57+AFA33*POWER(1-(AnnualChurn*VLOOKUP(AEL57,ChurnSeasonTable,4,FALSE)),2)*BlendedPricePremAnnual*AEO57+AFA21*POWER(1-(AnnualChurn*VLOOKUP(AEL57,ChurnSeasonTable,4,FALSE)),3)*BlendedPricePremAnnual*AEO57+AFA9*POWER(1-(AnnualChurn*VLOOKUP(AEL57,ChurnSeasonTable,4,FALSE)),4)*BlendedPricePremAnnual*AEO57+AFB45*POWER(1-(AnnualChurn*VLOOKUP(AEL57,ChurnSeasonTable,4,FALSE)),1)*BlendedPriceEliteAnnual*AEO57+AFB33*POWER(1-(AnnualChurn*VLOOKUP(AEL57,ChurnSeasonTable,4,FALSE)),2)*BlendedPriceEliteAnnual*AEO57+AFB21*POWER(1-(AnnualChurn*VLOOKUP(AEL57,ChurnSeasonTable,4,FALSE)),3)*BlendedPriceEliteAnnual*AEO57+AFB9*POWER(1-(AnnualChurn*VLOOKUP(AEL57,ChurnSeasonTable,4,FALSE)),4)*BlendedPriceEliteAnnual*AEO57</f>
        <v/>
      </c>
      <c r="AFO57" s="9">
        <f>AFL57+AFM57+AFN57</f>
        <v/>
      </c>
      <c r="AFP57" s="12">
        <f>SUM(AFO46:AFO57)</f>
        <v/>
      </c>
      <c r="AFQ57" s="12">
        <f>OR(AFQ56,IF(VATAgentMode,SUM($AFO46:$AFO57)-SUM($AFV46:$AFV57)&gt;=VATThreshold,SUM($AFO46:$AFO57)&gt;=VATThreshold))</f>
        <v/>
      </c>
      <c r="AFR57" s="9">
        <f>IF(AFQ57,IF(VATAgentMode,AFO57-((AFO57-AFV57)-(AFO57-AFV57)/(1+VATRate)),AFO57/(1+VATRate)),AFO57)</f>
        <v/>
      </c>
      <c r="AFS57" s="12">
        <f>AFO57-AFR57</f>
        <v/>
      </c>
      <c r="AFT57" s="12">
        <f>IF(AFQ57=0,0,IF(AEL57=1,SUMPRODUCT(--(($AEM$5:$AEM57=$AEM57-1)*($AEL$5:$AEL57&gt;=10)*($AEL$5:$AEL57&lt;=12)),$AFS$5:$AFS57),IF(AEL57=4,SUMPRODUCT(--(($AEM$5:$AEM57=$AEM57)*($AEL$5:$AEL57&gt;=1)*($AEL$5:$AEL57&lt;=3)),$AFS$5:$AFS57),IF(AEL57=7,SUMPRODUCT(--(($AEM$5:$AEM57=$AEM57)*($AEL$5:$AEL57&gt;=4)*($AEL$5:$AEL57&lt;=6)),$AFS$5:$AFS57),IF(AEL57=10,SUMPRODUCT(--(($AEM$5:$AEM57=$AEM57)*($AEL$5:$AEL57&gt;=7)*($AEL$5:$AEL57&lt;=9)),$AFS$5:$AFS57),0)))))</f>
        <v/>
      </c>
      <c r="AFU57" s="12">
        <f>AFU56+AFS57-AFT57</f>
        <v/>
      </c>
      <c r="AFV57" s="12">
        <f>IF(ProviderDelay&gt;=1,AFC56*BlendedProvPayEss+AFD56*BlendedProvPayPrem+AFE56*BlendedProvPayElite+AFF56*BlendedProvPayEss+AFG56*BlendedProvPayPrem+AFH56*BlendedProvPayElite,AFC57*BlendedProvPayEss+AFD57*BlendedProvPayPrem+AFE57*BlendedProvPayElite+AFF57*BlendedProvPayEss+AFG57*BlendedProvPayPrem+AFH57*BlendedProvPayElite)</f>
        <v/>
      </c>
      <c r="AFW57" s="12">
        <f>AFO57*PaymentFee</f>
        <v/>
      </c>
      <c r="AFX57" s="12">
        <f>AFI57*OpsAI</f>
        <v/>
      </c>
      <c r="AFY57" s="12">
        <f>MonthlyFixed</f>
        <v/>
      </c>
      <c r="AFZ57" s="12">
        <f>AES57*ReferralReward</f>
        <v/>
      </c>
      <c r="AGA57" s="12">
        <f>AEQ57</f>
        <v/>
      </c>
      <c r="AGB57" s="9">
        <f>AFR57-AFV57-AFW57-AFX57-AFY57-AFZ57-AGA57</f>
        <v/>
      </c>
      <c r="AGC57" s="9">
        <f>AGC56+AFO57-(AFV57+AFW57+AFX57+AFY57+AFZ57+AGA57+AFT57)</f>
        <v/>
      </c>
      <c r="AGD57" s="12">
        <f>IF(AFI57&gt;0,AFJ57/AFI57,0)</f>
        <v/>
      </c>
      <c r="AGE57" s="11">
        <f>IF(AFI56&gt;0,MAX(0,(AFI56+AET57-AFI57)/AFI56),0)</f>
        <v/>
      </c>
      <c r="AGG57" s="12" t="n">
        <v>53</v>
      </c>
      <c r="AGH57" s="12">
        <f>MOD(AGG57-1+LaunchMonth-1,12)+1</f>
        <v/>
      </c>
      <c r="AGI57" s="12">
        <f>INT((AGG57-1+LaunchMonth-1)/12)+1</f>
        <v/>
      </c>
      <c r="AGJ57" s="12">
        <f>VLOOKUP(AGH57,SeasonTable,2,FALSE)</f>
        <v/>
      </c>
      <c r="AGK57" s="12">
        <f>(1+InflationRate)^INT((AGG57-1)/12)</f>
        <v/>
      </c>
      <c r="AGL57" s="11">
        <f>MonthlyChurn*VLOOKUP(AGH57,ChurnSeasonTable,4,FALSE)</f>
        <v/>
      </c>
      <c r="AGM57" s="12">
        <f>MIN(MAX(MktMin19plus,AHK56*MktPct19plus),MAX(0,AHY56-CashBuffer))</f>
        <v/>
      </c>
      <c r="AGN57" s="12">
        <f>IF(AGM57&gt;0,MAX(1,ROUND(AGM57/CAC*AGJ57,0)),0)</f>
        <v/>
      </c>
      <c r="AGO57" s="12">
        <f>IF(AGN57&gt;0,ROUND(AGN57*ReferralMix/(1-ReferralMix),0),0)</f>
        <v/>
      </c>
      <c r="AGP57" s="12">
        <f>AGN57+AGO57</f>
        <v/>
      </c>
      <c r="AGQ57" s="12">
        <f>ROUND(AGP57*(1-'Sens - Annual Mix'!$A$15),0)</f>
        <v/>
      </c>
      <c r="AGR57" s="12">
        <f>AGP57-AGQ57</f>
        <v/>
      </c>
      <c r="AGS57" s="12">
        <f>ROUND(AGQ57*EssentialMix,0)</f>
        <v/>
      </c>
      <c r="AGT57" s="12">
        <f>ROUND(AGQ57*PremiumMix,0)</f>
        <v/>
      </c>
      <c r="AGU57" s="12">
        <f>AGQ57-AGS57-AGT57</f>
        <v/>
      </c>
      <c r="AGV57" s="12">
        <f>ROUND(AGR57*EssentialMix,0)</f>
        <v/>
      </c>
      <c r="AGW57" s="12">
        <f>ROUND(AGR57*PremiumMix,0)</f>
        <v/>
      </c>
      <c r="AGX57" s="12">
        <f>AGR57-AGV57-AGW57</f>
        <v/>
      </c>
      <c r="AGY57" s="12">
        <f>AGS57+AGS56+AGS55+MAX(0,AGY56-AGS56-AGS55)*(1-AGL57)</f>
        <v/>
      </c>
      <c r="AGZ57" s="12">
        <f>AGT57+AGT56+AGT55+MAX(0,AGZ56-AGT56-AGT55)*(1-AGL57)</f>
        <v/>
      </c>
      <c r="AHA57" s="12">
        <f>AGU57+AGU56+AGU55+MAX(0,AHA56-AGU56-AGU55)*(1-AGL57)</f>
        <v/>
      </c>
      <c r="AHB57" s="12">
        <f>AHB56+AGV57-AGV45*(AnnualChurn*VLOOKUP(AGH57,ChurnSeasonTable,4,FALSE))*POWER(1-(AnnualChurn*VLOOKUP(AGH57,ChurnSeasonTable,4,FALSE)),0)+AGV33*(AnnualChurn*VLOOKUP(AGH57,ChurnSeasonTable,4,FALSE))*POWER(1-(AnnualChurn*VLOOKUP(AGH57,ChurnSeasonTable,4,FALSE)),1)+AGV21*(AnnualChurn*VLOOKUP(AGH57,ChurnSeasonTable,4,FALSE))*POWER(1-(AnnualChurn*VLOOKUP(AGH57,ChurnSeasonTable,4,FALSE)),2)+AGV9*(AnnualChurn*VLOOKUP(AGH57,ChurnSeasonTable,4,FALSE))*POWER(1-(AnnualChurn*VLOOKUP(AGH57,ChurnSeasonTable,4,FALSE)),3)</f>
        <v/>
      </c>
      <c r="AHC57" s="12">
        <f>AHC56+AGW57-AGW45*(AnnualChurn*VLOOKUP(AGH57,ChurnSeasonTable,4,FALSE))*POWER(1-(AnnualChurn*VLOOKUP(AGH57,ChurnSeasonTable,4,FALSE)),0)+AGW33*(AnnualChurn*VLOOKUP(AGH57,ChurnSeasonTable,4,FALSE))*POWER(1-(AnnualChurn*VLOOKUP(AGH57,ChurnSeasonTable,4,FALSE)),1)+AGW21*(AnnualChurn*VLOOKUP(AGH57,ChurnSeasonTable,4,FALSE))*POWER(1-(AnnualChurn*VLOOKUP(AGH57,ChurnSeasonTable,4,FALSE)),2)+AGW9*(AnnualChurn*VLOOKUP(AGH57,ChurnSeasonTable,4,FALSE))*POWER(1-(AnnualChurn*VLOOKUP(AGH57,ChurnSeasonTable,4,FALSE)),3)</f>
        <v/>
      </c>
      <c r="AHD57" s="12">
        <f>AHD56+AGX57-AGX45*(AnnualChurn*VLOOKUP(AGH57,ChurnSeasonTable,4,FALSE))*POWER(1-(AnnualChurn*VLOOKUP(AGH57,ChurnSeasonTable,4,FALSE)),0)+AGX33*(AnnualChurn*VLOOKUP(AGH57,ChurnSeasonTable,4,FALSE))*POWER(1-(AnnualChurn*VLOOKUP(AGH57,ChurnSeasonTable,4,FALSE)),1)+AGX21*(AnnualChurn*VLOOKUP(AGH57,ChurnSeasonTable,4,FALSE))*POWER(1-(AnnualChurn*VLOOKUP(AGH57,ChurnSeasonTable,4,FALSE)),2)+AGX9*(AnnualChurn*VLOOKUP(AGH57,ChurnSeasonTable,4,FALSE))*POWER(1-(AnnualChurn*VLOOKUP(AGH57,ChurnSeasonTable,4,FALSE)),3)</f>
        <v/>
      </c>
      <c r="AHE57" s="12">
        <f>AGY57+AGZ57+AHA57+AHB57+AHC57+AHD57</f>
        <v/>
      </c>
      <c r="AHF57" s="9">
        <f>AGY57*BlendedPriceEssMonthly*AGK57+AGZ57*BlendedPricePremMonthly*AGK57+AHA57*BlendedPriceEliteMonthly*AGK57+AHB57*BlendedPriceEssAnnual*AGK57/12+AHC57*BlendedPricePremAnnual*AGK57/12+AHD57*BlendedPriceEliteAnnual*AGK57/12</f>
        <v/>
      </c>
      <c r="AHG57" s="9">
        <f>AHF57*12</f>
        <v/>
      </c>
      <c r="AHH57" s="12">
        <f>AGY57*BlendedPriceEssMonthly*AGK57+AGZ57*BlendedPricePremMonthly*AGK57+AHA57*BlendedPriceEliteMonthly*AGK57</f>
        <v/>
      </c>
      <c r="AHI57" s="12">
        <f>AGV57*BlendedPriceEssAnnual*AGK57+AGW57*BlendedPricePremAnnual*AGK57+AGX57*BlendedPriceEliteAnnual*AGK57</f>
        <v/>
      </c>
      <c r="AHJ57" s="12">
        <f>AGV45*POWER(1-(AnnualChurn*VLOOKUP(AGH57,ChurnSeasonTable,4,FALSE)),1)*BlendedPriceEssAnnual*AGK57+AGV33*POWER(1-(AnnualChurn*VLOOKUP(AGH57,ChurnSeasonTable,4,FALSE)),2)*BlendedPriceEssAnnual*AGK57+AGV21*POWER(1-(AnnualChurn*VLOOKUP(AGH57,ChurnSeasonTable,4,FALSE)),3)*BlendedPriceEssAnnual*AGK57+AGV9*POWER(1-(AnnualChurn*VLOOKUP(AGH57,ChurnSeasonTable,4,FALSE)),4)*BlendedPriceEssAnnual*AGK57+AGW45*POWER(1-(AnnualChurn*VLOOKUP(AGH57,ChurnSeasonTable,4,FALSE)),1)*BlendedPricePremAnnual*AGK57+AGW33*POWER(1-(AnnualChurn*VLOOKUP(AGH57,ChurnSeasonTable,4,FALSE)),2)*BlendedPricePremAnnual*AGK57+AGW21*POWER(1-(AnnualChurn*VLOOKUP(AGH57,ChurnSeasonTable,4,FALSE)),3)*BlendedPricePremAnnual*AGK57+AGW9*POWER(1-(AnnualChurn*VLOOKUP(AGH57,ChurnSeasonTable,4,FALSE)),4)*BlendedPricePremAnnual*AGK57+AGX45*POWER(1-(AnnualChurn*VLOOKUP(AGH57,ChurnSeasonTable,4,FALSE)),1)*BlendedPriceEliteAnnual*AGK57+AGX33*POWER(1-(AnnualChurn*VLOOKUP(AGH57,ChurnSeasonTable,4,FALSE)),2)*BlendedPriceEliteAnnual*AGK57+AGX21*POWER(1-(AnnualChurn*VLOOKUP(AGH57,ChurnSeasonTable,4,FALSE)),3)*BlendedPriceEliteAnnual*AGK57+AGX9*POWER(1-(AnnualChurn*VLOOKUP(AGH57,ChurnSeasonTable,4,FALSE)),4)*BlendedPriceEliteAnnual*AGK57</f>
        <v/>
      </c>
      <c r="AHK57" s="9">
        <f>AHH57+AHI57+AHJ57</f>
        <v/>
      </c>
      <c r="AHL57" s="12">
        <f>SUM(AHK46:AHK57)</f>
        <v/>
      </c>
      <c r="AHM57" s="12">
        <f>OR(AHM56,IF(VATAgentMode,SUM($AHK46:$AHK57)-SUM($AHR46:$AHR57)&gt;=VATThreshold,SUM($AHK46:$AHK57)&gt;=VATThreshold))</f>
        <v/>
      </c>
      <c r="AHN57" s="9">
        <f>IF(AHM57,IF(VATAgentMode,AHK57-((AHK57-AHR57)-(AHK57-AHR57)/(1+VATRate)),AHK57/(1+VATRate)),AHK57)</f>
        <v/>
      </c>
      <c r="AHO57" s="12">
        <f>AHK57-AHN57</f>
        <v/>
      </c>
      <c r="AHP57" s="12">
        <f>IF(AHM57=0,0,IF(AGH57=1,SUMPRODUCT(--(($AGI$5:$AGI57=$AGI57-1)*($AGH$5:$AGH57&gt;=10)*($AGH$5:$AGH57&lt;=12)),$AHO$5:$AHO57),IF(AGH57=4,SUMPRODUCT(--(($AGI$5:$AGI57=$AGI57)*($AGH$5:$AGH57&gt;=1)*($AGH$5:$AGH57&lt;=3)),$AHO$5:$AHO57),IF(AGH57=7,SUMPRODUCT(--(($AGI$5:$AGI57=$AGI57)*($AGH$5:$AGH57&gt;=4)*($AGH$5:$AGH57&lt;=6)),$AHO$5:$AHO57),IF(AGH57=10,SUMPRODUCT(--(($AGI$5:$AGI57=$AGI57)*($AGH$5:$AGH57&gt;=7)*($AGH$5:$AGH57&lt;=9)),$AHO$5:$AHO57),0)))))</f>
        <v/>
      </c>
      <c r="AHQ57" s="12">
        <f>AHQ56+AHO57-AHP57</f>
        <v/>
      </c>
      <c r="AHR57" s="12">
        <f>IF(ProviderDelay&gt;=1,AGY56*BlendedProvPayEss+AGZ56*BlendedProvPayPrem+AHA56*BlendedProvPayElite+AHB56*BlendedProvPayEss+AHC56*BlendedProvPayPrem+AHD56*BlendedProvPayElite,AGY57*BlendedProvPayEss+AGZ57*BlendedProvPayPrem+AHA57*BlendedProvPayElite+AHB57*BlendedProvPayEss+AHC57*BlendedProvPayPrem+AHD57*BlendedProvPayElite)</f>
        <v/>
      </c>
      <c r="AHS57" s="12">
        <f>AHK57*PaymentFee</f>
        <v/>
      </c>
      <c r="AHT57" s="12">
        <f>AHE57*OpsAI</f>
        <v/>
      </c>
      <c r="AHU57" s="12">
        <f>MonthlyFixed</f>
        <v/>
      </c>
      <c r="AHV57" s="12">
        <f>AGO57*ReferralReward</f>
        <v/>
      </c>
      <c r="AHW57" s="12">
        <f>AGM57</f>
        <v/>
      </c>
      <c r="AHX57" s="9">
        <f>AHN57-AHR57-AHS57-AHT57-AHU57-AHV57-AHW57</f>
        <v/>
      </c>
      <c r="AHY57" s="9">
        <f>AHY56+AHK57-(AHR57+AHS57+AHT57+AHU57+AHV57+AHW57+AHP57)</f>
        <v/>
      </c>
      <c r="AHZ57" s="12">
        <f>IF(AHE57&gt;0,AHF57/AHE57,0)</f>
        <v/>
      </c>
      <c r="AIA57" s="11">
        <f>IF(AHE56&gt;0,MAX(0,(AHE56+AGP57-AHE57)/AHE56),0)</f>
        <v/>
      </c>
      <c r="AIC57" s="12" t="n">
        <v>53</v>
      </c>
      <c r="AID57" s="12">
        <f>MOD(AIC57-1+LaunchMonth-1,12)+1</f>
        <v/>
      </c>
      <c r="AIE57" s="12">
        <f>INT((AIC57-1+LaunchMonth-1)/12)+1</f>
        <v/>
      </c>
      <c r="AIF57" s="12">
        <f>VLOOKUP(AID57,SeasonTable,2,FALSE)</f>
        <v/>
      </c>
      <c r="AIG57" s="12">
        <f>(1+InflationRate)^INT((AIC57-1)/12)</f>
        <v/>
      </c>
      <c r="AIH57" s="11">
        <f>MonthlyChurn*VLOOKUP(AID57,ChurnSeasonTable,4,FALSE)</f>
        <v/>
      </c>
      <c r="AII57" s="12">
        <f>MIN(MAX(MktMin19plus,AJG56*MktPct19plus),MAX(0,AJU56-CashBuffer))</f>
        <v/>
      </c>
      <c r="AIJ57" s="12">
        <f>IF(AII57&gt;0,MAX(1,ROUND(AII57/'Sens - CAC &amp; Marketing'!$A$9*AIF57,0)),0)</f>
        <v/>
      </c>
      <c r="AIK57" s="12">
        <f>IF(AIJ57&gt;0,ROUND(AIJ57*ReferralMix/(1-ReferralMix),0),0)</f>
        <v/>
      </c>
      <c r="AIL57" s="12">
        <f>AIJ57+AIK57</f>
        <v/>
      </c>
      <c r="AIM57" s="12">
        <f>ROUND(AIL57*(1-AnnualMix),0)</f>
        <v/>
      </c>
      <c r="AIN57" s="12">
        <f>AIL57-AIM57</f>
        <v/>
      </c>
      <c r="AIO57" s="12">
        <f>ROUND(AIM57*EssentialMix,0)</f>
        <v/>
      </c>
      <c r="AIP57" s="12">
        <f>ROUND(AIM57*PremiumMix,0)</f>
        <v/>
      </c>
      <c r="AIQ57" s="12">
        <f>AIM57-AIO57-AIP57</f>
        <v/>
      </c>
      <c r="AIR57" s="12">
        <f>ROUND(AIN57*EssentialMix,0)</f>
        <v/>
      </c>
      <c r="AIS57" s="12">
        <f>ROUND(AIN57*PremiumMix,0)</f>
        <v/>
      </c>
      <c r="AIT57" s="12">
        <f>AIN57-AIR57-AIS57</f>
        <v/>
      </c>
      <c r="AIU57" s="12">
        <f>AIO57+AIO56+AIO55+MAX(0,AIU56-AIO56-AIO55)*(1-AIH57)</f>
        <v/>
      </c>
      <c r="AIV57" s="12">
        <f>AIP57+AIP56+AIP55+MAX(0,AIV56-AIP56-AIP55)*(1-AIH57)</f>
        <v/>
      </c>
      <c r="AIW57" s="12">
        <f>AIQ57+AIQ56+AIQ55+MAX(0,AIW56-AIQ56-AIQ55)*(1-AIH57)</f>
        <v/>
      </c>
      <c r="AIX57" s="12">
        <f>AIX56+AIR57-AIR45*(AnnualChurn*VLOOKUP(AID57,ChurnSeasonTable,4,FALSE))*POWER(1-(AnnualChurn*VLOOKUP(AID57,ChurnSeasonTable,4,FALSE)),0)+AIR33*(AnnualChurn*VLOOKUP(AID57,ChurnSeasonTable,4,FALSE))*POWER(1-(AnnualChurn*VLOOKUP(AID57,ChurnSeasonTable,4,FALSE)),1)+AIR21*(AnnualChurn*VLOOKUP(AID57,ChurnSeasonTable,4,FALSE))*POWER(1-(AnnualChurn*VLOOKUP(AID57,ChurnSeasonTable,4,FALSE)),2)+AIR9*(AnnualChurn*VLOOKUP(AID57,ChurnSeasonTable,4,FALSE))*POWER(1-(AnnualChurn*VLOOKUP(AID57,ChurnSeasonTable,4,FALSE)),3)</f>
        <v/>
      </c>
      <c r="AIY57" s="12">
        <f>AIY56+AIS57-AIS45*(AnnualChurn*VLOOKUP(AID57,ChurnSeasonTable,4,FALSE))*POWER(1-(AnnualChurn*VLOOKUP(AID57,ChurnSeasonTable,4,FALSE)),0)+AIS33*(AnnualChurn*VLOOKUP(AID57,ChurnSeasonTable,4,FALSE))*POWER(1-(AnnualChurn*VLOOKUP(AID57,ChurnSeasonTable,4,FALSE)),1)+AIS21*(AnnualChurn*VLOOKUP(AID57,ChurnSeasonTable,4,FALSE))*POWER(1-(AnnualChurn*VLOOKUP(AID57,ChurnSeasonTable,4,FALSE)),2)+AIS9*(AnnualChurn*VLOOKUP(AID57,ChurnSeasonTable,4,FALSE))*POWER(1-(AnnualChurn*VLOOKUP(AID57,ChurnSeasonTable,4,FALSE)),3)</f>
        <v/>
      </c>
      <c r="AIZ57" s="12">
        <f>AIZ56+AIT57-AIT45*(AnnualChurn*VLOOKUP(AID57,ChurnSeasonTable,4,FALSE))*POWER(1-(AnnualChurn*VLOOKUP(AID57,ChurnSeasonTable,4,FALSE)),0)+AIT33*(AnnualChurn*VLOOKUP(AID57,ChurnSeasonTable,4,FALSE))*POWER(1-(AnnualChurn*VLOOKUP(AID57,ChurnSeasonTable,4,FALSE)),1)+AIT21*(AnnualChurn*VLOOKUP(AID57,ChurnSeasonTable,4,FALSE))*POWER(1-(AnnualChurn*VLOOKUP(AID57,ChurnSeasonTable,4,FALSE)),2)+AIT9*(AnnualChurn*VLOOKUP(AID57,ChurnSeasonTable,4,FALSE))*POWER(1-(AnnualChurn*VLOOKUP(AID57,ChurnSeasonTable,4,FALSE)),3)</f>
        <v/>
      </c>
      <c r="AJA57" s="12">
        <f>AIU57+AIV57+AIW57+AIX57+AIY57+AIZ57</f>
        <v/>
      </c>
      <c r="AJB57" s="9">
        <f>AIU57*BlendedPriceEssMonthly*AIG57+AIV57*BlendedPricePremMonthly*AIG57+AIW57*BlendedPriceEliteMonthly*AIG57+AIX57*BlendedPriceEssAnnual*AIG57/12+AIY57*BlendedPricePremAnnual*AIG57/12+AIZ57*BlendedPriceEliteAnnual*AIG57/12</f>
        <v/>
      </c>
      <c r="AJC57" s="9">
        <f>AJB57*12</f>
        <v/>
      </c>
      <c r="AJD57" s="12">
        <f>AIU57*BlendedPriceEssMonthly*AIG57+AIV57*BlendedPricePremMonthly*AIG57+AIW57*BlendedPriceEliteMonthly*AIG57</f>
        <v/>
      </c>
      <c r="AJE57" s="12">
        <f>AIR57*BlendedPriceEssAnnual*AIG57+AIS57*BlendedPricePremAnnual*AIG57+AIT57*BlendedPriceEliteAnnual*AIG57</f>
        <v/>
      </c>
      <c r="AJF57" s="12">
        <f>AIR45*POWER(1-(AnnualChurn*VLOOKUP(AID57,ChurnSeasonTable,4,FALSE)),1)*BlendedPriceEssAnnual*AIG57+AIR33*POWER(1-(AnnualChurn*VLOOKUP(AID57,ChurnSeasonTable,4,FALSE)),2)*BlendedPriceEssAnnual*AIG57+AIR21*POWER(1-(AnnualChurn*VLOOKUP(AID57,ChurnSeasonTable,4,FALSE)),3)*BlendedPriceEssAnnual*AIG57+AIR9*POWER(1-(AnnualChurn*VLOOKUP(AID57,ChurnSeasonTable,4,FALSE)),4)*BlendedPriceEssAnnual*AIG57+AIS45*POWER(1-(AnnualChurn*VLOOKUP(AID57,ChurnSeasonTable,4,FALSE)),1)*BlendedPricePremAnnual*AIG57+AIS33*POWER(1-(AnnualChurn*VLOOKUP(AID57,ChurnSeasonTable,4,FALSE)),2)*BlendedPricePremAnnual*AIG57+AIS21*POWER(1-(AnnualChurn*VLOOKUP(AID57,ChurnSeasonTable,4,FALSE)),3)*BlendedPricePremAnnual*AIG57+AIS9*POWER(1-(AnnualChurn*VLOOKUP(AID57,ChurnSeasonTable,4,FALSE)),4)*BlendedPricePremAnnual*AIG57+AIT45*POWER(1-(AnnualChurn*VLOOKUP(AID57,ChurnSeasonTable,4,FALSE)),1)*BlendedPriceEliteAnnual*AIG57+AIT33*POWER(1-(AnnualChurn*VLOOKUP(AID57,ChurnSeasonTable,4,FALSE)),2)*BlendedPriceEliteAnnual*AIG57+AIT21*POWER(1-(AnnualChurn*VLOOKUP(AID57,ChurnSeasonTable,4,FALSE)),3)*BlendedPriceEliteAnnual*AIG57+AIT9*POWER(1-(AnnualChurn*VLOOKUP(AID57,ChurnSeasonTable,4,FALSE)),4)*BlendedPriceEliteAnnual*AIG57</f>
        <v/>
      </c>
      <c r="AJG57" s="9">
        <f>AJD57+AJE57+AJF57</f>
        <v/>
      </c>
      <c r="AJH57" s="12">
        <f>SUM(AJG46:AJG57)</f>
        <v/>
      </c>
      <c r="AJI57" s="12">
        <f>OR(AJI56,IF(VATAgentMode,SUM($AJG46:$AJG57)-SUM($AJN46:$AJN57)&gt;=VATThreshold,SUM($AJG46:$AJG57)&gt;=VATThreshold))</f>
        <v/>
      </c>
      <c r="AJJ57" s="9">
        <f>IF(AJI57,IF(VATAgentMode,AJG57-((AJG57-AJN57)-(AJG57-AJN57)/(1+VATRate)),AJG57/(1+VATRate)),AJG57)</f>
        <v/>
      </c>
      <c r="AJK57" s="12">
        <f>AJG57-AJJ57</f>
        <v/>
      </c>
      <c r="AJL57" s="12">
        <f>IF(AJI57=0,0,IF(AID57=1,SUMPRODUCT(--(($AIE$5:$AIE57=$AIE57-1)*($AID$5:$AID57&gt;=10)*($AID$5:$AID57&lt;=12)),$AJK$5:$AJK57),IF(AID57=4,SUMPRODUCT(--(($AIE$5:$AIE57=$AIE57)*($AID$5:$AID57&gt;=1)*($AID$5:$AID57&lt;=3)),$AJK$5:$AJK57),IF(AID57=7,SUMPRODUCT(--(($AIE$5:$AIE57=$AIE57)*($AID$5:$AID57&gt;=4)*($AID$5:$AID57&lt;=6)),$AJK$5:$AJK57),IF(AID57=10,SUMPRODUCT(--(($AIE$5:$AIE57=$AIE57)*($AID$5:$AID57&gt;=7)*($AID$5:$AID57&lt;=9)),$AJK$5:$AJK57),0)))))</f>
        <v/>
      </c>
      <c r="AJM57" s="12">
        <f>AJM56+AJK57-AJL57</f>
        <v/>
      </c>
      <c r="AJN57" s="12">
        <f>IF(ProviderDelay&gt;=1,AIU56*BlendedProvPayEss+AIV56*BlendedProvPayPrem+AIW56*BlendedProvPayElite+AIX56*BlendedProvPayEss+AIY56*BlendedProvPayPrem+AIZ56*BlendedProvPayElite,AIU57*BlendedProvPayEss+AIV57*BlendedProvPayPrem+AIW57*BlendedProvPayElite+AIX57*BlendedProvPayEss+AIY57*BlendedProvPayPrem+AIZ57*BlendedProvPayElite)</f>
        <v/>
      </c>
      <c r="AJO57" s="12">
        <f>AJG57*PaymentFee</f>
        <v/>
      </c>
      <c r="AJP57" s="12">
        <f>AJA57*OpsAI</f>
        <v/>
      </c>
      <c r="AJQ57" s="12">
        <f>MonthlyFixed</f>
        <v/>
      </c>
      <c r="AJR57" s="12">
        <f>AIK57*ReferralReward</f>
        <v/>
      </c>
      <c r="AJS57" s="12">
        <f>AII57</f>
        <v/>
      </c>
      <c r="AJT57" s="9">
        <f>AJJ57-AJN57-AJO57-AJP57-AJQ57-AJR57-AJS57</f>
        <v/>
      </c>
      <c r="AJU57" s="9">
        <f>AJU56+AJG57-(AJN57+AJO57+AJP57+AJQ57+AJR57+AJS57+AJL57)</f>
        <v/>
      </c>
      <c r="AJV57" s="12">
        <f>IF(AJA57&gt;0,AJB57/AJA57,0)</f>
        <v/>
      </c>
      <c r="AJW57" s="11">
        <f>IF(AJA56&gt;0,MAX(0,(AJA56+AIL57-AJA57)/AJA56),0)</f>
        <v/>
      </c>
      <c r="AJY57" s="12" t="n">
        <v>53</v>
      </c>
      <c r="AJZ57" s="12">
        <f>MOD(AJY57-1+LaunchMonth-1,12)+1</f>
        <v/>
      </c>
      <c r="AKA57" s="12">
        <f>INT((AJY57-1+LaunchMonth-1)/12)+1</f>
        <v/>
      </c>
      <c r="AKB57" s="12">
        <f>VLOOKUP(AJZ57,SeasonTable,2,FALSE)</f>
        <v/>
      </c>
      <c r="AKC57" s="12">
        <f>(1+InflationRate)^INT((AJY57-1)/12)</f>
        <v/>
      </c>
      <c r="AKD57" s="11">
        <f>MonthlyChurn*VLOOKUP(AJZ57,ChurnSeasonTable,4,FALSE)</f>
        <v/>
      </c>
      <c r="AKE57" s="12">
        <f>MIN(MAX(MktMin19plus,ALC56*MktPct19plus),MAX(0,ALQ56-CashBuffer))</f>
        <v/>
      </c>
      <c r="AKF57" s="12">
        <f>IF(AKE57&gt;0,MAX(1,ROUND(AKE57/'Sens - CAC &amp; Marketing'!$A$10*AKB57,0)),0)</f>
        <v/>
      </c>
      <c r="AKG57" s="12">
        <f>IF(AKF57&gt;0,ROUND(AKF57*ReferralMix/(1-ReferralMix),0),0)</f>
        <v/>
      </c>
      <c r="AKH57" s="12">
        <f>AKF57+AKG57</f>
        <v/>
      </c>
      <c r="AKI57" s="12">
        <f>ROUND(AKH57*(1-AnnualMix),0)</f>
        <v/>
      </c>
      <c r="AKJ57" s="12">
        <f>AKH57-AKI57</f>
        <v/>
      </c>
      <c r="AKK57" s="12">
        <f>ROUND(AKI57*EssentialMix,0)</f>
        <v/>
      </c>
      <c r="AKL57" s="12">
        <f>ROUND(AKI57*PremiumMix,0)</f>
        <v/>
      </c>
      <c r="AKM57" s="12">
        <f>AKI57-AKK57-AKL57</f>
        <v/>
      </c>
      <c r="AKN57" s="12">
        <f>ROUND(AKJ57*EssentialMix,0)</f>
        <v/>
      </c>
      <c r="AKO57" s="12">
        <f>ROUND(AKJ57*PremiumMix,0)</f>
        <v/>
      </c>
      <c r="AKP57" s="12">
        <f>AKJ57-AKN57-AKO57</f>
        <v/>
      </c>
      <c r="AKQ57" s="12">
        <f>AKK57+AKK56+AKK55+MAX(0,AKQ56-AKK56-AKK55)*(1-AKD57)</f>
        <v/>
      </c>
      <c r="AKR57" s="12">
        <f>AKL57+AKL56+AKL55+MAX(0,AKR56-AKL56-AKL55)*(1-AKD57)</f>
        <v/>
      </c>
      <c r="AKS57" s="12">
        <f>AKM57+AKM56+AKM55+MAX(0,AKS56-AKM56-AKM55)*(1-AKD57)</f>
        <v/>
      </c>
      <c r="AKT57" s="12">
        <f>AKT56+AKN57-AKN45*(AnnualChurn*VLOOKUP(AJZ57,ChurnSeasonTable,4,FALSE))*POWER(1-(AnnualChurn*VLOOKUP(AJZ57,ChurnSeasonTable,4,FALSE)),0)+AKN33*(AnnualChurn*VLOOKUP(AJZ57,ChurnSeasonTable,4,FALSE))*POWER(1-(AnnualChurn*VLOOKUP(AJZ57,ChurnSeasonTable,4,FALSE)),1)+AKN21*(AnnualChurn*VLOOKUP(AJZ57,ChurnSeasonTable,4,FALSE))*POWER(1-(AnnualChurn*VLOOKUP(AJZ57,ChurnSeasonTable,4,FALSE)),2)+AKN9*(AnnualChurn*VLOOKUP(AJZ57,ChurnSeasonTable,4,FALSE))*POWER(1-(AnnualChurn*VLOOKUP(AJZ57,ChurnSeasonTable,4,FALSE)),3)</f>
        <v/>
      </c>
      <c r="AKU57" s="12">
        <f>AKU56+AKO57-AKO45*(AnnualChurn*VLOOKUP(AJZ57,ChurnSeasonTable,4,FALSE))*POWER(1-(AnnualChurn*VLOOKUP(AJZ57,ChurnSeasonTable,4,FALSE)),0)+AKO33*(AnnualChurn*VLOOKUP(AJZ57,ChurnSeasonTable,4,FALSE))*POWER(1-(AnnualChurn*VLOOKUP(AJZ57,ChurnSeasonTable,4,FALSE)),1)+AKO21*(AnnualChurn*VLOOKUP(AJZ57,ChurnSeasonTable,4,FALSE))*POWER(1-(AnnualChurn*VLOOKUP(AJZ57,ChurnSeasonTable,4,FALSE)),2)+AKO9*(AnnualChurn*VLOOKUP(AJZ57,ChurnSeasonTable,4,FALSE))*POWER(1-(AnnualChurn*VLOOKUP(AJZ57,ChurnSeasonTable,4,FALSE)),3)</f>
        <v/>
      </c>
      <c r="AKV57" s="12">
        <f>AKV56+AKP57-AKP45*(AnnualChurn*VLOOKUP(AJZ57,ChurnSeasonTable,4,FALSE))*POWER(1-(AnnualChurn*VLOOKUP(AJZ57,ChurnSeasonTable,4,FALSE)),0)+AKP33*(AnnualChurn*VLOOKUP(AJZ57,ChurnSeasonTable,4,FALSE))*POWER(1-(AnnualChurn*VLOOKUP(AJZ57,ChurnSeasonTable,4,FALSE)),1)+AKP21*(AnnualChurn*VLOOKUP(AJZ57,ChurnSeasonTable,4,FALSE))*POWER(1-(AnnualChurn*VLOOKUP(AJZ57,ChurnSeasonTable,4,FALSE)),2)+AKP9*(AnnualChurn*VLOOKUP(AJZ57,ChurnSeasonTable,4,FALSE))*POWER(1-(AnnualChurn*VLOOKUP(AJZ57,ChurnSeasonTable,4,FALSE)),3)</f>
        <v/>
      </c>
      <c r="AKW57" s="12">
        <f>AKQ57+AKR57+AKS57+AKT57+AKU57+AKV57</f>
        <v/>
      </c>
      <c r="AKX57" s="9">
        <f>AKQ57*BlendedPriceEssMonthly*AKC57+AKR57*BlendedPricePremMonthly*AKC57+AKS57*BlendedPriceEliteMonthly*AKC57+AKT57*BlendedPriceEssAnnual*AKC57/12+AKU57*BlendedPricePremAnnual*AKC57/12+AKV57*BlendedPriceEliteAnnual*AKC57/12</f>
        <v/>
      </c>
      <c r="AKY57" s="9">
        <f>AKX57*12</f>
        <v/>
      </c>
      <c r="AKZ57" s="12">
        <f>AKQ57*BlendedPriceEssMonthly*AKC57+AKR57*BlendedPricePremMonthly*AKC57+AKS57*BlendedPriceEliteMonthly*AKC57</f>
        <v/>
      </c>
      <c r="ALA57" s="12">
        <f>AKN57*BlendedPriceEssAnnual*AKC57+AKO57*BlendedPricePremAnnual*AKC57+AKP57*BlendedPriceEliteAnnual*AKC57</f>
        <v/>
      </c>
      <c r="ALB57" s="12">
        <f>AKN45*POWER(1-(AnnualChurn*VLOOKUP(AJZ57,ChurnSeasonTable,4,FALSE)),1)*BlendedPriceEssAnnual*AKC57+AKN33*POWER(1-(AnnualChurn*VLOOKUP(AJZ57,ChurnSeasonTable,4,FALSE)),2)*BlendedPriceEssAnnual*AKC57+AKN21*POWER(1-(AnnualChurn*VLOOKUP(AJZ57,ChurnSeasonTable,4,FALSE)),3)*BlendedPriceEssAnnual*AKC57+AKN9*POWER(1-(AnnualChurn*VLOOKUP(AJZ57,ChurnSeasonTable,4,FALSE)),4)*BlendedPriceEssAnnual*AKC57+AKO45*POWER(1-(AnnualChurn*VLOOKUP(AJZ57,ChurnSeasonTable,4,FALSE)),1)*BlendedPricePremAnnual*AKC57+AKO33*POWER(1-(AnnualChurn*VLOOKUP(AJZ57,ChurnSeasonTable,4,FALSE)),2)*BlendedPricePremAnnual*AKC57+AKO21*POWER(1-(AnnualChurn*VLOOKUP(AJZ57,ChurnSeasonTable,4,FALSE)),3)*BlendedPricePremAnnual*AKC57+AKO9*POWER(1-(AnnualChurn*VLOOKUP(AJZ57,ChurnSeasonTable,4,FALSE)),4)*BlendedPricePremAnnual*AKC57+AKP45*POWER(1-(AnnualChurn*VLOOKUP(AJZ57,ChurnSeasonTable,4,FALSE)),1)*BlendedPriceEliteAnnual*AKC57+AKP33*POWER(1-(AnnualChurn*VLOOKUP(AJZ57,ChurnSeasonTable,4,FALSE)),2)*BlendedPriceEliteAnnual*AKC57+AKP21*POWER(1-(AnnualChurn*VLOOKUP(AJZ57,ChurnSeasonTable,4,FALSE)),3)*BlendedPriceEliteAnnual*AKC57+AKP9*POWER(1-(AnnualChurn*VLOOKUP(AJZ57,ChurnSeasonTable,4,FALSE)),4)*BlendedPriceEliteAnnual*AKC57</f>
        <v/>
      </c>
      <c r="ALC57" s="9">
        <f>AKZ57+ALA57+ALB57</f>
        <v/>
      </c>
      <c r="ALD57" s="12">
        <f>SUM(ALC46:ALC57)</f>
        <v/>
      </c>
      <c r="ALE57" s="12">
        <f>OR(ALE56,IF(VATAgentMode,SUM($ALC46:$ALC57)-SUM($ALJ46:$ALJ57)&gt;=VATThreshold,SUM($ALC46:$ALC57)&gt;=VATThreshold))</f>
        <v/>
      </c>
      <c r="ALF57" s="9">
        <f>IF(ALE57,IF(VATAgentMode,ALC57-((ALC57-ALJ57)-(ALC57-ALJ57)/(1+VATRate)),ALC57/(1+VATRate)),ALC57)</f>
        <v/>
      </c>
      <c r="ALG57" s="12">
        <f>ALC57-ALF57</f>
        <v/>
      </c>
      <c r="ALH57" s="12">
        <f>IF(ALE57=0,0,IF(AJZ57=1,SUMPRODUCT(--(($AKA$5:$AKA57=$AKA57-1)*($AJZ$5:$AJZ57&gt;=10)*($AJZ$5:$AJZ57&lt;=12)),$ALG$5:$ALG57),IF(AJZ57=4,SUMPRODUCT(--(($AKA$5:$AKA57=$AKA57)*($AJZ$5:$AJZ57&gt;=1)*($AJZ$5:$AJZ57&lt;=3)),$ALG$5:$ALG57),IF(AJZ57=7,SUMPRODUCT(--(($AKA$5:$AKA57=$AKA57)*($AJZ$5:$AJZ57&gt;=4)*($AJZ$5:$AJZ57&lt;=6)),$ALG$5:$ALG57),IF(AJZ57=10,SUMPRODUCT(--(($AKA$5:$AKA57=$AKA57)*($AJZ$5:$AJZ57&gt;=7)*($AJZ$5:$AJZ57&lt;=9)),$ALG$5:$ALG57),0)))))</f>
        <v/>
      </c>
      <c r="ALI57" s="12">
        <f>ALI56+ALG57-ALH57</f>
        <v/>
      </c>
      <c r="ALJ57" s="12">
        <f>IF(ProviderDelay&gt;=1,AKQ56*BlendedProvPayEss+AKR56*BlendedProvPayPrem+AKS56*BlendedProvPayElite+AKT56*BlendedProvPayEss+AKU56*BlendedProvPayPrem+AKV56*BlendedProvPayElite,AKQ57*BlendedProvPayEss+AKR57*BlendedProvPayPrem+AKS57*BlendedProvPayElite+AKT57*BlendedProvPayEss+AKU57*BlendedProvPayPrem+AKV57*BlendedProvPayElite)</f>
        <v/>
      </c>
      <c r="ALK57" s="12">
        <f>ALC57*PaymentFee</f>
        <v/>
      </c>
      <c r="ALL57" s="12">
        <f>AKW57*OpsAI</f>
        <v/>
      </c>
      <c r="ALM57" s="12">
        <f>MonthlyFixed</f>
        <v/>
      </c>
      <c r="ALN57" s="12">
        <f>AKG57*ReferralReward</f>
        <v/>
      </c>
      <c r="ALO57" s="12">
        <f>AKE57</f>
        <v/>
      </c>
      <c r="ALP57" s="9">
        <f>ALF57-ALJ57-ALK57-ALL57-ALM57-ALN57-ALO57</f>
        <v/>
      </c>
      <c r="ALQ57" s="9">
        <f>ALQ56+ALC57-(ALJ57+ALK57+ALL57+ALM57+ALN57+ALO57+ALH57)</f>
        <v/>
      </c>
      <c r="ALR57" s="12">
        <f>IF(AKW57&gt;0,AKX57/AKW57,0)</f>
        <v/>
      </c>
      <c r="ALS57" s="11">
        <f>IF(AKW56&gt;0,MAX(0,(AKW56+AKH57-AKW57)/AKW56),0)</f>
        <v/>
      </c>
      <c r="ALU57" s="12" t="n">
        <v>53</v>
      </c>
      <c r="ALV57" s="12">
        <f>MOD(ALU57-1+LaunchMonth-1,12)+1</f>
        <v/>
      </c>
      <c r="ALW57" s="12">
        <f>INT((ALU57-1+LaunchMonth-1)/12)+1</f>
        <v/>
      </c>
      <c r="ALX57" s="12">
        <f>VLOOKUP(ALV57,SeasonTable,2,FALSE)</f>
        <v/>
      </c>
      <c r="ALY57" s="12">
        <f>(1+InflationRate)^INT((ALU57-1)/12)</f>
        <v/>
      </c>
      <c r="ALZ57" s="11">
        <f>MonthlyChurn*VLOOKUP(ALV57,ChurnSeasonTable,4,FALSE)</f>
        <v/>
      </c>
      <c r="AMA57" s="12">
        <f>MIN(MAX(MktMin19plus,AMY56*MktPct19plus),MAX(0,ANM56-CashBuffer))</f>
        <v/>
      </c>
      <c r="AMB57" s="12">
        <f>IF(AMA57&gt;0,MAX(1,ROUND(AMA57/'Sens - CAC &amp; Marketing'!$A$11*ALX57,0)),0)</f>
        <v/>
      </c>
      <c r="AMC57" s="12">
        <f>IF(AMB57&gt;0,ROUND(AMB57*ReferralMix/(1-ReferralMix),0),0)</f>
        <v/>
      </c>
      <c r="AMD57" s="12">
        <f>AMB57+AMC57</f>
        <v/>
      </c>
      <c r="AME57" s="12">
        <f>ROUND(AMD57*(1-AnnualMix),0)</f>
        <v/>
      </c>
      <c r="AMF57" s="12">
        <f>AMD57-AME57</f>
        <v/>
      </c>
      <c r="AMG57" s="12">
        <f>ROUND(AME57*EssentialMix,0)</f>
        <v/>
      </c>
      <c r="AMH57" s="12">
        <f>ROUND(AME57*PremiumMix,0)</f>
        <v/>
      </c>
      <c r="AMI57" s="12">
        <f>AME57-AMG57-AMH57</f>
        <v/>
      </c>
      <c r="AMJ57" s="12">
        <f>ROUND(AMF57*EssentialMix,0)</f>
        <v/>
      </c>
      <c r="AMK57" s="12">
        <f>ROUND(AMF57*PremiumMix,0)</f>
        <v/>
      </c>
      <c r="AML57" s="12">
        <f>AMF57-AMJ57-AMK57</f>
        <v/>
      </c>
      <c r="AMM57" s="12">
        <f>AMG57+AMG56+AMG55+MAX(0,AMM56-AMG56-AMG55)*(1-ALZ57)</f>
        <v/>
      </c>
      <c r="AMN57" s="12">
        <f>AMH57+AMH56+AMH55+MAX(0,AMN56-AMH56-AMH55)*(1-ALZ57)</f>
        <v/>
      </c>
      <c r="AMO57" s="12">
        <f>AMI57+AMI56+AMI55+MAX(0,AMO56-AMI56-AMI55)*(1-ALZ57)</f>
        <v/>
      </c>
      <c r="AMP57" s="12">
        <f>AMP56+AMJ57-AMJ45*(AnnualChurn*VLOOKUP(ALV57,ChurnSeasonTable,4,FALSE))*POWER(1-(AnnualChurn*VLOOKUP(ALV57,ChurnSeasonTable,4,FALSE)),0)+AMJ33*(AnnualChurn*VLOOKUP(ALV57,ChurnSeasonTable,4,FALSE))*POWER(1-(AnnualChurn*VLOOKUP(ALV57,ChurnSeasonTable,4,FALSE)),1)+AMJ21*(AnnualChurn*VLOOKUP(ALV57,ChurnSeasonTable,4,FALSE))*POWER(1-(AnnualChurn*VLOOKUP(ALV57,ChurnSeasonTable,4,FALSE)),2)+AMJ9*(AnnualChurn*VLOOKUP(ALV57,ChurnSeasonTable,4,FALSE))*POWER(1-(AnnualChurn*VLOOKUP(ALV57,ChurnSeasonTable,4,FALSE)),3)</f>
        <v/>
      </c>
      <c r="AMQ57" s="12">
        <f>AMQ56+AMK57-AMK45*(AnnualChurn*VLOOKUP(ALV57,ChurnSeasonTable,4,FALSE))*POWER(1-(AnnualChurn*VLOOKUP(ALV57,ChurnSeasonTable,4,FALSE)),0)+AMK33*(AnnualChurn*VLOOKUP(ALV57,ChurnSeasonTable,4,FALSE))*POWER(1-(AnnualChurn*VLOOKUP(ALV57,ChurnSeasonTable,4,FALSE)),1)+AMK21*(AnnualChurn*VLOOKUP(ALV57,ChurnSeasonTable,4,FALSE))*POWER(1-(AnnualChurn*VLOOKUP(ALV57,ChurnSeasonTable,4,FALSE)),2)+AMK9*(AnnualChurn*VLOOKUP(ALV57,ChurnSeasonTable,4,FALSE))*POWER(1-(AnnualChurn*VLOOKUP(ALV57,ChurnSeasonTable,4,FALSE)),3)</f>
        <v/>
      </c>
      <c r="AMR57" s="12">
        <f>AMR56+AML57-AML45*(AnnualChurn*VLOOKUP(ALV57,ChurnSeasonTable,4,FALSE))*POWER(1-(AnnualChurn*VLOOKUP(ALV57,ChurnSeasonTable,4,FALSE)),0)+AML33*(AnnualChurn*VLOOKUP(ALV57,ChurnSeasonTable,4,FALSE))*POWER(1-(AnnualChurn*VLOOKUP(ALV57,ChurnSeasonTable,4,FALSE)),1)+AML21*(AnnualChurn*VLOOKUP(ALV57,ChurnSeasonTable,4,FALSE))*POWER(1-(AnnualChurn*VLOOKUP(ALV57,ChurnSeasonTable,4,FALSE)),2)+AML9*(AnnualChurn*VLOOKUP(ALV57,ChurnSeasonTable,4,FALSE))*POWER(1-(AnnualChurn*VLOOKUP(ALV57,ChurnSeasonTable,4,FALSE)),3)</f>
        <v/>
      </c>
      <c r="AMS57" s="12">
        <f>AMM57+AMN57+AMO57+AMP57+AMQ57+AMR57</f>
        <v/>
      </c>
      <c r="AMT57" s="9">
        <f>AMM57*BlendedPriceEssMonthly*ALY57+AMN57*BlendedPricePremMonthly*ALY57+AMO57*BlendedPriceEliteMonthly*ALY57+AMP57*BlendedPriceEssAnnual*ALY57/12+AMQ57*BlendedPricePremAnnual*ALY57/12+AMR57*BlendedPriceEliteAnnual*ALY57/12</f>
        <v/>
      </c>
      <c r="AMU57" s="9">
        <f>AMT57*12</f>
        <v/>
      </c>
      <c r="AMV57" s="12">
        <f>AMM57*BlendedPriceEssMonthly*ALY57+AMN57*BlendedPricePremMonthly*ALY57+AMO57*BlendedPriceEliteMonthly*ALY57</f>
        <v/>
      </c>
      <c r="AMW57" s="12">
        <f>AMJ57*BlendedPriceEssAnnual*ALY57+AMK57*BlendedPricePremAnnual*ALY57+AML57*BlendedPriceEliteAnnual*ALY57</f>
        <v/>
      </c>
      <c r="AMX57" s="12">
        <f>AMJ45*POWER(1-(AnnualChurn*VLOOKUP(ALV57,ChurnSeasonTable,4,FALSE)),1)*BlendedPriceEssAnnual*ALY57+AMJ33*POWER(1-(AnnualChurn*VLOOKUP(ALV57,ChurnSeasonTable,4,FALSE)),2)*BlendedPriceEssAnnual*ALY57+AMJ21*POWER(1-(AnnualChurn*VLOOKUP(ALV57,ChurnSeasonTable,4,FALSE)),3)*BlendedPriceEssAnnual*ALY57+AMJ9*POWER(1-(AnnualChurn*VLOOKUP(ALV57,ChurnSeasonTable,4,FALSE)),4)*BlendedPriceEssAnnual*ALY57+AMK45*POWER(1-(AnnualChurn*VLOOKUP(ALV57,ChurnSeasonTable,4,FALSE)),1)*BlendedPricePremAnnual*ALY57+AMK33*POWER(1-(AnnualChurn*VLOOKUP(ALV57,ChurnSeasonTable,4,FALSE)),2)*BlendedPricePremAnnual*ALY57+AMK21*POWER(1-(AnnualChurn*VLOOKUP(ALV57,ChurnSeasonTable,4,FALSE)),3)*BlendedPricePremAnnual*ALY57+AMK9*POWER(1-(AnnualChurn*VLOOKUP(ALV57,ChurnSeasonTable,4,FALSE)),4)*BlendedPricePremAnnual*ALY57+AML45*POWER(1-(AnnualChurn*VLOOKUP(ALV57,ChurnSeasonTable,4,FALSE)),1)*BlendedPriceEliteAnnual*ALY57+AML33*POWER(1-(AnnualChurn*VLOOKUP(ALV57,ChurnSeasonTable,4,FALSE)),2)*BlendedPriceEliteAnnual*ALY57+AML21*POWER(1-(AnnualChurn*VLOOKUP(ALV57,ChurnSeasonTable,4,FALSE)),3)*BlendedPriceEliteAnnual*ALY57+AML9*POWER(1-(AnnualChurn*VLOOKUP(ALV57,ChurnSeasonTable,4,FALSE)),4)*BlendedPriceEliteAnnual*ALY57</f>
        <v/>
      </c>
      <c r="AMY57" s="9">
        <f>AMV57+AMW57+AMX57</f>
        <v/>
      </c>
      <c r="AMZ57" s="12">
        <f>SUM(AMY46:AMY57)</f>
        <v/>
      </c>
      <c r="ANA57" s="12">
        <f>OR(ANA56,IF(VATAgentMode,SUM($AMY46:$AMY57)-SUM($ANF46:$ANF57)&gt;=VATThreshold,SUM($AMY46:$AMY57)&gt;=VATThreshold))</f>
        <v/>
      </c>
      <c r="ANB57" s="9">
        <f>IF(ANA57,IF(VATAgentMode,AMY57-((AMY57-ANF57)-(AMY57-ANF57)/(1+VATRate)),AMY57/(1+VATRate)),AMY57)</f>
        <v/>
      </c>
      <c r="ANC57" s="12">
        <f>AMY57-ANB57</f>
        <v/>
      </c>
      <c r="AND57" s="12">
        <f>IF(ANA57=0,0,IF(ALV57=1,SUMPRODUCT(--(($ALW$5:$ALW57=$ALW57-1)*($ALV$5:$ALV57&gt;=10)*($ALV$5:$ALV57&lt;=12)),$ANC$5:$ANC57),IF(ALV57=4,SUMPRODUCT(--(($ALW$5:$ALW57=$ALW57)*($ALV$5:$ALV57&gt;=1)*($ALV$5:$ALV57&lt;=3)),$ANC$5:$ANC57),IF(ALV57=7,SUMPRODUCT(--(($ALW$5:$ALW57=$ALW57)*($ALV$5:$ALV57&gt;=4)*($ALV$5:$ALV57&lt;=6)),$ANC$5:$ANC57),IF(ALV57=10,SUMPRODUCT(--(($ALW$5:$ALW57=$ALW57)*($ALV$5:$ALV57&gt;=7)*($ALV$5:$ALV57&lt;=9)),$ANC$5:$ANC57),0)))))</f>
        <v/>
      </c>
      <c r="ANE57" s="12">
        <f>ANE56+ANC57-AND57</f>
        <v/>
      </c>
      <c r="ANF57" s="12">
        <f>IF(ProviderDelay&gt;=1,AMM56*BlendedProvPayEss+AMN56*BlendedProvPayPrem+AMO56*BlendedProvPayElite+AMP56*BlendedProvPayEss+AMQ56*BlendedProvPayPrem+AMR56*BlendedProvPayElite,AMM57*BlendedProvPayEss+AMN57*BlendedProvPayPrem+AMO57*BlendedProvPayElite+AMP57*BlendedProvPayEss+AMQ57*BlendedProvPayPrem+AMR57*BlendedProvPayElite)</f>
        <v/>
      </c>
      <c r="ANG57" s="12">
        <f>AMY57*PaymentFee</f>
        <v/>
      </c>
      <c r="ANH57" s="12">
        <f>AMS57*OpsAI</f>
        <v/>
      </c>
      <c r="ANI57" s="12">
        <f>MonthlyFixed</f>
        <v/>
      </c>
      <c r="ANJ57" s="12">
        <f>AMC57*ReferralReward</f>
        <v/>
      </c>
      <c r="ANK57" s="12">
        <f>AMA57</f>
        <v/>
      </c>
      <c r="ANL57" s="9">
        <f>ANB57-ANF57-ANG57-ANH57-ANI57-ANJ57-ANK57</f>
        <v/>
      </c>
      <c r="ANM57" s="9">
        <f>ANM56+AMY57-(ANF57+ANG57+ANH57+ANI57+ANJ57+ANK57+AND57)</f>
        <v/>
      </c>
      <c r="ANN57" s="12">
        <f>IF(AMS57&gt;0,AMT57/AMS57,0)</f>
        <v/>
      </c>
      <c r="ANO57" s="11">
        <f>IF(AMS56&gt;0,MAX(0,(AMS56+AMD57-AMS57)/AMS56),0)</f>
        <v/>
      </c>
      <c r="ANQ57" s="12" t="n">
        <v>53</v>
      </c>
      <c r="ANR57" s="12">
        <f>MOD(ANQ57-1+LaunchMonth-1,12)+1</f>
        <v/>
      </c>
      <c r="ANS57" s="12">
        <f>INT((ANQ57-1+LaunchMonth-1)/12)+1</f>
        <v/>
      </c>
      <c r="ANT57" s="12">
        <f>VLOOKUP(ANR57,SeasonTable,2,FALSE)</f>
        <v/>
      </c>
      <c r="ANU57" s="12">
        <f>(1+InflationRate)^INT((ANQ57-1)/12)</f>
        <v/>
      </c>
      <c r="ANV57" s="11">
        <f>MonthlyChurn*VLOOKUP(ANR57,ChurnSeasonTable,4,FALSE)</f>
        <v/>
      </c>
      <c r="ANW57" s="12">
        <f>MIN(MAX(MktMin19plus,AOU56*MktPct19plus),MAX(0,API56-CashBuffer))</f>
        <v/>
      </c>
      <c r="ANX57" s="12">
        <f>IF(ANW57&gt;0,MAX(1,ROUND(ANW57/'Sens - CAC &amp; Marketing'!$A$12*ANT57,0)),0)</f>
        <v/>
      </c>
      <c r="ANY57" s="12">
        <f>IF(ANX57&gt;0,ROUND(ANX57*ReferralMix/(1-ReferralMix),0),0)</f>
        <v/>
      </c>
      <c r="ANZ57" s="12">
        <f>ANX57+ANY57</f>
        <v/>
      </c>
      <c r="AOA57" s="12">
        <f>ROUND(ANZ57*(1-AnnualMix),0)</f>
        <v/>
      </c>
      <c r="AOB57" s="12">
        <f>ANZ57-AOA57</f>
        <v/>
      </c>
      <c r="AOC57" s="12">
        <f>ROUND(AOA57*EssentialMix,0)</f>
        <v/>
      </c>
      <c r="AOD57" s="12">
        <f>ROUND(AOA57*PremiumMix,0)</f>
        <v/>
      </c>
      <c r="AOE57" s="12">
        <f>AOA57-AOC57-AOD57</f>
        <v/>
      </c>
      <c r="AOF57" s="12">
        <f>ROUND(AOB57*EssentialMix,0)</f>
        <v/>
      </c>
      <c r="AOG57" s="12">
        <f>ROUND(AOB57*PremiumMix,0)</f>
        <v/>
      </c>
      <c r="AOH57" s="12">
        <f>AOB57-AOF57-AOG57</f>
        <v/>
      </c>
      <c r="AOI57" s="12">
        <f>AOC57+AOC56+AOC55+MAX(0,AOI56-AOC56-AOC55)*(1-ANV57)</f>
        <v/>
      </c>
      <c r="AOJ57" s="12">
        <f>AOD57+AOD56+AOD55+MAX(0,AOJ56-AOD56-AOD55)*(1-ANV57)</f>
        <v/>
      </c>
      <c r="AOK57" s="12">
        <f>AOE57+AOE56+AOE55+MAX(0,AOK56-AOE56-AOE55)*(1-ANV57)</f>
        <v/>
      </c>
      <c r="AOL57" s="12">
        <f>AOL56+AOF57-AOF45*(AnnualChurn*VLOOKUP(ANR57,ChurnSeasonTable,4,FALSE))*POWER(1-(AnnualChurn*VLOOKUP(ANR57,ChurnSeasonTable,4,FALSE)),0)+AOF33*(AnnualChurn*VLOOKUP(ANR57,ChurnSeasonTable,4,FALSE))*POWER(1-(AnnualChurn*VLOOKUP(ANR57,ChurnSeasonTable,4,FALSE)),1)+AOF21*(AnnualChurn*VLOOKUP(ANR57,ChurnSeasonTable,4,FALSE))*POWER(1-(AnnualChurn*VLOOKUP(ANR57,ChurnSeasonTable,4,FALSE)),2)+AOF9*(AnnualChurn*VLOOKUP(ANR57,ChurnSeasonTable,4,FALSE))*POWER(1-(AnnualChurn*VLOOKUP(ANR57,ChurnSeasonTable,4,FALSE)),3)</f>
        <v/>
      </c>
      <c r="AOM57" s="12">
        <f>AOM56+AOG57-AOG45*(AnnualChurn*VLOOKUP(ANR57,ChurnSeasonTable,4,FALSE))*POWER(1-(AnnualChurn*VLOOKUP(ANR57,ChurnSeasonTable,4,FALSE)),0)+AOG33*(AnnualChurn*VLOOKUP(ANR57,ChurnSeasonTable,4,FALSE))*POWER(1-(AnnualChurn*VLOOKUP(ANR57,ChurnSeasonTable,4,FALSE)),1)+AOG21*(AnnualChurn*VLOOKUP(ANR57,ChurnSeasonTable,4,FALSE))*POWER(1-(AnnualChurn*VLOOKUP(ANR57,ChurnSeasonTable,4,FALSE)),2)+AOG9*(AnnualChurn*VLOOKUP(ANR57,ChurnSeasonTable,4,FALSE))*POWER(1-(AnnualChurn*VLOOKUP(ANR57,ChurnSeasonTable,4,FALSE)),3)</f>
        <v/>
      </c>
      <c r="AON57" s="12">
        <f>AON56+AOH57-AOH45*(AnnualChurn*VLOOKUP(ANR57,ChurnSeasonTable,4,FALSE))*POWER(1-(AnnualChurn*VLOOKUP(ANR57,ChurnSeasonTable,4,FALSE)),0)+AOH33*(AnnualChurn*VLOOKUP(ANR57,ChurnSeasonTable,4,FALSE))*POWER(1-(AnnualChurn*VLOOKUP(ANR57,ChurnSeasonTable,4,FALSE)),1)+AOH21*(AnnualChurn*VLOOKUP(ANR57,ChurnSeasonTable,4,FALSE))*POWER(1-(AnnualChurn*VLOOKUP(ANR57,ChurnSeasonTable,4,FALSE)),2)+AOH9*(AnnualChurn*VLOOKUP(ANR57,ChurnSeasonTable,4,FALSE))*POWER(1-(AnnualChurn*VLOOKUP(ANR57,ChurnSeasonTable,4,FALSE)),3)</f>
        <v/>
      </c>
      <c r="AOO57" s="12">
        <f>AOI57+AOJ57+AOK57+AOL57+AOM57+AON57</f>
        <v/>
      </c>
      <c r="AOP57" s="9">
        <f>AOI57*BlendedPriceEssMonthly*ANU57+AOJ57*BlendedPricePremMonthly*ANU57+AOK57*BlendedPriceEliteMonthly*ANU57+AOL57*BlendedPriceEssAnnual*ANU57/12+AOM57*BlendedPricePremAnnual*ANU57/12+AON57*BlendedPriceEliteAnnual*ANU57/12</f>
        <v/>
      </c>
      <c r="AOQ57" s="9">
        <f>AOP57*12</f>
        <v/>
      </c>
      <c r="AOR57" s="12">
        <f>AOI57*BlendedPriceEssMonthly*ANU57+AOJ57*BlendedPricePremMonthly*ANU57+AOK57*BlendedPriceEliteMonthly*ANU57</f>
        <v/>
      </c>
      <c r="AOS57" s="12">
        <f>AOF57*BlendedPriceEssAnnual*ANU57+AOG57*BlendedPricePremAnnual*ANU57+AOH57*BlendedPriceEliteAnnual*ANU57</f>
        <v/>
      </c>
      <c r="AOT57" s="12">
        <f>AOF45*POWER(1-(AnnualChurn*VLOOKUP(ANR57,ChurnSeasonTable,4,FALSE)),1)*BlendedPriceEssAnnual*ANU57+AOF33*POWER(1-(AnnualChurn*VLOOKUP(ANR57,ChurnSeasonTable,4,FALSE)),2)*BlendedPriceEssAnnual*ANU57+AOF21*POWER(1-(AnnualChurn*VLOOKUP(ANR57,ChurnSeasonTable,4,FALSE)),3)*BlendedPriceEssAnnual*ANU57+AOF9*POWER(1-(AnnualChurn*VLOOKUP(ANR57,ChurnSeasonTable,4,FALSE)),4)*BlendedPriceEssAnnual*ANU57+AOG45*POWER(1-(AnnualChurn*VLOOKUP(ANR57,ChurnSeasonTable,4,FALSE)),1)*BlendedPricePremAnnual*ANU57+AOG33*POWER(1-(AnnualChurn*VLOOKUP(ANR57,ChurnSeasonTable,4,FALSE)),2)*BlendedPricePremAnnual*ANU57+AOG21*POWER(1-(AnnualChurn*VLOOKUP(ANR57,ChurnSeasonTable,4,FALSE)),3)*BlendedPricePremAnnual*ANU57+AOG9*POWER(1-(AnnualChurn*VLOOKUP(ANR57,ChurnSeasonTable,4,FALSE)),4)*BlendedPricePremAnnual*ANU57+AOH45*POWER(1-(AnnualChurn*VLOOKUP(ANR57,ChurnSeasonTable,4,FALSE)),1)*BlendedPriceEliteAnnual*ANU57+AOH33*POWER(1-(AnnualChurn*VLOOKUP(ANR57,ChurnSeasonTable,4,FALSE)),2)*BlendedPriceEliteAnnual*ANU57+AOH21*POWER(1-(AnnualChurn*VLOOKUP(ANR57,ChurnSeasonTable,4,FALSE)),3)*BlendedPriceEliteAnnual*ANU57+AOH9*POWER(1-(AnnualChurn*VLOOKUP(ANR57,ChurnSeasonTable,4,FALSE)),4)*BlendedPriceEliteAnnual*ANU57</f>
        <v/>
      </c>
      <c r="AOU57" s="9">
        <f>AOR57+AOS57+AOT57</f>
        <v/>
      </c>
      <c r="AOV57" s="12">
        <f>SUM(AOU46:AOU57)</f>
        <v/>
      </c>
      <c r="AOW57" s="12">
        <f>OR(AOW56,IF(VATAgentMode,SUM($AOU46:$AOU57)-SUM($APB46:$APB57)&gt;=VATThreshold,SUM($AOU46:$AOU57)&gt;=VATThreshold))</f>
        <v/>
      </c>
      <c r="AOX57" s="9">
        <f>IF(AOW57,IF(VATAgentMode,AOU57-((AOU57-APB57)-(AOU57-APB57)/(1+VATRate)),AOU57/(1+VATRate)),AOU57)</f>
        <v/>
      </c>
      <c r="AOY57" s="12">
        <f>AOU57-AOX57</f>
        <v/>
      </c>
      <c r="AOZ57" s="12">
        <f>IF(AOW57=0,0,IF(ANR57=1,SUMPRODUCT(--(($ANS$5:$ANS57=$ANS57-1)*($ANR$5:$ANR57&gt;=10)*($ANR$5:$ANR57&lt;=12)),$AOY$5:$AOY57),IF(ANR57=4,SUMPRODUCT(--(($ANS$5:$ANS57=$ANS57)*($ANR$5:$ANR57&gt;=1)*($ANR$5:$ANR57&lt;=3)),$AOY$5:$AOY57),IF(ANR57=7,SUMPRODUCT(--(($ANS$5:$ANS57=$ANS57)*($ANR$5:$ANR57&gt;=4)*($ANR$5:$ANR57&lt;=6)),$AOY$5:$AOY57),IF(ANR57=10,SUMPRODUCT(--(($ANS$5:$ANS57=$ANS57)*($ANR$5:$ANR57&gt;=7)*($ANR$5:$ANR57&lt;=9)),$AOY$5:$AOY57),0)))))</f>
        <v/>
      </c>
      <c r="APA57" s="12">
        <f>APA56+AOY57-AOZ57</f>
        <v/>
      </c>
      <c r="APB57" s="12">
        <f>IF(ProviderDelay&gt;=1,AOI56*BlendedProvPayEss+AOJ56*BlendedProvPayPrem+AOK56*BlendedProvPayElite+AOL56*BlendedProvPayEss+AOM56*BlendedProvPayPrem+AON56*BlendedProvPayElite,AOI57*BlendedProvPayEss+AOJ57*BlendedProvPayPrem+AOK57*BlendedProvPayElite+AOL57*BlendedProvPayEss+AOM57*BlendedProvPayPrem+AON57*BlendedProvPayElite)</f>
        <v/>
      </c>
      <c r="APC57" s="12">
        <f>AOU57*PaymentFee</f>
        <v/>
      </c>
      <c r="APD57" s="12">
        <f>AOO57*OpsAI</f>
        <v/>
      </c>
      <c r="APE57" s="12">
        <f>MonthlyFixed</f>
        <v/>
      </c>
      <c r="APF57" s="12">
        <f>ANY57*ReferralReward</f>
        <v/>
      </c>
      <c r="APG57" s="12">
        <f>ANW57</f>
        <v/>
      </c>
      <c r="APH57" s="9">
        <f>AOX57-APB57-APC57-APD57-APE57-APF57-APG57</f>
        <v/>
      </c>
      <c r="API57" s="9">
        <f>API56+AOU57-(APB57+APC57+APD57+APE57+APF57+APG57+AOZ57)</f>
        <v/>
      </c>
      <c r="APJ57" s="12">
        <f>IF(AOO57&gt;0,AOP57/AOO57,0)</f>
        <v/>
      </c>
      <c r="APK57" s="11">
        <f>IF(AOO56&gt;0,MAX(0,(AOO56+ANZ57-AOO57)/AOO56),0)</f>
        <v/>
      </c>
      <c r="APM57" s="12" t="n">
        <v>53</v>
      </c>
      <c r="APN57" s="12">
        <f>MOD(APM57-1+LaunchMonth-1,12)+1</f>
        <v/>
      </c>
      <c r="APO57" s="12">
        <f>INT((APM57-1+LaunchMonth-1)/12)+1</f>
        <v/>
      </c>
      <c r="APP57" s="12">
        <f>VLOOKUP(APN57,SeasonTable,2,FALSE)</f>
        <v/>
      </c>
      <c r="APQ57" s="12">
        <f>(1+InflationRate)^INT((APM57-1)/12)</f>
        <v/>
      </c>
      <c r="APR57" s="11">
        <f>MonthlyChurn*VLOOKUP(APN57,ChurnSeasonTable,4,FALSE)</f>
        <v/>
      </c>
      <c r="APS57" s="12">
        <f>MIN(MAX(MktMin19plus,AQQ56*MktPct19plus),MAX(0,ARE56-CashBuffer))</f>
        <v/>
      </c>
      <c r="APT57" s="12">
        <f>IF(APS57&gt;0,MAX(1,ROUND(APS57/'Sens - CAC &amp; Marketing'!$A$13*APP57,0)),0)</f>
        <v/>
      </c>
      <c r="APU57" s="12">
        <f>IF(APT57&gt;0,ROUND(APT57*ReferralMix/(1-ReferralMix),0),0)</f>
        <v/>
      </c>
      <c r="APV57" s="12">
        <f>APT57+APU57</f>
        <v/>
      </c>
      <c r="APW57" s="12">
        <f>ROUND(APV57*(1-AnnualMix),0)</f>
        <v/>
      </c>
      <c r="APX57" s="12">
        <f>APV57-APW57</f>
        <v/>
      </c>
      <c r="APY57" s="12">
        <f>ROUND(APW57*EssentialMix,0)</f>
        <v/>
      </c>
      <c r="APZ57" s="12">
        <f>ROUND(APW57*PremiumMix,0)</f>
        <v/>
      </c>
      <c r="AQA57" s="12">
        <f>APW57-APY57-APZ57</f>
        <v/>
      </c>
      <c r="AQB57" s="12">
        <f>ROUND(APX57*EssentialMix,0)</f>
        <v/>
      </c>
      <c r="AQC57" s="12">
        <f>ROUND(APX57*PremiumMix,0)</f>
        <v/>
      </c>
      <c r="AQD57" s="12">
        <f>APX57-AQB57-AQC57</f>
        <v/>
      </c>
      <c r="AQE57" s="12">
        <f>APY57+APY56+APY55+MAX(0,AQE56-APY56-APY55)*(1-APR57)</f>
        <v/>
      </c>
      <c r="AQF57" s="12">
        <f>APZ57+APZ56+APZ55+MAX(0,AQF56-APZ56-APZ55)*(1-APR57)</f>
        <v/>
      </c>
      <c r="AQG57" s="12">
        <f>AQA57+AQA56+AQA55+MAX(0,AQG56-AQA56-AQA55)*(1-APR57)</f>
        <v/>
      </c>
      <c r="AQH57" s="12">
        <f>AQH56+AQB57-AQB45*(AnnualChurn*VLOOKUP(APN57,ChurnSeasonTable,4,FALSE))*POWER(1-(AnnualChurn*VLOOKUP(APN57,ChurnSeasonTable,4,FALSE)),0)+AQB33*(AnnualChurn*VLOOKUP(APN57,ChurnSeasonTable,4,FALSE))*POWER(1-(AnnualChurn*VLOOKUP(APN57,ChurnSeasonTable,4,FALSE)),1)+AQB21*(AnnualChurn*VLOOKUP(APN57,ChurnSeasonTable,4,FALSE))*POWER(1-(AnnualChurn*VLOOKUP(APN57,ChurnSeasonTable,4,FALSE)),2)+AQB9*(AnnualChurn*VLOOKUP(APN57,ChurnSeasonTable,4,FALSE))*POWER(1-(AnnualChurn*VLOOKUP(APN57,ChurnSeasonTable,4,FALSE)),3)</f>
        <v/>
      </c>
      <c r="AQI57" s="12">
        <f>AQI56+AQC57-AQC45*(AnnualChurn*VLOOKUP(APN57,ChurnSeasonTable,4,FALSE))*POWER(1-(AnnualChurn*VLOOKUP(APN57,ChurnSeasonTable,4,FALSE)),0)+AQC33*(AnnualChurn*VLOOKUP(APN57,ChurnSeasonTable,4,FALSE))*POWER(1-(AnnualChurn*VLOOKUP(APN57,ChurnSeasonTable,4,FALSE)),1)+AQC21*(AnnualChurn*VLOOKUP(APN57,ChurnSeasonTable,4,FALSE))*POWER(1-(AnnualChurn*VLOOKUP(APN57,ChurnSeasonTable,4,FALSE)),2)+AQC9*(AnnualChurn*VLOOKUP(APN57,ChurnSeasonTable,4,FALSE))*POWER(1-(AnnualChurn*VLOOKUP(APN57,ChurnSeasonTable,4,FALSE)),3)</f>
        <v/>
      </c>
      <c r="AQJ57" s="12">
        <f>AQJ56+AQD57-AQD45*(AnnualChurn*VLOOKUP(APN57,ChurnSeasonTable,4,FALSE))*POWER(1-(AnnualChurn*VLOOKUP(APN57,ChurnSeasonTable,4,FALSE)),0)+AQD33*(AnnualChurn*VLOOKUP(APN57,ChurnSeasonTable,4,FALSE))*POWER(1-(AnnualChurn*VLOOKUP(APN57,ChurnSeasonTable,4,FALSE)),1)+AQD21*(AnnualChurn*VLOOKUP(APN57,ChurnSeasonTable,4,FALSE))*POWER(1-(AnnualChurn*VLOOKUP(APN57,ChurnSeasonTable,4,FALSE)),2)+AQD9*(AnnualChurn*VLOOKUP(APN57,ChurnSeasonTable,4,FALSE))*POWER(1-(AnnualChurn*VLOOKUP(APN57,ChurnSeasonTable,4,FALSE)),3)</f>
        <v/>
      </c>
      <c r="AQK57" s="12">
        <f>AQE57+AQF57+AQG57+AQH57+AQI57+AQJ57</f>
        <v/>
      </c>
      <c r="AQL57" s="9">
        <f>AQE57*BlendedPriceEssMonthly*APQ57+AQF57*BlendedPricePremMonthly*APQ57+AQG57*BlendedPriceEliteMonthly*APQ57+AQH57*BlendedPriceEssAnnual*APQ57/12+AQI57*BlendedPricePremAnnual*APQ57/12+AQJ57*BlendedPriceEliteAnnual*APQ57/12</f>
        <v/>
      </c>
      <c r="AQM57" s="9">
        <f>AQL57*12</f>
        <v/>
      </c>
      <c r="AQN57" s="12">
        <f>AQE57*BlendedPriceEssMonthly*APQ57+AQF57*BlendedPricePremMonthly*APQ57+AQG57*BlendedPriceEliteMonthly*APQ57</f>
        <v/>
      </c>
      <c r="AQO57" s="12">
        <f>AQB57*BlendedPriceEssAnnual*APQ57+AQC57*BlendedPricePremAnnual*APQ57+AQD57*BlendedPriceEliteAnnual*APQ57</f>
        <v/>
      </c>
      <c r="AQP57" s="12">
        <f>AQB45*POWER(1-(AnnualChurn*VLOOKUP(APN57,ChurnSeasonTable,4,FALSE)),1)*BlendedPriceEssAnnual*APQ57+AQB33*POWER(1-(AnnualChurn*VLOOKUP(APN57,ChurnSeasonTable,4,FALSE)),2)*BlendedPriceEssAnnual*APQ57+AQB21*POWER(1-(AnnualChurn*VLOOKUP(APN57,ChurnSeasonTable,4,FALSE)),3)*BlendedPriceEssAnnual*APQ57+AQB9*POWER(1-(AnnualChurn*VLOOKUP(APN57,ChurnSeasonTable,4,FALSE)),4)*BlendedPriceEssAnnual*APQ57+AQC45*POWER(1-(AnnualChurn*VLOOKUP(APN57,ChurnSeasonTable,4,FALSE)),1)*BlendedPricePremAnnual*APQ57+AQC33*POWER(1-(AnnualChurn*VLOOKUP(APN57,ChurnSeasonTable,4,FALSE)),2)*BlendedPricePremAnnual*APQ57+AQC21*POWER(1-(AnnualChurn*VLOOKUP(APN57,ChurnSeasonTable,4,FALSE)),3)*BlendedPricePremAnnual*APQ57+AQC9*POWER(1-(AnnualChurn*VLOOKUP(APN57,ChurnSeasonTable,4,FALSE)),4)*BlendedPricePremAnnual*APQ57+AQD45*POWER(1-(AnnualChurn*VLOOKUP(APN57,ChurnSeasonTable,4,FALSE)),1)*BlendedPriceEliteAnnual*APQ57+AQD33*POWER(1-(AnnualChurn*VLOOKUP(APN57,ChurnSeasonTable,4,FALSE)),2)*BlendedPriceEliteAnnual*APQ57+AQD21*POWER(1-(AnnualChurn*VLOOKUP(APN57,ChurnSeasonTable,4,FALSE)),3)*BlendedPriceEliteAnnual*APQ57+AQD9*POWER(1-(AnnualChurn*VLOOKUP(APN57,ChurnSeasonTable,4,FALSE)),4)*BlendedPriceEliteAnnual*APQ57</f>
        <v/>
      </c>
      <c r="AQQ57" s="9">
        <f>AQN57+AQO57+AQP57</f>
        <v/>
      </c>
      <c r="AQR57" s="12">
        <f>SUM(AQQ46:AQQ57)</f>
        <v/>
      </c>
      <c r="AQS57" s="12">
        <f>OR(AQS56,IF(VATAgentMode,SUM($AQQ46:$AQQ57)-SUM($AQX46:$AQX57)&gt;=VATThreshold,SUM($AQQ46:$AQQ57)&gt;=VATThreshold))</f>
        <v/>
      </c>
      <c r="AQT57" s="9">
        <f>IF(AQS57,IF(VATAgentMode,AQQ57-((AQQ57-AQX57)-(AQQ57-AQX57)/(1+VATRate)),AQQ57/(1+VATRate)),AQQ57)</f>
        <v/>
      </c>
      <c r="AQU57" s="12">
        <f>AQQ57-AQT57</f>
        <v/>
      </c>
      <c r="AQV57" s="12">
        <f>IF(AQS57=0,0,IF(APN57=1,SUMPRODUCT(--(($APO$5:$APO57=$APO57-1)*($APN$5:$APN57&gt;=10)*($APN$5:$APN57&lt;=12)),$AQU$5:$AQU57),IF(APN57=4,SUMPRODUCT(--(($APO$5:$APO57=$APO57)*($APN$5:$APN57&gt;=1)*($APN$5:$APN57&lt;=3)),$AQU$5:$AQU57),IF(APN57=7,SUMPRODUCT(--(($APO$5:$APO57=$APO57)*($APN$5:$APN57&gt;=4)*($APN$5:$APN57&lt;=6)),$AQU$5:$AQU57),IF(APN57=10,SUMPRODUCT(--(($APO$5:$APO57=$APO57)*($APN$5:$APN57&gt;=7)*($APN$5:$APN57&lt;=9)),$AQU$5:$AQU57),0)))))</f>
        <v/>
      </c>
      <c r="AQW57" s="12">
        <f>AQW56+AQU57-AQV57</f>
        <v/>
      </c>
      <c r="AQX57" s="12">
        <f>IF(ProviderDelay&gt;=1,AQE56*BlendedProvPayEss+AQF56*BlendedProvPayPrem+AQG56*BlendedProvPayElite+AQH56*BlendedProvPayEss+AQI56*BlendedProvPayPrem+AQJ56*BlendedProvPayElite,AQE57*BlendedProvPayEss+AQF57*BlendedProvPayPrem+AQG57*BlendedProvPayElite+AQH57*BlendedProvPayEss+AQI57*BlendedProvPayPrem+AQJ57*BlendedProvPayElite)</f>
        <v/>
      </c>
      <c r="AQY57" s="12">
        <f>AQQ57*PaymentFee</f>
        <v/>
      </c>
      <c r="AQZ57" s="12">
        <f>AQK57*OpsAI</f>
        <v/>
      </c>
      <c r="ARA57" s="12">
        <f>MonthlyFixed</f>
        <v/>
      </c>
      <c r="ARB57" s="12">
        <f>APU57*ReferralReward</f>
        <v/>
      </c>
      <c r="ARC57" s="12">
        <f>APS57</f>
        <v/>
      </c>
      <c r="ARD57" s="9">
        <f>AQT57-AQX57-AQY57-AQZ57-ARA57-ARB57-ARC57</f>
        <v/>
      </c>
      <c r="ARE57" s="9">
        <f>ARE56+AQQ57-(AQX57+AQY57+AQZ57+ARA57+ARB57+ARC57+AQV57)</f>
        <v/>
      </c>
      <c r="ARF57" s="12">
        <f>IF(AQK57&gt;0,AQL57/AQK57,0)</f>
        <v/>
      </c>
      <c r="ARG57" s="11">
        <f>IF(AQK56&gt;0,MAX(0,(AQK56+APV57-AQK57)/AQK56),0)</f>
        <v/>
      </c>
      <c r="ARI57" s="12" t="n">
        <v>53</v>
      </c>
      <c r="ARJ57" s="12">
        <f>MOD(ARI57-1+LaunchMonth-1,12)+1</f>
        <v/>
      </c>
      <c r="ARK57" s="12">
        <f>INT((ARI57-1+LaunchMonth-1)/12)+1</f>
        <v/>
      </c>
      <c r="ARL57" s="12">
        <f>VLOOKUP(ARJ57,SeasonTable,2,FALSE)</f>
        <v/>
      </c>
      <c r="ARM57" s="12">
        <f>(1+InflationRate)^INT((ARI57-1)/12)</f>
        <v/>
      </c>
      <c r="ARN57" s="11">
        <f>MonthlyChurn*VLOOKUP(ARJ57,ChurnSeasonTable,4,FALSE)</f>
        <v/>
      </c>
      <c r="ARO57" s="12">
        <f>MIN(MAX(MktMin19plus,ASM56*MktPct19plus),MAX(0,ATA56-CashBuffer))</f>
        <v/>
      </c>
      <c r="ARP57" s="12">
        <f>IF(ARO57&gt;0,MAX(1,ROUND(ARO57/'Sens - CAC &amp; Marketing'!$A$14*ARL57,0)),0)</f>
        <v/>
      </c>
      <c r="ARQ57" s="12">
        <f>IF(ARP57&gt;0,ROUND(ARP57*ReferralMix/(1-ReferralMix),0),0)</f>
        <v/>
      </c>
      <c r="ARR57" s="12">
        <f>ARP57+ARQ57</f>
        <v/>
      </c>
      <c r="ARS57" s="12">
        <f>ROUND(ARR57*(1-AnnualMix),0)</f>
        <v/>
      </c>
      <c r="ART57" s="12">
        <f>ARR57-ARS57</f>
        <v/>
      </c>
      <c r="ARU57" s="12">
        <f>ROUND(ARS57*EssentialMix,0)</f>
        <v/>
      </c>
      <c r="ARV57" s="12">
        <f>ROUND(ARS57*PremiumMix,0)</f>
        <v/>
      </c>
      <c r="ARW57" s="12">
        <f>ARS57-ARU57-ARV57</f>
        <v/>
      </c>
      <c r="ARX57" s="12">
        <f>ROUND(ART57*EssentialMix,0)</f>
        <v/>
      </c>
      <c r="ARY57" s="12">
        <f>ROUND(ART57*PremiumMix,0)</f>
        <v/>
      </c>
      <c r="ARZ57" s="12">
        <f>ART57-ARX57-ARY57</f>
        <v/>
      </c>
      <c r="ASA57" s="12">
        <f>ARU57+ARU56+ARU55+MAX(0,ASA56-ARU56-ARU55)*(1-ARN57)</f>
        <v/>
      </c>
      <c r="ASB57" s="12">
        <f>ARV57+ARV56+ARV55+MAX(0,ASB56-ARV56-ARV55)*(1-ARN57)</f>
        <v/>
      </c>
      <c r="ASC57" s="12">
        <f>ARW57+ARW56+ARW55+MAX(0,ASC56-ARW56-ARW55)*(1-ARN57)</f>
        <v/>
      </c>
      <c r="ASD57" s="12">
        <f>ASD56+ARX57-ARX45*(AnnualChurn*VLOOKUP(ARJ57,ChurnSeasonTable,4,FALSE))*POWER(1-(AnnualChurn*VLOOKUP(ARJ57,ChurnSeasonTable,4,FALSE)),0)+ARX33*(AnnualChurn*VLOOKUP(ARJ57,ChurnSeasonTable,4,FALSE))*POWER(1-(AnnualChurn*VLOOKUP(ARJ57,ChurnSeasonTable,4,FALSE)),1)+ARX21*(AnnualChurn*VLOOKUP(ARJ57,ChurnSeasonTable,4,FALSE))*POWER(1-(AnnualChurn*VLOOKUP(ARJ57,ChurnSeasonTable,4,FALSE)),2)+ARX9*(AnnualChurn*VLOOKUP(ARJ57,ChurnSeasonTable,4,FALSE))*POWER(1-(AnnualChurn*VLOOKUP(ARJ57,ChurnSeasonTable,4,FALSE)),3)</f>
        <v/>
      </c>
      <c r="ASE57" s="12">
        <f>ASE56+ARY57-ARY45*(AnnualChurn*VLOOKUP(ARJ57,ChurnSeasonTable,4,FALSE))*POWER(1-(AnnualChurn*VLOOKUP(ARJ57,ChurnSeasonTable,4,FALSE)),0)+ARY33*(AnnualChurn*VLOOKUP(ARJ57,ChurnSeasonTable,4,FALSE))*POWER(1-(AnnualChurn*VLOOKUP(ARJ57,ChurnSeasonTable,4,FALSE)),1)+ARY21*(AnnualChurn*VLOOKUP(ARJ57,ChurnSeasonTable,4,FALSE))*POWER(1-(AnnualChurn*VLOOKUP(ARJ57,ChurnSeasonTable,4,FALSE)),2)+ARY9*(AnnualChurn*VLOOKUP(ARJ57,ChurnSeasonTable,4,FALSE))*POWER(1-(AnnualChurn*VLOOKUP(ARJ57,ChurnSeasonTable,4,FALSE)),3)</f>
        <v/>
      </c>
      <c r="ASF57" s="12">
        <f>ASF56+ARZ57-ARZ45*(AnnualChurn*VLOOKUP(ARJ57,ChurnSeasonTable,4,FALSE))*POWER(1-(AnnualChurn*VLOOKUP(ARJ57,ChurnSeasonTable,4,FALSE)),0)+ARZ33*(AnnualChurn*VLOOKUP(ARJ57,ChurnSeasonTable,4,FALSE))*POWER(1-(AnnualChurn*VLOOKUP(ARJ57,ChurnSeasonTable,4,FALSE)),1)+ARZ21*(AnnualChurn*VLOOKUP(ARJ57,ChurnSeasonTable,4,FALSE))*POWER(1-(AnnualChurn*VLOOKUP(ARJ57,ChurnSeasonTable,4,FALSE)),2)+ARZ9*(AnnualChurn*VLOOKUP(ARJ57,ChurnSeasonTable,4,FALSE))*POWER(1-(AnnualChurn*VLOOKUP(ARJ57,ChurnSeasonTable,4,FALSE)),3)</f>
        <v/>
      </c>
      <c r="ASG57" s="12">
        <f>ASA57+ASB57+ASC57+ASD57+ASE57+ASF57</f>
        <v/>
      </c>
      <c r="ASH57" s="9">
        <f>ASA57*BlendedPriceEssMonthly*ARM57+ASB57*BlendedPricePremMonthly*ARM57+ASC57*BlendedPriceEliteMonthly*ARM57+ASD57*BlendedPriceEssAnnual*ARM57/12+ASE57*BlendedPricePremAnnual*ARM57/12+ASF57*BlendedPriceEliteAnnual*ARM57/12</f>
        <v/>
      </c>
      <c r="ASI57" s="9">
        <f>ASH57*12</f>
        <v/>
      </c>
      <c r="ASJ57" s="12">
        <f>ASA57*BlendedPriceEssMonthly*ARM57+ASB57*BlendedPricePremMonthly*ARM57+ASC57*BlendedPriceEliteMonthly*ARM57</f>
        <v/>
      </c>
      <c r="ASK57" s="12">
        <f>ARX57*BlendedPriceEssAnnual*ARM57+ARY57*BlendedPricePremAnnual*ARM57+ARZ57*BlendedPriceEliteAnnual*ARM57</f>
        <v/>
      </c>
      <c r="ASL57" s="12">
        <f>ARX45*POWER(1-(AnnualChurn*VLOOKUP(ARJ57,ChurnSeasonTable,4,FALSE)),1)*BlendedPriceEssAnnual*ARM57+ARX33*POWER(1-(AnnualChurn*VLOOKUP(ARJ57,ChurnSeasonTable,4,FALSE)),2)*BlendedPriceEssAnnual*ARM57+ARX21*POWER(1-(AnnualChurn*VLOOKUP(ARJ57,ChurnSeasonTable,4,FALSE)),3)*BlendedPriceEssAnnual*ARM57+ARX9*POWER(1-(AnnualChurn*VLOOKUP(ARJ57,ChurnSeasonTable,4,FALSE)),4)*BlendedPriceEssAnnual*ARM57+ARY45*POWER(1-(AnnualChurn*VLOOKUP(ARJ57,ChurnSeasonTable,4,FALSE)),1)*BlendedPricePremAnnual*ARM57+ARY33*POWER(1-(AnnualChurn*VLOOKUP(ARJ57,ChurnSeasonTable,4,FALSE)),2)*BlendedPricePremAnnual*ARM57+ARY21*POWER(1-(AnnualChurn*VLOOKUP(ARJ57,ChurnSeasonTable,4,FALSE)),3)*BlendedPricePremAnnual*ARM57+ARY9*POWER(1-(AnnualChurn*VLOOKUP(ARJ57,ChurnSeasonTable,4,FALSE)),4)*BlendedPricePremAnnual*ARM57+ARZ45*POWER(1-(AnnualChurn*VLOOKUP(ARJ57,ChurnSeasonTable,4,FALSE)),1)*BlendedPriceEliteAnnual*ARM57+ARZ33*POWER(1-(AnnualChurn*VLOOKUP(ARJ57,ChurnSeasonTable,4,FALSE)),2)*BlendedPriceEliteAnnual*ARM57+ARZ21*POWER(1-(AnnualChurn*VLOOKUP(ARJ57,ChurnSeasonTable,4,FALSE)),3)*BlendedPriceEliteAnnual*ARM57+ARZ9*POWER(1-(AnnualChurn*VLOOKUP(ARJ57,ChurnSeasonTable,4,FALSE)),4)*BlendedPriceEliteAnnual*ARM57</f>
        <v/>
      </c>
      <c r="ASM57" s="9">
        <f>ASJ57+ASK57+ASL57</f>
        <v/>
      </c>
      <c r="ASN57" s="12">
        <f>SUM(ASM46:ASM57)</f>
        <v/>
      </c>
      <c r="ASO57" s="12">
        <f>OR(ASO56,IF(VATAgentMode,SUM($ASM46:$ASM57)-SUM($AST46:$AST57)&gt;=VATThreshold,SUM($ASM46:$ASM57)&gt;=VATThreshold))</f>
        <v/>
      </c>
      <c r="ASP57" s="9">
        <f>IF(ASO57,IF(VATAgentMode,ASM57-((ASM57-AST57)-(ASM57-AST57)/(1+VATRate)),ASM57/(1+VATRate)),ASM57)</f>
        <v/>
      </c>
      <c r="ASQ57" s="12">
        <f>ASM57-ASP57</f>
        <v/>
      </c>
      <c r="ASR57" s="12">
        <f>IF(ASO57=0,0,IF(ARJ57=1,SUMPRODUCT(--(($ARK$5:$ARK57=$ARK57-1)*($ARJ$5:$ARJ57&gt;=10)*($ARJ$5:$ARJ57&lt;=12)),$ASQ$5:$ASQ57),IF(ARJ57=4,SUMPRODUCT(--(($ARK$5:$ARK57=$ARK57)*($ARJ$5:$ARJ57&gt;=1)*($ARJ$5:$ARJ57&lt;=3)),$ASQ$5:$ASQ57),IF(ARJ57=7,SUMPRODUCT(--(($ARK$5:$ARK57=$ARK57)*($ARJ$5:$ARJ57&gt;=4)*($ARJ$5:$ARJ57&lt;=6)),$ASQ$5:$ASQ57),IF(ARJ57=10,SUMPRODUCT(--(($ARK$5:$ARK57=$ARK57)*($ARJ$5:$ARJ57&gt;=7)*($ARJ$5:$ARJ57&lt;=9)),$ASQ$5:$ASQ57),0)))))</f>
        <v/>
      </c>
      <c r="ASS57" s="12">
        <f>ASS56+ASQ57-ASR57</f>
        <v/>
      </c>
      <c r="AST57" s="12">
        <f>IF(ProviderDelay&gt;=1,ASA56*BlendedProvPayEss+ASB56*BlendedProvPayPrem+ASC56*BlendedProvPayElite+ASD56*BlendedProvPayEss+ASE56*BlendedProvPayPrem+ASF56*BlendedProvPayElite,ASA57*BlendedProvPayEss+ASB57*BlendedProvPayPrem+ASC57*BlendedProvPayElite+ASD57*BlendedProvPayEss+ASE57*BlendedProvPayPrem+ASF57*BlendedProvPayElite)</f>
        <v/>
      </c>
      <c r="ASU57" s="12">
        <f>ASM57*PaymentFee</f>
        <v/>
      </c>
      <c r="ASV57" s="12">
        <f>ASG57*OpsAI</f>
        <v/>
      </c>
      <c r="ASW57" s="12">
        <f>MonthlyFixed</f>
        <v/>
      </c>
      <c r="ASX57" s="12">
        <f>ARQ57*ReferralReward</f>
        <v/>
      </c>
      <c r="ASY57" s="12">
        <f>ARO57</f>
        <v/>
      </c>
      <c r="ASZ57" s="9">
        <f>ASP57-AST57-ASU57-ASV57-ASW57-ASX57-ASY57</f>
        <v/>
      </c>
      <c r="ATA57" s="9">
        <f>ATA56+ASM57-(AST57+ASU57+ASV57+ASW57+ASX57+ASY57+ASR57)</f>
        <v/>
      </c>
      <c r="ATB57" s="12">
        <f>IF(ASG57&gt;0,ASH57/ASG57,0)</f>
        <v/>
      </c>
      <c r="ATC57" s="11">
        <f>IF(ASG56&gt;0,MAX(0,(ASG56+ARR57-ASG57)/ASG56),0)</f>
        <v/>
      </c>
      <c r="ATE57" s="12" t="n">
        <v>53</v>
      </c>
      <c r="ATF57" s="12">
        <f>MOD(ATE57-1+LaunchMonth-1,12)+1</f>
        <v/>
      </c>
      <c r="ATG57" s="12">
        <f>INT((ATE57-1+LaunchMonth-1)/12)+1</f>
        <v/>
      </c>
      <c r="ATH57" s="12">
        <f>VLOOKUP(ATF57,SeasonTable,2,FALSE)</f>
        <v/>
      </c>
      <c r="ATI57" s="12">
        <f>(1+InflationRate)^INT((ATE57-1)/12)</f>
        <v/>
      </c>
      <c r="ATJ57" s="11">
        <f>MonthlyChurn*VLOOKUP(ATF57,ChurnSeasonTable,4,FALSE)</f>
        <v/>
      </c>
      <c r="ATK57" s="12">
        <f>MIN(MAX(MktMin19plus,AUI56*MktPct19plus),MAX(0,AUW56-CashBuffer))</f>
        <v/>
      </c>
      <c r="ATL57" s="12">
        <f>IF(ATK57&gt;0,MAX(1,ROUND(ATK57/'Sens - CAC &amp; Marketing'!$A$15*ATH57,0)),0)</f>
        <v/>
      </c>
      <c r="ATM57" s="12">
        <f>IF(ATL57&gt;0,ROUND(ATL57*ReferralMix/(1-ReferralMix),0),0)</f>
        <v/>
      </c>
      <c r="ATN57" s="12">
        <f>ATL57+ATM57</f>
        <v/>
      </c>
      <c r="ATO57" s="12">
        <f>ROUND(ATN57*(1-AnnualMix),0)</f>
        <v/>
      </c>
      <c r="ATP57" s="12">
        <f>ATN57-ATO57</f>
        <v/>
      </c>
      <c r="ATQ57" s="12">
        <f>ROUND(ATO57*EssentialMix,0)</f>
        <v/>
      </c>
      <c r="ATR57" s="12">
        <f>ROUND(ATO57*PremiumMix,0)</f>
        <v/>
      </c>
      <c r="ATS57" s="12">
        <f>ATO57-ATQ57-ATR57</f>
        <v/>
      </c>
      <c r="ATT57" s="12">
        <f>ROUND(ATP57*EssentialMix,0)</f>
        <v/>
      </c>
      <c r="ATU57" s="12">
        <f>ROUND(ATP57*PremiumMix,0)</f>
        <v/>
      </c>
      <c r="ATV57" s="12">
        <f>ATP57-ATT57-ATU57</f>
        <v/>
      </c>
      <c r="ATW57" s="12">
        <f>ATQ57+ATQ56+ATQ55+MAX(0,ATW56-ATQ56-ATQ55)*(1-ATJ57)</f>
        <v/>
      </c>
      <c r="ATX57" s="12">
        <f>ATR57+ATR56+ATR55+MAX(0,ATX56-ATR56-ATR55)*(1-ATJ57)</f>
        <v/>
      </c>
      <c r="ATY57" s="12">
        <f>ATS57+ATS56+ATS55+MAX(0,ATY56-ATS56-ATS55)*(1-ATJ57)</f>
        <v/>
      </c>
      <c r="ATZ57" s="12">
        <f>ATZ56+ATT57-ATT45*(AnnualChurn*VLOOKUP(ATF57,ChurnSeasonTable,4,FALSE))*POWER(1-(AnnualChurn*VLOOKUP(ATF57,ChurnSeasonTable,4,FALSE)),0)+ATT33*(AnnualChurn*VLOOKUP(ATF57,ChurnSeasonTable,4,FALSE))*POWER(1-(AnnualChurn*VLOOKUP(ATF57,ChurnSeasonTable,4,FALSE)),1)+ATT21*(AnnualChurn*VLOOKUP(ATF57,ChurnSeasonTable,4,FALSE))*POWER(1-(AnnualChurn*VLOOKUP(ATF57,ChurnSeasonTable,4,FALSE)),2)+ATT9*(AnnualChurn*VLOOKUP(ATF57,ChurnSeasonTable,4,FALSE))*POWER(1-(AnnualChurn*VLOOKUP(ATF57,ChurnSeasonTable,4,FALSE)),3)</f>
        <v/>
      </c>
      <c r="AUA57" s="12">
        <f>AUA56+ATU57-ATU45*(AnnualChurn*VLOOKUP(ATF57,ChurnSeasonTable,4,FALSE))*POWER(1-(AnnualChurn*VLOOKUP(ATF57,ChurnSeasonTable,4,FALSE)),0)+ATU33*(AnnualChurn*VLOOKUP(ATF57,ChurnSeasonTable,4,FALSE))*POWER(1-(AnnualChurn*VLOOKUP(ATF57,ChurnSeasonTable,4,FALSE)),1)+ATU21*(AnnualChurn*VLOOKUP(ATF57,ChurnSeasonTable,4,FALSE))*POWER(1-(AnnualChurn*VLOOKUP(ATF57,ChurnSeasonTable,4,FALSE)),2)+ATU9*(AnnualChurn*VLOOKUP(ATF57,ChurnSeasonTable,4,FALSE))*POWER(1-(AnnualChurn*VLOOKUP(ATF57,ChurnSeasonTable,4,FALSE)),3)</f>
        <v/>
      </c>
      <c r="AUB57" s="12">
        <f>AUB56+ATV57-ATV45*(AnnualChurn*VLOOKUP(ATF57,ChurnSeasonTable,4,FALSE))*POWER(1-(AnnualChurn*VLOOKUP(ATF57,ChurnSeasonTable,4,FALSE)),0)+ATV33*(AnnualChurn*VLOOKUP(ATF57,ChurnSeasonTable,4,FALSE))*POWER(1-(AnnualChurn*VLOOKUP(ATF57,ChurnSeasonTable,4,FALSE)),1)+ATV21*(AnnualChurn*VLOOKUP(ATF57,ChurnSeasonTable,4,FALSE))*POWER(1-(AnnualChurn*VLOOKUP(ATF57,ChurnSeasonTable,4,FALSE)),2)+ATV9*(AnnualChurn*VLOOKUP(ATF57,ChurnSeasonTable,4,FALSE))*POWER(1-(AnnualChurn*VLOOKUP(ATF57,ChurnSeasonTable,4,FALSE)),3)</f>
        <v/>
      </c>
      <c r="AUC57" s="12">
        <f>ATW57+ATX57+ATY57+ATZ57+AUA57+AUB57</f>
        <v/>
      </c>
      <c r="AUD57" s="9">
        <f>ATW57*BlendedPriceEssMonthly*ATI57+ATX57*BlendedPricePremMonthly*ATI57+ATY57*BlendedPriceEliteMonthly*ATI57+ATZ57*BlendedPriceEssAnnual*ATI57/12+AUA57*BlendedPricePremAnnual*ATI57/12+AUB57*BlendedPriceEliteAnnual*ATI57/12</f>
        <v/>
      </c>
      <c r="AUE57" s="9">
        <f>AUD57*12</f>
        <v/>
      </c>
      <c r="AUF57" s="12">
        <f>ATW57*BlendedPriceEssMonthly*ATI57+ATX57*BlendedPricePremMonthly*ATI57+ATY57*BlendedPriceEliteMonthly*ATI57</f>
        <v/>
      </c>
      <c r="AUG57" s="12">
        <f>ATT57*BlendedPriceEssAnnual*ATI57+ATU57*BlendedPricePremAnnual*ATI57+ATV57*BlendedPriceEliteAnnual*ATI57</f>
        <v/>
      </c>
      <c r="AUH57" s="12">
        <f>ATT45*POWER(1-(AnnualChurn*VLOOKUP(ATF57,ChurnSeasonTable,4,FALSE)),1)*BlendedPriceEssAnnual*ATI57+ATT33*POWER(1-(AnnualChurn*VLOOKUP(ATF57,ChurnSeasonTable,4,FALSE)),2)*BlendedPriceEssAnnual*ATI57+ATT21*POWER(1-(AnnualChurn*VLOOKUP(ATF57,ChurnSeasonTable,4,FALSE)),3)*BlendedPriceEssAnnual*ATI57+ATT9*POWER(1-(AnnualChurn*VLOOKUP(ATF57,ChurnSeasonTable,4,FALSE)),4)*BlendedPriceEssAnnual*ATI57+ATU45*POWER(1-(AnnualChurn*VLOOKUP(ATF57,ChurnSeasonTable,4,FALSE)),1)*BlendedPricePremAnnual*ATI57+ATU33*POWER(1-(AnnualChurn*VLOOKUP(ATF57,ChurnSeasonTable,4,FALSE)),2)*BlendedPricePremAnnual*ATI57+ATU21*POWER(1-(AnnualChurn*VLOOKUP(ATF57,ChurnSeasonTable,4,FALSE)),3)*BlendedPricePremAnnual*ATI57+ATU9*POWER(1-(AnnualChurn*VLOOKUP(ATF57,ChurnSeasonTable,4,FALSE)),4)*BlendedPricePremAnnual*ATI57+ATV45*POWER(1-(AnnualChurn*VLOOKUP(ATF57,ChurnSeasonTable,4,FALSE)),1)*BlendedPriceEliteAnnual*ATI57+ATV33*POWER(1-(AnnualChurn*VLOOKUP(ATF57,ChurnSeasonTable,4,FALSE)),2)*BlendedPriceEliteAnnual*ATI57+ATV21*POWER(1-(AnnualChurn*VLOOKUP(ATF57,ChurnSeasonTable,4,FALSE)),3)*BlendedPriceEliteAnnual*ATI57+ATV9*POWER(1-(AnnualChurn*VLOOKUP(ATF57,ChurnSeasonTable,4,FALSE)),4)*BlendedPriceEliteAnnual*ATI57</f>
        <v/>
      </c>
      <c r="AUI57" s="9">
        <f>AUF57+AUG57+AUH57</f>
        <v/>
      </c>
      <c r="AUJ57" s="12">
        <f>SUM(AUI46:AUI57)</f>
        <v/>
      </c>
      <c r="AUK57" s="12">
        <f>OR(AUK56,IF(VATAgentMode,SUM($AUI46:$AUI57)-SUM($AUP46:$AUP57)&gt;=VATThreshold,SUM($AUI46:$AUI57)&gt;=VATThreshold))</f>
        <v/>
      </c>
      <c r="AUL57" s="9">
        <f>IF(AUK57,IF(VATAgentMode,AUI57-((AUI57-AUP57)-(AUI57-AUP57)/(1+VATRate)),AUI57/(1+VATRate)),AUI57)</f>
        <v/>
      </c>
      <c r="AUM57" s="12">
        <f>AUI57-AUL57</f>
        <v/>
      </c>
      <c r="AUN57" s="12">
        <f>IF(AUK57=0,0,IF(ATF57=1,SUMPRODUCT(--(($ATG$5:$ATG57=$ATG57-1)*($ATF$5:$ATF57&gt;=10)*($ATF$5:$ATF57&lt;=12)),$AUM$5:$AUM57),IF(ATF57=4,SUMPRODUCT(--(($ATG$5:$ATG57=$ATG57)*($ATF$5:$ATF57&gt;=1)*($ATF$5:$ATF57&lt;=3)),$AUM$5:$AUM57),IF(ATF57=7,SUMPRODUCT(--(($ATG$5:$ATG57=$ATG57)*($ATF$5:$ATF57&gt;=4)*($ATF$5:$ATF57&lt;=6)),$AUM$5:$AUM57),IF(ATF57=10,SUMPRODUCT(--(($ATG$5:$ATG57=$ATG57)*($ATF$5:$ATF57&gt;=7)*($ATF$5:$ATF57&lt;=9)),$AUM$5:$AUM57),0)))))</f>
        <v/>
      </c>
      <c r="AUO57" s="12">
        <f>AUO56+AUM57-AUN57</f>
        <v/>
      </c>
      <c r="AUP57" s="12">
        <f>IF(ProviderDelay&gt;=1,ATW56*BlendedProvPayEss+ATX56*BlendedProvPayPrem+ATY56*BlendedProvPayElite+ATZ56*BlendedProvPayEss+AUA56*BlendedProvPayPrem+AUB56*BlendedProvPayElite,ATW57*BlendedProvPayEss+ATX57*BlendedProvPayPrem+ATY57*BlendedProvPayElite+ATZ57*BlendedProvPayEss+AUA57*BlendedProvPayPrem+AUB57*BlendedProvPayElite)</f>
        <v/>
      </c>
      <c r="AUQ57" s="12">
        <f>AUI57*PaymentFee</f>
        <v/>
      </c>
      <c r="AUR57" s="12">
        <f>AUC57*OpsAI</f>
        <v/>
      </c>
      <c r="AUS57" s="12">
        <f>MonthlyFixed</f>
        <v/>
      </c>
      <c r="AUT57" s="12">
        <f>ATM57*ReferralReward</f>
        <v/>
      </c>
      <c r="AUU57" s="12">
        <f>ATK57</f>
        <v/>
      </c>
      <c r="AUV57" s="9">
        <f>AUL57-AUP57-AUQ57-AUR57-AUS57-AUT57-AUU57</f>
        <v/>
      </c>
      <c r="AUW57" s="9">
        <f>AUW56+AUI57-(AUP57+AUQ57+AUR57+AUS57+AUT57+AUU57+AUN57)</f>
        <v/>
      </c>
      <c r="AUX57" s="12">
        <f>IF(AUC57&gt;0,AUD57/AUC57,0)</f>
        <v/>
      </c>
      <c r="AUY57" s="11">
        <f>IF(AUC56&gt;0,MAX(0,(AUC56+ATN57-AUC57)/AUC56),0)</f>
        <v/>
      </c>
      <c r="AVA57" s="12" t="n">
        <v>53</v>
      </c>
      <c r="AVB57" s="12">
        <f>MOD(AVA57-1+LaunchMonth-1,12)+1</f>
        <v/>
      </c>
      <c r="AVC57" s="12">
        <f>INT((AVA57-1+LaunchMonth-1)/12)+1</f>
        <v/>
      </c>
      <c r="AVD57" s="12">
        <f>VLOOKUP(AVB57,WinterPivotSeasonTable,5,FALSE)</f>
        <v/>
      </c>
      <c r="AVE57" s="12">
        <f>(1+InflationRate)^INT((AVA57-1)/12)</f>
        <v/>
      </c>
      <c r="AVF57" s="11">
        <f>MonthlyChurn*VLOOKUP(AVB57,WinterPivotChurnTable,6,FALSE)</f>
        <v/>
      </c>
      <c r="AVG57" s="12">
        <f>MIN(MAX(MktMin19plus,AWE56*MktPct19plus),MAX(0,AWS56-CashBuffer))</f>
        <v/>
      </c>
      <c r="AVH57" s="12">
        <f>IF(AVG57&gt;0,MAX(1,ROUND(AVG57/CAC*AVD57,0)),0)</f>
        <v/>
      </c>
      <c r="AVI57" s="12">
        <f>IF(AVH57&gt;0,ROUND(AVH57*ReferralMix/(1-ReferralMix),0),0)</f>
        <v/>
      </c>
      <c r="AVJ57" s="12">
        <f>AVH57+AVI57</f>
        <v/>
      </c>
      <c r="AVK57" s="12">
        <f>ROUND(AVJ57*(1-AnnualMix),0)</f>
        <v/>
      </c>
      <c r="AVL57" s="12">
        <f>AVJ57-AVK57</f>
        <v/>
      </c>
      <c r="AVM57" s="12">
        <f>ROUND(AVK57*'Sens - Winter Pivot'!$B$6,0)</f>
        <v/>
      </c>
      <c r="AVN57" s="12">
        <f>ROUND(AVK57*PremiumMix,0)</f>
        <v/>
      </c>
      <c r="AVO57" s="12">
        <f>AVK57-AVM57-AVN57</f>
        <v/>
      </c>
      <c r="AVP57" s="12">
        <f>ROUND(AVL57*'Sens - Winter Pivot'!$B$6,0)</f>
        <v/>
      </c>
      <c r="AVQ57" s="12">
        <f>ROUND(AVL57*PremiumMix,0)</f>
        <v/>
      </c>
      <c r="AVR57" s="12">
        <f>AVL57-AVP57-AVQ57</f>
        <v/>
      </c>
      <c r="AVS57" s="12">
        <f>AVM57+AVM56+AVM55+MAX(0,AVS56-AVM56-AVM55)*(1-AVF57)</f>
        <v/>
      </c>
      <c r="AVT57" s="12">
        <f>AVN57+AVN56+AVN55+MAX(0,AVT56-AVN56-AVN55)*(1-AVF57)</f>
        <v/>
      </c>
      <c r="AVU57" s="12">
        <f>AVO57+AVO56+AVO55+MAX(0,AVU56-AVO56-AVO55)*(1-AVF57)</f>
        <v/>
      </c>
      <c r="AVV57" s="12">
        <f>AVV56+AVP57-AVP45*(AnnualChurn*VLOOKUP(AVB57,ChurnSeasonTable,4,FALSE))*POWER(1-(AnnualChurn*VLOOKUP(AVB57,ChurnSeasonTable,4,FALSE)),0)+AVP33*(AnnualChurn*VLOOKUP(AVB57,ChurnSeasonTable,4,FALSE))*POWER(1-(AnnualChurn*VLOOKUP(AVB57,ChurnSeasonTable,4,FALSE)),1)+AVP21*(AnnualChurn*VLOOKUP(AVB57,ChurnSeasonTable,4,FALSE))*POWER(1-(AnnualChurn*VLOOKUP(AVB57,ChurnSeasonTable,4,FALSE)),2)+AVP9*(AnnualChurn*VLOOKUP(AVB57,ChurnSeasonTable,4,FALSE))*POWER(1-(AnnualChurn*VLOOKUP(AVB57,ChurnSeasonTable,4,FALSE)),3)</f>
        <v/>
      </c>
      <c r="AVW57" s="12">
        <f>AVW56+AVQ57-AVQ45*(AnnualChurn*VLOOKUP(AVB57,ChurnSeasonTable,4,FALSE))*POWER(1-(AnnualChurn*VLOOKUP(AVB57,ChurnSeasonTable,4,FALSE)),0)+AVQ33*(AnnualChurn*VLOOKUP(AVB57,ChurnSeasonTable,4,FALSE))*POWER(1-(AnnualChurn*VLOOKUP(AVB57,ChurnSeasonTable,4,FALSE)),1)+AVQ21*(AnnualChurn*VLOOKUP(AVB57,ChurnSeasonTable,4,FALSE))*POWER(1-(AnnualChurn*VLOOKUP(AVB57,ChurnSeasonTable,4,FALSE)),2)+AVQ9*(AnnualChurn*VLOOKUP(AVB57,ChurnSeasonTable,4,FALSE))*POWER(1-(AnnualChurn*VLOOKUP(AVB57,ChurnSeasonTable,4,FALSE)),3)</f>
        <v/>
      </c>
      <c r="AVX57" s="12">
        <f>AVX56+AVR57-AVR45*(AnnualChurn*VLOOKUP(AVB57,ChurnSeasonTable,4,FALSE))*POWER(1-(AnnualChurn*VLOOKUP(AVB57,ChurnSeasonTable,4,FALSE)),0)+AVR33*(AnnualChurn*VLOOKUP(AVB57,ChurnSeasonTable,4,FALSE))*POWER(1-(AnnualChurn*VLOOKUP(AVB57,ChurnSeasonTable,4,FALSE)),1)+AVR21*(AnnualChurn*VLOOKUP(AVB57,ChurnSeasonTable,4,FALSE))*POWER(1-(AnnualChurn*VLOOKUP(AVB57,ChurnSeasonTable,4,FALSE)),2)+AVR9*(AnnualChurn*VLOOKUP(AVB57,ChurnSeasonTable,4,FALSE))*POWER(1-(AnnualChurn*VLOOKUP(AVB57,ChurnSeasonTable,4,FALSE)),3)</f>
        <v/>
      </c>
      <c r="AVY57" s="12">
        <f>AVS57+AVT57+AVU57+AVV57+AVW57+AVX57</f>
        <v/>
      </c>
      <c r="AVZ57" s="9">
        <f>AVS57*BlendedPriceEssMonthly*AVE57+AVT57*(BlendedPricePremMonthly+'Sens - Winter Pivot'!$B$7)*AVE57+AVU57*BlendedPriceEliteMonthly*AVE57+AVV57*BlendedPriceEssAnnual*AVE57/12+AVW57*(BlendedPricePremAnnual+'Sens - Winter Pivot'!$B$7*12)*AVE57/12+AVX57*BlendedPriceEliteAnnual*AVE57/12</f>
        <v/>
      </c>
      <c r="AWA57" s="9">
        <f>AVZ57*12</f>
        <v/>
      </c>
      <c r="AWB57" s="12">
        <f>AVS57*BlendedPriceEssMonthly*AVE57+AVT57*(BlendedPricePremMonthly+'Sens - Winter Pivot'!$B$7)*AVE57+AVU57*BlendedPriceEliteMonthly*AVE57</f>
        <v/>
      </c>
      <c r="AWC57" s="12">
        <f>AVP57*BlendedPriceEssAnnual*AVE57+AVQ57*(BlendedPricePremAnnual+'Sens - Winter Pivot'!$B$7*12)*AVE57+AVR57*BlendedPriceEliteAnnual*AVE57</f>
        <v/>
      </c>
      <c r="AWD57" s="12">
        <f>AVP45*POWER(1-(AnnualChurn*VLOOKUP(AVB57,ChurnSeasonTable,4,FALSE)),1)*BlendedPriceEssAnnual*AVE57+AVP33*POWER(1-(AnnualChurn*VLOOKUP(AVB57,ChurnSeasonTable,4,FALSE)),2)*BlendedPriceEssAnnual*AVE57+AVP21*POWER(1-(AnnualChurn*VLOOKUP(AVB57,ChurnSeasonTable,4,FALSE)),3)*BlendedPriceEssAnnual*AVE57+AVP9*POWER(1-(AnnualChurn*VLOOKUP(AVB57,ChurnSeasonTable,4,FALSE)),4)*BlendedPriceEssAnnual*AVE57+AVQ45*POWER(1-(AnnualChurn*VLOOKUP(AVB57,ChurnSeasonTable,4,FALSE)),1)*BlendedPricePremAnnual*AVE57+AVQ33*POWER(1-(AnnualChurn*VLOOKUP(AVB57,ChurnSeasonTable,4,FALSE)),2)*BlendedPricePremAnnual*AVE57+AVQ21*POWER(1-(AnnualChurn*VLOOKUP(AVB57,ChurnSeasonTable,4,FALSE)),3)*BlendedPricePremAnnual*AVE57+AVQ9*POWER(1-(AnnualChurn*VLOOKUP(AVB57,ChurnSeasonTable,4,FALSE)),4)*BlendedPricePremAnnual*AVE57+AVR45*POWER(1-(AnnualChurn*VLOOKUP(AVB57,ChurnSeasonTable,4,FALSE)),1)*BlendedPriceEliteAnnual*AVE57+AVR33*POWER(1-(AnnualChurn*VLOOKUP(AVB57,ChurnSeasonTable,4,FALSE)),2)*BlendedPriceEliteAnnual*AVE57+AVR21*POWER(1-(AnnualChurn*VLOOKUP(AVB57,ChurnSeasonTable,4,FALSE)),3)*BlendedPriceEliteAnnual*AVE57+AVR9*POWER(1-(AnnualChurn*VLOOKUP(AVB57,ChurnSeasonTable,4,FALSE)),4)*BlendedPriceEliteAnnual*AVE57</f>
        <v/>
      </c>
      <c r="AWE57" s="9">
        <f>AWB57+AWC57+AWD57</f>
        <v/>
      </c>
      <c r="AWF57" s="12">
        <f>SUM(AWE46:AWE57)</f>
        <v/>
      </c>
      <c r="AWG57" s="12">
        <f>OR(AWG56,IF(VATAgentMode,SUM($AWE46:$AWE57)-SUM($AWL46:$AWL57)&gt;=VATThreshold,SUM($AWE46:$AWE57)&gt;=VATThreshold))</f>
        <v/>
      </c>
      <c r="AWH57" s="9">
        <f>IF(AWG57,IF(VATAgentMode,AWE57-((AWE57-AWL57)-(AWE57-AWL57)/(1+VATRate)),AWE57/(1+VATRate)),AWE57)</f>
        <v/>
      </c>
      <c r="AWI57" s="12">
        <f>AWE57-AWH57</f>
        <v/>
      </c>
      <c r="AWJ57" s="12">
        <f>IF(AWG57=0,0,IF(AVB57=1,SUMPRODUCT(--(($AVC$5:$AVC57=$AVC57-1)*($AVB$5:$AVB57&gt;=10)*($AVB$5:$AVB57&lt;=12)),$AWI$5:$AWI57),IF(AVB57=4,SUMPRODUCT(--(($AVC$5:$AVC57=$AVC57)*($AVB$5:$AVB57&gt;=1)*($AVB$5:$AVB57&lt;=3)),$AWI$5:$AWI57),IF(AVB57=7,SUMPRODUCT(--(($AVC$5:$AVC57=$AVC57)*($AVB$5:$AVB57&gt;=4)*($AVB$5:$AVB57&lt;=6)),$AWI$5:$AWI57),IF(AVB57=10,SUMPRODUCT(--(($AVC$5:$AVC57=$AVC57)*($AVB$5:$AVB57&gt;=7)*($AVB$5:$AVB57&lt;=9)),$AWI$5:$AWI57),0)))))</f>
        <v/>
      </c>
      <c r="AWK57" s="12">
        <f>AWK56+AWI57-AWJ57</f>
        <v/>
      </c>
      <c r="AWL57" s="12">
        <f>IF(ProviderDelay&gt;=1,AVS56*BlendedProvPayEss+AVT56*BlendedProvPayPrem+AVU56*BlendedProvPayElite+AVV56*BlendedProvPayEss+AVW56*BlendedProvPayPrem+AVX56*BlendedProvPayElite,AVS57*BlendedProvPayEss+AVT57*BlendedProvPayPrem+AVU57*BlendedProvPayElite+AVV57*BlendedProvPayEss+AVW57*BlendedProvPayPrem+AVX57*BlendedProvPayElite)</f>
        <v/>
      </c>
      <c r="AWM57" s="12">
        <f>AWE57*PaymentFee</f>
        <v/>
      </c>
      <c r="AWN57" s="12">
        <f>AVY57*OpsAI</f>
        <v/>
      </c>
      <c r="AWO57" s="12">
        <f>MonthlyFixed</f>
        <v/>
      </c>
      <c r="AWP57" s="12">
        <f>AVI57*ReferralReward</f>
        <v/>
      </c>
      <c r="AWQ57" s="12">
        <f>AVG57</f>
        <v/>
      </c>
      <c r="AWR57" s="9">
        <f>AWH57-AWL57-AWM57-AWN57-AWO57-AWP57-AWQ57</f>
        <v/>
      </c>
      <c r="AWS57" s="9">
        <f>AWS56+AWE57-(AWL57+AWM57+AWN57+AWO57+AWP57+AWQ57+AWJ57)</f>
        <v/>
      </c>
      <c r="AWT57" s="12">
        <f>IF(AVY57&gt;0,AVZ57/AVY57,0)</f>
        <v/>
      </c>
      <c r="AWU57" s="11">
        <f>IF(AVY56&gt;0,MAX(0,(AVY56+AVJ57-AVY57)/AVY56),0)</f>
        <v/>
      </c>
    </row>
    <row r="58">
      <c r="A58" s="12" t="n">
        <v>54</v>
      </c>
      <c r="B58" s="12">
        <f>MOD(A58-1+LaunchMonth-1,12)+1</f>
        <v/>
      </c>
      <c r="C58" s="12">
        <f>INT((A58-1+LaunchMonth-1)/12)+1</f>
        <v/>
      </c>
      <c r="D58" s="12">
        <f>VLOOKUP(B58,SeasonTable,2,FALSE)</f>
        <v/>
      </c>
      <c r="E58" s="12">
        <f>(1+InflationRate)^INT((A58-1)/12)</f>
        <v/>
      </c>
      <c r="F58" s="11">
        <f>'Sens - Scenarios'!$B$5*VLOOKUP(B58,ChurnSeasonTable,4,FALSE)</f>
        <v/>
      </c>
      <c r="G58" s="12">
        <f>MIN(MAX(MktMin19plus,AE57*MktPct19plus),MAX(0,AS57-CashBuffer))</f>
        <v/>
      </c>
      <c r="H58" s="12">
        <f>IF(G58&gt;0,MAX(1,ROUND(G58/'Sens - Scenarios'!$B$8*D58,0)),0)</f>
        <v/>
      </c>
      <c r="I58" s="12">
        <f>IF(H58&gt;0,ROUND(H58*ReferralMix/(1-ReferralMix),0),0)</f>
        <v/>
      </c>
      <c r="J58" s="12">
        <f>H58+I58</f>
        <v/>
      </c>
      <c r="K58" s="12">
        <f>ROUND(J58*(1-'Sens - Scenarios'!$B$7),0)</f>
        <v/>
      </c>
      <c r="L58" s="12">
        <f>J58-K58</f>
        <v/>
      </c>
      <c r="M58" s="12">
        <f>ROUND(K58*EssentialMix,0)</f>
        <v/>
      </c>
      <c r="N58" s="12">
        <f>ROUND(K58*PremiumMix,0)</f>
        <v/>
      </c>
      <c r="O58" s="12">
        <f>K58-M58-N58</f>
        <v/>
      </c>
      <c r="P58" s="12">
        <f>ROUND(L58*EssentialMix,0)</f>
        <v/>
      </c>
      <c r="Q58" s="12">
        <f>ROUND(L58*PremiumMix,0)</f>
        <v/>
      </c>
      <c r="R58" s="12">
        <f>L58-P58-Q58</f>
        <v/>
      </c>
      <c r="S58" s="12">
        <f>M58+M57+M56+MAX(0,S57-M57-M56)*(1-F58)</f>
        <v/>
      </c>
      <c r="T58" s="12">
        <f>N58+N57+N56+MAX(0,T57-N57-N56)*(1-F58)</f>
        <v/>
      </c>
      <c r="U58" s="12">
        <f>O58+O57+O56+MAX(0,U57-O57-O56)*(1-F58)</f>
        <v/>
      </c>
      <c r="V58" s="12">
        <f>V57+P58-P46*('Sens - Scenarios'!$B$6*VLOOKUP(B58,ChurnSeasonTable,4,FALSE))*POWER(1-('Sens - Scenarios'!$B$6*VLOOKUP(B58,ChurnSeasonTable,4,FALSE)),0)+P34*('Sens - Scenarios'!$B$6*VLOOKUP(B58,ChurnSeasonTable,4,FALSE))*POWER(1-('Sens - Scenarios'!$B$6*VLOOKUP(B58,ChurnSeasonTable,4,FALSE)),1)+P22*('Sens - Scenarios'!$B$6*VLOOKUP(B58,ChurnSeasonTable,4,FALSE))*POWER(1-('Sens - Scenarios'!$B$6*VLOOKUP(B58,ChurnSeasonTable,4,FALSE)),2)+P10*('Sens - Scenarios'!$B$6*VLOOKUP(B58,ChurnSeasonTable,4,FALSE))*POWER(1-('Sens - Scenarios'!$B$6*VLOOKUP(B58,ChurnSeasonTable,4,FALSE)),3)</f>
        <v/>
      </c>
      <c r="W58" s="12">
        <f>W57+Q58-Q46*('Sens - Scenarios'!$B$6*VLOOKUP(B58,ChurnSeasonTable,4,FALSE))*POWER(1-('Sens - Scenarios'!$B$6*VLOOKUP(B58,ChurnSeasonTable,4,FALSE)),0)+Q34*('Sens - Scenarios'!$B$6*VLOOKUP(B58,ChurnSeasonTable,4,FALSE))*POWER(1-('Sens - Scenarios'!$B$6*VLOOKUP(B58,ChurnSeasonTable,4,FALSE)),1)+Q22*('Sens - Scenarios'!$B$6*VLOOKUP(B58,ChurnSeasonTable,4,FALSE))*POWER(1-('Sens - Scenarios'!$B$6*VLOOKUP(B58,ChurnSeasonTable,4,FALSE)),2)+Q10*('Sens - Scenarios'!$B$6*VLOOKUP(B58,ChurnSeasonTable,4,FALSE))*POWER(1-('Sens - Scenarios'!$B$6*VLOOKUP(B58,ChurnSeasonTable,4,FALSE)),3)</f>
        <v/>
      </c>
      <c r="X58" s="12">
        <f>X57+R58-R46*('Sens - Scenarios'!$B$6*VLOOKUP(B58,ChurnSeasonTable,4,FALSE))*POWER(1-('Sens - Scenarios'!$B$6*VLOOKUP(B58,ChurnSeasonTable,4,FALSE)),0)+R34*('Sens - Scenarios'!$B$6*VLOOKUP(B58,ChurnSeasonTable,4,FALSE))*POWER(1-('Sens - Scenarios'!$B$6*VLOOKUP(B58,ChurnSeasonTable,4,FALSE)),1)+R22*('Sens - Scenarios'!$B$6*VLOOKUP(B58,ChurnSeasonTable,4,FALSE))*POWER(1-('Sens - Scenarios'!$B$6*VLOOKUP(B58,ChurnSeasonTable,4,FALSE)),2)+R10*('Sens - Scenarios'!$B$6*VLOOKUP(B58,ChurnSeasonTable,4,FALSE))*POWER(1-('Sens - Scenarios'!$B$6*VLOOKUP(B58,ChurnSeasonTable,4,FALSE)),3)</f>
        <v/>
      </c>
      <c r="Y58" s="12">
        <f>S58+T58+U58+V58+W58+X58</f>
        <v/>
      </c>
      <c r="Z58" s="9">
        <f>S58*BlendedPriceEssMonthly*E58+T58*BlendedPricePremMonthly*E58+U58*BlendedPriceEliteMonthly*E58+V58*BlendedPriceEssAnnual*E58/12+W58*BlendedPricePremAnnual*E58/12+X58*BlendedPriceEliteAnnual*E58/12</f>
        <v/>
      </c>
      <c r="AA58" s="9">
        <f>Z58*12</f>
        <v/>
      </c>
      <c r="AB58" s="12">
        <f>S58*BlendedPriceEssMonthly*E58+T58*BlendedPricePremMonthly*E58+U58*BlendedPriceEliteMonthly*E58</f>
        <v/>
      </c>
      <c r="AC58" s="12">
        <f>P58*BlendedPriceEssAnnual*E58+Q58*BlendedPricePremAnnual*E58+R58*BlendedPriceEliteAnnual*E58</f>
        <v/>
      </c>
      <c r="AD58" s="12">
        <f>P46*POWER(1-('Sens - Scenarios'!$B$6*VLOOKUP(B58,ChurnSeasonTable,4,FALSE)),1)*BlendedPriceEssAnnual*E58+P34*POWER(1-('Sens - Scenarios'!$B$6*VLOOKUP(B58,ChurnSeasonTable,4,FALSE)),2)*BlendedPriceEssAnnual*E58+P22*POWER(1-('Sens - Scenarios'!$B$6*VLOOKUP(B58,ChurnSeasonTable,4,FALSE)),3)*BlendedPriceEssAnnual*E58+P10*POWER(1-('Sens - Scenarios'!$B$6*VLOOKUP(B58,ChurnSeasonTable,4,FALSE)),4)*BlendedPriceEssAnnual*E58+Q46*POWER(1-('Sens - Scenarios'!$B$6*VLOOKUP(B58,ChurnSeasonTable,4,FALSE)),1)*BlendedPricePremAnnual*E58+Q34*POWER(1-('Sens - Scenarios'!$B$6*VLOOKUP(B58,ChurnSeasonTable,4,FALSE)),2)*BlendedPricePremAnnual*E58+Q22*POWER(1-('Sens - Scenarios'!$B$6*VLOOKUP(B58,ChurnSeasonTable,4,FALSE)),3)*BlendedPricePremAnnual*E58+Q10*POWER(1-('Sens - Scenarios'!$B$6*VLOOKUP(B58,ChurnSeasonTable,4,FALSE)),4)*BlendedPricePremAnnual*E58+R46*POWER(1-('Sens - Scenarios'!$B$6*VLOOKUP(B58,ChurnSeasonTable,4,FALSE)),1)*BlendedPriceEliteAnnual*E58+R34*POWER(1-('Sens - Scenarios'!$B$6*VLOOKUP(B58,ChurnSeasonTable,4,FALSE)),2)*BlendedPriceEliteAnnual*E58+R22*POWER(1-('Sens - Scenarios'!$B$6*VLOOKUP(B58,ChurnSeasonTable,4,FALSE)),3)*BlendedPriceEliteAnnual*E58+R10*POWER(1-('Sens - Scenarios'!$B$6*VLOOKUP(B58,ChurnSeasonTable,4,FALSE)),4)*BlendedPriceEliteAnnual*E58</f>
        <v/>
      </c>
      <c r="AE58" s="9">
        <f>AB58+AC58+AD58</f>
        <v/>
      </c>
      <c r="AF58" s="12">
        <f>SUM(AE47:AE58)</f>
        <v/>
      </c>
      <c r="AG58" s="12">
        <f>OR(AG57,IF(VATAgentMode,SUM($AE47:$AE58)-SUM($AL47:$AL58)&gt;=VATThreshold,SUM($AE47:$AE58)&gt;=VATThreshold))</f>
        <v/>
      </c>
      <c r="AH58" s="9">
        <f>IF(AG58,IF(VATAgentMode,AE58-((AE58-AL58)-(AE58-AL58)/(1+VATRate)),AE58/(1+VATRate)),AE58)</f>
        <v/>
      </c>
      <c r="AI58" s="12">
        <f>AE58-AH58</f>
        <v/>
      </c>
      <c r="AJ58" s="12">
        <f>IF(AG58=0,0,IF(B58=1,SUMPRODUCT(--(($C$5:$C58=$C58-1)*($B$5:$B58&gt;=10)*($B$5:$B58&lt;=12)),$AI$5:$AI58),IF(B58=4,SUMPRODUCT(--(($C$5:$C58=$C58)*($B$5:$B58&gt;=1)*($B$5:$B58&lt;=3)),$AI$5:$AI58),IF(B58=7,SUMPRODUCT(--(($C$5:$C58=$C58)*($B$5:$B58&gt;=4)*($B$5:$B58&lt;=6)),$AI$5:$AI58),IF(B58=10,SUMPRODUCT(--(($C$5:$C58=$C58)*($B$5:$B58&gt;=7)*($B$5:$B58&lt;=9)),$AI$5:$AI58),0)))))</f>
        <v/>
      </c>
      <c r="AK58" s="12">
        <f>AK57+AI58-AJ58</f>
        <v/>
      </c>
      <c r="AL58" s="12">
        <f>IF(ProviderDelay&gt;=1,S57*BlendedProvPayEss+T57*BlendedProvPayPrem+U57*BlendedProvPayElite+V57*BlendedProvPayEss+W57*BlendedProvPayPrem+X57*BlendedProvPayElite,S58*BlendedProvPayEss+T58*BlendedProvPayPrem+U58*BlendedProvPayElite+V58*BlendedProvPayEss+W58*BlendedProvPayPrem+X58*BlendedProvPayElite)</f>
        <v/>
      </c>
      <c r="AM58" s="12">
        <f>AE58*PaymentFee</f>
        <v/>
      </c>
      <c r="AN58" s="12">
        <f>Y58*OpsAI</f>
        <v/>
      </c>
      <c r="AO58" s="12">
        <f>MonthlyFixed</f>
        <v/>
      </c>
      <c r="AP58" s="12">
        <f>I58*ReferralReward</f>
        <v/>
      </c>
      <c r="AQ58" s="12">
        <f>G58</f>
        <v/>
      </c>
      <c r="AR58" s="9">
        <f>AH58-AL58-AM58-AN58-AO58-AP58-AQ58</f>
        <v/>
      </c>
      <c r="AS58" s="9">
        <f>AS57+AE58-(AL58+AM58+AN58+AO58+AP58+AQ58+AJ58)</f>
        <v/>
      </c>
      <c r="AT58" s="12">
        <f>IF(Y58&gt;0,Z58/Y58,0)</f>
        <v/>
      </c>
      <c r="AU58" s="11">
        <f>IF(Y57&gt;0,MAX(0,(Y57+J58-Y58)/Y57),0)</f>
        <v/>
      </c>
      <c r="AW58" s="12" t="n">
        <v>54</v>
      </c>
      <c r="AX58" s="12">
        <f>MOD(AW58-1+LaunchMonth-1,12)+1</f>
        <v/>
      </c>
      <c r="AY58" s="12">
        <f>INT((AW58-1+LaunchMonth-1)/12)+1</f>
        <v/>
      </c>
      <c r="AZ58" s="12">
        <f>VLOOKUP(AX58,SeasonTable,2,FALSE)</f>
        <v/>
      </c>
      <c r="BA58" s="12">
        <f>(1+InflationRate)^INT((AW58-1)/12)</f>
        <v/>
      </c>
      <c r="BB58" s="11">
        <f>MonthlyChurn*VLOOKUP(AX58,ChurnSeasonTable,4,FALSE)</f>
        <v/>
      </c>
      <c r="BC58" s="12">
        <f>MIN(MAX(MktMin19plus,CA57*MktPct19plus),MAX(0,CO57-CashBuffer))</f>
        <v/>
      </c>
      <c r="BD58" s="12">
        <f>IF(BC58&gt;0,MAX(1,ROUND(BC58/CAC*AZ58,0)),0)</f>
        <v/>
      </c>
      <c r="BE58" s="12">
        <f>IF(BD58&gt;0,ROUND(BD58*ReferralMix/(1-ReferralMix),0),0)</f>
        <v/>
      </c>
      <c r="BF58" s="12">
        <f>BD58+BE58</f>
        <v/>
      </c>
      <c r="BG58" s="12">
        <f>ROUND(BF58*(1-AnnualMix),0)</f>
        <v/>
      </c>
      <c r="BH58" s="12">
        <f>BF58-BG58</f>
        <v/>
      </c>
      <c r="BI58" s="12">
        <f>ROUND(BG58*EssentialMix,0)</f>
        <v/>
      </c>
      <c r="BJ58" s="12">
        <f>ROUND(BG58*PremiumMix,0)</f>
        <v/>
      </c>
      <c r="BK58" s="12">
        <f>BG58-BI58-BJ58</f>
        <v/>
      </c>
      <c r="BL58" s="12">
        <f>ROUND(BH58*EssentialMix,0)</f>
        <v/>
      </c>
      <c r="BM58" s="12">
        <f>ROUND(BH58*PremiumMix,0)</f>
        <v/>
      </c>
      <c r="BN58" s="12">
        <f>BH58-BL58-BM58</f>
        <v/>
      </c>
      <c r="BO58" s="12">
        <f>BI58+BI57+BI56+MAX(0,BO57-BI57-BI56)*(1-BB58)</f>
        <v/>
      </c>
      <c r="BP58" s="12">
        <f>BJ58+BJ57+BJ56+MAX(0,BP57-BJ57-BJ56)*(1-BB58)</f>
        <v/>
      </c>
      <c r="BQ58" s="12">
        <f>BK58+BK57+BK56+MAX(0,BQ57-BK57-BK56)*(1-BB58)</f>
        <v/>
      </c>
      <c r="BR58" s="12">
        <f>BR57+BL58-BL46*(AnnualChurn*VLOOKUP(AX58,ChurnSeasonTable,4,FALSE))*POWER(1-(AnnualChurn*VLOOKUP(AX58,ChurnSeasonTable,4,FALSE)),0)+BL34*(AnnualChurn*VLOOKUP(AX58,ChurnSeasonTable,4,FALSE))*POWER(1-(AnnualChurn*VLOOKUP(AX58,ChurnSeasonTable,4,FALSE)),1)+BL22*(AnnualChurn*VLOOKUP(AX58,ChurnSeasonTable,4,FALSE))*POWER(1-(AnnualChurn*VLOOKUP(AX58,ChurnSeasonTable,4,FALSE)),2)+BL10*(AnnualChurn*VLOOKUP(AX58,ChurnSeasonTable,4,FALSE))*POWER(1-(AnnualChurn*VLOOKUP(AX58,ChurnSeasonTable,4,FALSE)),3)</f>
        <v/>
      </c>
      <c r="BS58" s="12">
        <f>BS57+BM58-BM46*(AnnualChurn*VLOOKUP(AX58,ChurnSeasonTable,4,FALSE))*POWER(1-(AnnualChurn*VLOOKUP(AX58,ChurnSeasonTable,4,FALSE)),0)+BM34*(AnnualChurn*VLOOKUP(AX58,ChurnSeasonTable,4,FALSE))*POWER(1-(AnnualChurn*VLOOKUP(AX58,ChurnSeasonTable,4,FALSE)),1)+BM22*(AnnualChurn*VLOOKUP(AX58,ChurnSeasonTable,4,FALSE))*POWER(1-(AnnualChurn*VLOOKUP(AX58,ChurnSeasonTable,4,FALSE)),2)+BM10*(AnnualChurn*VLOOKUP(AX58,ChurnSeasonTable,4,FALSE))*POWER(1-(AnnualChurn*VLOOKUP(AX58,ChurnSeasonTable,4,FALSE)),3)</f>
        <v/>
      </c>
      <c r="BT58" s="12">
        <f>BT57+BN58-BN46*(AnnualChurn*VLOOKUP(AX58,ChurnSeasonTable,4,FALSE))*POWER(1-(AnnualChurn*VLOOKUP(AX58,ChurnSeasonTable,4,FALSE)),0)+BN34*(AnnualChurn*VLOOKUP(AX58,ChurnSeasonTable,4,FALSE))*POWER(1-(AnnualChurn*VLOOKUP(AX58,ChurnSeasonTable,4,FALSE)),1)+BN22*(AnnualChurn*VLOOKUP(AX58,ChurnSeasonTable,4,FALSE))*POWER(1-(AnnualChurn*VLOOKUP(AX58,ChurnSeasonTable,4,FALSE)),2)+BN10*(AnnualChurn*VLOOKUP(AX58,ChurnSeasonTable,4,FALSE))*POWER(1-(AnnualChurn*VLOOKUP(AX58,ChurnSeasonTable,4,FALSE)),3)</f>
        <v/>
      </c>
      <c r="BU58" s="12">
        <f>BO58+BP58+BQ58+BR58+BS58+BT58</f>
        <v/>
      </c>
      <c r="BV58" s="9">
        <f>BO58*BlendedPriceEssMonthly*BA58+BP58*BlendedPricePremMonthly*BA58+BQ58*BlendedPriceEliteMonthly*BA58+BR58*BlendedPriceEssAnnual*BA58/12+BS58*BlendedPricePremAnnual*BA58/12+BT58*BlendedPriceEliteAnnual*BA58/12</f>
        <v/>
      </c>
      <c r="BW58" s="9">
        <f>BV58*12</f>
        <v/>
      </c>
      <c r="BX58" s="12">
        <f>BO58*BlendedPriceEssMonthly*BA58+BP58*BlendedPricePremMonthly*BA58+BQ58*BlendedPriceEliteMonthly*BA58</f>
        <v/>
      </c>
      <c r="BY58" s="12">
        <f>BL58*BlendedPriceEssAnnual*BA58+BM58*BlendedPricePremAnnual*BA58+BN58*BlendedPriceEliteAnnual*BA58</f>
        <v/>
      </c>
      <c r="BZ58" s="12">
        <f>BL46*POWER(1-(AnnualChurn*VLOOKUP(AX58,ChurnSeasonTable,4,FALSE)),1)*BlendedPriceEssAnnual*BA58+BL34*POWER(1-(AnnualChurn*VLOOKUP(AX58,ChurnSeasonTable,4,FALSE)),2)*BlendedPriceEssAnnual*BA58+BL22*POWER(1-(AnnualChurn*VLOOKUP(AX58,ChurnSeasonTable,4,FALSE)),3)*BlendedPriceEssAnnual*BA58+BL10*POWER(1-(AnnualChurn*VLOOKUP(AX58,ChurnSeasonTable,4,FALSE)),4)*BlendedPriceEssAnnual*BA58+BM46*POWER(1-(AnnualChurn*VLOOKUP(AX58,ChurnSeasonTable,4,FALSE)),1)*BlendedPricePremAnnual*BA58+BM34*POWER(1-(AnnualChurn*VLOOKUP(AX58,ChurnSeasonTable,4,FALSE)),2)*BlendedPricePremAnnual*BA58+BM22*POWER(1-(AnnualChurn*VLOOKUP(AX58,ChurnSeasonTable,4,FALSE)),3)*BlendedPricePremAnnual*BA58+BM10*POWER(1-(AnnualChurn*VLOOKUP(AX58,ChurnSeasonTable,4,FALSE)),4)*BlendedPricePremAnnual*BA58+BN46*POWER(1-(AnnualChurn*VLOOKUP(AX58,ChurnSeasonTable,4,FALSE)),1)*BlendedPriceEliteAnnual*BA58+BN34*POWER(1-(AnnualChurn*VLOOKUP(AX58,ChurnSeasonTable,4,FALSE)),2)*BlendedPriceEliteAnnual*BA58+BN22*POWER(1-(AnnualChurn*VLOOKUP(AX58,ChurnSeasonTable,4,FALSE)),3)*BlendedPriceEliteAnnual*BA58+BN10*POWER(1-(AnnualChurn*VLOOKUP(AX58,ChurnSeasonTable,4,FALSE)),4)*BlendedPriceEliteAnnual*BA58</f>
        <v/>
      </c>
      <c r="CA58" s="9">
        <f>BX58+BY58+BZ58</f>
        <v/>
      </c>
      <c r="CB58" s="12">
        <f>SUM(CA47:CA58)</f>
        <v/>
      </c>
      <c r="CC58" s="12">
        <f>OR(CC57,IF(VATAgentMode,SUM($CA47:$CA58)-SUM($CH47:$CH58)&gt;=VATThreshold,SUM($CA47:$CA58)&gt;=VATThreshold))</f>
        <v/>
      </c>
      <c r="CD58" s="9">
        <f>IF(CC58,IF(VATAgentMode,CA58-((CA58-CH58)-(CA58-CH58)/(1+VATRate)),CA58/(1+VATRate)),CA58)</f>
        <v/>
      </c>
      <c r="CE58" s="12">
        <f>CA58-CD58</f>
        <v/>
      </c>
      <c r="CF58" s="12">
        <f>IF(CC58=0,0,IF(AX58=1,SUMPRODUCT(--(($AY$5:$AY58=$AY58-1)*($AX$5:$AX58&gt;=10)*($AX$5:$AX58&lt;=12)),$CE$5:$CE58),IF(AX58=4,SUMPRODUCT(--(($AY$5:$AY58=$AY58)*($AX$5:$AX58&gt;=1)*($AX$5:$AX58&lt;=3)),$CE$5:$CE58),IF(AX58=7,SUMPRODUCT(--(($AY$5:$AY58=$AY58)*($AX$5:$AX58&gt;=4)*($AX$5:$AX58&lt;=6)),$CE$5:$CE58),IF(AX58=10,SUMPRODUCT(--(($AY$5:$AY58=$AY58)*($AX$5:$AX58&gt;=7)*($AX$5:$AX58&lt;=9)),$CE$5:$CE58),0)))))</f>
        <v/>
      </c>
      <c r="CG58" s="12">
        <f>CG57+CE58-CF58</f>
        <v/>
      </c>
      <c r="CH58" s="12">
        <f>IF(ProviderDelay&gt;=1,BO57*BlendedProvPayEss+BP57*BlendedProvPayPrem+BQ57*BlendedProvPayElite+BR57*BlendedProvPayEss+BS57*BlendedProvPayPrem+BT57*BlendedProvPayElite,BO58*BlendedProvPayEss+BP58*BlendedProvPayPrem+BQ58*BlendedProvPayElite+BR58*BlendedProvPayEss+BS58*BlendedProvPayPrem+BT58*BlendedProvPayElite)</f>
        <v/>
      </c>
      <c r="CI58" s="12">
        <f>CA58*PaymentFee</f>
        <v/>
      </c>
      <c r="CJ58" s="12">
        <f>BU58*OpsAI</f>
        <v/>
      </c>
      <c r="CK58" s="12">
        <f>MonthlyFixed</f>
        <v/>
      </c>
      <c r="CL58" s="12">
        <f>BE58*ReferralReward</f>
        <v/>
      </c>
      <c r="CM58" s="12">
        <f>BC58</f>
        <v/>
      </c>
      <c r="CN58" s="9">
        <f>CD58-CH58-CI58-CJ58-CK58-CL58-CM58</f>
        <v/>
      </c>
      <c r="CO58" s="9">
        <f>CO57+CA58-(CH58+CI58+CJ58+CK58+CL58+CM58+CF58)</f>
        <v/>
      </c>
      <c r="CP58" s="12">
        <f>IF(BU58&gt;0,BV58/BU58,0)</f>
        <v/>
      </c>
      <c r="CQ58" s="11">
        <f>IF(BU57&gt;0,MAX(0,(BU57+BF58-BU58)/BU57),0)</f>
        <v/>
      </c>
      <c r="CS58" s="12" t="n">
        <v>54</v>
      </c>
      <c r="CT58" s="12">
        <f>MOD(CS58-1+LaunchMonth-1,12)+1</f>
        <v/>
      </c>
      <c r="CU58" s="12">
        <f>INT((CS58-1+LaunchMonth-1)/12)+1</f>
        <v/>
      </c>
      <c r="CV58" s="12">
        <f>VLOOKUP(CT58,SeasonTable,2,FALSE)</f>
        <v/>
      </c>
      <c r="CW58" s="12">
        <f>(1+InflationRate)^INT((CS58-1)/12)</f>
        <v/>
      </c>
      <c r="CX58" s="11">
        <f>'Sens - Scenarios'!$D$5*VLOOKUP(CT58,ChurnSeasonTable,4,FALSE)</f>
        <v/>
      </c>
      <c r="CY58" s="12">
        <f>MIN(MAX(MktMin19plus,DW57*MktPct19plus),MAX(0,EK57-CashBuffer))</f>
        <v/>
      </c>
      <c r="CZ58" s="12">
        <f>IF(CY58&gt;0,MAX(1,ROUND(CY58/'Sens - Scenarios'!$D$8*CV58,0)),0)</f>
        <v/>
      </c>
      <c r="DA58" s="12">
        <f>IF(CZ58&gt;0,ROUND(CZ58*ReferralMix/(1-ReferralMix),0),0)</f>
        <v/>
      </c>
      <c r="DB58" s="12">
        <f>CZ58+DA58</f>
        <v/>
      </c>
      <c r="DC58" s="12">
        <f>ROUND(DB58*(1-'Sens - Scenarios'!$D$7),0)</f>
        <v/>
      </c>
      <c r="DD58" s="12">
        <f>DB58-DC58</f>
        <v/>
      </c>
      <c r="DE58" s="12">
        <f>ROUND(DC58*EssentialMix,0)</f>
        <v/>
      </c>
      <c r="DF58" s="12">
        <f>ROUND(DC58*PremiumMix,0)</f>
        <v/>
      </c>
      <c r="DG58" s="12">
        <f>DC58-DE58-DF58</f>
        <v/>
      </c>
      <c r="DH58" s="12">
        <f>ROUND(DD58*EssentialMix,0)</f>
        <v/>
      </c>
      <c r="DI58" s="12">
        <f>ROUND(DD58*PremiumMix,0)</f>
        <v/>
      </c>
      <c r="DJ58" s="12">
        <f>DD58-DH58-DI58</f>
        <v/>
      </c>
      <c r="DK58" s="12">
        <f>DE58+DE57+DE56+MAX(0,DK57-DE57-DE56)*(1-CX58)</f>
        <v/>
      </c>
      <c r="DL58" s="12">
        <f>DF58+DF57+DF56+MAX(0,DL57-DF57-DF56)*(1-CX58)</f>
        <v/>
      </c>
      <c r="DM58" s="12">
        <f>DG58+DG57+DG56+MAX(0,DM57-DG57-DG56)*(1-CX58)</f>
        <v/>
      </c>
      <c r="DN58" s="12">
        <f>DN57+DH58-DH46*('Sens - Scenarios'!$D$6*VLOOKUP(CT58,ChurnSeasonTable,4,FALSE))*POWER(1-('Sens - Scenarios'!$D$6*VLOOKUP(CT58,ChurnSeasonTable,4,FALSE)),0)+DH34*('Sens - Scenarios'!$D$6*VLOOKUP(CT58,ChurnSeasonTable,4,FALSE))*POWER(1-('Sens - Scenarios'!$D$6*VLOOKUP(CT58,ChurnSeasonTable,4,FALSE)),1)+DH22*('Sens - Scenarios'!$D$6*VLOOKUP(CT58,ChurnSeasonTable,4,FALSE))*POWER(1-('Sens - Scenarios'!$D$6*VLOOKUP(CT58,ChurnSeasonTable,4,FALSE)),2)+DH10*('Sens - Scenarios'!$D$6*VLOOKUP(CT58,ChurnSeasonTable,4,FALSE))*POWER(1-('Sens - Scenarios'!$D$6*VLOOKUP(CT58,ChurnSeasonTable,4,FALSE)),3)</f>
        <v/>
      </c>
      <c r="DO58" s="12">
        <f>DO57+DI58-DI46*('Sens - Scenarios'!$D$6*VLOOKUP(CT58,ChurnSeasonTable,4,FALSE))*POWER(1-('Sens - Scenarios'!$D$6*VLOOKUP(CT58,ChurnSeasonTable,4,FALSE)),0)+DI34*('Sens - Scenarios'!$D$6*VLOOKUP(CT58,ChurnSeasonTable,4,FALSE))*POWER(1-('Sens - Scenarios'!$D$6*VLOOKUP(CT58,ChurnSeasonTable,4,FALSE)),1)+DI22*('Sens - Scenarios'!$D$6*VLOOKUP(CT58,ChurnSeasonTable,4,FALSE))*POWER(1-('Sens - Scenarios'!$D$6*VLOOKUP(CT58,ChurnSeasonTable,4,FALSE)),2)+DI10*('Sens - Scenarios'!$D$6*VLOOKUP(CT58,ChurnSeasonTable,4,FALSE))*POWER(1-('Sens - Scenarios'!$D$6*VLOOKUP(CT58,ChurnSeasonTable,4,FALSE)),3)</f>
        <v/>
      </c>
      <c r="DP58" s="12">
        <f>DP57+DJ58-DJ46*('Sens - Scenarios'!$D$6*VLOOKUP(CT58,ChurnSeasonTable,4,FALSE))*POWER(1-('Sens - Scenarios'!$D$6*VLOOKUP(CT58,ChurnSeasonTable,4,FALSE)),0)+DJ34*('Sens - Scenarios'!$D$6*VLOOKUP(CT58,ChurnSeasonTable,4,FALSE))*POWER(1-('Sens - Scenarios'!$D$6*VLOOKUP(CT58,ChurnSeasonTable,4,FALSE)),1)+DJ22*('Sens - Scenarios'!$D$6*VLOOKUP(CT58,ChurnSeasonTable,4,FALSE))*POWER(1-('Sens - Scenarios'!$D$6*VLOOKUP(CT58,ChurnSeasonTable,4,FALSE)),2)+DJ10*('Sens - Scenarios'!$D$6*VLOOKUP(CT58,ChurnSeasonTable,4,FALSE))*POWER(1-('Sens - Scenarios'!$D$6*VLOOKUP(CT58,ChurnSeasonTable,4,FALSE)),3)</f>
        <v/>
      </c>
      <c r="DQ58" s="12">
        <f>DK58+DL58+DM58+DN58+DO58+DP58</f>
        <v/>
      </c>
      <c r="DR58" s="9">
        <f>DK58*BlendedPriceEssMonthly*CW58+DL58*BlendedPricePremMonthly*CW58+DM58*BlendedPriceEliteMonthly*CW58+DN58*BlendedPriceEssAnnual*CW58/12+DO58*BlendedPricePremAnnual*CW58/12+DP58*BlendedPriceEliteAnnual*CW58/12</f>
        <v/>
      </c>
      <c r="DS58" s="9">
        <f>DR58*12</f>
        <v/>
      </c>
      <c r="DT58" s="12">
        <f>DK58*BlendedPriceEssMonthly*CW58+DL58*BlendedPricePremMonthly*CW58+DM58*BlendedPriceEliteMonthly*CW58</f>
        <v/>
      </c>
      <c r="DU58" s="12">
        <f>DH58*BlendedPriceEssAnnual*CW58+DI58*BlendedPricePremAnnual*CW58+DJ58*BlendedPriceEliteAnnual*CW58</f>
        <v/>
      </c>
      <c r="DV58" s="12">
        <f>DH46*POWER(1-('Sens - Scenarios'!$D$6*VLOOKUP(CT58,ChurnSeasonTable,4,FALSE)),1)*BlendedPriceEssAnnual*CW58+DH34*POWER(1-('Sens - Scenarios'!$D$6*VLOOKUP(CT58,ChurnSeasonTable,4,FALSE)),2)*BlendedPriceEssAnnual*CW58+DH22*POWER(1-('Sens - Scenarios'!$D$6*VLOOKUP(CT58,ChurnSeasonTable,4,FALSE)),3)*BlendedPriceEssAnnual*CW58+DH10*POWER(1-('Sens - Scenarios'!$D$6*VLOOKUP(CT58,ChurnSeasonTable,4,FALSE)),4)*BlendedPriceEssAnnual*CW58+DI46*POWER(1-('Sens - Scenarios'!$D$6*VLOOKUP(CT58,ChurnSeasonTable,4,FALSE)),1)*BlendedPricePremAnnual*CW58+DI34*POWER(1-('Sens - Scenarios'!$D$6*VLOOKUP(CT58,ChurnSeasonTable,4,FALSE)),2)*BlendedPricePremAnnual*CW58+DI22*POWER(1-('Sens - Scenarios'!$D$6*VLOOKUP(CT58,ChurnSeasonTable,4,FALSE)),3)*BlendedPricePremAnnual*CW58+DI10*POWER(1-('Sens - Scenarios'!$D$6*VLOOKUP(CT58,ChurnSeasonTable,4,FALSE)),4)*BlendedPricePremAnnual*CW58+DJ46*POWER(1-('Sens - Scenarios'!$D$6*VLOOKUP(CT58,ChurnSeasonTable,4,FALSE)),1)*BlendedPriceEliteAnnual*CW58+DJ34*POWER(1-('Sens - Scenarios'!$D$6*VLOOKUP(CT58,ChurnSeasonTable,4,FALSE)),2)*BlendedPriceEliteAnnual*CW58+DJ22*POWER(1-('Sens - Scenarios'!$D$6*VLOOKUP(CT58,ChurnSeasonTable,4,FALSE)),3)*BlendedPriceEliteAnnual*CW58+DJ10*POWER(1-('Sens - Scenarios'!$D$6*VLOOKUP(CT58,ChurnSeasonTable,4,FALSE)),4)*BlendedPriceEliteAnnual*CW58</f>
        <v/>
      </c>
      <c r="DW58" s="9">
        <f>DT58+DU58+DV58</f>
        <v/>
      </c>
      <c r="DX58" s="12">
        <f>SUM(DW47:DW58)</f>
        <v/>
      </c>
      <c r="DY58" s="12">
        <f>OR(DY57,IF(VATAgentMode,SUM($DW47:$DW58)-SUM($ED47:$ED58)&gt;=VATThreshold,SUM($DW47:$DW58)&gt;=VATThreshold))</f>
        <v/>
      </c>
      <c r="DZ58" s="9">
        <f>IF(DY58,IF(VATAgentMode,DW58-((DW58-ED58)-(DW58-ED58)/(1+VATRate)),DW58/(1+VATRate)),DW58)</f>
        <v/>
      </c>
      <c r="EA58" s="12">
        <f>DW58-DZ58</f>
        <v/>
      </c>
      <c r="EB58" s="12">
        <f>IF(DY58=0,0,IF(CT58=1,SUMPRODUCT(--(($CU$5:$CU58=$CU58-1)*($CT$5:$CT58&gt;=10)*($CT$5:$CT58&lt;=12)),$EA$5:$EA58),IF(CT58=4,SUMPRODUCT(--(($CU$5:$CU58=$CU58)*($CT$5:$CT58&gt;=1)*($CT$5:$CT58&lt;=3)),$EA$5:$EA58),IF(CT58=7,SUMPRODUCT(--(($CU$5:$CU58=$CU58)*($CT$5:$CT58&gt;=4)*($CT$5:$CT58&lt;=6)),$EA$5:$EA58),IF(CT58=10,SUMPRODUCT(--(($CU$5:$CU58=$CU58)*($CT$5:$CT58&gt;=7)*($CT$5:$CT58&lt;=9)),$EA$5:$EA58),0)))))</f>
        <v/>
      </c>
      <c r="EC58" s="12">
        <f>EC57+EA58-EB58</f>
        <v/>
      </c>
      <c r="ED58" s="12">
        <f>IF(ProviderDelay&gt;=1,DK57*BlendedProvPayEss+DL57*BlendedProvPayPrem+DM57*BlendedProvPayElite+DN57*BlendedProvPayEss+DO57*BlendedProvPayPrem+DP57*BlendedProvPayElite,DK58*BlendedProvPayEss+DL58*BlendedProvPayPrem+DM58*BlendedProvPayElite+DN58*BlendedProvPayEss+DO58*BlendedProvPayPrem+DP58*BlendedProvPayElite)</f>
        <v/>
      </c>
      <c r="EE58" s="12">
        <f>DW58*PaymentFee</f>
        <v/>
      </c>
      <c r="EF58" s="12">
        <f>DQ58*OpsAI</f>
        <v/>
      </c>
      <c r="EG58" s="12">
        <f>MonthlyFixed</f>
        <v/>
      </c>
      <c r="EH58" s="12">
        <f>DA58*ReferralReward</f>
        <v/>
      </c>
      <c r="EI58" s="12">
        <f>CY58</f>
        <v/>
      </c>
      <c r="EJ58" s="9">
        <f>DZ58-ED58-EE58-EF58-EG58-EH58-EI58</f>
        <v/>
      </c>
      <c r="EK58" s="9">
        <f>EK57+DW58-(ED58+EE58+EF58+EG58+EH58+EI58+EB58)</f>
        <v/>
      </c>
      <c r="EL58" s="12">
        <f>IF(DQ58&gt;0,DR58/DQ58,0)</f>
        <v/>
      </c>
      <c r="EM58" s="11">
        <f>IF(DQ57&gt;0,MAX(0,(DQ57+DB58-DQ58)/DQ57),0)</f>
        <v/>
      </c>
      <c r="EO58" s="12" t="n">
        <v>54</v>
      </c>
      <c r="EP58" s="12">
        <f>MOD(EO58-1+LaunchMonth-1,12)+1</f>
        <v/>
      </c>
      <c r="EQ58" s="12">
        <f>INT((EO58-1+LaunchMonth-1)/12)+1</f>
        <v/>
      </c>
      <c r="ER58" s="12">
        <f>VLOOKUP(EP58,SeasonTable,2,FALSE)</f>
        <v/>
      </c>
      <c r="ES58" s="12">
        <f>(1+InflationRate)^INT((EO58-1)/12)</f>
        <v/>
      </c>
      <c r="ET58" s="11">
        <f>'Sens - Churn'!$A$13*VLOOKUP(EP58,ChurnSeasonTable,4,FALSE)</f>
        <v/>
      </c>
      <c r="EU58" s="12">
        <f>MIN(MAX(MktMin19plus,FS57*MktPct19plus),MAX(0,GG57-CashBuffer))</f>
        <v/>
      </c>
      <c r="EV58" s="12">
        <f>IF(EU58&gt;0,MAX(1,ROUND(EU58/CAC*ER58,0)),0)</f>
        <v/>
      </c>
      <c r="EW58" s="12">
        <f>IF(EV58&gt;0,ROUND(EV58*ReferralMix/(1-ReferralMix),0),0)</f>
        <v/>
      </c>
      <c r="EX58" s="12">
        <f>EV58+EW58</f>
        <v/>
      </c>
      <c r="EY58" s="12">
        <f>ROUND(EX58*(1-AnnualMix),0)</f>
        <v/>
      </c>
      <c r="EZ58" s="12">
        <f>EX58-EY58</f>
        <v/>
      </c>
      <c r="FA58" s="12">
        <f>ROUND(EY58*EssentialMix,0)</f>
        <v/>
      </c>
      <c r="FB58" s="12">
        <f>ROUND(EY58*PremiumMix,0)</f>
        <v/>
      </c>
      <c r="FC58" s="12">
        <f>EY58-FA58-FB58</f>
        <v/>
      </c>
      <c r="FD58" s="12">
        <f>ROUND(EZ58*EssentialMix,0)</f>
        <v/>
      </c>
      <c r="FE58" s="12">
        <f>ROUND(EZ58*PremiumMix,0)</f>
        <v/>
      </c>
      <c r="FF58" s="12">
        <f>EZ58-FD58-FE58</f>
        <v/>
      </c>
      <c r="FG58" s="12">
        <f>FA58+FA57+FA56+MAX(0,FG57-FA57-FA56)*(1-ET58)</f>
        <v/>
      </c>
      <c r="FH58" s="12">
        <f>FB58+FB57+FB56+MAX(0,FH57-FB57-FB56)*(1-ET58)</f>
        <v/>
      </c>
      <c r="FI58" s="12">
        <f>FC58+FC57+FC56+MAX(0,FI57-FC57-FC56)*(1-ET58)</f>
        <v/>
      </c>
      <c r="FJ58" s="12">
        <f>FJ57+FD58-FD46*(AnnualChurn*VLOOKUP(EP58,ChurnSeasonTable,4,FALSE))*POWER(1-(AnnualChurn*VLOOKUP(EP58,ChurnSeasonTable,4,FALSE)),0)+FD34*(AnnualChurn*VLOOKUP(EP58,ChurnSeasonTable,4,FALSE))*POWER(1-(AnnualChurn*VLOOKUP(EP58,ChurnSeasonTable,4,FALSE)),1)+FD22*(AnnualChurn*VLOOKUP(EP58,ChurnSeasonTable,4,FALSE))*POWER(1-(AnnualChurn*VLOOKUP(EP58,ChurnSeasonTable,4,FALSE)),2)+FD10*(AnnualChurn*VLOOKUP(EP58,ChurnSeasonTable,4,FALSE))*POWER(1-(AnnualChurn*VLOOKUP(EP58,ChurnSeasonTable,4,FALSE)),3)</f>
        <v/>
      </c>
      <c r="FK58" s="12">
        <f>FK57+FE58-FE46*(AnnualChurn*VLOOKUP(EP58,ChurnSeasonTable,4,FALSE))*POWER(1-(AnnualChurn*VLOOKUP(EP58,ChurnSeasonTable,4,FALSE)),0)+FE34*(AnnualChurn*VLOOKUP(EP58,ChurnSeasonTable,4,FALSE))*POWER(1-(AnnualChurn*VLOOKUP(EP58,ChurnSeasonTable,4,FALSE)),1)+FE22*(AnnualChurn*VLOOKUP(EP58,ChurnSeasonTable,4,FALSE))*POWER(1-(AnnualChurn*VLOOKUP(EP58,ChurnSeasonTable,4,FALSE)),2)+FE10*(AnnualChurn*VLOOKUP(EP58,ChurnSeasonTable,4,FALSE))*POWER(1-(AnnualChurn*VLOOKUP(EP58,ChurnSeasonTable,4,FALSE)),3)</f>
        <v/>
      </c>
      <c r="FL58" s="12">
        <f>FL57+FF58-FF46*(AnnualChurn*VLOOKUP(EP58,ChurnSeasonTable,4,FALSE))*POWER(1-(AnnualChurn*VLOOKUP(EP58,ChurnSeasonTable,4,FALSE)),0)+FF34*(AnnualChurn*VLOOKUP(EP58,ChurnSeasonTable,4,FALSE))*POWER(1-(AnnualChurn*VLOOKUP(EP58,ChurnSeasonTable,4,FALSE)),1)+FF22*(AnnualChurn*VLOOKUP(EP58,ChurnSeasonTable,4,FALSE))*POWER(1-(AnnualChurn*VLOOKUP(EP58,ChurnSeasonTable,4,FALSE)),2)+FF10*(AnnualChurn*VLOOKUP(EP58,ChurnSeasonTable,4,FALSE))*POWER(1-(AnnualChurn*VLOOKUP(EP58,ChurnSeasonTable,4,FALSE)),3)</f>
        <v/>
      </c>
      <c r="FM58" s="12">
        <f>FG58+FH58+FI58+FJ58+FK58+FL58</f>
        <v/>
      </c>
      <c r="FN58" s="9">
        <f>FG58*BlendedPriceEssMonthly*ES58+FH58*BlendedPricePremMonthly*ES58+FI58*BlendedPriceEliteMonthly*ES58+FJ58*BlendedPriceEssAnnual*ES58/12+FK58*BlendedPricePremAnnual*ES58/12+FL58*BlendedPriceEliteAnnual*ES58/12</f>
        <v/>
      </c>
      <c r="FO58" s="9">
        <f>FN58*12</f>
        <v/>
      </c>
      <c r="FP58" s="12">
        <f>FG58*BlendedPriceEssMonthly*ES58+FH58*BlendedPricePremMonthly*ES58+FI58*BlendedPriceEliteMonthly*ES58</f>
        <v/>
      </c>
      <c r="FQ58" s="12">
        <f>FD58*BlendedPriceEssAnnual*ES58+FE58*BlendedPricePremAnnual*ES58+FF58*BlendedPriceEliteAnnual*ES58</f>
        <v/>
      </c>
      <c r="FR58" s="12">
        <f>FD46*POWER(1-(AnnualChurn*VLOOKUP(EP58,ChurnSeasonTable,4,FALSE)),1)*BlendedPriceEssAnnual*ES58+FD34*POWER(1-(AnnualChurn*VLOOKUP(EP58,ChurnSeasonTable,4,FALSE)),2)*BlendedPriceEssAnnual*ES58+FD22*POWER(1-(AnnualChurn*VLOOKUP(EP58,ChurnSeasonTable,4,FALSE)),3)*BlendedPriceEssAnnual*ES58+FD10*POWER(1-(AnnualChurn*VLOOKUP(EP58,ChurnSeasonTable,4,FALSE)),4)*BlendedPriceEssAnnual*ES58+FE46*POWER(1-(AnnualChurn*VLOOKUP(EP58,ChurnSeasonTable,4,FALSE)),1)*BlendedPricePremAnnual*ES58+FE34*POWER(1-(AnnualChurn*VLOOKUP(EP58,ChurnSeasonTable,4,FALSE)),2)*BlendedPricePremAnnual*ES58+FE22*POWER(1-(AnnualChurn*VLOOKUP(EP58,ChurnSeasonTable,4,FALSE)),3)*BlendedPricePremAnnual*ES58+FE10*POWER(1-(AnnualChurn*VLOOKUP(EP58,ChurnSeasonTable,4,FALSE)),4)*BlendedPricePremAnnual*ES58+FF46*POWER(1-(AnnualChurn*VLOOKUP(EP58,ChurnSeasonTable,4,FALSE)),1)*BlendedPriceEliteAnnual*ES58+FF34*POWER(1-(AnnualChurn*VLOOKUP(EP58,ChurnSeasonTable,4,FALSE)),2)*BlendedPriceEliteAnnual*ES58+FF22*POWER(1-(AnnualChurn*VLOOKUP(EP58,ChurnSeasonTable,4,FALSE)),3)*BlendedPriceEliteAnnual*ES58+FF10*POWER(1-(AnnualChurn*VLOOKUP(EP58,ChurnSeasonTable,4,FALSE)),4)*BlendedPriceEliteAnnual*ES58</f>
        <v/>
      </c>
      <c r="FS58" s="9">
        <f>FP58+FQ58+FR58</f>
        <v/>
      </c>
      <c r="FT58" s="12">
        <f>SUM(FS47:FS58)</f>
        <v/>
      </c>
      <c r="FU58" s="12">
        <f>OR(FU57,IF(VATAgentMode,SUM($FS47:$FS58)-SUM($FZ47:$FZ58)&gt;=VATThreshold,SUM($FS47:$FS58)&gt;=VATThreshold))</f>
        <v/>
      </c>
      <c r="FV58" s="9">
        <f>IF(FU58,IF(VATAgentMode,FS58-((FS58-FZ58)-(FS58-FZ58)/(1+VATRate)),FS58/(1+VATRate)),FS58)</f>
        <v/>
      </c>
      <c r="FW58" s="12">
        <f>FS58-FV58</f>
        <v/>
      </c>
      <c r="FX58" s="12">
        <f>IF(FU58=0,0,IF(EP58=1,SUMPRODUCT(--(($EQ$5:$EQ58=$EQ58-1)*($EP$5:$EP58&gt;=10)*($EP$5:$EP58&lt;=12)),$FW$5:$FW58),IF(EP58=4,SUMPRODUCT(--(($EQ$5:$EQ58=$EQ58)*($EP$5:$EP58&gt;=1)*($EP$5:$EP58&lt;=3)),$FW$5:$FW58),IF(EP58=7,SUMPRODUCT(--(($EQ$5:$EQ58=$EQ58)*($EP$5:$EP58&gt;=4)*($EP$5:$EP58&lt;=6)),$FW$5:$FW58),IF(EP58=10,SUMPRODUCT(--(($EQ$5:$EQ58=$EQ58)*($EP$5:$EP58&gt;=7)*($EP$5:$EP58&lt;=9)),$FW$5:$FW58),0)))))</f>
        <v/>
      </c>
      <c r="FY58" s="12">
        <f>FY57+FW58-FX58</f>
        <v/>
      </c>
      <c r="FZ58" s="12">
        <f>IF(ProviderDelay&gt;=1,FG57*BlendedProvPayEss+FH57*BlendedProvPayPrem+FI57*BlendedProvPayElite+FJ57*BlendedProvPayEss+FK57*BlendedProvPayPrem+FL57*BlendedProvPayElite,FG58*BlendedProvPayEss+FH58*BlendedProvPayPrem+FI58*BlendedProvPayElite+FJ58*BlendedProvPayEss+FK58*BlendedProvPayPrem+FL58*BlendedProvPayElite)</f>
        <v/>
      </c>
      <c r="GA58" s="12">
        <f>FS58*PaymentFee</f>
        <v/>
      </c>
      <c r="GB58" s="12">
        <f>FM58*OpsAI</f>
        <v/>
      </c>
      <c r="GC58" s="12">
        <f>MonthlyFixed</f>
        <v/>
      </c>
      <c r="GD58" s="12">
        <f>EW58*ReferralReward</f>
        <v/>
      </c>
      <c r="GE58" s="12">
        <f>EU58</f>
        <v/>
      </c>
      <c r="GF58" s="9">
        <f>FV58-FZ58-GA58-GB58-GC58-GD58-GE58</f>
        <v/>
      </c>
      <c r="GG58" s="9">
        <f>GG57+FS58-(FZ58+GA58+GB58+GC58+GD58+GE58+FX58)</f>
        <v/>
      </c>
      <c r="GH58" s="12">
        <f>IF(FM58&gt;0,FN58/FM58,0)</f>
        <v/>
      </c>
      <c r="GI58" s="11">
        <f>IF(FM57&gt;0,MAX(0,(FM57+EX58-FM58)/FM57),0)</f>
        <v/>
      </c>
      <c r="GK58" s="12" t="n">
        <v>54</v>
      </c>
      <c r="GL58" s="12">
        <f>MOD(GK58-1+LaunchMonth-1,12)+1</f>
        <v/>
      </c>
      <c r="GM58" s="12">
        <f>INT((GK58-1+LaunchMonth-1)/12)+1</f>
        <v/>
      </c>
      <c r="GN58" s="12">
        <f>VLOOKUP(GL58,SeasonTable,2,FALSE)</f>
        <v/>
      </c>
      <c r="GO58" s="12">
        <f>(1+InflationRate)^INT((GK58-1)/12)</f>
        <v/>
      </c>
      <c r="GP58" s="11">
        <f>'Sens - Churn'!$A$14*VLOOKUP(GL58,ChurnSeasonTable,4,FALSE)</f>
        <v/>
      </c>
      <c r="GQ58" s="12">
        <f>MIN(MAX(MktMin19plus,HO57*MktPct19plus),MAX(0,IC57-CashBuffer))</f>
        <v/>
      </c>
      <c r="GR58" s="12">
        <f>IF(GQ58&gt;0,MAX(1,ROUND(GQ58/CAC*GN58,0)),0)</f>
        <v/>
      </c>
      <c r="GS58" s="12">
        <f>IF(GR58&gt;0,ROUND(GR58*ReferralMix/(1-ReferralMix),0),0)</f>
        <v/>
      </c>
      <c r="GT58" s="12">
        <f>GR58+GS58</f>
        <v/>
      </c>
      <c r="GU58" s="12">
        <f>ROUND(GT58*(1-AnnualMix),0)</f>
        <v/>
      </c>
      <c r="GV58" s="12">
        <f>GT58-GU58</f>
        <v/>
      </c>
      <c r="GW58" s="12">
        <f>ROUND(GU58*EssentialMix,0)</f>
        <v/>
      </c>
      <c r="GX58" s="12">
        <f>ROUND(GU58*PremiumMix,0)</f>
        <v/>
      </c>
      <c r="GY58" s="12">
        <f>GU58-GW58-GX58</f>
        <v/>
      </c>
      <c r="GZ58" s="12">
        <f>ROUND(GV58*EssentialMix,0)</f>
        <v/>
      </c>
      <c r="HA58" s="12">
        <f>ROUND(GV58*PremiumMix,0)</f>
        <v/>
      </c>
      <c r="HB58" s="12">
        <f>GV58-GZ58-HA58</f>
        <v/>
      </c>
      <c r="HC58" s="12">
        <f>GW58+GW57+GW56+MAX(0,HC57-GW57-GW56)*(1-GP58)</f>
        <v/>
      </c>
      <c r="HD58" s="12">
        <f>GX58+GX57+GX56+MAX(0,HD57-GX57-GX56)*(1-GP58)</f>
        <v/>
      </c>
      <c r="HE58" s="12">
        <f>GY58+GY57+GY56+MAX(0,HE57-GY57-GY56)*(1-GP58)</f>
        <v/>
      </c>
      <c r="HF58" s="12">
        <f>HF57+GZ58-GZ46*(AnnualChurn*VLOOKUP(GL58,ChurnSeasonTable,4,FALSE))*POWER(1-(AnnualChurn*VLOOKUP(GL58,ChurnSeasonTable,4,FALSE)),0)+GZ34*(AnnualChurn*VLOOKUP(GL58,ChurnSeasonTable,4,FALSE))*POWER(1-(AnnualChurn*VLOOKUP(GL58,ChurnSeasonTable,4,FALSE)),1)+GZ22*(AnnualChurn*VLOOKUP(GL58,ChurnSeasonTable,4,FALSE))*POWER(1-(AnnualChurn*VLOOKUP(GL58,ChurnSeasonTable,4,FALSE)),2)+GZ10*(AnnualChurn*VLOOKUP(GL58,ChurnSeasonTable,4,FALSE))*POWER(1-(AnnualChurn*VLOOKUP(GL58,ChurnSeasonTable,4,FALSE)),3)</f>
        <v/>
      </c>
      <c r="HG58" s="12">
        <f>HG57+HA58-HA46*(AnnualChurn*VLOOKUP(GL58,ChurnSeasonTable,4,FALSE))*POWER(1-(AnnualChurn*VLOOKUP(GL58,ChurnSeasonTable,4,FALSE)),0)+HA34*(AnnualChurn*VLOOKUP(GL58,ChurnSeasonTable,4,FALSE))*POWER(1-(AnnualChurn*VLOOKUP(GL58,ChurnSeasonTable,4,FALSE)),1)+HA22*(AnnualChurn*VLOOKUP(GL58,ChurnSeasonTable,4,FALSE))*POWER(1-(AnnualChurn*VLOOKUP(GL58,ChurnSeasonTable,4,FALSE)),2)+HA10*(AnnualChurn*VLOOKUP(GL58,ChurnSeasonTable,4,FALSE))*POWER(1-(AnnualChurn*VLOOKUP(GL58,ChurnSeasonTable,4,FALSE)),3)</f>
        <v/>
      </c>
      <c r="HH58" s="12">
        <f>HH57+HB58-HB46*(AnnualChurn*VLOOKUP(GL58,ChurnSeasonTable,4,FALSE))*POWER(1-(AnnualChurn*VLOOKUP(GL58,ChurnSeasonTable,4,FALSE)),0)+HB34*(AnnualChurn*VLOOKUP(GL58,ChurnSeasonTable,4,FALSE))*POWER(1-(AnnualChurn*VLOOKUP(GL58,ChurnSeasonTable,4,FALSE)),1)+HB22*(AnnualChurn*VLOOKUP(GL58,ChurnSeasonTable,4,FALSE))*POWER(1-(AnnualChurn*VLOOKUP(GL58,ChurnSeasonTable,4,FALSE)),2)+HB10*(AnnualChurn*VLOOKUP(GL58,ChurnSeasonTable,4,FALSE))*POWER(1-(AnnualChurn*VLOOKUP(GL58,ChurnSeasonTable,4,FALSE)),3)</f>
        <v/>
      </c>
      <c r="HI58" s="12">
        <f>HC58+HD58+HE58+HF58+HG58+HH58</f>
        <v/>
      </c>
      <c r="HJ58" s="9">
        <f>HC58*BlendedPriceEssMonthly*GO58+HD58*BlendedPricePremMonthly*GO58+HE58*BlendedPriceEliteMonthly*GO58+HF58*BlendedPriceEssAnnual*GO58/12+HG58*BlendedPricePremAnnual*GO58/12+HH58*BlendedPriceEliteAnnual*GO58/12</f>
        <v/>
      </c>
      <c r="HK58" s="9">
        <f>HJ58*12</f>
        <v/>
      </c>
      <c r="HL58" s="12">
        <f>HC58*BlendedPriceEssMonthly*GO58+HD58*BlendedPricePremMonthly*GO58+HE58*BlendedPriceEliteMonthly*GO58</f>
        <v/>
      </c>
      <c r="HM58" s="12">
        <f>GZ58*BlendedPriceEssAnnual*GO58+HA58*BlendedPricePremAnnual*GO58+HB58*BlendedPriceEliteAnnual*GO58</f>
        <v/>
      </c>
      <c r="HN58" s="12">
        <f>GZ46*POWER(1-(AnnualChurn*VLOOKUP(GL58,ChurnSeasonTable,4,FALSE)),1)*BlendedPriceEssAnnual*GO58+GZ34*POWER(1-(AnnualChurn*VLOOKUP(GL58,ChurnSeasonTable,4,FALSE)),2)*BlendedPriceEssAnnual*GO58+GZ22*POWER(1-(AnnualChurn*VLOOKUP(GL58,ChurnSeasonTable,4,FALSE)),3)*BlendedPriceEssAnnual*GO58+GZ10*POWER(1-(AnnualChurn*VLOOKUP(GL58,ChurnSeasonTable,4,FALSE)),4)*BlendedPriceEssAnnual*GO58+HA46*POWER(1-(AnnualChurn*VLOOKUP(GL58,ChurnSeasonTable,4,FALSE)),1)*BlendedPricePremAnnual*GO58+HA34*POWER(1-(AnnualChurn*VLOOKUP(GL58,ChurnSeasonTable,4,FALSE)),2)*BlendedPricePremAnnual*GO58+HA22*POWER(1-(AnnualChurn*VLOOKUP(GL58,ChurnSeasonTable,4,FALSE)),3)*BlendedPricePremAnnual*GO58+HA10*POWER(1-(AnnualChurn*VLOOKUP(GL58,ChurnSeasonTable,4,FALSE)),4)*BlendedPricePremAnnual*GO58+HB46*POWER(1-(AnnualChurn*VLOOKUP(GL58,ChurnSeasonTable,4,FALSE)),1)*BlendedPriceEliteAnnual*GO58+HB34*POWER(1-(AnnualChurn*VLOOKUP(GL58,ChurnSeasonTable,4,FALSE)),2)*BlendedPriceEliteAnnual*GO58+HB22*POWER(1-(AnnualChurn*VLOOKUP(GL58,ChurnSeasonTable,4,FALSE)),3)*BlendedPriceEliteAnnual*GO58+HB10*POWER(1-(AnnualChurn*VLOOKUP(GL58,ChurnSeasonTable,4,FALSE)),4)*BlendedPriceEliteAnnual*GO58</f>
        <v/>
      </c>
      <c r="HO58" s="9">
        <f>HL58+HM58+HN58</f>
        <v/>
      </c>
      <c r="HP58" s="12">
        <f>SUM(HO47:HO58)</f>
        <v/>
      </c>
      <c r="HQ58" s="12">
        <f>OR(HQ57,IF(VATAgentMode,SUM($HO47:$HO58)-SUM($HV47:$HV58)&gt;=VATThreshold,SUM($HO47:$HO58)&gt;=VATThreshold))</f>
        <v/>
      </c>
      <c r="HR58" s="9">
        <f>IF(HQ58,IF(VATAgentMode,HO58-((HO58-HV58)-(HO58-HV58)/(1+VATRate)),HO58/(1+VATRate)),HO58)</f>
        <v/>
      </c>
      <c r="HS58" s="12">
        <f>HO58-HR58</f>
        <v/>
      </c>
      <c r="HT58" s="12">
        <f>IF(HQ58=0,0,IF(GL58=1,SUMPRODUCT(--(($GM$5:$GM58=$GM58-1)*($GL$5:$GL58&gt;=10)*($GL$5:$GL58&lt;=12)),$HS$5:$HS58),IF(GL58=4,SUMPRODUCT(--(($GM$5:$GM58=$GM58)*($GL$5:$GL58&gt;=1)*($GL$5:$GL58&lt;=3)),$HS$5:$HS58),IF(GL58=7,SUMPRODUCT(--(($GM$5:$GM58=$GM58)*($GL$5:$GL58&gt;=4)*($GL$5:$GL58&lt;=6)),$HS$5:$HS58),IF(GL58=10,SUMPRODUCT(--(($GM$5:$GM58=$GM58)*($GL$5:$GL58&gt;=7)*($GL$5:$GL58&lt;=9)),$HS$5:$HS58),0)))))</f>
        <v/>
      </c>
      <c r="HU58" s="12">
        <f>HU57+HS58-HT58</f>
        <v/>
      </c>
      <c r="HV58" s="12">
        <f>IF(ProviderDelay&gt;=1,HC57*BlendedProvPayEss+HD57*BlendedProvPayPrem+HE57*BlendedProvPayElite+HF57*BlendedProvPayEss+HG57*BlendedProvPayPrem+HH57*BlendedProvPayElite,HC58*BlendedProvPayEss+HD58*BlendedProvPayPrem+HE58*BlendedProvPayElite+HF58*BlendedProvPayEss+HG58*BlendedProvPayPrem+HH58*BlendedProvPayElite)</f>
        <v/>
      </c>
      <c r="HW58" s="12">
        <f>HO58*PaymentFee</f>
        <v/>
      </c>
      <c r="HX58" s="12">
        <f>HI58*OpsAI</f>
        <v/>
      </c>
      <c r="HY58" s="12">
        <f>MonthlyFixed</f>
        <v/>
      </c>
      <c r="HZ58" s="12">
        <f>GS58*ReferralReward</f>
        <v/>
      </c>
      <c r="IA58" s="12">
        <f>GQ58</f>
        <v/>
      </c>
      <c r="IB58" s="9">
        <f>HR58-HV58-HW58-HX58-HY58-HZ58-IA58</f>
        <v/>
      </c>
      <c r="IC58" s="9">
        <f>IC57+HO58-(HV58+HW58+HX58+HY58+HZ58+IA58+HT58)</f>
        <v/>
      </c>
      <c r="ID58" s="12">
        <f>IF(HI58&gt;0,HJ58/HI58,0)</f>
        <v/>
      </c>
      <c r="IE58" s="11">
        <f>IF(HI57&gt;0,MAX(0,(HI57+GT58-HI58)/HI57),0)</f>
        <v/>
      </c>
      <c r="IG58" s="12" t="n">
        <v>54</v>
      </c>
      <c r="IH58" s="12">
        <f>MOD(IG58-1+LaunchMonth-1,12)+1</f>
        <v/>
      </c>
      <c r="II58" s="12">
        <f>INT((IG58-1+LaunchMonth-1)/12)+1</f>
        <v/>
      </c>
      <c r="IJ58" s="12">
        <f>VLOOKUP(IH58,SeasonTable,2,FALSE)</f>
        <v/>
      </c>
      <c r="IK58" s="12">
        <f>(1+InflationRate)^INT((IG58-1)/12)</f>
        <v/>
      </c>
      <c r="IL58" s="11">
        <f>'Sens - Churn'!$A$15*VLOOKUP(IH58,ChurnSeasonTable,4,FALSE)</f>
        <v/>
      </c>
      <c r="IM58" s="12">
        <f>MIN(MAX(MktMin19plus,JK57*MktPct19plus),MAX(0,JY57-CashBuffer))</f>
        <v/>
      </c>
      <c r="IN58" s="12">
        <f>IF(IM58&gt;0,MAX(1,ROUND(IM58/CAC*IJ58,0)),0)</f>
        <v/>
      </c>
      <c r="IO58" s="12">
        <f>IF(IN58&gt;0,ROUND(IN58*ReferralMix/(1-ReferralMix),0),0)</f>
        <v/>
      </c>
      <c r="IP58" s="12">
        <f>IN58+IO58</f>
        <v/>
      </c>
      <c r="IQ58" s="12">
        <f>ROUND(IP58*(1-AnnualMix),0)</f>
        <v/>
      </c>
      <c r="IR58" s="12">
        <f>IP58-IQ58</f>
        <v/>
      </c>
      <c r="IS58" s="12">
        <f>ROUND(IQ58*EssentialMix,0)</f>
        <v/>
      </c>
      <c r="IT58" s="12">
        <f>ROUND(IQ58*PremiumMix,0)</f>
        <v/>
      </c>
      <c r="IU58" s="12">
        <f>IQ58-IS58-IT58</f>
        <v/>
      </c>
      <c r="IV58" s="12">
        <f>ROUND(IR58*EssentialMix,0)</f>
        <v/>
      </c>
      <c r="IW58" s="12">
        <f>ROUND(IR58*PremiumMix,0)</f>
        <v/>
      </c>
      <c r="IX58" s="12">
        <f>IR58-IV58-IW58</f>
        <v/>
      </c>
      <c r="IY58" s="12">
        <f>IS58+IS57+IS56+MAX(0,IY57-IS57-IS56)*(1-IL58)</f>
        <v/>
      </c>
      <c r="IZ58" s="12">
        <f>IT58+IT57+IT56+MAX(0,IZ57-IT57-IT56)*(1-IL58)</f>
        <v/>
      </c>
      <c r="JA58" s="12">
        <f>IU58+IU57+IU56+MAX(0,JA57-IU57-IU56)*(1-IL58)</f>
        <v/>
      </c>
      <c r="JB58" s="12">
        <f>JB57+IV58-IV46*(AnnualChurn*VLOOKUP(IH58,ChurnSeasonTable,4,FALSE))*POWER(1-(AnnualChurn*VLOOKUP(IH58,ChurnSeasonTable,4,FALSE)),0)+IV34*(AnnualChurn*VLOOKUP(IH58,ChurnSeasonTable,4,FALSE))*POWER(1-(AnnualChurn*VLOOKUP(IH58,ChurnSeasonTable,4,FALSE)),1)+IV22*(AnnualChurn*VLOOKUP(IH58,ChurnSeasonTable,4,FALSE))*POWER(1-(AnnualChurn*VLOOKUP(IH58,ChurnSeasonTable,4,FALSE)),2)+IV10*(AnnualChurn*VLOOKUP(IH58,ChurnSeasonTable,4,FALSE))*POWER(1-(AnnualChurn*VLOOKUP(IH58,ChurnSeasonTable,4,FALSE)),3)</f>
        <v/>
      </c>
      <c r="JC58" s="12">
        <f>JC57+IW58-IW46*(AnnualChurn*VLOOKUP(IH58,ChurnSeasonTable,4,FALSE))*POWER(1-(AnnualChurn*VLOOKUP(IH58,ChurnSeasonTable,4,FALSE)),0)+IW34*(AnnualChurn*VLOOKUP(IH58,ChurnSeasonTable,4,FALSE))*POWER(1-(AnnualChurn*VLOOKUP(IH58,ChurnSeasonTable,4,FALSE)),1)+IW22*(AnnualChurn*VLOOKUP(IH58,ChurnSeasonTable,4,FALSE))*POWER(1-(AnnualChurn*VLOOKUP(IH58,ChurnSeasonTable,4,FALSE)),2)+IW10*(AnnualChurn*VLOOKUP(IH58,ChurnSeasonTable,4,FALSE))*POWER(1-(AnnualChurn*VLOOKUP(IH58,ChurnSeasonTable,4,FALSE)),3)</f>
        <v/>
      </c>
      <c r="JD58" s="12">
        <f>JD57+IX58-IX46*(AnnualChurn*VLOOKUP(IH58,ChurnSeasonTable,4,FALSE))*POWER(1-(AnnualChurn*VLOOKUP(IH58,ChurnSeasonTable,4,FALSE)),0)+IX34*(AnnualChurn*VLOOKUP(IH58,ChurnSeasonTable,4,FALSE))*POWER(1-(AnnualChurn*VLOOKUP(IH58,ChurnSeasonTable,4,FALSE)),1)+IX22*(AnnualChurn*VLOOKUP(IH58,ChurnSeasonTable,4,FALSE))*POWER(1-(AnnualChurn*VLOOKUP(IH58,ChurnSeasonTable,4,FALSE)),2)+IX10*(AnnualChurn*VLOOKUP(IH58,ChurnSeasonTable,4,FALSE))*POWER(1-(AnnualChurn*VLOOKUP(IH58,ChurnSeasonTable,4,FALSE)),3)</f>
        <v/>
      </c>
      <c r="JE58" s="12">
        <f>IY58+IZ58+JA58+JB58+JC58+JD58</f>
        <v/>
      </c>
      <c r="JF58" s="9">
        <f>IY58*BlendedPriceEssMonthly*IK58+IZ58*BlendedPricePremMonthly*IK58+JA58*BlendedPriceEliteMonthly*IK58+JB58*BlendedPriceEssAnnual*IK58/12+JC58*BlendedPricePremAnnual*IK58/12+JD58*BlendedPriceEliteAnnual*IK58/12</f>
        <v/>
      </c>
      <c r="JG58" s="9">
        <f>JF58*12</f>
        <v/>
      </c>
      <c r="JH58" s="12">
        <f>IY58*BlendedPriceEssMonthly*IK58+IZ58*BlendedPricePremMonthly*IK58+JA58*BlendedPriceEliteMonthly*IK58</f>
        <v/>
      </c>
      <c r="JI58" s="12">
        <f>IV58*BlendedPriceEssAnnual*IK58+IW58*BlendedPricePremAnnual*IK58+IX58*BlendedPriceEliteAnnual*IK58</f>
        <v/>
      </c>
      <c r="JJ58" s="12">
        <f>IV46*POWER(1-(AnnualChurn*VLOOKUP(IH58,ChurnSeasonTable,4,FALSE)),1)*BlendedPriceEssAnnual*IK58+IV34*POWER(1-(AnnualChurn*VLOOKUP(IH58,ChurnSeasonTable,4,FALSE)),2)*BlendedPriceEssAnnual*IK58+IV22*POWER(1-(AnnualChurn*VLOOKUP(IH58,ChurnSeasonTable,4,FALSE)),3)*BlendedPriceEssAnnual*IK58+IV10*POWER(1-(AnnualChurn*VLOOKUP(IH58,ChurnSeasonTable,4,FALSE)),4)*BlendedPriceEssAnnual*IK58+IW46*POWER(1-(AnnualChurn*VLOOKUP(IH58,ChurnSeasonTable,4,FALSE)),1)*BlendedPricePremAnnual*IK58+IW34*POWER(1-(AnnualChurn*VLOOKUP(IH58,ChurnSeasonTable,4,FALSE)),2)*BlendedPricePremAnnual*IK58+IW22*POWER(1-(AnnualChurn*VLOOKUP(IH58,ChurnSeasonTable,4,FALSE)),3)*BlendedPricePremAnnual*IK58+IW10*POWER(1-(AnnualChurn*VLOOKUP(IH58,ChurnSeasonTable,4,FALSE)),4)*BlendedPricePremAnnual*IK58+IX46*POWER(1-(AnnualChurn*VLOOKUP(IH58,ChurnSeasonTable,4,FALSE)),1)*BlendedPriceEliteAnnual*IK58+IX34*POWER(1-(AnnualChurn*VLOOKUP(IH58,ChurnSeasonTable,4,FALSE)),2)*BlendedPriceEliteAnnual*IK58+IX22*POWER(1-(AnnualChurn*VLOOKUP(IH58,ChurnSeasonTable,4,FALSE)),3)*BlendedPriceEliteAnnual*IK58+IX10*POWER(1-(AnnualChurn*VLOOKUP(IH58,ChurnSeasonTable,4,FALSE)),4)*BlendedPriceEliteAnnual*IK58</f>
        <v/>
      </c>
      <c r="JK58" s="9">
        <f>JH58+JI58+JJ58</f>
        <v/>
      </c>
      <c r="JL58" s="12">
        <f>SUM(JK47:JK58)</f>
        <v/>
      </c>
      <c r="JM58" s="12">
        <f>OR(JM57,IF(VATAgentMode,SUM($JK47:$JK58)-SUM($JR47:$JR58)&gt;=VATThreshold,SUM($JK47:$JK58)&gt;=VATThreshold))</f>
        <v/>
      </c>
      <c r="JN58" s="9">
        <f>IF(JM58,IF(VATAgentMode,JK58-((JK58-JR58)-(JK58-JR58)/(1+VATRate)),JK58/(1+VATRate)),JK58)</f>
        <v/>
      </c>
      <c r="JO58" s="12">
        <f>JK58-JN58</f>
        <v/>
      </c>
      <c r="JP58" s="12">
        <f>IF(JM58=0,0,IF(IH58=1,SUMPRODUCT(--(($II$5:$II58=$II58-1)*($IH$5:$IH58&gt;=10)*($IH$5:$IH58&lt;=12)),$JO$5:$JO58),IF(IH58=4,SUMPRODUCT(--(($II$5:$II58=$II58)*($IH$5:$IH58&gt;=1)*($IH$5:$IH58&lt;=3)),$JO$5:$JO58),IF(IH58=7,SUMPRODUCT(--(($II$5:$II58=$II58)*($IH$5:$IH58&gt;=4)*($IH$5:$IH58&lt;=6)),$JO$5:$JO58),IF(IH58=10,SUMPRODUCT(--(($II$5:$II58=$II58)*($IH$5:$IH58&gt;=7)*($IH$5:$IH58&lt;=9)),$JO$5:$JO58),0)))))</f>
        <v/>
      </c>
      <c r="JQ58" s="12">
        <f>JQ57+JO58-JP58</f>
        <v/>
      </c>
      <c r="JR58" s="12">
        <f>IF(ProviderDelay&gt;=1,IY57*BlendedProvPayEss+IZ57*BlendedProvPayPrem+JA57*BlendedProvPayElite+JB57*BlendedProvPayEss+JC57*BlendedProvPayPrem+JD57*BlendedProvPayElite,IY58*BlendedProvPayEss+IZ58*BlendedProvPayPrem+JA58*BlendedProvPayElite+JB58*BlendedProvPayEss+JC58*BlendedProvPayPrem+JD58*BlendedProvPayElite)</f>
        <v/>
      </c>
      <c r="JS58" s="12">
        <f>JK58*PaymentFee</f>
        <v/>
      </c>
      <c r="JT58" s="12">
        <f>JE58*OpsAI</f>
        <v/>
      </c>
      <c r="JU58" s="12">
        <f>MonthlyFixed</f>
        <v/>
      </c>
      <c r="JV58" s="12">
        <f>IO58*ReferralReward</f>
        <v/>
      </c>
      <c r="JW58" s="12">
        <f>IM58</f>
        <v/>
      </c>
      <c r="JX58" s="9">
        <f>JN58-JR58-JS58-JT58-JU58-JV58-JW58</f>
        <v/>
      </c>
      <c r="JY58" s="9">
        <f>JY57+JK58-(JR58+JS58+JT58+JU58+JV58+JW58+JP58)</f>
        <v/>
      </c>
      <c r="JZ58" s="12">
        <f>IF(JE58&gt;0,JF58/JE58,0)</f>
        <v/>
      </c>
      <c r="KA58" s="11">
        <f>IF(JE57&gt;0,MAX(0,(JE57+IP58-JE58)/JE57),0)</f>
        <v/>
      </c>
      <c r="KC58" s="12" t="n">
        <v>54</v>
      </c>
      <c r="KD58" s="12">
        <f>MOD(KC58-1+LaunchMonth-1,12)+1</f>
        <v/>
      </c>
      <c r="KE58" s="12">
        <f>INT((KC58-1+LaunchMonth-1)/12)+1</f>
        <v/>
      </c>
      <c r="KF58" s="12">
        <f>VLOOKUP(KD58,SeasonTable,2,FALSE)</f>
        <v/>
      </c>
      <c r="KG58" s="12">
        <f>(1+InflationRate)^INT((KC58-1)/12)</f>
        <v/>
      </c>
      <c r="KH58" s="11">
        <f>'Sens - Churn'!$A$16*VLOOKUP(KD58,ChurnSeasonTable,4,FALSE)</f>
        <v/>
      </c>
      <c r="KI58" s="12">
        <f>MIN(MAX(MktMin19plus,LG57*MktPct19plus),MAX(0,LU57-CashBuffer))</f>
        <v/>
      </c>
      <c r="KJ58" s="12">
        <f>IF(KI58&gt;0,MAX(1,ROUND(KI58/CAC*KF58,0)),0)</f>
        <v/>
      </c>
      <c r="KK58" s="12">
        <f>IF(KJ58&gt;0,ROUND(KJ58*ReferralMix/(1-ReferralMix),0),0)</f>
        <v/>
      </c>
      <c r="KL58" s="12">
        <f>KJ58+KK58</f>
        <v/>
      </c>
      <c r="KM58" s="12">
        <f>ROUND(KL58*(1-AnnualMix),0)</f>
        <v/>
      </c>
      <c r="KN58" s="12">
        <f>KL58-KM58</f>
        <v/>
      </c>
      <c r="KO58" s="12">
        <f>ROUND(KM58*EssentialMix,0)</f>
        <v/>
      </c>
      <c r="KP58" s="12">
        <f>ROUND(KM58*PremiumMix,0)</f>
        <v/>
      </c>
      <c r="KQ58" s="12">
        <f>KM58-KO58-KP58</f>
        <v/>
      </c>
      <c r="KR58" s="12">
        <f>ROUND(KN58*EssentialMix,0)</f>
        <v/>
      </c>
      <c r="KS58" s="12">
        <f>ROUND(KN58*PremiumMix,0)</f>
        <v/>
      </c>
      <c r="KT58" s="12">
        <f>KN58-KR58-KS58</f>
        <v/>
      </c>
      <c r="KU58" s="12">
        <f>KO58+KO57+KO56+MAX(0,KU57-KO57-KO56)*(1-KH58)</f>
        <v/>
      </c>
      <c r="KV58" s="12">
        <f>KP58+KP57+KP56+MAX(0,KV57-KP57-KP56)*(1-KH58)</f>
        <v/>
      </c>
      <c r="KW58" s="12">
        <f>KQ58+KQ57+KQ56+MAX(0,KW57-KQ57-KQ56)*(1-KH58)</f>
        <v/>
      </c>
      <c r="KX58" s="12">
        <f>KX57+KR58-KR46*(AnnualChurn*VLOOKUP(KD58,ChurnSeasonTable,4,FALSE))*POWER(1-(AnnualChurn*VLOOKUP(KD58,ChurnSeasonTable,4,FALSE)),0)+KR34*(AnnualChurn*VLOOKUP(KD58,ChurnSeasonTable,4,FALSE))*POWER(1-(AnnualChurn*VLOOKUP(KD58,ChurnSeasonTable,4,FALSE)),1)+KR22*(AnnualChurn*VLOOKUP(KD58,ChurnSeasonTable,4,FALSE))*POWER(1-(AnnualChurn*VLOOKUP(KD58,ChurnSeasonTable,4,FALSE)),2)+KR10*(AnnualChurn*VLOOKUP(KD58,ChurnSeasonTable,4,FALSE))*POWER(1-(AnnualChurn*VLOOKUP(KD58,ChurnSeasonTable,4,FALSE)),3)</f>
        <v/>
      </c>
      <c r="KY58" s="12">
        <f>KY57+KS58-KS46*(AnnualChurn*VLOOKUP(KD58,ChurnSeasonTable,4,FALSE))*POWER(1-(AnnualChurn*VLOOKUP(KD58,ChurnSeasonTable,4,FALSE)),0)+KS34*(AnnualChurn*VLOOKUP(KD58,ChurnSeasonTable,4,FALSE))*POWER(1-(AnnualChurn*VLOOKUP(KD58,ChurnSeasonTable,4,FALSE)),1)+KS22*(AnnualChurn*VLOOKUP(KD58,ChurnSeasonTable,4,FALSE))*POWER(1-(AnnualChurn*VLOOKUP(KD58,ChurnSeasonTable,4,FALSE)),2)+KS10*(AnnualChurn*VLOOKUP(KD58,ChurnSeasonTable,4,FALSE))*POWER(1-(AnnualChurn*VLOOKUP(KD58,ChurnSeasonTable,4,FALSE)),3)</f>
        <v/>
      </c>
      <c r="KZ58" s="12">
        <f>KZ57+KT58-KT46*(AnnualChurn*VLOOKUP(KD58,ChurnSeasonTable,4,FALSE))*POWER(1-(AnnualChurn*VLOOKUP(KD58,ChurnSeasonTable,4,FALSE)),0)+KT34*(AnnualChurn*VLOOKUP(KD58,ChurnSeasonTable,4,FALSE))*POWER(1-(AnnualChurn*VLOOKUP(KD58,ChurnSeasonTable,4,FALSE)),1)+KT22*(AnnualChurn*VLOOKUP(KD58,ChurnSeasonTable,4,FALSE))*POWER(1-(AnnualChurn*VLOOKUP(KD58,ChurnSeasonTable,4,FALSE)),2)+KT10*(AnnualChurn*VLOOKUP(KD58,ChurnSeasonTable,4,FALSE))*POWER(1-(AnnualChurn*VLOOKUP(KD58,ChurnSeasonTable,4,FALSE)),3)</f>
        <v/>
      </c>
      <c r="LA58" s="12">
        <f>KU58+KV58+KW58+KX58+KY58+KZ58</f>
        <v/>
      </c>
      <c r="LB58" s="9">
        <f>KU58*BlendedPriceEssMonthly*KG58+KV58*BlendedPricePremMonthly*KG58+KW58*BlendedPriceEliteMonthly*KG58+KX58*BlendedPriceEssAnnual*KG58/12+KY58*BlendedPricePremAnnual*KG58/12+KZ58*BlendedPriceEliteAnnual*KG58/12</f>
        <v/>
      </c>
      <c r="LC58" s="9">
        <f>LB58*12</f>
        <v/>
      </c>
      <c r="LD58" s="12">
        <f>KU58*BlendedPriceEssMonthly*KG58+KV58*BlendedPricePremMonthly*KG58+KW58*BlendedPriceEliteMonthly*KG58</f>
        <v/>
      </c>
      <c r="LE58" s="12">
        <f>KR58*BlendedPriceEssAnnual*KG58+KS58*BlendedPricePremAnnual*KG58+KT58*BlendedPriceEliteAnnual*KG58</f>
        <v/>
      </c>
      <c r="LF58" s="12">
        <f>KR46*POWER(1-(AnnualChurn*VLOOKUP(KD58,ChurnSeasonTable,4,FALSE)),1)*BlendedPriceEssAnnual*KG58+KR34*POWER(1-(AnnualChurn*VLOOKUP(KD58,ChurnSeasonTable,4,FALSE)),2)*BlendedPriceEssAnnual*KG58+KR22*POWER(1-(AnnualChurn*VLOOKUP(KD58,ChurnSeasonTable,4,FALSE)),3)*BlendedPriceEssAnnual*KG58+KR10*POWER(1-(AnnualChurn*VLOOKUP(KD58,ChurnSeasonTable,4,FALSE)),4)*BlendedPriceEssAnnual*KG58+KS46*POWER(1-(AnnualChurn*VLOOKUP(KD58,ChurnSeasonTable,4,FALSE)),1)*BlendedPricePremAnnual*KG58+KS34*POWER(1-(AnnualChurn*VLOOKUP(KD58,ChurnSeasonTable,4,FALSE)),2)*BlendedPricePremAnnual*KG58+KS22*POWER(1-(AnnualChurn*VLOOKUP(KD58,ChurnSeasonTable,4,FALSE)),3)*BlendedPricePremAnnual*KG58+KS10*POWER(1-(AnnualChurn*VLOOKUP(KD58,ChurnSeasonTable,4,FALSE)),4)*BlendedPricePremAnnual*KG58+KT46*POWER(1-(AnnualChurn*VLOOKUP(KD58,ChurnSeasonTable,4,FALSE)),1)*BlendedPriceEliteAnnual*KG58+KT34*POWER(1-(AnnualChurn*VLOOKUP(KD58,ChurnSeasonTable,4,FALSE)),2)*BlendedPriceEliteAnnual*KG58+KT22*POWER(1-(AnnualChurn*VLOOKUP(KD58,ChurnSeasonTable,4,FALSE)),3)*BlendedPriceEliteAnnual*KG58+KT10*POWER(1-(AnnualChurn*VLOOKUP(KD58,ChurnSeasonTable,4,FALSE)),4)*BlendedPriceEliteAnnual*KG58</f>
        <v/>
      </c>
      <c r="LG58" s="9">
        <f>LD58+LE58+LF58</f>
        <v/>
      </c>
      <c r="LH58" s="12">
        <f>SUM(LG47:LG58)</f>
        <v/>
      </c>
      <c r="LI58" s="12">
        <f>OR(LI57,IF(VATAgentMode,SUM($LG47:$LG58)-SUM($LN47:$LN58)&gt;=VATThreshold,SUM($LG47:$LG58)&gt;=VATThreshold))</f>
        <v/>
      </c>
      <c r="LJ58" s="9">
        <f>IF(LI58,IF(VATAgentMode,LG58-((LG58-LN58)-(LG58-LN58)/(1+VATRate)),LG58/(1+VATRate)),LG58)</f>
        <v/>
      </c>
      <c r="LK58" s="12">
        <f>LG58-LJ58</f>
        <v/>
      </c>
      <c r="LL58" s="12">
        <f>IF(LI58=0,0,IF(KD58=1,SUMPRODUCT(--(($KE$5:$KE58=$KE58-1)*($KD$5:$KD58&gt;=10)*($KD$5:$KD58&lt;=12)),$LK$5:$LK58),IF(KD58=4,SUMPRODUCT(--(($KE$5:$KE58=$KE58)*($KD$5:$KD58&gt;=1)*($KD$5:$KD58&lt;=3)),$LK$5:$LK58),IF(KD58=7,SUMPRODUCT(--(($KE$5:$KE58=$KE58)*($KD$5:$KD58&gt;=4)*($KD$5:$KD58&lt;=6)),$LK$5:$LK58),IF(KD58=10,SUMPRODUCT(--(($KE$5:$KE58=$KE58)*($KD$5:$KD58&gt;=7)*($KD$5:$KD58&lt;=9)),$LK$5:$LK58),0)))))</f>
        <v/>
      </c>
      <c r="LM58" s="12">
        <f>LM57+LK58-LL58</f>
        <v/>
      </c>
      <c r="LN58" s="12">
        <f>IF(ProviderDelay&gt;=1,KU57*BlendedProvPayEss+KV57*BlendedProvPayPrem+KW57*BlendedProvPayElite+KX57*BlendedProvPayEss+KY57*BlendedProvPayPrem+KZ57*BlendedProvPayElite,KU58*BlendedProvPayEss+KV58*BlendedProvPayPrem+KW58*BlendedProvPayElite+KX58*BlendedProvPayEss+KY58*BlendedProvPayPrem+KZ58*BlendedProvPayElite)</f>
        <v/>
      </c>
      <c r="LO58" s="12">
        <f>LG58*PaymentFee</f>
        <v/>
      </c>
      <c r="LP58" s="12">
        <f>LA58*OpsAI</f>
        <v/>
      </c>
      <c r="LQ58" s="12">
        <f>MonthlyFixed</f>
        <v/>
      </c>
      <c r="LR58" s="12">
        <f>KK58*ReferralReward</f>
        <v/>
      </c>
      <c r="LS58" s="12">
        <f>KI58</f>
        <v/>
      </c>
      <c r="LT58" s="9">
        <f>LJ58-LN58-LO58-LP58-LQ58-LR58-LS58</f>
        <v/>
      </c>
      <c r="LU58" s="9">
        <f>LU57+LG58-(LN58+LO58+LP58+LQ58+LR58+LS58+LL58)</f>
        <v/>
      </c>
      <c r="LV58" s="12">
        <f>IF(LA58&gt;0,LB58/LA58,0)</f>
        <v/>
      </c>
      <c r="LW58" s="11">
        <f>IF(LA57&gt;0,MAX(0,(LA57+KL58-LA58)/LA57),0)</f>
        <v/>
      </c>
      <c r="LY58" s="12" t="n">
        <v>54</v>
      </c>
      <c r="LZ58" s="12">
        <f>MOD(LY58-1+LaunchMonth-1,12)+1</f>
        <v/>
      </c>
      <c r="MA58" s="12">
        <f>INT((LY58-1+LaunchMonth-1)/12)+1</f>
        <v/>
      </c>
      <c r="MB58" s="12">
        <f>VLOOKUP(LZ58,SeasonTable,2,FALSE)</f>
        <v/>
      </c>
      <c r="MC58" s="12">
        <f>(1+InflationRate)^INT((LY58-1)/12)</f>
        <v/>
      </c>
      <c r="MD58" s="11">
        <f>'Sens - Churn'!$A$17*VLOOKUP(LZ58,ChurnSeasonTable,4,FALSE)</f>
        <v/>
      </c>
      <c r="ME58" s="12">
        <f>MIN(MAX(MktMin19plus,NC57*MktPct19plus),MAX(0,NQ57-CashBuffer))</f>
        <v/>
      </c>
      <c r="MF58" s="12">
        <f>IF(ME58&gt;0,MAX(1,ROUND(ME58/CAC*MB58,0)),0)</f>
        <v/>
      </c>
      <c r="MG58" s="12">
        <f>IF(MF58&gt;0,ROUND(MF58*ReferralMix/(1-ReferralMix),0),0)</f>
        <v/>
      </c>
      <c r="MH58" s="12">
        <f>MF58+MG58</f>
        <v/>
      </c>
      <c r="MI58" s="12">
        <f>ROUND(MH58*(1-AnnualMix),0)</f>
        <v/>
      </c>
      <c r="MJ58" s="12">
        <f>MH58-MI58</f>
        <v/>
      </c>
      <c r="MK58" s="12">
        <f>ROUND(MI58*EssentialMix,0)</f>
        <v/>
      </c>
      <c r="ML58" s="12">
        <f>ROUND(MI58*PremiumMix,0)</f>
        <v/>
      </c>
      <c r="MM58" s="12">
        <f>MI58-MK58-ML58</f>
        <v/>
      </c>
      <c r="MN58" s="12">
        <f>ROUND(MJ58*EssentialMix,0)</f>
        <v/>
      </c>
      <c r="MO58" s="12">
        <f>ROUND(MJ58*PremiumMix,0)</f>
        <v/>
      </c>
      <c r="MP58" s="12">
        <f>MJ58-MN58-MO58</f>
        <v/>
      </c>
      <c r="MQ58" s="12">
        <f>MK58+MK57+MK56+MAX(0,MQ57-MK57-MK56)*(1-MD58)</f>
        <v/>
      </c>
      <c r="MR58" s="12">
        <f>ML58+ML57+ML56+MAX(0,MR57-ML57-ML56)*(1-MD58)</f>
        <v/>
      </c>
      <c r="MS58" s="12">
        <f>MM58+MM57+MM56+MAX(0,MS57-MM57-MM56)*(1-MD58)</f>
        <v/>
      </c>
      <c r="MT58" s="12">
        <f>MT57+MN58-MN46*(AnnualChurn*VLOOKUP(LZ58,ChurnSeasonTable,4,FALSE))*POWER(1-(AnnualChurn*VLOOKUP(LZ58,ChurnSeasonTable,4,FALSE)),0)+MN34*(AnnualChurn*VLOOKUP(LZ58,ChurnSeasonTable,4,FALSE))*POWER(1-(AnnualChurn*VLOOKUP(LZ58,ChurnSeasonTable,4,FALSE)),1)+MN22*(AnnualChurn*VLOOKUP(LZ58,ChurnSeasonTable,4,FALSE))*POWER(1-(AnnualChurn*VLOOKUP(LZ58,ChurnSeasonTable,4,FALSE)),2)+MN10*(AnnualChurn*VLOOKUP(LZ58,ChurnSeasonTable,4,FALSE))*POWER(1-(AnnualChurn*VLOOKUP(LZ58,ChurnSeasonTable,4,FALSE)),3)</f>
        <v/>
      </c>
      <c r="MU58" s="12">
        <f>MU57+MO58-MO46*(AnnualChurn*VLOOKUP(LZ58,ChurnSeasonTable,4,FALSE))*POWER(1-(AnnualChurn*VLOOKUP(LZ58,ChurnSeasonTable,4,FALSE)),0)+MO34*(AnnualChurn*VLOOKUP(LZ58,ChurnSeasonTable,4,FALSE))*POWER(1-(AnnualChurn*VLOOKUP(LZ58,ChurnSeasonTable,4,FALSE)),1)+MO22*(AnnualChurn*VLOOKUP(LZ58,ChurnSeasonTable,4,FALSE))*POWER(1-(AnnualChurn*VLOOKUP(LZ58,ChurnSeasonTable,4,FALSE)),2)+MO10*(AnnualChurn*VLOOKUP(LZ58,ChurnSeasonTable,4,FALSE))*POWER(1-(AnnualChurn*VLOOKUP(LZ58,ChurnSeasonTable,4,FALSE)),3)</f>
        <v/>
      </c>
      <c r="MV58" s="12">
        <f>MV57+MP58-MP46*(AnnualChurn*VLOOKUP(LZ58,ChurnSeasonTable,4,FALSE))*POWER(1-(AnnualChurn*VLOOKUP(LZ58,ChurnSeasonTable,4,FALSE)),0)+MP34*(AnnualChurn*VLOOKUP(LZ58,ChurnSeasonTable,4,FALSE))*POWER(1-(AnnualChurn*VLOOKUP(LZ58,ChurnSeasonTable,4,FALSE)),1)+MP22*(AnnualChurn*VLOOKUP(LZ58,ChurnSeasonTable,4,FALSE))*POWER(1-(AnnualChurn*VLOOKUP(LZ58,ChurnSeasonTable,4,FALSE)),2)+MP10*(AnnualChurn*VLOOKUP(LZ58,ChurnSeasonTable,4,FALSE))*POWER(1-(AnnualChurn*VLOOKUP(LZ58,ChurnSeasonTable,4,FALSE)),3)</f>
        <v/>
      </c>
      <c r="MW58" s="12">
        <f>MQ58+MR58+MS58+MT58+MU58+MV58</f>
        <v/>
      </c>
      <c r="MX58" s="9">
        <f>MQ58*BlendedPriceEssMonthly*MC58+MR58*BlendedPricePremMonthly*MC58+MS58*BlendedPriceEliteMonthly*MC58+MT58*BlendedPriceEssAnnual*MC58/12+MU58*BlendedPricePremAnnual*MC58/12+MV58*BlendedPriceEliteAnnual*MC58/12</f>
        <v/>
      </c>
      <c r="MY58" s="9">
        <f>MX58*12</f>
        <v/>
      </c>
      <c r="MZ58" s="12">
        <f>MQ58*BlendedPriceEssMonthly*MC58+MR58*BlendedPricePremMonthly*MC58+MS58*BlendedPriceEliteMonthly*MC58</f>
        <v/>
      </c>
      <c r="NA58" s="12">
        <f>MN58*BlendedPriceEssAnnual*MC58+MO58*BlendedPricePremAnnual*MC58+MP58*BlendedPriceEliteAnnual*MC58</f>
        <v/>
      </c>
      <c r="NB58" s="12">
        <f>MN46*POWER(1-(AnnualChurn*VLOOKUP(LZ58,ChurnSeasonTable,4,FALSE)),1)*BlendedPriceEssAnnual*MC58+MN34*POWER(1-(AnnualChurn*VLOOKUP(LZ58,ChurnSeasonTable,4,FALSE)),2)*BlendedPriceEssAnnual*MC58+MN22*POWER(1-(AnnualChurn*VLOOKUP(LZ58,ChurnSeasonTable,4,FALSE)),3)*BlendedPriceEssAnnual*MC58+MN10*POWER(1-(AnnualChurn*VLOOKUP(LZ58,ChurnSeasonTable,4,FALSE)),4)*BlendedPriceEssAnnual*MC58+MO46*POWER(1-(AnnualChurn*VLOOKUP(LZ58,ChurnSeasonTable,4,FALSE)),1)*BlendedPricePremAnnual*MC58+MO34*POWER(1-(AnnualChurn*VLOOKUP(LZ58,ChurnSeasonTable,4,FALSE)),2)*BlendedPricePremAnnual*MC58+MO22*POWER(1-(AnnualChurn*VLOOKUP(LZ58,ChurnSeasonTable,4,FALSE)),3)*BlendedPricePremAnnual*MC58+MO10*POWER(1-(AnnualChurn*VLOOKUP(LZ58,ChurnSeasonTable,4,FALSE)),4)*BlendedPricePremAnnual*MC58+MP46*POWER(1-(AnnualChurn*VLOOKUP(LZ58,ChurnSeasonTable,4,FALSE)),1)*BlendedPriceEliteAnnual*MC58+MP34*POWER(1-(AnnualChurn*VLOOKUP(LZ58,ChurnSeasonTable,4,FALSE)),2)*BlendedPriceEliteAnnual*MC58+MP22*POWER(1-(AnnualChurn*VLOOKUP(LZ58,ChurnSeasonTable,4,FALSE)),3)*BlendedPriceEliteAnnual*MC58+MP10*POWER(1-(AnnualChurn*VLOOKUP(LZ58,ChurnSeasonTable,4,FALSE)),4)*BlendedPriceEliteAnnual*MC58</f>
        <v/>
      </c>
      <c r="NC58" s="9">
        <f>MZ58+NA58+NB58</f>
        <v/>
      </c>
      <c r="ND58" s="12">
        <f>SUM(NC47:NC58)</f>
        <v/>
      </c>
      <c r="NE58" s="12">
        <f>OR(NE57,IF(VATAgentMode,SUM($NC47:$NC58)-SUM($NJ47:$NJ58)&gt;=VATThreshold,SUM($NC47:$NC58)&gt;=VATThreshold))</f>
        <v/>
      </c>
      <c r="NF58" s="9">
        <f>IF(NE58,IF(VATAgentMode,NC58-((NC58-NJ58)-(NC58-NJ58)/(1+VATRate)),NC58/(1+VATRate)),NC58)</f>
        <v/>
      </c>
      <c r="NG58" s="12">
        <f>NC58-NF58</f>
        <v/>
      </c>
      <c r="NH58" s="12">
        <f>IF(NE58=0,0,IF(LZ58=1,SUMPRODUCT(--(($MA$5:$MA58=$MA58-1)*($LZ$5:$LZ58&gt;=10)*($LZ$5:$LZ58&lt;=12)),$NG$5:$NG58),IF(LZ58=4,SUMPRODUCT(--(($MA$5:$MA58=$MA58)*($LZ$5:$LZ58&gt;=1)*($LZ$5:$LZ58&lt;=3)),$NG$5:$NG58),IF(LZ58=7,SUMPRODUCT(--(($MA$5:$MA58=$MA58)*($LZ$5:$LZ58&gt;=4)*($LZ$5:$LZ58&lt;=6)),$NG$5:$NG58),IF(LZ58=10,SUMPRODUCT(--(($MA$5:$MA58=$MA58)*($LZ$5:$LZ58&gt;=7)*($LZ$5:$LZ58&lt;=9)),$NG$5:$NG58),0)))))</f>
        <v/>
      </c>
      <c r="NI58" s="12">
        <f>NI57+NG58-NH58</f>
        <v/>
      </c>
      <c r="NJ58" s="12">
        <f>IF(ProviderDelay&gt;=1,MQ57*BlendedProvPayEss+MR57*BlendedProvPayPrem+MS57*BlendedProvPayElite+MT57*BlendedProvPayEss+MU57*BlendedProvPayPrem+MV57*BlendedProvPayElite,MQ58*BlendedProvPayEss+MR58*BlendedProvPayPrem+MS58*BlendedProvPayElite+MT58*BlendedProvPayEss+MU58*BlendedProvPayPrem+MV58*BlendedProvPayElite)</f>
        <v/>
      </c>
      <c r="NK58" s="12">
        <f>NC58*PaymentFee</f>
        <v/>
      </c>
      <c r="NL58" s="12">
        <f>MW58*OpsAI</f>
        <v/>
      </c>
      <c r="NM58" s="12">
        <f>MonthlyFixed</f>
        <v/>
      </c>
      <c r="NN58" s="12">
        <f>MG58*ReferralReward</f>
        <v/>
      </c>
      <c r="NO58" s="12">
        <f>ME58</f>
        <v/>
      </c>
      <c r="NP58" s="9">
        <f>NF58-NJ58-NK58-NL58-NM58-NN58-NO58</f>
        <v/>
      </c>
      <c r="NQ58" s="9">
        <f>NQ57+NC58-(NJ58+NK58+NL58+NM58+NN58+NO58+NH58)</f>
        <v/>
      </c>
      <c r="NR58" s="12">
        <f>IF(MW58&gt;0,MX58/MW58,0)</f>
        <v/>
      </c>
      <c r="NS58" s="11">
        <f>IF(MW57&gt;0,MAX(0,(MW57+MH58-MW58)/MW57),0)</f>
        <v/>
      </c>
      <c r="NU58" s="12" t="n">
        <v>54</v>
      </c>
      <c r="NV58" s="12">
        <f>MOD(NU58-1+LaunchMonth-1,12)+1</f>
        <v/>
      </c>
      <c r="NW58" s="12">
        <f>INT((NU58-1+LaunchMonth-1)/12)+1</f>
        <v/>
      </c>
      <c r="NX58" s="12">
        <f>VLOOKUP(NV58,SeasonTable,2,FALSE)</f>
        <v/>
      </c>
      <c r="NY58" s="12">
        <f>(1+InflationRate)^INT((NU58-1)/12)</f>
        <v/>
      </c>
      <c r="NZ58" s="11">
        <f>'Sens - Churn'!$A$18*VLOOKUP(NV58,ChurnSeasonTable,4,FALSE)</f>
        <v/>
      </c>
      <c r="OA58" s="12">
        <f>MIN(MAX(MktMin19plus,OY57*MktPct19plus),MAX(0,PM57-CashBuffer))</f>
        <v/>
      </c>
      <c r="OB58" s="12">
        <f>IF(OA58&gt;0,MAX(1,ROUND(OA58/CAC*NX58,0)),0)</f>
        <v/>
      </c>
      <c r="OC58" s="12">
        <f>IF(OB58&gt;0,ROUND(OB58*ReferralMix/(1-ReferralMix),0),0)</f>
        <v/>
      </c>
      <c r="OD58" s="12">
        <f>OB58+OC58</f>
        <v/>
      </c>
      <c r="OE58" s="12">
        <f>ROUND(OD58*(1-AnnualMix),0)</f>
        <v/>
      </c>
      <c r="OF58" s="12">
        <f>OD58-OE58</f>
        <v/>
      </c>
      <c r="OG58" s="12">
        <f>ROUND(OE58*EssentialMix,0)</f>
        <v/>
      </c>
      <c r="OH58" s="12">
        <f>ROUND(OE58*PremiumMix,0)</f>
        <v/>
      </c>
      <c r="OI58" s="12">
        <f>OE58-OG58-OH58</f>
        <v/>
      </c>
      <c r="OJ58" s="12">
        <f>ROUND(OF58*EssentialMix,0)</f>
        <v/>
      </c>
      <c r="OK58" s="12">
        <f>ROUND(OF58*PremiumMix,0)</f>
        <v/>
      </c>
      <c r="OL58" s="12">
        <f>OF58-OJ58-OK58</f>
        <v/>
      </c>
      <c r="OM58" s="12">
        <f>OG58+OG57+OG56+MAX(0,OM57-OG57-OG56)*(1-NZ58)</f>
        <v/>
      </c>
      <c r="ON58" s="12">
        <f>OH58+OH57+OH56+MAX(0,ON57-OH57-OH56)*(1-NZ58)</f>
        <v/>
      </c>
      <c r="OO58" s="12">
        <f>OI58+OI57+OI56+MAX(0,OO57-OI57-OI56)*(1-NZ58)</f>
        <v/>
      </c>
      <c r="OP58" s="12">
        <f>OP57+OJ58-OJ46*(AnnualChurn*VLOOKUP(NV58,ChurnSeasonTable,4,FALSE))*POWER(1-(AnnualChurn*VLOOKUP(NV58,ChurnSeasonTable,4,FALSE)),0)+OJ34*(AnnualChurn*VLOOKUP(NV58,ChurnSeasonTable,4,FALSE))*POWER(1-(AnnualChurn*VLOOKUP(NV58,ChurnSeasonTable,4,FALSE)),1)+OJ22*(AnnualChurn*VLOOKUP(NV58,ChurnSeasonTable,4,FALSE))*POWER(1-(AnnualChurn*VLOOKUP(NV58,ChurnSeasonTable,4,FALSE)),2)+OJ10*(AnnualChurn*VLOOKUP(NV58,ChurnSeasonTable,4,FALSE))*POWER(1-(AnnualChurn*VLOOKUP(NV58,ChurnSeasonTable,4,FALSE)),3)</f>
        <v/>
      </c>
      <c r="OQ58" s="12">
        <f>OQ57+OK58-OK46*(AnnualChurn*VLOOKUP(NV58,ChurnSeasonTable,4,FALSE))*POWER(1-(AnnualChurn*VLOOKUP(NV58,ChurnSeasonTable,4,FALSE)),0)+OK34*(AnnualChurn*VLOOKUP(NV58,ChurnSeasonTable,4,FALSE))*POWER(1-(AnnualChurn*VLOOKUP(NV58,ChurnSeasonTable,4,FALSE)),1)+OK22*(AnnualChurn*VLOOKUP(NV58,ChurnSeasonTable,4,FALSE))*POWER(1-(AnnualChurn*VLOOKUP(NV58,ChurnSeasonTable,4,FALSE)),2)+OK10*(AnnualChurn*VLOOKUP(NV58,ChurnSeasonTable,4,FALSE))*POWER(1-(AnnualChurn*VLOOKUP(NV58,ChurnSeasonTable,4,FALSE)),3)</f>
        <v/>
      </c>
      <c r="OR58" s="12">
        <f>OR57+OL58-OL46*(AnnualChurn*VLOOKUP(NV58,ChurnSeasonTable,4,FALSE))*POWER(1-(AnnualChurn*VLOOKUP(NV58,ChurnSeasonTable,4,FALSE)),0)+OL34*(AnnualChurn*VLOOKUP(NV58,ChurnSeasonTable,4,FALSE))*POWER(1-(AnnualChurn*VLOOKUP(NV58,ChurnSeasonTable,4,FALSE)),1)+OL22*(AnnualChurn*VLOOKUP(NV58,ChurnSeasonTable,4,FALSE))*POWER(1-(AnnualChurn*VLOOKUP(NV58,ChurnSeasonTable,4,FALSE)),2)+OL10*(AnnualChurn*VLOOKUP(NV58,ChurnSeasonTable,4,FALSE))*POWER(1-(AnnualChurn*VLOOKUP(NV58,ChurnSeasonTable,4,FALSE)),3)</f>
        <v/>
      </c>
      <c r="OS58" s="12">
        <f>OM58+ON58+OO58+OP58+OQ58+OR58</f>
        <v/>
      </c>
      <c r="OT58" s="9">
        <f>OM58*BlendedPriceEssMonthly*NY58+ON58*BlendedPricePremMonthly*NY58+OO58*BlendedPriceEliteMonthly*NY58+OP58*BlendedPriceEssAnnual*NY58/12+OQ58*BlendedPricePremAnnual*NY58/12+OR58*BlendedPriceEliteAnnual*NY58/12</f>
        <v/>
      </c>
      <c r="OU58" s="9">
        <f>OT58*12</f>
        <v/>
      </c>
      <c r="OV58" s="12">
        <f>OM58*BlendedPriceEssMonthly*NY58+ON58*BlendedPricePremMonthly*NY58+OO58*BlendedPriceEliteMonthly*NY58</f>
        <v/>
      </c>
      <c r="OW58" s="12">
        <f>OJ58*BlendedPriceEssAnnual*NY58+OK58*BlendedPricePremAnnual*NY58+OL58*BlendedPriceEliteAnnual*NY58</f>
        <v/>
      </c>
      <c r="OX58" s="12">
        <f>OJ46*POWER(1-(AnnualChurn*VLOOKUP(NV58,ChurnSeasonTable,4,FALSE)),1)*BlendedPriceEssAnnual*NY58+OJ34*POWER(1-(AnnualChurn*VLOOKUP(NV58,ChurnSeasonTable,4,FALSE)),2)*BlendedPriceEssAnnual*NY58+OJ22*POWER(1-(AnnualChurn*VLOOKUP(NV58,ChurnSeasonTable,4,FALSE)),3)*BlendedPriceEssAnnual*NY58+OJ10*POWER(1-(AnnualChurn*VLOOKUP(NV58,ChurnSeasonTable,4,FALSE)),4)*BlendedPriceEssAnnual*NY58+OK46*POWER(1-(AnnualChurn*VLOOKUP(NV58,ChurnSeasonTable,4,FALSE)),1)*BlendedPricePremAnnual*NY58+OK34*POWER(1-(AnnualChurn*VLOOKUP(NV58,ChurnSeasonTable,4,FALSE)),2)*BlendedPricePremAnnual*NY58+OK22*POWER(1-(AnnualChurn*VLOOKUP(NV58,ChurnSeasonTable,4,FALSE)),3)*BlendedPricePremAnnual*NY58+OK10*POWER(1-(AnnualChurn*VLOOKUP(NV58,ChurnSeasonTable,4,FALSE)),4)*BlendedPricePremAnnual*NY58+OL46*POWER(1-(AnnualChurn*VLOOKUP(NV58,ChurnSeasonTable,4,FALSE)),1)*BlendedPriceEliteAnnual*NY58+OL34*POWER(1-(AnnualChurn*VLOOKUP(NV58,ChurnSeasonTable,4,FALSE)),2)*BlendedPriceEliteAnnual*NY58+OL22*POWER(1-(AnnualChurn*VLOOKUP(NV58,ChurnSeasonTable,4,FALSE)),3)*BlendedPriceEliteAnnual*NY58+OL10*POWER(1-(AnnualChurn*VLOOKUP(NV58,ChurnSeasonTable,4,FALSE)),4)*BlendedPriceEliteAnnual*NY58</f>
        <v/>
      </c>
      <c r="OY58" s="9">
        <f>OV58+OW58+OX58</f>
        <v/>
      </c>
      <c r="OZ58" s="12">
        <f>SUM(OY47:OY58)</f>
        <v/>
      </c>
      <c r="PA58" s="12">
        <f>OR(PA57,IF(VATAgentMode,SUM($OY47:$OY58)-SUM($PF47:$PF58)&gt;=VATThreshold,SUM($OY47:$OY58)&gt;=VATThreshold))</f>
        <v/>
      </c>
      <c r="PB58" s="9">
        <f>IF(PA58,IF(VATAgentMode,OY58-((OY58-PF58)-(OY58-PF58)/(1+VATRate)),OY58/(1+VATRate)),OY58)</f>
        <v/>
      </c>
      <c r="PC58" s="12">
        <f>OY58-PB58</f>
        <v/>
      </c>
      <c r="PD58" s="12">
        <f>IF(PA58=0,0,IF(NV58=1,SUMPRODUCT(--(($NW$5:$NW58=$NW58-1)*($NV$5:$NV58&gt;=10)*($NV$5:$NV58&lt;=12)),$PC$5:$PC58),IF(NV58=4,SUMPRODUCT(--(($NW$5:$NW58=$NW58)*($NV$5:$NV58&gt;=1)*($NV$5:$NV58&lt;=3)),$PC$5:$PC58),IF(NV58=7,SUMPRODUCT(--(($NW$5:$NW58=$NW58)*($NV$5:$NV58&gt;=4)*($NV$5:$NV58&lt;=6)),$PC$5:$PC58),IF(NV58=10,SUMPRODUCT(--(($NW$5:$NW58=$NW58)*($NV$5:$NV58&gt;=7)*($NV$5:$NV58&lt;=9)),$PC$5:$PC58),0)))))</f>
        <v/>
      </c>
      <c r="PE58" s="12">
        <f>PE57+PC58-PD58</f>
        <v/>
      </c>
      <c r="PF58" s="12">
        <f>IF(ProviderDelay&gt;=1,OM57*BlendedProvPayEss+ON57*BlendedProvPayPrem+OO57*BlendedProvPayElite+OP57*BlendedProvPayEss+OQ57*BlendedProvPayPrem+OR57*BlendedProvPayElite,OM58*BlendedProvPayEss+ON58*BlendedProvPayPrem+OO58*BlendedProvPayElite+OP58*BlendedProvPayEss+OQ58*BlendedProvPayPrem+OR58*BlendedProvPayElite)</f>
        <v/>
      </c>
      <c r="PG58" s="12">
        <f>OY58*PaymentFee</f>
        <v/>
      </c>
      <c r="PH58" s="12">
        <f>OS58*OpsAI</f>
        <v/>
      </c>
      <c r="PI58" s="12">
        <f>MonthlyFixed</f>
        <v/>
      </c>
      <c r="PJ58" s="12">
        <f>OC58*ReferralReward</f>
        <v/>
      </c>
      <c r="PK58" s="12">
        <f>OA58</f>
        <v/>
      </c>
      <c r="PL58" s="9">
        <f>PB58-PF58-PG58-PH58-PI58-PJ58-PK58</f>
        <v/>
      </c>
      <c r="PM58" s="9">
        <f>PM57+OY58-(PF58+PG58+PH58+PI58+PJ58+PK58+PD58)</f>
        <v/>
      </c>
      <c r="PN58" s="12">
        <f>IF(OS58&gt;0,OT58/OS58,0)</f>
        <v/>
      </c>
      <c r="PO58" s="11">
        <f>IF(OS57&gt;0,MAX(0,(OS57+OD58-OS58)/OS57),0)</f>
        <v/>
      </c>
      <c r="PQ58" s="12" t="n">
        <v>54</v>
      </c>
      <c r="PR58" s="12">
        <f>MOD(PQ58-1+LaunchMonth-1,12)+1</f>
        <v/>
      </c>
      <c r="PS58" s="12">
        <f>INT((PQ58-1+LaunchMonth-1)/12)+1</f>
        <v/>
      </c>
      <c r="PT58" s="12">
        <f>VLOOKUP(PR58,SeasonTable,2,FALSE)</f>
        <v/>
      </c>
      <c r="PU58" s="12">
        <f>(1+InflationRate)^INT((PQ58-1)/12)</f>
        <v/>
      </c>
      <c r="PV58" s="11">
        <f>'Sens - Churn'!$A$19*VLOOKUP(PR58,ChurnSeasonTable,4,FALSE)</f>
        <v/>
      </c>
      <c r="PW58" s="12">
        <f>MIN(MAX(MktMin19plus,QU57*MktPct19plus),MAX(0,RI57-CashBuffer))</f>
        <v/>
      </c>
      <c r="PX58" s="12">
        <f>IF(PW58&gt;0,MAX(1,ROUND(PW58/CAC*PT58,0)),0)</f>
        <v/>
      </c>
      <c r="PY58" s="12">
        <f>IF(PX58&gt;0,ROUND(PX58*ReferralMix/(1-ReferralMix),0),0)</f>
        <v/>
      </c>
      <c r="PZ58" s="12">
        <f>PX58+PY58</f>
        <v/>
      </c>
      <c r="QA58" s="12">
        <f>ROUND(PZ58*(1-AnnualMix),0)</f>
        <v/>
      </c>
      <c r="QB58" s="12">
        <f>PZ58-QA58</f>
        <v/>
      </c>
      <c r="QC58" s="12">
        <f>ROUND(QA58*EssentialMix,0)</f>
        <v/>
      </c>
      <c r="QD58" s="12">
        <f>ROUND(QA58*PremiumMix,0)</f>
        <v/>
      </c>
      <c r="QE58" s="12">
        <f>QA58-QC58-QD58</f>
        <v/>
      </c>
      <c r="QF58" s="12">
        <f>ROUND(QB58*EssentialMix,0)</f>
        <v/>
      </c>
      <c r="QG58" s="12">
        <f>ROUND(QB58*PremiumMix,0)</f>
        <v/>
      </c>
      <c r="QH58" s="12">
        <f>QB58-QF58-QG58</f>
        <v/>
      </c>
      <c r="QI58" s="12">
        <f>QC58+QC57+QC56+MAX(0,QI57-QC57-QC56)*(1-PV58)</f>
        <v/>
      </c>
      <c r="QJ58" s="12">
        <f>QD58+QD57+QD56+MAX(0,QJ57-QD57-QD56)*(1-PV58)</f>
        <v/>
      </c>
      <c r="QK58" s="12">
        <f>QE58+QE57+QE56+MAX(0,QK57-QE57-QE56)*(1-PV58)</f>
        <v/>
      </c>
      <c r="QL58" s="12">
        <f>QL57+QF58-QF46*(AnnualChurn*VLOOKUP(PR58,ChurnSeasonTable,4,FALSE))*POWER(1-(AnnualChurn*VLOOKUP(PR58,ChurnSeasonTable,4,FALSE)),0)+QF34*(AnnualChurn*VLOOKUP(PR58,ChurnSeasonTable,4,FALSE))*POWER(1-(AnnualChurn*VLOOKUP(PR58,ChurnSeasonTable,4,FALSE)),1)+QF22*(AnnualChurn*VLOOKUP(PR58,ChurnSeasonTable,4,FALSE))*POWER(1-(AnnualChurn*VLOOKUP(PR58,ChurnSeasonTable,4,FALSE)),2)+QF10*(AnnualChurn*VLOOKUP(PR58,ChurnSeasonTable,4,FALSE))*POWER(1-(AnnualChurn*VLOOKUP(PR58,ChurnSeasonTable,4,FALSE)),3)</f>
        <v/>
      </c>
      <c r="QM58" s="12">
        <f>QM57+QG58-QG46*(AnnualChurn*VLOOKUP(PR58,ChurnSeasonTable,4,FALSE))*POWER(1-(AnnualChurn*VLOOKUP(PR58,ChurnSeasonTable,4,FALSE)),0)+QG34*(AnnualChurn*VLOOKUP(PR58,ChurnSeasonTable,4,FALSE))*POWER(1-(AnnualChurn*VLOOKUP(PR58,ChurnSeasonTable,4,FALSE)),1)+QG22*(AnnualChurn*VLOOKUP(PR58,ChurnSeasonTable,4,FALSE))*POWER(1-(AnnualChurn*VLOOKUP(PR58,ChurnSeasonTable,4,FALSE)),2)+QG10*(AnnualChurn*VLOOKUP(PR58,ChurnSeasonTable,4,FALSE))*POWER(1-(AnnualChurn*VLOOKUP(PR58,ChurnSeasonTable,4,FALSE)),3)</f>
        <v/>
      </c>
      <c r="QN58" s="12">
        <f>QN57+QH58-QH46*(AnnualChurn*VLOOKUP(PR58,ChurnSeasonTable,4,FALSE))*POWER(1-(AnnualChurn*VLOOKUP(PR58,ChurnSeasonTable,4,FALSE)),0)+QH34*(AnnualChurn*VLOOKUP(PR58,ChurnSeasonTable,4,FALSE))*POWER(1-(AnnualChurn*VLOOKUP(PR58,ChurnSeasonTable,4,FALSE)),1)+QH22*(AnnualChurn*VLOOKUP(PR58,ChurnSeasonTable,4,FALSE))*POWER(1-(AnnualChurn*VLOOKUP(PR58,ChurnSeasonTable,4,FALSE)),2)+QH10*(AnnualChurn*VLOOKUP(PR58,ChurnSeasonTable,4,FALSE))*POWER(1-(AnnualChurn*VLOOKUP(PR58,ChurnSeasonTable,4,FALSE)),3)</f>
        <v/>
      </c>
      <c r="QO58" s="12">
        <f>QI58+QJ58+QK58+QL58+QM58+QN58</f>
        <v/>
      </c>
      <c r="QP58" s="9">
        <f>QI58*BlendedPriceEssMonthly*PU58+QJ58*BlendedPricePremMonthly*PU58+QK58*BlendedPriceEliteMonthly*PU58+QL58*BlendedPriceEssAnnual*PU58/12+QM58*BlendedPricePremAnnual*PU58/12+QN58*BlendedPriceEliteAnnual*PU58/12</f>
        <v/>
      </c>
      <c r="QQ58" s="9">
        <f>QP58*12</f>
        <v/>
      </c>
      <c r="QR58" s="12">
        <f>QI58*BlendedPriceEssMonthly*PU58+QJ58*BlendedPricePremMonthly*PU58+QK58*BlendedPriceEliteMonthly*PU58</f>
        <v/>
      </c>
      <c r="QS58" s="12">
        <f>QF58*BlendedPriceEssAnnual*PU58+QG58*BlendedPricePremAnnual*PU58+QH58*BlendedPriceEliteAnnual*PU58</f>
        <v/>
      </c>
      <c r="QT58" s="12">
        <f>QF46*POWER(1-(AnnualChurn*VLOOKUP(PR58,ChurnSeasonTable,4,FALSE)),1)*BlendedPriceEssAnnual*PU58+QF34*POWER(1-(AnnualChurn*VLOOKUP(PR58,ChurnSeasonTable,4,FALSE)),2)*BlendedPriceEssAnnual*PU58+QF22*POWER(1-(AnnualChurn*VLOOKUP(PR58,ChurnSeasonTable,4,FALSE)),3)*BlendedPriceEssAnnual*PU58+QF10*POWER(1-(AnnualChurn*VLOOKUP(PR58,ChurnSeasonTable,4,FALSE)),4)*BlendedPriceEssAnnual*PU58+QG46*POWER(1-(AnnualChurn*VLOOKUP(PR58,ChurnSeasonTable,4,FALSE)),1)*BlendedPricePremAnnual*PU58+QG34*POWER(1-(AnnualChurn*VLOOKUP(PR58,ChurnSeasonTable,4,FALSE)),2)*BlendedPricePremAnnual*PU58+QG22*POWER(1-(AnnualChurn*VLOOKUP(PR58,ChurnSeasonTable,4,FALSE)),3)*BlendedPricePremAnnual*PU58+QG10*POWER(1-(AnnualChurn*VLOOKUP(PR58,ChurnSeasonTable,4,FALSE)),4)*BlendedPricePremAnnual*PU58+QH46*POWER(1-(AnnualChurn*VLOOKUP(PR58,ChurnSeasonTable,4,FALSE)),1)*BlendedPriceEliteAnnual*PU58+QH34*POWER(1-(AnnualChurn*VLOOKUP(PR58,ChurnSeasonTable,4,FALSE)),2)*BlendedPriceEliteAnnual*PU58+QH22*POWER(1-(AnnualChurn*VLOOKUP(PR58,ChurnSeasonTable,4,FALSE)),3)*BlendedPriceEliteAnnual*PU58+QH10*POWER(1-(AnnualChurn*VLOOKUP(PR58,ChurnSeasonTable,4,FALSE)),4)*BlendedPriceEliteAnnual*PU58</f>
        <v/>
      </c>
      <c r="QU58" s="9">
        <f>QR58+QS58+QT58</f>
        <v/>
      </c>
      <c r="QV58" s="12">
        <f>SUM(QU47:QU58)</f>
        <v/>
      </c>
      <c r="QW58" s="12">
        <f>OR(QW57,IF(VATAgentMode,SUM($QU47:$QU58)-SUM($RB47:$RB58)&gt;=VATThreshold,SUM($QU47:$QU58)&gt;=VATThreshold))</f>
        <v/>
      </c>
      <c r="QX58" s="9">
        <f>IF(QW58,IF(VATAgentMode,QU58-((QU58-RB58)-(QU58-RB58)/(1+VATRate)),QU58/(1+VATRate)),QU58)</f>
        <v/>
      </c>
      <c r="QY58" s="12">
        <f>QU58-QX58</f>
        <v/>
      </c>
      <c r="QZ58" s="12">
        <f>IF(QW58=0,0,IF(PR58=1,SUMPRODUCT(--(($PS$5:$PS58=$PS58-1)*($PR$5:$PR58&gt;=10)*($PR$5:$PR58&lt;=12)),$QY$5:$QY58),IF(PR58=4,SUMPRODUCT(--(($PS$5:$PS58=$PS58)*($PR$5:$PR58&gt;=1)*($PR$5:$PR58&lt;=3)),$QY$5:$QY58),IF(PR58=7,SUMPRODUCT(--(($PS$5:$PS58=$PS58)*($PR$5:$PR58&gt;=4)*($PR$5:$PR58&lt;=6)),$QY$5:$QY58),IF(PR58=10,SUMPRODUCT(--(($PS$5:$PS58=$PS58)*($PR$5:$PR58&gt;=7)*($PR$5:$PR58&lt;=9)),$QY$5:$QY58),0)))))</f>
        <v/>
      </c>
      <c r="RA58" s="12">
        <f>RA57+QY58-QZ58</f>
        <v/>
      </c>
      <c r="RB58" s="12">
        <f>IF(ProviderDelay&gt;=1,QI57*BlendedProvPayEss+QJ57*BlendedProvPayPrem+QK57*BlendedProvPayElite+QL57*BlendedProvPayEss+QM57*BlendedProvPayPrem+QN57*BlendedProvPayElite,QI58*BlendedProvPayEss+QJ58*BlendedProvPayPrem+QK58*BlendedProvPayElite+QL58*BlendedProvPayEss+QM58*BlendedProvPayPrem+QN58*BlendedProvPayElite)</f>
        <v/>
      </c>
      <c r="RC58" s="12">
        <f>QU58*PaymentFee</f>
        <v/>
      </c>
      <c r="RD58" s="12">
        <f>QO58*OpsAI</f>
        <v/>
      </c>
      <c r="RE58" s="12">
        <f>MonthlyFixed</f>
        <v/>
      </c>
      <c r="RF58" s="12">
        <f>PY58*ReferralReward</f>
        <v/>
      </c>
      <c r="RG58" s="12">
        <f>PW58</f>
        <v/>
      </c>
      <c r="RH58" s="9">
        <f>QX58-RB58-RC58-RD58-RE58-RF58-RG58</f>
        <v/>
      </c>
      <c r="RI58" s="9">
        <f>RI57+QU58-(RB58+RC58+RD58+RE58+RF58+RG58+QZ58)</f>
        <v/>
      </c>
      <c r="RJ58" s="12">
        <f>IF(QO58&gt;0,QP58/QO58,0)</f>
        <v/>
      </c>
      <c r="RK58" s="11">
        <f>IF(QO57&gt;0,MAX(0,(QO57+PZ58-QO58)/QO57),0)</f>
        <v/>
      </c>
      <c r="RM58" s="12" t="n">
        <v>54</v>
      </c>
      <c r="RN58" s="12">
        <f>MOD(RM58-1+LaunchMonth-1,12)+1</f>
        <v/>
      </c>
      <c r="RO58" s="12">
        <f>INT((RM58-1+LaunchMonth-1)/12)+1</f>
        <v/>
      </c>
      <c r="RP58" s="12">
        <f>VLOOKUP(RN58,SeasonTable,2,FALSE)</f>
        <v/>
      </c>
      <c r="RQ58" s="12">
        <f>(1+InflationRate)^INT((RM58-1)/12)</f>
        <v/>
      </c>
      <c r="RR58" s="11">
        <f>'Sens - Churn'!$A$20*VLOOKUP(RN58,ChurnSeasonTable,4,FALSE)</f>
        <v/>
      </c>
      <c r="RS58" s="12">
        <f>MIN(MAX(MktMin19plus,SQ57*MktPct19plus),MAX(0,TE57-CashBuffer))</f>
        <v/>
      </c>
      <c r="RT58" s="12">
        <f>IF(RS58&gt;0,MAX(1,ROUND(RS58/CAC*RP58,0)),0)</f>
        <v/>
      </c>
      <c r="RU58" s="12">
        <f>IF(RT58&gt;0,ROUND(RT58*ReferralMix/(1-ReferralMix),0),0)</f>
        <v/>
      </c>
      <c r="RV58" s="12">
        <f>RT58+RU58</f>
        <v/>
      </c>
      <c r="RW58" s="12">
        <f>ROUND(RV58*(1-AnnualMix),0)</f>
        <v/>
      </c>
      <c r="RX58" s="12">
        <f>RV58-RW58</f>
        <v/>
      </c>
      <c r="RY58" s="12">
        <f>ROUND(RW58*EssentialMix,0)</f>
        <v/>
      </c>
      <c r="RZ58" s="12">
        <f>ROUND(RW58*PremiumMix,0)</f>
        <v/>
      </c>
      <c r="SA58" s="12">
        <f>RW58-RY58-RZ58</f>
        <v/>
      </c>
      <c r="SB58" s="12">
        <f>ROUND(RX58*EssentialMix,0)</f>
        <v/>
      </c>
      <c r="SC58" s="12">
        <f>ROUND(RX58*PremiumMix,0)</f>
        <v/>
      </c>
      <c r="SD58" s="12">
        <f>RX58-SB58-SC58</f>
        <v/>
      </c>
      <c r="SE58" s="12">
        <f>RY58+RY57+RY56+MAX(0,SE57-RY57-RY56)*(1-RR58)</f>
        <v/>
      </c>
      <c r="SF58" s="12">
        <f>RZ58+RZ57+RZ56+MAX(0,SF57-RZ57-RZ56)*(1-RR58)</f>
        <v/>
      </c>
      <c r="SG58" s="12">
        <f>SA58+SA57+SA56+MAX(0,SG57-SA57-SA56)*(1-RR58)</f>
        <v/>
      </c>
      <c r="SH58" s="12">
        <f>SH57+SB58-SB46*(AnnualChurn*VLOOKUP(RN58,ChurnSeasonTable,4,FALSE))*POWER(1-(AnnualChurn*VLOOKUP(RN58,ChurnSeasonTable,4,FALSE)),0)+SB34*(AnnualChurn*VLOOKUP(RN58,ChurnSeasonTable,4,FALSE))*POWER(1-(AnnualChurn*VLOOKUP(RN58,ChurnSeasonTable,4,FALSE)),1)+SB22*(AnnualChurn*VLOOKUP(RN58,ChurnSeasonTable,4,FALSE))*POWER(1-(AnnualChurn*VLOOKUP(RN58,ChurnSeasonTable,4,FALSE)),2)+SB10*(AnnualChurn*VLOOKUP(RN58,ChurnSeasonTable,4,FALSE))*POWER(1-(AnnualChurn*VLOOKUP(RN58,ChurnSeasonTable,4,FALSE)),3)</f>
        <v/>
      </c>
      <c r="SI58" s="12">
        <f>SI57+SC58-SC46*(AnnualChurn*VLOOKUP(RN58,ChurnSeasonTable,4,FALSE))*POWER(1-(AnnualChurn*VLOOKUP(RN58,ChurnSeasonTable,4,FALSE)),0)+SC34*(AnnualChurn*VLOOKUP(RN58,ChurnSeasonTable,4,FALSE))*POWER(1-(AnnualChurn*VLOOKUP(RN58,ChurnSeasonTable,4,FALSE)),1)+SC22*(AnnualChurn*VLOOKUP(RN58,ChurnSeasonTable,4,FALSE))*POWER(1-(AnnualChurn*VLOOKUP(RN58,ChurnSeasonTable,4,FALSE)),2)+SC10*(AnnualChurn*VLOOKUP(RN58,ChurnSeasonTable,4,FALSE))*POWER(1-(AnnualChurn*VLOOKUP(RN58,ChurnSeasonTable,4,FALSE)),3)</f>
        <v/>
      </c>
      <c r="SJ58" s="12">
        <f>SJ57+SD58-SD46*(AnnualChurn*VLOOKUP(RN58,ChurnSeasonTable,4,FALSE))*POWER(1-(AnnualChurn*VLOOKUP(RN58,ChurnSeasonTable,4,FALSE)),0)+SD34*(AnnualChurn*VLOOKUP(RN58,ChurnSeasonTable,4,FALSE))*POWER(1-(AnnualChurn*VLOOKUP(RN58,ChurnSeasonTable,4,FALSE)),1)+SD22*(AnnualChurn*VLOOKUP(RN58,ChurnSeasonTable,4,FALSE))*POWER(1-(AnnualChurn*VLOOKUP(RN58,ChurnSeasonTable,4,FALSE)),2)+SD10*(AnnualChurn*VLOOKUP(RN58,ChurnSeasonTable,4,FALSE))*POWER(1-(AnnualChurn*VLOOKUP(RN58,ChurnSeasonTable,4,FALSE)),3)</f>
        <v/>
      </c>
      <c r="SK58" s="12">
        <f>SE58+SF58+SG58+SH58+SI58+SJ58</f>
        <v/>
      </c>
      <c r="SL58" s="9">
        <f>SE58*BlendedPriceEssMonthly*RQ58+SF58*BlendedPricePremMonthly*RQ58+SG58*BlendedPriceEliteMonthly*RQ58+SH58*BlendedPriceEssAnnual*RQ58/12+SI58*BlendedPricePremAnnual*RQ58/12+SJ58*BlendedPriceEliteAnnual*RQ58/12</f>
        <v/>
      </c>
      <c r="SM58" s="9">
        <f>SL58*12</f>
        <v/>
      </c>
      <c r="SN58" s="12">
        <f>SE58*BlendedPriceEssMonthly*RQ58+SF58*BlendedPricePremMonthly*RQ58+SG58*BlendedPriceEliteMonthly*RQ58</f>
        <v/>
      </c>
      <c r="SO58" s="12">
        <f>SB58*BlendedPriceEssAnnual*RQ58+SC58*BlendedPricePremAnnual*RQ58+SD58*BlendedPriceEliteAnnual*RQ58</f>
        <v/>
      </c>
      <c r="SP58" s="12">
        <f>SB46*POWER(1-(AnnualChurn*VLOOKUP(RN58,ChurnSeasonTable,4,FALSE)),1)*BlendedPriceEssAnnual*RQ58+SB34*POWER(1-(AnnualChurn*VLOOKUP(RN58,ChurnSeasonTable,4,FALSE)),2)*BlendedPriceEssAnnual*RQ58+SB22*POWER(1-(AnnualChurn*VLOOKUP(RN58,ChurnSeasonTable,4,FALSE)),3)*BlendedPriceEssAnnual*RQ58+SB10*POWER(1-(AnnualChurn*VLOOKUP(RN58,ChurnSeasonTable,4,FALSE)),4)*BlendedPriceEssAnnual*RQ58+SC46*POWER(1-(AnnualChurn*VLOOKUP(RN58,ChurnSeasonTable,4,FALSE)),1)*BlendedPricePremAnnual*RQ58+SC34*POWER(1-(AnnualChurn*VLOOKUP(RN58,ChurnSeasonTable,4,FALSE)),2)*BlendedPricePremAnnual*RQ58+SC22*POWER(1-(AnnualChurn*VLOOKUP(RN58,ChurnSeasonTable,4,FALSE)),3)*BlendedPricePremAnnual*RQ58+SC10*POWER(1-(AnnualChurn*VLOOKUP(RN58,ChurnSeasonTable,4,FALSE)),4)*BlendedPricePremAnnual*RQ58+SD46*POWER(1-(AnnualChurn*VLOOKUP(RN58,ChurnSeasonTable,4,FALSE)),1)*BlendedPriceEliteAnnual*RQ58+SD34*POWER(1-(AnnualChurn*VLOOKUP(RN58,ChurnSeasonTable,4,FALSE)),2)*BlendedPriceEliteAnnual*RQ58+SD22*POWER(1-(AnnualChurn*VLOOKUP(RN58,ChurnSeasonTable,4,FALSE)),3)*BlendedPriceEliteAnnual*RQ58+SD10*POWER(1-(AnnualChurn*VLOOKUP(RN58,ChurnSeasonTable,4,FALSE)),4)*BlendedPriceEliteAnnual*RQ58</f>
        <v/>
      </c>
      <c r="SQ58" s="9">
        <f>SN58+SO58+SP58</f>
        <v/>
      </c>
      <c r="SR58" s="12">
        <f>SUM(SQ47:SQ58)</f>
        <v/>
      </c>
      <c r="SS58" s="12">
        <f>OR(SS57,IF(VATAgentMode,SUM($SQ47:$SQ58)-SUM($SX47:$SX58)&gt;=VATThreshold,SUM($SQ47:$SQ58)&gt;=VATThreshold))</f>
        <v/>
      </c>
      <c r="ST58" s="9">
        <f>IF(SS58,IF(VATAgentMode,SQ58-((SQ58-SX58)-(SQ58-SX58)/(1+VATRate)),SQ58/(1+VATRate)),SQ58)</f>
        <v/>
      </c>
      <c r="SU58" s="12">
        <f>SQ58-ST58</f>
        <v/>
      </c>
      <c r="SV58" s="12">
        <f>IF(SS58=0,0,IF(RN58=1,SUMPRODUCT(--(($RO$5:$RO58=$RO58-1)*($RN$5:$RN58&gt;=10)*($RN$5:$RN58&lt;=12)),$SU$5:$SU58),IF(RN58=4,SUMPRODUCT(--(($RO$5:$RO58=$RO58)*($RN$5:$RN58&gt;=1)*($RN$5:$RN58&lt;=3)),$SU$5:$SU58),IF(RN58=7,SUMPRODUCT(--(($RO$5:$RO58=$RO58)*($RN$5:$RN58&gt;=4)*($RN$5:$RN58&lt;=6)),$SU$5:$SU58),IF(RN58=10,SUMPRODUCT(--(($RO$5:$RO58=$RO58)*($RN$5:$RN58&gt;=7)*($RN$5:$RN58&lt;=9)),$SU$5:$SU58),0)))))</f>
        <v/>
      </c>
      <c r="SW58" s="12">
        <f>SW57+SU58-SV58</f>
        <v/>
      </c>
      <c r="SX58" s="12">
        <f>IF(ProviderDelay&gt;=1,SE57*BlendedProvPayEss+SF57*BlendedProvPayPrem+SG57*BlendedProvPayElite+SH57*BlendedProvPayEss+SI57*BlendedProvPayPrem+SJ57*BlendedProvPayElite,SE58*BlendedProvPayEss+SF58*BlendedProvPayPrem+SG58*BlendedProvPayElite+SH58*BlendedProvPayEss+SI58*BlendedProvPayPrem+SJ58*BlendedProvPayElite)</f>
        <v/>
      </c>
      <c r="SY58" s="12">
        <f>SQ58*PaymentFee</f>
        <v/>
      </c>
      <c r="SZ58" s="12">
        <f>SK58*OpsAI</f>
        <v/>
      </c>
      <c r="TA58" s="12">
        <f>MonthlyFixed</f>
        <v/>
      </c>
      <c r="TB58" s="12">
        <f>RU58*ReferralReward</f>
        <v/>
      </c>
      <c r="TC58" s="12">
        <f>RS58</f>
        <v/>
      </c>
      <c r="TD58" s="9">
        <f>ST58-SX58-SY58-SZ58-TA58-TB58-TC58</f>
        <v/>
      </c>
      <c r="TE58" s="9">
        <f>TE57+SQ58-(SX58+SY58+SZ58+TA58+TB58+TC58+SV58)</f>
        <v/>
      </c>
      <c r="TF58" s="12">
        <f>IF(SK58&gt;0,SL58/SK58,0)</f>
        <v/>
      </c>
      <c r="TG58" s="11">
        <f>IF(SK57&gt;0,MAX(0,(SK57+RV58-SK58)/SK57),0)</f>
        <v/>
      </c>
      <c r="TI58" s="12" t="n">
        <v>54</v>
      </c>
      <c r="TJ58" s="12">
        <f>MOD(TI58-1+LaunchMonth-1,12)+1</f>
        <v/>
      </c>
      <c r="TK58" s="12">
        <f>INT((TI58-1+LaunchMonth-1)/12)+1</f>
        <v/>
      </c>
      <c r="TL58" s="12">
        <f>VLOOKUP(TJ58,SeasonTable,2,FALSE)</f>
        <v/>
      </c>
      <c r="TM58" s="12">
        <f>(1+InflationRate)^INT((TI58-1)/12)</f>
        <v/>
      </c>
      <c r="TN58" s="11">
        <f>'Sens - Churn'!$A$21*VLOOKUP(TJ58,ChurnSeasonTable,4,FALSE)</f>
        <v/>
      </c>
      <c r="TO58" s="12">
        <f>MIN(MAX(MktMin19plus,UM57*MktPct19plus),MAX(0,VA57-CashBuffer))</f>
        <v/>
      </c>
      <c r="TP58" s="12">
        <f>IF(TO58&gt;0,MAX(1,ROUND(TO58/CAC*TL58,0)),0)</f>
        <v/>
      </c>
      <c r="TQ58" s="12">
        <f>IF(TP58&gt;0,ROUND(TP58*ReferralMix/(1-ReferralMix),0),0)</f>
        <v/>
      </c>
      <c r="TR58" s="12">
        <f>TP58+TQ58</f>
        <v/>
      </c>
      <c r="TS58" s="12">
        <f>ROUND(TR58*(1-AnnualMix),0)</f>
        <v/>
      </c>
      <c r="TT58" s="12">
        <f>TR58-TS58</f>
        <v/>
      </c>
      <c r="TU58" s="12">
        <f>ROUND(TS58*EssentialMix,0)</f>
        <v/>
      </c>
      <c r="TV58" s="12">
        <f>ROUND(TS58*PremiumMix,0)</f>
        <v/>
      </c>
      <c r="TW58" s="12">
        <f>TS58-TU58-TV58</f>
        <v/>
      </c>
      <c r="TX58" s="12">
        <f>ROUND(TT58*EssentialMix,0)</f>
        <v/>
      </c>
      <c r="TY58" s="12">
        <f>ROUND(TT58*PremiumMix,0)</f>
        <v/>
      </c>
      <c r="TZ58" s="12">
        <f>TT58-TX58-TY58</f>
        <v/>
      </c>
      <c r="UA58" s="12">
        <f>TU58+TU57+TU56+MAX(0,UA57-TU57-TU56)*(1-TN58)</f>
        <v/>
      </c>
      <c r="UB58" s="12">
        <f>TV58+TV57+TV56+MAX(0,UB57-TV57-TV56)*(1-TN58)</f>
        <v/>
      </c>
      <c r="UC58" s="12">
        <f>TW58+TW57+TW56+MAX(0,UC57-TW57-TW56)*(1-TN58)</f>
        <v/>
      </c>
      <c r="UD58" s="12">
        <f>UD57+TX58-TX46*(AnnualChurn*VLOOKUP(TJ58,ChurnSeasonTable,4,FALSE))*POWER(1-(AnnualChurn*VLOOKUP(TJ58,ChurnSeasonTable,4,FALSE)),0)+TX34*(AnnualChurn*VLOOKUP(TJ58,ChurnSeasonTable,4,FALSE))*POWER(1-(AnnualChurn*VLOOKUP(TJ58,ChurnSeasonTable,4,FALSE)),1)+TX22*(AnnualChurn*VLOOKUP(TJ58,ChurnSeasonTable,4,FALSE))*POWER(1-(AnnualChurn*VLOOKUP(TJ58,ChurnSeasonTable,4,FALSE)),2)+TX10*(AnnualChurn*VLOOKUP(TJ58,ChurnSeasonTable,4,FALSE))*POWER(1-(AnnualChurn*VLOOKUP(TJ58,ChurnSeasonTable,4,FALSE)),3)</f>
        <v/>
      </c>
      <c r="UE58" s="12">
        <f>UE57+TY58-TY46*(AnnualChurn*VLOOKUP(TJ58,ChurnSeasonTable,4,FALSE))*POWER(1-(AnnualChurn*VLOOKUP(TJ58,ChurnSeasonTable,4,FALSE)),0)+TY34*(AnnualChurn*VLOOKUP(TJ58,ChurnSeasonTable,4,FALSE))*POWER(1-(AnnualChurn*VLOOKUP(TJ58,ChurnSeasonTable,4,FALSE)),1)+TY22*(AnnualChurn*VLOOKUP(TJ58,ChurnSeasonTable,4,FALSE))*POWER(1-(AnnualChurn*VLOOKUP(TJ58,ChurnSeasonTable,4,FALSE)),2)+TY10*(AnnualChurn*VLOOKUP(TJ58,ChurnSeasonTable,4,FALSE))*POWER(1-(AnnualChurn*VLOOKUP(TJ58,ChurnSeasonTable,4,FALSE)),3)</f>
        <v/>
      </c>
      <c r="UF58" s="12">
        <f>UF57+TZ58-TZ46*(AnnualChurn*VLOOKUP(TJ58,ChurnSeasonTable,4,FALSE))*POWER(1-(AnnualChurn*VLOOKUP(TJ58,ChurnSeasonTable,4,FALSE)),0)+TZ34*(AnnualChurn*VLOOKUP(TJ58,ChurnSeasonTable,4,FALSE))*POWER(1-(AnnualChurn*VLOOKUP(TJ58,ChurnSeasonTable,4,FALSE)),1)+TZ22*(AnnualChurn*VLOOKUP(TJ58,ChurnSeasonTable,4,FALSE))*POWER(1-(AnnualChurn*VLOOKUP(TJ58,ChurnSeasonTable,4,FALSE)),2)+TZ10*(AnnualChurn*VLOOKUP(TJ58,ChurnSeasonTable,4,FALSE))*POWER(1-(AnnualChurn*VLOOKUP(TJ58,ChurnSeasonTable,4,FALSE)),3)</f>
        <v/>
      </c>
      <c r="UG58" s="12">
        <f>UA58+UB58+UC58+UD58+UE58+UF58</f>
        <v/>
      </c>
      <c r="UH58" s="9">
        <f>UA58*BlendedPriceEssMonthly*TM58+UB58*BlendedPricePremMonthly*TM58+UC58*BlendedPriceEliteMonthly*TM58+UD58*BlendedPriceEssAnnual*TM58/12+UE58*BlendedPricePremAnnual*TM58/12+UF58*BlendedPriceEliteAnnual*TM58/12</f>
        <v/>
      </c>
      <c r="UI58" s="9">
        <f>UH58*12</f>
        <v/>
      </c>
      <c r="UJ58" s="12">
        <f>UA58*BlendedPriceEssMonthly*TM58+UB58*BlendedPricePremMonthly*TM58+UC58*BlendedPriceEliteMonthly*TM58</f>
        <v/>
      </c>
      <c r="UK58" s="12">
        <f>TX58*BlendedPriceEssAnnual*TM58+TY58*BlendedPricePremAnnual*TM58+TZ58*BlendedPriceEliteAnnual*TM58</f>
        <v/>
      </c>
      <c r="UL58" s="12">
        <f>TX46*POWER(1-(AnnualChurn*VLOOKUP(TJ58,ChurnSeasonTable,4,FALSE)),1)*BlendedPriceEssAnnual*TM58+TX34*POWER(1-(AnnualChurn*VLOOKUP(TJ58,ChurnSeasonTable,4,FALSE)),2)*BlendedPriceEssAnnual*TM58+TX22*POWER(1-(AnnualChurn*VLOOKUP(TJ58,ChurnSeasonTable,4,FALSE)),3)*BlendedPriceEssAnnual*TM58+TX10*POWER(1-(AnnualChurn*VLOOKUP(TJ58,ChurnSeasonTable,4,FALSE)),4)*BlendedPriceEssAnnual*TM58+TY46*POWER(1-(AnnualChurn*VLOOKUP(TJ58,ChurnSeasonTable,4,FALSE)),1)*BlendedPricePremAnnual*TM58+TY34*POWER(1-(AnnualChurn*VLOOKUP(TJ58,ChurnSeasonTable,4,FALSE)),2)*BlendedPricePremAnnual*TM58+TY22*POWER(1-(AnnualChurn*VLOOKUP(TJ58,ChurnSeasonTable,4,FALSE)),3)*BlendedPricePremAnnual*TM58+TY10*POWER(1-(AnnualChurn*VLOOKUP(TJ58,ChurnSeasonTable,4,FALSE)),4)*BlendedPricePremAnnual*TM58+TZ46*POWER(1-(AnnualChurn*VLOOKUP(TJ58,ChurnSeasonTable,4,FALSE)),1)*BlendedPriceEliteAnnual*TM58+TZ34*POWER(1-(AnnualChurn*VLOOKUP(TJ58,ChurnSeasonTable,4,FALSE)),2)*BlendedPriceEliteAnnual*TM58+TZ22*POWER(1-(AnnualChurn*VLOOKUP(TJ58,ChurnSeasonTable,4,FALSE)),3)*BlendedPriceEliteAnnual*TM58+TZ10*POWER(1-(AnnualChurn*VLOOKUP(TJ58,ChurnSeasonTable,4,FALSE)),4)*BlendedPriceEliteAnnual*TM58</f>
        <v/>
      </c>
      <c r="UM58" s="9">
        <f>UJ58+UK58+UL58</f>
        <v/>
      </c>
      <c r="UN58" s="12">
        <f>SUM(UM47:UM58)</f>
        <v/>
      </c>
      <c r="UO58" s="12">
        <f>OR(UO57,IF(VATAgentMode,SUM($UM47:$UM58)-SUM($UT47:$UT58)&gt;=VATThreshold,SUM($UM47:$UM58)&gt;=VATThreshold))</f>
        <v/>
      </c>
      <c r="UP58" s="9">
        <f>IF(UO58,IF(VATAgentMode,UM58-((UM58-UT58)-(UM58-UT58)/(1+VATRate)),UM58/(1+VATRate)),UM58)</f>
        <v/>
      </c>
      <c r="UQ58" s="12">
        <f>UM58-UP58</f>
        <v/>
      </c>
      <c r="UR58" s="12">
        <f>IF(UO58=0,0,IF(TJ58=1,SUMPRODUCT(--(($TK$5:$TK58=$TK58-1)*($TJ$5:$TJ58&gt;=10)*($TJ$5:$TJ58&lt;=12)),$UQ$5:$UQ58),IF(TJ58=4,SUMPRODUCT(--(($TK$5:$TK58=$TK58)*($TJ$5:$TJ58&gt;=1)*($TJ$5:$TJ58&lt;=3)),$UQ$5:$UQ58),IF(TJ58=7,SUMPRODUCT(--(($TK$5:$TK58=$TK58)*($TJ$5:$TJ58&gt;=4)*($TJ$5:$TJ58&lt;=6)),$UQ$5:$UQ58),IF(TJ58=10,SUMPRODUCT(--(($TK$5:$TK58=$TK58)*($TJ$5:$TJ58&gt;=7)*($TJ$5:$TJ58&lt;=9)),$UQ$5:$UQ58),0)))))</f>
        <v/>
      </c>
      <c r="US58" s="12">
        <f>US57+UQ58-UR58</f>
        <v/>
      </c>
      <c r="UT58" s="12">
        <f>IF(ProviderDelay&gt;=1,UA57*BlendedProvPayEss+UB57*BlendedProvPayPrem+UC57*BlendedProvPayElite+UD57*BlendedProvPayEss+UE57*BlendedProvPayPrem+UF57*BlendedProvPayElite,UA58*BlendedProvPayEss+UB58*BlendedProvPayPrem+UC58*BlendedProvPayElite+UD58*BlendedProvPayEss+UE58*BlendedProvPayPrem+UF58*BlendedProvPayElite)</f>
        <v/>
      </c>
      <c r="UU58" s="12">
        <f>UM58*PaymentFee</f>
        <v/>
      </c>
      <c r="UV58" s="12">
        <f>UG58*OpsAI</f>
        <v/>
      </c>
      <c r="UW58" s="12">
        <f>MonthlyFixed</f>
        <v/>
      </c>
      <c r="UX58" s="12">
        <f>TQ58*ReferralReward</f>
        <v/>
      </c>
      <c r="UY58" s="12">
        <f>TO58</f>
        <v/>
      </c>
      <c r="UZ58" s="9">
        <f>UP58-UT58-UU58-UV58-UW58-UX58-UY58</f>
        <v/>
      </c>
      <c r="VA58" s="9">
        <f>VA57+UM58-(UT58+UU58+UV58+UW58+UX58+UY58+UR58)</f>
        <v/>
      </c>
      <c r="VB58" s="12">
        <f>IF(UG58&gt;0,UH58/UG58,0)</f>
        <v/>
      </c>
      <c r="VC58" s="11">
        <f>IF(UG57&gt;0,MAX(0,(UG57+TR58-UG58)/UG57),0)</f>
        <v/>
      </c>
      <c r="VE58" s="12" t="n">
        <v>54</v>
      </c>
      <c r="VF58" s="12">
        <f>MOD(VE58-1+LaunchMonth-1,12)+1</f>
        <v/>
      </c>
      <c r="VG58" s="12">
        <f>INT((VE58-1+LaunchMonth-1)/12)+1</f>
        <v/>
      </c>
      <c r="VH58" s="12">
        <f>VLOOKUP(VF58,SeasonTable,2,FALSE)</f>
        <v/>
      </c>
      <c r="VI58" s="12">
        <f>(1+InflationRate)^INT((VE58-1)/12)</f>
        <v/>
      </c>
      <c r="VJ58" s="11">
        <f>MonthlyChurn*VLOOKUP(VF58,ChurnSeasonTable,4,FALSE)</f>
        <v/>
      </c>
      <c r="VK58" s="12">
        <f>MIN(MAX(MktMin19plus,WI57*MktPct19plus),MAX(0,WW57-CashBuffer))</f>
        <v/>
      </c>
      <c r="VL58" s="12">
        <f>IF(VK58&gt;0,MAX(1,ROUND(VK58/CAC*VH58,0)),0)</f>
        <v/>
      </c>
      <c r="VM58" s="12">
        <f>IF(VL58&gt;0,ROUND(VL58*ReferralMix/(1-ReferralMix),0),0)</f>
        <v/>
      </c>
      <c r="VN58" s="12">
        <f>VL58+VM58</f>
        <v/>
      </c>
      <c r="VO58" s="12">
        <f>ROUND(VN58*(1-'Sens - Annual Mix'!$A$9),0)</f>
        <v/>
      </c>
      <c r="VP58" s="12">
        <f>VN58-VO58</f>
        <v/>
      </c>
      <c r="VQ58" s="12">
        <f>ROUND(VO58*EssentialMix,0)</f>
        <v/>
      </c>
      <c r="VR58" s="12">
        <f>ROUND(VO58*PremiumMix,0)</f>
        <v/>
      </c>
      <c r="VS58" s="12">
        <f>VO58-VQ58-VR58</f>
        <v/>
      </c>
      <c r="VT58" s="12">
        <f>ROUND(VP58*EssentialMix,0)</f>
        <v/>
      </c>
      <c r="VU58" s="12">
        <f>ROUND(VP58*PremiumMix,0)</f>
        <v/>
      </c>
      <c r="VV58" s="12">
        <f>VP58-VT58-VU58</f>
        <v/>
      </c>
      <c r="VW58" s="12">
        <f>VQ58+VQ57+VQ56+MAX(0,VW57-VQ57-VQ56)*(1-VJ58)</f>
        <v/>
      </c>
      <c r="VX58" s="12">
        <f>VR58+VR57+VR56+MAX(0,VX57-VR57-VR56)*(1-VJ58)</f>
        <v/>
      </c>
      <c r="VY58" s="12">
        <f>VS58+VS57+VS56+MAX(0,VY57-VS57-VS56)*(1-VJ58)</f>
        <v/>
      </c>
      <c r="VZ58" s="12">
        <f>VZ57+VT58-VT46*(AnnualChurn*VLOOKUP(VF58,ChurnSeasonTable,4,FALSE))*POWER(1-(AnnualChurn*VLOOKUP(VF58,ChurnSeasonTable,4,FALSE)),0)+VT34*(AnnualChurn*VLOOKUP(VF58,ChurnSeasonTable,4,FALSE))*POWER(1-(AnnualChurn*VLOOKUP(VF58,ChurnSeasonTable,4,FALSE)),1)+VT22*(AnnualChurn*VLOOKUP(VF58,ChurnSeasonTable,4,FALSE))*POWER(1-(AnnualChurn*VLOOKUP(VF58,ChurnSeasonTable,4,FALSE)),2)+VT10*(AnnualChurn*VLOOKUP(VF58,ChurnSeasonTable,4,FALSE))*POWER(1-(AnnualChurn*VLOOKUP(VF58,ChurnSeasonTable,4,FALSE)),3)</f>
        <v/>
      </c>
      <c r="WA58" s="12">
        <f>WA57+VU58-VU46*(AnnualChurn*VLOOKUP(VF58,ChurnSeasonTable,4,FALSE))*POWER(1-(AnnualChurn*VLOOKUP(VF58,ChurnSeasonTable,4,FALSE)),0)+VU34*(AnnualChurn*VLOOKUP(VF58,ChurnSeasonTable,4,FALSE))*POWER(1-(AnnualChurn*VLOOKUP(VF58,ChurnSeasonTable,4,FALSE)),1)+VU22*(AnnualChurn*VLOOKUP(VF58,ChurnSeasonTable,4,FALSE))*POWER(1-(AnnualChurn*VLOOKUP(VF58,ChurnSeasonTable,4,FALSE)),2)+VU10*(AnnualChurn*VLOOKUP(VF58,ChurnSeasonTable,4,FALSE))*POWER(1-(AnnualChurn*VLOOKUP(VF58,ChurnSeasonTable,4,FALSE)),3)</f>
        <v/>
      </c>
      <c r="WB58" s="12">
        <f>WB57+VV58-VV46*(AnnualChurn*VLOOKUP(VF58,ChurnSeasonTable,4,FALSE))*POWER(1-(AnnualChurn*VLOOKUP(VF58,ChurnSeasonTable,4,FALSE)),0)+VV34*(AnnualChurn*VLOOKUP(VF58,ChurnSeasonTable,4,FALSE))*POWER(1-(AnnualChurn*VLOOKUP(VF58,ChurnSeasonTable,4,FALSE)),1)+VV22*(AnnualChurn*VLOOKUP(VF58,ChurnSeasonTable,4,FALSE))*POWER(1-(AnnualChurn*VLOOKUP(VF58,ChurnSeasonTable,4,FALSE)),2)+VV10*(AnnualChurn*VLOOKUP(VF58,ChurnSeasonTable,4,FALSE))*POWER(1-(AnnualChurn*VLOOKUP(VF58,ChurnSeasonTable,4,FALSE)),3)</f>
        <v/>
      </c>
      <c r="WC58" s="12">
        <f>VW58+VX58+VY58+VZ58+WA58+WB58</f>
        <v/>
      </c>
      <c r="WD58" s="9">
        <f>VW58*BlendedPriceEssMonthly*VI58+VX58*BlendedPricePremMonthly*VI58+VY58*BlendedPriceEliteMonthly*VI58+VZ58*BlendedPriceEssAnnual*VI58/12+WA58*BlendedPricePremAnnual*VI58/12+WB58*BlendedPriceEliteAnnual*VI58/12</f>
        <v/>
      </c>
      <c r="WE58" s="9">
        <f>WD58*12</f>
        <v/>
      </c>
      <c r="WF58" s="12">
        <f>VW58*BlendedPriceEssMonthly*VI58+VX58*BlendedPricePremMonthly*VI58+VY58*BlendedPriceEliteMonthly*VI58</f>
        <v/>
      </c>
      <c r="WG58" s="12">
        <f>VT58*BlendedPriceEssAnnual*VI58+VU58*BlendedPricePremAnnual*VI58+VV58*BlendedPriceEliteAnnual*VI58</f>
        <v/>
      </c>
      <c r="WH58" s="12">
        <f>VT46*POWER(1-(AnnualChurn*VLOOKUP(VF58,ChurnSeasonTable,4,FALSE)),1)*BlendedPriceEssAnnual*VI58+VT34*POWER(1-(AnnualChurn*VLOOKUP(VF58,ChurnSeasonTable,4,FALSE)),2)*BlendedPriceEssAnnual*VI58+VT22*POWER(1-(AnnualChurn*VLOOKUP(VF58,ChurnSeasonTable,4,FALSE)),3)*BlendedPriceEssAnnual*VI58+VT10*POWER(1-(AnnualChurn*VLOOKUP(VF58,ChurnSeasonTable,4,FALSE)),4)*BlendedPriceEssAnnual*VI58+VU46*POWER(1-(AnnualChurn*VLOOKUP(VF58,ChurnSeasonTable,4,FALSE)),1)*BlendedPricePremAnnual*VI58+VU34*POWER(1-(AnnualChurn*VLOOKUP(VF58,ChurnSeasonTable,4,FALSE)),2)*BlendedPricePremAnnual*VI58+VU22*POWER(1-(AnnualChurn*VLOOKUP(VF58,ChurnSeasonTable,4,FALSE)),3)*BlendedPricePremAnnual*VI58+VU10*POWER(1-(AnnualChurn*VLOOKUP(VF58,ChurnSeasonTable,4,FALSE)),4)*BlendedPricePremAnnual*VI58+VV46*POWER(1-(AnnualChurn*VLOOKUP(VF58,ChurnSeasonTable,4,FALSE)),1)*BlendedPriceEliteAnnual*VI58+VV34*POWER(1-(AnnualChurn*VLOOKUP(VF58,ChurnSeasonTable,4,FALSE)),2)*BlendedPriceEliteAnnual*VI58+VV22*POWER(1-(AnnualChurn*VLOOKUP(VF58,ChurnSeasonTable,4,FALSE)),3)*BlendedPriceEliteAnnual*VI58+VV10*POWER(1-(AnnualChurn*VLOOKUP(VF58,ChurnSeasonTable,4,FALSE)),4)*BlendedPriceEliteAnnual*VI58</f>
        <v/>
      </c>
      <c r="WI58" s="9">
        <f>WF58+WG58+WH58</f>
        <v/>
      </c>
      <c r="WJ58" s="12">
        <f>SUM(WI47:WI58)</f>
        <v/>
      </c>
      <c r="WK58" s="12">
        <f>OR(WK57,IF(VATAgentMode,SUM($WI47:$WI58)-SUM($WP47:$WP58)&gt;=VATThreshold,SUM($WI47:$WI58)&gt;=VATThreshold))</f>
        <v/>
      </c>
      <c r="WL58" s="9">
        <f>IF(WK58,IF(VATAgentMode,WI58-((WI58-WP58)-(WI58-WP58)/(1+VATRate)),WI58/(1+VATRate)),WI58)</f>
        <v/>
      </c>
      <c r="WM58" s="12">
        <f>WI58-WL58</f>
        <v/>
      </c>
      <c r="WN58" s="12">
        <f>IF(WK58=0,0,IF(VF58=1,SUMPRODUCT(--(($VG$5:$VG58=$VG58-1)*($VF$5:$VF58&gt;=10)*($VF$5:$VF58&lt;=12)),$WM$5:$WM58),IF(VF58=4,SUMPRODUCT(--(($VG$5:$VG58=$VG58)*($VF$5:$VF58&gt;=1)*($VF$5:$VF58&lt;=3)),$WM$5:$WM58),IF(VF58=7,SUMPRODUCT(--(($VG$5:$VG58=$VG58)*($VF$5:$VF58&gt;=4)*($VF$5:$VF58&lt;=6)),$WM$5:$WM58),IF(VF58=10,SUMPRODUCT(--(($VG$5:$VG58=$VG58)*($VF$5:$VF58&gt;=7)*($VF$5:$VF58&lt;=9)),$WM$5:$WM58),0)))))</f>
        <v/>
      </c>
      <c r="WO58" s="12">
        <f>WO57+WM58-WN58</f>
        <v/>
      </c>
      <c r="WP58" s="12">
        <f>IF(ProviderDelay&gt;=1,VW57*BlendedProvPayEss+VX57*BlendedProvPayPrem+VY57*BlendedProvPayElite+VZ57*BlendedProvPayEss+WA57*BlendedProvPayPrem+WB57*BlendedProvPayElite,VW58*BlendedProvPayEss+VX58*BlendedProvPayPrem+VY58*BlendedProvPayElite+VZ58*BlendedProvPayEss+WA58*BlendedProvPayPrem+WB58*BlendedProvPayElite)</f>
        <v/>
      </c>
      <c r="WQ58" s="12">
        <f>WI58*PaymentFee</f>
        <v/>
      </c>
      <c r="WR58" s="12">
        <f>WC58*OpsAI</f>
        <v/>
      </c>
      <c r="WS58" s="12">
        <f>MonthlyFixed</f>
        <v/>
      </c>
      <c r="WT58" s="12">
        <f>VM58*ReferralReward</f>
        <v/>
      </c>
      <c r="WU58" s="12">
        <f>VK58</f>
        <v/>
      </c>
      <c r="WV58" s="9">
        <f>WL58-WP58-WQ58-WR58-WS58-WT58-WU58</f>
        <v/>
      </c>
      <c r="WW58" s="9">
        <f>WW57+WI58-(WP58+WQ58+WR58+WS58+WT58+WU58+WN58)</f>
        <v/>
      </c>
      <c r="WX58" s="12">
        <f>IF(WC58&gt;0,WD58/WC58,0)</f>
        <v/>
      </c>
      <c r="WY58" s="11">
        <f>IF(WC57&gt;0,MAX(0,(WC57+VN58-WC58)/WC57),0)</f>
        <v/>
      </c>
      <c r="XA58" s="12" t="n">
        <v>54</v>
      </c>
      <c r="XB58" s="12">
        <f>MOD(XA58-1+LaunchMonth-1,12)+1</f>
        <v/>
      </c>
      <c r="XC58" s="12">
        <f>INT((XA58-1+LaunchMonth-1)/12)+1</f>
        <v/>
      </c>
      <c r="XD58" s="12">
        <f>VLOOKUP(XB58,SeasonTable,2,FALSE)</f>
        <v/>
      </c>
      <c r="XE58" s="12">
        <f>(1+InflationRate)^INT((XA58-1)/12)</f>
        <v/>
      </c>
      <c r="XF58" s="11">
        <f>MonthlyChurn*VLOOKUP(XB58,ChurnSeasonTable,4,FALSE)</f>
        <v/>
      </c>
      <c r="XG58" s="12">
        <f>MIN(MAX(MktMin19plus,YE57*MktPct19plus),MAX(0,YS57-CashBuffer))</f>
        <v/>
      </c>
      <c r="XH58" s="12">
        <f>IF(XG58&gt;0,MAX(1,ROUND(XG58/CAC*XD58,0)),0)</f>
        <v/>
      </c>
      <c r="XI58" s="12">
        <f>IF(XH58&gt;0,ROUND(XH58*ReferralMix/(1-ReferralMix),0),0)</f>
        <v/>
      </c>
      <c r="XJ58" s="12">
        <f>XH58+XI58</f>
        <v/>
      </c>
      <c r="XK58" s="12">
        <f>ROUND(XJ58*(1-'Sens - Annual Mix'!$A$10),0)</f>
        <v/>
      </c>
      <c r="XL58" s="12">
        <f>XJ58-XK58</f>
        <v/>
      </c>
      <c r="XM58" s="12">
        <f>ROUND(XK58*EssentialMix,0)</f>
        <v/>
      </c>
      <c r="XN58" s="12">
        <f>ROUND(XK58*PremiumMix,0)</f>
        <v/>
      </c>
      <c r="XO58" s="12">
        <f>XK58-XM58-XN58</f>
        <v/>
      </c>
      <c r="XP58" s="12">
        <f>ROUND(XL58*EssentialMix,0)</f>
        <v/>
      </c>
      <c r="XQ58" s="12">
        <f>ROUND(XL58*PremiumMix,0)</f>
        <v/>
      </c>
      <c r="XR58" s="12">
        <f>XL58-XP58-XQ58</f>
        <v/>
      </c>
      <c r="XS58" s="12">
        <f>XM58+XM57+XM56+MAX(0,XS57-XM57-XM56)*(1-XF58)</f>
        <v/>
      </c>
      <c r="XT58" s="12">
        <f>XN58+XN57+XN56+MAX(0,XT57-XN57-XN56)*(1-XF58)</f>
        <v/>
      </c>
      <c r="XU58" s="12">
        <f>XO58+XO57+XO56+MAX(0,XU57-XO57-XO56)*(1-XF58)</f>
        <v/>
      </c>
      <c r="XV58" s="12">
        <f>XV57+XP58-XP46*(AnnualChurn*VLOOKUP(XB58,ChurnSeasonTable,4,FALSE))*POWER(1-(AnnualChurn*VLOOKUP(XB58,ChurnSeasonTable,4,FALSE)),0)+XP34*(AnnualChurn*VLOOKUP(XB58,ChurnSeasonTable,4,FALSE))*POWER(1-(AnnualChurn*VLOOKUP(XB58,ChurnSeasonTable,4,FALSE)),1)+XP22*(AnnualChurn*VLOOKUP(XB58,ChurnSeasonTable,4,FALSE))*POWER(1-(AnnualChurn*VLOOKUP(XB58,ChurnSeasonTable,4,FALSE)),2)+XP10*(AnnualChurn*VLOOKUP(XB58,ChurnSeasonTable,4,FALSE))*POWER(1-(AnnualChurn*VLOOKUP(XB58,ChurnSeasonTable,4,FALSE)),3)</f>
        <v/>
      </c>
      <c r="XW58" s="12">
        <f>XW57+XQ58-XQ46*(AnnualChurn*VLOOKUP(XB58,ChurnSeasonTable,4,FALSE))*POWER(1-(AnnualChurn*VLOOKUP(XB58,ChurnSeasonTable,4,FALSE)),0)+XQ34*(AnnualChurn*VLOOKUP(XB58,ChurnSeasonTable,4,FALSE))*POWER(1-(AnnualChurn*VLOOKUP(XB58,ChurnSeasonTable,4,FALSE)),1)+XQ22*(AnnualChurn*VLOOKUP(XB58,ChurnSeasonTable,4,FALSE))*POWER(1-(AnnualChurn*VLOOKUP(XB58,ChurnSeasonTable,4,FALSE)),2)+XQ10*(AnnualChurn*VLOOKUP(XB58,ChurnSeasonTable,4,FALSE))*POWER(1-(AnnualChurn*VLOOKUP(XB58,ChurnSeasonTable,4,FALSE)),3)</f>
        <v/>
      </c>
      <c r="XX58" s="12">
        <f>XX57+XR58-XR46*(AnnualChurn*VLOOKUP(XB58,ChurnSeasonTable,4,FALSE))*POWER(1-(AnnualChurn*VLOOKUP(XB58,ChurnSeasonTable,4,FALSE)),0)+XR34*(AnnualChurn*VLOOKUP(XB58,ChurnSeasonTable,4,FALSE))*POWER(1-(AnnualChurn*VLOOKUP(XB58,ChurnSeasonTable,4,FALSE)),1)+XR22*(AnnualChurn*VLOOKUP(XB58,ChurnSeasonTable,4,FALSE))*POWER(1-(AnnualChurn*VLOOKUP(XB58,ChurnSeasonTable,4,FALSE)),2)+XR10*(AnnualChurn*VLOOKUP(XB58,ChurnSeasonTable,4,FALSE))*POWER(1-(AnnualChurn*VLOOKUP(XB58,ChurnSeasonTable,4,FALSE)),3)</f>
        <v/>
      </c>
      <c r="XY58" s="12">
        <f>XS58+XT58+XU58+XV58+XW58+XX58</f>
        <v/>
      </c>
      <c r="XZ58" s="9">
        <f>XS58*BlendedPriceEssMonthly*XE58+XT58*BlendedPricePremMonthly*XE58+XU58*BlendedPriceEliteMonthly*XE58+XV58*BlendedPriceEssAnnual*XE58/12+XW58*BlendedPricePremAnnual*XE58/12+XX58*BlendedPriceEliteAnnual*XE58/12</f>
        <v/>
      </c>
      <c r="YA58" s="9">
        <f>XZ58*12</f>
        <v/>
      </c>
      <c r="YB58" s="12">
        <f>XS58*BlendedPriceEssMonthly*XE58+XT58*BlendedPricePremMonthly*XE58+XU58*BlendedPriceEliteMonthly*XE58</f>
        <v/>
      </c>
      <c r="YC58" s="12">
        <f>XP58*BlendedPriceEssAnnual*XE58+XQ58*BlendedPricePremAnnual*XE58+XR58*BlendedPriceEliteAnnual*XE58</f>
        <v/>
      </c>
      <c r="YD58" s="12">
        <f>XP46*POWER(1-(AnnualChurn*VLOOKUP(XB58,ChurnSeasonTable,4,FALSE)),1)*BlendedPriceEssAnnual*XE58+XP34*POWER(1-(AnnualChurn*VLOOKUP(XB58,ChurnSeasonTable,4,FALSE)),2)*BlendedPriceEssAnnual*XE58+XP22*POWER(1-(AnnualChurn*VLOOKUP(XB58,ChurnSeasonTable,4,FALSE)),3)*BlendedPriceEssAnnual*XE58+XP10*POWER(1-(AnnualChurn*VLOOKUP(XB58,ChurnSeasonTable,4,FALSE)),4)*BlendedPriceEssAnnual*XE58+XQ46*POWER(1-(AnnualChurn*VLOOKUP(XB58,ChurnSeasonTable,4,FALSE)),1)*BlendedPricePremAnnual*XE58+XQ34*POWER(1-(AnnualChurn*VLOOKUP(XB58,ChurnSeasonTable,4,FALSE)),2)*BlendedPricePremAnnual*XE58+XQ22*POWER(1-(AnnualChurn*VLOOKUP(XB58,ChurnSeasonTable,4,FALSE)),3)*BlendedPricePremAnnual*XE58+XQ10*POWER(1-(AnnualChurn*VLOOKUP(XB58,ChurnSeasonTable,4,FALSE)),4)*BlendedPricePremAnnual*XE58+XR46*POWER(1-(AnnualChurn*VLOOKUP(XB58,ChurnSeasonTable,4,FALSE)),1)*BlendedPriceEliteAnnual*XE58+XR34*POWER(1-(AnnualChurn*VLOOKUP(XB58,ChurnSeasonTable,4,FALSE)),2)*BlendedPriceEliteAnnual*XE58+XR22*POWER(1-(AnnualChurn*VLOOKUP(XB58,ChurnSeasonTable,4,FALSE)),3)*BlendedPriceEliteAnnual*XE58+XR10*POWER(1-(AnnualChurn*VLOOKUP(XB58,ChurnSeasonTable,4,FALSE)),4)*BlendedPriceEliteAnnual*XE58</f>
        <v/>
      </c>
      <c r="YE58" s="9">
        <f>YB58+YC58+YD58</f>
        <v/>
      </c>
      <c r="YF58" s="12">
        <f>SUM(YE47:YE58)</f>
        <v/>
      </c>
      <c r="YG58" s="12">
        <f>OR(YG57,IF(VATAgentMode,SUM($YE47:$YE58)-SUM($YL47:$YL58)&gt;=VATThreshold,SUM($YE47:$YE58)&gt;=VATThreshold))</f>
        <v/>
      </c>
      <c r="YH58" s="9">
        <f>IF(YG58,IF(VATAgentMode,YE58-((YE58-YL58)-(YE58-YL58)/(1+VATRate)),YE58/(1+VATRate)),YE58)</f>
        <v/>
      </c>
      <c r="YI58" s="12">
        <f>YE58-YH58</f>
        <v/>
      </c>
      <c r="YJ58" s="12">
        <f>IF(YG58=0,0,IF(XB58=1,SUMPRODUCT(--(($XC$5:$XC58=$XC58-1)*($XB$5:$XB58&gt;=10)*($XB$5:$XB58&lt;=12)),$YI$5:$YI58),IF(XB58=4,SUMPRODUCT(--(($XC$5:$XC58=$XC58)*($XB$5:$XB58&gt;=1)*($XB$5:$XB58&lt;=3)),$YI$5:$YI58),IF(XB58=7,SUMPRODUCT(--(($XC$5:$XC58=$XC58)*($XB$5:$XB58&gt;=4)*($XB$5:$XB58&lt;=6)),$YI$5:$YI58),IF(XB58=10,SUMPRODUCT(--(($XC$5:$XC58=$XC58)*($XB$5:$XB58&gt;=7)*($XB$5:$XB58&lt;=9)),$YI$5:$YI58),0)))))</f>
        <v/>
      </c>
      <c r="YK58" s="12">
        <f>YK57+YI58-YJ58</f>
        <v/>
      </c>
      <c r="YL58" s="12">
        <f>IF(ProviderDelay&gt;=1,XS57*BlendedProvPayEss+XT57*BlendedProvPayPrem+XU57*BlendedProvPayElite+XV57*BlendedProvPayEss+XW57*BlendedProvPayPrem+XX57*BlendedProvPayElite,XS58*BlendedProvPayEss+XT58*BlendedProvPayPrem+XU58*BlendedProvPayElite+XV58*BlendedProvPayEss+XW58*BlendedProvPayPrem+XX58*BlendedProvPayElite)</f>
        <v/>
      </c>
      <c r="YM58" s="12">
        <f>YE58*PaymentFee</f>
        <v/>
      </c>
      <c r="YN58" s="12">
        <f>XY58*OpsAI</f>
        <v/>
      </c>
      <c r="YO58" s="12">
        <f>MonthlyFixed</f>
        <v/>
      </c>
      <c r="YP58" s="12">
        <f>XI58*ReferralReward</f>
        <v/>
      </c>
      <c r="YQ58" s="12">
        <f>XG58</f>
        <v/>
      </c>
      <c r="YR58" s="9">
        <f>YH58-YL58-YM58-YN58-YO58-YP58-YQ58</f>
        <v/>
      </c>
      <c r="YS58" s="9">
        <f>YS57+YE58-(YL58+YM58+YN58+YO58+YP58+YQ58+YJ58)</f>
        <v/>
      </c>
      <c r="YT58" s="12">
        <f>IF(XY58&gt;0,XZ58/XY58,0)</f>
        <v/>
      </c>
      <c r="YU58" s="11">
        <f>IF(XY57&gt;0,MAX(0,(XY57+XJ58-XY58)/XY57),0)</f>
        <v/>
      </c>
      <c r="YW58" s="12" t="n">
        <v>54</v>
      </c>
      <c r="YX58" s="12">
        <f>MOD(YW58-1+LaunchMonth-1,12)+1</f>
        <v/>
      </c>
      <c r="YY58" s="12">
        <f>INT((YW58-1+LaunchMonth-1)/12)+1</f>
        <v/>
      </c>
      <c r="YZ58" s="12">
        <f>VLOOKUP(YX58,SeasonTable,2,FALSE)</f>
        <v/>
      </c>
      <c r="ZA58" s="12">
        <f>(1+InflationRate)^INT((YW58-1)/12)</f>
        <v/>
      </c>
      <c r="ZB58" s="11">
        <f>MonthlyChurn*VLOOKUP(YX58,ChurnSeasonTable,4,FALSE)</f>
        <v/>
      </c>
      <c r="ZC58" s="12">
        <f>MIN(MAX(MktMin19plus,AAA57*MktPct19plus),MAX(0,AAO57-CashBuffer))</f>
        <v/>
      </c>
      <c r="ZD58" s="12">
        <f>IF(ZC58&gt;0,MAX(1,ROUND(ZC58/CAC*YZ58,0)),0)</f>
        <v/>
      </c>
      <c r="ZE58" s="12">
        <f>IF(ZD58&gt;0,ROUND(ZD58*ReferralMix/(1-ReferralMix),0),0)</f>
        <v/>
      </c>
      <c r="ZF58" s="12">
        <f>ZD58+ZE58</f>
        <v/>
      </c>
      <c r="ZG58" s="12">
        <f>ROUND(ZF58*(1-'Sens - Annual Mix'!$A$11),0)</f>
        <v/>
      </c>
      <c r="ZH58" s="12">
        <f>ZF58-ZG58</f>
        <v/>
      </c>
      <c r="ZI58" s="12">
        <f>ROUND(ZG58*EssentialMix,0)</f>
        <v/>
      </c>
      <c r="ZJ58" s="12">
        <f>ROUND(ZG58*PremiumMix,0)</f>
        <v/>
      </c>
      <c r="ZK58" s="12">
        <f>ZG58-ZI58-ZJ58</f>
        <v/>
      </c>
      <c r="ZL58" s="12">
        <f>ROUND(ZH58*EssentialMix,0)</f>
        <v/>
      </c>
      <c r="ZM58" s="12">
        <f>ROUND(ZH58*PremiumMix,0)</f>
        <v/>
      </c>
      <c r="ZN58" s="12">
        <f>ZH58-ZL58-ZM58</f>
        <v/>
      </c>
      <c r="ZO58" s="12">
        <f>ZI58+ZI57+ZI56+MAX(0,ZO57-ZI57-ZI56)*(1-ZB58)</f>
        <v/>
      </c>
      <c r="ZP58" s="12">
        <f>ZJ58+ZJ57+ZJ56+MAX(0,ZP57-ZJ57-ZJ56)*(1-ZB58)</f>
        <v/>
      </c>
      <c r="ZQ58" s="12">
        <f>ZK58+ZK57+ZK56+MAX(0,ZQ57-ZK57-ZK56)*(1-ZB58)</f>
        <v/>
      </c>
      <c r="ZR58" s="12">
        <f>ZR57+ZL58-ZL46*(AnnualChurn*VLOOKUP(YX58,ChurnSeasonTable,4,FALSE))*POWER(1-(AnnualChurn*VLOOKUP(YX58,ChurnSeasonTable,4,FALSE)),0)+ZL34*(AnnualChurn*VLOOKUP(YX58,ChurnSeasonTable,4,FALSE))*POWER(1-(AnnualChurn*VLOOKUP(YX58,ChurnSeasonTable,4,FALSE)),1)+ZL22*(AnnualChurn*VLOOKUP(YX58,ChurnSeasonTable,4,FALSE))*POWER(1-(AnnualChurn*VLOOKUP(YX58,ChurnSeasonTable,4,FALSE)),2)+ZL10*(AnnualChurn*VLOOKUP(YX58,ChurnSeasonTable,4,FALSE))*POWER(1-(AnnualChurn*VLOOKUP(YX58,ChurnSeasonTable,4,FALSE)),3)</f>
        <v/>
      </c>
      <c r="ZS58" s="12">
        <f>ZS57+ZM58-ZM46*(AnnualChurn*VLOOKUP(YX58,ChurnSeasonTable,4,FALSE))*POWER(1-(AnnualChurn*VLOOKUP(YX58,ChurnSeasonTable,4,FALSE)),0)+ZM34*(AnnualChurn*VLOOKUP(YX58,ChurnSeasonTable,4,FALSE))*POWER(1-(AnnualChurn*VLOOKUP(YX58,ChurnSeasonTable,4,FALSE)),1)+ZM22*(AnnualChurn*VLOOKUP(YX58,ChurnSeasonTable,4,FALSE))*POWER(1-(AnnualChurn*VLOOKUP(YX58,ChurnSeasonTable,4,FALSE)),2)+ZM10*(AnnualChurn*VLOOKUP(YX58,ChurnSeasonTable,4,FALSE))*POWER(1-(AnnualChurn*VLOOKUP(YX58,ChurnSeasonTable,4,FALSE)),3)</f>
        <v/>
      </c>
      <c r="ZT58" s="12">
        <f>ZT57+ZN58-ZN46*(AnnualChurn*VLOOKUP(YX58,ChurnSeasonTable,4,FALSE))*POWER(1-(AnnualChurn*VLOOKUP(YX58,ChurnSeasonTable,4,FALSE)),0)+ZN34*(AnnualChurn*VLOOKUP(YX58,ChurnSeasonTable,4,FALSE))*POWER(1-(AnnualChurn*VLOOKUP(YX58,ChurnSeasonTable,4,FALSE)),1)+ZN22*(AnnualChurn*VLOOKUP(YX58,ChurnSeasonTable,4,FALSE))*POWER(1-(AnnualChurn*VLOOKUP(YX58,ChurnSeasonTable,4,FALSE)),2)+ZN10*(AnnualChurn*VLOOKUP(YX58,ChurnSeasonTable,4,FALSE))*POWER(1-(AnnualChurn*VLOOKUP(YX58,ChurnSeasonTable,4,FALSE)),3)</f>
        <v/>
      </c>
      <c r="ZU58" s="12">
        <f>ZO58+ZP58+ZQ58+ZR58+ZS58+ZT58</f>
        <v/>
      </c>
      <c r="ZV58" s="9">
        <f>ZO58*BlendedPriceEssMonthly*ZA58+ZP58*BlendedPricePremMonthly*ZA58+ZQ58*BlendedPriceEliteMonthly*ZA58+ZR58*BlendedPriceEssAnnual*ZA58/12+ZS58*BlendedPricePremAnnual*ZA58/12+ZT58*BlendedPriceEliteAnnual*ZA58/12</f>
        <v/>
      </c>
      <c r="ZW58" s="9">
        <f>ZV58*12</f>
        <v/>
      </c>
      <c r="ZX58" s="12">
        <f>ZO58*BlendedPriceEssMonthly*ZA58+ZP58*BlendedPricePremMonthly*ZA58+ZQ58*BlendedPriceEliteMonthly*ZA58</f>
        <v/>
      </c>
      <c r="ZY58" s="12">
        <f>ZL58*BlendedPriceEssAnnual*ZA58+ZM58*BlendedPricePremAnnual*ZA58+ZN58*BlendedPriceEliteAnnual*ZA58</f>
        <v/>
      </c>
      <c r="ZZ58" s="12">
        <f>ZL46*POWER(1-(AnnualChurn*VLOOKUP(YX58,ChurnSeasonTable,4,FALSE)),1)*BlendedPriceEssAnnual*ZA58+ZL34*POWER(1-(AnnualChurn*VLOOKUP(YX58,ChurnSeasonTable,4,FALSE)),2)*BlendedPriceEssAnnual*ZA58+ZL22*POWER(1-(AnnualChurn*VLOOKUP(YX58,ChurnSeasonTable,4,FALSE)),3)*BlendedPriceEssAnnual*ZA58+ZL10*POWER(1-(AnnualChurn*VLOOKUP(YX58,ChurnSeasonTable,4,FALSE)),4)*BlendedPriceEssAnnual*ZA58+ZM46*POWER(1-(AnnualChurn*VLOOKUP(YX58,ChurnSeasonTable,4,FALSE)),1)*BlendedPricePremAnnual*ZA58+ZM34*POWER(1-(AnnualChurn*VLOOKUP(YX58,ChurnSeasonTable,4,FALSE)),2)*BlendedPricePremAnnual*ZA58+ZM22*POWER(1-(AnnualChurn*VLOOKUP(YX58,ChurnSeasonTable,4,FALSE)),3)*BlendedPricePremAnnual*ZA58+ZM10*POWER(1-(AnnualChurn*VLOOKUP(YX58,ChurnSeasonTable,4,FALSE)),4)*BlendedPricePremAnnual*ZA58+ZN46*POWER(1-(AnnualChurn*VLOOKUP(YX58,ChurnSeasonTable,4,FALSE)),1)*BlendedPriceEliteAnnual*ZA58+ZN34*POWER(1-(AnnualChurn*VLOOKUP(YX58,ChurnSeasonTable,4,FALSE)),2)*BlendedPriceEliteAnnual*ZA58+ZN22*POWER(1-(AnnualChurn*VLOOKUP(YX58,ChurnSeasonTable,4,FALSE)),3)*BlendedPriceEliteAnnual*ZA58+ZN10*POWER(1-(AnnualChurn*VLOOKUP(YX58,ChurnSeasonTable,4,FALSE)),4)*BlendedPriceEliteAnnual*ZA58</f>
        <v/>
      </c>
      <c r="AAA58" s="9">
        <f>ZX58+ZY58+ZZ58</f>
        <v/>
      </c>
      <c r="AAB58" s="12">
        <f>SUM(AAA47:AAA58)</f>
        <v/>
      </c>
      <c r="AAC58" s="12">
        <f>OR(AAC57,IF(VATAgentMode,SUM($AAA47:$AAA58)-SUM($AAH47:$AAH58)&gt;=VATThreshold,SUM($AAA47:$AAA58)&gt;=VATThreshold))</f>
        <v/>
      </c>
      <c r="AAD58" s="9">
        <f>IF(AAC58,IF(VATAgentMode,AAA58-((AAA58-AAH58)-(AAA58-AAH58)/(1+VATRate)),AAA58/(1+VATRate)),AAA58)</f>
        <v/>
      </c>
      <c r="AAE58" s="12">
        <f>AAA58-AAD58</f>
        <v/>
      </c>
      <c r="AAF58" s="12">
        <f>IF(AAC58=0,0,IF(YX58=1,SUMPRODUCT(--(($YY$5:$YY58=$YY58-1)*($YX$5:$YX58&gt;=10)*($YX$5:$YX58&lt;=12)),$AAE$5:$AAE58),IF(YX58=4,SUMPRODUCT(--(($YY$5:$YY58=$YY58)*($YX$5:$YX58&gt;=1)*($YX$5:$YX58&lt;=3)),$AAE$5:$AAE58),IF(YX58=7,SUMPRODUCT(--(($YY$5:$YY58=$YY58)*($YX$5:$YX58&gt;=4)*($YX$5:$YX58&lt;=6)),$AAE$5:$AAE58),IF(YX58=10,SUMPRODUCT(--(($YY$5:$YY58=$YY58)*($YX$5:$YX58&gt;=7)*($YX$5:$YX58&lt;=9)),$AAE$5:$AAE58),0)))))</f>
        <v/>
      </c>
      <c r="AAG58" s="12">
        <f>AAG57+AAE58-AAF58</f>
        <v/>
      </c>
      <c r="AAH58" s="12">
        <f>IF(ProviderDelay&gt;=1,ZO57*BlendedProvPayEss+ZP57*BlendedProvPayPrem+ZQ57*BlendedProvPayElite+ZR57*BlendedProvPayEss+ZS57*BlendedProvPayPrem+ZT57*BlendedProvPayElite,ZO58*BlendedProvPayEss+ZP58*BlendedProvPayPrem+ZQ58*BlendedProvPayElite+ZR58*BlendedProvPayEss+ZS58*BlendedProvPayPrem+ZT58*BlendedProvPayElite)</f>
        <v/>
      </c>
      <c r="AAI58" s="12">
        <f>AAA58*PaymentFee</f>
        <v/>
      </c>
      <c r="AAJ58" s="12">
        <f>ZU58*OpsAI</f>
        <v/>
      </c>
      <c r="AAK58" s="12">
        <f>MonthlyFixed</f>
        <v/>
      </c>
      <c r="AAL58" s="12">
        <f>ZE58*ReferralReward</f>
        <v/>
      </c>
      <c r="AAM58" s="12">
        <f>ZC58</f>
        <v/>
      </c>
      <c r="AAN58" s="9">
        <f>AAD58-AAH58-AAI58-AAJ58-AAK58-AAL58-AAM58</f>
        <v/>
      </c>
      <c r="AAO58" s="9">
        <f>AAO57+AAA58-(AAH58+AAI58+AAJ58+AAK58+AAL58+AAM58+AAF58)</f>
        <v/>
      </c>
      <c r="AAP58" s="12">
        <f>IF(ZU58&gt;0,ZV58/ZU58,0)</f>
        <v/>
      </c>
      <c r="AAQ58" s="11">
        <f>IF(ZU57&gt;0,MAX(0,(ZU57+ZF58-ZU58)/ZU57),0)</f>
        <v/>
      </c>
      <c r="AAS58" s="12" t="n">
        <v>54</v>
      </c>
      <c r="AAT58" s="12">
        <f>MOD(AAS58-1+LaunchMonth-1,12)+1</f>
        <v/>
      </c>
      <c r="AAU58" s="12">
        <f>INT((AAS58-1+LaunchMonth-1)/12)+1</f>
        <v/>
      </c>
      <c r="AAV58" s="12">
        <f>VLOOKUP(AAT58,SeasonTable,2,FALSE)</f>
        <v/>
      </c>
      <c r="AAW58" s="12">
        <f>(1+InflationRate)^INT((AAS58-1)/12)</f>
        <v/>
      </c>
      <c r="AAX58" s="11">
        <f>MonthlyChurn*VLOOKUP(AAT58,ChurnSeasonTable,4,FALSE)</f>
        <v/>
      </c>
      <c r="AAY58" s="12">
        <f>MIN(MAX(MktMin19plus,ABW57*MktPct19plus),MAX(0,ACK57-CashBuffer))</f>
        <v/>
      </c>
      <c r="AAZ58" s="12">
        <f>IF(AAY58&gt;0,MAX(1,ROUND(AAY58/CAC*AAV58,0)),0)</f>
        <v/>
      </c>
      <c r="ABA58" s="12">
        <f>IF(AAZ58&gt;0,ROUND(AAZ58*ReferralMix/(1-ReferralMix),0),0)</f>
        <v/>
      </c>
      <c r="ABB58" s="12">
        <f>AAZ58+ABA58</f>
        <v/>
      </c>
      <c r="ABC58" s="12">
        <f>ROUND(ABB58*(1-'Sens - Annual Mix'!$A$12),0)</f>
        <v/>
      </c>
      <c r="ABD58" s="12">
        <f>ABB58-ABC58</f>
        <v/>
      </c>
      <c r="ABE58" s="12">
        <f>ROUND(ABC58*EssentialMix,0)</f>
        <v/>
      </c>
      <c r="ABF58" s="12">
        <f>ROUND(ABC58*PremiumMix,0)</f>
        <v/>
      </c>
      <c r="ABG58" s="12">
        <f>ABC58-ABE58-ABF58</f>
        <v/>
      </c>
      <c r="ABH58" s="12">
        <f>ROUND(ABD58*EssentialMix,0)</f>
        <v/>
      </c>
      <c r="ABI58" s="12">
        <f>ROUND(ABD58*PremiumMix,0)</f>
        <v/>
      </c>
      <c r="ABJ58" s="12">
        <f>ABD58-ABH58-ABI58</f>
        <v/>
      </c>
      <c r="ABK58" s="12">
        <f>ABE58+ABE57+ABE56+MAX(0,ABK57-ABE57-ABE56)*(1-AAX58)</f>
        <v/>
      </c>
      <c r="ABL58" s="12">
        <f>ABF58+ABF57+ABF56+MAX(0,ABL57-ABF57-ABF56)*(1-AAX58)</f>
        <v/>
      </c>
      <c r="ABM58" s="12">
        <f>ABG58+ABG57+ABG56+MAX(0,ABM57-ABG57-ABG56)*(1-AAX58)</f>
        <v/>
      </c>
      <c r="ABN58" s="12">
        <f>ABN57+ABH58-ABH46*(AnnualChurn*VLOOKUP(AAT58,ChurnSeasonTable,4,FALSE))*POWER(1-(AnnualChurn*VLOOKUP(AAT58,ChurnSeasonTable,4,FALSE)),0)+ABH34*(AnnualChurn*VLOOKUP(AAT58,ChurnSeasonTable,4,FALSE))*POWER(1-(AnnualChurn*VLOOKUP(AAT58,ChurnSeasonTable,4,FALSE)),1)+ABH22*(AnnualChurn*VLOOKUP(AAT58,ChurnSeasonTable,4,FALSE))*POWER(1-(AnnualChurn*VLOOKUP(AAT58,ChurnSeasonTable,4,FALSE)),2)+ABH10*(AnnualChurn*VLOOKUP(AAT58,ChurnSeasonTable,4,FALSE))*POWER(1-(AnnualChurn*VLOOKUP(AAT58,ChurnSeasonTable,4,FALSE)),3)</f>
        <v/>
      </c>
      <c r="ABO58" s="12">
        <f>ABO57+ABI58-ABI46*(AnnualChurn*VLOOKUP(AAT58,ChurnSeasonTable,4,FALSE))*POWER(1-(AnnualChurn*VLOOKUP(AAT58,ChurnSeasonTable,4,FALSE)),0)+ABI34*(AnnualChurn*VLOOKUP(AAT58,ChurnSeasonTable,4,FALSE))*POWER(1-(AnnualChurn*VLOOKUP(AAT58,ChurnSeasonTable,4,FALSE)),1)+ABI22*(AnnualChurn*VLOOKUP(AAT58,ChurnSeasonTable,4,FALSE))*POWER(1-(AnnualChurn*VLOOKUP(AAT58,ChurnSeasonTable,4,FALSE)),2)+ABI10*(AnnualChurn*VLOOKUP(AAT58,ChurnSeasonTable,4,FALSE))*POWER(1-(AnnualChurn*VLOOKUP(AAT58,ChurnSeasonTable,4,FALSE)),3)</f>
        <v/>
      </c>
      <c r="ABP58" s="12">
        <f>ABP57+ABJ58-ABJ46*(AnnualChurn*VLOOKUP(AAT58,ChurnSeasonTable,4,FALSE))*POWER(1-(AnnualChurn*VLOOKUP(AAT58,ChurnSeasonTable,4,FALSE)),0)+ABJ34*(AnnualChurn*VLOOKUP(AAT58,ChurnSeasonTable,4,FALSE))*POWER(1-(AnnualChurn*VLOOKUP(AAT58,ChurnSeasonTable,4,FALSE)),1)+ABJ22*(AnnualChurn*VLOOKUP(AAT58,ChurnSeasonTable,4,FALSE))*POWER(1-(AnnualChurn*VLOOKUP(AAT58,ChurnSeasonTable,4,FALSE)),2)+ABJ10*(AnnualChurn*VLOOKUP(AAT58,ChurnSeasonTable,4,FALSE))*POWER(1-(AnnualChurn*VLOOKUP(AAT58,ChurnSeasonTable,4,FALSE)),3)</f>
        <v/>
      </c>
      <c r="ABQ58" s="12">
        <f>ABK58+ABL58+ABM58+ABN58+ABO58+ABP58</f>
        <v/>
      </c>
      <c r="ABR58" s="9">
        <f>ABK58*BlendedPriceEssMonthly*AAW58+ABL58*BlendedPricePremMonthly*AAW58+ABM58*BlendedPriceEliteMonthly*AAW58+ABN58*BlendedPriceEssAnnual*AAW58/12+ABO58*BlendedPricePremAnnual*AAW58/12+ABP58*BlendedPriceEliteAnnual*AAW58/12</f>
        <v/>
      </c>
      <c r="ABS58" s="9">
        <f>ABR58*12</f>
        <v/>
      </c>
      <c r="ABT58" s="12">
        <f>ABK58*BlendedPriceEssMonthly*AAW58+ABL58*BlendedPricePremMonthly*AAW58+ABM58*BlendedPriceEliteMonthly*AAW58</f>
        <v/>
      </c>
      <c r="ABU58" s="12">
        <f>ABH58*BlendedPriceEssAnnual*AAW58+ABI58*BlendedPricePremAnnual*AAW58+ABJ58*BlendedPriceEliteAnnual*AAW58</f>
        <v/>
      </c>
      <c r="ABV58" s="12">
        <f>ABH46*POWER(1-(AnnualChurn*VLOOKUP(AAT58,ChurnSeasonTable,4,FALSE)),1)*BlendedPriceEssAnnual*AAW58+ABH34*POWER(1-(AnnualChurn*VLOOKUP(AAT58,ChurnSeasonTable,4,FALSE)),2)*BlendedPriceEssAnnual*AAW58+ABH22*POWER(1-(AnnualChurn*VLOOKUP(AAT58,ChurnSeasonTable,4,FALSE)),3)*BlendedPriceEssAnnual*AAW58+ABH10*POWER(1-(AnnualChurn*VLOOKUP(AAT58,ChurnSeasonTable,4,FALSE)),4)*BlendedPriceEssAnnual*AAW58+ABI46*POWER(1-(AnnualChurn*VLOOKUP(AAT58,ChurnSeasonTable,4,FALSE)),1)*BlendedPricePremAnnual*AAW58+ABI34*POWER(1-(AnnualChurn*VLOOKUP(AAT58,ChurnSeasonTable,4,FALSE)),2)*BlendedPricePremAnnual*AAW58+ABI22*POWER(1-(AnnualChurn*VLOOKUP(AAT58,ChurnSeasonTable,4,FALSE)),3)*BlendedPricePremAnnual*AAW58+ABI10*POWER(1-(AnnualChurn*VLOOKUP(AAT58,ChurnSeasonTable,4,FALSE)),4)*BlendedPricePremAnnual*AAW58+ABJ46*POWER(1-(AnnualChurn*VLOOKUP(AAT58,ChurnSeasonTable,4,FALSE)),1)*BlendedPriceEliteAnnual*AAW58+ABJ34*POWER(1-(AnnualChurn*VLOOKUP(AAT58,ChurnSeasonTable,4,FALSE)),2)*BlendedPriceEliteAnnual*AAW58+ABJ22*POWER(1-(AnnualChurn*VLOOKUP(AAT58,ChurnSeasonTable,4,FALSE)),3)*BlendedPriceEliteAnnual*AAW58+ABJ10*POWER(1-(AnnualChurn*VLOOKUP(AAT58,ChurnSeasonTable,4,FALSE)),4)*BlendedPriceEliteAnnual*AAW58</f>
        <v/>
      </c>
      <c r="ABW58" s="9">
        <f>ABT58+ABU58+ABV58</f>
        <v/>
      </c>
      <c r="ABX58" s="12">
        <f>SUM(ABW47:ABW58)</f>
        <v/>
      </c>
      <c r="ABY58" s="12">
        <f>OR(ABY57,IF(VATAgentMode,SUM($ABW47:$ABW58)-SUM($ACD47:$ACD58)&gt;=VATThreshold,SUM($ABW47:$ABW58)&gt;=VATThreshold))</f>
        <v/>
      </c>
      <c r="ABZ58" s="9">
        <f>IF(ABY58,IF(VATAgentMode,ABW58-((ABW58-ACD58)-(ABW58-ACD58)/(1+VATRate)),ABW58/(1+VATRate)),ABW58)</f>
        <v/>
      </c>
      <c r="ACA58" s="12">
        <f>ABW58-ABZ58</f>
        <v/>
      </c>
      <c r="ACB58" s="12">
        <f>IF(ABY58=0,0,IF(AAT58=1,SUMPRODUCT(--(($AAU$5:$AAU58=$AAU58-1)*($AAT$5:$AAT58&gt;=10)*($AAT$5:$AAT58&lt;=12)),$ACA$5:$ACA58),IF(AAT58=4,SUMPRODUCT(--(($AAU$5:$AAU58=$AAU58)*($AAT$5:$AAT58&gt;=1)*($AAT$5:$AAT58&lt;=3)),$ACA$5:$ACA58),IF(AAT58=7,SUMPRODUCT(--(($AAU$5:$AAU58=$AAU58)*($AAT$5:$AAT58&gt;=4)*($AAT$5:$AAT58&lt;=6)),$ACA$5:$ACA58),IF(AAT58=10,SUMPRODUCT(--(($AAU$5:$AAU58=$AAU58)*($AAT$5:$AAT58&gt;=7)*($AAT$5:$AAT58&lt;=9)),$ACA$5:$ACA58),0)))))</f>
        <v/>
      </c>
      <c r="ACC58" s="12">
        <f>ACC57+ACA58-ACB58</f>
        <v/>
      </c>
      <c r="ACD58" s="12">
        <f>IF(ProviderDelay&gt;=1,ABK57*BlendedProvPayEss+ABL57*BlendedProvPayPrem+ABM57*BlendedProvPayElite+ABN57*BlendedProvPayEss+ABO57*BlendedProvPayPrem+ABP57*BlendedProvPayElite,ABK58*BlendedProvPayEss+ABL58*BlendedProvPayPrem+ABM58*BlendedProvPayElite+ABN58*BlendedProvPayEss+ABO58*BlendedProvPayPrem+ABP58*BlendedProvPayElite)</f>
        <v/>
      </c>
      <c r="ACE58" s="12">
        <f>ABW58*PaymentFee</f>
        <v/>
      </c>
      <c r="ACF58" s="12">
        <f>ABQ58*OpsAI</f>
        <v/>
      </c>
      <c r="ACG58" s="12">
        <f>MonthlyFixed</f>
        <v/>
      </c>
      <c r="ACH58" s="12">
        <f>ABA58*ReferralReward</f>
        <v/>
      </c>
      <c r="ACI58" s="12">
        <f>AAY58</f>
        <v/>
      </c>
      <c r="ACJ58" s="9">
        <f>ABZ58-ACD58-ACE58-ACF58-ACG58-ACH58-ACI58</f>
        <v/>
      </c>
      <c r="ACK58" s="9">
        <f>ACK57+ABW58-(ACD58+ACE58+ACF58+ACG58+ACH58+ACI58+ACB58)</f>
        <v/>
      </c>
      <c r="ACL58" s="12">
        <f>IF(ABQ58&gt;0,ABR58/ABQ58,0)</f>
        <v/>
      </c>
      <c r="ACM58" s="11">
        <f>IF(ABQ57&gt;0,MAX(0,(ABQ57+ABB58-ABQ58)/ABQ57),0)</f>
        <v/>
      </c>
      <c r="ACO58" s="12" t="n">
        <v>54</v>
      </c>
      <c r="ACP58" s="12">
        <f>MOD(ACO58-1+LaunchMonth-1,12)+1</f>
        <v/>
      </c>
      <c r="ACQ58" s="12">
        <f>INT((ACO58-1+LaunchMonth-1)/12)+1</f>
        <v/>
      </c>
      <c r="ACR58" s="12">
        <f>VLOOKUP(ACP58,SeasonTable,2,FALSE)</f>
        <v/>
      </c>
      <c r="ACS58" s="12">
        <f>(1+InflationRate)^INT((ACO58-1)/12)</f>
        <v/>
      </c>
      <c r="ACT58" s="11">
        <f>MonthlyChurn*VLOOKUP(ACP58,ChurnSeasonTable,4,FALSE)</f>
        <v/>
      </c>
      <c r="ACU58" s="12">
        <f>MIN(MAX(MktMin19plus,ADS57*MktPct19plus),MAX(0,AEG57-CashBuffer))</f>
        <v/>
      </c>
      <c r="ACV58" s="12">
        <f>IF(ACU58&gt;0,MAX(1,ROUND(ACU58/CAC*ACR58,0)),0)</f>
        <v/>
      </c>
      <c r="ACW58" s="12">
        <f>IF(ACV58&gt;0,ROUND(ACV58*ReferralMix/(1-ReferralMix),0),0)</f>
        <v/>
      </c>
      <c r="ACX58" s="12">
        <f>ACV58+ACW58</f>
        <v/>
      </c>
      <c r="ACY58" s="12">
        <f>ROUND(ACX58*(1-'Sens - Annual Mix'!$A$13),0)</f>
        <v/>
      </c>
      <c r="ACZ58" s="12">
        <f>ACX58-ACY58</f>
        <v/>
      </c>
      <c r="ADA58" s="12">
        <f>ROUND(ACY58*EssentialMix,0)</f>
        <v/>
      </c>
      <c r="ADB58" s="12">
        <f>ROUND(ACY58*PremiumMix,0)</f>
        <v/>
      </c>
      <c r="ADC58" s="12">
        <f>ACY58-ADA58-ADB58</f>
        <v/>
      </c>
      <c r="ADD58" s="12">
        <f>ROUND(ACZ58*EssentialMix,0)</f>
        <v/>
      </c>
      <c r="ADE58" s="12">
        <f>ROUND(ACZ58*PremiumMix,0)</f>
        <v/>
      </c>
      <c r="ADF58" s="12">
        <f>ACZ58-ADD58-ADE58</f>
        <v/>
      </c>
      <c r="ADG58" s="12">
        <f>ADA58+ADA57+ADA56+MAX(0,ADG57-ADA57-ADA56)*(1-ACT58)</f>
        <v/>
      </c>
      <c r="ADH58" s="12">
        <f>ADB58+ADB57+ADB56+MAX(0,ADH57-ADB57-ADB56)*(1-ACT58)</f>
        <v/>
      </c>
      <c r="ADI58" s="12">
        <f>ADC58+ADC57+ADC56+MAX(0,ADI57-ADC57-ADC56)*(1-ACT58)</f>
        <v/>
      </c>
      <c r="ADJ58" s="12">
        <f>ADJ57+ADD58-ADD46*(AnnualChurn*VLOOKUP(ACP58,ChurnSeasonTable,4,FALSE))*POWER(1-(AnnualChurn*VLOOKUP(ACP58,ChurnSeasonTable,4,FALSE)),0)+ADD34*(AnnualChurn*VLOOKUP(ACP58,ChurnSeasonTable,4,FALSE))*POWER(1-(AnnualChurn*VLOOKUP(ACP58,ChurnSeasonTable,4,FALSE)),1)+ADD22*(AnnualChurn*VLOOKUP(ACP58,ChurnSeasonTable,4,FALSE))*POWER(1-(AnnualChurn*VLOOKUP(ACP58,ChurnSeasonTable,4,FALSE)),2)+ADD10*(AnnualChurn*VLOOKUP(ACP58,ChurnSeasonTable,4,FALSE))*POWER(1-(AnnualChurn*VLOOKUP(ACP58,ChurnSeasonTable,4,FALSE)),3)</f>
        <v/>
      </c>
      <c r="ADK58" s="12">
        <f>ADK57+ADE58-ADE46*(AnnualChurn*VLOOKUP(ACP58,ChurnSeasonTable,4,FALSE))*POWER(1-(AnnualChurn*VLOOKUP(ACP58,ChurnSeasonTable,4,FALSE)),0)+ADE34*(AnnualChurn*VLOOKUP(ACP58,ChurnSeasonTable,4,FALSE))*POWER(1-(AnnualChurn*VLOOKUP(ACP58,ChurnSeasonTable,4,FALSE)),1)+ADE22*(AnnualChurn*VLOOKUP(ACP58,ChurnSeasonTable,4,FALSE))*POWER(1-(AnnualChurn*VLOOKUP(ACP58,ChurnSeasonTable,4,FALSE)),2)+ADE10*(AnnualChurn*VLOOKUP(ACP58,ChurnSeasonTable,4,FALSE))*POWER(1-(AnnualChurn*VLOOKUP(ACP58,ChurnSeasonTable,4,FALSE)),3)</f>
        <v/>
      </c>
      <c r="ADL58" s="12">
        <f>ADL57+ADF58-ADF46*(AnnualChurn*VLOOKUP(ACP58,ChurnSeasonTable,4,FALSE))*POWER(1-(AnnualChurn*VLOOKUP(ACP58,ChurnSeasonTable,4,FALSE)),0)+ADF34*(AnnualChurn*VLOOKUP(ACP58,ChurnSeasonTable,4,FALSE))*POWER(1-(AnnualChurn*VLOOKUP(ACP58,ChurnSeasonTable,4,FALSE)),1)+ADF22*(AnnualChurn*VLOOKUP(ACP58,ChurnSeasonTable,4,FALSE))*POWER(1-(AnnualChurn*VLOOKUP(ACP58,ChurnSeasonTable,4,FALSE)),2)+ADF10*(AnnualChurn*VLOOKUP(ACP58,ChurnSeasonTable,4,FALSE))*POWER(1-(AnnualChurn*VLOOKUP(ACP58,ChurnSeasonTable,4,FALSE)),3)</f>
        <v/>
      </c>
      <c r="ADM58" s="12">
        <f>ADG58+ADH58+ADI58+ADJ58+ADK58+ADL58</f>
        <v/>
      </c>
      <c r="ADN58" s="9">
        <f>ADG58*BlendedPriceEssMonthly*ACS58+ADH58*BlendedPricePremMonthly*ACS58+ADI58*BlendedPriceEliteMonthly*ACS58+ADJ58*BlendedPriceEssAnnual*ACS58/12+ADK58*BlendedPricePremAnnual*ACS58/12+ADL58*BlendedPriceEliteAnnual*ACS58/12</f>
        <v/>
      </c>
      <c r="ADO58" s="9">
        <f>ADN58*12</f>
        <v/>
      </c>
      <c r="ADP58" s="12">
        <f>ADG58*BlendedPriceEssMonthly*ACS58+ADH58*BlendedPricePremMonthly*ACS58+ADI58*BlendedPriceEliteMonthly*ACS58</f>
        <v/>
      </c>
      <c r="ADQ58" s="12">
        <f>ADD58*BlendedPriceEssAnnual*ACS58+ADE58*BlendedPricePremAnnual*ACS58+ADF58*BlendedPriceEliteAnnual*ACS58</f>
        <v/>
      </c>
      <c r="ADR58" s="12">
        <f>ADD46*POWER(1-(AnnualChurn*VLOOKUP(ACP58,ChurnSeasonTable,4,FALSE)),1)*BlendedPriceEssAnnual*ACS58+ADD34*POWER(1-(AnnualChurn*VLOOKUP(ACP58,ChurnSeasonTable,4,FALSE)),2)*BlendedPriceEssAnnual*ACS58+ADD22*POWER(1-(AnnualChurn*VLOOKUP(ACP58,ChurnSeasonTable,4,FALSE)),3)*BlendedPriceEssAnnual*ACS58+ADD10*POWER(1-(AnnualChurn*VLOOKUP(ACP58,ChurnSeasonTable,4,FALSE)),4)*BlendedPriceEssAnnual*ACS58+ADE46*POWER(1-(AnnualChurn*VLOOKUP(ACP58,ChurnSeasonTable,4,FALSE)),1)*BlendedPricePremAnnual*ACS58+ADE34*POWER(1-(AnnualChurn*VLOOKUP(ACP58,ChurnSeasonTable,4,FALSE)),2)*BlendedPricePremAnnual*ACS58+ADE22*POWER(1-(AnnualChurn*VLOOKUP(ACP58,ChurnSeasonTable,4,FALSE)),3)*BlendedPricePremAnnual*ACS58+ADE10*POWER(1-(AnnualChurn*VLOOKUP(ACP58,ChurnSeasonTable,4,FALSE)),4)*BlendedPricePremAnnual*ACS58+ADF46*POWER(1-(AnnualChurn*VLOOKUP(ACP58,ChurnSeasonTable,4,FALSE)),1)*BlendedPriceEliteAnnual*ACS58+ADF34*POWER(1-(AnnualChurn*VLOOKUP(ACP58,ChurnSeasonTable,4,FALSE)),2)*BlendedPriceEliteAnnual*ACS58+ADF22*POWER(1-(AnnualChurn*VLOOKUP(ACP58,ChurnSeasonTable,4,FALSE)),3)*BlendedPriceEliteAnnual*ACS58+ADF10*POWER(1-(AnnualChurn*VLOOKUP(ACP58,ChurnSeasonTable,4,FALSE)),4)*BlendedPriceEliteAnnual*ACS58</f>
        <v/>
      </c>
      <c r="ADS58" s="9">
        <f>ADP58+ADQ58+ADR58</f>
        <v/>
      </c>
      <c r="ADT58" s="12">
        <f>SUM(ADS47:ADS58)</f>
        <v/>
      </c>
      <c r="ADU58" s="12">
        <f>OR(ADU57,IF(VATAgentMode,SUM($ADS47:$ADS58)-SUM($ADZ47:$ADZ58)&gt;=VATThreshold,SUM($ADS47:$ADS58)&gt;=VATThreshold))</f>
        <v/>
      </c>
      <c r="ADV58" s="9">
        <f>IF(ADU58,IF(VATAgentMode,ADS58-((ADS58-ADZ58)-(ADS58-ADZ58)/(1+VATRate)),ADS58/(1+VATRate)),ADS58)</f>
        <v/>
      </c>
      <c r="ADW58" s="12">
        <f>ADS58-ADV58</f>
        <v/>
      </c>
      <c r="ADX58" s="12">
        <f>IF(ADU58=0,0,IF(ACP58=1,SUMPRODUCT(--(($ACQ$5:$ACQ58=$ACQ58-1)*($ACP$5:$ACP58&gt;=10)*($ACP$5:$ACP58&lt;=12)),$ADW$5:$ADW58),IF(ACP58=4,SUMPRODUCT(--(($ACQ$5:$ACQ58=$ACQ58)*($ACP$5:$ACP58&gt;=1)*($ACP$5:$ACP58&lt;=3)),$ADW$5:$ADW58),IF(ACP58=7,SUMPRODUCT(--(($ACQ$5:$ACQ58=$ACQ58)*($ACP$5:$ACP58&gt;=4)*($ACP$5:$ACP58&lt;=6)),$ADW$5:$ADW58),IF(ACP58=10,SUMPRODUCT(--(($ACQ$5:$ACQ58=$ACQ58)*($ACP$5:$ACP58&gt;=7)*($ACP$5:$ACP58&lt;=9)),$ADW$5:$ADW58),0)))))</f>
        <v/>
      </c>
      <c r="ADY58" s="12">
        <f>ADY57+ADW58-ADX58</f>
        <v/>
      </c>
      <c r="ADZ58" s="12">
        <f>IF(ProviderDelay&gt;=1,ADG57*BlendedProvPayEss+ADH57*BlendedProvPayPrem+ADI57*BlendedProvPayElite+ADJ57*BlendedProvPayEss+ADK57*BlendedProvPayPrem+ADL57*BlendedProvPayElite,ADG58*BlendedProvPayEss+ADH58*BlendedProvPayPrem+ADI58*BlendedProvPayElite+ADJ58*BlendedProvPayEss+ADK58*BlendedProvPayPrem+ADL58*BlendedProvPayElite)</f>
        <v/>
      </c>
      <c r="AEA58" s="12">
        <f>ADS58*PaymentFee</f>
        <v/>
      </c>
      <c r="AEB58" s="12">
        <f>ADM58*OpsAI</f>
        <v/>
      </c>
      <c r="AEC58" s="12">
        <f>MonthlyFixed</f>
        <v/>
      </c>
      <c r="AED58" s="12">
        <f>ACW58*ReferralReward</f>
        <v/>
      </c>
      <c r="AEE58" s="12">
        <f>ACU58</f>
        <v/>
      </c>
      <c r="AEF58" s="9">
        <f>ADV58-ADZ58-AEA58-AEB58-AEC58-AED58-AEE58</f>
        <v/>
      </c>
      <c r="AEG58" s="9">
        <f>AEG57+ADS58-(ADZ58+AEA58+AEB58+AEC58+AED58+AEE58+ADX58)</f>
        <v/>
      </c>
      <c r="AEH58" s="12">
        <f>IF(ADM58&gt;0,ADN58/ADM58,0)</f>
        <v/>
      </c>
      <c r="AEI58" s="11">
        <f>IF(ADM57&gt;0,MAX(0,(ADM57+ACX58-ADM58)/ADM57),0)</f>
        <v/>
      </c>
      <c r="AEK58" s="12" t="n">
        <v>54</v>
      </c>
      <c r="AEL58" s="12">
        <f>MOD(AEK58-1+LaunchMonth-1,12)+1</f>
        <v/>
      </c>
      <c r="AEM58" s="12">
        <f>INT((AEK58-1+LaunchMonth-1)/12)+1</f>
        <v/>
      </c>
      <c r="AEN58" s="12">
        <f>VLOOKUP(AEL58,SeasonTable,2,FALSE)</f>
        <v/>
      </c>
      <c r="AEO58" s="12">
        <f>(1+InflationRate)^INT((AEK58-1)/12)</f>
        <v/>
      </c>
      <c r="AEP58" s="11">
        <f>MonthlyChurn*VLOOKUP(AEL58,ChurnSeasonTable,4,FALSE)</f>
        <v/>
      </c>
      <c r="AEQ58" s="12">
        <f>MIN(MAX(MktMin19plus,AFO57*MktPct19plus),MAX(0,AGC57-CashBuffer))</f>
        <v/>
      </c>
      <c r="AER58" s="12">
        <f>IF(AEQ58&gt;0,MAX(1,ROUND(AEQ58/CAC*AEN58,0)),0)</f>
        <v/>
      </c>
      <c r="AES58" s="12">
        <f>IF(AER58&gt;0,ROUND(AER58*ReferralMix/(1-ReferralMix),0),0)</f>
        <v/>
      </c>
      <c r="AET58" s="12">
        <f>AER58+AES58</f>
        <v/>
      </c>
      <c r="AEU58" s="12">
        <f>ROUND(AET58*(1-'Sens - Annual Mix'!$A$14),0)</f>
        <v/>
      </c>
      <c r="AEV58" s="12">
        <f>AET58-AEU58</f>
        <v/>
      </c>
      <c r="AEW58" s="12">
        <f>ROUND(AEU58*EssentialMix,0)</f>
        <v/>
      </c>
      <c r="AEX58" s="12">
        <f>ROUND(AEU58*PremiumMix,0)</f>
        <v/>
      </c>
      <c r="AEY58" s="12">
        <f>AEU58-AEW58-AEX58</f>
        <v/>
      </c>
      <c r="AEZ58" s="12">
        <f>ROUND(AEV58*EssentialMix,0)</f>
        <v/>
      </c>
      <c r="AFA58" s="12">
        <f>ROUND(AEV58*PremiumMix,0)</f>
        <v/>
      </c>
      <c r="AFB58" s="12">
        <f>AEV58-AEZ58-AFA58</f>
        <v/>
      </c>
      <c r="AFC58" s="12">
        <f>AEW58+AEW57+AEW56+MAX(0,AFC57-AEW57-AEW56)*(1-AEP58)</f>
        <v/>
      </c>
      <c r="AFD58" s="12">
        <f>AEX58+AEX57+AEX56+MAX(0,AFD57-AEX57-AEX56)*(1-AEP58)</f>
        <v/>
      </c>
      <c r="AFE58" s="12">
        <f>AEY58+AEY57+AEY56+MAX(0,AFE57-AEY57-AEY56)*(1-AEP58)</f>
        <v/>
      </c>
      <c r="AFF58" s="12">
        <f>AFF57+AEZ58-AEZ46*(AnnualChurn*VLOOKUP(AEL58,ChurnSeasonTable,4,FALSE))*POWER(1-(AnnualChurn*VLOOKUP(AEL58,ChurnSeasonTable,4,FALSE)),0)+AEZ34*(AnnualChurn*VLOOKUP(AEL58,ChurnSeasonTable,4,FALSE))*POWER(1-(AnnualChurn*VLOOKUP(AEL58,ChurnSeasonTable,4,FALSE)),1)+AEZ22*(AnnualChurn*VLOOKUP(AEL58,ChurnSeasonTable,4,FALSE))*POWER(1-(AnnualChurn*VLOOKUP(AEL58,ChurnSeasonTable,4,FALSE)),2)+AEZ10*(AnnualChurn*VLOOKUP(AEL58,ChurnSeasonTable,4,FALSE))*POWER(1-(AnnualChurn*VLOOKUP(AEL58,ChurnSeasonTable,4,FALSE)),3)</f>
        <v/>
      </c>
      <c r="AFG58" s="12">
        <f>AFG57+AFA58-AFA46*(AnnualChurn*VLOOKUP(AEL58,ChurnSeasonTable,4,FALSE))*POWER(1-(AnnualChurn*VLOOKUP(AEL58,ChurnSeasonTable,4,FALSE)),0)+AFA34*(AnnualChurn*VLOOKUP(AEL58,ChurnSeasonTable,4,FALSE))*POWER(1-(AnnualChurn*VLOOKUP(AEL58,ChurnSeasonTable,4,FALSE)),1)+AFA22*(AnnualChurn*VLOOKUP(AEL58,ChurnSeasonTable,4,FALSE))*POWER(1-(AnnualChurn*VLOOKUP(AEL58,ChurnSeasonTable,4,FALSE)),2)+AFA10*(AnnualChurn*VLOOKUP(AEL58,ChurnSeasonTable,4,FALSE))*POWER(1-(AnnualChurn*VLOOKUP(AEL58,ChurnSeasonTable,4,FALSE)),3)</f>
        <v/>
      </c>
      <c r="AFH58" s="12">
        <f>AFH57+AFB58-AFB46*(AnnualChurn*VLOOKUP(AEL58,ChurnSeasonTable,4,FALSE))*POWER(1-(AnnualChurn*VLOOKUP(AEL58,ChurnSeasonTable,4,FALSE)),0)+AFB34*(AnnualChurn*VLOOKUP(AEL58,ChurnSeasonTable,4,FALSE))*POWER(1-(AnnualChurn*VLOOKUP(AEL58,ChurnSeasonTable,4,FALSE)),1)+AFB22*(AnnualChurn*VLOOKUP(AEL58,ChurnSeasonTable,4,FALSE))*POWER(1-(AnnualChurn*VLOOKUP(AEL58,ChurnSeasonTable,4,FALSE)),2)+AFB10*(AnnualChurn*VLOOKUP(AEL58,ChurnSeasonTable,4,FALSE))*POWER(1-(AnnualChurn*VLOOKUP(AEL58,ChurnSeasonTable,4,FALSE)),3)</f>
        <v/>
      </c>
      <c r="AFI58" s="12">
        <f>AFC58+AFD58+AFE58+AFF58+AFG58+AFH58</f>
        <v/>
      </c>
      <c r="AFJ58" s="9">
        <f>AFC58*BlendedPriceEssMonthly*AEO58+AFD58*BlendedPricePremMonthly*AEO58+AFE58*BlendedPriceEliteMonthly*AEO58+AFF58*BlendedPriceEssAnnual*AEO58/12+AFG58*BlendedPricePremAnnual*AEO58/12+AFH58*BlendedPriceEliteAnnual*AEO58/12</f>
        <v/>
      </c>
      <c r="AFK58" s="9">
        <f>AFJ58*12</f>
        <v/>
      </c>
      <c r="AFL58" s="12">
        <f>AFC58*BlendedPriceEssMonthly*AEO58+AFD58*BlendedPricePremMonthly*AEO58+AFE58*BlendedPriceEliteMonthly*AEO58</f>
        <v/>
      </c>
      <c r="AFM58" s="12">
        <f>AEZ58*BlendedPriceEssAnnual*AEO58+AFA58*BlendedPricePremAnnual*AEO58+AFB58*BlendedPriceEliteAnnual*AEO58</f>
        <v/>
      </c>
      <c r="AFN58" s="12">
        <f>AEZ46*POWER(1-(AnnualChurn*VLOOKUP(AEL58,ChurnSeasonTable,4,FALSE)),1)*BlendedPriceEssAnnual*AEO58+AEZ34*POWER(1-(AnnualChurn*VLOOKUP(AEL58,ChurnSeasonTable,4,FALSE)),2)*BlendedPriceEssAnnual*AEO58+AEZ22*POWER(1-(AnnualChurn*VLOOKUP(AEL58,ChurnSeasonTable,4,FALSE)),3)*BlendedPriceEssAnnual*AEO58+AEZ10*POWER(1-(AnnualChurn*VLOOKUP(AEL58,ChurnSeasonTable,4,FALSE)),4)*BlendedPriceEssAnnual*AEO58+AFA46*POWER(1-(AnnualChurn*VLOOKUP(AEL58,ChurnSeasonTable,4,FALSE)),1)*BlendedPricePremAnnual*AEO58+AFA34*POWER(1-(AnnualChurn*VLOOKUP(AEL58,ChurnSeasonTable,4,FALSE)),2)*BlendedPricePremAnnual*AEO58+AFA22*POWER(1-(AnnualChurn*VLOOKUP(AEL58,ChurnSeasonTable,4,FALSE)),3)*BlendedPricePremAnnual*AEO58+AFA10*POWER(1-(AnnualChurn*VLOOKUP(AEL58,ChurnSeasonTable,4,FALSE)),4)*BlendedPricePremAnnual*AEO58+AFB46*POWER(1-(AnnualChurn*VLOOKUP(AEL58,ChurnSeasonTable,4,FALSE)),1)*BlendedPriceEliteAnnual*AEO58+AFB34*POWER(1-(AnnualChurn*VLOOKUP(AEL58,ChurnSeasonTable,4,FALSE)),2)*BlendedPriceEliteAnnual*AEO58+AFB22*POWER(1-(AnnualChurn*VLOOKUP(AEL58,ChurnSeasonTable,4,FALSE)),3)*BlendedPriceEliteAnnual*AEO58+AFB10*POWER(1-(AnnualChurn*VLOOKUP(AEL58,ChurnSeasonTable,4,FALSE)),4)*BlendedPriceEliteAnnual*AEO58</f>
        <v/>
      </c>
      <c r="AFO58" s="9">
        <f>AFL58+AFM58+AFN58</f>
        <v/>
      </c>
      <c r="AFP58" s="12">
        <f>SUM(AFO47:AFO58)</f>
        <v/>
      </c>
      <c r="AFQ58" s="12">
        <f>OR(AFQ57,IF(VATAgentMode,SUM($AFO47:$AFO58)-SUM($AFV47:$AFV58)&gt;=VATThreshold,SUM($AFO47:$AFO58)&gt;=VATThreshold))</f>
        <v/>
      </c>
      <c r="AFR58" s="9">
        <f>IF(AFQ58,IF(VATAgentMode,AFO58-((AFO58-AFV58)-(AFO58-AFV58)/(1+VATRate)),AFO58/(1+VATRate)),AFO58)</f>
        <v/>
      </c>
      <c r="AFS58" s="12">
        <f>AFO58-AFR58</f>
        <v/>
      </c>
      <c r="AFT58" s="12">
        <f>IF(AFQ58=0,0,IF(AEL58=1,SUMPRODUCT(--(($AEM$5:$AEM58=$AEM58-1)*($AEL$5:$AEL58&gt;=10)*($AEL$5:$AEL58&lt;=12)),$AFS$5:$AFS58),IF(AEL58=4,SUMPRODUCT(--(($AEM$5:$AEM58=$AEM58)*($AEL$5:$AEL58&gt;=1)*($AEL$5:$AEL58&lt;=3)),$AFS$5:$AFS58),IF(AEL58=7,SUMPRODUCT(--(($AEM$5:$AEM58=$AEM58)*($AEL$5:$AEL58&gt;=4)*($AEL$5:$AEL58&lt;=6)),$AFS$5:$AFS58),IF(AEL58=10,SUMPRODUCT(--(($AEM$5:$AEM58=$AEM58)*($AEL$5:$AEL58&gt;=7)*($AEL$5:$AEL58&lt;=9)),$AFS$5:$AFS58),0)))))</f>
        <v/>
      </c>
      <c r="AFU58" s="12">
        <f>AFU57+AFS58-AFT58</f>
        <v/>
      </c>
      <c r="AFV58" s="12">
        <f>IF(ProviderDelay&gt;=1,AFC57*BlendedProvPayEss+AFD57*BlendedProvPayPrem+AFE57*BlendedProvPayElite+AFF57*BlendedProvPayEss+AFG57*BlendedProvPayPrem+AFH57*BlendedProvPayElite,AFC58*BlendedProvPayEss+AFD58*BlendedProvPayPrem+AFE58*BlendedProvPayElite+AFF58*BlendedProvPayEss+AFG58*BlendedProvPayPrem+AFH58*BlendedProvPayElite)</f>
        <v/>
      </c>
      <c r="AFW58" s="12">
        <f>AFO58*PaymentFee</f>
        <v/>
      </c>
      <c r="AFX58" s="12">
        <f>AFI58*OpsAI</f>
        <v/>
      </c>
      <c r="AFY58" s="12">
        <f>MonthlyFixed</f>
        <v/>
      </c>
      <c r="AFZ58" s="12">
        <f>AES58*ReferralReward</f>
        <v/>
      </c>
      <c r="AGA58" s="12">
        <f>AEQ58</f>
        <v/>
      </c>
      <c r="AGB58" s="9">
        <f>AFR58-AFV58-AFW58-AFX58-AFY58-AFZ58-AGA58</f>
        <v/>
      </c>
      <c r="AGC58" s="9">
        <f>AGC57+AFO58-(AFV58+AFW58+AFX58+AFY58+AFZ58+AGA58+AFT58)</f>
        <v/>
      </c>
      <c r="AGD58" s="12">
        <f>IF(AFI58&gt;0,AFJ58/AFI58,0)</f>
        <v/>
      </c>
      <c r="AGE58" s="11">
        <f>IF(AFI57&gt;0,MAX(0,(AFI57+AET58-AFI58)/AFI57),0)</f>
        <v/>
      </c>
      <c r="AGG58" s="12" t="n">
        <v>54</v>
      </c>
      <c r="AGH58" s="12">
        <f>MOD(AGG58-1+LaunchMonth-1,12)+1</f>
        <v/>
      </c>
      <c r="AGI58" s="12">
        <f>INT((AGG58-1+LaunchMonth-1)/12)+1</f>
        <v/>
      </c>
      <c r="AGJ58" s="12">
        <f>VLOOKUP(AGH58,SeasonTable,2,FALSE)</f>
        <v/>
      </c>
      <c r="AGK58" s="12">
        <f>(1+InflationRate)^INT((AGG58-1)/12)</f>
        <v/>
      </c>
      <c r="AGL58" s="11">
        <f>MonthlyChurn*VLOOKUP(AGH58,ChurnSeasonTable,4,FALSE)</f>
        <v/>
      </c>
      <c r="AGM58" s="12">
        <f>MIN(MAX(MktMin19plus,AHK57*MktPct19plus),MAX(0,AHY57-CashBuffer))</f>
        <v/>
      </c>
      <c r="AGN58" s="12">
        <f>IF(AGM58&gt;0,MAX(1,ROUND(AGM58/CAC*AGJ58,0)),0)</f>
        <v/>
      </c>
      <c r="AGO58" s="12">
        <f>IF(AGN58&gt;0,ROUND(AGN58*ReferralMix/(1-ReferralMix),0),0)</f>
        <v/>
      </c>
      <c r="AGP58" s="12">
        <f>AGN58+AGO58</f>
        <v/>
      </c>
      <c r="AGQ58" s="12">
        <f>ROUND(AGP58*(1-'Sens - Annual Mix'!$A$15),0)</f>
        <v/>
      </c>
      <c r="AGR58" s="12">
        <f>AGP58-AGQ58</f>
        <v/>
      </c>
      <c r="AGS58" s="12">
        <f>ROUND(AGQ58*EssentialMix,0)</f>
        <v/>
      </c>
      <c r="AGT58" s="12">
        <f>ROUND(AGQ58*PremiumMix,0)</f>
        <v/>
      </c>
      <c r="AGU58" s="12">
        <f>AGQ58-AGS58-AGT58</f>
        <v/>
      </c>
      <c r="AGV58" s="12">
        <f>ROUND(AGR58*EssentialMix,0)</f>
        <v/>
      </c>
      <c r="AGW58" s="12">
        <f>ROUND(AGR58*PremiumMix,0)</f>
        <v/>
      </c>
      <c r="AGX58" s="12">
        <f>AGR58-AGV58-AGW58</f>
        <v/>
      </c>
      <c r="AGY58" s="12">
        <f>AGS58+AGS57+AGS56+MAX(0,AGY57-AGS57-AGS56)*(1-AGL58)</f>
        <v/>
      </c>
      <c r="AGZ58" s="12">
        <f>AGT58+AGT57+AGT56+MAX(0,AGZ57-AGT57-AGT56)*(1-AGL58)</f>
        <v/>
      </c>
      <c r="AHA58" s="12">
        <f>AGU58+AGU57+AGU56+MAX(0,AHA57-AGU57-AGU56)*(1-AGL58)</f>
        <v/>
      </c>
      <c r="AHB58" s="12">
        <f>AHB57+AGV58-AGV46*(AnnualChurn*VLOOKUP(AGH58,ChurnSeasonTable,4,FALSE))*POWER(1-(AnnualChurn*VLOOKUP(AGH58,ChurnSeasonTable,4,FALSE)),0)+AGV34*(AnnualChurn*VLOOKUP(AGH58,ChurnSeasonTable,4,FALSE))*POWER(1-(AnnualChurn*VLOOKUP(AGH58,ChurnSeasonTable,4,FALSE)),1)+AGV22*(AnnualChurn*VLOOKUP(AGH58,ChurnSeasonTable,4,FALSE))*POWER(1-(AnnualChurn*VLOOKUP(AGH58,ChurnSeasonTable,4,FALSE)),2)+AGV10*(AnnualChurn*VLOOKUP(AGH58,ChurnSeasonTable,4,FALSE))*POWER(1-(AnnualChurn*VLOOKUP(AGH58,ChurnSeasonTable,4,FALSE)),3)</f>
        <v/>
      </c>
      <c r="AHC58" s="12">
        <f>AHC57+AGW58-AGW46*(AnnualChurn*VLOOKUP(AGH58,ChurnSeasonTable,4,FALSE))*POWER(1-(AnnualChurn*VLOOKUP(AGH58,ChurnSeasonTable,4,FALSE)),0)+AGW34*(AnnualChurn*VLOOKUP(AGH58,ChurnSeasonTable,4,FALSE))*POWER(1-(AnnualChurn*VLOOKUP(AGH58,ChurnSeasonTable,4,FALSE)),1)+AGW22*(AnnualChurn*VLOOKUP(AGH58,ChurnSeasonTable,4,FALSE))*POWER(1-(AnnualChurn*VLOOKUP(AGH58,ChurnSeasonTable,4,FALSE)),2)+AGW10*(AnnualChurn*VLOOKUP(AGH58,ChurnSeasonTable,4,FALSE))*POWER(1-(AnnualChurn*VLOOKUP(AGH58,ChurnSeasonTable,4,FALSE)),3)</f>
        <v/>
      </c>
      <c r="AHD58" s="12">
        <f>AHD57+AGX58-AGX46*(AnnualChurn*VLOOKUP(AGH58,ChurnSeasonTable,4,FALSE))*POWER(1-(AnnualChurn*VLOOKUP(AGH58,ChurnSeasonTable,4,FALSE)),0)+AGX34*(AnnualChurn*VLOOKUP(AGH58,ChurnSeasonTable,4,FALSE))*POWER(1-(AnnualChurn*VLOOKUP(AGH58,ChurnSeasonTable,4,FALSE)),1)+AGX22*(AnnualChurn*VLOOKUP(AGH58,ChurnSeasonTable,4,FALSE))*POWER(1-(AnnualChurn*VLOOKUP(AGH58,ChurnSeasonTable,4,FALSE)),2)+AGX10*(AnnualChurn*VLOOKUP(AGH58,ChurnSeasonTable,4,FALSE))*POWER(1-(AnnualChurn*VLOOKUP(AGH58,ChurnSeasonTable,4,FALSE)),3)</f>
        <v/>
      </c>
      <c r="AHE58" s="12">
        <f>AGY58+AGZ58+AHA58+AHB58+AHC58+AHD58</f>
        <v/>
      </c>
      <c r="AHF58" s="9">
        <f>AGY58*BlendedPriceEssMonthly*AGK58+AGZ58*BlendedPricePremMonthly*AGK58+AHA58*BlendedPriceEliteMonthly*AGK58+AHB58*BlendedPriceEssAnnual*AGK58/12+AHC58*BlendedPricePremAnnual*AGK58/12+AHD58*BlendedPriceEliteAnnual*AGK58/12</f>
        <v/>
      </c>
      <c r="AHG58" s="9">
        <f>AHF58*12</f>
        <v/>
      </c>
      <c r="AHH58" s="12">
        <f>AGY58*BlendedPriceEssMonthly*AGK58+AGZ58*BlendedPricePremMonthly*AGK58+AHA58*BlendedPriceEliteMonthly*AGK58</f>
        <v/>
      </c>
      <c r="AHI58" s="12">
        <f>AGV58*BlendedPriceEssAnnual*AGK58+AGW58*BlendedPricePremAnnual*AGK58+AGX58*BlendedPriceEliteAnnual*AGK58</f>
        <v/>
      </c>
      <c r="AHJ58" s="12">
        <f>AGV46*POWER(1-(AnnualChurn*VLOOKUP(AGH58,ChurnSeasonTable,4,FALSE)),1)*BlendedPriceEssAnnual*AGK58+AGV34*POWER(1-(AnnualChurn*VLOOKUP(AGH58,ChurnSeasonTable,4,FALSE)),2)*BlendedPriceEssAnnual*AGK58+AGV22*POWER(1-(AnnualChurn*VLOOKUP(AGH58,ChurnSeasonTable,4,FALSE)),3)*BlendedPriceEssAnnual*AGK58+AGV10*POWER(1-(AnnualChurn*VLOOKUP(AGH58,ChurnSeasonTable,4,FALSE)),4)*BlendedPriceEssAnnual*AGK58+AGW46*POWER(1-(AnnualChurn*VLOOKUP(AGH58,ChurnSeasonTable,4,FALSE)),1)*BlendedPricePremAnnual*AGK58+AGW34*POWER(1-(AnnualChurn*VLOOKUP(AGH58,ChurnSeasonTable,4,FALSE)),2)*BlendedPricePremAnnual*AGK58+AGW22*POWER(1-(AnnualChurn*VLOOKUP(AGH58,ChurnSeasonTable,4,FALSE)),3)*BlendedPricePremAnnual*AGK58+AGW10*POWER(1-(AnnualChurn*VLOOKUP(AGH58,ChurnSeasonTable,4,FALSE)),4)*BlendedPricePremAnnual*AGK58+AGX46*POWER(1-(AnnualChurn*VLOOKUP(AGH58,ChurnSeasonTable,4,FALSE)),1)*BlendedPriceEliteAnnual*AGK58+AGX34*POWER(1-(AnnualChurn*VLOOKUP(AGH58,ChurnSeasonTable,4,FALSE)),2)*BlendedPriceEliteAnnual*AGK58+AGX22*POWER(1-(AnnualChurn*VLOOKUP(AGH58,ChurnSeasonTable,4,FALSE)),3)*BlendedPriceEliteAnnual*AGK58+AGX10*POWER(1-(AnnualChurn*VLOOKUP(AGH58,ChurnSeasonTable,4,FALSE)),4)*BlendedPriceEliteAnnual*AGK58</f>
        <v/>
      </c>
      <c r="AHK58" s="9">
        <f>AHH58+AHI58+AHJ58</f>
        <v/>
      </c>
      <c r="AHL58" s="12">
        <f>SUM(AHK47:AHK58)</f>
        <v/>
      </c>
      <c r="AHM58" s="12">
        <f>OR(AHM57,IF(VATAgentMode,SUM($AHK47:$AHK58)-SUM($AHR47:$AHR58)&gt;=VATThreshold,SUM($AHK47:$AHK58)&gt;=VATThreshold))</f>
        <v/>
      </c>
      <c r="AHN58" s="9">
        <f>IF(AHM58,IF(VATAgentMode,AHK58-((AHK58-AHR58)-(AHK58-AHR58)/(1+VATRate)),AHK58/(1+VATRate)),AHK58)</f>
        <v/>
      </c>
      <c r="AHO58" s="12">
        <f>AHK58-AHN58</f>
        <v/>
      </c>
      <c r="AHP58" s="12">
        <f>IF(AHM58=0,0,IF(AGH58=1,SUMPRODUCT(--(($AGI$5:$AGI58=$AGI58-1)*($AGH$5:$AGH58&gt;=10)*($AGH$5:$AGH58&lt;=12)),$AHO$5:$AHO58),IF(AGH58=4,SUMPRODUCT(--(($AGI$5:$AGI58=$AGI58)*($AGH$5:$AGH58&gt;=1)*($AGH$5:$AGH58&lt;=3)),$AHO$5:$AHO58),IF(AGH58=7,SUMPRODUCT(--(($AGI$5:$AGI58=$AGI58)*($AGH$5:$AGH58&gt;=4)*($AGH$5:$AGH58&lt;=6)),$AHO$5:$AHO58),IF(AGH58=10,SUMPRODUCT(--(($AGI$5:$AGI58=$AGI58)*($AGH$5:$AGH58&gt;=7)*($AGH$5:$AGH58&lt;=9)),$AHO$5:$AHO58),0)))))</f>
        <v/>
      </c>
      <c r="AHQ58" s="12">
        <f>AHQ57+AHO58-AHP58</f>
        <v/>
      </c>
      <c r="AHR58" s="12">
        <f>IF(ProviderDelay&gt;=1,AGY57*BlendedProvPayEss+AGZ57*BlendedProvPayPrem+AHA57*BlendedProvPayElite+AHB57*BlendedProvPayEss+AHC57*BlendedProvPayPrem+AHD57*BlendedProvPayElite,AGY58*BlendedProvPayEss+AGZ58*BlendedProvPayPrem+AHA58*BlendedProvPayElite+AHB58*BlendedProvPayEss+AHC58*BlendedProvPayPrem+AHD58*BlendedProvPayElite)</f>
        <v/>
      </c>
      <c r="AHS58" s="12">
        <f>AHK58*PaymentFee</f>
        <v/>
      </c>
      <c r="AHT58" s="12">
        <f>AHE58*OpsAI</f>
        <v/>
      </c>
      <c r="AHU58" s="12">
        <f>MonthlyFixed</f>
        <v/>
      </c>
      <c r="AHV58" s="12">
        <f>AGO58*ReferralReward</f>
        <v/>
      </c>
      <c r="AHW58" s="12">
        <f>AGM58</f>
        <v/>
      </c>
      <c r="AHX58" s="9">
        <f>AHN58-AHR58-AHS58-AHT58-AHU58-AHV58-AHW58</f>
        <v/>
      </c>
      <c r="AHY58" s="9">
        <f>AHY57+AHK58-(AHR58+AHS58+AHT58+AHU58+AHV58+AHW58+AHP58)</f>
        <v/>
      </c>
      <c r="AHZ58" s="12">
        <f>IF(AHE58&gt;0,AHF58/AHE58,0)</f>
        <v/>
      </c>
      <c r="AIA58" s="11">
        <f>IF(AHE57&gt;0,MAX(0,(AHE57+AGP58-AHE58)/AHE57),0)</f>
        <v/>
      </c>
      <c r="AIC58" s="12" t="n">
        <v>54</v>
      </c>
      <c r="AID58" s="12">
        <f>MOD(AIC58-1+LaunchMonth-1,12)+1</f>
        <v/>
      </c>
      <c r="AIE58" s="12">
        <f>INT((AIC58-1+LaunchMonth-1)/12)+1</f>
        <v/>
      </c>
      <c r="AIF58" s="12">
        <f>VLOOKUP(AID58,SeasonTable,2,FALSE)</f>
        <v/>
      </c>
      <c r="AIG58" s="12">
        <f>(1+InflationRate)^INT((AIC58-1)/12)</f>
        <v/>
      </c>
      <c r="AIH58" s="11">
        <f>MonthlyChurn*VLOOKUP(AID58,ChurnSeasonTable,4,FALSE)</f>
        <v/>
      </c>
      <c r="AII58" s="12">
        <f>MIN(MAX(MktMin19plus,AJG57*MktPct19plus),MAX(0,AJU57-CashBuffer))</f>
        <v/>
      </c>
      <c r="AIJ58" s="12">
        <f>IF(AII58&gt;0,MAX(1,ROUND(AII58/'Sens - CAC &amp; Marketing'!$A$9*AIF58,0)),0)</f>
        <v/>
      </c>
      <c r="AIK58" s="12">
        <f>IF(AIJ58&gt;0,ROUND(AIJ58*ReferralMix/(1-ReferralMix),0),0)</f>
        <v/>
      </c>
      <c r="AIL58" s="12">
        <f>AIJ58+AIK58</f>
        <v/>
      </c>
      <c r="AIM58" s="12">
        <f>ROUND(AIL58*(1-AnnualMix),0)</f>
        <v/>
      </c>
      <c r="AIN58" s="12">
        <f>AIL58-AIM58</f>
        <v/>
      </c>
      <c r="AIO58" s="12">
        <f>ROUND(AIM58*EssentialMix,0)</f>
        <v/>
      </c>
      <c r="AIP58" s="12">
        <f>ROUND(AIM58*PremiumMix,0)</f>
        <v/>
      </c>
      <c r="AIQ58" s="12">
        <f>AIM58-AIO58-AIP58</f>
        <v/>
      </c>
      <c r="AIR58" s="12">
        <f>ROUND(AIN58*EssentialMix,0)</f>
        <v/>
      </c>
      <c r="AIS58" s="12">
        <f>ROUND(AIN58*PremiumMix,0)</f>
        <v/>
      </c>
      <c r="AIT58" s="12">
        <f>AIN58-AIR58-AIS58</f>
        <v/>
      </c>
      <c r="AIU58" s="12">
        <f>AIO58+AIO57+AIO56+MAX(0,AIU57-AIO57-AIO56)*(1-AIH58)</f>
        <v/>
      </c>
      <c r="AIV58" s="12">
        <f>AIP58+AIP57+AIP56+MAX(0,AIV57-AIP57-AIP56)*(1-AIH58)</f>
        <v/>
      </c>
      <c r="AIW58" s="12">
        <f>AIQ58+AIQ57+AIQ56+MAX(0,AIW57-AIQ57-AIQ56)*(1-AIH58)</f>
        <v/>
      </c>
      <c r="AIX58" s="12">
        <f>AIX57+AIR58-AIR46*(AnnualChurn*VLOOKUP(AID58,ChurnSeasonTable,4,FALSE))*POWER(1-(AnnualChurn*VLOOKUP(AID58,ChurnSeasonTable,4,FALSE)),0)+AIR34*(AnnualChurn*VLOOKUP(AID58,ChurnSeasonTable,4,FALSE))*POWER(1-(AnnualChurn*VLOOKUP(AID58,ChurnSeasonTable,4,FALSE)),1)+AIR22*(AnnualChurn*VLOOKUP(AID58,ChurnSeasonTable,4,FALSE))*POWER(1-(AnnualChurn*VLOOKUP(AID58,ChurnSeasonTable,4,FALSE)),2)+AIR10*(AnnualChurn*VLOOKUP(AID58,ChurnSeasonTable,4,FALSE))*POWER(1-(AnnualChurn*VLOOKUP(AID58,ChurnSeasonTable,4,FALSE)),3)</f>
        <v/>
      </c>
      <c r="AIY58" s="12">
        <f>AIY57+AIS58-AIS46*(AnnualChurn*VLOOKUP(AID58,ChurnSeasonTable,4,FALSE))*POWER(1-(AnnualChurn*VLOOKUP(AID58,ChurnSeasonTable,4,FALSE)),0)+AIS34*(AnnualChurn*VLOOKUP(AID58,ChurnSeasonTable,4,FALSE))*POWER(1-(AnnualChurn*VLOOKUP(AID58,ChurnSeasonTable,4,FALSE)),1)+AIS22*(AnnualChurn*VLOOKUP(AID58,ChurnSeasonTable,4,FALSE))*POWER(1-(AnnualChurn*VLOOKUP(AID58,ChurnSeasonTable,4,FALSE)),2)+AIS10*(AnnualChurn*VLOOKUP(AID58,ChurnSeasonTable,4,FALSE))*POWER(1-(AnnualChurn*VLOOKUP(AID58,ChurnSeasonTable,4,FALSE)),3)</f>
        <v/>
      </c>
      <c r="AIZ58" s="12">
        <f>AIZ57+AIT58-AIT46*(AnnualChurn*VLOOKUP(AID58,ChurnSeasonTable,4,FALSE))*POWER(1-(AnnualChurn*VLOOKUP(AID58,ChurnSeasonTable,4,FALSE)),0)+AIT34*(AnnualChurn*VLOOKUP(AID58,ChurnSeasonTable,4,FALSE))*POWER(1-(AnnualChurn*VLOOKUP(AID58,ChurnSeasonTable,4,FALSE)),1)+AIT22*(AnnualChurn*VLOOKUP(AID58,ChurnSeasonTable,4,FALSE))*POWER(1-(AnnualChurn*VLOOKUP(AID58,ChurnSeasonTable,4,FALSE)),2)+AIT10*(AnnualChurn*VLOOKUP(AID58,ChurnSeasonTable,4,FALSE))*POWER(1-(AnnualChurn*VLOOKUP(AID58,ChurnSeasonTable,4,FALSE)),3)</f>
        <v/>
      </c>
      <c r="AJA58" s="12">
        <f>AIU58+AIV58+AIW58+AIX58+AIY58+AIZ58</f>
        <v/>
      </c>
      <c r="AJB58" s="9">
        <f>AIU58*BlendedPriceEssMonthly*AIG58+AIV58*BlendedPricePremMonthly*AIG58+AIW58*BlendedPriceEliteMonthly*AIG58+AIX58*BlendedPriceEssAnnual*AIG58/12+AIY58*BlendedPricePremAnnual*AIG58/12+AIZ58*BlendedPriceEliteAnnual*AIG58/12</f>
        <v/>
      </c>
      <c r="AJC58" s="9">
        <f>AJB58*12</f>
        <v/>
      </c>
      <c r="AJD58" s="12">
        <f>AIU58*BlendedPriceEssMonthly*AIG58+AIV58*BlendedPricePremMonthly*AIG58+AIW58*BlendedPriceEliteMonthly*AIG58</f>
        <v/>
      </c>
      <c r="AJE58" s="12">
        <f>AIR58*BlendedPriceEssAnnual*AIG58+AIS58*BlendedPricePremAnnual*AIG58+AIT58*BlendedPriceEliteAnnual*AIG58</f>
        <v/>
      </c>
      <c r="AJF58" s="12">
        <f>AIR46*POWER(1-(AnnualChurn*VLOOKUP(AID58,ChurnSeasonTable,4,FALSE)),1)*BlendedPriceEssAnnual*AIG58+AIR34*POWER(1-(AnnualChurn*VLOOKUP(AID58,ChurnSeasonTable,4,FALSE)),2)*BlendedPriceEssAnnual*AIG58+AIR22*POWER(1-(AnnualChurn*VLOOKUP(AID58,ChurnSeasonTable,4,FALSE)),3)*BlendedPriceEssAnnual*AIG58+AIR10*POWER(1-(AnnualChurn*VLOOKUP(AID58,ChurnSeasonTable,4,FALSE)),4)*BlendedPriceEssAnnual*AIG58+AIS46*POWER(1-(AnnualChurn*VLOOKUP(AID58,ChurnSeasonTable,4,FALSE)),1)*BlendedPricePremAnnual*AIG58+AIS34*POWER(1-(AnnualChurn*VLOOKUP(AID58,ChurnSeasonTable,4,FALSE)),2)*BlendedPricePremAnnual*AIG58+AIS22*POWER(1-(AnnualChurn*VLOOKUP(AID58,ChurnSeasonTable,4,FALSE)),3)*BlendedPricePremAnnual*AIG58+AIS10*POWER(1-(AnnualChurn*VLOOKUP(AID58,ChurnSeasonTable,4,FALSE)),4)*BlendedPricePremAnnual*AIG58+AIT46*POWER(1-(AnnualChurn*VLOOKUP(AID58,ChurnSeasonTable,4,FALSE)),1)*BlendedPriceEliteAnnual*AIG58+AIT34*POWER(1-(AnnualChurn*VLOOKUP(AID58,ChurnSeasonTable,4,FALSE)),2)*BlendedPriceEliteAnnual*AIG58+AIT22*POWER(1-(AnnualChurn*VLOOKUP(AID58,ChurnSeasonTable,4,FALSE)),3)*BlendedPriceEliteAnnual*AIG58+AIT10*POWER(1-(AnnualChurn*VLOOKUP(AID58,ChurnSeasonTable,4,FALSE)),4)*BlendedPriceEliteAnnual*AIG58</f>
        <v/>
      </c>
      <c r="AJG58" s="9">
        <f>AJD58+AJE58+AJF58</f>
        <v/>
      </c>
      <c r="AJH58" s="12">
        <f>SUM(AJG47:AJG58)</f>
        <v/>
      </c>
      <c r="AJI58" s="12">
        <f>OR(AJI57,IF(VATAgentMode,SUM($AJG47:$AJG58)-SUM($AJN47:$AJN58)&gt;=VATThreshold,SUM($AJG47:$AJG58)&gt;=VATThreshold))</f>
        <v/>
      </c>
      <c r="AJJ58" s="9">
        <f>IF(AJI58,IF(VATAgentMode,AJG58-((AJG58-AJN58)-(AJG58-AJN58)/(1+VATRate)),AJG58/(1+VATRate)),AJG58)</f>
        <v/>
      </c>
      <c r="AJK58" s="12">
        <f>AJG58-AJJ58</f>
        <v/>
      </c>
      <c r="AJL58" s="12">
        <f>IF(AJI58=0,0,IF(AID58=1,SUMPRODUCT(--(($AIE$5:$AIE58=$AIE58-1)*($AID$5:$AID58&gt;=10)*($AID$5:$AID58&lt;=12)),$AJK$5:$AJK58),IF(AID58=4,SUMPRODUCT(--(($AIE$5:$AIE58=$AIE58)*($AID$5:$AID58&gt;=1)*($AID$5:$AID58&lt;=3)),$AJK$5:$AJK58),IF(AID58=7,SUMPRODUCT(--(($AIE$5:$AIE58=$AIE58)*($AID$5:$AID58&gt;=4)*($AID$5:$AID58&lt;=6)),$AJK$5:$AJK58),IF(AID58=10,SUMPRODUCT(--(($AIE$5:$AIE58=$AIE58)*($AID$5:$AID58&gt;=7)*($AID$5:$AID58&lt;=9)),$AJK$5:$AJK58),0)))))</f>
        <v/>
      </c>
      <c r="AJM58" s="12">
        <f>AJM57+AJK58-AJL58</f>
        <v/>
      </c>
      <c r="AJN58" s="12">
        <f>IF(ProviderDelay&gt;=1,AIU57*BlendedProvPayEss+AIV57*BlendedProvPayPrem+AIW57*BlendedProvPayElite+AIX57*BlendedProvPayEss+AIY57*BlendedProvPayPrem+AIZ57*BlendedProvPayElite,AIU58*BlendedProvPayEss+AIV58*BlendedProvPayPrem+AIW58*BlendedProvPayElite+AIX58*BlendedProvPayEss+AIY58*BlendedProvPayPrem+AIZ58*BlendedProvPayElite)</f>
        <v/>
      </c>
      <c r="AJO58" s="12">
        <f>AJG58*PaymentFee</f>
        <v/>
      </c>
      <c r="AJP58" s="12">
        <f>AJA58*OpsAI</f>
        <v/>
      </c>
      <c r="AJQ58" s="12">
        <f>MonthlyFixed</f>
        <v/>
      </c>
      <c r="AJR58" s="12">
        <f>AIK58*ReferralReward</f>
        <v/>
      </c>
      <c r="AJS58" s="12">
        <f>AII58</f>
        <v/>
      </c>
      <c r="AJT58" s="9">
        <f>AJJ58-AJN58-AJO58-AJP58-AJQ58-AJR58-AJS58</f>
        <v/>
      </c>
      <c r="AJU58" s="9">
        <f>AJU57+AJG58-(AJN58+AJO58+AJP58+AJQ58+AJR58+AJS58+AJL58)</f>
        <v/>
      </c>
      <c r="AJV58" s="12">
        <f>IF(AJA58&gt;0,AJB58/AJA58,0)</f>
        <v/>
      </c>
      <c r="AJW58" s="11">
        <f>IF(AJA57&gt;0,MAX(0,(AJA57+AIL58-AJA58)/AJA57),0)</f>
        <v/>
      </c>
      <c r="AJY58" s="12" t="n">
        <v>54</v>
      </c>
      <c r="AJZ58" s="12">
        <f>MOD(AJY58-1+LaunchMonth-1,12)+1</f>
        <v/>
      </c>
      <c r="AKA58" s="12">
        <f>INT((AJY58-1+LaunchMonth-1)/12)+1</f>
        <v/>
      </c>
      <c r="AKB58" s="12">
        <f>VLOOKUP(AJZ58,SeasonTable,2,FALSE)</f>
        <v/>
      </c>
      <c r="AKC58" s="12">
        <f>(1+InflationRate)^INT((AJY58-1)/12)</f>
        <v/>
      </c>
      <c r="AKD58" s="11">
        <f>MonthlyChurn*VLOOKUP(AJZ58,ChurnSeasonTable,4,FALSE)</f>
        <v/>
      </c>
      <c r="AKE58" s="12">
        <f>MIN(MAX(MktMin19plus,ALC57*MktPct19plus),MAX(0,ALQ57-CashBuffer))</f>
        <v/>
      </c>
      <c r="AKF58" s="12">
        <f>IF(AKE58&gt;0,MAX(1,ROUND(AKE58/'Sens - CAC &amp; Marketing'!$A$10*AKB58,0)),0)</f>
        <v/>
      </c>
      <c r="AKG58" s="12">
        <f>IF(AKF58&gt;0,ROUND(AKF58*ReferralMix/(1-ReferralMix),0),0)</f>
        <v/>
      </c>
      <c r="AKH58" s="12">
        <f>AKF58+AKG58</f>
        <v/>
      </c>
      <c r="AKI58" s="12">
        <f>ROUND(AKH58*(1-AnnualMix),0)</f>
        <v/>
      </c>
      <c r="AKJ58" s="12">
        <f>AKH58-AKI58</f>
        <v/>
      </c>
      <c r="AKK58" s="12">
        <f>ROUND(AKI58*EssentialMix,0)</f>
        <v/>
      </c>
      <c r="AKL58" s="12">
        <f>ROUND(AKI58*PremiumMix,0)</f>
        <v/>
      </c>
      <c r="AKM58" s="12">
        <f>AKI58-AKK58-AKL58</f>
        <v/>
      </c>
      <c r="AKN58" s="12">
        <f>ROUND(AKJ58*EssentialMix,0)</f>
        <v/>
      </c>
      <c r="AKO58" s="12">
        <f>ROUND(AKJ58*PremiumMix,0)</f>
        <v/>
      </c>
      <c r="AKP58" s="12">
        <f>AKJ58-AKN58-AKO58</f>
        <v/>
      </c>
      <c r="AKQ58" s="12">
        <f>AKK58+AKK57+AKK56+MAX(0,AKQ57-AKK57-AKK56)*(1-AKD58)</f>
        <v/>
      </c>
      <c r="AKR58" s="12">
        <f>AKL58+AKL57+AKL56+MAX(0,AKR57-AKL57-AKL56)*(1-AKD58)</f>
        <v/>
      </c>
      <c r="AKS58" s="12">
        <f>AKM58+AKM57+AKM56+MAX(0,AKS57-AKM57-AKM56)*(1-AKD58)</f>
        <v/>
      </c>
      <c r="AKT58" s="12">
        <f>AKT57+AKN58-AKN46*(AnnualChurn*VLOOKUP(AJZ58,ChurnSeasonTable,4,FALSE))*POWER(1-(AnnualChurn*VLOOKUP(AJZ58,ChurnSeasonTable,4,FALSE)),0)+AKN34*(AnnualChurn*VLOOKUP(AJZ58,ChurnSeasonTable,4,FALSE))*POWER(1-(AnnualChurn*VLOOKUP(AJZ58,ChurnSeasonTable,4,FALSE)),1)+AKN22*(AnnualChurn*VLOOKUP(AJZ58,ChurnSeasonTable,4,FALSE))*POWER(1-(AnnualChurn*VLOOKUP(AJZ58,ChurnSeasonTable,4,FALSE)),2)+AKN10*(AnnualChurn*VLOOKUP(AJZ58,ChurnSeasonTable,4,FALSE))*POWER(1-(AnnualChurn*VLOOKUP(AJZ58,ChurnSeasonTable,4,FALSE)),3)</f>
        <v/>
      </c>
      <c r="AKU58" s="12">
        <f>AKU57+AKO58-AKO46*(AnnualChurn*VLOOKUP(AJZ58,ChurnSeasonTable,4,FALSE))*POWER(1-(AnnualChurn*VLOOKUP(AJZ58,ChurnSeasonTable,4,FALSE)),0)+AKO34*(AnnualChurn*VLOOKUP(AJZ58,ChurnSeasonTable,4,FALSE))*POWER(1-(AnnualChurn*VLOOKUP(AJZ58,ChurnSeasonTable,4,FALSE)),1)+AKO22*(AnnualChurn*VLOOKUP(AJZ58,ChurnSeasonTable,4,FALSE))*POWER(1-(AnnualChurn*VLOOKUP(AJZ58,ChurnSeasonTable,4,FALSE)),2)+AKO10*(AnnualChurn*VLOOKUP(AJZ58,ChurnSeasonTable,4,FALSE))*POWER(1-(AnnualChurn*VLOOKUP(AJZ58,ChurnSeasonTable,4,FALSE)),3)</f>
        <v/>
      </c>
      <c r="AKV58" s="12">
        <f>AKV57+AKP58-AKP46*(AnnualChurn*VLOOKUP(AJZ58,ChurnSeasonTable,4,FALSE))*POWER(1-(AnnualChurn*VLOOKUP(AJZ58,ChurnSeasonTable,4,FALSE)),0)+AKP34*(AnnualChurn*VLOOKUP(AJZ58,ChurnSeasonTable,4,FALSE))*POWER(1-(AnnualChurn*VLOOKUP(AJZ58,ChurnSeasonTable,4,FALSE)),1)+AKP22*(AnnualChurn*VLOOKUP(AJZ58,ChurnSeasonTable,4,FALSE))*POWER(1-(AnnualChurn*VLOOKUP(AJZ58,ChurnSeasonTable,4,FALSE)),2)+AKP10*(AnnualChurn*VLOOKUP(AJZ58,ChurnSeasonTable,4,FALSE))*POWER(1-(AnnualChurn*VLOOKUP(AJZ58,ChurnSeasonTable,4,FALSE)),3)</f>
        <v/>
      </c>
      <c r="AKW58" s="12">
        <f>AKQ58+AKR58+AKS58+AKT58+AKU58+AKV58</f>
        <v/>
      </c>
      <c r="AKX58" s="9">
        <f>AKQ58*BlendedPriceEssMonthly*AKC58+AKR58*BlendedPricePremMonthly*AKC58+AKS58*BlendedPriceEliteMonthly*AKC58+AKT58*BlendedPriceEssAnnual*AKC58/12+AKU58*BlendedPricePremAnnual*AKC58/12+AKV58*BlendedPriceEliteAnnual*AKC58/12</f>
        <v/>
      </c>
      <c r="AKY58" s="9">
        <f>AKX58*12</f>
        <v/>
      </c>
      <c r="AKZ58" s="12">
        <f>AKQ58*BlendedPriceEssMonthly*AKC58+AKR58*BlendedPricePremMonthly*AKC58+AKS58*BlendedPriceEliteMonthly*AKC58</f>
        <v/>
      </c>
      <c r="ALA58" s="12">
        <f>AKN58*BlendedPriceEssAnnual*AKC58+AKO58*BlendedPricePremAnnual*AKC58+AKP58*BlendedPriceEliteAnnual*AKC58</f>
        <v/>
      </c>
      <c r="ALB58" s="12">
        <f>AKN46*POWER(1-(AnnualChurn*VLOOKUP(AJZ58,ChurnSeasonTable,4,FALSE)),1)*BlendedPriceEssAnnual*AKC58+AKN34*POWER(1-(AnnualChurn*VLOOKUP(AJZ58,ChurnSeasonTable,4,FALSE)),2)*BlendedPriceEssAnnual*AKC58+AKN22*POWER(1-(AnnualChurn*VLOOKUP(AJZ58,ChurnSeasonTable,4,FALSE)),3)*BlendedPriceEssAnnual*AKC58+AKN10*POWER(1-(AnnualChurn*VLOOKUP(AJZ58,ChurnSeasonTable,4,FALSE)),4)*BlendedPriceEssAnnual*AKC58+AKO46*POWER(1-(AnnualChurn*VLOOKUP(AJZ58,ChurnSeasonTable,4,FALSE)),1)*BlendedPricePremAnnual*AKC58+AKO34*POWER(1-(AnnualChurn*VLOOKUP(AJZ58,ChurnSeasonTable,4,FALSE)),2)*BlendedPricePremAnnual*AKC58+AKO22*POWER(1-(AnnualChurn*VLOOKUP(AJZ58,ChurnSeasonTable,4,FALSE)),3)*BlendedPricePremAnnual*AKC58+AKO10*POWER(1-(AnnualChurn*VLOOKUP(AJZ58,ChurnSeasonTable,4,FALSE)),4)*BlendedPricePremAnnual*AKC58+AKP46*POWER(1-(AnnualChurn*VLOOKUP(AJZ58,ChurnSeasonTable,4,FALSE)),1)*BlendedPriceEliteAnnual*AKC58+AKP34*POWER(1-(AnnualChurn*VLOOKUP(AJZ58,ChurnSeasonTable,4,FALSE)),2)*BlendedPriceEliteAnnual*AKC58+AKP22*POWER(1-(AnnualChurn*VLOOKUP(AJZ58,ChurnSeasonTable,4,FALSE)),3)*BlendedPriceEliteAnnual*AKC58+AKP10*POWER(1-(AnnualChurn*VLOOKUP(AJZ58,ChurnSeasonTable,4,FALSE)),4)*BlendedPriceEliteAnnual*AKC58</f>
        <v/>
      </c>
      <c r="ALC58" s="9">
        <f>AKZ58+ALA58+ALB58</f>
        <v/>
      </c>
      <c r="ALD58" s="12">
        <f>SUM(ALC47:ALC58)</f>
        <v/>
      </c>
      <c r="ALE58" s="12">
        <f>OR(ALE57,IF(VATAgentMode,SUM($ALC47:$ALC58)-SUM($ALJ47:$ALJ58)&gt;=VATThreshold,SUM($ALC47:$ALC58)&gt;=VATThreshold))</f>
        <v/>
      </c>
      <c r="ALF58" s="9">
        <f>IF(ALE58,IF(VATAgentMode,ALC58-((ALC58-ALJ58)-(ALC58-ALJ58)/(1+VATRate)),ALC58/(1+VATRate)),ALC58)</f>
        <v/>
      </c>
      <c r="ALG58" s="12">
        <f>ALC58-ALF58</f>
        <v/>
      </c>
      <c r="ALH58" s="12">
        <f>IF(ALE58=0,0,IF(AJZ58=1,SUMPRODUCT(--(($AKA$5:$AKA58=$AKA58-1)*($AJZ$5:$AJZ58&gt;=10)*($AJZ$5:$AJZ58&lt;=12)),$ALG$5:$ALG58),IF(AJZ58=4,SUMPRODUCT(--(($AKA$5:$AKA58=$AKA58)*($AJZ$5:$AJZ58&gt;=1)*($AJZ$5:$AJZ58&lt;=3)),$ALG$5:$ALG58),IF(AJZ58=7,SUMPRODUCT(--(($AKA$5:$AKA58=$AKA58)*($AJZ$5:$AJZ58&gt;=4)*($AJZ$5:$AJZ58&lt;=6)),$ALG$5:$ALG58),IF(AJZ58=10,SUMPRODUCT(--(($AKA$5:$AKA58=$AKA58)*($AJZ$5:$AJZ58&gt;=7)*($AJZ$5:$AJZ58&lt;=9)),$ALG$5:$ALG58),0)))))</f>
        <v/>
      </c>
      <c r="ALI58" s="12">
        <f>ALI57+ALG58-ALH58</f>
        <v/>
      </c>
      <c r="ALJ58" s="12">
        <f>IF(ProviderDelay&gt;=1,AKQ57*BlendedProvPayEss+AKR57*BlendedProvPayPrem+AKS57*BlendedProvPayElite+AKT57*BlendedProvPayEss+AKU57*BlendedProvPayPrem+AKV57*BlendedProvPayElite,AKQ58*BlendedProvPayEss+AKR58*BlendedProvPayPrem+AKS58*BlendedProvPayElite+AKT58*BlendedProvPayEss+AKU58*BlendedProvPayPrem+AKV58*BlendedProvPayElite)</f>
        <v/>
      </c>
      <c r="ALK58" s="12">
        <f>ALC58*PaymentFee</f>
        <v/>
      </c>
      <c r="ALL58" s="12">
        <f>AKW58*OpsAI</f>
        <v/>
      </c>
      <c r="ALM58" s="12">
        <f>MonthlyFixed</f>
        <v/>
      </c>
      <c r="ALN58" s="12">
        <f>AKG58*ReferralReward</f>
        <v/>
      </c>
      <c r="ALO58" s="12">
        <f>AKE58</f>
        <v/>
      </c>
      <c r="ALP58" s="9">
        <f>ALF58-ALJ58-ALK58-ALL58-ALM58-ALN58-ALO58</f>
        <v/>
      </c>
      <c r="ALQ58" s="9">
        <f>ALQ57+ALC58-(ALJ58+ALK58+ALL58+ALM58+ALN58+ALO58+ALH58)</f>
        <v/>
      </c>
      <c r="ALR58" s="12">
        <f>IF(AKW58&gt;0,AKX58/AKW58,0)</f>
        <v/>
      </c>
      <c r="ALS58" s="11">
        <f>IF(AKW57&gt;0,MAX(0,(AKW57+AKH58-AKW58)/AKW57),0)</f>
        <v/>
      </c>
      <c r="ALU58" s="12" t="n">
        <v>54</v>
      </c>
      <c r="ALV58" s="12">
        <f>MOD(ALU58-1+LaunchMonth-1,12)+1</f>
        <v/>
      </c>
      <c r="ALW58" s="12">
        <f>INT((ALU58-1+LaunchMonth-1)/12)+1</f>
        <v/>
      </c>
      <c r="ALX58" s="12">
        <f>VLOOKUP(ALV58,SeasonTable,2,FALSE)</f>
        <v/>
      </c>
      <c r="ALY58" s="12">
        <f>(1+InflationRate)^INT((ALU58-1)/12)</f>
        <v/>
      </c>
      <c r="ALZ58" s="11">
        <f>MonthlyChurn*VLOOKUP(ALV58,ChurnSeasonTable,4,FALSE)</f>
        <v/>
      </c>
      <c r="AMA58" s="12">
        <f>MIN(MAX(MktMin19plus,AMY57*MktPct19plus),MAX(0,ANM57-CashBuffer))</f>
        <v/>
      </c>
      <c r="AMB58" s="12">
        <f>IF(AMA58&gt;0,MAX(1,ROUND(AMA58/'Sens - CAC &amp; Marketing'!$A$11*ALX58,0)),0)</f>
        <v/>
      </c>
      <c r="AMC58" s="12">
        <f>IF(AMB58&gt;0,ROUND(AMB58*ReferralMix/(1-ReferralMix),0),0)</f>
        <v/>
      </c>
      <c r="AMD58" s="12">
        <f>AMB58+AMC58</f>
        <v/>
      </c>
      <c r="AME58" s="12">
        <f>ROUND(AMD58*(1-AnnualMix),0)</f>
        <v/>
      </c>
      <c r="AMF58" s="12">
        <f>AMD58-AME58</f>
        <v/>
      </c>
      <c r="AMG58" s="12">
        <f>ROUND(AME58*EssentialMix,0)</f>
        <v/>
      </c>
      <c r="AMH58" s="12">
        <f>ROUND(AME58*PremiumMix,0)</f>
        <v/>
      </c>
      <c r="AMI58" s="12">
        <f>AME58-AMG58-AMH58</f>
        <v/>
      </c>
      <c r="AMJ58" s="12">
        <f>ROUND(AMF58*EssentialMix,0)</f>
        <v/>
      </c>
      <c r="AMK58" s="12">
        <f>ROUND(AMF58*PremiumMix,0)</f>
        <v/>
      </c>
      <c r="AML58" s="12">
        <f>AMF58-AMJ58-AMK58</f>
        <v/>
      </c>
      <c r="AMM58" s="12">
        <f>AMG58+AMG57+AMG56+MAX(0,AMM57-AMG57-AMG56)*(1-ALZ58)</f>
        <v/>
      </c>
      <c r="AMN58" s="12">
        <f>AMH58+AMH57+AMH56+MAX(0,AMN57-AMH57-AMH56)*(1-ALZ58)</f>
        <v/>
      </c>
      <c r="AMO58" s="12">
        <f>AMI58+AMI57+AMI56+MAX(0,AMO57-AMI57-AMI56)*(1-ALZ58)</f>
        <v/>
      </c>
      <c r="AMP58" s="12">
        <f>AMP57+AMJ58-AMJ46*(AnnualChurn*VLOOKUP(ALV58,ChurnSeasonTable,4,FALSE))*POWER(1-(AnnualChurn*VLOOKUP(ALV58,ChurnSeasonTable,4,FALSE)),0)+AMJ34*(AnnualChurn*VLOOKUP(ALV58,ChurnSeasonTable,4,FALSE))*POWER(1-(AnnualChurn*VLOOKUP(ALV58,ChurnSeasonTable,4,FALSE)),1)+AMJ22*(AnnualChurn*VLOOKUP(ALV58,ChurnSeasonTable,4,FALSE))*POWER(1-(AnnualChurn*VLOOKUP(ALV58,ChurnSeasonTable,4,FALSE)),2)+AMJ10*(AnnualChurn*VLOOKUP(ALV58,ChurnSeasonTable,4,FALSE))*POWER(1-(AnnualChurn*VLOOKUP(ALV58,ChurnSeasonTable,4,FALSE)),3)</f>
        <v/>
      </c>
      <c r="AMQ58" s="12">
        <f>AMQ57+AMK58-AMK46*(AnnualChurn*VLOOKUP(ALV58,ChurnSeasonTable,4,FALSE))*POWER(1-(AnnualChurn*VLOOKUP(ALV58,ChurnSeasonTable,4,FALSE)),0)+AMK34*(AnnualChurn*VLOOKUP(ALV58,ChurnSeasonTable,4,FALSE))*POWER(1-(AnnualChurn*VLOOKUP(ALV58,ChurnSeasonTable,4,FALSE)),1)+AMK22*(AnnualChurn*VLOOKUP(ALV58,ChurnSeasonTable,4,FALSE))*POWER(1-(AnnualChurn*VLOOKUP(ALV58,ChurnSeasonTable,4,FALSE)),2)+AMK10*(AnnualChurn*VLOOKUP(ALV58,ChurnSeasonTable,4,FALSE))*POWER(1-(AnnualChurn*VLOOKUP(ALV58,ChurnSeasonTable,4,FALSE)),3)</f>
        <v/>
      </c>
      <c r="AMR58" s="12">
        <f>AMR57+AML58-AML46*(AnnualChurn*VLOOKUP(ALV58,ChurnSeasonTable,4,FALSE))*POWER(1-(AnnualChurn*VLOOKUP(ALV58,ChurnSeasonTable,4,FALSE)),0)+AML34*(AnnualChurn*VLOOKUP(ALV58,ChurnSeasonTable,4,FALSE))*POWER(1-(AnnualChurn*VLOOKUP(ALV58,ChurnSeasonTable,4,FALSE)),1)+AML22*(AnnualChurn*VLOOKUP(ALV58,ChurnSeasonTable,4,FALSE))*POWER(1-(AnnualChurn*VLOOKUP(ALV58,ChurnSeasonTable,4,FALSE)),2)+AML10*(AnnualChurn*VLOOKUP(ALV58,ChurnSeasonTable,4,FALSE))*POWER(1-(AnnualChurn*VLOOKUP(ALV58,ChurnSeasonTable,4,FALSE)),3)</f>
        <v/>
      </c>
      <c r="AMS58" s="12">
        <f>AMM58+AMN58+AMO58+AMP58+AMQ58+AMR58</f>
        <v/>
      </c>
      <c r="AMT58" s="9">
        <f>AMM58*BlendedPriceEssMonthly*ALY58+AMN58*BlendedPricePremMonthly*ALY58+AMO58*BlendedPriceEliteMonthly*ALY58+AMP58*BlendedPriceEssAnnual*ALY58/12+AMQ58*BlendedPricePremAnnual*ALY58/12+AMR58*BlendedPriceEliteAnnual*ALY58/12</f>
        <v/>
      </c>
      <c r="AMU58" s="9">
        <f>AMT58*12</f>
        <v/>
      </c>
      <c r="AMV58" s="12">
        <f>AMM58*BlendedPriceEssMonthly*ALY58+AMN58*BlendedPricePremMonthly*ALY58+AMO58*BlendedPriceEliteMonthly*ALY58</f>
        <v/>
      </c>
      <c r="AMW58" s="12">
        <f>AMJ58*BlendedPriceEssAnnual*ALY58+AMK58*BlendedPricePremAnnual*ALY58+AML58*BlendedPriceEliteAnnual*ALY58</f>
        <v/>
      </c>
      <c r="AMX58" s="12">
        <f>AMJ46*POWER(1-(AnnualChurn*VLOOKUP(ALV58,ChurnSeasonTable,4,FALSE)),1)*BlendedPriceEssAnnual*ALY58+AMJ34*POWER(1-(AnnualChurn*VLOOKUP(ALV58,ChurnSeasonTable,4,FALSE)),2)*BlendedPriceEssAnnual*ALY58+AMJ22*POWER(1-(AnnualChurn*VLOOKUP(ALV58,ChurnSeasonTable,4,FALSE)),3)*BlendedPriceEssAnnual*ALY58+AMJ10*POWER(1-(AnnualChurn*VLOOKUP(ALV58,ChurnSeasonTable,4,FALSE)),4)*BlendedPriceEssAnnual*ALY58+AMK46*POWER(1-(AnnualChurn*VLOOKUP(ALV58,ChurnSeasonTable,4,FALSE)),1)*BlendedPricePremAnnual*ALY58+AMK34*POWER(1-(AnnualChurn*VLOOKUP(ALV58,ChurnSeasonTable,4,FALSE)),2)*BlendedPricePremAnnual*ALY58+AMK22*POWER(1-(AnnualChurn*VLOOKUP(ALV58,ChurnSeasonTable,4,FALSE)),3)*BlendedPricePremAnnual*ALY58+AMK10*POWER(1-(AnnualChurn*VLOOKUP(ALV58,ChurnSeasonTable,4,FALSE)),4)*BlendedPricePremAnnual*ALY58+AML46*POWER(1-(AnnualChurn*VLOOKUP(ALV58,ChurnSeasonTable,4,FALSE)),1)*BlendedPriceEliteAnnual*ALY58+AML34*POWER(1-(AnnualChurn*VLOOKUP(ALV58,ChurnSeasonTable,4,FALSE)),2)*BlendedPriceEliteAnnual*ALY58+AML22*POWER(1-(AnnualChurn*VLOOKUP(ALV58,ChurnSeasonTable,4,FALSE)),3)*BlendedPriceEliteAnnual*ALY58+AML10*POWER(1-(AnnualChurn*VLOOKUP(ALV58,ChurnSeasonTable,4,FALSE)),4)*BlendedPriceEliteAnnual*ALY58</f>
        <v/>
      </c>
      <c r="AMY58" s="9">
        <f>AMV58+AMW58+AMX58</f>
        <v/>
      </c>
      <c r="AMZ58" s="12">
        <f>SUM(AMY47:AMY58)</f>
        <v/>
      </c>
      <c r="ANA58" s="12">
        <f>OR(ANA57,IF(VATAgentMode,SUM($AMY47:$AMY58)-SUM($ANF47:$ANF58)&gt;=VATThreshold,SUM($AMY47:$AMY58)&gt;=VATThreshold))</f>
        <v/>
      </c>
      <c r="ANB58" s="9">
        <f>IF(ANA58,IF(VATAgentMode,AMY58-((AMY58-ANF58)-(AMY58-ANF58)/(1+VATRate)),AMY58/(1+VATRate)),AMY58)</f>
        <v/>
      </c>
      <c r="ANC58" s="12">
        <f>AMY58-ANB58</f>
        <v/>
      </c>
      <c r="AND58" s="12">
        <f>IF(ANA58=0,0,IF(ALV58=1,SUMPRODUCT(--(($ALW$5:$ALW58=$ALW58-1)*($ALV$5:$ALV58&gt;=10)*($ALV$5:$ALV58&lt;=12)),$ANC$5:$ANC58),IF(ALV58=4,SUMPRODUCT(--(($ALW$5:$ALW58=$ALW58)*($ALV$5:$ALV58&gt;=1)*($ALV$5:$ALV58&lt;=3)),$ANC$5:$ANC58),IF(ALV58=7,SUMPRODUCT(--(($ALW$5:$ALW58=$ALW58)*($ALV$5:$ALV58&gt;=4)*($ALV$5:$ALV58&lt;=6)),$ANC$5:$ANC58),IF(ALV58=10,SUMPRODUCT(--(($ALW$5:$ALW58=$ALW58)*($ALV$5:$ALV58&gt;=7)*($ALV$5:$ALV58&lt;=9)),$ANC$5:$ANC58),0)))))</f>
        <v/>
      </c>
      <c r="ANE58" s="12">
        <f>ANE57+ANC58-AND58</f>
        <v/>
      </c>
      <c r="ANF58" s="12">
        <f>IF(ProviderDelay&gt;=1,AMM57*BlendedProvPayEss+AMN57*BlendedProvPayPrem+AMO57*BlendedProvPayElite+AMP57*BlendedProvPayEss+AMQ57*BlendedProvPayPrem+AMR57*BlendedProvPayElite,AMM58*BlendedProvPayEss+AMN58*BlendedProvPayPrem+AMO58*BlendedProvPayElite+AMP58*BlendedProvPayEss+AMQ58*BlendedProvPayPrem+AMR58*BlendedProvPayElite)</f>
        <v/>
      </c>
      <c r="ANG58" s="12">
        <f>AMY58*PaymentFee</f>
        <v/>
      </c>
      <c r="ANH58" s="12">
        <f>AMS58*OpsAI</f>
        <v/>
      </c>
      <c r="ANI58" s="12">
        <f>MonthlyFixed</f>
        <v/>
      </c>
      <c r="ANJ58" s="12">
        <f>AMC58*ReferralReward</f>
        <v/>
      </c>
      <c r="ANK58" s="12">
        <f>AMA58</f>
        <v/>
      </c>
      <c r="ANL58" s="9">
        <f>ANB58-ANF58-ANG58-ANH58-ANI58-ANJ58-ANK58</f>
        <v/>
      </c>
      <c r="ANM58" s="9">
        <f>ANM57+AMY58-(ANF58+ANG58+ANH58+ANI58+ANJ58+ANK58+AND58)</f>
        <v/>
      </c>
      <c r="ANN58" s="12">
        <f>IF(AMS58&gt;0,AMT58/AMS58,0)</f>
        <v/>
      </c>
      <c r="ANO58" s="11">
        <f>IF(AMS57&gt;0,MAX(0,(AMS57+AMD58-AMS58)/AMS57),0)</f>
        <v/>
      </c>
      <c r="ANQ58" s="12" t="n">
        <v>54</v>
      </c>
      <c r="ANR58" s="12">
        <f>MOD(ANQ58-1+LaunchMonth-1,12)+1</f>
        <v/>
      </c>
      <c r="ANS58" s="12">
        <f>INT((ANQ58-1+LaunchMonth-1)/12)+1</f>
        <v/>
      </c>
      <c r="ANT58" s="12">
        <f>VLOOKUP(ANR58,SeasonTable,2,FALSE)</f>
        <v/>
      </c>
      <c r="ANU58" s="12">
        <f>(1+InflationRate)^INT((ANQ58-1)/12)</f>
        <v/>
      </c>
      <c r="ANV58" s="11">
        <f>MonthlyChurn*VLOOKUP(ANR58,ChurnSeasonTable,4,FALSE)</f>
        <v/>
      </c>
      <c r="ANW58" s="12">
        <f>MIN(MAX(MktMin19plus,AOU57*MktPct19plus),MAX(0,API57-CashBuffer))</f>
        <v/>
      </c>
      <c r="ANX58" s="12">
        <f>IF(ANW58&gt;0,MAX(1,ROUND(ANW58/'Sens - CAC &amp; Marketing'!$A$12*ANT58,0)),0)</f>
        <v/>
      </c>
      <c r="ANY58" s="12">
        <f>IF(ANX58&gt;0,ROUND(ANX58*ReferralMix/(1-ReferralMix),0),0)</f>
        <v/>
      </c>
      <c r="ANZ58" s="12">
        <f>ANX58+ANY58</f>
        <v/>
      </c>
      <c r="AOA58" s="12">
        <f>ROUND(ANZ58*(1-AnnualMix),0)</f>
        <v/>
      </c>
      <c r="AOB58" s="12">
        <f>ANZ58-AOA58</f>
        <v/>
      </c>
      <c r="AOC58" s="12">
        <f>ROUND(AOA58*EssentialMix,0)</f>
        <v/>
      </c>
      <c r="AOD58" s="12">
        <f>ROUND(AOA58*PremiumMix,0)</f>
        <v/>
      </c>
      <c r="AOE58" s="12">
        <f>AOA58-AOC58-AOD58</f>
        <v/>
      </c>
      <c r="AOF58" s="12">
        <f>ROUND(AOB58*EssentialMix,0)</f>
        <v/>
      </c>
      <c r="AOG58" s="12">
        <f>ROUND(AOB58*PremiumMix,0)</f>
        <v/>
      </c>
      <c r="AOH58" s="12">
        <f>AOB58-AOF58-AOG58</f>
        <v/>
      </c>
      <c r="AOI58" s="12">
        <f>AOC58+AOC57+AOC56+MAX(0,AOI57-AOC57-AOC56)*(1-ANV58)</f>
        <v/>
      </c>
      <c r="AOJ58" s="12">
        <f>AOD58+AOD57+AOD56+MAX(0,AOJ57-AOD57-AOD56)*(1-ANV58)</f>
        <v/>
      </c>
      <c r="AOK58" s="12">
        <f>AOE58+AOE57+AOE56+MAX(0,AOK57-AOE57-AOE56)*(1-ANV58)</f>
        <v/>
      </c>
      <c r="AOL58" s="12">
        <f>AOL57+AOF58-AOF46*(AnnualChurn*VLOOKUP(ANR58,ChurnSeasonTable,4,FALSE))*POWER(1-(AnnualChurn*VLOOKUP(ANR58,ChurnSeasonTable,4,FALSE)),0)+AOF34*(AnnualChurn*VLOOKUP(ANR58,ChurnSeasonTable,4,FALSE))*POWER(1-(AnnualChurn*VLOOKUP(ANR58,ChurnSeasonTable,4,FALSE)),1)+AOF22*(AnnualChurn*VLOOKUP(ANR58,ChurnSeasonTable,4,FALSE))*POWER(1-(AnnualChurn*VLOOKUP(ANR58,ChurnSeasonTable,4,FALSE)),2)+AOF10*(AnnualChurn*VLOOKUP(ANR58,ChurnSeasonTable,4,FALSE))*POWER(1-(AnnualChurn*VLOOKUP(ANR58,ChurnSeasonTable,4,FALSE)),3)</f>
        <v/>
      </c>
      <c r="AOM58" s="12">
        <f>AOM57+AOG58-AOG46*(AnnualChurn*VLOOKUP(ANR58,ChurnSeasonTable,4,FALSE))*POWER(1-(AnnualChurn*VLOOKUP(ANR58,ChurnSeasonTable,4,FALSE)),0)+AOG34*(AnnualChurn*VLOOKUP(ANR58,ChurnSeasonTable,4,FALSE))*POWER(1-(AnnualChurn*VLOOKUP(ANR58,ChurnSeasonTable,4,FALSE)),1)+AOG22*(AnnualChurn*VLOOKUP(ANR58,ChurnSeasonTable,4,FALSE))*POWER(1-(AnnualChurn*VLOOKUP(ANR58,ChurnSeasonTable,4,FALSE)),2)+AOG10*(AnnualChurn*VLOOKUP(ANR58,ChurnSeasonTable,4,FALSE))*POWER(1-(AnnualChurn*VLOOKUP(ANR58,ChurnSeasonTable,4,FALSE)),3)</f>
        <v/>
      </c>
      <c r="AON58" s="12">
        <f>AON57+AOH58-AOH46*(AnnualChurn*VLOOKUP(ANR58,ChurnSeasonTable,4,FALSE))*POWER(1-(AnnualChurn*VLOOKUP(ANR58,ChurnSeasonTable,4,FALSE)),0)+AOH34*(AnnualChurn*VLOOKUP(ANR58,ChurnSeasonTable,4,FALSE))*POWER(1-(AnnualChurn*VLOOKUP(ANR58,ChurnSeasonTable,4,FALSE)),1)+AOH22*(AnnualChurn*VLOOKUP(ANR58,ChurnSeasonTable,4,FALSE))*POWER(1-(AnnualChurn*VLOOKUP(ANR58,ChurnSeasonTable,4,FALSE)),2)+AOH10*(AnnualChurn*VLOOKUP(ANR58,ChurnSeasonTable,4,FALSE))*POWER(1-(AnnualChurn*VLOOKUP(ANR58,ChurnSeasonTable,4,FALSE)),3)</f>
        <v/>
      </c>
      <c r="AOO58" s="12">
        <f>AOI58+AOJ58+AOK58+AOL58+AOM58+AON58</f>
        <v/>
      </c>
      <c r="AOP58" s="9">
        <f>AOI58*BlendedPriceEssMonthly*ANU58+AOJ58*BlendedPricePremMonthly*ANU58+AOK58*BlendedPriceEliteMonthly*ANU58+AOL58*BlendedPriceEssAnnual*ANU58/12+AOM58*BlendedPricePremAnnual*ANU58/12+AON58*BlendedPriceEliteAnnual*ANU58/12</f>
        <v/>
      </c>
      <c r="AOQ58" s="9">
        <f>AOP58*12</f>
        <v/>
      </c>
      <c r="AOR58" s="12">
        <f>AOI58*BlendedPriceEssMonthly*ANU58+AOJ58*BlendedPricePremMonthly*ANU58+AOK58*BlendedPriceEliteMonthly*ANU58</f>
        <v/>
      </c>
      <c r="AOS58" s="12">
        <f>AOF58*BlendedPriceEssAnnual*ANU58+AOG58*BlendedPricePremAnnual*ANU58+AOH58*BlendedPriceEliteAnnual*ANU58</f>
        <v/>
      </c>
      <c r="AOT58" s="12">
        <f>AOF46*POWER(1-(AnnualChurn*VLOOKUP(ANR58,ChurnSeasonTable,4,FALSE)),1)*BlendedPriceEssAnnual*ANU58+AOF34*POWER(1-(AnnualChurn*VLOOKUP(ANR58,ChurnSeasonTable,4,FALSE)),2)*BlendedPriceEssAnnual*ANU58+AOF22*POWER(1-(AnnualChurn*VLOOKUP(ANR58,ChurnSeasonTable,4,FALSE)),3)*BlendedPriceEssAnnual*ANU58+AOF10*POWER(1-(AnnualChurn*VLOOKUP(ANR58,ChurnSeasonTable,4,FALSE)),4)*BlendedPriceEssAnnual*ANU58+AOG46*POWER(1-(AnnualChurn*VLOOKUP(ANR58,ChurnSeasonTable,4,FALSE)),1)*BlendedPricePremAnnual*ANU58+AOG34*POWER(1-(AnnualChurn*VLOOKUP(ANR58,ChurnSeasonTable,4,FALSE)),2)*BlendedPricePremAnnual*ANU58+AOG22*POWER(1-(AnnualChurn*VLOOKUP(ANR58,ChurnSeasonTable,4,FALSE)),3)*BlendedPricePremAnnual*ANU58+AOG10*POWER(1-(AnnualChurn*VLOOKUP(ANR58,ChurnSeasonTable,4,FALSE)),4)*BlendedPricePremAnnual*ANU58+AOH46*POWER(1-(AnnualChurn*VLOOKUP(ANR58,ChurnSeasonTable,4,FALSE)),1)*BlendedPriceEliteAnnual*ANU58+AOH34*POWER(1-(AnnualChurn*VLOOKUP(ANR58,ChurnSeasonTable,4,FALSE)),2)*BlendedPriceEliteAnnual*ANU58+AOH22*POWER(1-(AnnualChurn*VLOOKUP(ANR58,ChurnSeasonTable,4,FALSE)),3)*BlendedPriceEliteAnnual*ANU58+AOH10*POWER(1-(AnnualChurn*VLOOKUP(ANR58,ChurnSeasonTable,4,FALSE)),4)*BlendedPriceEliteAnnual*ANU58</f>
        <v/>
      </c>
      <c r="AOU58" s="9">
        <f>AOR58+AOS58+AOT58</f>
        <v/>
      </c>
      <c r="AOV58" s="12">
        <f>SUM(AOU47:AOU58)</f>
        <v/>
      </c>
      <c r="AOW58" s="12">
        <f>OR(AOW57,IF(VATAgentMode,SUM($AOU47:$AOU58)-SUM($APB47:$APB58)&gt;=VATThreshold,SUM($AOU47:$AOU58)&gt;=VATThreshold))</f>
        <v/>
      </c>
      <c r="AOX58" s="9">
        <f>IF(AOW58,IF(VATAgentMode,AOU58-((AOU58-APB58)-(AOU58-APB58)/(1+VATRate)),AOU58/(1+VATRate)),AOU58)</f>
        <v/>
      </c>
      <c r="AOY58" s="12">
        <f>AOU58-AOX58</f>
        <v/>
      </c>
      <c r="AOZ58" s="12">
        <f>IF(AOW58=0,0,IF(ANR58=1,SUMPRODUCT(--(($ANS$5:$ANS58=$ANS58-1)*($ANR$5:$ANR58&gt;=10)*($ANR$5:$ANR58&lt;=12)),$AOY$5:$AOY58),IF(ANR58=4,SUMPRODUCT(--(($ANS$5:$ANS58=$ANS58)*($ANR$5:$ANR58&gt;=1)*($ANR$5:$ANR58&lt;=3)),$AOY$5:$AOY58),IF(ANR58=7,SUMPRODUCT(--(($ANS$5:$ANS58=$ANS58)*($ANR$5:$ANR58&gt;=4)*($ANR$5:$ANR58&lt;=6)),$AOY$5:$AOY58),IF(ANR58=10,SUMPRODUCT(--(($ANS$5:$ANS58=$ANS58)*($ANR$5:$ANR58&gt;=7)*($ANR$5:$ANR58&lt;=9)),$AOY$5:$AOY58),0)))))</f>
        <v/>
      </c>
      <c r="APA58" s="12">
        <f>APA57+AOY58-AOZ58</f>
        <v/>
      </c>
      <c r="APB58" s="12">
        <f>IF(ProviderDelay&gt;=1,AOI57*BlendedProvPayEss+AOJ57*BlendedProvPayPrem+AOK57*BlendedProvPayElite+AOL57*BlendedProvPayEss+AOM57*BlendedProvPayPrem+AON57*BlendedProvPayElite,AOI58*BlendedProvPayEss+AOJ58*BlendedProvPayPrem+AOK58*BlendedProvPayElite+AOL58*BlendedProvPayEss+AOM58*BlendedProvPayPrem+AON58*BlendedProvPayElite)</f>
        <v/>
      </c>
      <c r="APC58" s="12">
        <f>AOU58*PaymentFee</f>
        <v/>
      </c>
      <c r="APD58" s="12">
        <f>AOO58*OpsAI</f>
        <v/>
      </c>
      <c r="APE58" s="12">
        <f>MonthlyFixed</f>
        <v/>
      </c>
      <c r="APF58" s="12">
        <f>ANY58*ReferralReward</f>
        <v/>
      </c>
      <c r="APG58" s="12">
        <f>ANW58</f>
        <v/>
      </c>
      <c r="APH58" s="9">
        <f>AOX58-APB58-APC58-APD58-APE58-APF58-APG58</f>
        <v/>
      </c>
      <c r="API58" s="9">
        <f>API57+AOU58-(APB58+APC58+APD58+APE58+APF58+APG58+AOZ58)</f>
        <v/>
      </c>
      <c r="APJ58" s="12">
        <f>IF(AOO58&gt;0,AOP58/AOO58,0)</f>
        <v/>
      </c>
      <c r="APK58" s="11">
        <f>IF(AOO57&gt;0,MAX(0,(AOO57+ANZ58-AOO58)/AOO57),0)</f>
        <v/>
      </c>
      <c r="APM58" s="12" t="n">
        <v>54</v>
      </c>
      <c r="APN58" s="12">
        <f>MOD(APM58-1+LaunchMonth-1,12)+1</f>
        <v/>
      </c>
      <c r="APO58" s="12">
        <f>INT((APM58-1+LaunchMonth-1)/12)+1</f>
        <v/>
      </c>
      <c r="APP58" s="12">
        <f>VLOOKUP(APN58,SeasonTable,2,FALSE)</f>
        <v/>
      </c>
      <c r="APQ58" s="12">
        <f>(1+InflationRate)^INT((APM58-1)/12)</f>
        <v/>
      </c>
      <c r="APR58" s="11">
        <f>MonthlyChurn*VLOOKUP(APN58,ChurnSeasonTable,4,FALSE)</f>
        <v/>
      </c>
      <c r="APS58" s="12">
        <f>MIN(MAX(MktMin19plus,AQQ57*MktPct19plus),MAX(0,ARE57-CashBuffer))</f>
        <v/>
      </c>
      <c r="APT58" s="12">
        <f>IF(APS58&gt;0,MAX(1,ROUND(APS58/'Sens - CAC &amp; Marketing'!$A$13*APP58,0)),0)</f>
        <v/>
      </c>
      <c r="APU58" s="12">
        <f>IF(APT58&gt;0,ROUND(APT58*ReferralMix/(1-ReferralMix),0),0)</f>
        <v/>
      </c>
      <c r="APV58" s="12">
        <f>APT58+APU58</f>
        <v/>
      </c>
      <c r="APW58" s="12">
        <f>ROUND(APV58*(1-AnnualMix),0)</f>
        <v/>
      </c>
      <c r="APX58" s="12">
        <f>APV58-APW58</f>
        <v/>
      </c>
      <c r="APY58" s="12">
        <f>ROUND(APW58*EssentialMix,0)</f>
        <v/>
      </c>
      <c r="APZ58" s="12">
        <f>ROUND(APW58*PremiumMix,0)</f>
        <v/>
      </c>
      <c r="AQA58" s="12">
        <f>APW58-APY58-APZ58</f>
        <v/>
      </c>
      <c r="AQB58" s="12">
        <f>ROUND(APX58*EssentialMix,0)</f>
        <v/>
      </c>
      <c r="AQC58" s="12">
        <f>ROUND(APX58*PremiumMix,0)</f>
        <v/>
      </c>
      <c r="AQD58" s="12">
        <f>APX58-AQB58-AQC58</f>
        <v/>
      </c>
      <c r="AQE58" s="12">
        <f>APY58+APY57+APY56+MAX(0,AQE57-APY57-APY56)*(1-APR58)</f>
        <v/>
      </c>
      <c r="AQF58" s="12">
        <f>APZ58+APZ57+APZ56+MAX(0,AQF57-APZ57-APZ56)*(1-APR58)</f>
        <v/>
      </c>
      <c r="AQG58" s="12">
        <f>AQA58+AQA57+AQA56+MAX(0,AQG57-AQA57-AQA56)*(1-APR58)</f>
        <v/>
      </c>
      <c r="AQH58" s="12">
        <f>AQH57+AQB58-AQB46*(AnnualChurn*VLOOKUP(APN58,ChurnSeasonTable,4,FALSE))*POWER(1-(AnnualChurn*VLOOKUP(APN58,ChurnSeasonTable,4,FALSE)),0)+AQB34*(AnnualChurn*VLOOKUP(APN58,ChurnSeasonTable,4,FALSE))*POWER(1-(AnnualChurn*VLOOKUP(APN58,ChurnSeasonTable,4,FALSE)),1)+AQB22*(AnnualChurn*VLOOKUP(APN58,ChurnSeasonTable,4,FALSE))*POWER(1-(AnnualChurn*VLOOKUP(APN58,ChurnSeasonTable,4,FALSE)),2)+AQB10*(AnnualChurn*VLOOKUP(APN58,ChurnSeasonTable,4,FALSE))*POWER(1-(AnnualChurn*VLOOKUP(APN58,ChurnSeasonTable,4,FALSE)),3)</f>
        <v/>
      </c>
      <c r="AQI58" s="12">
        <f>AQI57+AQC58-AQC46*(AnnualChurn*VLOOKUP(APN58,ChurnSeasonTable,4,FALSE))*POWER(1-(AnnualChurn*VLOOKUP(APN58,ChurnSeasonTable,4,FALSE)),0)+AQC34*(AnnualChurn*VLOOKUP(APN58,ChurnSeasonTable,4,FALSE))*POWER(1-(AnnualChurn*VLOOKUP(APN58,ChurnSeasonTable,4,FALSE)),1)+AQC22*(AnnualChurn*VLOOKUP(APN58,ChurnSeasonTable,4,FALSE))*POWER(1-(AnnualChurn*VLOOKUP(APN58,ChurnSeasonTable,4,FALSE)),2)+AQC10*(AnnualChurn*VLOOKUP(APN58,ChurnSeasonTable,4,FALSE))*POWER(1-(AnnualChurn*VLOOKUP(APN58,ChurnSeasonTable,4,FALSE)),3)</f>
        <v/>
      </c>
      <c r="AQJ58" s="12">
        <f>AQJ57+AQD58-AQD46*(AnnualChurn*VLOOKUP(APN58,ChurnSeasonTable,4,FALSE))*POWER(1-(AnnualChurn*VLOOKUP(APN58,ChurnSeasonTable,4,FALSE)),0)+AQD34*(AnnualChurn*VLOOKUP(APN58,ChurnSeasonTable,4,FALSE))*POWER(1-(AnnualChurn*VLOOKUP(APN58,ChurnSeasonTable,4,FALSE)),1)+AQD22*(AnnualChurn*VLOOKUP(APN58,ChurnSeasonTable,4,FALSE))*POWER(1-(AnnualChurn*VLOOKUP(APN58,ChurnSeasonTable,4,FALSE)),2)+AQD10*(AnnualChurn*VLOOKUP(APN58,ChurnSeasonTable,4,FALSE))*POWER(1-(AnnualChurn*VLOOKUP(APN58,ChurnSeasonTable,4,FALSE)),3)</f>
        <v/>
      </c>
      <c r="AQK58" s="12">
        <f>AQE58+AQF58+AQG58+AQH58+AQI58+AQJ58</f>
        <v/>
      </c>
      <c r="AQL58" s="9">
        <f>AQE58*BlendedPriceEssMonthly*APQ58+AQF58*BlendedPricePremMonthly*APQ58+AQG58*BlendedPriceEliteMonthly*APQ58+AQH58*BlendedPriceEssAnnual*APQ58/12+AQI58*BlendedPricePremAnnual*APQ58/12+AQJ58*BlendedPriceEliteAnnual*APQ58/12</f>
        <v/>
      </c>
      <c r="AQM58" s="9">
        <f>AQL58*12</f>
        <v/>
      </c>
      <c r="AQN58" s="12">
        <f>AQE58*BlendedPriceEssMonthly*APQ58+AQF58*BlendedPricePremMonthly*APQ58+AQG58*BlendedPriceEliteMonthly*APQ58</f>
        <v/>
      </c>
      <c r="AQO58" s="12">
        <f>AQB58*BlendedPriceEssAnnual*APQ58+AQC58*BlendedPricePremAnnual*APQ58+AQD58*BlendedPriceEliteAnnual*APQ58</f>
        <v/>
      </c>
      <c r="AQP58" s="12">
        <f>AQB46*POWER(1-(AnnualChurn*VLOOKUP(APN58,ChurnSeasonTable,4,FALSE)),1)*BlendedPriceEssAnnual*APQ58+AQB34*POWER(1-(AnnualChurn*VLOOKUP(APN58,ChurnSeasonTable,4,FALSE)),2)*BlendedPriceEssAnnual*APQ58+AQB22*POWER(1-(AnnualChurn*VLOOKUP(APN58,ChurnSeasonTable,4,FALSE)),3)*BlendedPriceEssAnnual*APQ58+AQB10*POWER(1-(AnnualChurn*VLOOKUP(APN58,ChurnSeasonTable,4,FALSE)),4)*BlendedPriceEssAnnual*APQ58+AQC46*POWER(1-(AnnualChurn*VLOOKUP(APN58,ChurnSeasonTable,4,FALSE)),1)*BlendedPricePremAnnual*APQ58+AQC34*POWER(1-(AnnualChurn*VLOOKUP(APN58,ChurnSeasonTable,4,FALSE)),2)*BlendedPricePremAnnual*APQ58+AQC22*POWER(1-(AnnualChurn*VLOOKUP(APN58,ChurnSeasonTable,4,FALSE)),3)*BlendedPricePremAnnual*APQ58+AQC10*POWER(1-(AnnualChurn*VLOOKUP(APN58,ChurnSeasonTable,4,FALSE)),4)*BlendedPricePremAnnual*APQ58+AQD46*POWER(1-(AnnualChurn*VLOOKUP(APN58,ChurnSeasonTable,4,FALSE)),1)*BlendedPriceEliteAnnual*APQ58+AQD34*POWER(1-(AnnualChurn*VLOOKUP(APN58,ChurnSeasonTable,4,FALSE)),2)*BlendedPriceEliteAnnual*APQ58+AQD22*POWER(1-(AnnualChurn*VLOOKUP(APN58,ChurnSeasonTable,4,FALSE)),3)*BlendedPriceEliteAnnual*APQ58+AQD10*POWER(1-(AnnualChurn*VLOOKUP(APN58,ChurnSeasonTable,4,FALSE)),4)*BlendedPriceEliteAnnual*APQ58</f>
        <v/>
      </c>
      <c r="AQQ58" s="9">
        <f>AQN58+AQO58+AQP58</f>
        <v/>
      </c>
      <c r="AQR58" s="12">
        <f>SUM(AQQ47:AQQ58)</f>
        <v/>
      </c>
      <c r="AQS58" s="12">
        <f>OR(AQS57,IF(VATAgentMode,SUM($AQQ47:$AQQ58)-SUM($AQX47:$AQX58)&gt;=VATThreshold,SUM($AQQ47:$AQQ58)&gt;=VATThreshold))</f>
        <v/>
      </c>
      <c r="AQT58" s="9">
        <f>IF(AQS58,IF(VATAgentMode,AQQ58-((AQQ58-AQX58)-(AQQ58-AQX58)/(1+VATRate)),AQQ58/(1+VATRate)),AQQ58)</f>
        <v/>
      </c>
      <c r="AQU58" s="12">
        <f>AQQ58-AQT58</f>
        <v/>
      </c>
      <c r="AQV58" s="12">
        <f>IF(AQS58=0,0,IF(APN58=1,SUMPRODUCT(--(($APO$5:$APO58=$APO58-1)*($APN$5:$APN58&gt;=10)*($APN$5:$APN58&lt;=12)),$AQU$5:$AQU58),IF(APN58=4,SUMPRODUCT(--(($APO$5:$APO58=$APO58)*($APN$5:$APN58&gt;=1)*($APN$5:$APN58&lt;=3)),$AQU$5:$AQU58),IF(APN58=7,SUMPRODUCT(--(($APO$5:$APO58=$APO58)*($APN$5:$APN58&gt;=4)*($APN$5:$APN58&lt;=6)),$AQU$5:$AQU58),IF(APN58=10,SUMPRODUCT(--(($APO$5:$APO58=$APO58)*($APN$5:$APN58&gt;=7)*($APN$5:$APN58&lt;=9)),$AQU$5:$AQU58),0)))))</f>
        <v/>
      </c>
      <c r="AQW58" s="12">
        <f>AQW57+AQU58-AQV58</f>
        <v/>
      </c>
      <c r="AQX58" s="12">
        <f>IF(ProviderDelay&gt;=1,AQE57*BlendedProvPayEss+AQF57*BlendedProvPayPrem+AQG57*BlendedProvPayElite+AQH57*BlendedProvPayEss+AQI57*BlendedProvPayPrem+AQJ57*BlendedProvPayElite,AQE58*BlendedProvPayEss+AQF58*BlendedProvPayPrem+AQG58*BlendedProvPayElite+AQH58*BlendedProvPayEss+AQI58*BlendedProvPayPrem+AQJ58*BlendedProvPayElite)</f>
        <v/>
      </c>
      <c r="AQY58" s="12">
        <f>AQQ58*PaymentFee</f>
        <v/>
      </c>
      <c r="AQZ58" s="12">
        <f>AQK58*OpsAI</f>
        <v/>
      </c>
      <c r="ARA58" s="12">
        <f>MonthlyFixed</f>
        <v/>
      </c>
      <c r="ARB58" s="12">
        <f>APU58*ReferralReward</f>
        <v/>
      </c>
      <c r="ARC58" s="12">
        <f>APS58</f>
        <v/>
      </c>
      <c r="ARD58" s="9">
        <f>AQT58-AQX58-AQY58-AQZ58-ARA58-ARB58-ARC58</f>
        <v/>
      </c>
      <c r="ARE58" s="9">
        <f>ARE57+AQQ58-(AQX58+AQY58+AQZ58+ARA58+ARB58+ARC58+AQV58)</f>
        <v/>
      </c>
      <c r="ARF58" s="12">
        <f>IF(AQK58&gt;0,AQL58/AQK58,0)</f>
        <v/>
      </c>
      <c r="ARG58" s="11">
        <f>IF(AQK57&gt;0,MAX(0,(AQK57+APV58-AQK58)/AQK57),0)</f>
        <v/>
      </c>
      <c r="ARI58" s="12" t="n">
        <v>54</v>
      </c>
      <c r="ARJ58" s="12">
        <f>MOD(ARI58-1+LaunchMonth-1,12)+1</f>
        <v/>
      </c>
      <c r="ARK58" s="12">
        <f>INT((ARI58-1+LaunchMonth-1)/12)+1</f>
        <v/>
      </c>
      <c r="ARL58" s="12">
        <f>VLOOKUP(ARJ58,SeasonTable,2,FALSE)</f>
        <v/>
      </c>
      <c r="ARM58" s="12">
        <f>(1+InflationRate)^INT((ARI58-1)/12)</f>
        <v/>
      </c>
      <c r="ARN58" s="11">
        <f>MonthlyChurn*VLOOKUP(ARJ58,ChurnSeasonTable,4,FALSE)</f>
        <v/>
      </c>
      <c r="ARO58" s="12">
        <f>MIN(MAX(MktMin19plus,ASM57*MktPct19plus),MAX(0,ATA57-CashBuffer))</f>
        <v/>
      </c>
      <c r="ARP58" s="12">
        <f>IF(ARO58&gt;0,MAX(1,ROUND(ARO58/'Sens - CAC &amp; Marketing'!$A$14*ARL58,0)),0)</f>
        <v/>
      </c>
      <c r="ARQ58" s="12">
        <f>IF(ARP58&gt;0,ROUND(ARP58*ReferralMix/(1-ReferralMix),0),0)</f>
        <v/>
      </c>
      <c r="ARR58" s="12">
        <f>ARP58+ARQ58</f>
        <v/>
      </c>
      <c r="ARS58" s="12">
        <f>ROUND(ARR58*(1-AnnualMix),0)</f>
        <v/>
      </c>
      <c r="ART58" s="12">
        <f>ARR58-ARS58</f>
        <v/>
      </c>
      <c r="ARU58" s="12">
        <f>ROUND(ARS58*EssentialMix,0)</f>
        <v/>
      </c>
      <c r="ARV58" s="12">
        <f>ROUND(ARS58*PremiumMix,0)</f>
        <v/>
      </c>
      <c r="ARW58" s="12">
        <f>ARS58-ARU58-ARV58</f>
        <v/>
      </c>
      <c r="ARX58" s="12">
        <f>ROUND(ART58*EssentialMix,0)</f>
        <v/>
      </c>
      <c r="ARY58" s="12">
        <f>ROUND(ART58*PremiumMix,0)</f>
        <v/>
      </c>
      <c r="ARZ58" s="12">
        <f>ART58-ARX58-ARY58</f>
        <v/>
      </c>
      <c r="ASA58" s="12">
        <f>ARU58+ARU57+ARU56+MAX(0,ASA57-ARU57-ARU56)*(1-ARN58)</f>
        <v/>
      </c>
      <c r="ASB58" s="12">
        <f>ARV58+ARV57+ARV56+MAX(0,ASB57-ARV57-ARV56)*(1-ARN58)</f>
        <v/>
      </c>
      <c r="ASC58" s="12">
        <f>ARW58+ARW57+ARW56+MAX(0,ASC57-ARW57-ARW56)*(1-ARN58)</f>
        <v/>
      </c>
      <c r="ASD58" s="12">
        <f>ASD57+ARX58-ARX46*(AnnualChurn*VLOOKUP(ARJ58,ChurnSeasonTable,4,FALSE))*POWER(1-(AnnualChurn*VLOOKUP(ARJ58,ChurnSeasonTable,4,FALSE)),0)+ARX34*(AnnualChurn*VLOOKUP(ARJ58,ChurnSeasonTable,4,FALSE))*POWER(1-(AnnualChurn*VLOOKUP(ARJ58,ChurnSeasonTable,4,FALSE)),1)+ARX22*(AnnualChurn*VLOOKUP(ARJ58,ChurnSeasonTable,4,FALSE))*POWER(1-(AnnualChurn*VLOOKUP(ARJ58,ChurnSeasonTable,4,FALSE)),2)+ARX10*(AnnualChurn*VLOOKUP(ARJ58,ChurnSeasonTable,4,FALSE))*POWER(1-(AnnualChurn*VLOOKUP(ARJ58,ChurnSeasonTable,4,FALSE)),3)</f>
        <v/>
      </c>
      <c r="ASE58" s="12">
        <f>ASE57+ARY58-ARY46*(AnnualChurn*VLOOKUP(ARJ58,ChurnSeasonTable,4,FALSE))*POWER(1-(AnnualChurn*VLOOKUP(ARJ58,ChurnSeasonTable,4,FALSE)),0)+ARY34*(AnnualChurn*VLOOKUP(ARJ58,ChurnSeasonTable,4,FALSE))*POWER(1-(AnnualChurn*VLOOKUP(ARJ58,ChurnSeasonTable,4,FALSE)),1)+ARY22*(AnnualChurn*VLOOKUP(ARJ58,ChurnSeasonTable,4,FALSE))*POWER(1-(AnnualChurn*VLOOKUP(ARJ58,ChurnSeasonTable,4,FALSE)),2)+ARY10*(AnnualChurn*VLOOKUP(ARJ58,ChurnSeasonTable,4,FALSE))*POWER(1-(AnnualChurn*VLOOKUP(ARJ58,ChurnSeasonTable,4,FALSE)),3)</f>
        <v/>
      </c>
      <c r="ASF58" s="12">
        <f>ASF57+ARZ58-ARZ46*(AnnualChurn*VLOOKUP(ARJ58,ChurnSeasonTable,4,FALSE))*POWER(1-(AnnualChurn*VLOOKUP(ARJ58,ChurnSeasonTable,4,FALSE)),0)+ARZ34*(AnnualChurn*VLOOKUP(ARJ58,ChurnSeasonTable,4,FALSE))*POWER(1-(AnnualChurn*VLOOKUP(ARJ58,ChurnSeasonTable,4,FALSE)),1)+ARZ22*(AnnualChurn*VLOOKUP(ARJ58,ChurnSeasonTable,4,FALSE))*POWER(1-(AnnualChurn*VLOOKUP(ARJ58,ChurnSeasonTable,4,FALSE)),2)+ARZ10*(AnnualChurn*VLOOKUP(ARJ58,ChurnSeasonTable,4,FALSE))*POWER(1-(AnnualChurn*VLOOKUP(ARJ58,ChurnSeasonTable,4,FALSE)),3)</f>
        <v/>
      </c>
      <c r="ASG58" s="12">
        <f>ASA58+ASB58+ASC58+ASD58+ASE58+ASF58</f>
        <v/>
      </c>
      <c r="ASH58" s="9">
        <f>ASA58*BlendedPriceEssMonthly*ARM58+ASB58*BlendedPricePremMonthly*ARM58+ASC58*BlendedPriceEliteMonthly*ARM58+ASD58*BlendedPriceEssAnnual*ARM58/12+ASE58*BlendedPricePremAnnual*ARM58/12+ASF58*BlendedPriceEliteAnnual*ARM58/12</f>
        <v/>
      </c>
      <c r="ASI58" s="9">
        <f>ASH58*12</f>
        <v/>
      </c>
      <c r="ASJ58" s="12">
        <f>ASA58*BlendedPriceEssMonthly*ARM58+ASB58*BlendedPricePremMonthly*ARM58+ASC58*BlendedPriceEliteMonthly*ARM58</f>
        <v/>
      </c>
      <c r="ASK58" s="12">
        <f>ARX58*BlendedPriceEssAnnual*ARM58+ARY58*BlendedPricePremAnnual*ARM58+ARZ58*BlendedPriceEliteAnnual*ARM58</f>
        <v/>
      </c>
      <c r="ASL58" s="12">
        <f>ARX46*POWER(1-(AnnualChurn*VLOOKUP(ARJ58,ChurnSeasonTable,4,FALSE)),1)*BlendedPriceEssAnnual*ARM58+ARX34*POWER(1-(AnnualChurn*VLOOKUP(ARJ58,ChurnSeasonTable,4,FALSE)),2)*BlendedPriceEssAnnual*ARM58+ARX22*POWER(1-(AnnualChurn*VLOOKUP(ARJ58,ChurnSeasonTable,4,FALSE)),3)*BlendedPriceEssAnnual*ARM58+ARX10*POWER(1-(AnnualChurn*VLOOKUP(ARJ58,ChurnSeasonTable,4,FALSE)),4)*BlendedPriceEssAnnual*ARM58+ARY46*POWER(1-(AnnualChurn*VLOOKUP(ARJ58,ChurnSeasonTable,4,FALSE)),1)*BlendedPricePremAnnual*ARM58+ARY34*POWER(1-(AnnualChurn*VLOOKUP(ARJ58,ChurnSeasonTable,4,FALSE)),2)*BlendedPricePremAnnual*ARM58+ARY22*POWER(1-(AnnualChurn*VLOOKUP(ARJ58,ChurnSeasonTable,4,FALSE)),3)*BlendedPricePremAnnual*ARM58+ARY10*POWER(1-(AnnualChurn*VLOOKUP(ARJ58,ChurnSeasonTable,4,FALSE)),4)*BlendedPricePremAnnual*ARM58+ARZ46*POWER(1-(AnnualChurn*VLOOKUP(ARJ58,ChurnSeasonTable,4,FALSE)),1)*BlendedPriceEliteAnnual*ARM58+ARZ34*POWER(1-(AnnualChurn*VLOOKUP(ARJ58,ChurnSeasonTable,4,FALSE)),2)*BlendedPriceEliteAnnual*ARM58+ARZ22*POWER(1-(AnnualChurn*VLOOKUP(ARJ58,ChurnSeasonTable,4,FALSE)),3)*BlendedPriceEliteAnnual*ARM58+ARZ10*POWER(1-(AnnualChurn*VLOOKUP(ARJ58,ChurnSeasonTable,4,FALSE)),4)*BlendedPriceEliteAnnual*ARM58</f>
        <v/>
      </c>
      <c r="ASM58" s="9">
        <f>ASJ58+ASK58+ASL58</f>
        <v/>
      </c>
      <c r="ASN58" s="12">
        <f>SUM(ASM47:ASM58)</f>
        <v/>
      </c>
      <c r="ASO58" s="12">
        <f>OR(ASO57,IF(VATAgentMode,SUM($ASM47:$ASM58)-SUM($AST47:$AST58)&gt;=VATThreshold,SUM($ASM47:$ASM58)&gt;=VATThreshold))</f>
        <v/>
      </c>
      <c r="ASP58" s="9">
        <f>IF(ASO58,IF(VATAgentMode,ASM58-((ASM58-AST58)-(ASM58-AST58)/(1+VATRate)),ASM58/(1+VATRate)),ASM58)</f>
        <v/>
      </c>
      <c r="ASQ58" s="12">
        <f>ASM58-ASP58</f>
        <v/>
      </c>
      <c r="ASR58" s="12">
        <f>IF(ASO58=0,0,IF(ARJ58=1,SUMPRODUCT(--(($ARK$5:$ARK58=$ARK58-1)*($ARJ$5:$ARJ58&gt;=10)*($ARJ$5:$ARJ58&lt;=12)),$ASQ$5:$ASQ58),IF(ARJ58=4,SUMPRODUCT(--(($ARK$5:$ARK58=$ARK58)*($ARJ$5:$ARJ58&gt;=1)*($ARJ$5:$ARJ58&lt;=3)),$ASQ$5:$ASQ58),IF(ARJ58=7,SUMPRODUCT(--(($ARK$5:$ARK58=$ARK58)*($ARJ$5:$ARJ58&gt;=4)*($ARJ$5:$ARJ58&lt;=6)),$ASQ$5:$ASQ58),IF(ARJ58=10,SUMPRODUCT(--(($ARK$5:$ARK58=$ARK58)*($ARJ$5:$ARJ58&gt;=7)*($ARJ$5:$ARJ58&lt;=9)),$ASQ$5:$ASQ58),0)))))</f>
        <v/>
      </c>
      <c r="ASS58" s="12">
        <f>ASS57+ASQ58-ASR58</f>
        <v/>
      </c>
      <c r="AST58" s="12">
        <f>IF(ProviderDelay&gt;=1,ASA57*BlendedProvPayEss+ASB57*BlendedProvPayPrem+ASC57*BlendedProvPayElite+ASD57*BlendedProvPayEss+ASE57*BlendedProvPayPrem+ASF57*BlendedProvPayElite,ASA58*BlendedProvPayEss+ASB58*BlendedProvPayPrem+ASC58*BlendedProvPayElite+ASD58*BlendedProvPayEss+ASE58*BlendedProvPayPrem+ASF58*BlendedProvPayElite)</f>
        <v/>
      </c>
      <c r="ASU58" s="12">
        <f>ASM58*PaymentFee</f>
        <v/>
      </c>
      <c r="ASV58" s="12">
        <f>ASG58*OpsAI</f>
        <v/>
      </c>
      <c r="ASW58" s="12">
        <f>MonthlyFixed</f>
        <v/>
      </c>
      <c r="ASX58" s="12">
        <f>ARQ58*ReferralReward</f>
        <v/>
      </c>
      <c r="ASY58" s="12">
        <f>ARO58</f>
        <v/>
      </c>
      <c r="ASZ58" s="9">
        <f>ASP58-AST58-ASU58-ASV58-ASW58-ASX58-ASY58</f>
        <v/>
      </c>
      <c r="ATA58" s="9">
        <f>ATA57+ASM58-(AST58+ASU58+ASV58+ASW58+ASX58+ASY58+ASR58)</f>
        <v/>
      </c>
      <c r="ATB58" s="12">
        <f>IF(ASG58&gt;0,ASH58/ASG58,0)</f>
        <v/>
      </c>
      <c r="ATC58" s="11">
        <f>IF(ASG57&gt;0,MAX(0,(ASG57+ARR58-ASG58)/ASG57),0)</f>
        <v/>
      </c>
      <c r="ATE58" s="12" t="n">
        <v>54</v>
      </c>
      <c r="ATF58" s="12">
        <f>MOD(ATE58-1+LaunchMonth-1,12)+1</f>
        <v/>
      </c>
      <c r="ATG58" s="12">
        <f>INT((ATE58-1+LaunchMonth-1)/12)+1</f>
        <v/>
      </c>
      <c r="ATH58" s="12">
        <f>VLOOKUP(ATF58,SeasonTable,2,FALSE)</f>
        <v/>
      </c>
      <c r="ATI58" s="12">
        <f>(1+InflationRate)^INT((ATE58-1)/12)</f>
        <v/>
      </c>
      <c r="ATJ58" s="11">
        <f>MonthlyChurn*VLOOKUP(ATF58,ChurnSeasonTable,4,FALSE)</f>
        <v/>
      </c>
      <c r="ATK58" s="12">
        <f>MIN(MAX(MktMin19plus,AUI57*MktPct19plus),MAX(0,AUW57-CashBuffer))</f>
        <v/>
      </c>
      <c r="ATL58" s="12">
        <f>IF(ATK58&gt;0,MAX(1,ROUND(ATK58/'Sens - CAC &amp; Marketing'!$A$15*ATH58,0)),0)</f>
        <v/>
      </c>
      <c r="ATM58" s="12">
        <f>IF(ATL58&gt;0,ROUND(ATL58*ReferralMix/(1-ReferralMix),0),0)</f>
        <v/>
      </c>
      <c r="ATN58" s="12">
        <f>ATL58+ATM58</f>
        <v/>
      </c>
      <c r="ATO58" s="12">
        <f>ROUND(ATN58*(1-AnnualMix),0)</f>
        <v/>
      </c>
      <c r="ATP58" s="12">
        <f>ATN58-ATO58</f>
        <v/>
      </c>
      <c r="ATQ58" s="12">
        <f>ROUND(ATO58*EssentialMix,0)</f>
        <v/>
      </c>
      <c r="ATR58" s="12">
        <f>ROUND(ATO58*PremiumMix,0)</f>
        <v/>
      </c>
      <c r="ATS58" s="12">
        <f>ATO58-ATQ58-ATR58</f>
        <v/>
      </c>
      <c r="ATT58" s="12">
        <f>ROUND(ATP58*EssentialMix,0)</f>
        <v/>
      </c>
      <c r="ATU58" s="12">
        <f>ROUND(ATP58*PremiumMix,0)</f>
        <v/>
      </c>
      <c r="ATV58" s="12">
        <f>ATP58-ATT58-ATU58</f>
        <v/>
      </c>
      <c r="ATW58" s="12">
        <f>ATQ58+ATQ57+ATQ56+MAX(0,ATW57-ATQ57-ATQ56)*(1-ATJ58)</f>
        <v/>
      </c>
      <c r="ATX58" s="12">
        <f>ATR58+ATR57+ATR56+MAX(0,ATX57-ATR57-ATR56)*(1-ATJ58)</f>
        <v/>
      </c>
      <c r="ATY58" s="12">
        <f>ATS58+ATS57+ATS56+MAX(0,ATY57-ATS57-ATS56)*(1-ATJ58)</f>
        <v/>
      </c>
      <c r="ATZ58" s="12">
        <f>ATZ57+ATT58-ATT46*(AnnualChurn*VLOOKUP(ATF58,ChurnSeasonTable,4,FALSE))*POWER(1-(AnnualChurn*VLOOKUP(ATF58,ChurnSeasonTable,4,FALSE)),0)+ATT34*(AnnualChurn*VLOOKUP(ATF58,ChurnSeasonTable,4,FALSE))*POWER(1-(AnnualChurn*VLOOKUP(ATF58,ChurnSeasonTable,4,FALSE)),1)+ATT22*(AnnualChurn*VLOOKUP(ATF58,ChurnSeasonTable,4,FALSE))*POWER(1-(AnnualChurn*VLOOKUP(ATF58,ChurnSeasonTable,4,FALSE)),2)+ATT10*(AnnualChurn*VLOOKUP(ATF58,ChurnSeasonTable,4,FALSE))*POWER(1-(AnnualChurn*VLOOKUP(ATF58,ChurnSeasonTable,4,FALSE)),3)</f>
        <v/>
      </c>
      <c r="AUA58" s="12">
        <f>AUA57+ATU58-ATU46*(AnnualChurn*VLOOKUP(ATF58,ChurnSeasonTable,4,FALSE))*POWER(1-(AnnualChurn*VLOOKUP(ATF58,ChurnSeasonTable,4,FALSE)),0)+ATU34*(AnnualChurn*VLOOKUP(ATF58,ChurnSeasonTable,4,FALSE))*POWER(1-(AnnualChurn*VLOOKUP(ATF58,ChurnSeasonTable,4,FALSE)),1)+ATU22*(AnnualChurn*VLOOKUP(ATF58,ChurnSeasonTable,4,FALSE))*POWER(1-(AnnualChurn*VLOOKUP(ATF58,ChurnSeasonTable,4,FALSE)),2)+ATU10*(AnnualChurn*VLOOKUP(ATF58,ChurnSeasonTable,4,FALSE))*POWER(1-(AnnualChurn*VLOOKUP(ATF58,ChurnSeasonTable,4,FALSE)),3)</f>
        <v/>
      </c>
      <c r="AUB58" s="12">
        <f>AUB57+ATV58-ATV46*(AnnualChurn*VLOOKUP(ATF58,ChurnSeasonTable,4,FALSE))*POWER(1-(AnnualChurn*VLOOKUP(ATF58,ChurnSeasonTable,4,FALSE)),0)+ATV34*(AnnualChurn*VLOOKUP(ATF58,ChurnSeasonTable,4,FALSE))*POWER(1-(AnnualChurn*VLOOKUP(ATF58,ChurnSeasonTable,4,FALSE)),1)+ATV22*(AnnualChurn*VLOOKUP(ATF58,ChurnSeasonTable,4,FALSE))*POWER(1-(AnnualChurn*VLOOKUP(ATF58,ChurnSeasonTable,4,FALSE)),2)+ATV10*(AnnualChurn*VLOOKUP(ATF58,ChurnSeasonTable,4,FALSE))*POWER(1-(AnnualChurn*VLOOKUP(ATF58,ChurnSeasonTable,4,FALSE)),3)</f>
        <v/>
      </c>
      <c r="AUC58" s="12">
        <f>ATW58+ATX58+ATY58+ATZ58+AUA58+AUB58</f>
        <v/>
      </c>
      <c r="AUD58" s="9">
        <f>ATW58*BlendedPriceEssMonthly*ATI58+ATX58*BlendedPricePremMonthly*ATI58+ATY58*BlendedPriceEliteMonthly*ATI58+ATZ58*BlendedPriceEssAnnual*ATI58/12+AUA58*BlendedPricePremAnnual*ATI58/12+AUB58*BlendedPriceEliteAnnual*ATI58/12</f>
        <v/>
      </c>
      <c r="AUE58" s="9">
        <f>AUD58*12</f>
        <v/>
      </c>
      <c r="AUF58" s="12">
        <f>ATW58*BlendedPriceEssMonthly*ATI58+ATX58*BlendedPricePremMonthly*ATI58+ATY58*BlendedPriceEliteMonthly*ATI58</f>
        <v/>
      </c>
      <c r="AUG58" s="12">
        <f>ATT58*BlendedPriceEssAnnual*ATI58+ATU58*BlendedPricePremAnnual*ATI58+ATV58*BlendedPriceEliteAnnual*ATI58</f>
        <v/>
      </c>
      <c r="AUH58" s="12">
        <f>ATT46*POWER(1-(AnnualChurn*VLOOKUP(ATF58,ChurnSeasonTable,4,FALSE)),1)*BlendedPriceEssAnnual*ATI58+ATT34*POWER(1-(AnnualChurn*VLOOKUP(ATF58,ChurnSeasonTable,4,FALSE)),2)*BlendedPriceEssAnnual*ATI58+ATT22*POWER(1-(AnnualChurn*VLOOKUP(ATF58,ChurnSeasonTable,4,FALSE)),3)*BlendedPriceEssAnnual*ATI58+ATT10*POWER(1-(AnnualChurn*VLOOKUP(ATF58,ChurnSeasonTable,4,FALSE)),4)*BlendedPriceEssAnnual*ATI58+ATU46*POWER(1-(AnnualChurn*VLOOKUP(ATF58,ChurnSeasonTable,4,FALSE)),1)*BlendedPricePremAnnual*ATI58+ATU34*POWER(1-(AnnualChurn*VLOOKUP(ATF58,ChurnSeasonTable,4,FALSE)),2)*BlendedPricePremAnnual*ATI58+ATU22*POWER(1-(AnnualChurn*VLOOKUP(ATF58,ChurnSeasonTable,4,FALSE)),3)*BlendedPricePremAnnual*ATI58+ATU10*POWER(1-(AnnualChurn*VLOOKUP(ATF58,ChurnSeasonTable,4,FALSE)),4)*BlendedPricePremAnnual*ATI58+ATV46*POWER(1-(AnnualChurn*VLOOKUP(ATF58,ChurnSeasonTable,4,FALSE)),1)*BlendedPriceEliteAnnual*ATI58+ATV34*POWER(1-(AnnualChurn*VLOOKUP(ATF58,ChurnSeasonTable,4,FALSE)),2)*BlendedPriceEliteAnnual*ATI58+ATV22*POWER(1-(AnnualChurn*VLOOKUP(ATF58,ChurnSeasonTable,4,FALSE)),3)*BlendedPriceEliteAnnual*ATI58+ATV10*POWER(1-(AnnualChurn*VLOOKUP(ATF58,ChurnSeasonTable,4,FALSE)),4)*BlendedPriceEliteAnnual*ATI58</f>
        <v/>
      </c>
      <c r="AUI58" s="9">
        <f>AUF58+AUG58+AUH58</f>
        <v/>
      </c>
      <c r="AUJ58" s="12">
        <f>SUM(AUI47:AUI58)</f>
        <v/>
      </c>
      <c r="AUK58" s="12">
        <f>OR(AUK57,IF(VATAgentMode,SUM($AUI47:$AUI58)-SUM($AUP47:$AUP58)&gt;=VATThreshold,SUM($AUI47:$AUI58)&gt;=VATThreshold))</f>
        <v/>
      </c>
      <c r="AUL58" s="9">
        <f>IF(AUK58,IF(VATAgentMode,AUI58-((AUI58-AUP58)-(AUI58-AUP58)/(1+VATRate)),AUI58/(1+VATRate)),AUI58)</f>
        <v/>
      </c>
      <c r="AUM58" s="12">
        <f>AUI58-AUL58</f>
        <v/>
      </c>
      <c r="AUN58" s="12">
        <f>IF(AUK58=0,0,IF(ATF58=1,SUMPRODUCT(--(($ATG$5:$ATG58=$ATG58-1)*($ATF$5:$ATF58&gt;=10)*($ATF$5:$ATF58&lt;=12)),$AUM$5:$AUM58),IF(ATF58=4,SUMPRODUCT(--(($ATG$5:$ATG58=$ATG58)*($ATF$5:$ATF58&gt;=1)*($ATF$5:$ATF58&lt;=3)),$AUM$5:$AUM58),IF(ATF58=7,SUMPRODUCT(--(($ATG$5:$ATG58=$ATG58)*($ATF$5:$ATF58&gt;=4)*($ATF$5:$ATF58&lt;=6)),$AUM$5:$AUM58),IF(ATF58=10,SUMPRODUCT(--(($ATG$5:$ATG58=$ATG58)*($ATF$5:$ATF58&gt;=7)*($ATF$5:$ATF58&lt;=9)),$AUM$5:$AUM58),0)))))</f>
        <v/>
      </c>
      <c r="AUO58" s="12">
        <f>AUO57+AUM58-AUN58</f>
        <v/>
      </c>
      <c r="AUP58" s="12">
        <f>IF(ProviderDelay&gt;=1,ATW57*BlendedProvPayEss+ATX57*BlendedProvPayPrem+ATY57*BlendedProvPayElite+ATZ57*BlendedProvPayEss+AUA57*BlendedProvPayPrem+AUB57*BlendedProvPayElite,ATW58*BlendedProvPayEss+ATX58*BlendedProvPayPrem+ATY58*BlendedProvPayElite+ATZ58*BlendedProvPayEss+AUA58*BlendedProvPayPrem+AUB58*BlendedProvPayElite)</f>
        <v/>
      </c>
      <c r="AUQ58" s="12">
        <f>AUI58*PaymentFee</f>
        <v/>
      </c>
      <c r="AUR58" s="12">
        <f>AUC58*OpsAI</f>
        <v/>
      </c>
      <c r="AUS58" s="12">
        <f>MonthlyFixed</f>
        <v/>
      </c>
      <c r="AUT58" s="12">
        <f>ATM58*ReferralReward</f>
        <v/>
      </c>
      <c r="AUU58" s="12">
        <f>ATK58</f>
        <v/>
      </c>
      <c r="AUV58" s="9">
        <f>AUL58-AUP58-AUQ58-AUR58-AUS58-AUT58-AUU58</f>
        <v/>
      </c>
      <c r="AUW58" s="9">
        <f>AUW57+AUI58-(AUP58+AUQ58+AUR58+AUS58+AUT58+AUU58+AUN58)</f>
        <v/>
      </c>
      <c r="AUX58" s="12">
        <f>IF(AUC58&gt;0,AUD58/AUC58,0)</f>
        <v/>
      </c>
      <c r="AUY58" s="11">
        <f>IF(AUC57&gt;0,MAX(0,(AUC57+ATN58-AUC58)/AUC57),0)</f>
        <v/>
      </c>
      <c r="AVA58" s="12" t="n">
        <v>54</v>
      </c>
      <c r="AVB58" s="12">
        <f>MOD(AVA58-1+LaunchMonth-1,12)+1</f>
        <v/>
      </c>
      <c r="AVC58" s="12">
        <f>INT((AVA58-1+LaunchMonth-1)/12)+1</f>
        <v/>
      </c>
      <c r="AVD58" s="12">
        <f>VLOOKUP(AVB58,WinterPivotSeasonTable,5,FALSE)</f>
        <v/>
      </c>
      <c r="AVE58" s="12">
        <f>(1+InflationRate)^INT((AVA58-1)/12)</f>
        <v/>
      </c>
      <c r="AVF58" s="11">
        <f>MonthlyChurn*VLOOKUP(AVB58,WinterPivotChurnTable,6,FALSE)</f>
        <v/>
      </c>
      <c r="AVG58" s="12">
        <f>MIN(MAX(MktMin19plus,AWE57*MktPct19plus),MAX(0,AWS57-CashBuffer))</f>
        <v/>
      </c>
      <c r="AVH58" s="12">
        <f>IF(AVG58&gt;0,MAX(1,ROUND(AVG58/CAC*AVD58,0)),0)</f>
        <v/>
      </c>
      <c r="AVI58" s="12">
        <f>IF(AVH58&gt;0,ROUND(AVH58*ReferralMix/(1-ReferralMix),0),0)</f>
        <v/>
      </c>
      <c r="AVJ58" s="12">
        <f>AVH58+AVI58</f>
        <v/>
      </c>
      <c r="AVK58" s="12">
        <f>ROUND(AVJ58*(1-AnnualMix),0)</f>
        <v/>
      </c>
      <c r="AVL58" s="12">
        <f>AVJ58-AVK58</f>
        <v/>
      </c>
      <c r="AVM58" s="12">
        <f>ROUND(AVK58*'Sens - Winter Pivot'!$B$6,0)</f>
        <v/>
      </c>
      <c r="AVN58" s="12">
        <f>ROUND(AVK58*PremiumMix,0)</f>
        <v/>
      </c>
      <c r="AVO58" s="12">
        <f>AVK58-AVM58-AVN58</f>
        <v/>
      </c>
      <c r="AVP58" s="12">
        <f>ROUND(AVL58*'Sens - Winter Pivot'!$B$6,0)</f>
        <v/>
      </c>
      <c r="AVQ58" s="12">
        <f>ROUND(AVL58*PremiumMix,0)</f>
        <v/>
      </c>
      <c r="AVR58" s="12">
        <f>AVL58-AVP58-AVQ58</f>
        <v/>
      </c>
      <c r="AVS58" s="12">
        <f>AVM58+AVM57+AVM56+MAX(0,AVS57-AVM57-AVM56)*(1-AVF58)</f>
        <v/>
      </c>
      <c r="AVT58" s="12">
        <f>AVN58+AVN57+AVN56+MAX(0,AVT57-AVN57-AVN56)*(1-AVF58)</f>
        <v/>
      </c>
      <c r="AVU58" s="12">
        <f>AVO58+AVO57+AVO56+MAX(0,AVU57-AVO57-AVO56)*(1-AVF58)</f>
        <v/>
      </c>
      <c r="AVV58" s="12">
        <f>AVV57+AVP58-AVP46*(AnnualChurn*VLOOKUP(AVB58,ChurnSeasonTable,4,FALSE))*POWER(1-(AnnualChurn*VLOOKUP(AVB58,ChurnSeasonTable,4,FALSE)),0)+AVP34*(AnnualChurn*VLOOKUP(AVB58,ChurnSeasonTable,4,FALSE))*POWER(1-(AnnualChurn*VLOOKUP(AVB58,ChurnSeasonTable,4,FALSE)),1)+AVP22*(AnnualChurn*VLOOKUP(AVB58,ChurnSeasonTable,4,FALSE))*POWER(1-(AnnualChurn*VLOOKUP(AVB58,ChurnSeasonTable,4,FALSE)),2)+AVP10*(AnnualChurn*VLOOKUP(AVB58,ChurnSeasonTable,4,FALSE))*POWER(1-(AnnualChurn*VLOOKUP(AVB58,ChurnSeasonTable,4,FALSE)),3)</f>
        <v/>
      </c>
      <c r="AVW58" s="12">
        <f>AVW57+AVQ58-AVQ46*(AnnualChurn*VLOOKUP(AVB58,ChurnSeasonTable,4,FALSE))*POWER(1-(AnnualChurn*VLOOKUP(AVB58,ChurnSeasonTable,4,FALSE)),0)+AVQ34*(AnnualChurn*VLOOKUP(AVB58,ChurnSeasonTable,4,FALSE))*POWER(1-(AnnualChurn*VLOOKUP(AVB58,ChurnSeasonTable,4,FALSE)),1)+AVQ22*(AnnualChurn*VLOOKUP(AVB58,ChurnSeasonTable,4,FALSE))*POWER(1-(AnnualChurn*VLOOKUP(AVB58,ChurnSeasonTable,4,FALSE)),2)+AVQ10*(AnnualChurn*VLOOKUP(AVB58,ChurnSeasonTable,4,FALSE))*POWER(1-(AnnualChurn*VLOOKUP(AVB58,ChurnSeasonTable,4,FALSE)),3)</f>
        <v/>
      </c>
      <c r="AVX58" s="12">
        <f>AVX57+AVR58-AVR46*(AnnualChurn*VLOOKUP(AVB58,ChurnSeasonTable,4,FALSE))*POWER(1-(AnnualChurn*VLOOKUP(AVB58,ChurnSeasonTable,4,FALSE)),0)+AVR34*(AnnualChurn*VLOOKUP(AVB58,ChurnSeasonTable,4,FALSE))*POWER(1-(AnnualChurn*VLOOKUP(AVB58,ChurnSeasonTable,4,FALSE)),1)+AVR22*(AnnualChurn*VLOOKUP(AVB58,ChurnSeasonTable,4,FALSE))*POWER(1-(AnnualChurn*VLOOKUP(AVB58,ChurnSeasonTable,4,FALSE)),2)+AVR10*(AnnualChurn*VLOOKUP(AVB58,ChurnSeasonTable,4,FALSE))*POWER(1-(AnnualChurn*VLOOKUP(AVB58,ChurnSeasonTable,4,FALSE)),3)</f>
        <v/>
      </c>
      <c r="AVY58" s="12">
        <f>AVS58+AVT58+AVU58+AVV58+AVW58+AVX58</f>
        <v/>
      </c>
      <c r="AVZ58" s="9">
        <f>AVS58*BlendedPriceEssMonthly*AVE58+AVT58*(BlendedPricePremMonthly+'Sens - Winter Pivot'!$B$7)*AVE58+AVU58*BlendedPriceEliteMonthly*AVE58+AVV58*BlendedPriceEssAnnual*AVE58/12+AVW58*(BlendedPricePremAnnual+'Sens - Winter Pivot'!$B$7*12)*AVE58/12+AVX58*BlendedPriceEliteAnnual*AVE58/12</f>
        <v/>
      </c>
      <c r="AWA58" s="9">
        <f>AVZ58*12</f>
        <v/>
      </c>
      <c r="AWB58" s="12">
        <f>AVS58*BlendedPriceEssMonthly*AVE58+AVT58*(BlendedPricePremMonthly+'Sens - Winter Pivot'!$B$7)*AVE58+AVU58*BlendedPriceEliteMonthly*AVE58</f>
        <v/>
      </c>
      <c r="AWC58" s="12">
        <f>AVP58*BlendedPriceEssAnnual*AVE58+AVQ58*(BlendedPricePremAnnual+'Sens - Winter Pivot'!$B$7*12)*AVE58+AVR58*BlendedPriceEliteAnnual*AVE58</f>
        <v/>
      </c>
      <c r="AWD58" s="12">
        <f>AVP46*POWER(1-(AnnualChurn*VLOOKUP(AVB58,ChurnSeasonTable,4,FALSE)),1)*BlendedPriceEssAnnual*AVE58+AVP34*POWER(1-(AnnualChurn*VLOOKUP(AVB58,ChurnSeasonTable,4,FALSE)),2)*BlendedPriceEssAnnual*AVE58+AVP22*POWER(1-(AnnualChurn*VLOOKUP(AVB58,ChurnSeasonTable,4,FALSE)),3)*BlendedPriceEssAnnual*AVE58+AVP10*POWER(1-(AnnualChurn*VLOOKUP(AVB58,ChurnSeasonTable,4,FALSE)),4)*BlendedPriceEssAnnual*AVE58+AVQ46*POWER(1-(AnnualChurn*VLOOKUP(AVB58,ChurnSeasonTable,4,FALSE)),1)*BlendedPricePremAnnual*AVE58+AVQ34*POWER(1-(AnnualChurn*VLOOKUP(AVB58,ChurnSeasonTable,4,FALSE)),2)*BlendedPricePremAnnual*AVE58+AVQ22*POWER(1-(AnnualChurn*VLOOKUP(AVB58,ChurnSeasonTable,4,FALSE)),3)*BlendedPricePremAnnual*AVE58+AVQ10*POWER(1-(AnnualChurn*VLOOKUP(AVB58,ChurnSeasonTable,4,FALSE)),4)*BlendedPricePremAnnual*AVE58+AVR46*POWER(1-(AnnualChurn*VLOOKUP(AVB58,ChurnSeasonTable,4,FALSE)),1)*BlendedPriceEliteAnnual*AVE58+AVR34*POWER(1-(AnnualChurn*VLOOKUP(AVB58,ChurnSeasonTable,4,FALSE)),2)*BlendedPriceEliteAnnual*AVE58+AVR22*POWER(1-(AnnualChurn*VLOOKUP(AVB58,ChurnSeasonTable,4,FALSE)),3)*BlendedPriceEliteAnnual*AVE58+AVR10*POWER(1-(AnnualChurn*VLOOKUP(AVB58,ChurnSeasonTable,4,FALSE)),4)*BlendedPriceEliteAnnual*AVE58</f>
        <v/>
      </c>
      <c r="AWE58" s="9">
        <f>AWB58+AWC58+AWD58</f>
        <v/>
      </c>
      <c r="AWF58" s="12">
        <f>SUM(AWE47:AWE58)</f>
        <v/>
      </c>
      <c r="AWG58" s="12">
        <f>OR(AWG57,IF(VATAgentMode,SUM($AWE47:$AWE58)-SUM($AWL47:$AWL58)&gt;=VATThreshold,SUM($AWE47:$AWE58)&gt;=VATThreshold))</f>
        <v/>
      </c>
      <c r="AWH58" s="9">
        <f>IF(AWG58,IF(VATAgentMode,AWE58-((AWE58-AWL58)-(AWE58-AWL58)/(1+VATRate)),AWE58/(1+VATRate)),AWE58)</f>
        <v/>
      </c>
      <c r="AWI58" s="12">
        <f>AWE58-AWH58</f>
        <v/>
      </c>
      <c r="AWJ58" s="12">
        <f>IF(AWG58=0,0,IF(AVB58=1,SUMPRODUCT(--(($AVC$5:$AVC58=$AVC58-1)*($AVB$5:$AVB58&gt;=10)*($AVB$5:$AVB58&lt;=12)),$AWI$5:$AWI58),IF(AVB58=4,SUMPRODUCT(--(($AVC$5:$AVC58=$AVC58)*($AVB$5:$AVB58&gt;=1)*($AVB$5:$AVB58&lt;=3)),$AWI$5:$AWI58),IF(AVB58=7,SUMPRODUCT(--(($AVC$5:$AVC58=$AVC58)*($AVB$5:$AVB58&gt;=4)*($AVB$5:$AVB58&lt;=6)),$AWI$5:$AWI58),IF(AVB58=10,SUMPRODUCT(--(($AVC$5:$AVC58=$AVC58)*($AVB$5:$AVB58&gt;=7)*($AVB$5:$AVB58&lt;=9)),$AWI$5:$AWI58),0)))))</f>
        <v/>
      </c>
      <c r="AWK58" s="12">
        <f>AWK57+AWI58-AWJ58</f>
        <v/>
      </c>
      <c r="AWL58" s="12">
        <f>IF(ProviderDelay&gt;=1,AVS57*BlendedProvPayEss+AVT57*BlendedProvPayPrem+AVU57*BlendedProvPayElite+AVV57*BlendedProvPayEss+AVW57*BlendedProvPayPrem+AVX57*BlendedProvPayElite,AVS58*BlendedProvPayEss+AVT58*BlendedProvPayPrem+AVU58*BlendedProvPayElite+AVV58*BlendedProvPayEss+AVW58*BlendedProvPayPrem+AVX58*BlendedProvPayElite)</f>
        <v/>
      </c>
      <c r="AWM58" s="12">
        <f>AWE58*PaymentFee</f>
        <v/>
      </c>
      <c r="AWN58" s="12">
        <f>AVY58*OpsAI</f>
        <v/>
      </c>
      <c r="AWO58" s="12">
        <f>MonthlyFixed</f>
        <v/>
      </c>
      <c r="AWP58" s="12">
        <f>AVI58*ReferralReward</f>
        <v/>
      </c>
      <c r="AWQ58" s="12">
        <f>AVG58</f>
        <v/>
      </c>
      <c r="AWR58" s="9">
        <f>AWH58-AWL58-AWM58-AWN58-AWO58-AWP58-AWQ58</f>
        <v/>
      </c>
      <c r="AWS58" s="9">
        <f>AWS57+AWE58-(AWL58+AWM58+AWN58+AWO58+AWP58+AWQ58+AWJ58)</f>
        <v/>
      </c>
      <c r="AWT58" s="12">
        <f>IF(AVY58&gt;0,AVZ58/AVY58,0)</f>
        <v/>
      </c>
      <c r="AWU58" s="11">
        <f>IF(AVY57&gt;0,MAX(0,(AVY57+AVJ58-AVY58)/AVY57),0)</f>
        <v/>
      </c>
    </row>
    <row r="59">
      <c r="A59" s="12" t="n">
        <v>55</v>
      </c>
      <c r="B59" s="12">
        <f>MOD(A59-1+LaunchMonth-1,12)+1</f>
        <v/>
      </c>
      <c r="C59" s="12">
        <f>INT((A59-1+LaunchMonth-1)/12)+1</f>
        <v/>
      </c>
      <c r="D59" s="12">
        <f>VLOOKUP(B59,SeasonTable,2,FALSE)</f>
        <v/>
      </c>
      <c r="E59" s="12">
        <f>(1+InflationRate)^INT((A59-1)/12)</f>
        <v/>
      </c>
      <c r="F59" s="11">
        <f>'Sens - Scenarios'!$B$5*VLOOKUP(B59,ChurnSeasonTable,4,FALSE)</f>
        <v/>
      </c>
      <c r="G59" s="12">
        <f>MIN(MAX(MktMin19plus,AE58*MktPct19plus),MAX(0,AS58-CashBuffer))</f>
        <v/>
      </c>
      <c r="H59" s="12">
        <f>IF(G59&gt;0,MAX(1,ROUND(G59/'Sens - Scenarios'!$B$8*D59,0)),0)</f>
        <v/>
      </c>
      <c r="I59" s="12">
        <f>IF(H59&gt;0,ROUND(H59*ReferralMix/(1-ReferralMix),0),0)</f>
        <v/>
      </c>
      <c r="J59" s="12">
        <f>H59+I59</f>
        <v/>
      </c>
      <c r="K59" s="12">
        <f>ROUND(J59*(1-'Sens - Scenarios'!$B$7),0)</f>
        <v/>
      </c>
      <c r="L59" s="12">
        <f>J59-K59</f>
        <v/>
      </c>
      <c r="M59" s="12">
        <f>ROUND(K59*EssentialMix,0)</f>
        <v/>
      </c>
      <c r="N59" s="12">
        <f>ROUND(K59*PremiumMix,0)</f>
        <v/>
      </c>
      <c r="O59" s="12">
        <f>K59-M59-N59</f>
        <v/>
      </c>
      <c r="P59" s="12">
        <f>ROUND(L59*EssentialMix,0)</f>
        <v/>
      </c>
      <c r="Q59" s="12">
        <f>ROUND(L59*PremiumMix,0)</f>
        <v/>
      </c>
      <c r="R59" s="12">
        <f>L59-P59-Q59</f>
        <v/>
      </c>
      <c r="S59" s="12">
        <f>M59+M58+M57+MAX(0,S58-M58-M57)*(1-F59)</f>
        <v/>
      </c>
      <c r="T59" s="12">
        <f>N59+N58+N57+MAX(0,T58-N58-N57)*(1-F59)</f>
        <v/>
      </c>
      <c r="U59" s="12">
        <f>O59+O58+O57+MAX(0,U58-O58-O57)*(1-F59)</f>
        <v/>
      </c>
      <c r="V59" s="12">
        <f>V58+P59-P47*('Sens - Scenarios'!$B$6*VLOOKUP(B59,ChurnSeasonTable,4,FALSE))*POWER(1-('Sens - Scenarios'!$B$6*VLOOKUP(B59,ChurnSeasonTable,4,FALSE)),0)+P35*('Sens - Scenarios'!$B$6*VLOOKUP(B59,ChurnSeasonTable,4,FALSE))*POWER(1-('Sens - Scenarios'!$B$6*VLOOKUP(B59,ChurnSeasonTable,4,FALSE)),1)+P23*('Sens - Scenarios'!$B$6*VLOOKUP(B59,ChurnSeasonTable,4,FALSE))*POWER(1-('Sens - Scenarios'!$B$6*VLOOKUP(B59,ChurnSeasonTable,4,FALSE)),2)+P11*('Sens - Scenarios'!$B$6*VLOOKUP(B59,ChurnSeasonTable,4,FALSE))*POWER(1-('Sens - Scenarios'!$B$6*VLOOKUP(B59,ChurnSeasonTable,4,FALSE)),3)</f>
        <v/>
      </c>
      <c r="W59" s="12">
        <f>W58+Q59-Q47*('Sens - Scenarios'!$B$6*VLOOKUP(B59,ChurnSeasonTable,4,FALSE))*POWER(1-('Sens - Scenarios'!$B$6*VLOOKUP(B59,ChurnSeasonTable,4,FALSE)),0)+Q35*('Sens - Scenarios'!$B$6*VLOOKUP(B59,ChurnSeasonTable,4,FALSE))*POWER(1-('Sens - Scenarios'!$B$6*VLOOKUP(B59,ChurnSeasonTable,4,FALSE)),1)+Q23*('Sens - Scenarios'!$B$6*VLOOKUP(B59,ChurnSeasonTable,4,FALSE))*POWER(1-('Sens - Scenarios'!$B$6*VLOOKUP(B59,ChurnSeasonTable,4,FALSE)),2)+Q11*('Sens - Scenarios'!$B$6*VLOOKUP(B59,ChurnSeasonTable,4,FALSE))*POWER(1-('Sens - Scenarios'!$B$6*VLOOKUP(B59,ChurnSeasonTable,4,FALSE)),3)</f>
        <v/>
      </c>
      <c r="X59" s="12">
        <f>X58+R59-R47*('Sens - Scenarios'!$B$6*VLOOKUP(B59,ChurnSeasonTable,4,FALSE))*POWER(1-('Sens - Scenarios'!$B$6*VLOOKUP(B59,ChurnSeasonTable,4,FALSE)),0)+R35*('Sens - Scenarios'!$B$6*VLOOKUP(B59,ChurnSeasonTable,4,FALSE))*POWER(1-('Sens - Scenarios'!$B$6*VLOOKUP(B59,ChurnSeasonTable,4,FALSE)),1)+R23*('Sens - Scenarios'!$B$6*VLOOKUP(B59,ChurnSeasonTable,4,FALSE))*POWER(1-('Sens - Scenarios'!$B$6*VLOOKUP(B59,ChurnSeasonTable,4,FALSE)),2)+R11*('Sens - Scenarios'!$B$6*VLOOKUP(B59,ChurnSeasonTable,4,FALSE))*POWER(1-('Sens - Scenarios'!$B$6*VLOOKUP(B59,ChurnSeasonTable,4,FALSE)),3)</f>
        <v/>
      </c>
      <c r="Y59" s="12">
        <f>S59+T59+U59+V59+W59+X59</f>
        <v/>
      </c>
      <c r="Z59" s="9">
        <f>S59*BlendedPriceEssMonthly*E59+T59*BlendedPricePremMonthly*E59+U59*BlendedPriceEliteMonthly*E59+V59*BlendedPriceEssAnnual*E59/12+W59*BlendedPricePremAnnual*E59/12+X59*BlendedPriceEliteAnnual*E59/12</f>
        <v/>
      </c>
      <c r="AA59" s="9">
        <f>Z59*12</f>
        <v/>
      </c>
      <c r="AB59" s="12">
        <f>S59*BlendedPriceEssMonthly*E59+T59*BlendedPricePremMonthly*E59+U59*BlendedPriceEliteMonthly*E59</f>
        <v/>
      </c>
      <c r="AC59" s="12">
        <f>P59*BlendedPriceEssAnnual*E59+Q59*BlendedPricePremAnnual*E59+R59*BlendedPriceEliteAnnual*E59</f>
        <v/>
      </c>
      <c r="AD59" s="12">
        <f>P47*POWER(1-('Sens - Scenarios'!$B$6*VLOOKUP(B59,ChurnSeasonTable,4,FALSE)),1)*BlendedPriceEssAnnual*E59+P35*POWER(1-('Sens - Scenarios'!$B$6*VLOOKUP(B59,ChurnSeasonTable,4,FALSE)),2)*BlendedPriceEssAnnual*E59+P23*POWER(1-('Sens - Scenarios'!$B$6*VLOOKUP(B59,ChurnSeasonTable,4,FALSE)),3)*BlendedPriceEssAnnual*E59+P11*POWER(1-('Sens - Scenarios'!$B$6*VLOOKUP(B59,ChurnSeasonTable,4,FALSE)),4)*BlendedPriceEssAnnual*E59+Q47*POWER(1-('Sens - Scenarios'!$B$6*VLOOKUP(B59,ChurnSeasonTable,4,FALSE)),1)*BlendedPricePremAnnual*E59+Q35*POWER(1-('Sens - Scenarios'!$B$6*VLOOKUP(B59,ChurnSeasonTable,4,FALSE)),2)*BlendedPricePremAnnual*E59+Q23*POWER(1-('Sens - Scenarios'!$B$6*VLOOKUP(B59,ChurnSeasonTable,4,FALSE)),3)*BlendedPricePremAnnual*E59+Q11*POWER(1-('Sens - Scenarios'!$B$6*VLOOKUP(B59,ChurnSeasonTable,4,FALSE)),4)*BlendedPricePremAnnual*E59+R47*POWER(1-('Sens - Scenarios'!$B$6*VLOOKUP(B59,ChurnSeasonTable,4,FALSE)),1)*BlendedPriceEliteAnnual*E59+R35*POWER(1-('Sens - Scenarios'!$B$6*VLOOKUP(B59,ChurnSeasonTable,4,FALSE)),2)*BlendedPriceEliteAnnual*E59+R23*POWER(1-('Sens - Scenarios'!$B$6*VLOOKUP(B59,ChurnSeasonTable,4,FALSE)),3)*BlendedPriceEliteAnnual*E59+R11*POWER(1-('Sens - Scenarios'!$B$6*VLOOKUP(B59,ChurnSeasonTable,4,FALSE)),4)*BlendedPriceEliteAnnual*E59</f>
        <v/>
      </c>
      <c r="AE59" s="9">
        <f>AB59+AC59+AD59</f>
        <v/>
      </c>
      <c r="AF59" s="12">
        <f>SUM(AE48:AE59)</f>
        <v/>
      </c>
      <c r="AG59" s="12">
        <f>OR(AG58,IF(VATAgentMode,SUM($AE48:$AE59)-SUM($AL48:$AL59)&gt;=VATThreshold,SUM($AE48:$AE59)&gt;=VATThreshold))</f>
        <v/>
      </c>
      <c r="AH59" s="9">
        <f>IF(AG59,IF(VATAgentMode,AE59-((AE59-AL59)-(AE59-AL59)/(1+VATRate)),AE59/(1+VATRate)),AE59)</f>
        <v/>
      </c>
      <c r="AI59" s="12">
        <f>AE59-AH59</f>
        <v/>
      </c>
      <c r="AJ59" s="12">
        <f>IF(AG59=0,0,IF(B59=1,SUMPRODUCT(--(($C$5:$C59=$C59-1)*($B$5:$B59&gt;=10)*($B$5:$B59&lt;=12)),$AI$5:$AI59),IF(B59=4,SUMPRODUCT(--(($C$5:$C59=$C59)*($B$5:$B59&gt;=1)*($B$5:$B59&lt;=3)),$AI$5:$AI59),IF(B59=7,SUMPRODUCT(--(($C$5:$C59=$C59)*($B$5:$B59&gt;=4)*($B$5:$B59&lt;=6)),$AI$5:$AI59),IF(B59=10,SUMPRODUCT(--(($C$5:$C59=$C59)*($B$5:$B59&gt;=7)*($B$5:$B59&lt;=9)),$AI$5:$AI59),0)))))</f>
        <v/>
      </c>
      <c r="AK59" s="12">
        <f>AK58+AI59-AJ59</f>
        <v/>
      </c>
      <c r="AL59" s="12">
        <f>IF(ProviderDelay&gt;=1,S58*BlendedProvPayEss+T58*BlendedProvPayPrem+U58*BlendedProvPayElite+V58*BlendedProvPayEss+W58*BlendedProvPayPrem+X58*BlendedProvPayElite,S59*BlendedProvPayEss+T59*BlendedProvPayPrem+U59*BlendedProvPayElite+V59*BlendedProvPayEss+W59*BlendedProvPayPrem+X59*BlendedProvPayElite)</f>
        <v/>
      </c>
      <c r="AM59" s="12">
        <f>AE59*PaymentFee</f>
        <v/>
      </c>
      <c r="AN59" s="12">
        <f>Y59*OpsAI</f>
        <v/>
      </c>
      <c r="AO59" s="12">
        <f>MonthlyFixed</f>
        <v/>
      </c>
      <c r="AP59" s="12">
        <f>I59*ReferralReward</f>
        <v/>
      </c>
      <c r="AQ59" s="12">
        <f>G59</f>
        <v/>
      </c>
      <c r="AR59" s="9">
        <f>AH59-AL59-AM59-AN59-AO59-AP59-AQ59</f>
        <v/>
      </c>
      <c r="AS59" s="9">
        <f>AS58+AE59-(AL59+AM59+AN59+AO59+AP59+AQ59+AJ59)</f>
        <v/>
      </c>
      <c r="AT59" s="12">
        <f>IF(Y59&gt;0,Z59/Y59,0)</f>
        <v/>
      </c>
      <c r="AU59" s="11">
        <f>IF(Y58&gt;0,MAX(0,(Y58+J59-Y59)/Y58),0)</f>
        <v/>
      </c>
      <c r="AW59" s="12" t="n">
        <v>55</v>
      </c>
      <c r="AX59" s="12">
        <f>MOD(AW59-1+LaunchMonth-1,12)+1</f>
        <v/>
      </c>
      <c r="AY59" s="12">
        <f>INT((AW59-1+LaunchMonth-1)/12)+1</f>
        <v/>
      </c>
      <c r="AZ59" s="12">
        <f>VLOOKUP(AX59,SeasonTable,2,FALSE)</f>
        <v/>
      </c>
      <c r="BA59" s="12">
        <f>(1+InflationRate)^INT((AW59-1)/12)</f>
        <v/>
      </c>
      <c r="BB59" s="11">
        <f>MonthlyChurn*VLOOKUP(AX59,ChurnSeasonTable,4,FALSE)</f>
        <v/>
      </c>
      <c r="BC59" s="12">
        <f>MIN(MAX(MktMin19plus,CA58*MktPct19plus),MAX(0,CO58-CashBuffer))</f>
        <v/>
      </c>
      <c r="BD59" s="12">
        <f>IF(BC59&gt;0,MAX(1,ROUND(BC59/CAC*AZ59,0)),0)</f>
        <v/>
      </c>
      <c r="BE59" s="12">
        <f>IF(BD59&gt;0,ROUND(BD59*ReferralMix/(1-ReferralMix),0),0)</f>
        <v/>
      </c>
      <c r="BF59" s="12">
        <f>BD59+BE59</f>
        <v/>
      </c>
      <c r="BG59" s="12">
        <f>ROUND(BF59*(1-AnnualMix),0)</f>
        <v/>
      </c>
      <c r="BH59" s="12">
        <f>BF59-BG59</f>
        <v/>
      </c>
      <c r="BI59" s="12">
        <f>ROUND(BG59*EssentialMix,0)</f>
        <v/>
      </c>
      <c r="BJ59" s="12">
        <f>ROUND(BG59*PremiumMix,0)</f>
        <v/>
      </c>
      <c r="BK59" s="12">
        <f>BG59-BI59-BJ59</f>
        <v/>
      </c>
      <c r="BL59" s="12">
        <f>ROUND(BH59*EssentialMix,0)</f>
        <v/>
      </c>
      <c r="BM59" s="12">
        <f>ROUND(BH59*PremiumMix,0)</f>
        <v/>
      </c>
      <c r="BN59" s="12">
        <f>BH59-BL59-BM59</f>
        <v/>
      </c>
      <c r="BO59" s="12">
        <f>BI59+BI58+BI57+MAX(0,BO58-BI58-BI57)*(1-BB59)</f>
        <v/>
      </c>
      <c r="BP59" s="12">
        <f>BJ59+BJ58+BJ57+MAX(0,BP58-BJ58-BJ57)*(1-BB59)</f>
        <v/>
      </c>
      <c r="BQ59" s="12">
        <f>BK59+BK58+BK57+MAX(0,BQ58-BK58-BK57)*(1-BB59)</f>
        <v/>
      </c>
      <c r="BR59" s="12">
        <f>BR58+BL59-BL47*(AnnualChurn*VLOOKUP(AX59,ChurnSeasonTable,4,FALSE))*POWER(1-(AnnualChurn*VLOOKUP(AX59,ChurnSeasonTable,4,FALSE)),0)+BL35*(AnnualChurn*VLOOKUP(AX59,ChurnSeasonTable,4,FALSE))*POWER(1-(AnnualChurn*VLOOKUP(AX59,ChurnSeasonTable,4,FALSE)),1)+BL23*(AnnualChurn*VLOOKUP(AX59,ChurnSeasonTable,4,FALSE))*POWER(1-(AnnualChurn*VLOOKUP(AX59,ChurnSeasonTable,4,FALSE)),2)+BL11*(AnnualChurn*VLOOKUP(AX59,ChurnSeasonTable,4,FALSE))*POWER(1-(AnnualChurn*VLOOKUP(AX59,ChurnSeasonTable,4,FALSE)),3)</f>
        <v/>
      </c>
      <c r="BS59" s="12">
        <f>BS58+BM59-BM47*(AnnualChurn*VLOOKUP(AX59,ChurnSeasonTable,4,FALSE))*POWER(1-(AnnualChurn*VLOOKUP(AX59,ChurnSeasonTable,4,FALSE)),0)+BM35*(AnnualChurn*VLOOKUP(AX59,ChurnSeasonTable,4,FALSE))*POWER(1-(AnnualChurn*VLOOKUP(AX59,ChurnSeasonTable,4,FALSE)),1)+BM23*(AnnualChurn*VLOOKUP(AX59,ChurnSeasonTable,4,FALSE))*POWER(1-(AnnualChurn*VLOOKUP(AX59,ChurnSeasonTable,4,FALSE)),2)+BM11*(AnnualChurn*VLOOKUP(AX59,ChurnSeasonTable,4,FALSE))*POWER(1-(AnnualChurn*VLOOKUP(AX59,ChurnSeasonTable,4,FALSE)),3)</f>
        <v/>
      </c>
      <c r="BT59" s="12">
        <f>BT58+BN59-BN47*(AnnualChurn*VLOOKUP(AX59,ChurnSeasonTable,4,FALSE))*POWER(1-(AnnualChurn*VLOOKUP(AX59,ChurnSeasonTable,4,FALSE)),0)+BN35*(AnnualChurn*VLOOKUP(AX59,ChurnSeasonTable,4,FALSE))*POWER(1-(AnnualChurn*VLOOKUP(AX59,ChurnSeasonTable,4,FALSE)),1)+BN23*(AnnualChurn*VLOOKUP(AX59,ChurnSeasonTable,4,FALSE))*POWER(1-(AnnualChurn*VLOOKUP(AX59,ChurnSeasonTable,4,FALSE)),2)+BN11*(AnnualChurn*VLOOKUP(AX59,ChurnSeasonTable,4,FALSE))*POWER(1-(AnnualChurn*VLOOKUP(AX59,ChurnSeasonTable,4,FALSE)),3)</f>
        <v/>
      </c>
      <c r="BU59" s="12">
        <f>BO59+BP59+BQ59+BR59+BS59+BT59</f>
        <v/>
      </c>
      <c r="BV59" s="9">
        <f>BO59*BlendedPriceEssMonthly*BA59+BP59*BlendedPricePremMonthly*BA59+BQ59*BlendedPriceEliteMonthly*BA59+BR59*BlendedPriceEssAnnual*BA59/12+BS59*BlendedPricePremAnnual*BA59/12+BT59*BlendedPriceEliteAnnual*BA59/12</f>
        <v/>
      </c>
      <c r="BW59" s="9">
        <f>BV59*12</f>
        <v/>
      </c>
      <c r="BX59" s="12">
        <f>BO59*BlendedPriceEssMonthly*BA59+BP59*BlendedPricePremMonthly*BA59+BQ59*BlendedPriceEliteMonthly*BA59</f>
        <v/>
      </c>
      <c r="BY59" s="12">
        <f>BL59*BlendedPriceEssAnnual*BA59+BM59*BlendedPricePremAnnual*BA59+BN59*BlendedPriceEliteAnnual*BA59</f>
        <v/>
      </c>
      <c r="BZ59" s="12">
        <f>BL47*POWER(1-(AnnualChurn*VLOOKUP(AX59,ChurnSeasonTable,4,FALSE)),1)*BlendedPriceEssAnnual*BA59+BL35*POWER(1-(AnnualChurn*VLOOKUP(AX59,ChurnSeasonTable,4,FALSE)),2)*BlendedPriceEssAnnual*BA59+BL23*POWER(1-(AnnualChurn*VLOOKUP(AX59,ChurnSeasonTable,4,FALSE)),3)*BlendedPriceEssAnnual*BA59+BL11*POWER(1-(AnnualChurn*VLOOKUP(AX59,ChurnSeasonTable,4,FALSE)),4)*BlendedPriceEssAnnual*BA59+BM47*POWER(1-(AnnualChurn*VLOOKUP(AX59,ChurnSeasonTable,4,FALSE)),1)*BlendedPricePremAnnual*BA59+BM35*POWER(1-(AnnualChurn*VLOOKUP(AX59,ChurnSeasonTable,4,FALSE)),2)*BlendedPricePremAnnual*BA59+BM23*POWER(1-(AnnualChurn*VLOOKUP(AX59,ChurnSeasonTable,4,FALSE)),3)*BlendedPricePremAnnual*BA59+BM11*POWER(1-(AnnualChurn*VLOOKUP(AX59,ChurnSeasonTable,4,FALSE)),4)*BlendedPricePremAnnual*BA59+BN47*POWER(1-(AnnualChurn*VLOOKUP(AX59,ChurnSeasonTable,4,FALSE)),1)*BlendedPriceEliteAnnual*BA59+BN35*POWER(1-(AnnualChurn*VLOOKUP(AX59,ChurnSeasonTable,4,FALSE)),2)*BlendedPriceEliteAnnual*BA59+BN23*POWER(1-(AnnualChurn*VLOOKUP(AX59,ChurnSeasonTable,4,FALSE)),3)*BlendedPriceEliteAnnual*BA59+BN11*POWER(1-(AnnualChurn*VLOOKUP(AX59,ChurnSeasonTable,4,FALSE)),4)*BlendedPriceEliteAnnual*BA59</f>
        <v/>
      </c>
      <c r="CA59" s="9">
        <f>BX59+BY59+BZ59</f>
        <v/>
      </c>
      <c r="CB59" s="12">
        <f>SUM(CA48:CA59)</f>
        <v/>
      </c>
      <c r="CC59" s="12">
        <f>OR(CC58,IF(VATAgentMode,SUM($CA48:$CA59)-SUM($CH48:$CH59)&gt;=VATThreshold,SUM($CA48:$CA59)&gt;=VATThreshold))</f>
        <v/>
      </c>
      <c r="CD59" s="9">
        <f>IF(CC59,IF(VATAgentMode,CA59-((CA59-CH59)-(CA59-CH59)/(1+VATRate)),CA59/(1+VATRate)),CA59)</f>
        <v/>
      </c>
      <c r="CE59" s="12">
        <f>CA59-CD59</f>
        <v/>
      </c>
      <c r="CF59" s="12">
        <f>IF(CC59=0,0,IF(AX59=1,SUMPRODUCT(--(($AY$5:$AY59=$AY59-1)*($AX$5:$AX59&gt;=10)*($AX$5:$AX59&lt;=12)),$CE$5:$CE59),IF(AX59=4,SUMPRODUCT(--(($AY$5:$AY59=$AY59)*($AX$5:$AX59&gt;=1)*($AX$5:$AX59&lt;=3)),$CE$5:$CE59),IF(AX59=7,SUMPRODUCT(--(($AY$5:$AY59=$AY59)*($AX$5:$AX59&gt;=4)*($AX$5:$AX59&lt;=6)),$CE$5:$CE59),IF(AX59=10,SUMPRODUCT(--(($AY$5:$AY59=$AY59)*($AX$5:$AX59&gt;=7)*($AX$5:$AX59&lt;=9)),$CE$5:$CE59),0)))))</f>
        <v/>
      </c>
      <c r="CG59" s="12">
        <f>CG58+CE59-CF59</f>
        <v/>
      </c>
      <c r="CH59" s="12">
        <f>IF(ProviderDelay&gt;=1,BO58*BlendedProvPayEss+BP58*BlendedProvPayPrem+BQ58*BlendedProvPayElite+BR58*BlendedProvPayEss+BS58*BlendedProvPayPrem+BT58*BlendedProvPayElite,BO59*BlendedProvPayEss+BP59*BlendedProvPayPrem+BQ59*BlendedProvPayElite+BR59*BlendedProvPayEss+BS59*BlendedProvPayPrem+BT59*BlendedProvPayElite)</f>
        <v/>
      </c>
      <c r="CI59" s="12">
        <f>CA59*PaymentFee</f>
        <v/>
      </c>
      <c r="CJ59" s="12">
        <f>BU59*OpsAI</f>
        <v/>
      </c>
      <c r="CK59" s="12">
        <f>MonthlyFixed</f>
        <v/>
      </c>
      <c r="CL59" s="12">
        <f>BE59*ReferralReward</f>
        <v/>
      </c>
      <c r="CM59" s="12">
        <f>BC59</f>
        <v/>
      </c>
      <c r="CN59" s="9">
        <f>CD59-CH59-CI59-CJ59-CK59-CL59-CM59</f>
        <v/>
      </c>
      <c r="CO59" s="9">
        <f>CO58+CA59-(CH59+CI59+CJ59+CK59+CL59+CM59+CF59)</f>
        <v/>
      </c>
      <c r="CP59" s="12">
        <f>IF(BU59&gt;0,BV59/BU59,0)</f>
        <v/>
      </c>
      <c r="CQ59" s="11">
        <f>IF(BU58&gt;0,MAX(0,(BU58+BF59-BU59)/BU58),0)</f>
        <v/>
      </c>
      <c r="CS59" s="12" t="n">
        <v>55</v>
      </c>
      <c r="CT59" s="12">
        <f>MOD(CS59-1+LaunchMonth-1,12)+1</f>
        <v/>
      </c>
      <c r="CU59" s="12">
        <f>INT((CS59-1+LaunchMonth-1)/12)+1</f>
        <v/>
      </c>
      <c r="CV59" s="12">
        <f>VLOOKUP(CT59,SeasonTable,2,FALSE)</f>
        <v/>
      </c>
      <c r="CW59" s="12">
        <f>(1+InflationRate)^INT((CS59-1)/12)</f>
        <v/>
      </c>
      <c r="CX59" s="11">
        <f>'Sens - Scenarios'!$D$5*VLOOKUP(CT59,ChurnSeasonTable,4,FALSE)</f>
        <v/>
      </c>
      <c r="CY59" s="12">
        <f>MIN(MAX(MktMin19plus,DW58*MktPct19plus),MAX(0,EK58-CashBuffer))</f>
        <v/>
      </c>
      <c r="CZ59" s="12">
        <f>IF(CY59&gt;0,MAX(1,ROUND(CY59/'Sens - Scenarios'!$D$8*CV59,0)),0)</f>
        <v/>
      </c>
      <c r="DA59" s="12">
        <f>IF(CZ59&gt;0,ROUND(CZ59*ReferralMix/(1-ReferralMix),0),0)</f>
        <v/>
      </c>
      <c r="DB59" s="12">
        <f>CZ59+DA59</f>
        <v/>
      </c>
      <c r="DC59" s="12">
        <f>ROUND(DB59*(1-'Sens - Scenarios'!$D$7),0)</f>
        <v/>
      </c>
      <c r="DD59" s="12">
        <f>DB59-DC59</f>
        <v/>
      </c>
      <c r="DE59" s="12">
        <f>ROUND(DC59*EssentialMix,0)</f>
        <v/>
      </c>
      <c r="DF59" s="12">
        <f>ROUND(DC59*PremiumMix,0)</f>
        <v/>
      </c>
      <c r="DG59" s="12">
        <f>DC59-DE59-DF59</f>
        <v/>
      </c>
      <c r="DH59" s="12">
        <f>ROUND(DD59*EssentialMix,0)</f>
        <v/>
      </c>
      <c r="DI59" s="12">
        <f>ROUND(DD59*PremiumMix,0)</f>
        <v/>
      </c>
      <c r="DJ59" s="12">
        <f>DD59-DH59-DI59</f>
        <v/>
      </c>
      <c r="DK59" s="12">
        <f>DE59+DE58+DE57+MAX(0,DK58-DE58-DE57)*(1-CX59)</f>
        <v/>
      </c>
      <c r="DL59" s="12">
        <f>DF59+DF58+DF57+MAX(0,DL58-DF58-DF57)*(1-CX59)</f>
        <v/>
      </c>
      <c r="DM59" s="12">
        <f>DG59+DG58+DG57+MAX(0,DM58-DG58-DG57)*(1-CX59)</f>
        <v/>
      </c>
      <c r="DN59" s="12">
        <f>DN58+DH59-DH47*('Sens - Scenarios'!$D$6*VLOOKUP(CT59,ChurnSeasonTable,4,FALSE))*POWER(1-('Sens - Scenarios'!$D$6*VLOOKUP(CT59,ChurnSeasonTable,4,FALSE)),0)+DH35*('Sens - Scenarios'!$D$6*VLOOKUP(CT59,ChurnSeasonTable,4,FALSE))*POWER(1-('Sens - Scenarios'!$D$6*VLOOKUP(CT59,ChurnSeasonTable,4,FALSE)),1)+DH23*('Sens - Scenarios'!$D$6*VLOOKUP(CT59,ChurnSeasonTable,4,FALSE))*POWER(1-('Sens - Scenarios'!$D$6*VLOOKUP(CT59,ChurnSeasonTable,4,FALSE)),2)+DH11*('Sens - Scenarios'!$D$6*VLOOKUP(CT59,ChurnSeasonTable,4,FALSE))*POWER(1-('Sens - Scenarios'!$D$6*VLOOKUP(CT59,ChurnSeasonTable,4,FALSE)),3)</f>
        <v/>
      </c>
      <c r="DO59" s="12">
        <f>DO58+DI59-DI47*('Sens - Scenarios'!$D$6*VLOOKUP(CT59,ChurnSeasonTable,4,FALSE))*POWER(1-('Sens - Scenarios'!$D$6*VLOOKUP(CT59,ChurnSeasonTable,4,FALSE)),0)+DI35*('Sens - Scenarios'!$D$6*VLOOKUP(CT59,ChurnSeasonTable,4,FALSE))*POWER(1-('Sens - Scenarios'!$D$6*VLOOKUP(CT59,ChurnSeasonTable,4,FALSE)),1)+DI23*('Sens - Scenarios'!$D$6*VLOOKUP(CT59,ChurnSeasonTable,4,FALSE))*POWER(1-('Sens - Scenarios'!$D$6*VLOOKUP(CT59,ChurnSeasonTable,4,FALSE)),2)+DI11*('Sens - Scenarios'!$D$6*VLOOKUP(CT59,ChurnSeasonTable,4,FALSE))*POWER(1-('Sens - Scenarios'!$D$6*VLOOKUP(CT59,ChurnSeasonTable,4,FALSE)),3)</f>
        <v/>
      </c>
      <c r="DP59" s="12">
        <f>DP58+DJ59-DJ47*('Sens - Scenarios'!$D$6*VLOOKUP(CT59,ChurnSeasonTable,4,FALSE))*POWER(1-('Sens - Scenarios'!$D$6*VLOOKUP(CT59,ChurnSeasonTable,4,FALSE)),0)+DJ35*('Sens - Scenarios'!$D$6*VLOOKUP(CT59,ChurnSeasonTable,4,FALSE))*POWER(1-('Sens - Scenarios'!$D$6*VLOOKUP(CT59,ChurnSeasonTable,4,FALSE)),1)+DJ23*('Sens - Scenarios'!$D$6*VLOOKUP(CT59,ChurnSeasonTable,4,FALSE))*POWER(1-('Sens - Scenarios'!$D$6*VLOOKUP(CT59,ChurnSeasonTable,4,FALSE)),2)+DJ11*('Sens - Scenarios'!$D$6*VLOOKUP(CT59,ChurnSeasonTable,4,FALSE))*POWER(1-('Sens - Scenarios'!$D$6*VLOOKUP(CT59,ChurnSeasonTable,4,FALSE)),3)</f>
        <v/>
      </c>
      <c r="DQ59" s="12">
        <f>DK59+DL59+DM59+DN59+DO59+DP59</f>
        <v/>
      </c>
      <c r="DR59" s="9">
        <f>DK59*BlendedPriceEssMonthly*CW59+DL59*BlendedPricePremMonthly*CW59+DM59*BlendedPriceEliteMonthly*CW59+DN59*BlendedPriceEssAnnual*CW59/12+DO59*BlendedPricePremAnnual*CW59/12+DP59*BlendedPriceEliteAnnual*CW59/12</f>
        <v/>
      </c>
      <c r="DS59" s="9">
        <f>DR59*12</f>
        <v/>
      </c>
      <c r="DT59" s="12">
        <f>DK59*BlendedPriceEssMonthly*CW59+DL59*BlendedPricePremMonthly*CW59+DM59*BlendedPriceEliteMonthly*CW59</f>
        <v/>
      </c>
      <c r="DU59" s="12">
        <f>DH59*BlendedPriceEssAnnual*CW59+DI59*BlendedPricePremAnnual*CW59+DJ59*BlendedPriceEliteAnnual*CW59</f>
        <v/>
      </c>
      <c r="DV59" s="12">
        <f>DH47*POWER(1-('Sens - Scenarios'!$D$6*VLOOKUP(CT59,ChurnSeasonTable,4,FALSE)),1)*BlendedPriceEssAnnual*CW59+DH35*POWER(1-('Sens - Scenarios'!$D$6*VLOOKUP(CT59,ChurnSeasonTable,4,FALSE)),2)*BlendedPriceEssAnnual*CW59+DH23*POWER(1-('Sens - Scenarios'!$D$6*VLOOKUP(CT59,ChurnSeasonTable,4,FALSE)),3)*BlendedPriceEssAnnual*CW59+DH11*POWER(1-('Sens - Scenarios'!$D$6*VLOOKUP(CT59,ChurnSeasonTable,4,FALSE)),4)*BlendedPriceEssAnnual*CW59+DI47*POWER(1-('Sens - Scenarios'!$D$6*VLOOKUP(CT59,ChurnSeasonTable,4,FALSE)),1)*BlendedPricePremAnnual*CW59+DI35*POWER(1-('Sens - Scenarios'!$D$6*VLOOKUP(CT59,ChurnSeasonTable,4,FALSE)),2)*BlendedPricePremAnnual*CW59+DI23*POWER(1-('Sens - Scenarios'!$D$6*VLOOKUP(CT59,ChurnSeasonTable,4,FALSE)),3)*BlendedPricePremAnnual*CW59+DI11*POWER(1-('Sens - Scenarios'!$D$6*VLOOKUP(CT59,ChurnSeasonTable,4,FALSE)),4)*BlendedPricePremAnnual*CW59+DJ47*POWER(1-('Sens - Scenarios'!$D$6*VLOOKUP(CT59,ChurnSeasonTable,4,FALSE)),1)*BlendedPriceEliteAnnual*CW59+DJ35*POWER(1-('Sens - Scenarios'!$D$6*VLOOKUP(CT59,ChurnSeasonTable,4,FALSE)),2)*BlendedPriceEliteAnnual*CW59+DJ23*POWER(1-('Sens - Scenarios'!$D$6*VLOOKUP(CT59,ChurnSeasonTable,4,FALSE)),3)*BlendedPriceEliteAnnual*CW59+DJ11*POWER(1-('Sens - Scenarios'!$D$6*VLOOKUP(CT59,ChurnSeasonTable,4,FALSE)),4)*BlendedPriceEliteAnnual*CW59</f>
        <v/>
      </c>
      <c r="DW59" s="9">
        <f>DT59+DU59+DV59</f>
        <v/>
      </c>
      <c r="DX59" s="12">
        <f>SUM(DW48:DW59)</f>
        <v/>
      </c>
      <c r="DY59" s="12">
        <f>OR(DY58,IF(VATAgentMode,SUM($DW48:$DW59)-SUM($ED48:$ED59)&gt;=VATThreshold,SUM($DW48:$DW59)&gt;=VATThreshold))</f>
        <v/>
      </c>
      <c r="DZ59" s="9">
        <f>IF(DY59,IF(VATAgentMode,DW59-((DW59-ED59)-(DW59-ED59)/(1+VATRate)),DW59/(1+VATRate)),DW59)</f>
        <v/>
      </c>
      <c r="EA59" s="12">
        <f>DW59-DZ59</f>
        <v/>
      </c>
      <c r="EB59" s="12">
        <f>IF(DY59=0,0,IF(CT59=1,SUMPRODUCT(--(($CU$5:$CU59=$CU59-1)*($CT$5:$CT59&gt;=10)*($CT$5:$CT59&lt;=12)),$EA$5:$EA59),IF(CT59=4,SUMPRODUCT(--(($CU$5:$CU59=$CU59)*($CT$5:$CT59&gt;=1)*($CT$5:$CT59&lt;=3)),$EA$5:$EA59),IF(CT59=7,SUMPRODUCT(--(($CU$5:$CU59=$CU59)*($CT$5:$CT59&gt;=4)*($CT$5:$CT59&lt;=6)),$EA$5:$EA59),IF(CT59=10,SUMPRODUCT(--(($CU$5:$CU59=$CU59)*($CT$5:$CT59&gt;=7)*($CT$5:$CT59&lt;=9)),$EA$5:$EA59),0)))))</f>
        <v/>
      </c>
      <c r="EC59" s="12">
        <f>EC58+EA59-EB59</f>
        <v/>
      </c>
      <c r="ED59" s="12">
        <f>IF(ProviderDelay&gt;=1,DK58*BlendedProvPayEss+DL58*BlendedProvPayPrem+DM58*BlendedProvPayElite+DN58*BlendedProvPayEss+DO58*BlendedProvPayPrem+DP58*BlendedProvPayElite,DK59*BlendedProvPayEss+DL59*BlendedProvPayPrem+DM59*BlendedProvPayElite+DN59*BlendedProvPayEss+DO59*BlendedProvPayPrem+DP59*BlendedProvPayElite)</f>
        <v/>
      </c>
      <c r="EE59" s="12">
        <f>DW59*PaymentFee</f>
        <v/>
      </c>
      <c r="EF59" s="12">
        <f>DQ59*OpsAI</f>
        <v/>
      </c>
      <c r="EG59" s="12">
        <f>MonthlyFixed</f>
        <v/>
      </c>
      <c r="EH59" s="12">
        <f>DA59*ReferralReward</f>
        <v/>
      </c>
      <c r="EI59" s="12">
        <f>CY59</f>
        <v/>
      </c>
      <c r="EJ59" s="9">
        <f>DZ59-ED59-EE59-EF59-EG59-EH59-EI59</f>
        <v/>
      </c>
      <c r="EK59" s="9">
        <f>EK58+DW59-(ED59+EE59+EF59+EG59+EH59+EI59+EB59)</f>
        <v/>
      </c>
      <c r="EL59" s="12">
        <f>IF(DQ59&gt;0,DR59/DQ59,0)</f>
        <v/>
      </c>
      <c r="EM59" s="11">
        <f>IF(DQ58&gt;0,MAX(0,(DQ58+DB59-DQ59)/DQ58),0)</f>
        <v/>
      </c>
      <c r="EO59" s="12" t="n">
        <v>55</v>
      </c>
      <c r="EP59" s="12">
        <f>MOD(EO59-1+LaunchMonth-1,12)+1</f>
        <v/>
      </c>
      <c r="EQ59" s="12">
        <f>INT((EO59-1+LaunchMonth-1)/12)+1</f>
        <v/>
      </c>
      <c r="ER59" s="12">
        <f>VLOOKUP(EP59,SeasonTable,2,FALSE)</f>
        <v/>
      </c>
      <c r="ES59" s="12">
        <f>(1+InflationRate)^INT((EO59-1)/12)</f>
        <v/>
      </c>
      <c r="ET59" s="11">
        <f>'Sens - Churn'!$A$13*VLOOKUP(EP59,ChurnSeasonTable,4,FALSE)</f>
        <v/>
      </c>
      <c r="EU59" s="12">
        <f>MIN(MAX(MktMin19plus,FS58*MktPct19plus),MAX(0,GG58-CashBuffer))</f>
        <v/>
      </c>
      <c r="EV59" s="12">
        <f>IF(EU59&gt;0,MAX(1,ROUND(EU59/CAC*ER59,0)),0)</f>
        <v/>
      </c>
      <c r="EW59" s="12">
        <f>IF(EV59&gt;0,ROUND(EV59*ReferralMix/(1-ReferralMix),0),0)</f>
        <v/>
      </c>
      <c r="EX59" s="12">
        <f>EV59+EW59</f>
        <v/>
      </c>
      <c r="EY59" s="12">
        <f>ROUND(EX59*(1-AnnualMix),0)</f>
        <v/>
      </c>
      <c r="EZ59" s="12">
        <f>EX59-EY59</f>
        <v/>
      </c>
      <c r="FA59" s="12">
        <f>ROUND(EY59*EssentialMix,0)</f>
        <v/>
      </c>
      <c r="FB59" s="12">
        <f>ROUND(EY59*PremiumMix,0)</f>
        <v/>
      </c>
      <c r="FC59" s="12">
        <f>EY59-FA59-FB59</f>
        <v/>
      </c>
      <c r="FD59" s="12">
        <f>ROUND(EZ59*EssentialMix,0)</f>
        <v/>
      </c>
      <c r="FE59" s="12">
        <f>ROUND(EZ59*PremiumMix,0)</f>
        <v/>
      </c>
      <c r="FF59" s="12">
        <f>EZ59-FD59-FE59</f>
        <v/>
      </c>
      <c r="FG59" s="12">
        <f>FA59+FA58+FA57+MAX(0,FG58-FA58-FA57)*(1-ET59)</f>
        <v/>
      </c>
      <c r="FH59" s="12">
        <f>FB59+FB58+FB57+MAX(0,FH58-FB58-FB57)*(1-ET59)</f>
        <v/>
      </c>
      <c r="FI59" s="12">
        <f>FC59+FC58+FC57+MAX(0,FI58-FC58-FC57)*(1-ET59)</f>
        <v/>
      </c>
      <c r="FJ59" s="12">
        <f>FJ58+FD59-FD47*(AnnualChurn*VLOOKUP(EP59,ChurnSeasonTable,4,FALSE))*POWER(1-(AnnualChurn*VLOOKUP(EP59,ChurnSeasonTable,4,FALSE)),0)+FD35*(AnnualChurn*VLOOKUP(EP59,ChurnSeasonTable,4,FALSE))*POWER(1-(AnnualChurn*VLOOKUP(EP59,ChurnSeasonTable,4,FALSE)),1)+FD23*(AnnualChurn*VLOOKUP(EP59,ChurnSeasonTable,4,FALSE))*POWER(1-(AnnualChurn*VLOOKUP(EP59,ChurnSeasonTable,4,FALSE)),2)+FD11*(AnnualChurn*VLOOKUP(EP59,ChurnSeasonTable,4,FALSE))*POWER(1-(AnnualChurn*VLOOKUP(EP59,ChurnSeasonTable,4,FALSE)),3)</f>
        <v/>
      </c>
      <c r="FK59" s="12">
        <f>FK58+FE59-FE47*(AnnualChurn*VLOOKUP(EP59,ChurnSeasonTable,4,FALSE))*POWER(1-(AnnualChurn*VLOOKUP(EP59,ChurnSeasonTable,4,FALSE)),0)+FE35*(AnnualChurn*VLOOKUP(EP59,ChurnSeasonTable,4,FALSE))*POWER(1-(AnnualChurn*VLOOKUP(EP59,ChurnSeasonTable,4,FALSE)),1)+FE23*(AnnualChurn*VLOOKUP(EP59,ChurnSeasonTable,4,FALSE))*POWER(1-(AnnualChurn*VLOOKUP(EP59,ChurnSeasonTable,4,FALSE)),2)+FE11*(AnnualChurn*VLOOKUP(EP59,ChurnSeasonTable,4,FALSE))*POWER(1-(AnnualChurn*VLOOKUP(EP59,ChurnSeasonTable,4,FALSE)),3)</f>
        <v/>
      </c>
      <c r="FL59" s="12">
        <f>FL58+FF59-FF47*(AnnualChurn*VLOOKUP(EP59,ChurnSeasonTable,4,FALSE))*POWER(1-(AnnualChurn*VLOOKUP(EP59,ChurnSeasonTable,4,FALSE)),0)+FF35*(AnnualChurn*VLOOKUP(EP59,ChurnSeasonTable,4,FALSE))*POWER(1-(AnnualChurn*VLOOKUP(EP59,ChurnSeasonTable,4,FALSE)),1)+FF23*(AnnualChurn*VLOOKUP(EP59,ChurnSeasonTable,4,FALSE))*POWER(1-(AnnualChurn*VLOOKUP(EP59,ChurnSeasonTable,4,FALSE)),2)+FF11*(AnnualChurn*VLOOKUP(EP59,ChurnSeasonTable,4,FALSE))*POWER(1-(AnnualChurn*VLOOKUP(EP59,ChurnSeasonTable,4,FALSE)),3)</f>
        <v/>
      </c>
      <c r="FM59" s="12">
        <f>FG59+FH59+FI59+FJ59+FK59+FL59</f>
        <v/>
      </c>
      <c r="FN59" s="9">
        <f>FG59*BlendedPriceEssMonthly*ES59+FH59*BlendedPricePremMonthly*ES59+FI59*BlendedPriceEliteMonthly*ES59+FJ59*BlendedPriceEssAnnual*ES59/12+FK59*BlendedPricePremAnnual*ES59/12+FL59*BlendedPriceEliteAnnual*ES59/12</f>
        <v/>
      </c>
      <c r="FO59" s="9">
        <f>FN59*12</f>
        <v/>
      </c>
      <c r="FP59" s="12">
        <f>FG59*BlendedPriceEssMonthly*ES59+FH59*BlendedPricePremMonthly*ES59+FI59*BlendedPriceEliteMonthly*ES59</f>
        <v/>
      </c>
      <c r="FQ59" s="12">
        <f>FD59*BlendedPriceEssAnnual*ES59+FE59*BlendedPricePremAnnual*ES59+FF59*BlendedPriceEliteAnnual*ES59</f>
        <v/>
      </c>
      <c r="FR59" s="12">
        <f>FD47*POWER(1-(AnnualChurn*VLOOKUP(EP59,ChurnSeasonTable,4,FALSE)),1)*BlendedPriceEssAnnual*ES59+FD35*POWER(1-(AnnualChurn*VLOOKUP(EP59,ChurnSeasonTable,4,FALSE)),2)*BlendedPriceEssAnnual*ES59+FD23*POWER(1-(AnnualChurn*VLOOKUP(EP59,ChurnSeasonTable,4,FALSE)),3)*BlendedPriceEssAnnual*ES59+FD11*POWER(1-(AnnualChurn*VLOOKUP(EP59,ChurnSeasonTable,4,FALSE)),4)*BlendedPriceEssAnnual*ES59+FE47*POWER(1-(AnnualChurn*VLOOKUP(EP59,ChurnSeasonTable,4,FALSE)),1)*BlendedPricePremAnnual*ES59+FE35*POWER(1-(AnnualChurn*VLOOKUP(EP59,ChurnSeasonTable,4,FALSE)),2)*BlendedPricePremAnnual*ES59+FE23*POWER(1-(AnnualChurn*VLOOKUP(EP59,ChurnSeasonTable,4,FALSE)),3)*BlendedPricePremAnnual*ES59+FE11*POWER(1-(AnnualChurn*VLOOKUP(EP59,ChurnSeasonTable,4,FALSE)),4)*BlendedPricePremAnnual*ES59+FF47*POWER(1-(AnnualChurn*VLOOKUP(EP59,ChurnSeasonTable,4,FALSE)),1)*BlendedPriceEliteAnnual*ES59+FF35*POWER(1-(AnnualChurn*VLOOKUP(EP59,ChurnSeasonTable,4,FALSE)),2)*BlendedPriceEliteAnnual*ES59+FF23*POWER(1-(AnnualChurn*VLOOKUP(EP59,ChurnSeasonTable,4,FALSE)),3)*BlendedPriceEliteAnnual*ES59+FF11*POWER(1-(AnnualChurn*VLOOKUP(EP59,ChurnSeasonTable,4,FALSE)),4)*BlendedPriceEliteAnnual*ES59</f>
        <v/>
      </c>
      <c r="FS59" s="9">
        <f>FP59+FQ59+FR59</f>
        <v/>
      </c>
      <c r="FT59" s="12">
        <f>SUM(FS48:FS59)</f>
        <v/>
      </c>
      <c r="FU59" s="12">
        <f>OR(FU58,IF(VATAgentMode,SUM($FS48:$FS59)-SUM($FZ48:$FZ59)&gt;=VATThreshold,SUM($FS48:$FS59)&gt;=VATThreshold))</f>
        <v/>
      </c>
      <c r="FV59" s="9">
        <f>IF(FU59,IF(VATAgentMode,FS59-((FS59-FZ59)-(FS59-FZ59)/(1+VATRate)),FS59/(1+VATRate)),FS59)</f>
        <v/>
      </c>
      <c r="FW59" s="12">
        <f>FS59-FV59</f>
        <v/>
      </c>
      <c r="FX59" s="12">
        <f>IF(FU59=0,0,IF(EP59=1,SUMPRODUCT(--(($EQ$5:$EQ59=$EQ59-1)*($EP$5:$EP59&gt;=10)*($EP$5:$EP59&lt;=12)),$FW$5:$FW59),IF(EP59=4,SUMPRODUCT(--(($EQ$5:$EQ59=$EQ59)*($EP$5:$EP59&gt;=1)*($EP$5:$EP59&lt;=3)),$FW$5:$FW59),IF(EP59=7,SUMPRODUCT(--(($EQ$5:$EQ59=$EQ59)*($EP$5:$EP59&gt;=4)*($EP$5:$EP59&lt;=6)),$FW$5:$FW59),IF(EP59=10,SUMPRODUCT(--(($EQ$5:$EQ59=$EQ59)*($EP$5:$EP59&gt;=7)*($EP$5:$EP59&lt;=9)),$FW$5:$FW59),0)))))</f>
        <v/>
      </c>
      <c r="FY59" s="12">
        <f>FY58+FW59-FX59</f>
        <v/>
      </c>
      <c r="FZ59" s="12">
        <f>IF(ProviderDelay&gt;=1,FG58*BlendedProvPayEss+FH58*BlendedProvPayPrem+FI58*BlendedProvPayElite+FJ58*BlendedProvPayEss+FK58*BlendedProvPayPrem+FL58*BlendedProvPayElite,FG59*BlendedProvPayEss+FH59*BlendedProvPayPrem+FI59*BlendedProvPayElite+FJ59*BlendedProvPayEss+FK59*BlendedProvPayPrem+FL59*BlendedProvPayElite)</f>
        <v/>
      </c>
      <c r="GA59" s="12">
        <f>FS59*PaymentFee</f>
        <v/>
      </c>
      <c r="GB59" s="12">
        <f>FM59*OpsAI</f>
        <v/>
      </c>
      <c r="GC59" s="12">
        <f>MonthlyFixed</f>
        <v/>
      </c>
      <c r="GD59" s="12">
        <f>EW59*ReferralReward</f>
        <v/>
      </c>
      <c r="GE59" s="12">
        <f>EU59</f>
        <v/>
      </c>
      <c r="GF59" s="9">
        <f>FV59-FZ59-GA59-GB59-GC59-GD59-GE59</f>
        <v/>
      </c>
      <c r="GG59" s="9">
        <f>GG58+FS59-(FZ59+GA59+GB59+GC59+GD59+GE59+FX59)</f>
        <v/>
      </c>
      <c r="GH59" s="12">
        <f>IF(FM59&gt;0,FN59/FM59,0)</f>
        <v/>
      </c>
      <c r="GI59" s="11">
        <f>IF(FM58&gt;0,MAX(0,(FM58+EX59-FM59)/FM58),0)</f>
        <v/>
      </c>
      <c r="GK59" s="12" t="n">
        <v>55</v>
      </c>
      <c r="GL59" s="12">
        <f>MOD(GK59-1+LaunchMonth-1,12)+1</f>
        <v/>
      </c>
      <c r="GM59" s="12">
        <f>INT((GK59-1+LaunchMonth-1)/12)+1</f>
        <v/>
      </c>
      <c r="GN59" s="12">
        <f>VLOOKUP(GL59,SeasonTable,2,FALSE)</f>
        <v/>
      </c>
      <c r="GO59" s="12">
        <f>(1+InflationRate)^INT((GK59-1)/12)</f>
        <v/>
      </c>
      <c r="GP59" s="11">
        <f>'Sens - Churn'!$A$14*VLOOKUP(GL59,ChurnSeasonTable,4,FALSE)</f>
        <v/>
      </c>
      <c r="GQ59" s="12">
        <f>MIN(MAX(MktMin19plus,HO58*MktPct19plus),MAX(0,IC58-CashBuffer))</f>
        <v/>
      </c>
      <c r="GR59" s="12">
        <f>IF(GQ59&gt;0,MAX(1,ROUND(GQ59/CAC*GN59,0)),0)</f>
        <v/>
      </c>
      <c r="GS59" s="12">
        <f>IF(GR59&gt;0,ROUND(GR59*ReferralMix/(1-ReferralMix),0),0)</f>
        <v/>
      </c>
      <c r="GT59" s="12">
        <f>GR59+GS59</f>
        <v/>
      </c>
      <c r="GU59" s="12">
        <f>ROUND(GT59*(1-AnnualMix),0)</f>
        <v/>
      </c>
      <c r="GV59" s="12">
        <f>GT59-GU59</f>
        <v/>
      </c>
      <c r="GW59" s="12">
        <f>ROUND(GU59*EssentialMix,0)</f>
        <v/>
      </c>
      <c r="GX59" s="12">
        <f>ROUND(GU59*PremiumMix,0)</f>
        <v/>
      </c>
      <c r="GY59" s="12">
        <f>GU59-GW59-GX59</f>
        <v/>
      </c>
      <c r="GZ59" s="12">
        <f>ROUND(GV59*EssentialMix,0)</f>
        <v/>
      </c>
      <c r="HA59" s="12">
        <f>ROUND(GV59*PremiumMix,0)</f>
        <v/>
      </c>
      <c r="HB59" s="12">
        <f>GV59-GZ59-HA59</f>
        <v/>
      </c>
      <c r="HC59" s="12">
        <f>GW59+GW58+GW57+MAX(0,HC58-GW58-GW57)*(1-GP59)</f>
        <v/>
      </c>
      <c r="HD59" s="12">
        <f>GX59+GX58+GX57+MAX(0,HD58-GX58-GX57)*(1-GP59)</f>
        <v/>
      </c>
      <c r="HE59" s="12">
        <f>GY59+GY58+GY57+MAX(0,HE58-GY58-GY57)*(1-GP59)</f>
        <v/>
      </c>
      <c r="HF59" s="12">
        <f>HF58+GZ59-GZ47*(AnnualChurn*VLOOKUP(GL59,ChurnSeasonTable,4,FALSE))*POWER(1-(AnnualChurn*VLOOKUP(GL59,ChurnSeasonTable,4,FALSE)),0)+GZ35*(AnnualChurn*VLOOKUP(GL59,ChurnSeasonTable,4,FALSE))*POWER(1-(AnnualChurn*VLOOKUP(GL59,ChurnSeasonTable,4,FALSE)),1)+GZ23*(AnnualChurn*VLOOKUP(GL59,ChurnSeasonTable,4,FALSE))*POWER(1-(AnnualChurn*VLOOKUP(GL59,ChurnSeasonTable,4,FALSE)),2)+GZ11*(AnnualChurn*VLOOKUP(GL59,ChurnSeasonTable,4,FALSE))*POWER(1-(AnnualChurn*VLOOKUP(GL59,ChurnSeasonTable,4,FALSE)),3)</f>
        <v/>
      </c>
      <c r="HG59" s="12">
        <f>HG58+HA59-HA47*(AnnualChurn*VLOOKUP(GL59,ChurnSeasonTable,4,FALSE))*POWER(1-(AnnualChurn*VLOOKUP(GL59,ChurnSeasonTable,4,FALSE)),0)+HA35*(AnnualChurn*VLOOKUP(GL59,ChurnSeasonTable,4,FALSE))*POWER(1-(AnnualChurn*VLOOKUP(GL59,ChurnSeasonTable,4,FALSE)),1)+HA23*(AnnualChurn*VLOOKUP(GL59,ChurnSeasonTable,4,FALSE))*POWER(1-(AnnualChurn*VLOOKUP(GL59,ChurnSeasonTable,4,FALSE)),2)+HA11*(AnnualChurn*VLOOKUP(GL59,ChurnSeasonTable,4,FALSE))*POWER(1-(AnnualChurn*VLOOKUP(GL59,ChurnSeasonTable,4,FALSE)),3)</f>
        <v/>
      </c>
      <c r="HH59" s="12">
        <f>HH58+HB59-HB47*(AnnualChurn*VLOOKUP(GL59,ChurnSeasonTable,4,FALSE))*POWER(1-(AnnualChurn*VLOOKUP(GL59,ChurnSeasonTable,4,FALSE)),0)+HB35*(AnnualChurn*VLOOKUP(GL59,ChurnSeasonTable,4,FALSE))*POWER(1-(AnnualChurn*VLOOKUP(GL59,ChurnSeasonTable,4,FALSE)),1)+HB23*(AnnualChurn*VLOOKUP(GL59,ChurnSeasonTable,4,FALSE))*POWER(1-(AnnualChurn*VLOOKUP(GL59,ChurnSeasonTable,4,FALSE)),2)+HB11*(AnnualChurn*VLOOKUP(GL59,ChurnSeasonTable,4,FALSE))*POWER(1-(AnnualChurn*VLOOKUP(GL59,ChurnSeasonTable,4,FALSE)),3)</f>
        <v/>
      </c>
      <c r="HI59" s="12">
        <f>HC59+HD59+HE59+HF59+HG59+HH59</f>
        <v/>
      </c>
      <c r="HJ59" s="9">
        <f>HC59*BlendedPriceEssMonthly*GO59+HD59*BlendedPricePremMonthly*GO59+HE59*BlendedPriceEliteMonthly*GO59+HF59*BlendedPriceEssAnnual*GO59/12+HG59*BlendedPricePremAnnual*GO59/12+HH59*BlendedPriceEliteAnnual*GO59/12</f>
        <v/>
      </c>
      <c r="HK59" s="9">
        <f>HJ59*12</f>
        <v/>
      </c>
      <c r="HL59" s="12">
        <f>HC59*BlendedPriceEssMonthly*GO59+HD59*BlendedPricePremMonthly*GO59+HE59*BlendedPriceEliteMonthly*GO59</f>
        <v/>
      </c>
      <c r="HM59" s="12">
        <f>GZ59*BlendedPriceEssAnnual*GO59+HA59*BlendedPricePremAnnual*GO59+HB59*BlendedPriceEliteAnnual*GO59</f>
        <v/>
      </c>
      <c r="HN59" s="12">
        <f>GZ47*POWER(1-(AnnualChurn*VLOOKUP(GL59,ChurnSeasonTable,4,FALSE)),1)*BlendedPriceEssAnnual*GO59+GZ35*POWER(1-(AnnualChurn*VLOOKUP(GL59,ChurnSeasonTable,4,FALSE)),2)*BlendedPriceEssAnnual*GO59+GZ23*POWER(1-(AnnualChurn*VLOOKUP(GL59,ChurnSeasonTable,4,FALSE)),3)*BlendedPriceEssAnnual*GO59+GZ11*POWER(1-(AnnualChurn*VLOOKUP(GL59,ChurnSeasonTable,4,FALSE)),4)*BlendedPriceEssAnnual*GO59+HA47*POWER(1-(AnnualChurn*VLOOKUP(GL59,ChurnSeasonTable,4,FALSE)),1)*BlendedPricePremAnnual*GO59+HA35*POWER(1-(AnnualChurn*VLOOKUP(GL59,ChurnSeasonTable,4,FALSE)),2)*BlendedPricePremAnnual*GO59+HA23*POWER(1-(AnnualChurn*VLOOKUP(GL59,ChurnSeasonTable,4,FALSE)),3)*BlendedPricePremAnnual*GO59+HA11*POWER(1-(AnnualChurn*VLOOKUP(GL59,ChurnSeasonTable,4,FALSE)),4)*BlendedPricePremAnnual*GO59+HB47*POWER(1-(AnnualChurn*VLOOKUP(GL59,ChurnSeasonTable,4,FALSE)),1)*BlendedPriceEliteAnnual*GO59+HB35*POWER(1-(AnnualChurn*VLOOKUP(GL59,ChurnSeasonTable,4,FALSE)),2)*BlendedPriceEliteAnnual*GO59+HB23*POWER(1-(AnnualChurn*VLOOKUP(GL59,ChurnSeasonTable,4,FALSE)),3)*BlendedPriceEliteAnnual*GO59+HB11*POWER(1-(AnnualChurn*VLOOKUP(GL59,ChurnSeasonTable,4,FALSE)),4)*BlendedPriceEliteAnnual*GO59</f>
        <v/>
      </c>
      <c r="HO59" s="9">
        <f>HL59+HM59+HN59</f>
        <v/>
      </c>
      <c r="HP59" s="12">
        <f>SUM(HO48:HO59)</f>
        <v/>
      </c>
      <c r="HQ59" s="12">
        <f>OR(HQ58,IF(VATAgentMode,SUM($HO48:$HO59)-SUM($HV48:$HV59)&gt;=VATThreshold,SUM($HO48:$HO59)&gt;=VATThreshold))</f>
        <v/>
      </c>
      <c r="HR59" s="9">
        <f>IF(HQ59,IF(VATAgentMode,HO59-((HO59-HV59)-(HO59-HV59)/(1+VATRate)),HO59/(1+VATRate)),HO59)</f>
        <v/>
      </c>
      <c r="HS59" s="12">
        <f>HO59-HR59</f>
        <v/>
      </c>
      <c r="HT59" s="12">
        <f>IF(HQ59=0,0,IF(GL59=1,SUMPRODUCT(--(($GM$5:$GM59=$GM59-1)*($GL$5:$GL59&gt;=10)*($GL$5:$GL59&lt;=12)),$HS$5:$HS59),IF(GL59=4,SUMPRODUCT(--(($GM$5:$GM59=$GM59)*($GL$5:$GL59&gt;=1)*($GL$5:$GL59&lt;=3)),$HS$5:$HS59),IF(GL59=7,SUMPRODUCT(--(($GM$5:$GM59=$GM59)*($GL$5:$GL59&gt;=4)*($GL$5:$GL59&lt;=6)),$HS$5:$HS59),IF(GL59=10,SUMPRODUCT(--(($GM$5:$GM59=$GM59)*($GL$5:$GL59&gt;=7)*($GL$5:$GL59&lt;=9)),$HS$5:$HS59),0)))))</f>
        <v/>
      </c>
      <c r="HU59" s="12">
        <f>HU58+HS59-HT59</f>
        <v/>
      </c>
      <c r="HV59" s="12">
        <f>IF(ProviderDelay&gt;=1,HC58*BlendedProvPayEss+HD58*BlendedProvPayPrem+HE58*BlendedProvPayElite+HF58*BlendedProvPayEss+HG58*BlendedProvPayPrem+HH58*BlendedProvPayElite,HC59*BlendedProvPayEss+HD59*BlendedProvPayPrem+HE59*BlendedProvPayElite+HF59*BlendedProvPayEss+HG59*BlendedProvPayPrem+HH59*BlendedProvPayElite)</f>
        <v/>
      </c>
      <c r="HW59" s="12">
        <f>HO59*PaymentFee</f>
        <v/>
      </c>
      <c r="HX59" s="12">
        <f>HI59*OpsAI</f>
        <v/>
      </c>
      <c r="HY59" s="12">
        <f>MonthlyFixed</f>
        <v/>
      </c>
      <c r="HZ59" s="12">
        <f>GS59*ReferralReward</f>
        <v/>
      </c>
      <c r="IA59" s="12">
        <f>GQ59</f>
        <v/>
      </c>
      <c r="IB59" s="9">
        <f>HR59-HV59-HW59-HX59-HY59-HZ59-IA59</f>
        <v/>
      </c>
      <c r="IC59" s="9">
        <f>IC58+HO59-(HV59+HW59+HX59+HY59+HZ59+IA59+HT59)</f>
        <v/>
      </c>
      <c r="ID59" s="12">
        <f>IF(HI59&gt;0,HJ59/HI59,0)</f>
        <v/>
      </c>
      <c r="IE59" s="11">
        <f>IF(HI58&gt;0,MAX(0,(HI58+GT59-HI59)/HI58),0)</f>
        <v/>
      </c>
      <c r="IG59" s="12" t="n">
        <v>55</v>
      </c>
      <c r="IH59" s="12">
        <f>MOD(IG59-1+LaunchMonth-1,12)+1</f>
        <v/>
      </c>
      <c r="II59" s="12">
        <f>INT((IG59-1+LaunchMonth-1)/12)+1</f>
        <v/>
      </c>
      <c r="IJ59" s="12">
        <f>VLOOKUP(IH59,SeasonTable,2,FALSE)</f>
        <v/>
      </c>
      <c r="IK59" s="12">
        <f>(1+InflationRate)^INT((IG59-1)/12)</f>
        <v/>
      </c>
      <c r="IL59" s="11">
        <f>'Sens - Churn'!$A$15*VLOOKUP(IH59,ChurnSeasonTable,4,FALSE)</f>
        <v/>
      </c>
      <c r="IM59" s="12">
        <f>MIN(MAX(MktMin19plus,JK58*MktPct19plus),MAX(0,JY58-CashBuffer))</f>
        <v/>
      </c>
      <c r="IN59" s="12">
        <f>IF(IM59&gt;0,MAX(1,ROUND(IM59/CAC*IJ59,0)),0)</f>
        <v/>
      </c>
      <c r="IO59" s="12">
        <f>IF(IN59&gt;0,ROUND(IN59*ReferralMix/(1-ReferralMix),0),0)</f>
        <v/>
      </c>
      <c r="IP59" s="12">
        <f>IN59+IO59</f>
        <v/>
      </c>
      <c r="IQ59" s="12">
        <f>ROUND(IP59*(1-AnnualMix),0)</f>
        <v/>
      </c>
      <c r="IR59" s="12">
        <f>IP59-IQ59</f>
        <v/>
      </c>
      <c r="IS59" s="12">
        <f>ROUND(IQ59*EssentialMix,0)</f>
        <v/>
      </c>
      <c r="IT59" s="12">
        <f>ROUND(IQ59*PremiumMix,0)</f>
        <v/>
      </c>
      <c r="IU59" s="12">
        <f>IQ59-IS59-IT59</f>
        <v/>
      </c>
      <c r="IV59" s="12">
        <f>ROUND(IR59*EssentialMix,0)</f>
        <v/>
      </c>
      <c r="IW59" s="12">
        <f>ROUND(IR59*PremiumMix,0)</f>
        <v/>
      </c>
      <c r="IX59" s="12">
        <f>IR59-IV59-IW59</f>
        <v/>
      </c>
      <c r="IY59" s="12">
        <f>IS59+IS58+IS57+MAX(0,IY58-IS58-IS57)*(1-IL59)</f>
        <v/>
      </c>
      <c r="IZ59" s="12">
        <f>IT59+IT58+IT57+MAX(0,IZ58-IT58-IT57)*(1-IL59)</f>
        <v/>
      </c>
      <c r="JA59" s="12">
        <f>IU59+IU58+IU57+MAX(0,JA58-IU58-IU57)*(1-IL59)</f>
        <v/>
      </c>
      <c r="JB59" s="12">
        <f>JB58+IV59-IV47*(AnnualChurn*VLOOKUP(IH59,ChurnSeasonTable,4,FALSE))*POWER(1-(AnnualChurn*VLOOKUP(IH59,ChurnSeasonTable,4,FALSE)),0)+IV35*(AnnualChurn*VLOOKUP(IH59,ChurnSeasonTable,4,FALSE))*POWER(1-(AnnualChurn*VLOOKUP(IH59,ChurnSeasonTable,4,FALSE)),1)+IV23*(AnnualChurn*VLOOKUP(IH59,ChurnSeasonTable,4,FALSE))*POWER(1-(AnnualChurn*VLOOKUP(IH59,ChurnSeasonTable,4,FALSE)),2)+IV11*(AnnualChurn*VLOOKUP(IH59,ChurnSeasonTable,4,FALSE))*POWER(1-(AnnualChurn*VLOOKUP(IH59,ChurnSeasonTable,4,FALSE)),3)</f>
        <v/>
      </c>
      <c r="JC59" s="12">
        <f>JC58+IW59-IW47*(AnnualChurn*VLOOKUP(IH59,ChurnSeasonTable,4,FALSE))*POWER(1-(AnnualChurn*VLOOKUP(IH59,ChurnSeasonTable,4,FALSE)),0)+IW35*(AnnualChurn*VLOOKUP(IH59,ChurnSeasonTable,4,FALSE))*POWER(1-(AnnualChurn*VLOOKUP(IH59,ChurnSeasonTable,4,FALSE)),1)+IW23*(AnnualChurn*VLOOKUP(IH59,ChurnSeasonTable,4,FALSE))*POWER(1-(AnnualChurn*VLOOKUP(IH59,ChurnSeasonTable,4,FALSE)),2)+IW11*(AnnualChurn*VLOOKUP(IH59,ChurnSeasonTable,4,FALSE))*POWER(1-(AnnualChurn*VLOOKUP(IH59,ChurnSeasonTable,4,FALSE)),3)</f>
        <v/>
      </c>
      <c r="JD59" s="12">
        <f>JD58+IX59-IX47*(AnnualChurn*VLOOKUP(IH59,ChurnSeasonTable,4,FALSE))*POWER(1-(AnnualChurn*VLOOKUP(IH59,ChurnSeasonTable,4,FALSE)),0)+IX35*(AnnualChurn*VLOOKUP(IH59,ChurnSeasonTable,4,FALSE))*POWER(1-(AnnualChurn*VLOOKUP(IH59,ChurnSeasonTable,4,FALSE)),1)+IX23*(AnnualChurn*VLOOKUP(IH59,ChurnSeasonTable,4,FALSE))*POWER(1-(AnnualChurn*VLOOKUP(IH59,ChurnSeasonTable,4,FALSE)),2)+IX11*(AnnualChurn*VLOOKUP(IH59,ChurnSeasonTable,4,FALSE))*POWER(1-(AnnualChurn*VLOOKUP(IH59,ChurnSeasonTable,4,FALSE)),3)</f>
        <v/>
      </c>
      <c r="JE59" s="12">
        <f>IY59+IZ59+JA59+JB59+JC59+JD59</f>
        <v/>
      </c>
      <c r="JF59" s="9">
        <f>IY59*BlendedPriceEssMonthly*IK59+IZ59*BlendedPricePremMonthly*IK59+JA59*BlendedPriceEliteMonthly*IK59+JB59*BlendedPriceEssAnnual*IK59/12+JC59*BlendedPricePremAnnual*IK59/12+JD59*BlendedPriceEliteAnnual*IK59/12</f>
        <v/>
      </c>
      <c r="JG59" s="9">
        <f>JF59*12</f>
        <v/>
      </c>
      <c r="JH59" s="12">
        <f>IY59*BlendedPriceEssMonthly*IK59+IZ59*BlendedPricePremMonthly*IK59+JA59*BlendedPriceEliteMonthly*IK59</f>
        <v/>
      </c>
      <c r="JI59" s="12">
        <f>IV59*BlendedPriceEssAnnual*IK59+IW59*BlendedPricePremAnnual*IK59+IX59*BlendedPriceEliteAnnual*IK59</f>
        <v/>
      </c>
      <c r="JJ59" s="12">
        <f>IV47*POWER(1-(AnnualChurn*VLOOKUP(IH59,ChurnSeasonTable,4,FALSE)),1)*BlendedPriceEssAnnual*IK59+IV35*POWER(1-(AnnualChurn*VLOOKUP(IH59,ChurnSeasonTable,4,FALSE)),2)*BlendedPriceEssAnnual*IK59+IV23*POWER(1-(AnnualChurn*VLOOKUP(IH59,ChurnSeasonTable,4,FALSE)),3)*BlendedPriceEssAnnual*IK59+IV11*POWER(1-(AnnualChurn*VLOOKUP(IH59,ChurnSeasonTable,4,FALSE)),4)*BlendedPriceEssAnnual*IK59+IW47*POWER(1-(AnnualChurn*VLOOKUP(IH59,ChurnSeasonTable,4,FALSE)),1)*BlendedPricePremAnnual*IK59+IW35*POWER(1-(AnnualChurn*VLOOKUP(IH59,ChurnSeasonTable,4,FALSE)),2)*BlendedPricePremAnnual*IK59+IW23*POWER(1-(AnnualChurn*VLOOKUP(IH59,ChurnSeasonTable,4,FALSE)),3)*BlendedPricePremAnnual*IK59+IW11*POWER(1-(AnnualChurn*VLOOKUP(IH59,ChurnSeasonTable,4,FALSE)),4)*BlendedPricePremAnnual*IK59+IX47*POWER(1-(AnnualChurn*VLOOKUP(IH59,ChurnSeasonTable,4,FALSE)),1)*BlendedPriceEliteAnnual*IK59+IX35*POWER(1-(AnnualChurn*VLOOKUP(IH59,ChurnSeasonTable,4,FALSE)),2)*BlendedPriceEliteAnnual*IK59+IX23*POWER(1-(AnnualChurn*VLOOKUP(IH59,ChurnSeasonTable,4,FALSE)),3)*BlendedPriceEliteAnnual*IK59+IX11*POWER(1-(AnnualChurn*VLOOKUP(IH59,ChurnSeasonTable,4,FALSE)),4)*BlendedPriceEliteAnnual*IK59</f>
        <v/>
      </c>
      <c r="JK59" s="9">
        <f>JH59+JI59+JJ59</f>
        <v/>
      </c>
      <c r="JL59" s="12">
        <f>SUM(JK48:JK59)</f>
        <v/>
      </c>
      <c r="JM59" s="12">
        <f>OR(JM58,IF(VATAgentMode,SUM($JK48:$JK59)-SUM($JR48:$JR59)&gt;=VATThreshold,SUM($JK48:$JK59)&gt;=VATThreshold))</f>
        <v/>
      </c>
      <c r="JN59" s="9">
        <f>IF(JM59,IF(VATAgentMode,JK59-((JK59-JR59)-(JK59-JR59)/(1+VATRate)),JK59/(1+VATRate)),JK59)</f>
        <v/>
      </c>
      <c r="JO59" s="12">
        <f>JK59-JN59</f>
        <v/>
      </c>
      <c r="JP59" s="12">
        <f>IF(JM59=0,0,IF(IH59=1,SUMPRODUCT(--(($II$5:$II59=$II59-1)*($IH$5:$IH59&gt;=10)*($IH$5:$IH59&lt;=12)),$JO$5:$JO59),IF(IH59=4,SUMPRODUCT(--(($II$5:$II59=$II59)*($IH$5:$IH59&gt;=1)*($IH$5:$IH59&lt;=3)),$JO$5:$JO59),IF(IH59=7,SUMPRODUCT(--(($II$5:$II59=$II59)*($IH$5:$IH59&gt;=4)*($IH$5:$IH59&lt;=6)),$JO$5:$JO59),IF(IH59=10,SUMPRODUCT(--(($II$5:$II59=$II59)*($IH$5:$IH59&gt;=7)*($IH$5:$IH59&lt;=9)),$JO$5:$JO59),0)))))</f>
        <v/>
      </c>
      <c r="JQ59" s="12">
        <f>JQ58+JO59-JP59</f>
        <v/>
      </c>
      <c r="JR59" s="12">
        <f>IF(ProviderDelay&gt;=1,IY58*BlendedProvPayEss+IZ58*BlendedProvPayPrem+JA58*BlendedProvPayElite+JB58*BlendedProvPayEss+JC58*BlendedProvPayPrem+JD58*BlendedProvPayElite,IY59*BlendedProvPayEss+IZ59*BlendedProvPayPrem+JA59*BlendedProvPayElite+JB59*BlendedProvPayEss+JC59*BlendedProvPayPrem+JD59*BlendedProvPayElite)</f>
        <v/>
      </c>
      <c r="JS59" s="12">
        <f>JK59*PaymentFee</f>
        <v/>
      </c>
      <c r="JT59" s="12">
        <f>JE59*OpsAI</f>
        <v/>
      </c>
      <c r="JU59" s="12">
        <f>MonthlyFixed</f>
        <v/>
      </c>
      <c r="JV59" s="12">
        <f>IO59*ReferralReward</f>
        <v/>
      </c>
      <c r="JW59" s="12">
        <f>IM59</f>
        <v/>
      </c>
      <c r="JX59" s="9">
        <f>JN59-JR59-JS59-JT59-JU59-JV59-JW59</f>
        <v/>
      </c>
      <c r="JY59" s="9">
        <f>JY58+JK59-(JR59+JS59+JT59+JU59+JV59+JW59+JP59)</f>
        <v/>
      </c>
      <c r="JZ59" s="12">
        <f>IF(JE59&gt;0,JF59/JE59,0)</f>
        <v/>
      </c>
      <c r="KA59" s="11">
        <f>IF(JE58&gt;0,MAX(0,(JE58+IP59-JE59)/JE58),0)</f>
        <v/>
      </c>
      <c r="KC59" s="12" t="n">
        <v>55</v>
      </c>
      <c r="KD59" s="12">
        <f>MOD(KC59-1+LaunchMonth-1,12)+1</f>
        <v/>
      </c>
      <c r="KE59" s="12">
        <f>INT((KC59-1+LaunchMonth-1)/12)+1</f>
        <v/>
      </c>
      <c r="KF59" s="12">
        <f>VLOOKUP(KD59,SeasonTable,2,FALSE)</f>
        <v/>
      </c>
      <c r="KG59" s="12">
        <f>(1+InflationRate)^INT((KC59-1)/12)</f>
        <v/>
      </c>
      <c r="KH59" s="11">
        <f>'Sens - Churn'!$A$16*VLOOKUP(KD59,ChurnSeasonTable,4,FALSE)</f>
        <v/>
      </c>
      <c r="KI59" s="12">
        <f>MIN(MAX(MktMin19plus,LG58*MktPct19plus),MAX(0,LU58-CashBuffer))</f>
        <v/>
      </c>
      <c r="KJ59" s="12">
        <f>IF(KI59&gt;0,MAX(1,ROUND(KI59/CAC*KF59,0)),0)</f>
        <v/>
      </c>
      <c r="KK59" s="12">
        <f>IF(KJ59&gt;0,ROUND(KJ59*ReferralMix/(1-ReferralMix),0),0)</f>
        <v/>
      </c>
      <c r="KL59" s="12">
        <f>KJ59+KK59</f>
        <v/>
      </c>
      <c r="KM59" s="12">
        <f>ROUND(KL59*(1-AnnualMix),0)</f>
        <v/>
      </c>
      <c r="KN59" s="12">
        <f>KL59-KM59</f>
        <v/>
      </c>
      <c r="KO59" s="12">
        <f>ROUND(KM59*EssentialMix,0)</f>
        <v/>
      </c>
      <c r="KP59" s="12">
        <f>ROUND(KM59*PremiumMix,0)</f>
        <v/>
      </c>
      <c r="KQ59" s="12">
        <f>KM59-KO59-KP59</f>
        <v/>
      </c>
      <c r="KR59" s="12">
        <f>ROUND(KN59*EssentialMix,0)</f>
        <v/>
      </c>
      <c r="KS59" s="12">
        <f>ROUND(KN59*PremiumMix,0)</f>
        <v/>
      </c>
      <c r="KT59" s="12">
        <f>KN59-KR59-KS59</f>
        <v/>
      </c>
      <c r="KU59" s="12">
        <f>KO59+KO58+KO57+MAX(0,KU58-KO58-KO57)*(1-KH59)</f>
        <v/>
      </c>
      <c r="KV59" s="12">
        <f>KP59+KP58+KP57+MAX(0,KV58-KP58-KP57)*(1-KH59)</f>
        <v/>
      </c>
      <c r="KW59" s="12">
        <f>KQ59+KQ58+KQ57+MAX(0,KW58-KQ58-KQ57)*(1-KH59)</f>
        <v/>
      </c>
      <c r="KX59" s="12">
        <f>KX58+KR59-KR47*(AnnualChurn*VLOOKUP(KD59,ChurnSeasonTable,4,FALSE))*POWER(1-(AnnualChurn*VLOOKUP(KD59,ChurnSeasonTable,4,FALSE)),0)+KR35*(AnnualChurn*VLOOKUP(KD59,ChurnSeasonTable,4,FALSE))*POWER(1-(AnnualChurn*VLOOKUP(KD59,ChurnSeasonTable,4,FALSE)),1)+KR23*(AnnualChurn*VLOOKUP(KD59,ChurnSeasonTable,4,FALSE))*POWER(1-(AnnualChurn*VLOOKUP(KD59,ChurnSeasonTable,4,FALSE)),2)+KR11*(AnnualChurn*VLOOKUP(KD59,ChurnSeasonTable,4,FALSE))*POWER(1-(AnnualChurn*VLOOKUP(KD59,ChurnSeasonTable,4,FALSE)),3)</f>
        <v/>
      </c>
      <c r="KY59" s="12">
        <f>KY58+KS59-KS47*(AnnualChurn*VLOOKUP(KD59,ChurnSeasonTable,4,FALSE))*POWER(1-(AnnualChurn*VLOOKUP(KD59,ChurnSeasonTable,4,FALSE)),0)+KS35*(AnnualChurn*VLOOKUP(KD59,ChurnSeasonTable,4,FALSE))*POWER(1-(AnnualChurn*VLOOKUP(KD59,ChurnSeasonTable,4,FALSE)),1)+KS23*(AnnualChurn*VLOOKUP(KD59,ChurnSeasonTable,4,FALSE))*POWER(1-(AnnualChurn*VLOOKUP(KD59,ChurnSeasonTable,4,FALSE)),2)+KS11*(AnnualChurn*VLOOKUP(KD59,ChurnSeasonTable,4,FALSE))*POWER(1-(AnnualChurn*VLOOKUP(KD59,ChurnSeasonTable,4,FALSE)),3)</f>
        <v/>
      </c>
      <c r="KZ59" s="12">
        <f>KZ58+KT59-KT47*(AnnualChurn*VLOOKUP(KD59,ChurnSeasonTable,4,FALSE))*POWER(1-(AnnualChurn*VLOOKUP(KD59,ChurnSeasonTable,4,FALSE)),0)+KT35*(AnnualChurn*VLOOKUP(KD59,ChurnSeasonTable,4,FALSE))*POWER(1-(AnnualChurn*VLOOKUP(KD59,ChurnSeasonTable,4,FALSE)),1)+KT23*(AnnualChurn*VLOOKUP(KD59,ChurnSeasonTable,4,FALSE))*POWER(1-(AnnualChurn*VLOOKUP(KD59,ChurnSeasonTable,4,FALSE)),2)+KT11*(AnnualChurn*VLOOKUP(KD59,ChurnSeasonTable,4,FALSE))*POWER(1-(AnnualChurn*VLOOKUP(KD59,ChurnSeasonTable,4,FALSE)),3)</f>
        <v/>
      </c>
      <c r="LA59" s="12">
        <f>KU59+KV59+KW59+KX59+KY59+KZ59</f>
        <v/>
      </c>
      <c r="LB59" s="9">
        <f>KU59*BlendedPriceEssMonthly*KG59+KV59*BlendedPricePremMonthly*KG59+KW59*BlendedPriceEliteMonthly*KG59+KX59*BlendedPriceEssAnnual*KG59/12+KY59*BlendedPricePremAnnual*KG59/12+KZ59*BlendedPriceEliteAnnual*KG59/12</f>
        <v/>
      </c>
      <c r="LC59" s="9">
        <f>LB59*12</f>
        <v/>
      </c>
      <c r="LD59" s="12">
        <f>KU59*BlendedPriceEssMonthly*KG59+KV59*BlendedPricePremMonthly*KG59+KW59*BlendedPriceEliteMonthly*KG59</f>
        <v/>
      </c>
      <c r="LE59" s="12">
        <f>KR59*BlendedPriceEssAnnual*KG59+KS59*BlendedPricePremAnnual*KG59+KT59*BlendedPriceEliteAnnual*KG59</f>
        <v/>
      </c>
      <c r="LF59" s="12">
        <f>KR47*POWER(1-(AnnualChurn*VLOOKUP(KD59,ChurnSeasonTable,4,FALSE)),1)*BlendedPriceEssAnnual*KG59+KR35*POWER(1-(AnnualChurn*VLOOKUP(KD59,ChurnSeasonTable,4,FALSE)),2)*BlendedPriceEssAnnual*KG59+KR23*POWER(1-(AnnualChurn*VLOOKUP(KD59,ChurnSeasonTable,4,FALSE)),3)*BlendedPriceEssAnnual*KG59+KR11*POWER(1-(AnnualChurn*VLOOKUP(KD59,ChurnSeasonTable,4,FALSE)),4)*BlendedPriceEssAnnual*KG59+KS47*POWER(1-(AnnualChurn*VLOOKUP(KD59,ChurnSeasonTable,4,FALSE)),1)*BlendedPricePremAnnual*KG59+KS35*POWER(1-(AnnualChurn*VLOOKUP(KD59,ChurnSeasonTable,4,FALSE)),2)*BlendedPricePremAnnual*KG59+KS23*POWER(1-(AnnualChurn*VLOOKUP(KD59,ChurnSeasonTable,4,FALSE)),3)*BlendedPricePremAnnual*KG59+KS11*POWER(1-(AnnualChurn*VLOOKUP(KD59,ChurnSeasonTable,4,FALSE)),4)*BlendedPricePremAnnual*KG59+KT47*POWER(1-(AnnualChurn*VLOOKUP(KD59,ChurnSeasonTable,4,FALSE)),1)*BlendedPriceEliteAnnual*KG59+KT35*POWER(1-(AnnualChurn*VLOOKUP(KD59,ChurnSeasonTable,4,FALSE)),2)*BlendedPriceEliteAnnual*KG59+KT23*POWER(1-(AnnualChurn*VLOOKUP(KD59,ChurnSeasonTable,4,FALSE)),3)*BlendedPriceEliteAnnual*KG59+KT11*POWER(1-(AnnualChurn*VLOOKUP(KD59,ChurnSeasonTable,4,FALSE)),4)*BlendedPriceEliteAnnual*KG59</f>
        <v/>
      </c>
      <c r="LG59" s="9">
        <f>LD59+LE59+LF59</f>
        <v/>
      </c>
      <c r="LH59" s="12">
        <f>SUM(LG48:LG59)</f>
        <v/>
      </c>
      <c r="LI59" s="12">
        <f>OR(LI58,IF(VATAgentMode,SUM($LG48:$LG59)-SUM($LN48:$LN59)&gt;=VATThreshold,SUM($LG48:$LG59)&gt;=VATThreshold))</f>
        <v/>
      </c>
      <c r="LJ59" s="9">
        <f>IF(LI59,IF(VATAgentMode,LG59-((LG59-LN59)-(LG59-LN59)/(1+VATRate)),LG59/(1+VATRate)),LG59)</f>
        <v/>
      </c>
      <c r="LK59" s="12">
        <f>LG59-LJ59</f>
        <v/>
      </c>
      <c r="LL59" s="12">
        <f>IF(LI59=0,0,IF(KD59=1,SUMPRODUCT(--(($KE$5:$KE59=$KE59-1)*($KD$5:$KD59&gt;=10)*($KD$5:$KD59&lt;=12)),$LK$5:$LK59),IF(KD59=4,SUMPRODUCT(--(($KE$5:$KE59=$KE59)*($KD$5:$KD59&gt;=1)*($KD$5:$KD59&lt;=3)),$LK$5:$LK59),IF(KD59=7,SUMPRODUCT(--(($KE$5:$KE59=$KE59)*($KD$5:$KD59&gt;=4)*($KD$5:$KD59&lt;=6)),$LK$5:$LK59),IF(KD59=10,SUMPRODUCT(--(($KE$5:$KE59=$KE59)*($KD$5:$KD59&gt;=7)*($KD$5:$KD59&lt;=9)),$LK$5:$LK59),0)))))</f>
        <v/>
      </c>
      <c r="LM59" s="12">
        <f>LM58+LK59-LL59</f>
        <v/>
      </c>
      <c r="LN59" s="12">
        <f>IF(ProviderDelay&gt;=1,KU58*BlendedProvPayEss+KV58*BlendedProvPayPrem+KW58*BlendedProvPayElite+KX58*BlendedProvPayEss+KY58*BlendedProvPayPrem+KZ58*BlendedProvPayElite,KU59*BlendedProvPayEss+KV59*BlendedProvPayPrem+KW59*BlendedProvPayElite+KX59*BlendedProvPayEss+KY59*BlendedProvPayPrem+KZ59*BlendedProvPayElite)</f>
        <v/>
      </c>
      <c r="LO59" s="12">
        <f>LG59*PaymentFee</f>
        <v/>
      </c>
      <c r="LP59" s="12">
        <f>LA59*OpsAI</f>
        <v/>
      </c>
      <c r="LQ59" s="12">
        <f>MonthlyFixed</f>
        <v/>
      </c>
      <c r="LR59" s="12">
        <f>KK59*ReferralReward</f>
        <v/>
      </c>
      <c r="LS59" s="12">
        <f>KI59</f>
        <v/>
      </c>
      <c r="LT59" s="9">
        <f>LJ59-LN59-LO59-LP59-LQ59-LR59-LS59</f>
        <v/>
      </c>
      <c r="LU59" s="9">
        <f>LU58+LG59-(LN59+LO59+LP59+LQ59+LR59+LS59+LL59)</f>
        <v/>
      </c>
      <c r="LV59" s="12">
        <f>IF(LA59&gt;0,LB59/LA59,0)</f>
        <v/>
      </c>
      <c r="LW59" s="11">
        <f>IF(LA58&gt;0,MAX(0,(LA58+KL59-LA59)/LA58),0)</f>
        <v/>
      </c>
      <c r="LY59" s="12" t="n">
        <v>55</v>
      </c>
      <c r="LZ59" s="12">
        <f>MOD(LY59-1+LaunchMonth-1,12)+1</f>
        <v/>
      </c>
      <c r="MA59" s="12">
        <f>INT((LY59-1+LaunchMonth-1)/12)+1</f>
        <v/>
      </c>
      <c r="MB59" s="12">
        <f>VLOOKUP(LZ59,SeasonTable,2,FALSE)</f>
        <v/>
      </c>
      <c r="MC59" s="12">
        <f>(1+InflationRate)^INT((LY59-1)/12)</f>
        <v/>
      </c>
      <c r="MD59" s="11">
        <f>'Sens - Churn'!$A$17*VLOOKUP(LZ59,ChurnSeasonTable,4,FALSE)</f>
        <v/>
      </c>
      <c r="ME59" s="12">
        <f>MIN(MAX(MktMin19plus,NC58*MktPct19plus),MAX(0,NQ58-CashBuffer))</f>
        <v/>
      </c>
      <c r="MF59" s="12">
        <f>IF(ME59&gt;0,MAX(1,ROUND(ME59/CAC*MB59,0)),0)</f>
        <v/>
      </c>
      <c r="MG59" s="12">
        <f>IF(MF59&gt;0,ROUND(MF59*ReferralMix/(1-ReferralMix),0),0)</f>
        <v/>
      </c>
      <c r="MH59" s="12">
        <f>MF59+MG59</f>
        <v/>
      </c>
      <c r="MI59" s="12">
        <f>ROUND(MH59*(1-AnnualMix),0)</f>
        <v/>
      </c>
      <c r="MJ59" s="12">
        <f>MH59-MI59</f>
        <v/>
      </c>
      <c r="MK59" s="12">
        <f>ROUND(MI59*EssentialMix,0)</f>
        <v/>
      </c>
      <c r="ML59" s="12">
        <f>ROUND(MI59*PremiumMix,0)</f>
        <v/>
      </c>
      <c r="MM59" s="12">
        <f>MI59-MK59-ML59</f>
        <v/>
      </c>
      <c r="MN59" s="12">
        <f>ROUND(MJ59*EssentialMix,0)</f>
        <v/>
      </c>
      <c r="MO59" s="12">
        <f>ROUND(MJ59*PremiumMix,0)</f>
        <v/>
      </c>
      <c r="MP59" s="12">
        <f>MJ59-MN59-MO59</f>
        <v/>
      </c>
      <c r="MQ59" s="12">
        <f>MK59+MK58+MK57+MAX(0,MQ58-MK58-MK57)*(1-MD59)</f>
        <v/>
      </c>
      <c r="MR59" s="12">
        <f>ML59+ML58+ML57+MAX(0,MR58-ML58-ML57)*(1-MD59)</f>
        <v/>
      </c>
      <c r="MS59" s="12">
        <f>MM59+MM58+MM57+MAX(0,MS58-MM58-MM57)*(1-MD59)</f>
        <v/>
      </c>
      <c r="MT59" s="12">
        <f>MT58+MN59-MN47*(AnnualChurn*VLOOKUP(LZ59,ChurnSeasonTable,4,FALSE))*POWER(1-(AnnualChurn*VLOOKUP(LZ59,ChurnSeasonTable,4,FALSE)),0)+MN35*(AnnualChurn*VLOOKUP(LZ59,ChurnSeasonTable,4,FALSE))*POWER(1-(AnnualChurn*VLOOKUP(LZ59,ChurnSeasonTable,4,FALSE)),1)+MN23*(AnnualChurn*VLOOKUP(LZ59,ChurnSeasonTable,4,FALSE))*POWER(1-(AnnualChurn*VLOOKUP(LZ59,ChurnSeasonTable,4,FALSE)),2)+MN11*(AnnualChurn*VLOOKUP(LZ59,ChurnSeasonTable,4,FALSE))*POWER(1-(AnnualChurn*VLOOKUP(LZ59,ChurnSeasonTable,4,FALSE)),3)</f>
        <v/>
      </c>
      <c r="MU59" s="12">
        <f>MU58+MO59-MO47*(AnnualChurn*VLOOKUP(LZ59,ChurnSeasonTable,4,FALSE))*POWER(1-(AnnualChurn*VLOOKUP(LZ59,ChurnSeasonTable,4,FALSE)),0)+MO35*(AnnualChurn*VLOOKUP(LZ59,ChurnSeasonTable,4,FALSE))*POWER(1-(AnnualChurn*VLOOKUP(LZ59,ChurnSeasonTable,4,FALSE)),1)+MO23*(AnnualChurn*VLOOKUP(LZ59,ChurnSeasonTable,4,FALSE))*POWER(1-(AnnualChurn*VLOOKUP(LZ59,ChurnSeasonTable,4,FALSE)),2)+MO11*(AnnualChurn*VLOOKUP(LZ59,ChurnSeasonTable,4,FALSE))*POWER(1-(AnnualChurn*VLOOKUP(LZ59,ChurnSeasonTable,4,FALSE)),3)</f>
        <v/>
      </c>
      <c r="MV59" s="12">
        <f>MV58+MP59-MP47*(AnnualChurn*VLOOKUP(LZ59,ChurnSeasonTable,4,FALSE))*POWER(1-(AnnualChurn*VLOOKUP(LZ59,ChurnSeasonTable,4,FALSE)),0)+MP35*(AnnualChurn*VLOOKUP(LZ59,ChurnSeasonTable,4,FALSE))*POWER(1-(AnnualChurn*VLOOKUP(LZ59,ChurnSeasonTable,4,FALSE)),1)+MP23*(AnnualChurn*VLOOKUP(LZ59,ChurnSeasonTable,4,FALSE))*POWER(1-(AnnualChurn*VLOOKUP(LZ59,ChurnSeasonTable,4,FALSE)),2)+MP11*(AnnualChurn*VLOOKUP(LZ59,ChurnSeasonTable,4,FALSE))*POWER(1-(AnnualChurn*VLOOKUP(LZ59,ChurnSeasonTable,4,FALSE)),3)</f>
        <v/>
      </c>
      <c r="MW59" s="12">
        <f>MQ59+MR59+MS59+MT59+MU59+MV59</f>
        <v/>
      </c>
      <c r="MX59" s="9">
        <f>MQ59*BlendedPriceEssMonthly*MC59+MR59*BlendedPricePremMonthly*MC59+MS59*BlendedPriceEliteMonthly*MC59+MT59*BlendedPriceEssAnnual*MC59/12+MU59*BlendedPricePremAnnual*MC59/12+MV59*BlendedPriceEliteAnnual*MC59/12</f>
        <v/>
      </c>
      <c r="MY59" s="9">
        <f>MX59*12</f>
        <v/>
      </c>
      <c r="MZ59" s="12">
        <f>MQ59*BlendedPriceEssMonthly*MC59+MR59*BlendedPricePremMonthly*MC59+MS59*BlendedPriceEliteMonthly*MC59</f>
        <v/>
      </c>
      <c r="NA59" s="12">
        <f>MN59*BlendedPriceEssAnnual*MC59+MO59*BlendedPricePremAnnual*MC59+MP59*BlendedPriceEliteAnnual*MC59</f>
        <v/>
      </c>
      <c r="NB59" s="12">
        <f>MN47*POWER(1-(AnnualChurn*VLOOKUP(LZ59,ChurnSeasonTable,4,FALSE)),1)*BlendedPriceEssAnnual*MC59+MN35*POWER(1-(AnnualChurn*VLOOKUP(LZ59,ChurnSeasonTable,4,FALSE)),2)*BlendedPriceEssAnnual*MC59+MN23*POWER(1-(AnnualChurn*VLOOKUP(LZ59,ChurnSeasonTable,4,FALSE)),3)*BlendedPriceEssAnnual*MC59+MN11*POWER(1-(AnnualChurn*VLOOKUP(LZ59,ChurnSeasonTable,4,FALSE)),4)*BlendedPriceEssAnnual*MC59+MO47*POWER(1-(AnnualChurn*VLOOKUP(LZ59,ChurnSeasonTable,4,FALSE)),1)*BlendedPricePremAnnual*MC59+MO35*POWER(1-(AnnualChurn*VLOOKUP(LZ59,ChurnSeasonTable,4,FALSE)),2)*BlendedPricePremAnnual*MC59+MO23*POWER(1-(AnnualChurn*VLOOKUP(LZ59,ChurnSeasonTable,4,FALSE)),3)*BlendedPricePremAnnual*MC59+MO11*POWER(1-(AnnualChurn*VLOOKUP(LZ59,ChurnSeasonTable,4,FALSE)),4)*BlendedPricePremAnnual*MC59+MP47*POWER(1-(AnnualChurn*VLOOKUP(LZ59,ChurnSeasonTable,4,FALSE)),1)*BlendedPriceEliteAnnual*MC59+MP35*POWER(1-(AnnualChurn*VLOOKUP(LZ59,ChurnSeasonTable,4,FALSE)),2)*BlendedPriceEliteAnnual*MC59+MP23*POWER(1-(AnnualChurn*VLOOKUP(LZ59,ChurnSeasonTable,4,FALSE)),3)*BlendedPriceEliteAnnual*MC59+MP11*POWER(1-(AnnualChurn*VLOOKUP(LZ59,ChurnSeasonTable,4,FALSE)),4)*BlendedPriceEliteAnnual*MC59</f>
        <v/>
      </c>
      <c r="NC59" s="9">
        <f>MZ59+NA59+NB59</f>
        <v/>
      </c>
      <c r="ND59" s="12">
        <f>SUM(NC48:NC59)</f>
        <v/>
      </c>
      <c r="NE59" s="12">
        <f>OR(NE58,IF(VATAgentMode,SUM($NC48:$NC59)-SUM($NJ48:$NJ59)&gt;=VATThreshold,SUM($NC48:$NC59)&gt;=VATThreshold))</f>
        <v/>
      </c>
      <c r="NF59" s="9">
        <f>IF(NE59,IF(VATAgentMode,NC59-((NC59-NJ59)-(NC59-NJ59)/(1+VATRate)),NC59/(1+VATRate)),NC59)</f>
        <v/>
      </c>
      <c r="NG59" s="12">
        <f>NC59-NF59</f>
        <v/>
      </c>
      <c r="NH59" s="12">
        <f>IF(NE59=0,0,IF(LZ59=1,SUMPRODUCT(--(($MA$5:$MA59=$MA59-1)*($LZ$5:$LZ59&gt;=10)*($LZ$5:$LZ59&lt;=12)),$NG$5:$NG59),IF(LZ59=4,SUMPRODUCT(--(($MA$5:$MA59=$MA59)*($LZ$5:$LZ59&gt;=1)*($LZ$5:$LZ59&lt;=3)),$NG$5:$NG59),IF(LZ59=7,SUMPRODUCT(--(($MA$5:$MA59=$MA59)*($LZ$5:$LZ59&gt;=4)*($LZ$5:$LZ59&lt;=6)),$NG$5:$NG59),IF(LZ59=10,SUMPRODUCT(--(($MA$5:$MA59=$MA59)*($LZ$5:$LZ59&gt;=7)*($LZ$5:$LZ59&lt;=9)),$NG$5:$NG59),0)))))</f>
        <v/>
      </c>
      <c r="NI59" s="12">
        <f>NI58+NG59-NH59</f>
        <v/>
      </c>
      <c r="NJ59" s="12">
        <f>IF(ProviderDelay&gt;=1,MQ58*BlendedProvPayEss+MR58*BlendedProvPayPrem+MS58*BlendedProvPayElite+MT58*BlendedProvPayEss+MU58*BlendedProvPayPrem+MV58*BlendedProvPayElite,MQ59*BlendedProvPayEss+MR59*BlendedProvPayPrem+MS59*BlendedProvPayElite+MT59*BlendedProvPayEss+MU59*BlendedProvPayPrem+MV59*BlendedProvPayElite)</f>
        <v/>
      </c>
      <c r="NK59" s="12">
        <f>NC59*PaymentFee</f>
        <v/>
      </c>
      <c r="NL59" s="12">
        <f>MW59*OpsAI</f>
        <v/>
      </c>
      <c r="NM59" s="12">
        <f>MonthlyFixed</f>
        <v/>
      </c>
      <c r="NN59" s="12">
        <f>MG59*ReferralReward</f>
        <v/>
      </c>
      <c r="NO59" s="12">
        <f>ME59</f>
        <v/>
      </c>
      <c r="NP59" s="9">
        <f>NF59-NJ59-NK59-NL59-NM59-NN59-NO59</f>
        <v/>
      </c>
      <c r="NQ59" s="9">
        <f>NQ58+NC59-(NJ59+NK59+NL59+NM59+NN59+NO59+NH59)</f>
        <v/>
      </c>
      <c r="NR59" s="12">
        <f>IF(MW59&gt;0,MX59/MW59,0)</f>
        <v/>
      </c>
      <c r="NS59" s="11">
        <f>IF(MW58&gt;0,MAX(0,(MW58+MH59-MW59)/MW58),0)</f>
        <v/>
      </c>
      <c r="NU59" s="12" t="n">
        <v>55</v>
      </c>
      <c r="NV59" s="12">
        <f>MOD(NU59-1+LaunchMonth-1,12)+1</f>
        <v/>
      </c>
      <c r="NW59" s="12">
        <f>INT((NU59-1+LaunchMonth-1)/12)+1</f>
        <v/>
      </c>
      <c r="NX59" s="12">
        <f>VLOOKUP(NV59,SeasonTable,2,FALSE)</f>
        <v/>
      </c>
      <c r="NY59" s="12">
        <f>(1+InflationRate)^INT((NU59-1)/12)</f>
        <v/>
      </c>
      <c r="NZ59" s="11">
        <f>'Sens - Churn'!$A$18*VLOOKUP(NV59,ChurnSeasonTable,4,FALSE)</f>
        <v/>
      </c>
      <c r="OA59" s="12">
        <f>MIN(MAX(MktMin19plus,OY58*MktPct19plus),MAX(0,PM58-CashBuffer))</f>
        <v/>
      </c>
      <c r="OB59" s="12">
        <f>IF(OA59&gt;0,MAX(1,ROUND(OA59/CAC*NX59,0)),0)</f>
        <v/>
      </c>
      <c r="OC59" s="12">
        <f>IF(OB59&gt;0,ROUND(OB59*ReferralMix/(1-ReferralMix),0),0)</f>
        <v/>
      </c>
      <c r="OD59" s="12">
        <f>OB59+OC59</f>
        <v/>
      </c>
      <c r="OE59" s="12">
        <f>ROUND(OD59*(1-AnnualMix),0)</f>
        <v/>
      </c>
      <c r="OF59" s="12">
        <f>OD59-OE59</f>
        <v/>
      </c>
      <c r="OG59" s="12">
        <f>ROUND(OE59*EssentialMix,0)</f>
        <v/>
      </c>
      <c r="OH59" s="12">
        <f>ROUND(OE59*PremiumMix,0)</f>
        <v/>
      </c>
      <c r="OI59" s="12">
        <f>OE59-OG59-OH59</f>
        <v/>
      </c>
      <c r="OJ59" s="12">
        <f>ROUND(OF59*EssentialMix,0)</f>
        <v/>
      </c>
      <c r="OK59" s="12">
        <f>ROUND(OF59*PremiumMix,0)</f>
        <v/>
      </c>
      <c r="OL59" s="12">
        <f>OF59-OJ59-OK59</f>
        <v/>
      </c>
      <c r="OM59" s="12">
        <f>OG59+OG58+OG57+MAX(0,OM58-OG58-OG57)*(1-NZ59)</f>
        <v/>
      </c>
      <c r="ON59" s="12">
        <f>OH59+OH58+OH57+MAX(0,ON58-OH58-OH57)*(1-NZ59)</f>
        <v/>
      </c>
      <c r="OO59" s="12">
        <f>OI59+OI58+OI57+MAX(0,OO58-OI58-OI57)*(1-NZ59)</f>
        <v/>
      </c>
      <c r="OP59" s="12">
        <f>OP58+OJ59-OJ47*(AnnualChurn*VLOOKUP(NV59,ChurnSeasonTable,4,FALSE))*POWER(1-(AnnualChurn*VLOOKUP(NV59,ChurnSeasonTable,4,FALSE)),0)+OJ35*(AnnualChurn*VLOOKUP(NV59,ChurnSeasonTable,4,FALSE))*POWER(1-(AnnualChurn*VLOOKUP(NV59,ChurnSeasonTable,4,FALSE)),1)+OJ23*(AnnualChurn*VLOOKUP(NV59,ChurnSeasonTable,4,FALSE))*POWER(1-(AnnualChurn*VLOOKUP(NV59,ChurnSeasonTable,4,FALSE)),2)+OJ11*(AnnualChurn*VLOOKUP(NV59,ChurnSeasonTable,4,FALSE))*POWER(1-(AnnualChurn*VLOOKUP(NV59,ChurnSeasonTable,4,FALSE)),3)</f>
        <v/>
      </c>
      <c r="OQ59" s="12">
        <f>OQ58+OK59-OK47*(AnnualChurn*VLOOKUP(NV59,ChurnSeasonTable,4,FALSE))*POWER(1-(AnnualChurn*VLOOKUP(NV59,ChurnSeasonTable,4,FALSE)),0)+OK35*(AnnualChurn*VLOOKUP(NV59,ChurnSeasonTable,4,FALSE))*POWER(1-(AnnualChurn*VLOOKUP(NV59,ChurnSeasonTable,4,FALSE)),1)+OK23*(AnnualChurn*VLOOKUP(NV59,ChurnSeasonTable,4,FALSE))*POWER(1-(AnnualChurn*VLOOKUP(NV59,ChurnSeasonTable,4,FALSE)),2)+OK11*(AnnualChurn*VLOOKUP(NV59,ChurnSeasonTable,4,FALSE))*POWER(1-(AnnualChurn*VLOOKUP(NV59,ChurnSeasonTable,4,FALSE)),3)</f>
        <v/>
      </c>
      <c r="OR59" s="12">
        <f>OR58+OL59-OL47*(AnnualChurn*VLOOKUP(NV59,ChurnSeasonTable,4,FALSE))*POWER(1-(AnnualChurn*VLOOKUP(NV59,ChurnSeasonTable,4,FALSE)),0)+OL35*(AnnualChurn*VLOOKUP(NV59,ChurnSeasonTable,4,FALSE))*POWER(1-(AnnualChurn*VLOOKUP(NV59,ChurnSeasonTable,4,FALSE)),1)+OL23*(AnnualChurn*VLOOKUP(NV59,ChurnSeasonTable,4,FALSE))*POWER(1-(AnnualChurn*VLOOKUP(NV59,ChurnSeasonTable,4,FALSE)),2)+OL11*(AnnualChurn*VLOOKUP(NV59,ChurnSeasonTable,4,FALSE))*POWER(1-(AnnualChurn*VLOOKUP(NV59,ChurnSeasonTable,4,FALSE)),3)</f>
        <v/>
      </c>
      <c r="OS59" s="12">
        <f>OM59+ON59+OO59+OP59+OQ59+OR59</f>
        <v/>
      </c>
      <c r="OT59" s="9">
        <f>OM59*BlendedPriceEssMonthly*NY59+ON59*BlendedPricePremMonthly*NY59+OO59*BlendedPriceEliteMonthly*NY59+OP59*BlendedPriceEssAnnual*NY59/12+OQ59*BlendedPricePremAnnual*NY59/12+OR59*BlendedPriceEliteAnnual*NY59/12</f>
        <v/>
      </c>
      <c r="OU59" s="9">
        <f>OT59*12</f>
        <v/>
      </c>
      <c r="OV59" s="12">
        <f>OM59*BlendedPriceEssMonthly*NY59+ON59*BlendedPricePremMonthly*NY59+OO59*BlendedPriceEliteMonthly*NY59</f>
        <v/>
      </c>
      <c r="OW59" s="12">
        <f>OJ59*BlendedPriceEssAnnual*NY59+OK59*BlendedPricePremAnnual*NY59+OL59*BlendedPriceEliteAnnual*NY59</f>
        <v/>
      </c>
      <c r="OX59" s="12">
        <f>OJ47*POWER(1-(AnnualChurn*VLOOKUP(NV59,ChurnSeasonTable,4,FALSE)),1)*BlendedPriceEssAnnual*NY59+OJ35*POWER(1-(AnnualChurn*VLOOKUP(NV59,ChurnSeasonTable,4,FALSE)),2)*BlendedPriceEssAnnual*NY59+OJ23*POWER(1-(AnnualChurn*VLOOKUP(NV59,ChurnSeasonTable,4,FALSE)),3)*BlendedPriceEssAnnual*NY59+OJ11*POWER(1-(AnnualChurn*VLOOKUP(NV59,ChurnSeasonTable,4,FALSE)),4)*BlendedPriceEssAnnual*NY59+OK47*POWER(1-(AnnualChurn*VLOOKUP(NV59,ChurnSeasonTable,4,FALSE)),1)*BlendedPricePremAnnual*NY59+OK35*POWER(1-(AnnualChurn*VLOOKUP(NV59,ChurnSeasonTable,4,FALSE)),2)*BlendedPricePremAnnual*NY59+OK23*POWER(1-(AnnualChurn*VLOOKUP(NV59,ChurnSeasonTable,4,FALSE)),3)*BlendedPricePremAnnual*NY59+OK11*POWER(1-(AnnualChurn*VLOOKUP(NV59,ChurnSeasonTable,4,FALSE)),4)*BlendedPricePremAnnual*NY59+OL47*POWER(1-(AnnualChurn*VLOOKUP(NV59,ChurnSeasonTable,4,FALSE)),1)*BlendedPriceEliteAnnual*NY59+OL35*POWER(1-(AnnualChurn*VLOOKUP(NV59,ChurnSeasonTable,4,FALSE)),2)*BlendedPriceEliteAnnual*NY59+OL23*POWER(1-(AnnualChurn*VLOOKUP(NV59,ChurnSeasonTable,4,FALSE)),3)*BlendedPriceEliteAnnual*NY59+OL11*POWER(1-(AnnualChurn*VLOOKUP(NV59,ChurnSeasonTable,4,FALSE)),4)*BlendedPriceEliteAnnual*NY59</f>
        <v/>
      </c>
      <c r="OY59" s="9">
        <f>OV59+OW59+OX59</f>
        <v/>
      </c>
      <c r="OZ59" s="12">
        <f>SUM(OY48:OY59)</f>
        <v/>
      </c>
      <c r="PA59" s="12">
        <f>OR(PA58,IF(VATAgentMode,SUM($OY48:$OY59)-SUM($PF48:$PF59)&gt;=VATThreshold,SUM($OY48:$OY59)&gt;=VATThreshold))</f>
        <v/>
      </c>
      <c r="PB59" s="9">
        <f>IF(PA59,IF(VATAgentMode,OY59-((OY59-PF59)-(OY59-PF59)/(1+VATRate)),OY59/(1+VATRate)),OY59)</f>
        <v/>
      </c>
      <c r="PC59" s="12">
        <f>OY59-PB59</f>
        <v/>
      </c>
      <c r="PD59" s="12">
        <f>IF(PA59=0,0,IF(NV59=1,SUMPRODUCT(--(($NW$5:$NW59=$NW59-1)*($NV$5:$NV59&gt;=10)*($NV$5:$NV59&lt;=12)),$PC$5:$PC59),IF(NV59=4,SUMPRODUCT(--(($NW$5:$NW59=$NW59)*($NV$5:$NV59&gt;=1)*($NV$5:$NV59&lt;=3)),$PC$5:$PC59),IF(NV59=7,SUMPRODUCT(--(($NW$5:$NW59=$NW59)*($NV$5:$NV59&gt;=4)*($NV$5:$NV59&lt;=6)),$PC$5:$PC59),IF(NV59=10,SUMPRODUCT(--(($NW$5:$NW59=$NW59)*($NV$5:$NV59&gt;=7)*($NV$5:$NV59&lt;=9)),$PC$5:$PC59),0)))))</f>
        <v/>
      </c>
      <c r="PE59" s="12">
        <f>PE58+PC59-PD59</f>
        <v/>
      </c>
      <c r="PF59" s="12">
        <f>IF(ProviderDelay&gt;=1,OM58*BlendedProvPayEss+ON58*BlendedProvPayPrem+OO58*BlendedProvPayElite+OP58*BlendedProvPayEss+OQ58*BlendedProvPayPrem+OR58*BlendedProvPayElite,OM59*BlendedProvPayEss+ON59*BlendedProvPayPrem+OO59*BlendedProvPayElite+OP59*BlendedProvPayEss+OQ59*BlendedProvPayPrem+OR59*BlendedProvPayElite)</f>
        <v/>
      </c>
      <c r="PG59" s="12">
        <f>OY59*PaymentFee</f>
        <v/>
      </c>
      <c r="PH59" s="12">
        <f>OS59*OpsAI</f>
        <v/>
      </c>
      <c r="PI59" s="12">
        <f>MonthlyFixed</f>
        <v/>
      </c>
      <c r="PJ59" s="12">
        <f>OC59*ReferralReward</f>
        <v/>
      </c>
      <c r="PK59" s="12">
        <f>OA59</f>
        <v/>
      </c>
      <c r="PL59" s="9">
        <f>PB59-PF59-PG59-PH59-PI59-PJ59-PK59</f>
        <v/>
      </c>
      <c r="PM59" s="9">
        <f>PM58+OY59-(PF59+PG59+PH59+PI59+PJ59+PK59+PD59)</f>
        <v/>
      </c>
      <c r="PN59" s="12">
        <f>IF(OS59&gt;0,OT59/OS59,0)</f>
        <v/>
      </c>
      <c r="PO59" s="11">
        <f>IF(OS58&gt;0,MAX(0,(OS58+OD59-OS59)/OS58),0)</f>
        <v/>
      </c>
      <c r="PQ59" s="12" t="n">
        <v>55</v>
      </c>
      <c r="PR59" s="12">
        <f>MOD(PQ59-1+LaunchMonth-1,12)+1</f>
        <v/>
      </c>
      <c r="PS59" s="12">
        <f>INT((PQ59-1+LaunchMonth-1)/12)+1</f>
        <v/>
      </c>
      <c r="PT59" s="12">
        <f>VLOOKUP(PR59,SeasonTable,2,FALSE)</f>
        <v/>
      </c>
      <c r="PU59" s="12">
        <f>(1+InflationRate)^INT((PQ59-1)/12)</f>
        <v/>
      </c>
      <c r="PV59" s="11">
        <f>'Sens - Churn'!$A$19*VLOOKUP(PR59,ChurnSeasonTable,4,FALSE)</f>
        <v/>
      </c>
      <c r="PW59" s="12">
        <f>MIN(MAX(MktMin19plus,QU58*MktPct19plus),MAX(0,RI58-CashBuffer))</f>
        <v/>
      </c>
      <c r="PX59" s="12">
        <f>IF(PW59&gt;0,MAX(1,ROUND(PW59/CAC*PT59,0)),0)</f>
        <v/>
      </c>
      <c r="PY59" s="12">
        <f>IF(PX59&gt;0,ROUND(PX59*ReferralMix/(1-ReferralMix),0),0)</f>
        <v/>
      </c>
      <c r="PZ59" s="12">
        <f>PX59+PY59</f>
        <v/>
      </c>
      <c r="QA59" s="12">
        <f>ROUND(PZ59*(1-AnnualMix),0)</f>
        <v/>
      </c>
      <c r="QB59" s="12">
        <f>PZ59-QA59</f>
        <v/>
      </c>
      <c r="QC59" s="12">
        <f>ROUND(QA59*EssentialMix,0)</f>
        <v/>
      </c>
      <c r="QD59" s="12">
        <f>ROUND(QA59*PremiumMix,0)</f>
        <v/>
      </c>
      <c r="QE59" s="12">
        <f>QA59-QC59-QD59</f>
        <v/>
      </c>
      <c r="QF59" s="12">
        <f>ROUND(QB59*EssentialMix,0)</f>
        <v/>
      </c>
      <c r="QG59" s="12">
        <f>ROUND(QB59*PremiumMix,0)</f>
        <v/>
      </c>
      <c r="QH59" s="12">
        <f>QB59-QF59-QG59</f>
        <v/>
      </c>
      <c r="QI59" s="12">
        <f>QC59+QC58+QC57+MAX(0,QI58-QC58-QC57)*(1-PV59)</f>
        <v/>
      </c>
      <c r="QJ59" s="12">
        <f>QD59+QD58+QD57+MAX(0,QJ58-QD58-QD57)*(1-PV59)</f>
        <v/>
      </c>
      <c r="QK59" s="12">
        <f>QE59+QE58+QE57+MAX(0,QK58-QE58-QE57)*(1-PV59)</f>
        <v/>
      </c>
      <c r="QL59" s="12">
        <f>QL58+QF59-QF47*(AnnualChurn*VLOOKUP(PR59,ChurnSeasonTable,4,FALSE))*POWER(1-(AnnualChurn*VLOOKUP(PR59,ChurnSeasonTable,4,FALSE)),0)+QF35*(AnnualChurn*VLOOKUP(PR59,ChurnSeasonTable,4,FALSE))*POWER(1-(AnnualChurn*VLOOKUP(PR59,ChurnSeasonTable,4,FALSE)),1)+QF23*(AnnualChurn*VLOOKUP(PR59,ChurnSeasonTable,4,FALSE))*POWER(1-(AnnualChurn*VLOOKUP(PR59,ChurnSeasonTable,4,FALSE)),2)+QF11*(AnnualChurn*VLOOKUP(PR59,ChurnSeasonTable,4,FALSE))*POWER(1-(AnnualChurn*VLOOKUP(PR59,ChurnSeasonTable,4,FALSE)),3)</f>
        <v/>
      </c>
      <c r="QM59" s="12">
        <f>QM58+QG59-QG47*(AnnualChurn*VLOOKUP(PR59,ChurnSeasonTable,4,FALSE))*POWER(1-(AnnualChurn*VLOOKUP(PR59,ChurnSeasonTable,4,FALSE)),0)+QG35*(AnnualChurn*VLOOKUP(PR59,ChurnSeasonTable,4,FALSE))*POWER(1-(AnnualChurn*VLOOKUP(PR59,ChurnSeasonTable,4,FALSE)),1)+QG23*(AnnualChurn*VLOOKUP(PR59,ChurnSeasonTable,4,FALSE))*POWER(1-(AnnualChurn*VLOOKUP(PR59,ChurnSeasonTable,4,FALSE)),2)+QG11*(AnnualChurn*VLOOKUP(PR59,ChurnSeasonTable,4,FALSE))*POWER(1-(AnnualChurn*VLOOKUP(PR59,ChurnSeasonTable,4,FALSE)),3)</f>
        <v/>
      </c>
      <c r="QN59" s="12">
        <f>QN58+QH59-QH47*(AnnualChurn*VLOOKUP(PR59,ChurnSeasonTable,4,FALSE))*POWER(1-(AnnualChurn*VLOOKUP(PR59,ChurnSeasonTable,4,FALSE)),0)+QH35*(AnnualChurn*VLOOKUP(PR59,ChurnSeasonTable,4,FALSE))*POWER(1-(AnnualChurn*VLOOKUP(PR59,ChurnSeasonTable,4,FALSE)),1)+QH23*(AnnualChurn*VLOOKUP(PR59,ChurnSeasonTable,4,FALSE))*POWER(1-(AnnualChurn*VLOOKUP(PR59,ChurnSeasonTable,4,FALSE)),2)+QH11*(AnnualChurn*VLOOKUP(PR59,ChurnSeasonTable,4,FALSE))*POWER(1-(AnnualChurn*VLOOKUP(PR59,ChurnSeasonTable,4,FALSE)),3)</f>
        <v/>
      </c>
      <c r="QO59" s="12">
        <f>QI59+QJ59+QK59+QL59+QM59+QN59</f>
        <v/>
      </c>
      <c r="QP59" s="9">
        <f>QI59*BlendedPriceEssMonthly*PU59+QJ59*BlendedPricePremMonthly*PU59+QK59*BlendedPriceEliteMonthly*PU59+QL59*BlendedPriceEssAnnual*PU59/12+QM59*BlendedPricePremAnnual*PU59/12+QN59*BlendedPriceEliteAnnual*PU59/12</f>
        <v/>
      </c>
      <c r="QQ59" s="9">
        <f>QP59*12</f>
        <v/>
      </c>
      <c r="QR59" s="12">
        <f>QI59*BlendedPriceEssMonthly*PU59+QJ59*BlendedPricePremMonthly*PU59+QK59*BlendedPriceEliteMonthly*PU59</f>
        <v/>
      </c>
      <c r="QS59" s="12">
        <f>QF59*BlendedPriceEssAnnual*PU59+QG59*BlendedPricePremAnnual*PU59+QH59*BlendedPriceEliteAnnual*PU59</f>
        <v/>
      </c>
      <c r="QT59" s="12">
        <f>QF47*POWER(1-(AnnualChurn*VLOOKUP(PR59,ChurnSeasonTable,4,FALSE)),1)*BlendedPriceEssAnnual*PU59+QF35*POWER(1-(AnnualChurn*VLOOKUP(PR59,ChurnSeasonTable,4,FALSE)),2)*BlendedPriceEssAnnual*PU59+QF23*POWER(1-(AnnualChurn*VLOOKUP(PR59,ChurnSeasonTable,4,FALSE)),3)*BlendedPriceEssAnnual*PU59+QF11*POWER(1-(AnnualChurn*VLOOKUP(PR59,ChurnSeasonTable,4,FALSE)),4)*BlendedPriceEssAnnual*PU59+QG47*POWER(1-(AnnualChurn*VLOOKUP(PR59,ChurnSeasonTable,4,FALSE)),1)*BlendedPricePremAnnual*PU59+QG35*POWER(1-(AnnualChurn*VLOOKUP(PR59,ChurnSeasonTable,4,FALSE)),2)*BlendedPricePremAnnual*PU59+QG23*POWER(1-(AnnualChurn*VLOOKUP(PR59,ChurnSeasonTable,4,FALSE)),3)*BlendedPricePremAnnual*PU59+QG11*POWER(1-(AnnualChurn*VLOOKUP(PR59,ChurnSeasonTable,4,FALSE)),4)*BlendedPricePremAnnual*PU59+QH47*POWER(1-(AnnualChurn*VLOOKUP(PR59,ChurnSeasonTable,4,FALSE)),1)*BlendedPriceEliteAnnual*PU59+QH35*POWER(1-(AnnualChurn*VLOOKUP(PR59,ChurnSeasonTable,4,FALSE)),2)*BlendedPriceEliteAnnual*PU59+QH23*POWER(1-(AnnualChurn*VLOOKUP(PR59,ChurnSeasonTable,4,FALSE)),3)*BlendedPriceEliteAnnual*PU59+QH11*POWER(1-(AnnualChurn*VLOOKUP(PR59,ChurnSeasonTable,4,FALSE)),4)*BlendedPriceEliteAnnual*PU59</f>
        <v/>
      </c>
      <c r="QU59" s="9">
        <f>QR59+QS59+QT59</f>
        <v/>
      </c>
      <c r="QV59" s="12">
        <f>SUM(QU48:QU59)</f>
        <v/>
      </c>
      <c r="QW59" s="12">
        <f>OR(QW58,IF(VATAgentMode,SUM($QU48:$QU59)-SUM($RB48:$RB59)&gt;=VATThreshold,SUM($QU48:$QU59)&gt;=VATThreshold))</f>
        <v/>
      </c>
      <c r="QX59" s="9">
        <f>IF(QW59,IF(VATAgentMode,QU59-((QU59-RB59)-(QU59-RB59)/(1+VATRate)),QU59/(1+VATRate)),QU59)</f>
        <v/>
      </c>
      <c r="QY59" s="12">
        <f>QU59-QX59</f>
        <v/>
      </c>
      <c r="QZ59" s="12">
        <f>IF(QW59=0,0,IF(PR59=1,SUMPRODUCT(--(($PS$5:$PS59=$PS59-1)*($PR$5:$PR59&gt;=10)*($PR$5:$PR59&lt;=12)),$QY$5:$QY59),IF(PR59=4,SUMPRODUCT(--(($PS$5:$PS59=$PS59)*($PR$5:$PR59&gt;=1)*($PR$5:$PR59&lt;=3)),$QY$5:$QY59),IF(PR59=7,SUMPRODUCT(--(($PS$5:$PS59=$PS59)*($PR$5:$PR59&gt;=4)*($PR$5:$PR59&lt;=6)),$QY$5:$QY59),IF(PR59=10,SUMPRODUCT(--(($PS$5:$PS59=$PS59)*($PR$5:$PR59&gt;=7)*($PR$5:$PR59&lt;=9)),$QY$5:$QY59),0)))))</f>
        <v/>
      </c>
      <c r="RA59" s="12">
        <f>RA58+QY59-QZ59</f>
        <v/>
      </c>
      <c r="RB59" s="12">
        <f>IF(ProviderDelay&gt;=1,QI58*BlendedProvPayEss+QJ58*BlendedProvPayPrem+QK58*BlendedProvPayElite+QL58*BlendedProvPayEss+QM58*BlendedProvPayPrem+QN58*BlendedProvPayElite,QI59*BlendedProvPayEss+QJ59*BlendedProvPayPrem+QK59*BlendedProvPayElite+QL59*BlendedProvPayEss+QM59*BlendedProvPayPrem+QN59*BlendedProvPayElite)</f>
        <v/>
      </c>
      <c r="RC59" s="12">
        <f>QU59*PaymentFee</f>
        <v/>
      </c>
      <c r="RD59" s="12">
        <f>QO59*OpsAI</f>
        <v/>
      </c>
      <c r="RE59" s="12">
        <f>MonthlyFixed</f>
        <v/>
      </c>
      <c r="RF59" s="12">
        <f>PY59*ReferralReward</f>
        <v/>
      </c>
      <c r="RG59" s="12">
        <f>PW59</f>
        <v/>
      </c>
      <c r="RH59" s="9">
        <f>QX59-RB59-RC59-RD59-RE59-RF59-RG59</f>
        <v/>
      </c>
      <c r="RI59" s="9">
        <f>RI58+QU59-(RB59+RC59+RD59+RE59+RF59+RG59+QZ59)</f>
        <v/>
      </c>
      <c r="RJ59" s="12">
        <f>IF(QO59&gt;0,QP59/QO59,0)</f>
        <v/>
      </c>
      <c r="RK59" s="11">
        <f>IF(QO58&gt;0,MAX(0,(QO58+PZ59-QO59)/QO58),0)</f>
        <v/>
      </c>
      <c r="RM59" s="12" t="n">
        <v>55</v>
      </c>
      <c r="RN59" s="12">
        <f>MOD(RM59-1+LaunchMonth-1,12)+1</f>
        <v/>
      </c>
      <c r="RO59" s="12">
        <f>INT((RM59-1+LaunchMonth-1)/12)+1</f>
        <v/>
      </c>
      <c r="RP59" s="12">
        <f>VLOOKUP(RN59,SeasonTable,2,FALSE)</f>
        <v/>
      </c>
      <c r="RQ59" s="12">
        <f>(1+InflationRate)^INT((RM59-1)/12)</f>
        <v/>
      </c>
      <c r="RR59" s="11">
        <f>'Sens - Churn'!$A$20*VLOOKUP(RN59,ChurnSeasonTable,4,FALSE)</f>
        <v/>
      </c>
      <c r="RS59" s="12">
        <f>MIN(MAX(MktMin19plus,SQ58*MktPct19plus),MAX(0,TE58-CashBuffer))</f>
        <v/>
      </c>
      <c r="RT59" s="12">
        <f>IF(RS59&gt;0,MAX(1,ROUND(RS59/CAC*RP59,0)),0)</f>
        <v/>
      </c>
      <c r="RU59" s="12">
        <f>IF(RT59&gt;0,ROUND(RT59*ReferralMix/(1-ReferralMix),0),0)</f>
        <v/>
      </c>
      <c r="RV59" s="12">
        <f>RT59+RU59</f>
        <v/>
      </c>
      <c r="RW59" s="12">
        <f>ROUND(RV59*(1-AnnualMix),0)</f>
        <v/>
      </c>
      <c r="RX59" s="12">
        <f>RV59-RW59</f>
        <v/>
      </c>
      <c r="RY59" s="12">
        <f>ROUND(RW59*EssentialMix,0)</f>
        <v/>
      </c>
      <c r="RZ59" s="12">
        <f>ROUND(RW59*PremiumMix,0)</f>
        <v/>
      </c>
      <c r="SA59" s="12">
        <f>RW59-RY59-RZ59</f>
        <v/>
      </c>
      <c r="SB59" s="12">
        <f>ROUND(RX59*EssentialMix,0)</f>
        <v/>
      </c>
      <c r="SC59" s="12">
        <f>ROUND(RX59*PremiumMix,0)</f>
        <v/>
      </c>
      <c r="SD59" s="12">
        <f>RX59-SB59-SC59</f>
        <v/>
      </c>
      <c r="SE59" s="12">
        <f>RY59+RY58+RY57+MAX(0,SE58-RY58-RY57)*(1-RR59)</f>
        <v/>
      </c>
      <c r="SF59" s="12">
        <f>RZ59+RZ58+RZ57+MAX(0,SF58-RZ58-RZ57)*(1-RR59)</f>
        <v/>
      </c>
      <c r="SG59" s="12">
        <f>SA59+SA58+SA57+MAX(0,SG58-SA58-SA57)*(1-RR59)</f>
        <v/>
      </c>
      <c r="SH59" s="12">
        <f>SH58+SB59-SB47*(AnnualChurn*VLOOKUP(RN59,ChurnSeasonTable,4,FALSE))*POWER(1-(AnnualChurn*VLOOKUP(RN59,ChurnSeasonTable,4,FALSE)),0)+SB35*(AnnualChurn*VLOOKUP(RN59,ChurnSeasonTable,4,FALSE))*POWER(1-(AnnualChurn*VLOOKUP(RN59,ChurnSeasonTable,4,FALSE)),1)+SB23*(AnnualChurn*VLOOKUP(RN59,ChurnSeasonTable,4,FALSE))*POWER(1-(AnnualChurn*VLOOKUP(RN59,ChurnSeasonTable,4,FALSE)),2)+SB11*(AnnualChurn*VLOOKUP(RN59,ChurnSeasonTable,4,FALSE))*POWER(1-(AnnualChurn*VLOOKUP(RN59,ChurnSeasonTable,4,FALSE)),3)</f>
        <v/>
      </c>
      <c r="SI59" s="12">
        <f>SI58+SC59-SC47*(AnnualChurn*VLOOKUP(RN59,ChurnSeasonTable,4,FALSE))*POWER(1-(AnnualChurn*VLOOKUP(RN59,ChurnSeasonTable,4,FALSE)),0)+SC35*(AnnualChurn*VLOOKUP(RN59,ChurnSeasonTable,4,FALSE))*POWER(1-(AnnualChurn*VLOOKUP(RN59,ChurnSeasonTable,4,FALSE)),1)+SC23*(AnnualChurn*VLOOKUP(RN59,ChurnSeasonTable,4,FALSE))*POWER(1-(AnnualChurn*VLOOKUP(RN59,ChurnSeasonTable,4,FALSE)),2)+SC11*(AnnualChurn*VLOOKUP(RN59,ChurnSeasonTable,4,FALSE))*POWER(1-(AnnualChurn*VLOOKUP(RN59,ChurnSeasonTable,4,FALSE)),3)</f>
        <v/>
      </c>
      <c r="SJ59" s="12">
        <f>SJ58+SD59-SD47*(AnnualChurn*VLOOKUP(RN59,ChurnSeasonTable,4,FALSE))*POWER(1-(AnnualChurn*VLOOKUP(RN59,ChurnSeasonTable,4,FALSE)),0)+SD35*(AnnualChurn*VLOOKUP(RN59,ChurnSeasonTable,4,FALSE))*POWER(1-(AnnualChurn*VLOOKUP(RN59,ChurnSeasonTable,4,FALSE)),1)+SD23*(AnnualChurn*VLOOKUP(RN59,ChurnSeasonTable,4,FALSE))*POWER(1-(AnnualChurn*VLOOKUP(RN59,ChurnSeasonTable,4,FALSE)),2)+SD11*(AnnualChurn*VLOOKUP(RN59,ChurnSeasonTable,4,FALSE))*POWER(1-(AnnualChurn*VLOOKUP(RN59,ChurnSeasonTable,4,FALSE)),3)</f>
        <v/>
      </c>
      <c r="SK59" s="12">
        <f>SE59+SF59+SG59+SH59+SI59+SJ59</f>
        <v/>
      </c>
      <c r="SL59" s="9">
        <f>SE59*BlendedPriceEssMonthly*RQ59+SF59*BlendedPricePremMonthly*RQ59+SG59*BlendedPriceEliteMonthly*RQ59+SH59*BlendedPriceEssAnnual*RQ59/12+SI59*BlendedPricePremAnnual*RQ59/12+SJ59*BlendedPriceEliteAnnual*RQ59/12</f>
        <v/>
      </c>
      <c r="SM59" s="9">
        <f>SL59*12</f>
        <v/>
      </c>
      <c r="SN59" s="12">
        <f>SE59*BlendedPriceEssMonthly*RQ59+SF59*BlendedPricePremMonthly*RQ59+SG59*BlendedPriceEliteMonthly*RQ59</f>
        <v/>
      </c>
      <c r="SO59" s="12">
        <f>SB59*BlendedPriceEssAnnual*RQ59+SC59*BlendedPricePremAnnual*RQ59+SD59*BlendedPriceEliteAnnual*RQ59</f>
        <v/>
      </c>
      <c r="SP59" s="12">
        <f>SB47*POWER(1-(AnnualChurn*VLOOKUP(RN59,ChurnSeasonTable,4,FALSE)),1)*BlendedPriceEssAnnual*RQ59+SB35*POWER(1-(AnnualChurn*VLOOKUP(RN59,ChurnSeasonTable,4,FALSE)),2)*BlendedPriceEssAnnual*RQ59+SB23*POWER(1-(AnnualChurn*VLOOKUP(RN59,ChurnSeasonTable,4,FALSE)),3)*BlendedPriceEssAnnual*RQ59+SB11*POWER(1-(AnnualChurn*VLOOKUP(RN59,ChurnSeasonTable,4,FALSE)),4)*BlendedPriceEssAnnual*RQ59+SC47*POWER(1-(AnnualChurn*VLOOKUP(RN59,ChurnSeasonTable,4,FALSE)),1)*BlendedPricePremAnnual*RQ59+SC35*POWER(1-(AnnualChurn*VLOOKUP(RN59,ChurnSeasonTable,4,FALSE)),2)*BlendedPricePremAnnual*RQ59+SC23*POWER(1-(AnnualChurn*VLOOKUP(RN59,ChurnSeasonTable,4,FALSE)),3)*BlendedPricePremAnnual*RQ59+SC11*POWER(1-(AnnualChurn*VLOOKUP(RN59,ChurnSeasonTable,4,FALSE)),4)*BlendedPricePremAnnual*RQ59+SD47*POWER(1-(AnnualChurn*VLOOKUP(RN59,ChurnSeasonTable,4,FALSE)),1)*BlendedPriceEliteAnnual*RQ59+SD35*POWER(1-(AnnualChurn*VLOOKUP(RN59,ChurnSeasonTable,4,FALSE)),2)*BlendedPriceEliteAnnual*RQ59+SD23*POWER(1-(AnnualChurn*VLOOKUP(RN59,ChurnSeasonTable,4,FALSE)),3)*BlendedPriceEliteAnnual*RQ59+SD11*POWER(1-(AnnualChurn*VLOOKUP(RN59,ChurnSeasonTable,4,FALSE)),4)*BlendedPriceEliteAnnual*RQ59</f>
        <v/>
      </c>
      <c r="SQ59" s="9">
        <f>SN59+SO59+SP59</f>
        <v/>
      </c>
      <c r="SR59" s="12">
        <f>SUM(SQ48:SQ59)</f>
        <v/>
      </c>
      <c r="SS59" s="12">
        <f>OR(SS58,IF(VATAgentMode,SUM($SQ48:$SQ59)-SUM($SX48:$SX59)&gt;=VATThreshold,SUM($SQ48:$SQ59)&gt;=VATThreshold))</f>
        <v/>
      </c>
      <c r="ST59" s="9">
        <f>IF(SS59,IF(VATAgentMode,SQ59-((SQ59-SX59)-(SQ59-SX59)/(1+VATRate)),SQ59/(1+VATRate)),SQ59)</f>
        <v/>
      </c>
      <c r="SU59" s="12">
        <f>SQ59-ST59</f>
        <v/>
      </c>
      <c r="SV59" s="12">
        <f>IF(SS59=0,0,IF(RN59=1,SUMPRODUCT(--(($RO$5:$RO59=$RO59-1)*($RN$5:$RN59&gt;=10)*($RN$5:$RN59&lt;=12)),$SU$5:$SU59),IF(RN59=4,SUMPRODUCT(--(($RO$5:$RO59=$RO59)*($RN$5:$RN59&gt;=1)*($RN$5:$RN59&lt;=3)),$SU$5:$SU59),IF(RN59=7,SUMPRODUCT(--(($RO$5:$RO59=$RO59)*($RN$5:$RN59&gt;=4)*($RN$5:$RN59&lt;=6)),$SU$5:$SU59),IF(RN59=10,SUMPRODUCT(--(($RO$5:$RO59=$RO59)*($RN$5:$RN59&gt;=7)*($RN$5:$RN59&lt;=9)),$SU$5:$SU59),0)))))</f>
        <v/>
      </c>
      <c r="SW59" s="12">
        <f>SW58+SU59-SV59</f>
        <v/>
      </c>
      <c r="SX59" s="12">
        <f>IF(ProviderDelay&gt;=1,SE58*BlendedProvPayEss+SF58*BlendedProvPayPrem+SG58*BlendedProvPayElite+SH58*BlendedProvPayEss+SI58*BlendedProvPayPrem+SJ58*BlendedProvPayElite,SE59*BlendedProvPayEss+SF59*BlendedProvPayPrem+SG59*BlendedProvPayElite+SH59*BlendedProvPayEss+SI59*BlendedProvPayPrem+SJ59*BlendedProvPayElite)</f>
        <v/>
      </c>
      <c r="SY59" s="12">
        <f>SQ59*PaymentFee</f>
        <v/>
      </c>
      <c r="SZ59" s="12">
        <f>SK59*OpsAI</f>
        <v/>
      </c>
      <c r="TA59" s="12">
        <f>MonthlyFixed</f>
        <v/>
      </c>
      <c r="TB59" s="12">
        <f>RU59*ReferralReward</f>
        <v/>
      </c>
      <c r="TC59" s="12">
        <f>RS59</f>
        <v/>
      </c>
      <c r="TD59" s="9">
        <f>ST59-SX59-SY59-SZ59-TA59-TB59-TC59</f>
        <v/>
      </c>
      <c r="TE59" s="9">
        <f>TE58+SQ59-(SX59+SY59+SZ59+TA59+TB59+TC59+SV59)</f>
        <v/>
      </c>
      <c r="TF59" s="12">
        <f>IF(SK59&gt;0,SL59/SK59,0)</f>
        <v/>
      </c>
      <c r="TG59" s="11">
        <f>IF(SK58&gt;0,MAX(0,(SK58+RV59-SK59)/SK58),0)</f>
        <v/>
      </c>
      <c r="TI59" s="12" t="n">
        <v>55</v>
      </c>
      <c r="TJ59" s="12">
        <f>MOD(TI59-1+LaunchMonth-1,12)+1</f>
        <v/>
      </c>
      <c r="TK59" s="12">
        <f>INT((TI59-1+LaunchMonth-1)/12)+1</f>
        <v/>
      </c>
      <c r="TL59" s="12">
        <f>VLOOKUP(TJ59,SeasonTable,2,FALSE)</f>
        <v/>
      </c>
      <c r="TM59" s="12">
        <f>(1+InflationRate)^INT((TI59-1)/12)</f>
        <v/>
      </c>
      <c r="TN59" s="11">
        <f>'Sens - Churn'!$A$21*VLOOKUP(TJ59,ChurnSeasonTable,4,FALSE)</f>
        <v/>
      </c>
      <c r="TO59" s="12">
        <f>MIN(MAX(MktMin19plus,UM58*MktPct19plus),MAX(0,VA58-CashBuffer))</f>
        <v/>
      </c>
      <c r="TP59" s="12">
        <f>IF(TO59&gt;0,MAX(1,ROUND(TO59/CAC*TL59,0)),0)</f>
        <v/>
      </c>
      <c r="TQ59" s="12">
        <f>IF(TP59&gt;0,ROUND(TP59*ReferralMix/(1-ReferralMix),0),0)</f>
        <v/>
      </c>
      <c r="TR59" s="12">
        <f>TP59+TQ59</f>
        <v/>
      </c>
      <c r="TS59" s="12">
        <f>ROUND(TR59*(1-AnnualMix),0)</f>
        <v/>
      </c>
      <c r="TT59" s="12">
        <f>TR59-TS59</f>
        <v/>
      </c>
      <c r="TU59" s="12">
        <f>ROUND(TS59*EssentialMix,0)</f>
        <v/>
      </c>
      <c r="TV59" s="12">
        <f>ROUND(TS59*PremiumMix,0)</f>
        <v/>
      </c>
      <c r="TW59" s="12">
        <f>TS59-TU59-TV59</f>
        <v/>
      </c>
      <c r="TX59" s="12">
        <f>ROUND(TT59*EssentialMix,0)</f>
        <v/>
      </c>
      <c r="TY59" s="12">
        <f>ROUND(TT59*PremiumMix,0)</f>
        <v/>
      </c>
      <c r="TZ59" s="12">
        <f>TT59-TX59-TY59</f>
        <v/>
      </c>
      <c r="UA59" s="12">
        <f>TU59+TU58+TU57+MAX(0,UA58-TU58-TU57)*(1-TN59)</f>
        <v/>
      </c>
      <c r="UB59" s="12">
        <f>TV59+TV58+TV57+MAX(0,UB58-TV58-TV57)*(1-TN59)</f>
        <v/>
      </c>
      <c r="UC59" s="12">
        <f>TW59+TW58+TW57+MAX(0,UC58-TW58-TW57)*(1-TN59)</f>
        <v/>
      </c>
      <c r="UD59" s="12">
        <f>UD58+TX59-TX47*(AnnualChurn*VLOOKUP(TJ59,ChurnSeasonTable,4,FALSE))*POWER(1-(AnnualChurn*VLOOKUP(TJ59,ChurnSeasonTable,4,FALSE)),0)+TX35*(AnnualChurn*VLOOKUP(TJ59,ChurnSeasonTable,4,FALSE))*POWER(1-(AnnualChurn*VLOOKUP(TJ59,ChurnSeasonTable,4,FALSE)),1)+TX23*(AnnualChurn*VLOOKUP(TJ59,ChurnSeasonTable,4,FALSE))*POWER(1-(AnnualChurn*VLOOKUP(TJ59,ChurnSeasonTable,4,FALSE)),2)+TX11*(AnnualChurn*VLOOKUP(TJ59,ChurnSeasonTable,4,FALSE))*POWER(1-(AnnualChurn*VLOOKUP(TJ59,ChurnSeasonTable,4,FALSE)),3)</f>
        <v/>
      </c>
      <c r="UE59" s="12">
        <f>UE58+TY59-TY47*(AnnualChurn*VLOOKUP(TJ59,ChurnSeasonTable,4,FALSE))*POWER(1-(AnnualChurn*VLOOKUP(TJ59,ChurnSeasonTable,4,FALSE)),0)+TY35*(AnnualChurn*VLOOKUP(TJ59,ChurnSeasonTable,4,FALSE))*POWER(1-(AnnualChurn*VLOOKUP(TJ59,ChurnSeasonTable,4,FALSE)),1)+TY23*(AnnualChurn*VLOOKUP(TJ59,ChurnSeasonTable,4,FALSE))*POWER(1-(AnnualChurn*VLOOKUP(TJ59,ChurnSeasonTable,4,FALSE)),2)+TY11*(AnnualChurn*VLOOKUP(TJ59,ChurnSeasonTable,4,FALSE))*POWER(1-(AnnualChurn*VLOOKUP(TJ59,ChurnSeasonTable,4,FALSE)),3)</f>
        <v/>
      </c>
      <c r="UF59" s="12">
        <f>UF58+TZ59-TZ47*(AnnualChurn*VLOOKUP(TJ59,ChurnSeasonTable,4,FALSE))*POWER(1-(AnnualChurn*VLOOKUP(TJ59,ChurnSeasonTable,4,FALSE)),0)+TZ35*(AnnualChurn*VLOOKUP(TJ59,ChurnSeasonTable,4,FALSE))*POWER(1-(AnnualChurn*VLOOKUP(TJ59,ChurnSeasonTable,4,FALSE)),1)+TZ23*(AnnualChurn*VLOOKUP(TJ59,ChurnSeasonTable,4,FALSE))*POWER(1-(AnnualChurn*VLOOKUP(TJ59,ChurnSeasonTable,4,FALSE)),2)+TZ11*(AnnualChurn*VLOOKUP(TJ59,ChurnSeasonTable,4,FALSE))*POWER(1-(AnnualChurn*VLOOKUP(TJ59,ChurnSeasonTable,4,FALSE)),3)</f>
        <v/>
      </c>
      <c r="UG59" s="12">
        <f>UA59+UB59+UC59+UD59+UE59+UF59</f>
        <v/>
      </c>
      <c r="UH59" s="9">
        <f>UA59*BlendedPriceEssMonthly*TM59+UB59*BlendedPricePremMonthly*TM59+UC59*BlendedPriceEliteMonthly*TM59+UD59*BlendedPriceEssAnnual*TM59/12+UE59*BlendedPricePremAnnual*TM59/12+UF59*BlendedPriceEliteAnnual*TM59/12</f>
        <v/>
      </c>
      <c r="UI59" s="9">
        <f>UH59*12</f>
        <v/>
      </c>
      <c r="UJ59" s="12">
        <f>UA59*BlendedPriceEssMonthly*TM59+UB59*BlendedPricePremMonthly*TM59+UC59*BlendedPriceEliteMonthly*TM59</f>
        <v/>
      </c>
      <c r="UK59" s="12">
        <f>TX59*BlendedPriceEssAnnual*TM59+TY59*BlendedPricePremAnnual*TM59+TZ59*BlendedPriceEliteAnnual*TM59</f>
        <v/>
      </c>
      <c r="UL59" s="12">
        <f>TX47*POWER(1-(AnnualChurn*VLOOKUP(TJ59,ChurnSeasonTable,4,FALSE)),1)*BlendedPriceEssAnnual*TM59+TX35*POWER(1-(AnnualChurn*VLOOKUP(TJ59,ChurnSeasonTable,4,FALSE)),2)*BlendedPriceEssAnnual*TM59+TX23*POWER(1-(AnnualChurn*VLOOKUP(TJ59,ChurnSeasonTable,4,FALSE)),3)*BlendedPriceEssAnnual*TM59+TX11*POWER(1-(AnnualChurn*VLOOKUP(TJ59,ChurnSeasonTable,4,FALSE)),4)*BlendedPriceEssAnnual*TM59+TY47*POWER(1-(AnnualChurn*VLOOKUP(TJ59,ChurnSeasonTable,4,FALSE)),1)*BlendedPricePremAnnual*TM59+TY35*POWER(1-(AnnualChurn*VLOOKUP(TJ59,ChurnSeasonTable,4,FALSE)),2)*BlendedPricePremAnnual*TM59+TY23*POWER(1-(AnnualChurn*VLOOKUP(TJ59,ChurnSeasonTable,4,FALSE)),3)*BlendedPricePremAnnual*TM59+TY11*POWER(1-(AnnualChurn*VLOOKUP(TJ59,ChurnSeasonTable,4,FALSE)),4)*BlendedPricePremAnnual*TM59+TZ47*POWER(1-(AnnualChurn*VLOOKUP(TJ59,ChurnSeasonTable,4,FALSE)),1)*BlendedPriceEliteAnnual*TM59+TZ35*POWER(1-(AnnualChurn*VLOOKUP(TJ59,ChurnSeasonTable,4,FALSE)),2)*BlendedPriceEliteAnnual*TM59+TZ23*POWER(1-(AnnualChurn*VLOOKUP(TJ59,ChurnSeasonTable,4,FALSE)),3)*BlendedPriceEliteAnnual*TM59+TZ11*POWER(1-(AnnualChurn*VLOOKUP(TJ59,ChurnSeasonTable,4,FALSE)),4)*BlendedPriceEliteAnnual*TM59</f>
        <v/>
      </c>
      <c r="UM59" s="9">
        <f>UJ59+UK59+UL59</f>
        <v/>
      </c>
      <c r="UN59" s="12">
        <f>SUM(UM48:UM59)</f>
        <v/>
      </c>
      <c r="UO59" s="12">
        <f>OR(UO58,IF(VATAgentMode,SUM($UM48:$UM59)-SUM($UT48:$UT59)&gt;=VATThreshold,SUM($UM48:$UM59)&gt;=VATThreshold))</f>
        <v/>
      </c>
      <c r="UP59" s="9">
        <f>IF(UO59,IF(VATAgentMode,UM59-((UM59-UT59)-(UM59-UT59)/(1+VATRate)),UM59/(1+VATRate)),UM59)</f>
        <v/>
      </c>
      <c r="UQ59" s="12">
        <f>UM59-UP59</f>
        <v/>
      </c>
      <c r="UR59" s="12">
        <f>IF(UO59=0,0,IF(TJ59=1,SUMPRODUCT(--(($TK$5:$TK59=$TK59-1)*($TJ$5:$TJ59&gt;=10)*($TJ$5:$TJ59&lt;=12)),$UQ$5:$UQ59),IF(TJ59=4,SUMPRODUCT(--(($TK$5:$TK59=$TK59)*($TJ$5:$TJ59&gt;=1)*($TJ$5:$TJ59&lt;=3)),$UQ$5:$UQ59),IF(TJ59=7,SUMPRODUCT(--(($TK$5:$TK59=$TK59)*($TJ$5:$TJ59&gt;=4)*($TJ$5:$TJ59&lt;=6)),$UQ$5:$UQ59),IF(TJ59=10,SUMPRODUCT(--(($TK$5:$TK59=$TK59)*($TJ$5:$TJ59&gt;=7)*($TJ$5:$TJ59&lt;=9)),$UQ$5:$UQ59),0)))))</f>
        <v/>
      </c>
      <c r="US59" s="12">
        <f>US58+UQ59-UR59</f>
        <v/>
      </c>
      <c r="UT59" s="12">
        <f>IF(ProviderDelay&gt;=1,UA58*BlendedProvPayEss+UB58*BlendedProvPayPrem+UC58*BlendedProvPayElite+UD58*BlendedProvPayEss+UE58*BlendedProvPayPrem+UF58*BlendedProvPayElite,UA59*BlendedProvPayEss+UB59*BlendedProvPayPrem+UC59*BlendedProvPayElite+UD59*BlendedProvPayEss+UE59*BlendedProvPayPrem+UF59*BlendedProvPayElite)</f>
        <v/>
      </c>
      <c r="UU59" s="12">
        <f>UM59*PaymentFee</f>
        <v/>
      </c>
      <c r="UV59" s="12">
        <f>UG59*OpsAI</f>
        <v/>
      </c>
      <c r="UW59" s="12">
        <f>MonthlyFixed</f>
        <v/>
      </c>
      <c r="UX59" s="12">
        <f>TQ59*ReferralReward</f>
        <v/>
      </c>
      <c r="UY59" s="12">
        <f>TO59</f>
        <v/>
      </c>
      <c r="UZ59" s="9">
        <f>UP59-UT59-UU59-UV59-UW59-UX59-UY59</f>
        <v/>
      </c>
      <c r="VA59" s="9">
        <f>VA58+UM59-(UT59+UU59+UV59+UW59+UX59+UY59+UR59)</f>
        <v/>
      </c>
      <c r="VB59" s="12">
        <f>IF(UG59&gt;0,UH59/UG59,0)</f>
        <v/>
      </c>
      <c r="VC59" s="11">
        <f>IF(UG58&gt;0,MAX(0,(UG58+TR59-UG59)/UG58),0)</f>
        <v/>
      </c>
      <c r="VE59" s="12" t="n">
        <v>55</v>
      </c>
      <c r="VF59" s="12">
        <f>MOD(VE59-1+LaunchMonth-1,12)+1</f>
        <v/>
      </c>
      <c r="VG59" s="12">
        <f>INT((VE59-1+LaunchMonth-1)/12)+1</f>
        <v/>
      </c>
      <c r="VH59" s="12">
        <f>VLOOKUP(VF59,SeasonTable,2,FALSE)</f>
        <v/>
      </c>
      <c r="VI59" s="12">
        <f>(1+InflationRate)^INT((VE59-1)/12)</f>
        <v/>
      </c>
      <c r="VJ59" s="11">
        <f>MonthlyChurn*VLOOKUP(VF59,ChurnSeasonTable,4,FALSE)</f>
        <v/>
      </c>
      <c r="VK59" s="12">
        <f>MIN(MAX(MktMin19plus,WI58*MktPct19plus),MAX(0,WW58-CashBuffer))</f>
        <v/>
      </c>
      <c r="VL59" s="12">
        <f>IF(VK59&gt;0,MAX(1,ROUND(VK59/CAC*VH59,0)),0)</f>
        <v/>
      </c>
      <c r="VM59" s="12">
        <f>IF(VL59&gt;0,ROUND(VL59*ReferralMix/(1-ReferralMix),0),0)</f>
        <v/>
      </c>
      <c r="VN59" s="12">
        <f>VL59+VM59</f>
        <v/>
      </c>
      <c r="VO59" s="12">
        <f>ROUND(VN59*(1-'Sens - Annual Mix'!$A$9),0)</f>
        <v/>
      </c>
      <c r="VP59" s="12">
        <f>VN59-VO59</f>
        <v/>
      </c>
      <c r="VQ59" s="12">
        <f>ROUND(VO59*EssentialMix,0)</f>
        <v/>
      </c>
      <c r="VR59" s="12">
        <f>ROUND(VO59*PremiumMix,0)</f>
        <v/>
      </c>
      <c r="VS59" s="12">
        <f>VO59-VQ59-VR59</f>
        <v/>
      </c>
      <c r="VT59" s="12">
        <f>ROUND(VP59*EssentialMix,0)</f>
        <v/>
      </c>
      <c r="VU59" s="12">
        <f>ROUND(VP59*PremiumMix,0)</f>
        <v/>
      </c>
      <c r="VV59" s="12">
        <f>VP59-VT59-VU59</f>
        <v/>
      </c>
      <c r="VW59" s="12">
        <f>VQ59+VQ58+VQ57+MAX(0,VW58-VQ58-VQ57)*(1-VJ59)</f>
        <v/>
      </c>
      <c r="VX59" s="12">
        <f>VR59+VR58+VR57+MAX(0,VX58-VR58-VR57)*(1-VJ59)</f>
        <v/>
      </c>
      <c r="VY59" s="12">
        <f>VS59+VS58+VS57+MAX(0,VY58-VS58-VS57)*(1-VJ59)</f>
        <v/>
      </c>
      <c r="VZ59" s="12">
        <f>VZ58+VT59-VT47*(AnnualChurn*VLOOKUP(VF59,ChurnSeasonTable,4,FALSE))*POWER(1-(AnnualChurn*VLOOKUP(VF59,ChurnSeasonTable,4,FALSE)),0)+VT35*(AnnualChurn*VLOOKUP(VF59,ChurnSeasonTable,4,FALSE))*POWER(1-(AnnualChurn*VLOOKUP(VF59,ChurnSeasonTable,4,FALSE)),1)+VT23*(AnnualChurn*VLOOKUP(VF59,ChurnSeasonTable,4,FALSE))*POWER(1-(AnnualChurn*VLOOKUP(VF59,ChurnSeasonTable,4,FALSE)),2)+VT11*(AnnualChurn*VLOOKUP(VF59,ChurnSeasonTable,4,FALSE))*POWER(1-(AnnualChurn*VLOOKUP(VF59,ChurnSeasonTable,4,FALSE)),3)</f>
        <v/>
      </c>
      <c r="WA59" s="12">
        <f>WA58+VU59-VU47*(AnnualChurn*VLOOKUP(VF59,ChurnSeasonTable,4,FALSE))*POWER(1-(AnnualChurn*VLOOKUP(VF59,ChurnSeasonTable,4,FALSE)),0)+VU35*(AnnualChurn*VLOOKUP(VF59,ChurnSeasonTable,4,FALSE))*POWER(1-(AnnualChurn*VLOOKUP(VF59,ChurnSeasonTable,4,FALSE)),1)+VU23*(AnnualChurn*VLOOKUP(VF59,ChurnSeasonTable,4,FALSE))*POWER(1-(AnnualChurn*VLOOKUP(VF59,ChurnSeasonTable,4,FALSE)),2)+VU11*(AnnualChurn*VLOOKUP(VF59,ChurnSeasonTable,4,FALSE))*POWER(1-(AnnualChurn*VLOOKUP(VF59,ChurnSeasonTable,4,FALSE)),3)</f>
        <v/>
      </c>
      <c r="WB59" s="12">
        <f>WB58+VV59-VV47*(AnnualChurn*VLOOKUP(VF59,ChurnSeasonTable,4,FALSE))*POWER(1-(AnnualChurn*VLOOKUP(VF59,ChurnSeasonTable,4,FALSE)),0)+VV35*(AnnualChurn*VLOOKUP(VF59,ChurnSeasonTable,4,FALSE))*POWER(1-(AnnualChurn*VLOOKUP(VF59,ChurnSeasonTable,4,FALSE)),1)+VV23*(AnnualChurn*VLOOKUP(VF59,ChurnSeasonTable,4,FALSE))*POWER(1-(AnnualChurn*VLOOKUP(VF59,ChurnSeasonTable,4,FALSE)),2)+VV11*(AnnualChurn*VLOOKUP(VF59,ChurnSeasonTable,4,FALSE))*POWER(1-(AnnualChurn*VLOOKUP(VF59,ChurnSeasonTable,4,FALSE)),3)</f>
        <v/>
      </c>
      <c r="WC59" s="12">
        <f>VW59+VX59+VY59+VZ59+WA59+WB59</f>
        <v/>
      </c>
      <c r="WD59" s="9">
        <f>VW59*BlendedPriceEssMonthly*VI59+VX59*BlendedPricePremMonthly*VI59+VY59*BlendedPriceEliteMonthly*VI59+VZ59*BlendedPriceEssAnnual*VI59/12+WA59*BlendedPricePremAnnual*VI59/12+WB59*BlendedPriceEliteAnnual*VI59/12</f>
        <v/>
      </c>
      <c r="WE59" s="9">
        <f>WD59*12</f>
        <v/>
      </c>
      <c r="WF59" s="12">
        <f>VW59*BlendedPriceEssMonthly*VI59+VX59*BlendedPricePremMonthly*VI59+VY59*BlendedPriceEliteMonthly*VI59</f>
        <v/>
      </c>
      <c r="WG59" s="12">
        <f>VT59*BlendedPriceEssAnnual*VI59+VU59*BlendedPricePremAnnual*VI59+VV59*BlendedPriceEliteAnnual*VI59</f>
        <v/>
      </c>
      <c r="WH59" s="12">
        <f>VT47*POWER(1-(AnnualChurn*VLOOKUP(VF59,ChurnSeasonTable,4,FALSE)),1)*BlendedPriceEssAnnual*VI59+VT35*POWER(1-(AnnualChurn*VLOOKUP(VF59,ChurnSeasonTable,4,FALSE)),2)*BlendedPriceEssAnnual*VI59+VT23*POWER(1-(AnnualChurn*VLOOKUP(VF59,ChurnSeasonTable,4,FALSE)),3)*BlendedPriceEssAnnual*VI59+VT11*POWER(1-(AnnualChurn*VLOOKUP(VF59,ChurnSeasonTable,4,FALSE)),4)*BlendedPriceEssAnnual*VI59+VU47*POWER(1-(AnnualChurn*VLOOKUP(VF59,ChurnSeasonTable,4,FALSE)),1)*BlendedPricePremAnnual*VI59+VU35*POWER(1-(AnnualChurn*VLOOKUP(VF59,ChurnSeasonTable,4,FALSE)),2)*BlendedPricePremAnnual*VI59+VU23*POWER(1-(AnnualChurn*VLOOKUP(VF59,ChurnSeasonTable,4,FALSE)),3)*BlendedPricePremAnnual*VI59+VU11*POWER(1-(AnnualChurn*VLOOKUP(VF59,ChurnSeasonTable,4,FALSE)),4)*BlendedPricePremAnnual*VI59+VV47*POWER(1-(AnnualChurn*VLOOKUP(VF59,ChurnSeasonTable,4,FALSE)),1)*BlendedPriceEliteAnnual*VI59+VV35*POWER(1-(AnnualChurn*VLOOKUP(VF59,ChurnSeasonTable,4,FALSE)),2)*BlendedPriceEliteAnnual*VI59+VV23*POWER(1-(AnnualChurn*VLOOKUP(VF59,ChurnSeasonTable,4,FALSE)),3)*BlendedPriceEliteAnnual*VI59+VV11*POWER(1-(AnnualChurn*VLOOKUP(VF59,ChurnSeasonTable,4,FALSE)),4)*BlendedPriceEliteAnnual*VI59</f>
        <v/>
      </c>
      <c r="WI59" s="9">
        <f>WF59+WG59+WH59</f>
        <v/>
      </c>
      <c r="WJ59" s="12">
        <f>SUM(WI48:WI59)</f>
        <v/>
      </c>
      <c r="WK59" s="12">
        <f>OR(WK58,IF(VATAgentMode,SUM($WI48:$WI59)-SUM($WP48:$WP59)&gt;=VATThreshold,SUM($WI48:$WI59)&gt;=VATThreshold))</f>
        <v/>
      </c>
      <c r="WL59" s="9">
        <f>IF(WK59,IF(VATAgentMode,WI59-((WI59-WP59)-(WI59-WP59)/(1+VATRate)),WI59/(1+VATRate)),WI59)</f>
        <v/>
      </c>
      <c r="WM59" s="12">
        <f>WI59-WL59</f>
        <v/>
      </c>
      <c r="WN59" s="12">
        <f>IF(WK59=0,0,IF(VF59=1,SUMPRODUCT(--(($VG$5:$VG59=$VG59-1)*($VF$5:$VF59&gt;=10)*($VF$5:$VF59&lt;=12)),$WM$5:$WM59),IF(VF59=4,SUMPRODUCT(--(($VG$5:$VG59=$VG59)*($VF$5:$VF59&gt;=1)*($VF$5:$VF59&lt;=3)),$WM$5:$WM59),IF(VF59=7,SUMPRODUCT(--(($VG$5:$VG59=$VG59)*($VF$5:$VF59&gt;=4)*($VF$5:$VF59&lt;=6)),$WM$5:$WM59),IF(VF59=10,SUMPRODUCT(--(($VG$5:$VG59=$VG59)*($VF$5:$VF59&gt;=7)*($VF$5:$VF59&lt;=9)),$WM$5:$WM59),0)))))</f>
        <v/>
      </c>
      <c r="WO59" s="12">
        <f>WO58+WM59-WN59</f>
        <v/>
      </c>
      <c r="WP59" s="12">
        <f>IF(ProviderDelay&gt;=1,VW58*BlendedProvPayEss+VX58*BlendedProvPayPrem+VY58*BlendedProvPayElite+VZ58*BlendedProvPayEss+WA58*BlendedProvPayPrem+WB58*BlendedProvPayElite,VW59*BlendedProvPayEss+VX59*BlendedProvPayPrem+VY59*BlendedProvPayElite+VZ59*BlendedProvPayEss+WA59*BlendedProvPayPrem+WB59*BlendedProvPayElite)</f>
        <v/>
      </c>
      <c r="WQ59" s="12">
        <f>WI59*PaymentFee</f>
        <v/>
      </c>
      <c r="WR59" s="12">
        <f>WC59*OpsAI</f>
        <v/>
      </c>
      <c r="WS59" s="12">
        <f>MonthlyFixed</f>
        <v/>
      </c>
      <c r="WT59" s="12">
        <f>VM59*ReferralReward</f>
        <v/>
      </c>
      <c r="WU59" s="12">
        <f>VK59</f>
        <v/>
      </c>
      <c r="WV59" s="9">
        <f>WL59-WP59-WQ59-WR59-WS59-WT59-WU59</f>
        <v/>
      </c>
      <c r="WW59" s="9">
        <f>WW58+WI59-(WP59+WQ59+WR59+WS59+WT59+WU59+WN59)</f>
        <v/>
      </c>
      <c r="WX59" s="12">
        <f>IF(WC59&gt;0,WD59/WC59,0)</f>
        <v/>
      </c>
      <c r="WY59" s="11">
        <f>IF(WC58&gt;0,MAX(0,(WC58+VN59-WC59)/WC58),0)</f>
        <v/>
      </c>
      <c r="XA59" s="12" t="n">
        <v>55</v>
      </c>
      <c r="XB59" s="12">
        <f>MOD(XA59-1+LaunchMonth-1,12)+1</f>
        <v/>
      </c>
      <c r="XC59" s="12">
        <f>INT((XA59-1+LaunchMonth-1)/12)+1</f>
        <v/>
      </c>
      <c r="XD59" s="12">
        <f>VLOOKUP(XB59,SeasonTable,2,FALSE)</f>
        <v/>
      </c>
      <c r="XE59" s="12">
        <f>(1+InflationRate)^INT((XA59-1)/12)</f>
        <v/>
      </c>
      <c r="XF59" s="11">
        <f>MonthlyChurn*VLOOKUP(XB59,ChurnSeasonTable,4,FALSE)</f>
        <v/>
      </c>
      <c r="XG59" s="12">
        <f>MIN(MAX(MktMin19plus,YE58*MktPct19plus),MAX(0,YS58-CashBuffer))</f>
        <v/>
      </c>
      <c r="XH59" s="12">
        <f>IF(XG59&gt;0,MAX(1,ROUND(XG59/CAC*XD59,0)),0)</f>
        <v/>
      </c>
      <c r="XI59" s="12">
        <f>IF(XH59&gt;0,ROUND(XH59*ReferralMix/(1-ReferralMix),0),0)</f>
        <v/>
      </c>
      <c r="XJ59" s="12">
        <f>XH59+XI59</f>
        <v/>
      </c>
      <c r="XK59" s="12">
        <f>ROUND(XJ59*(1-'Sens - Annual Mix'!$A$10),0)</f>
        <v/>
      </c>
      <c r="XL59" s="12">
        <f>XJ59-XK59</f>
        <v/>
      </c>
      <c r="XM59" s="12">
        <f>ROUND(XK59*EssentialMix,0)</f>
        <v/>
      </c>
      <c r="XN59" s="12">
        <f>ROUND(XK59*PremiumMix,0)</f>
        <v/>
      </c>
      <c r="XO59" s="12">
        <f>XK59-XM59-XN59</f>
        <v/>
      </c>
      <c r="XP59" s="12">
        <f>ROUND(XL59*EssentialMix,0)</f>
        <v/>
      </c>
      <c r="XQ59" s="12">
        <f>ROUND(XL59*PremiumMix,0)</f>
        <v/>
      </c>
      <c r="XR59" s="12">
        <f>XL59-XP59-XQ59</f>
        <v/>
      </c>
      <c r="XS59" s="12">
        <f>XM59+XM58+XM57+MAX(0,XS58-XM58-XM57)*(1-XF59)</f>
        <v/>
      </c>
      <c r="XT59" s="12">
        <f>XN59+XN58+XN57+MAX(0,XT58-XN58-XN57)*(1-XF59)</f>
        <v/>
      </c>
      <c r="XU59" s="12">
        <f>XO59+XO58+XO57+MAX(0,XU58-XO58-XO57)*(1-XF59)</f>
        <v/>
      </c>
      <c r="XV59" s="12">
        <f>XV58+XP59-XP47*(AnnualChurn*VLOOKUP(XB59,ChurnSeasonTable,4,FALSE))*POWER(1-(AnnualChurn*VLOOKUP(XB59,ChurnSeasonTable,4,FALSE)),0)+XP35*(AnnualChurn*VLOOKUP(XB59,ChurnSeasonTable,4,FALSE))*POWER(1-(AnnualChurn*VLOOKUP(XB59,ChurnSeasonTable,4,FALSE)),1)+XP23*(AnnualChurn*VLOOKUP(XB59,ChurnSeasonTable,4,FALSE))*POWER(1-(AnnualChurn*VLOOKUP(XB59,ChurnSeasonTable,4,FALSE)),2)+XP11*(AnnualChurn*VLOOKUP(XB59,ChurnSeasonTable,4,FALSE))*POWER(1-(AnnualChurn*VLOOKUP(XB59,ChurnSeasonTable,4,FALSE)),3)</f>
        <v/>
      </c>
      <c r="XW59" s="12">
        <f>XW58+XQ59-XQ47*(AnnualChurn*VLOOKUP(XB59,ChurnSeasonTable,4,FALSE))*POWER(1-(AnnualChurn*VLOOKUP(XB59,ChurnSeasonTable,4,FALSE)),0)+XQ35*(AnnualChurn*VLOOKUP(XB59,ChurnSeasonTable,4,FALSE))*POWER(1-(AnnualChurn*VLOOKUP(XB59,ChurnSeasonTable,4,FALSE)),1)+XQ23*(AnnualChurn*VLOOKUP(XB59,ChurnSeasonTable,4,FALSE))*POWER(1-(AnnualChurn*VLOOKUP(XB59,ChurnSeasonTable,4,FALSE)),2)+XQ11*(AnnualChurn*VLOOKUP(XB59,ChurnSeasonTable,4,FALSE))*POWER(1-(AnnualChurn*VLOOKUP(XB59,ChurnSeasonTable,4,FALSE)),3)</f>
        <v/>
      </c>
      <c r="XX59" s="12">
        <f>XX58+XR59-XR47*(AnnualChurn*VLOOKUP(XB59,ChurnSeasonTable,4,FALSE))*POWER(1-(AnnualChurn*VLOOKUP(XB59,ChurnSeasonTable,4,FALSE)),0)+XR35*(AnnualChurn*VLOOKUP(XB59,ChurnSeasonTable,4,FALSE))*POWER(1-(AnnualChurn*VLOOKUP(XB59,ChurnSeasonTable,4,FALSE)),1)+XR23*(AnnualChurn*VLOOKUP(XB59,ChurnSeasonTable,4,FALSE))*POWER(1-(AnnualChurn*VLOOKUP(XB59,ChurnSeasonTable,4,FALSE)),2)+XR11*(AnnualChurn*VLOOKUP(XB59,ChurnSeasonTable,4,FALSE))*POWER(1-(AnnualChurn*VLOOKUP(XB59,ChurnSeasonTable,4,FALSE)),3)</f>
        <v/>
      </c>
      <c r="XY59" s="12">
        <f>XS59+XT59+XU59+XV59+XW59+XX59</f>
        <v/>
      </c>
      <c r="XZ59" s="9">
        <f>XS59*BlendedPriceEssMonthly*XE59+XT59*BlendedPricePremMonthly*XE59+XU59*BlendedPriceEliteMonthly*XE59+XV59*BlendedPriceEssAnnual*XE59/12+XW59*BlendedPricePremAnnual*XE59/12+XX59*BlendedPriceEliteAnnual*XE59/12</f>
        <v/>
      </c>
      <c r="YA59" s="9">
        <f>XZ59*12</f>
        <v/>
      </c>
      <c r="YB59" s="12">
        <f>XS59*BlendedPriceEssMonthly*XE59+XT59*BlendedPricePremMonthly*XE59+XU59*BlendedPriceEliteMonthly*XE59</f>
        <v/>
      </c>
      <c r="YC59" s="12">
        <f>XP59*BlendedPriceEssAnnual*XE59+XQ59*BlendedPricePremAnnual*XE59+XR59*BlendedPriceEliteAnnual*XE59</f>
        <v/>
      </c>
      <c r="YD59" s="12">
        <f>XP47*POWER(1-(AnnualChurn*VLOOKUP(XB59,ChurnSeasonTable,4,FALSE)),1)*BlendedPriceEssAnnual*XE59+XP35*POWER(1-(AnnualChurn*VLOOKUP(XB59,ChurnSeasonTable,4,FALSE)),2)*BlendedPriceEssAnnual*XE59+XP23*POWER(1-(AnnualChurn*VLOOKUP(XB59,ChurnSeasonTable,4,FALSE)),3)*BlendedPriceEssAnnual*XE59+XP11*POWER(1-(AnnualChurn*VLOOKUP(XB59,ChurnSeasonTable,4,FALSE)),4)*BlendedPriceEssAnnual*XE59+XQ47*POWER(1-(AnnualChurn*VLOOKUP(XB59,ChurnSeasonTable,4,FALSE)),1)*BlendedPricePremAnnual*XE59+XQ35*POWER(1-(AnnualChurn*VLOOKUP(XB59,ChurnSeasonTable,4,FALSE)),2)*BlendedPricePremAnnual*XE59+XQ23*POWER(1-(AnnualChurn*VLOOKUP(XB59,ChurnSeasonTable,4,FALSE)),3)*BlendedPricePremAnnual*XE59+XQ11*POWER(1-(AnnualChurn*VLOOKUP(XB59,ChurnSeasonTable,4,FALSE)),4)*BlendedPricePremAnnual*XE59+XR47*POWER(1-(AnnualChurn*VLOOKUP(XB59,ChurnSeasonTable,4,FALSE)),1)*BlendedPriceEliteAnnual*XE59+XR35*POWER(1-(AnnualChurn*VLOOKUP(XB59,ChurnSeasonTable,4,FALSE)),2)*BlendedPriceEliteAnnual*XE59+XR23*POWER(1-(AnnualChurn*VLOOKUP(XB59,ChurnSeasonTable,4,FALSE)),3)*BlendedPriceEliteAnnual*XE59+XR11*POWER(1-(AnnualChurn*VLOOKUP(XB59,ChurnSeasonTable,4,FALSE)),4)*BlendedPriceEliteAnnual*XE59</f>
        <v/>
      </c>
      <c r="YE59" s="9">
        <f>YB59+YC59+YD59</f>
        <v/>
      </c>
      <c r="YF59" s="12">
        <f>SUM(YE48:YE59)</f>
        <v/>
      </c>
      <c r="YG59" s="12">
        <f>OR(YG58,IF(VATAgentMode,SUM($YE48:$YE59)-SUM($YL48:$YL59)&gt;=VATThreshold,SUM($YE48:$YE59)&gt;=VATThreshold))</f>
        <v/>
      </c>
      <c r="YH59" s="9">
        <f>IF(YG59,IF(VATAgentMode,YE59-((YE59-YL59)-(YE59-YL59)/(1+VATRate)),YE59/(1+VATRate)),YE59)</f>
        <v/>
      </c>
      <c r="YI59" s="12">
        <f>YE59-YH59</f>
        <v/>
      </c>
      <c r="YJ59" s="12">
        <f>IF(YG59=0,0,IF(XB59=1,SUMPRODUCT(--(($XC$5:$XC59=$XC59-1)*($XB$5:$XB59&gt;=10)*($XB$5:$XB59&lt;=12)),$YI$5:$YI59),IF(XB59=4,SUMPRODUCT(--(($XC$5:$XC59=$XC59)*($XB$5:$XB59&gt;=1)*($XB$5:$XB59&lt;=3)),$YI$5:$YI59),IF(XB59=7,SUMPRODUCT(--(($XC$5:$XC59=$XC59)*($XB$5:$XB59&gt;=4)*($XB$5:$XB59&lt;=6)),$YI$5:$YI59),IF(XB59=10,SUMPRODUCT(--(($XC$5:$XC59=$XC59)*($XB$5:$XB59&gt;=7)*($XB$5:$XB59&lt;=9)),$YI$5:$YI59),0)))))</f>
        <v/>
      </c>
      <c r="YK59" s="12">
        <f>YK58+YI59-YJ59</f>
        <v/>
      </c>
      <c r="YL59" s="12">
        <f>IF(ProviderDelay&gt;=1,XS58*BlendedProvPayEss+XT58*BlendedProvPayPrem+XU58*BlendedProvPayElite+XV58*BlendedProvPayEss+XW58*BlendedProvPayPrem+XX58*BlendedProvPayElite,XS59*BlendedProvPayEss+XT59*BlendedProvPayPrem+XU59*BlendedProvPayElite+XV59*BlendedProvPayEss+XW59*BlendedProvPayPrem+XX59*BlendedProvPayElite)</f>
        <v/>
      </c>
      <c r="YM59" s="12">
        <f>YE59*PaymentFee</f>
        <v/>
      </c>
      <c r="YN59" s="12">
        <f>XY59*OpsAI</f>
        <v/>
      </c>
      <c r="YO59" s="12">
        <f>MonthlyFixed</f>
        <v/>
      </c>
      <c r="YP59" s="12">
        <f>XI59*ReferralReward</f>
        <v/>
      </c>
      <c r="YQ59" s="12">
        <f>XG59</f>
        <v/>
      </c>
      <c r="YR59" s="9">
        <f>YH59-YL59-YM59-YN59-YO59-YP59-YQ59</f>
        <v/>
      </c>
      <c r="YS59" s="9">
        <f>YS58+YE59-(YL59+YM59+YN59+YO59+YP59+YQ59+YJ59)</f>
        <v/>
      </c>
      <c r="YT59" s="12">
        <f>IF(XY59&gt;0,XZ59/XY59,0)</f>
        <v/>
      </c>
      <c r="YU59" s="11">
        <f>IF(XY58&gt;0,MAX(0,(XY58+XJ59-XY59)/XY58),0)</f>
        <v/>
      </c>
      <c r="YW59" s="12" t="n">
        <v>55</v>
      </c>
      <c r="YX59" s="12">
        <f>MOD(YW59-1+LaunchMonth-1,12)+1</f>
        <v/>
      </c>
      <c r="YY59" s="12">
        <f>INT((YW59-1+LaunchMonth-1)/12)+1</f>
        <v/>
      </c>
      <c r="YZ59" s="12">
        <f>VLOOKUP(YX59,SeasonTable,2,FALSE)</f>
        <v/>
      </c>
      <c r="ZA59" s="12">
        <f>(1+InflationRate)^INT((YW59-1)/12)</f>
        <v/>
      </c>
      <c r="ZB59" s="11">
        <f>MonthlyChurn*VLOOKUP(YX59,ChurnSeasonTable,4,FALSE)</f>
        <v/>
      </c>
      <c r="ZC59" s="12">
        <f>MIN(MAX(MktMin19plus,AAA58*MktPct19plus),MAX(0,AAO58-CashBuffer))</f>
        <v/>
      </c>
      <c r="ZD59" s="12">
        <f>IF(ZC59&gt;0,MAX(1,ROUND(ZC59/CAC*YZ59,0)),0)</f>
        <v/>
      </c>
      <c r="ZE59" s="12">
        <f>IF(ZD59&gt;0,ROUND(ZD59*ReferralMix/(1-ReferralMix),0),0)</f>
        <v/>
      </c>
      <c r="ZF59" s="12">
        <f>ZD59+ZE59</f>
        <v/>
      </c>
      <c r="ZG59" s="12">
        <f>ROUND(ZF59*(1-'Sens - Annual Mix'!$A$11),0)</f>
        <v/>
      </c>
      <c r="ZH59" s="12">
        <f>ZF59-ZG59</f>
        <v/>
      </c>
      <c r="ZI59" s="12">
        <f>ROUND(ZG59*EssentialMix,0)</f>
        <v/>
      </c>
      <c r="ZJ59" s="12">
        <f>ROUND(ZG59*PremiumMix,0)</f>
        <v/>
      </c>
      <c r="ZK59" s="12">
        <f>ZG59-ZI59-ZJ59</f>
        <v/>
      </c>
      <c r="ZL59" s="12">
        <f>ROUND(ZH59*EssentialMix,0)</f>
        <v/>
      </c>
      <c r="ZM59" s="12">
        <f>ROUND(ZH59*PremiumMix,0)</f>
        <v/>
      </c>
      <c r="ZN59" s="12">
        <f>ZH59-ZL59-ZM59</f>
        <v/>
      </c>
      <c r="ZO59" s="12">
        <f>ZI59+ZI58+ZI57+MAX(0,ZO58-ZI58-ZI57)*(1-ZB59)</f>
        <v/>
      </c>
      <c r="ZP59" s="12">
        <f>ZJ59+ZJ58+ZJ57+MAX(0,ZP58-ZJ58-ZJ57)*(1-ZB59)</f>
        <v/>
      </c>
      <c r="ZQ59" s="12">
        <f>ZK59+ZK58+ZK57+MAX(0,ZQ58-ZK58-ZK57)*(1-ZB59)</f>
        <v/>
      </c>
      <c r="ZR59" s="12">
        <f>ZR58+ZL59-ZL47*(AnnualChurn*VLOOKUP(YX59,ChurnSeasonTable,4,FALSE))*POWER(1-(AnnualChurn*VLOOKUP(YX59,ChurnSeasonTable,4,FALSE)),0)+ZL35*(AnnualChurn*VLOOKUP(YX59,ChurnSeasonTable,4,FALSE))*POWER(1-(AnnualChurn*VLOOKUP(YX59,ChurnSeasonTable,4,FALSE)),1)+ZL23*(AnnualChurn*VLOOKUP(YX59,ChurnSeasonTable,4,FALSE))*POWER(1-(AnnualChurn*VLOOKUP(YX59,ChurnSeasonTable,4,FALSE)),2)+ZL11*(AnnualChurn*VLOOKUP(YX59,ChurnSeasonTable,4,FALSE))*POWER(1-(AnnualChurn*VLOOKUP(YX59,ChurnSeasonTable,4,FALSE)),3)</f>
        <v/>
      </c>
      <c r="ZS59" s="12">
        <f>ZS58+ZM59-ZM47*(AnnualChurn*VLOOKUP(YX59,ChurnSeasonTable,4,FALSE))*POWER(1-(AnnualChurn*VLOOKUP(YX59,ChurnSeasonTable,4,FALSE)),0)+ZM35*(AnnualChurn*VLOOKUP(YX59,ChurnSeasonTable,4,FALSE))*POWER(1-(AnnualChurn*VLOOKUP(YX59,ChurnSeasonTable,4,FALSE)),1)+ZM23*(AnnualChurn*VLOOKUP(YX59,ChurnSeasonTable,4,FALSE))*POWER(1-(AnnualChurn*VLOOKUP(YX59,ChurnSeasonTable,4,FALSE)),2)+ZM11*(AnnualChurn*VLOOKUP(YX59,ChurnSeasonTable,4,FALSE))*POWER(1-(AnnualChurn*VLOOKUP(YX59,ChurnSeasonTable,4,FALSE)),3)</f>
        <v/>
      </c>
      <c r="ZT59" s="12">
        <f>ZT58+ZN59-ZN47*(AnnualChurn*VLOOKUP(YX59,ChurnSeasonTable,4,FALSE))*POWER(1-(AnnualChurn*VLOOKUP(YX59,ChurnSeasonTable,4,FALSE)),0)+ZN35*(AnnualChurn*VLOOKUP(YX59,ChurnSeasonTable,4,FALSE))*POWER(1-(AnnualChurn*VLOOKUP(YX59,ChurnSeasonTable,4,FALSE)),1)+ZN23*(AnnualChurn*VLOOKUP(YX59,ChurnSeasonTable,4,FALSE))*POWER(1-(AnnualChurn*VLOOKUP(YX59,ChurnSeasonTable,4,FALSE)),2)+ZN11*(AnnualChurn*VLOOKUP(YX59,ChurnSeasonTable,4,FALSE))*POWER(1-(AnnualChurn*VLOOKUP(YX59,ChurnSeasonTable,4,FALSE)),3)</f>
        <v/>
      </c>
      <c r="ZU59" s="12">
        <f>ZO59+ZP59+ZQ59+ZR59+ZS59+ZT59</f>
        <v/>
      </c>
      <c r="ZV59" s="9">
        <f>ZO59*BlendedPriceEssMonthly*ZA59+ZP59*BlendedPricePremMonthly*ZA59+ZQ59*BlendedPriceEliteMonthly*ZA59+ZR59*BlendedPriceEssAnnual*ZA59/12+ZS59*BlendedPricePremAnnual*ZA59/12+ZT59*BlendedPriceEliteAnnual*ZA59/12</f>
        <v/>
      </c>
      <c r="ZW59" s="9">
        <f>ZV59*12</f>
        <v/>
      </c>
      <c r="ZX59" s="12">
        <f>ZO59*BlendedPriceEssMonthly*ZA59+ZP59*BlendedPricePremMonthly*ZA59+ZQ59*BlendedPriceEliteMonthly*ZA59</f>
        <v/>
      </c>
      <c r="ZY59" s="12">
        <f>ZL59*BlendedPriceEssAnnual*ZA59+ZM59*BlendedPricePremAnnual*ZA59+ZN59*BlendedPriceEliteAnnual*ZA59</f>
        <v/>
      </c>
      <c r="ZZ59" s="12">
        <f>ZL47*POWER(1-(AnnualChurn*VLOOKUP(YX59,ChurnSeasonTable,4,FALSE)),1)*BlendedPriceEssAnnual*ZA59+ZL35*POWER(1-(AnnualChurn*VLOOKUP(YX59,ChurnSeasonTable,4,FALSE)),2)*BlendedPriceEssAnnual*ZA59+ZL23*POWER(1-(AnnualChurn*VLOOKUP(YX59,ChurnSeasonTable,4,FALSE)),3)*BlendedPriceEssAnnual*ZA59+ZL11*POWER(1-(AnnualChurn*VLOOKUP(YX59,ChurnSeasonTable,4,FALSE)),4)*BlendedPriceEssAnnual*ZA59+ZM47*POWER(1-(AnnualChurn*VLOOKUP(YX59,ChurnSeasonTable,4,FALSE)),1)*BlendedPricePremAnnual*ZA59+ZM35*POWER(1-(AnnualChurn*VLOOKUP(YX59,ChurnSeasonTable,4,FALSE)),2)*BlendedPricePremAnnual*ZA59+ZM23*POWER(1-(AnnualChurn*VLOOKUP(YX59,ChurnSeasonTable,4,FALSE)),3)*BlendedPricePremAnnual*ZA59+ZM11*POWER(1-(AnnualChurn*VLOOKUP(YX59,ChurnSeasonTable,4,FALSE)),4)*BlendedPricePremAnnual*ZA59+ZN47*POWER(1-(AnnualChurn*VLOOKUP(YX59,ChurnSeasonTable,4,FALSE)),1)*BlendedPriceEliteAnnual*ZA59+ZN35*POWER(1-(AnnualChurn*VLOOKUP(YX59,ChurnSeasonTable,4,FALSE)),2)*BlendedPriceEliteAnnual*ZA59+ZN23*POWER(1-(AnnualChurn*VLOOKUP(YX59,ChurnSeasonTable,4,FALSE)),3)*BlendedPriceEliteAnnual*ZA59+ZN11*POWER(1-(AnnualChurn*VLOOKUP(YX59,ChurnSeasonTable,4,FALSE)),4)*BlendedPriceEliteAnnual*ZA59</f>
        <v/>
      </c>
      <c r="AAA59" s="9">
        <f>ZX59+ZY59+ZZ59</f>
        <v/>
      </c>
      <c r="AAB59" s="12">
        <f>SUM(AAA48:AAA59)</f>
        <v/>
      </c>
      <c r="AAC59" s="12">
        <f>OR(AAC58,IF(VATAgentMode,SUM($AAA48:$AAA59)-SUM($AAH48:$AAH59)&gt;=VATThreshold,SUM($AAA48:$AAA59)&gt;=VATThreshold))</f>
        <v/>
      </c>
      <c r="AAD59" s="9">
        <f>IF(AAC59,IF(VATAgentMode,AAA59-((AAA59-AAH59)-(AAA59-AAH59)/(1+VATRate)),AAA59/(1+VATRate)),AAA59)</f>
        <v/>
      </c>
      <c r="AAE59" s="12">
        <f>AAA59-AAD59</f>
        <v/>
      </c>
      <c r="AAF59" s="12">
        <f>IF(AAC59=0,0,IF(YX59=1,SUMPRODUCT(--(($YY$5:$YY59=$YY59-1)*($YX$5:$YX59&gt;=10)*($YX$5:$YX59&lt;=12)),$AAE$5:$AAE59),IF(YX59=4,SUMPRODUCT(--(($YY$5:$YY59=$YY59)*($YX$5:$YX59&gt;=1)*($YX$5:$YX59&lt;=3)),$AAE$5:$AAE59),IF(YX59=7,SUMPRODUCT(--(($YY$5:$YY59=$YY59)*($YX$5:$YX59&gt;=4)*($YX$5:$YX59&lt;=6)),$AAE$5:$AAE59),IF(YX59=10,SUMPRODUCT(--(($YY$5:$YY59=$YY59)*($YX$5:$YX59&gt;=7)*($YX$5:$YX59&lt;=9)),$AAE$5:$AAE59),0)))))</f>
        <v/>
      </c>
      <c r="AAG59" s="12">
        <f>AAG58+AAE59-AAF59</f>
        <v/>
      </c>
      <c r="AAH59" s="12">
        <f>IF(ProviderDelay&gt;=1,ZO58*BlendedProvPayEss+ZP58*BlendedProvPayPrem+ZQ58*BlendedProvPayElite+ZR58*BlendedProvPayEss+ZS58*BlendedProvPayPrem+ZT58*BlendedProvPayElite,ZO59*BlendedProvPayEss+ZP59*BlendedProvPayPrem+ZQ59*BlendedProvPayElite+ZR59*BlendedProvPayEss+ZS59*BlendedProvPayPrem+ZT59*BlendedProvPayElite)</f>
        <v/>
      </c>
      <c r="AAI59" s="12">
        <f>AAA59*PaymentFee</f>
        <v/>
      </c>
      <c r="AAJ59" s="12">
        <f>ZU59*OpsAI</f>
        <v/>
      </c>
      <c r="AAK59" s="12">
        <f>MonthlyFixed</f>
        <v/>
      </c>
      <c r="AAL59" s="12">
        <f>ZE59*ReferralReward</f>
        <v/>
      </c>
      <c r="AAM59" s="12">
        <f>ZC59</f>
        <v/>
      </c>
      <c r="AAN59" s="9">
        <f>AAD59-AAH59-AAI59-AAJ59-AAK59-AAL59-AAM59</f>
        <v/>
      </c>
      <c r="AAO59" s="9">
        <f>AAO58+AAA59-(AAH59+AAI59+AAJ59+AAK59+AAL59+AAM59+AAF59)</f>
        <v/>
      </c>
      <c r="AAP59" s="12">
        <f>IF(ZU59&gt;0,ZV59/ZU59,0)</f>
        <v/>
      </c>
      <c r="AAQ59" s="11">
        <f>IF(ZU58&gt;0,MAX(0,(ZU58+ZF59-ZU59)/ZU58),0)</f>
        <v/>
      </c>
      <c r="AAS59" s="12" t="n">
        <v>55</v>
      </c>
      <c r="AAT59" s="12">
        <f>MOD(AAS59-1+LaunchMonth-1,12)+1</f>
        <v/>
      </c>
      <c r="AAU59" s="12">
        <f>INT((AAS59-1+LaunchMonth-1)/12)+1</f>
        <v/>
      </c>
      <c r="AAV59" s="12">
        <f>VLOOKUP(AAT59,SeasonTable,2,FALSE)</f>
        <v/>
      </c>
      <c r="AAW59" s="12">
        <f>(1+InflationRate)^INT((AAS59-1)/12)</f>
        <v/>
      </c>
      <c r="AAX59" s="11">
        <f>MonthlyChurn*VLOOKUP(AAT59,ChurnSeasonTable,4,FALSE)</f>
        <v/>
      </c>
      <c r="AAY59" s="12">
        <f>MIN(MAX(MktMin19plus,ABW58*MktPct19plus),MAX(0,ACK58-CashBuffer))</f>
        <v/>
      </c>
      <c r="AAZ59" s="12">
        <f>IF(AAY59&gt;0,MAX(1,ROUND(AAY59/CAC*AAV59,0)),0)</f>
        <v/>
      </c>
      <c r="ABA59" s="12">
        <f>IF(AAZ59&gt;0,ROUND(AAZ59*ReferralMix/(1-ReferralMix),0),0)</f>
        <v/>
      </c>
      <c r="ABB59" s="12">
        <f>AAZ59+ABA59</f>
        <v/>
      </c>
      <c r="ABC59" s="12">
        <f>ROUND(ABB59*(1-'Sens - Annual Mix'!$A$12),0)</f>
        <v/>
      </c>
      <c r="ABD59" s="12">
        <f>ABB59-ABC59</f>
        <v/>
      </c>
      <c r="ABE59" s="12">
        <f>ROUND(ABC59*EssentialMix,0)</f>
        <v/>
      </c>
      <c r="ABF59" s="12">
        <f>ROUND(ABC59*PremiumMix,0)</f>
        <v/>
      </c>
      <c r="ABG59" s="12">
        <f>ABC59-ABE59-ABF59</f>
        <v/>
      </c>
      <c r="ABH59" s="12">
        <f>ROUND(ABD59*EssentialMix,0)</f>
        <v/>
      </c>
      <c r="ABI59" s="12">
        <f>ROUND(ABD59*PremiumMix,0)</f>
        <v/>
      </c>
      <c r="ABJ59" s="12">
        <f>ABD59-ABH59-ABI59</f>
        <v/>
      </c>
      <c r="ABK59" s="12">
        <f>ABE59+ABE58+ABE57+MAX(0,ABK58-ABE58-ABE57)*(1-AAX59)</f>
        <v/>
      </c>
      <c r="ABL59" s="12">
        <f>ABF59+ABF58+ABF57+MAX(0,ABL58-ABF58-ABF57)*(1-AAX59)</f>
        <v/>
      </c>
      <c r="ABM59" s="12">
        <f>ABG59+ABG58+ABG57+MAX(0,ABM58-ABG58-ABG57)*(1-AAX59)</f>
        <v/>
      </c>
      <c r="ABN59" s="12">
        <f>ABN58+ABH59-ABH47*(AnnualChurn*VLOOKUP(AAT59,ChurnSeasonTable,4,FALSE))*POWER(1-(AnnualChurn*VLOOKUP(AAT59,ChurnSeasonTable,4,FALSE)),0)+ABH35*(AnnualChurn*VLOOKUP(AAT59,ChurnSeasonTable,4,FALSE))*POWER(1-(AnnualChurn*VLOOKUP(AAT59,ChurnSeasonTable,4,FALSE)),1)+ABH23*(AnnualChurn*VLOOKUP(AAT59,ChurnSeasonTable,4,FALSE))*POWER(1-(AnnualChurn*VLOOKUP(AAT59,ChurnSeasonTable,4,FALSE)),2)+ABH11*(AnnualChurn*VLOOKUP(AAT59,ChurnSeasonTable,4,FALSE))*POWER(1-(AnnualChurn*VLOOKUP(AAT59,ChurnSeasonTable,4,FALSE)),3)</f>
        <v/>
      </c>
      <c r="ABO59" s="12">
        <f>ABO58+ABI59-ABI47*(AnnualChurn*VLOOKUP(AAT59,ChurnSeasonTable,4,FALSE))*POWER(1-(AnnualChurn*VLOOKUP(AAT59,ChurnSeasonTable,4,FALSE)),0)+ABI35*(AnnualChurn*VLOOKUP(AAT59,ChurnSeasonTable,4,FALSE))*POWER(1-(AnnualChurn*VLOOKUP(AAT59,ChurnSeasonTable,4,FALSE)),1)+ABI23*(AnnualChurn*VLOOKUP(AAT59,ChurnSeasonTable,4,FALSE))*POWER(1-(AnnualChurn*VLOOKUP(AAT59,ChurnSeasonTable,4,FALSE)),2)+ABI11*(AnnualChurn*VLOOKUP(AAT59,ChurnSeasonTable,4,FALSE))*POWER(1-(AnnualChurn*VLOOKUP(AAT59,ChurnSeasonTable,4,FALSE)),3)</f>
        <v/>
      </c>
      <c r="ABP59" s="12">
        <f>ABP58+ABJ59-ABJ47*(AnnualChurn*VLOOKUP(AAT59,ChurnSeasonTable,4,FALSE))*POWER(1-(AnnualChurn*VLOOKUP(AAT59,ChurnSeasonTable,4,FALSE)),0)+ABJ35*(AnnualChurn*VLOOKUP(AAT59,ChurnSeasonTable,4,FALSE))*POWER(1-(AnnualChurn*VLOOKUP(AAT59,ChurnSeasonTable,4,FALSE)),1)+ABJ23*(AnnualChurn*VLOOKUP(AAT59,ChurnSeasonTable,4,FALSE))*POWER(1-(AnnualChurn*VLOOKUP(AAT59,ChurnSeasonTable,4,FALSE)),2)+ABJ11*(AnnualChurn*VLOOKUP(AAT59,ChurnSeasonTable,4,FALSE))*POWER(1-(AnnualChurn*VLOOKUP(AAT59,ChurnSeasonTable,4,FALSE)),3)</f>
        <v/>
      </c>
      <c r="ABQ59" s="12">
        <f>ABK59+ABL59+ABM59+ABN59+ABO59+ABP59</f>
        <v/>
      </c>
      <c r="ABR59" s="9">
        <f>ABK59*BlendedPriceEssMonthly*AAW59+ABL59*BlendedPricePremMonthly*AAW59+ABM59*BlendedPriceEliteMonthly*AAW59+ABN59*BlendedPriceEssAnnual*AAW59/12+ABO59*BlendedPricePremAnnual*AAW59/12+ABP59*BlendedPriceEliteAnnual*AAW59/12</f>
        <v/>
      </c>
      <c r="ABS59" s="9">
        <f>ABR59*12</f>
        <v/>
      </c>
      <c r="ABT59" s="12">
        <f>ABK59*BlendedPriceEssMonthly*AAW59+ABL59*BlendedPricePremMonthly*AAW59+ABM59*BlendedPriceEliteMonthly*AAW59</f>
        <v/>
      </c>
      <c r="ABU59" s="12">
        <f>ABH59*BlendedPriceEssAnnual*AAW59+ABI59*BlendedPricePremAnnual*AAW59+ABJ59*BlendedPriceEliteAnnual*AAW59</f>
        <v/>
      </c>
      <c r="ABV59" s="12">
        <f>ABH47*POWER(1-(AnnualChurn*VLOOKUP(AAT59,ChurnSeasonTable,4,FALSE)),1)*BlendedPriceEssAnnual*AAW59+ABH35*POWER(1-(AnnualChurn*VLOOKUP(AAT59,ChurnSeasonTable,4,FALSE)),2)*BlendedPriceEssAnnual*AAW59+ABH23*POWER(1-(AnnualChurn*VLOOKUP(AAT59,ChurnSeasonTable,4,FALSE)),3)*BlendedPriceEssAnnual*AAW59+ABH11*POWER(1-(AnnualChurn*VLOOKUP(AAT59,ChurnSeasonTable,4,FALSE)),4)*BlendedPriceEssAnnual*AAW59+ABI47*POWER(1-(AnnualChurn*VLOOKUP(AAT59,ChurnSeasonTable,4,FALSE)),1)*BlendedPricePremAnnual*AAW59+ABI35*POWER(1-(AnnualChurn*VLOOKUP(AAT59,ChurnSeasonTable,4,FALSE)),2)*BlendedPricePremAnnual*AAW59+ABI23*POWER(1-(AnnualChurn*VLOOKUP(AAT59,ChurnSeasonTable,4,FALSE)),3)*BlendedPricePremAnnual*AAW59+ABI11*POWER(1-(AnnualChurn*VLOOKUP(AAT59,ChurnSeasonTable,4,FALSE)),4)*BlendedPricePremAnnual*AAW59+ABJ47*POWER(1-(AnnualChurn*VLOOKUP(AAT59,ChurnSeasonTable,4,FALSE)),1)*BlendedPriceEliteAnnual*AAW59+ABJ35*POWER(1-(AnnualChurn*VLOOKUP(AAT59,ChurnSeasonTable,4,FALSE)),2)*BlendedPriceEliteAnnual*AAW59+ABJ23*POWER(1-(AnnualChurn*VLOOKUP(AAT59,ChurnSeasonTable,4,FALSE)),3)*BlendedPriceEliteAnnual*AAW59+ABJ11*POWER(1-(AnnualChurn*VLOOKUP(AAT59,ChurnSeasonTable,4,FALSE)),4)*BlendedPriceEliteAnnual*AAW59</f>
        <v/>
      </c>
      <c r="ABW59" s="9">
        <f>ABT59+ABU59+ABV59</f>
        <v/>
      </c>
      <c r="ABX59" s="12">
        <f>SUM(ABW48:ABW59)</f>
        <v/>
      </c>
      <c r="ABY59" s="12">
        <f>OR(ABY58,IF(VATAgentMode,SUM($ABW48:$ABW59)-SUM($ACD48:$ACD59)&gt;=VATThreshold,SUM($ABW48:$ABW59)&gt;=VATThreshold))</f>
        <v/>
      </c>
      <c r="ABZ59" s="9">
        <f>IF(ABY59,IF(VATAgentMode,ABW59-((ABW59-ACD59)-(ABW59-ACD59)/(1+VATRate)),ABW59/(1+VATRate)),ABW59)</f>
        <v/>
      </c>
      <c r="ACA59" s="12">
        <f>ABW59-ABZ59</f>
        <v/>
      </c>
      <c r="ACB59" s="12">
        <f>IF(ABY59=0,0,IF(AAT59=1,SUMPRODUCT(--(($AAU$5:$AAU59=$AAU59-1)*($AAT$5:$AAT59&gt;=10)*($AAT$5:$AAT59&lt;=12)),$ACA$5:$ACA59),IF(AAT59=4,SUMPRODUCT(--(($AAU$5:$AAU59=$AAU59)*($AAT$5:$AAT59&gt;=1)*($AAT$5:$AAT59&lt;=3)),$ACA$5:$ACA59),IF(AAT59=7,SUMPRODUCT(--(($AAU$5:$AAU59=$AAU59)*($AAT$5:$AAT59&gt;=4)*($AAT$5:$AAT59&lt;=6)),$ACA$5:$ACA59),IF(AAT59=10,SUMPRODUCT(--(($AAU$5:$AAU59=$AAU59)*($AAT$5:$AAT59&gt;=7)*($AAT$5:$AAT59&lt;=9)),$ACA$5:$ACA59),0)))))</f>
        <v/>
      </c>
      <c r="ACC59" s="12">
        <f>ACC58+ACA59-ACB59</f>
        <v/>
      </c>
      <c r="ACD59" s="12">
        <f>IF(ProviderDelay&gt;=1,ABK58*BlendedProvPayEss+ABL58*BlendedProvPayPrem+ABM58*BlendedProvPayElite+ABN58*BlendedProvPayEss+ABO58*BlendedProvPayPrem+ABP58*BlendedProvPayElite,ABK59*BlendedProvPayEss+ABL59*BlendedProvPayPrem+ABM59*BlendedProvPayElite+ABN59*BlendedProvPayEss+ABO59*BlendedProvPayPrem+ABP59*BlendedProvPayElite)</f>
        <v/>
      </c>
      <c r="ACE59" s="12">
        <f>ABW59*PaymentFee</f>
        <v/>
      </c>
      <c r="ACF59" s="12">
        <f>ABQ59*OpsAI</f>
        <v/>
      </c>
      <c r="ACG59" s="12">
        <f>MonthlyFixed</f>
        <v/>
      </c>
      <c r="ACH59" s="12">
        <f>ABA59*ReferralReward</f>
        <v/>
      </c>
      <c r="ACI59" s="12">
        <f>AAY59</f>
        <v/>
      </c>
      <c r="ACJ59" s="9">
        <f>ABZ59-ACD59-ACE59-ACF59-ACG59-ACH59-ACI59</f>
        <v/>
      </c>
      <c r="ACK59" s="9">
        <f>ACK58+ABW59-(ACD59+ACE59+ACF59+ACG59+ACH59+ACI59+ACB59)</f>
        <v/>
      </c>
      <c r="ACL59" s="12">
        <f>IF(ABQ59&gt;0,ABR59/ABQ59,0)</f>
        <v/>
      </c>
      <c r="ACM59" s="11">
        <f>IF(ABQ58&gt;0,MAX(0,(ABQ58+ABB59-ABQ59)/ABQ58),0)</f>
        <v/>
      </c>
      <c r="ACO59" s="12" t="n">
        <v>55</v>
      </c>
      <c r="ACP59" s="12">
        <f>MOD(ACO59-1+LaunchMonth-1,12)+1</f>
        <v/>
      </c>
      <c r="ACQ59" s="12">
        <f>INT((ACO59-1+LaunchMonth-1)/12)+1</f>
        <v/>
      </c>
      <c r="ACR59" s="12">
        <f>VLOOKUP(ACP59,SeasonTable,2,FALSE)</f>
        <v/>
      </c>
      <c r="ACS59" s="12">
        <f>(1+InflationRate)^INT((ACO59-1)/12)</f>
        <v/>
      </c>
      <c r="ACT59" s="11">
        <f>MonthlyChurn*VLOOKUP(ACP59,ChurnSeasonTable,4,FALSE)</f>
        <v/>
      </c>
      <c r="ACU59" s="12">
        <f>MIN(MAX(MktMin19plus,ADS58*MktPct19plus),MAX(0,AEG58-CashBuffer))</f>
        <v/>
      </c>
      <c r="ACV59" s="12">
        <f>IF(ACU59&gt;0,MAX(1,ROUND(ACU59/CAC*ACR59,0)),0)</f>
        <v/>
      </c>
      <c r="ACW59" s="12">
        <f>IF(ACV59&gt;0,ROUND(ACV59*ReferralMix/(1-ReferralMix),0),0)</f>
        <v/>
      </c>
      <c r="ACX59" s="12">
        <f>ACV59+ACW59</f>
        <v/>
      </c>
      <c r="ACY59" s="12">
        <f>ROUND(ACX59*(1-'Sens - Annual Mix'!$A$13),0)</f>
        <v/>
      </c>
      <c r="ACZ59" s="12">
        <f>ACX59-ACY59</f>
        <v/>
      </c>
      <c r="ADA59" s="12">
        <f>ROUND(ACY59*EssentialMix,0)</f>
        <v/>
      </c>
      <c r="ADB59" s="12">
        <f>ROUND(ACY59*PremiumMix,0)</f>
        <v/>
      </c>
      <c r="ADC59" s="12">
        <f>ACY59-ADA59-ADB59</f>
        <v/>
      </c>
      <c r="ADD59" s="12">
        <f>ROUND(ACZ59*EssentialMix,0)</f>
        <v/>
      </c>
      <c r="ADE59" s="12">
        <f>ROUND(ACZ59*PremiumMix,0)</f>
        <v/>
      </c>
      <c r="ADF59" s="12">
        <f>ACZ59-ADD59-ADE59</f>
        <v/>
      </c>
      <c r="ADG59" s="12">
        <f>ADA59+ADA58+ADA57+MAX(0,ADG58-ADA58-ADA57)*(1-ACT59)</f>
        <v/>
      </c>
      <c r="ADH59" s="12">
        <f>ADB59+ADB58+ADB57+MAX(0,ADH58-ADB58-ADB57)*(1-ACT59)</f>
        <v/>
      </c>
      <c r="ADI59" s="12">
        <f>ADC59+ADC58+ADC57+MAX(0,ADI58-ADC58-ADC57)*(1-ACT59)</f>
        <v/>
      </c>
      <c r="ADJ59" s="12">
        <f>ADJ58+ADD59-ADD47*(AnnualChurn*VLOOKUP(ACP59,ChurnSeasonTable,4,FALSE))*POWER(1-(AnnualChurn*VLOOKUP(ACP59,ChurnSeasonTable,4,FALSE)),0)+ADD35*(AnnualChurn*VLOOKUP(ACP59,ChurnSeasonTable,4,FALSE))*POWER(1-(AnnualChurn*VLOOKUP(ACP59,ChurnSeasonTable,4,FALSE)),1)+ADD23*(AnnualChurn*VLOOKUP(ACP59,ChurnSeasonTable,4,FALSE))*POWER(1-(AnnualChurn*VLOOKUP(ACP59,ChurnSeasonTable,4,FALSE)),2)+ADD11*(AnnualChurn*VLOOKUP(ACP59,ChurnSeasonTable,4,FALSE))*POWER(1-(AnnualChurn*VLOOKUP(ACP59,ChurnSeasonTable,4,FALSE)),3)</f>
        <v/>
      </c>
      <c r="ADK59" s="12">
        <f>ADK58+ADE59-ADE47*(AnnualChurn*VLOOKUP(ACP59,ChurnSeasonTable,4,FALSE))*POWER(1-(AnnualChurn*VLOOKUP(ACP59,ChurnSeasonTable,4,FALSE)),0)+ADE35*(AnnualChurn*VLOOKUP(ACP59,ChurnSeasonTable,4,FALSE))*POWER(1-(AnnualChurn*VLOOKUP(ACP59,ChurnSeasonTable,4,FALSE)),1)+ADE23*(AnnualChurn*VLOOKUP(ACP59,ChurnSeasonTable,4,FALSE))*POWER(1-(AnnualChurn*VLOOKUP(ACP59,ChurnSeasonTable,4,FALSE)),2)+ADE11*(AnnualChurn*VLOOKUP(ACP59,ChurnSeasonTable,4,FALSE))*POWER(1-(AnnualChurn*VLOOKUP(ACP59,ChurnSeasonTable,4,FALSE)),3)</f>
        <v/>
      </c>
      <c r="ADL59" s="12">
        <f>ADL58+ADF59-ADF47*(AnnualChurn*VLOOKUP(ACP59,ChurnSeasonTable,4,FALSE))*POWER(1-(AnnualChurn*VLOOKUP(ACP59,ChurnSeasonTable,4,FALSE)),0)+ADF35*(AnnualChurn*VLOOKUP(ACP59,ChurnSeasonTable,4,FALSE))*POWER(1-(AnnualChurn*VLOOKUP(ACP59,ChurnSeasonTable,4,FALSE)),1)+ADF23*(AnnualChurn*VLOOKUP(ACP59,ChurnSeasonTable,4,FALSE))*POWER(1-(AnnualChurn*VLOOKUP(ACP59,ChurnSeasonTable,4,FALSE)),2)+ADF11*(AnnualChurn*VLOOKUP(ACP59,ChurnSeasonTable,4,FALSE))*POWER(1-(AnnualChurn*VLOOKUP(ACP59,ChurnSeasonTable,4,FALSE)),3)</f>
        <v/>
      </c>
      <c r="ADM59" s="12">
        <f>ADG59+ADH59+ADI59+ADJ59+ADK59+ADL59</f>
        <v/>
      </c>
      <c r="ADN59" s="9">
        <f>ADG59*BlendedPriceEssMonthly*ACS59+ADH59*BlendedPricePremMonthly*ACS59+ADI59*BlendedPriceEliteMonthly*ACS59+ADJ59*BlendedPriceEssAnnual*ACS59/12+ADK59*BlendedPricePremAnnual*ACS59/12+ADL59*BlendedPriceEliteAnnual*ACS59/12</f>
        <v/>
      </c>
      <c r="ADO59" s="9">
        <f>ADN59*12</f>
        <v/>
      </c>
      <c r="ADP59" s="12">
        <f>ADG59*BlendedPriceEssMonthly*ACS59+ADH59*BlendedPricePremMonthly*ACS59+ADI59*BlendedPriceEliteMonthly*ACS59</f>
        <v/>
      </c>
      <c r="ADQ59" s="12">
        <f>ADD59*BlendedPriceEssAnnual*ACS59+ADE59*BlendedPricePremAnnual*ACS59+ADF59*BlendedPriceEliteAnnual*ACS59</f>
        <v/>
      </c>
      <c r="ADR59" s="12">
        <f>ADD47*POWER(1-(AnnualChurn*VLOOKUP(ACP59,ChurnSeasonTable,4,FALSE)),1)*BlendedPriceEssAnnual*ACS59+ADD35*POWER(1-(AnnualChurn*VLOOKUP(ACP59,ChurnSeasonTable,4,FALSE)),2)*BlendedPriceEssAnnual*ACS59+ADD23*POWER(1-(AnnualChurn*VLOOKUP(ACP59,ChurnSeasonTable,4,FALSE)),3)*BlendedPriceEssAnnual*ACS59+ADD11*POWER(1-(AnnualChurn*VLOOKUP(ACP59,ChurnSeasonTable,4,FALSE)),4)*BlendedPriceEssAnnual*ACS59+ADE47*POWER(1-(AnnualChurn*VLOOKUP(ACP59,ChurnSeasonTable,4,FALSE)),1)*BlendedPricePremAnnual*ACS59+ADE35*POWER(1-(AnnualChurn*VLOOKUP(ACP59,ChurnSeasonTable,4,FALSE)),2)*BlendedPricePremAnnual*ACS59+ADE23*POWER(1-(AnnualChurn*VLOOKUP(ACP59,ChurnSeasonTable,4,FALSE)),3)*BlendedPricePremAnnual*ACS59+ADE11*POWER(1-(AnnualChurn*VLOOKUP(ACP59,ChurnSeasonTable,4,FALSE)),4)*BlendedPricePremAnnual*ACS59+ADF47*POWER(1-(AnnualChurn*VLOOKUP(ACP59,ChurnSeasonTable,4,FALSE)),1)*BlendedPriceEliteAnnual*ACS59+ADF35*POWER(1-(AnnualChurn*VLOOKUP(ACP59,ChurnSeasonTable,4,FALSE)),2)*BlendedPriceEliteAnnual*ACS59+ADF23*POWER(1-(AnnualChurn*VLOOKUP(ACP59,ChurnSeasonTable,4,FALSE)),3)*BlendedPriceEliteAnnual*ACS59+ADF11*POWER(1-(AnnualChurn*VLOOKUP(ACP59,ChurnSeasonTable,4,FALSE)),4)*BlendedPriceEliteAnnual*ACS59</f>
        <v/>
      </c>
      <c r="ADS59" s="9">
        <f>ADP59+ADQ59+ADR59</f>
        <v/>
      </c>
      <c r="ADT59" s="12">
        <f>SUM(ADS48:ADS59)</f>
        <v/>
      </c>
      <c r="ADU59" s="12">
        <f>OR(ADU58,IF(VATAgentMode,SUM($ADS48:$ADS59)-SUM($ADZ48:$ADZ59)&gt;=VATThreshold,SUM($ADS48:$ADS59)&gt;=VATThreshold))</f>
        <v/>
      </c>
      <c r="ADV59" s="9">
        <f>IF(ADU59,IF(VATAgentMode,ADS59-((ADS59-ADZ59)-(ADS59-ADZ59)/(1+VATRate)),ADS59/(1+VATRate)),ADS59)</f>
        <v/>
      </c>
      <c r="ADW59" s="12">
        <f>ADS59-ADV59</f>
        <v/>
      </c>
      <c r="ADX59" s="12">
        <f>IF(ADU59=0,0,IF(ACP59=1,SUMPRODUCT(--(($ACQ$5:$ACQ59=$ACQ59-1)*($ACP$5:$ACP59&gt;=10)*($ACP$5:$ACP59&lt;=12)),$ADW$5:$ADW59),IF(ACP59=4,SUMPRODUCT(--(($ACQ$5:$ACQ59=$ACQ59)*($ACP$5:$ACP59&gt;=1)*($ACP$5:$ACP59&lt;=3)),$ADW$5:$ADW59),IF(ACP59=7,SUMPRODUCT(--(($ACQ$5:$ACQ59=$ACQ59)*($ACP$5:$ACP59&gt;=4)*($ACP$5:$ACP59&lt;=6)),$ADW$5:$ADW59),IF(ACP59=10,SUMPRODUCT(--(($ACQ$5:$ACQ59=$ACQ59)*($ACP$5:$ACP59&gt;=7)*($ACP$5:$ACP59&lt;=9)),$ADW$5:$ADW59),0)))))</f>
        <v/>
      </c>
      <c r="ADY59" s="12">
        <f>ADY58+ADW59-ADX59</f>
        <v/>
      </c>
      <c r="ADZ59" s="12">
        <f>IF(ProviderDelay&gt;=1,ADG58*BlendedProvPayEss+ADH58*BlendedProvPayPrem+ADI58*BlendedProvPayElite+ADJ58*BlendedProvPayEss+ADK58*BlendedProvPayPrem+ADL58*BlendedProvPayElite,ADG59*BlendedProvPayEss+ADH59*BlendedProvPayPrem+ADI59*BlendedProvPayElite+ADJ59*BlendedProvPayEss+ADK59*BlendedProvPayPrem+ADL59*BlendedProvPayElite)</f>
        <v/>
      </c>
      <c r="AEA59" s="12">
        <f>ADS59*PaymentFee</f>
        <v/>
      </c>
      <c r="AEB59" s="12">
        <f>ADM59*OpsAI</f>
        <v/>
      </c>
      <c r="AEC59" s="12">
        <f>MonthlyFixed</f>
        <v/>
      </c>
      <c r="AED59" s="12">
        <f>ACW59*ReferralReward</f>
        <v/>
      </c>
      <c r="AEE59" s="12">
        <f>ACU59</f>
        <v/>
      </c>
      <c r="AEF59" s="9">
        <f>ADV59-ADZ59-AEA59-AEB59-AEC59-AED59-AEE59</f>
        <v/>
      </c>
      <c r="AEG59" s="9">
        <f>AEG58+ADS59-(ADZ59+AEA59+AEB59+AEC59+AED59+AEE59+ADX59)</f>
        <v/>
      </c>
      <c r="AEH59" s="12">
        <f>IF(ADM59&gt;0,ADN59/ADM59,0)</f>
        <v/>
      </c>
      <c r="AEI59" s="11">
        <f>IF(ADM58&gt;0,MAX(0,(ADM58+ACX59-ADM59)/ADM58),0)</f>
        <v/>
      </c>
      <c r="AEK59" s="12" t="n">
        <v>55</v>
      </c>
      <c r="AEL59" s="12">
        <f>MOD(AEK59-1+LaunchMonth-1,12)+1</f>
        <v/>
      </c>
      <c r="AEM59" s="12">
        <f>INT((AEK59-1+LaunchMonth-1)/12)+1</f>
        <v/>
      </c>
      <c r="AEN59" s="12">
        <f>VLOOKUP(AEL59,SeasonTable,2,FALSE)</f>
        <v/>
      </c>
      <c r="AEO59" s="12">
        <f>(1+InflationRate)^INT((AEK59-1)/12)</f>
        <v/>
      </c>
      <c r="AEP59" s="11">
        <f>MonthlyChurn*VLOOKUP(AEL59,ChurnSeasonTable,4,FALSE)</f>
        <v/>
      </c>
      <c r="AEQ59" s="12">
        <f>MIN(MAX(MktMin19plus,AFO58*MktPct19plus),MAX(0,AGC58-CashBuffer))</f>
        <v/>
      </c>
      <c r="AER59" s="12">
        <f>IF(AEQ59&gt;0,MAX(1,ROUND(AEQ59/CAC*AEN59,0)),0)</f>
        <v/>
      </c>
      <c r="AES59" s="12">
        <f>IF(AER59&gt;0,ROUND(AER59*ReferralMix/(1-ReferralMix),0),0)</f>
        <v/>
      </c>
      <c r="AET59" s="12">
        <f>AER59+AES59</f>
        <v/>
      </c>
      <c r="AEU59" s="12">
        <f>ROUND(AET59*(1-'Sens - Annual Mix'!$A$14),0)</f>
        <v/>
      </c>
      <c r="AEV59" s="12">
        <f>AET59-AEU59</f>
        <v/>
      </c>
      <c r="AEW59" s="12">
        <f>ROUND(AEU59*EssentialMix,0)</f>
        <v/>
      </c>
      <c r="AEX59" s="12">
        <f>ROUND(AEU59*PremiumMix,0)</f>
        <v/>
      </c>
      <c r="AEY59" s="12">
        <f>AEU59-AEW59-AEX59</f>
        <v/>
      </c>
      <c r="AEZ59" s="12">
        <f>ROUND(AEV59*EssentialMix,0)</f>
        <v/>
      </c>
      <c r="AFA59" s="12">
        <f>ROUND(AEV59*PremiumMix,0)</f>
        <v/>
      </c>
      <c r="AFB59" s="12">
        <f>AEV59-AEZ59-AFA59</f>
        <v/>
      </c>
      <c r="AFC59" s="12">
        <f>AEW59+AEW58+AEW57+MAX(0,AFC58-AEW58-AEW57)*(1-AEP59)</f>
        <v/>
      </c>
      <c r="AFD59" s="12">
        <f>AEX59+AEX58+AEX57+MAX(0,AFD58-AEX58-AEX57)*(1-AEP59)</f>
        <v/>
      </c>
      <c r="AFE59" s="12">
        <f>AEY59+AEY58+AEY57+MAX(0,AFE58-AEY58-AEY57)*(1-AEP59)</f>
        <v/>
      </c>
      <c r="AFF59" s="12">
        <f>AFF58+AEZ59-AEZ47*(AnnualChurn*VLOOKUP(AEL59,ChurnSeasonTable,4,FALSE))*POWER(1-(AnnualChurn*VLOOKUP(AEL59,ChurnSeasonTable,4,FALSE)),0)+AEZ35*(AnnualChurn*VLOOKUP(AEL59,ChurnSeasonTable,4,FALSE))*POWER(1-(AnnualChurn*VLOOKUP(AEL59,ChurnSeasonTable,4,FALSE)),1)+AEZ23*(AnnualChurn*VLOOKUP(AEL59,ChurnSeasonTable,4,FALSE))*POWER(1-(AnnualChurn*VLOOKUP(AEL59,ChurnSeasonTable,4,FALSE)),2)+AEZ11*(AnnualChurn*VLOOKUP(AEL59,ChurnSeasonTable,4,FALSE))*POWER(1-(AnnualChurn*VLOOKUP(AEL59,ChurnSeasonTable,4,FALSE)),3)</f>
        <v/>
      </c>
      <c r="AFG59" s="12">
        <f>AFG58+AFA59-AFA47*(AnnualChurn*VLOOKUP(AEL59,ChurnSeasonTable,4,FALSE))*POWER(1-(AnnualChurn*VLOOKUP(AEL59,ChurnSeasonTable,4,FALSE)),0)+AFA35*(AnnualChurn*VLOOKUP(AEL59,ChurnSeasonTable,4,FALSE))*POWER(1-(AnnualChurn*VLOOKUP(AEL59,ChurnSeasonTable,4,FALSE)),1)+AFA23*(AnnualChurn*VLOOKUP(AEL59,ChurnSeasonTable,4,FALSE))*POWER(1-(AnnualChurn*VLOOKUP(AEL59,ChurnSeasonTable,4,FALSE)),2)+AFA11*(AnnualChurn*VLOOKUP(AEL59,ChurnSeasonTable,4,FALSE))*POWER(1-(AnnualChurn*VLOOKUP(AEL59,ChurnSeasonTable,4,FALSE)),3)</f>
        <v/>
      </c>
      <c r="AFH59" s="12">
        <f>AFH58+AFB59-AFB47*(AnnualChurn*VLOOKUP(AEL59,ChurnSeasonTable,4,FALSE))*POWER(1-(AnnualChurn*VLOOKUP(AEL59,ChurnSeasonTable,4,FALSE)),0)+AFB35*(AnnualChurn*VLOOKUP(AEL59,ChurnSeasonTable,4,FALSE))*POWER(1-(AnnualChurn*VLOOKUP(AEL59,ChurnSeasonTable,4,FALSE)),1)+AFB23*(AnnualChurn*VLOOKUP(AEL59,ChurnSeasonTable,4,FALSE))*POWER(1-(AnnualChurn*VLOOKUP(AEL59,ChurnSeasonTable,4,FALSE)),2)+AFB11*(AnnualChurn*VLOOKUP(AEL59,ChurnSeasonTable,4,FALSE))*POWER(1-(AnnualChurn*VLOOKUP(AEL59,ChurnSeasonTable,4,FALSE)),3)</f>
        <v/>
      </c>
      <c r="AFI59" s="12">
        <f>AFC59+AFD59+AFE59+AFF59+AFG59+AFH59</f>
        <v/>
      </c>
      <c r="AFJ59" s="9">
        <f>AFC59*BlendedPriceEssMonthly*AEO59+AFD59*BlendedPricePremMonthly*AEO59+AFE59*BlendedPriceEliteMonthly*AEO59+AFF59*BlendedPriceEssAnnual*AEO59/12+AFG59*BlendedPricePremAnnual*AEO59/12+AFH59*BlendedPriceEliteAnnual*AEO59/12</f>
        <v/>
      </c>
      <c r="AFK59" s="9">
        <f>AFJ59*12</f>
        <v/>
      </c>
      <c r="AFL59" s="12">
        <f>AFC59*BlendedPriceEssMonthly*AEO59+AFD59*BlendedPricePremMonthly*AEO59+AFE59*BlendedPriceEliteMonthly*AEO59</f>
        <v/>
      </c>
      <c r="AFM59" s="12">
        <f>AEZ59*BlendedPriceEssAnnual*AEO59+AFA59*BlendedPricePremAnnual*AEO59+AFB59*BlendedPriceEliteAnnual*AEO59</f>
        <v/>
      </c>
      <c r="AFN59" s="12">
        <f>AEZ47*POWER(1-(AnnualChurn*VLOOKUP(AEL59,ChurnSeasonTable,4,FALSE)),1)*BlendedPriceEssAnnual*AEO59+AEZ35*POWER(1-(AnnualChurn*VLOOKUP(AEL59,ChurnSeasonTable,4,FALSE)),2)*BlendedPriceEssAnnual*AEO59+AEZ23*POWER(1-(AnnualChurn*VLOOKUP(AEL59,ChurnSeasonTable,4,FALSE)),3)*BlendedPriceEssAnnual*AEO59+AEZ11*POWER(1-(AnnualChurn*VLOOKUP(AEL59,ChurnSeasonTable,4,FALSE)),4)*BlendedPriceEssAnnual*AEO59+AFA47*POWER(1-(AnnualChurn*VLOOKUP(AEL59,ChurnSeasonTable,4,FALSE)),1)*BlendedPricePremAnnual*AEO59+AFA35*POWER(1-(AnnualChurn*VLOOKUP(AEL59,ChurnSeasonTable,4,FALSE)),2)*BlendedPricePremAnnual*AEO59+AFA23*POWER(1-(AnnualChurn*VLOOKUP(AEL59,ChurnSeasonTable,4,FALSE)),3)*BlendedPricePremAnnual*AEO59+AFA11*POWER(1-(AnnualChurn*VLOOKUP(AEL59,ChurnSeasonTable,4,FALSE)),4)*BlendedPricePremAnnual*AEO59+AFB47*POWER(1-(AnnualChurn*VLOOKUP(AEL59,ChurnSeasonTable,4,FALSE)),1)*BlendedPriceEliteAnnual*AEO59+AFB35*POWER(1-(AnnualChurn*VLOOKUP(AEL59,ChurnSeasonTable,4,FALSE)),2)*BlendedPriceEliteAnnual*AEO59+AFB23*POWER(1-(AnnualChurn*VLOOKUP(AEL59,ChurnSeasonTable,4,FALSE)),3)*BlendedPriceEliteAnnual*AEO59+AFB11*POWER(1-(AnnualChurn*VLOOKUP(AEL59,ChurnSeasonTable,4,FALSE)),4)*BlendedPriceEliteAnnual*AEO59</f>
        <v/>
      </c>
      <c r="AFO59" s="9">
        <f>AFL59+AFM59+AFN59</f>
        <v/>
      </c>
      <c r="AFP59" s="12">
        <f>SUM(AFO48:AFO59)</f>
        <v/>
      </c>
      <c r="AFQ59" s="12">
        <f>OR(AFQ58,IF(VATAgentMode,SUM($AFO48:$AFO59)-SUM($AFV48:$AFV59)&gt;=VATThreshold,SUM($AFO48:$AFO59)&gt;=VATThreshold))</f>
        <v/>
      </c>
      <c r="AFR59" s="9">
        <f>IF(AFQ59,IF(VATAgentMode,AFO59-((AFO59-AFV59)-(AFO59-AFV59)/(1+VATRate)),AFO59/(1+VATRate)),AFO59)</f>
        <v/>
      </c>
      <c r="AFS59" s="12">
        <f>AFO59-AFR59</f>
        <v/>
      </c>
      <c r="AFT59" s="12">
        <f>IF(AFQ59=0,0,IF(AEL59=1,SUMPRODUCT(--(($AEM$5:$AEM59=$AEM59-1)*($AEL$5:$AEL59&gt;=10)*($AEL$5:$AEL59&lt;=12)),$AFS$5:$AFS59),IF(AEL59=4,SUMPRODUCT(--(($AEM$5:$AEM59=$AEM59)*($AEL$5:$AEL59&gt;=1)*($AEL$5:$AEL59&lt;=3)),$AFS$5:$AFS59),IF(AEL59=7,SUMPRODUCT(--(($AEM$5:$AEM59=$AEM59)*($AEL$5:$AEL59&gt;=4)*($AEL$5:$AEL59&lt;=6)),$AFS$5:$AFS59),IF(AEL59=10,SUMPRODUCT(--(($AEM$5:$AEM59=$AEM59)*($AEL$5:$AEL59&gt;=7)*($AEL$5:$AEL59&lt;=9)),$AFS$5:$AFS59),0)))))</f>
        <v/>
      </c>
      <c r="AFU59" s="12">
        <f>AFU58+AFS59-AFT59</f>
        <v/>
      </c>
      <c r="AFV59" s="12">
        <f>IF(ProviderDelay&gt;=1,AFC58*BlendedProvPayEss+AFD58*BlendedProvPayPrem+AFE58*BlendedProvPayElite+AFF58*BlendedProvPayEss+AFG58*BlendedProvPayPrem+AFH58*BlendedProvPayElite,AFC59*BlendedProvPayEss+AFD59*BlendedProvPayPrem+AFE59*BlendedProvPayElite+AFF59*BlendedProvPayEss+AFG59*BlendedProvPayPrem+AFH59*BlendedProvPayElite)</f>
        <v/>
      </c>
      <c r="AFW59" s="12">
        <f>AFO59*PaymentFee</f>
        <v/>
      </c>
      <c r="AFX59" s="12">
        <f>AFI59*OpsAI</f>
        <v/>
      </c>
      <c r="AFY59" s="12">
        <f>MonthlyFixed</f>
        <v/>
      </c>
      <c r="AFZ59" s="12">
        <f>AES59*ReferralReward</f>
        <v/>
      </c>
      <c r="AGA59" s="12">
        <f>AEQ59</f>
        <v/>
      </c>
      <c r="AGB59" s="9">
        <f>AFR59-AFV59-AFW59-AFX59-AFY59-AFZ59-AGA59</f>
        <v/>
      </c>
      <c r="AGC59" s="9">
        <f>AGC58+AFO59-(AFV59+AFW59+AFX59+AFY59+AFZ59+AGA59+AFT59)</f>
        <v/>
      </c>
      <c r="AGD59" s="12">
        <f>IF(AFI59&gt;0,AFJ59/AFI59,0)</f>
        <v/>
      </c>
      <c r="AGE59" s="11">
        <f>IF(AFI58&gt;0,MAX(0,(AFI58+AET59-AFI59)/AFI58),0)</f>
        <v/>
      </c>
      <c r="AGG59" s="12" t="n">
        <v>55</v>
      </c>
      <c r="AGH59" s="12">
        <f>MOD(AGG59-1+LaunchMonth-1,12)+1</f>
        <v/>
      </c>
      <c r="AGI59" s="12">
        <f>INT((AGG59-1+LaunchMonth-1)/12)+1</f>
        <v/>
      </c>
      <c r="AGJ59" s="12">
        <f>VLOOKUP(AGH59,SeasonTable,2,FALSE)</f>
        <v/>
      </c>
      <c r="AGK59" s="12">
        <f>(1+InflationRate)^INT((AGG59-1)/12)</f>
        <v/>
      </c>
      <c r="AGL59" s="11">
        <f>MonthlyChurn*VLOOKUP(AGH59,ChurnSeasonTable,4,FALSE)</f>
        <v/>
      </c>
      <c r="AGM59" s="12">
        <f>MIN(MAX(MktMin19plus,AHK58*MktPct19plus),MAX(0,AHY58-CashBuffer))</f>
        <v/>
      </c>
      <c r="AGN59" s="12">
        <f>IF(AGM59&gt;0,MAX(1,ROUND(AGM59/CAC*AGJ59,0)),0)</f>
        <v/>
      </c>
      <c r="AGO59" s="12">
        <f>IF(AGN59&gt;0,ROUND(AGN59*ReferralMix/(1-ReferralMix),0),0)</f>
        <v/>
      </c>
      <c r="AGP59" s="12">
        <f>AGN59+AGO59</f>
        <v/>
      </c>
      <c r="AGQ59" s="12">
        <f>ROUND(AGP59*(1-'Sens - Annual Mix'!$A$15),0)</f>
        <v/>
      </c>
      <c r="AGR59" s="12">
        <f>AGP59-AGQ59</f>
        <v/>
      </c>
      <c r="AGS59" s="12">
        <f>ROUND(AGQ59*EssentialMix,0)</f>
        <v/>
      </c>
      <c r="AGT59" s="12">
        <f>ROUND(AGQ59*PremiumMix,0)</f>
        <v/>
      </c>
      <c r="AGU59" s="12">
        <f>AGQ59-AGS59-AGT59</f>
        <v/>
      </c>
      <c r="AGV59" s="12">
        <f>ROUND(AGR59*EssentialMix,0)</f>
        <v/>
      </c>
      <c r="AGW59" s="12">
        <f>ROUND(AGR59*PremiumMix,0)</f>
        <v/>
      </c>
      <c r="AGX59" s="12">
        <f>AGR59-AGV59-AGW59</f>
        <v/>
      </c>
      <c r="AGY59" s="12">
        <f>AGS59+AGS58+AGS57+MAX(0,AGY58-AGS58-AGS57)*(1-AGL59)</f>
        <v/>
      </c>
      <c r="AGZ59" s="12">
        <f>AGT59+AGT58+AGT57+MAX(0,AGZ58-AGT58-AGT57)*(1-AGL59)</f>
        <v/>
      </c>
      <c r="AHA59" s="12">
        <f>AGU59+AGU58+AGU57+MAX(0,AHA58-AGU58-AGU57)*(1-AGL59)</f>
        <v/>
      </c>
      <c r="AHB59" s="12">
        <f>AHB58+AGV59-AGV47*(AnnualChurn*VLOOKUP(AGH59,ChurnSeasonTable,4,FALSE))*POWER(1-(AnnualChurn*VLOOKUP(AGH59,ChurnSeasonTable,4,FALSE)),0)+AGV35*(AnnualChurn*VLOOKUP(AGH59,ChurnSeasonTable,4,FALSE))*POWER(1-(AnnualChurn*VLOOKUP(AGH59,ChurnSeasonTable,4,FALSE)),1)+AGV23*(AnnualChurn*VLOOKUP(AGH59,ChurnSeasonTable,4,FALSE))*POWER(1-(AnnualChurn*VLOOKUP(AGH59,ChurnSeasonTable,4,FALSE)),2)+AGV11*(AnnualChurn*VLOOKUP(AGH59,ChurnSeasonTable,4,FALSE))*POWER(1-(AnnualChurn*VLOOKUP(AGH59,ChurnSeasonTable,4,FALSE)),3)</f>
        <v/>
      </c>
      <c r="AHC59" s="12">
        <f>AHC58+AGW59-AGW47*(AnnualChurn*VLOOKUP(AGH59,ChurnSeasonTable,4,FALSE))*POWER(1-(AnnualChurn*VLOOKUP(AGH59,ChurnSeasonTable,4,FALSE)),0)+AGW35*(AnnualChurn*VLOOKUP(AGH59,ChurnSeasonTable,4,FALSE))*POWER(1-(AnnualChurn*VLOOKUP(AGH59,ChurnSeasonTable,4,FALSE)),1)+AGW23*(AnnualChurn*VLOOKUP(AGH59,ChurnSeasonTable,4,FALSE))*POWER(1-(AnnualChurn*VLOOKUP(AGH59,ChurnSeasonTable,4,FALSE)),2)+AGW11*(AnnualChurn*VLOOKUP(AGH59,ChurnSeasonTable,4,FALSE))*POWER(1-(AnnualChurn*VLOOKUP(AGH59,ChurnSeasonTable,4,FALSE)),3)</f>
        <v/>
      </c>
      <c r="AHD59" s="12">
        <f>AHD58+AGX59-AGX47*(AnnualChurn*VLOOKUP(AGH59,ChurnSeasonTable,4,FALSE))*POWER(1-(AnnualChurn*VLOOKUP(AGH59,ChurnSeasonTable,4,FALSE)),0)+AGX35*(AnnualChurn*VLOOKUP(AGH59,ChurnSeasonTable,4,FALSE))*POWER(1-(AnnualChurn*VLOOKUP(AGH59,ChurnSeasonTable,4,FALSE)),1)+AGX23*(AnnualChurn*VLOOKUP(AGH59,ChurnSeasonTable,4,FALSE))*POWER(1-(AnnualChurn*VLOOKUP(AGH59,ChurnSeasonTable,4,FALSE)),2)+AGX11*(AnnualChurn*VLOOKUP(AGH59,ChurnSeasonTable,4,FALSE))*POWER(1-(AnnualChurn*VLOOKUP(AGH59,ChurnSeasonTable,4,FALSE)),3)</f>
        <v/>
      </c>
      <c r="AHE59" s="12">
        <f>AGY59+AGZ59+AHA59+AHB59+AHC59+AHD59</f>
        <v/>
      </c>
      <c r="AHF59" s="9">
        <f>AGY59*BlendedPriceEssMonthly*AGK59+AGZ59*BlendedPricePremMonthly*AGK59+AHA59*BlendedPriceEliteMonthly*AGK59+AHB59*BlendedPriceEssAnnual*AGK59/12+AHC59*BlendedPricePremAnnual*AGK59/12+AHD59*BlendedPriceEliteAnnual*AGK59/12</f>
        <v/>
      </c>
      <c r="AHG59" s="9">
        <f>AHF59*12</f>
        <v/>
      </c>
      <c r="AHH59" s="12">
        <f>AGY59*BlendedPriceEssMonthly*AGK59+AGZ59*BlendedPricePremMonthly*AGK59+AHA59*BlendedPriceEliteMonthly*AGK59</f>
        <v/>
      </c>
      <c r="AHI59" s="12">
        <f>AGV59*BlendedPriceEssAnnual*AGK59+AGW59*BlendedPricePremAnnual*AGK59+AGX59*BlendedPriceEliteAnnual*AGK59</f>
        <v/>
      </c>
      <c r="AHJ59" s="12">
        <f>AGV47*POWER(1-(AnnualChurn*VLOOKUP(AGH59,ChurnSeasonTable,4,FALSE)),1)*BlendedPriceEssAnnual*AGK59+AGV35*POWER(1-(AnnualChurn*VLOOKUP(AGH59,ChurnSeasonTable,4,FALSE)),2)*BlendedPriceEssAnnual*AGK59+AGV23*POWER(1-(AnnualChurn*VLOOKUP(AGH59,ChurnSeasonTable,4,FALSE)),3)*BlendedPriceEssAnnual*AGK59+AGV11*POWER(1-(AnnualChurn*VLOOKUP(AGH59,ChurnSeasonTable,4,FALSE)),4)*BlendedPriceEssAnnual*AGK59+AGW47*POWER(1-(AnnualChurn*VLOOKUP(AGH59,ChurnSeasonTable,4,FALSE)),1)*BlendedPricePremAnnual*AGK59+AGW35*POWER(1-(AnnualChurn*VLOOKUP(AGH59,ChurnSeasonTable,4,FALSE)),2)*BlendedPricePremAnnual*AGK59+AGW23*POWER(1-(AnnualChurn*VLOOKUP(AGH59,ChurnSeasonTable,4,FALSE)),3)*BlendedPricePremAnnual*AGK59+AGW11*POWER(1-(AnnualChurn*VLOOKUP(AGH59,ChurnSeasonTable,4,FALSE)),4)*BlendedPricePremAnnual*AGK59+AGX47*POWER(1-(AnnualChurn*VLOOKUP(AGH59,ChurnSeasonTable,4,FALSE)),1)*BlendedPriceEliteAnnual*AGK59+AGX35*POWER(1-(AnnualChurn*VLOOKUP(AGH59,ChurnSeasonTable,4,FALSE)),2)*BlendedPriceEliteAnnual*AGK59+AGX23*POWER(1-(AnnualChurn*VLOOKUP(AGH59,ChurnSeasonTable,4,FALSE)),3)*BlendedPriceEliteAnnual*AGK59+AGX11*POWER(1-(AnnualChurn*VLOOKUP(AGH59,ChurnSeasonTable,4,FALSE)),4)*BlendedPriceEliteAnnual*AGK59</f>
        <v/>
      </c>
      <c r="AHK59" s="9">
        <f>AHH59+AHI59+AHJ59</f>
        <v/>
      </c>
      <c r="AHL59" s="12">
        <f>SUM(AHK48:AHK59)</f>
        <v/>
      </c>
      <c r="AHM59" s="12">
        <f>OR(AHM58,IF(VATAgentMode,SUM($AHK48:$AHK59)-SUM($AHR48:$AHR59)&gt;=VATThreshold,SUM($AHK48:$AHK59)&gt;=VATThreshold))</f>
        <v/>
      </c>
      <c r="AHN59" s="9">
        <f>IF(AHM59,IF(VATAgentMode,AHK59-((AHK59-AHR59)-(AHK59-AHR59)/(1+VATRate)),AHK59/(1+VATRate)),AHK59)</f>
        <v/>
      </c>
      <c r="AHO59" s="12">
        <f>AHK59-AHN59</f>
        <v/>
      </c>
      <c r="AHP59" s="12">
        <f>IF(AHM59=0,0,IF(AGH59=1,SUMPRODUCT(--(($AGI$5:$AGI59=$AGI59-1)*($AGH$5:$AGH59&gt;=10)*($AGH$5:$AGH59&lt;=12)),$AHO$5:$AHO59),IF(AGH59=4,SUMPRODUCT(--(($AGI$5:$AGI59=$AGI59)*($AGH$5:$AGH59&gt;=1)*($AGH$5:$AGH59&lt;=3)),$AHO$5:$AHO59),IF(AGH59=7,SUMPRODUCT(--(($AGI$5:$AGI59=$AGI59)*($AGH$5:$AGH59&gt;=4)*($AGH$5:$AGH59&lt;=6)),$AHO$5:$AHO59),IF(AGH59=10,SUMPRODUCT(--(($AGI$5:$AGI59=$AGI59)*($AGH$5:$AGH59&gt;=7)*($AGH$5:$AGH59&lt;=9)),$AHO$5:$AHO59),0)))))</f>
        <v/>
      </c>
      <c r="AHQ59" s="12">
        <f>AHQ58+AHO59-AHP59</f>
        <v/>
      </c>
      <c r="AHR59" s="12">
        <f>IF(ProviderDelay&gt;=1,AGY58*BlendedProvPayEss+AGZ58*BlendedProvPayPrem+AHA58*BlendedProvPayElite+AHB58*BlendedProvPayEss+AHC58*BlendedProvPayPrem+AHD58*BlendedProvPayElite,AGY59*BlendedProvPayEss+AGZ59*BlendedProvPayPrem+AHA59*BlendedProvPayElite+AHB59*BlendedProvPayEss+AHC59*BlendedProvPayPrem+AHD59*BlendedProvPayElite)</f>
        <v/>
      </c>
      <c r="AHS59" s="12">
        <f>AHK59*PaymentFee</f>
        <v/>
      </c>
      <c r="AHT59" s="12">
        <f>AHE59*OpsAI</f>
        <v/>
      </c>
      <c r="AHU59" s="12">
        <f>MonthlyFixed</f>
        <v/>
      </c>
      <c r="AHV59" s="12">
        <f>AGO59*ReferralReward</f>
        <v/>
      </c>
      <c r="AHW59" s="12">
        <f>AGM59</f>
        <v/>
      </c>
      <c r="AHX59" s="9">
        <f>AHN59-AHR59-AHS59-AHT59-AHU59-AHV59-AHW59</f>
        <v/>
      </c>
      <c r="AHY59" s="9">
        <f>AHY58+AHK59-(AHR59+AHS59+AHT59+AHU59+AHV59+AHW59+AHP59)</f>
        <v/>
      </c>
      <c r="AHZ59" s="12">
        <f>IF(AHE59&gt;0,AHF59/AHE59,0)</f>
        <v/>
      </c>
      <c r="AIA59" s="11">
        <f>IF(AHE58&gt;0,MAX(0,(AHE58+AGP59-AHE59)/AHE58),0)</f>
        <v/>
      </c>
      <c r="AIC59" s="12" t="n">
        <v>55</v>
      </c>
      <c r="AID59" s="12">
        <f>MOD(AIC59-1+LaunchMonth-1,12)+1</f>
        <v/>
      </c>
      <c r="AIE59" s="12">
        <f>INT((AIC59-1+LaunchMonth-1)/12)+1</f>
        <v/>
      </c>
      <c r="AIF59" s="12">
        <f>VLOOKUP(AID59,SeasonTable,2,FALSE)</f>
        <v/>
      </c>
      <c r="AIG59" s="12">
        <f>(1+InflationRate)^INT((AIC59-1)/12)</f>
        <v/>
      </c>
      <c r="AIH59" s="11">
        <f>MonthlyChurn*VLOOKUP(AID59,ChurnSeasonTable,4,FALSE)</f>
        <v/>
      </c>
      <c r="AII59" s="12">
        <f>MIN(MAX(MktMin19plus,AJG58*MktPct19plus),MAX(0,AJU58-CashBuffer))</f>
        <v/>
      </c>
      <c r="AIJ59" s="12">
        <f>IF(AII59&gt;0,MAX(1,ROUND(AII59/'Sens - CAC &amp; Marketing'!$A$9*AIF59,0)),0)</f>
        <v/>
      </c>
      <c r="AIK59" s="12">
        <f>IF(AIJ59&gt;0,ROUND(AIJ59*ReferralMix/(1-ReferralMix),0),0)</f>
        <v/>
      </c>
      <c r="AIL59" s="12">
        <f>AIJ59+AIK59</f>
        <v/>
      </c>
      <c r="AIM59" s="12">
        <f>ROUND(AIL59*(1-AnnualMix),0)</f>
        <v/>
      </c>
      <c r="AIN59" s="12">
        <f>AIL59-AIM59</f>
        <v/>
      </c>
      <c r="AIO59" s="12">
        <f>ROUND(AIM59*EssentialMix,0)</f>
        <v/>
      </c>
      <c r="AIP59" s="12">
        <f>ROUND(AIM59*PremiumMix,0)</f>
        <v/>
      </c>
      <c r="AIQ59" s="12">
        <f>AIM59-AIO59-AIP59</f>
        <v/>
      </c>
      <c r="AIR59" s="12">
        <f>ROUND(AIN59*EssentialMix,0)</f>
        <v/>
      </c>
      <c r="AIS59" s="12">
        <f>ROUND(AIN59*PremiumMix,0)</f>
        <v/>
      </c>
      <c r="AIT59" s="12">
        <f>AIN59-AIR59-AIS59</f>
        <v/>
      </c>
      <c r="AIU59" s="12">
        <f>AIO59+AIO58+AIO57+MAX(0,AIU58-AIO58-AIO57)*(1-AIH59)</f>
        <v/>
      </c>
      <c r="AIV59" s="12">
        <f>AIP59+AIP58+AIP57+MAX(0,AIV58-AIP58-AIP57)*(1-AIH59)</f>
        <v/>
      </c>
      <c r="AIW59" s="12">
        <f>AIQ59+AIQ58+AIQ57+MAX(0,AIW58-AIQ58-AIQ57)*(1-AIH59)</f>
        <v/>
      </c>
      <c r="AIX59" s="12">
        <f>AIX58+AIR59-AIR47*(AnnualChurn*VLOOKUP(AID59,ChurnSeasonTable,4,FALSE))*POWER(1-(AnnualChurn*VLOOKUP(AID59,ChurnSeasonTable,4,FALSE)),0)+AIR35*(AnnualChurn*VLOOKUP(AID59,ChurnSeasonTable,4,FALSE))*POWER(1-(AnnualChurn*VLOOKUP(AID59,ChurnSeasonTable,4,FALSE)),1)+AIR23*(AnnualChurn*VLOOKUP(AID59,ChurnSeasonTable,4,FALSE))*POWER(1-(AnnualChurn*VLOOKUP(AID59,ChurnSeasonTable,4,FALSE)),2)+AIR11*(AnnualChurn*VLOOKUP(AID59,ChurnSeasonTable,4,FALSE))*POWER(1-(AnnualChurn*VLOOKUP(AID59,ChurnSeasonTable,4,FALSE)),3)</f>
        <v/>
      </c>
      <c r="AIY59" s="12">
        <f>AIY58+AIS59-AIS47*(AnnualChurn*VLOOKUP(AID59,ChurnSeasonTable,4,FALSE))*POWER(1-(AnnualChurn*VLOOKUP(AID59,ChurnSeasonTable,4,FALSE)),0)+AIS35*(AnnualChurn*VLOOKUP(AID59,ChurnSeasonTable,4,FALSE))*POWER(1-(AnnualChurn*VLOOKUP(AID59,ChurnSeasonTable,4,FALSE)),1)+AIS23*(AnnualChurn*VLOOKUP(AID59,ChurnSeasonTable,4,FALSE))*POWER(1-(AnnualChurn*VLOOKUP(AID59,ChurnSeasonTable,4,FALSE)),2)+AIS11*(AnnualChurn*VLOOKUP(AID59,ChurnSeasonTable,4,FALSE))*POWER(1-(AnnualChurn*VLOOKUP(AID59,ChurnSeasonTable,4,FALSE)),3)</f>
        <v/>
      </c>
      <c r="AIZ59" s="12">
        <f>AIZ58+AIT59-AIT47*(AnnualChurn*VLOOKUP(AID59,ChurnSeasonTable,4,FALSE))*POWER(1-(AnnualChurn*VLOOKUP(AID59,ChurnSeasonTable,4,FALSE)),0)+AIT35*(AnnualChurn*VLOOKUP(AID59,ChurnSeasonTable,4,FALSE))*POWER(1-(AnnualChurn*VLOOKUP(AID59,ChurnSeasonTable,4,FALSE)),1)+AIT23*(AnnualChurn*VLOOKUP(AID59,ChurnSeasonTable,4,FALSE))*POWER(1-(AnnualChurn*VLOOKUP(AID59,ChurnSeasonTable,4,FALSE)),2)+AIT11*(AnnualChurn*VLOOKUP(AID59,ChurnSeasonTable,4,FALSE))*POWER(1-(AnnualChurn*VLOOKUP(AID59,ChurnSeasonTable,4,FALSE)),3)</f>
        <v/>
      </c>
      <c r="AJA59" s="12">
        <f>AIU59+AIV59+AIW59+AIX59+AIY59+AIZ59</f>
        <v/>
      </c>
      <c r="AJB59" s="9">
        <f>AIU59*BlendedPriceEssMonthly*AIG59+AIV59*BlendedPricePremMonthly*AIG59+AIW59*BlendedPriceEliteMonthly*AIG59+AIX59*BlendedPriceEssAnnual*AIG59/12+AIY59*BlendedPricePremAnnual*AIG59/12+AIZ59*BlendedPriceEliteAnnual*AIG59/12</f>
        <v/>
      </c>
      <c r="AJC59" s="9">
        <f>AJB59*12</f>
        <v/>
      </c>
      <c r="AJD59" s="12">
        <f>AIU59*BlendedPriceEssMonthly*AIG59+AIV59*BlendedPricePremMonthly*AIG59+AIW59*BlendedPriceEliteMonthly*AIG59</f>
        <v/>
      </c>
      <c r="AJE59" s="12">
        <f>AIR59*BlendedPriceEssAnnual*AIG59+AIS59*BlendedPricePremAnnual*AIG59+AIT59*BlendedPriceEliteAnnual*AIG59</f>
        <v/>
      </c>
      <c r="AJF59" s="12">
        <f>AIR47*POWER(1-(AnnualChurn*VLOOKUP(AID59,ChurnSeasonTable,4,FALSE)),1)*BlendedPriceEssAnnual*AIG59+AIR35*POWER(1-(AnnualChurn*VLOOKUP(AID59,ChurnSeasonTable,4,FALSE)),2)*BlendedPriceEssAnnual*AIG59+AIR23*POWER(1-(AnnualChurn*VLOOKUP(AID59,ChurnSeasonTable,4,FALSE)),3)*BlendedPriceEssAnnual*AIG59+AIR11*POWER(1-(AnnualChurn*VLOOKUP(AID59,ChurnSeasonTable,4,FALSE)),4)*BlendedPriceEssAnnual*AIG59+AIS47*POWER(1-(AnnualChurn*VLOOKUP(AID59,ChurnSeasonTable,4,FALSE)),1)*BlendedPricePremAnnual*AIG59+AIS35*POWER(1-(AnnualChurn*VLOOKUP(AID59,ChurnSeasonTable,4,FALSE)),2)*BlendedPricePremAnnual*AIG59+AIS23*POWER(1-(AnnualChurn*VLOOKUP(AID59,ChurnSeasonTable,4,FALSE)),3)*BlendedPricePremAnnual*AIG59+AIS11*POWER(1-(AnnualChurn*VLOOKUP(AID59,ChurnSeasonTable,4,FALSE)),4)*BlendedPricePremAnnual*AIG59+AIT47*POWER(1-(AnnualChurn*VLOOKUP(AID59,ChurnSeasonTable,4,FALSE)),1)*BlendedPriceEliteAnnual*AIG59+AIT35*POWER(1-(AnnualChurn*VLOOKUP(AID59,ChurnSeasonTable,4,FALSE)),2)*BlendedPriceEliteAnnual*AIG59+AIT23*POWER(1-(AnnualChurn*VLOOKUP(AID59,ChurnSeasonTable,4,FALSE)),3)*BlendedPriceEliteAnnual*AIG59+AIT11*POWER(1-(AnnualChurn*VLOOKUP(AID59,ChurnSeasonTable,4,FALSE)),4)*BlendedPriceEliteAnnual*AIG59</f>
        <v/>
      </c>
      <c r="AJG59" s="9">
        <f>AJD59+AJE59+AJF59</f>
        <v/>
      </c>
      <c r="AJH59" s="12">
        <f>SUM(AJG48:AJG59)</f>
        <v/>
      </c>
      <c r="AJI59" s="12">
        <f>OR(AJI58,IF(VATAgentMode,SUM($AJG48:$AJG59)-SUM($AJN48:$AJN59)&gt;=VATThreshold,SUM($AJG48:$AJG59)&gt;=VATThreshold))</f>
        <v/>
      </c>
      <c r="AJJ59" s="9">
        <f>IF(AJI59,IF(VATAgentMode,AJG59-((AJG59-AJN59)-(AJG59-AJN59)/(1+VATRate)),AJG59/(1+VATRate)),AJG59)</f>
        <v/>
      </c>
      <c r="AJK59" s="12">
        <f>AJG59-AJJ59</f>
        <v/>
      </c>
      <c r="AJL59" s="12">
        <f>IF(AJI59=0,0,IF(AID59=1,SUMPRODUCT(--(($AIE$5:$AIE59=$AIE59-1)*($AID$5:$AID59&gt;=10)*($AID$5:$AID59&lt;=12)),$AJK$5:$AJK59),IF(AID59=4,SUMPRODUCT(--(($AIE$5:$AIE59=$AIE59)*($AID$5:$AID59&gt;=1)*($AID$5:$AID59&lt;=3)),$AJK$5:$AJK59),IF(AID59=7,SUMPRODUCT(--(($AIE$5:$AIE59=$AIE59)*($AID$5:$AID59&gt;=4)*($AID$5:$AID59&lt;=6)),$AJK$5:$AJK59),IF(AID59=10,SUMPRODUCT(--(($AIE$5:$AIE59=$AIE59)*($AID$5:$AID59&gt;=7)*($AID$5:$AID59&lt;=9)),$AJK$5:$AJK59),0)))))</f>
        <v/>
      </c>
      <c r="AJM59" s="12">
        <f>AJM58+AJK59-AJL59</f>
        <v/>
      </c>
      <c r="AJN59" s="12">
        <f>IF(ProviderDelay&gt;=1,AIU58*BlendedProvPayEss+AIV58*BlendedProvPayPrem+AIW58*BlendedProvPayElite+AIX58*BlendedProvPayEss+AIY58*BlendedProvPayPrem+AIZ58*BlendedProvPayElite,AIU59*BlendedProvPayEss+AIV59*BlendedProvPayPrem+AIW59*BlendedProvPayElite+AIX59*BlendedProvPayEss+AIY59*BlendedProvPayPrem+AIZ59*BlendedProvPayElite)</f>
        <v/>
      </c>
      <c r="AJO59" s="12">
        <f>AJG59*PaymentFee</f>
        <v/>
      </c>
      <c r="AJP59" s="12">
        <f>AJA59*OpsAI</f>
        <v/>
      </c>
      <c r="AJQ59" s="12">
        <f>MonthlyFixed</f>
        <v/>
      </c>
      <c r="AJR59" s="12">
        <f>AIK59*ReferralReward</f>
        <v/>
      </c>
      <c r="AJS59" s="12">
        <f>AII59</f>
        <v/>
      </c>
      <c r="AJT59" s="9">
        <f>AJJ59-AJN59-AJO59-AJP59-AJQ59-AJR59-AJS59</f>
        <v/>
      </c>
      <c r="AJU59" s="9">
        <f>AJU58+AJG59-(AJN59+AJO59+AJP59+AJQ59+AJR59+AJS59+AJL59)</f>
        <v/>
      </c>
      <c r="AJV59" s="12">
        <f>IF(AJA59&gt;0,AJB59/AJA59,0)</f>
        <v/>
      </c>
      <c r="AJW59" s="11">
        <f>IF(AJA58&gt;0,MAX(0,(AJA58+AIL59-AJA59)/AJA58),0)</f>
        <v/>
      </c>
      <c r="AJY59" s="12" t="n">
        <v>55</v>
      </c>
      <c r="AJZ59" s="12">
        <f>MOD(AJY59-1+LaunchMonth-1,12)+1</f>
        <v/>
      </c>
      <c r="AKA59" s="12">
        <f>INT((AJY59-1+LaunchMonth-1)/12)+1</f>
        <v/>
      </c>
      <c r="AKB59" s="12">
        <f>VLOOKUP(AJZ59,SeasonTable,2,FALSE)</f>
        <v/>
      </c>
      <c r="AKC59" s="12">
        <f>(1+InflationRate)^INT((AJY59-1)/12)</f>
        <v/>
      </c>
      <c r="AKD59" s="11">
        <f>MonthlyChurn*VLOOKUP(AJZ59,ChurnSeasonTable,4,FALSE)</f>
        <v/>
      </c>
      <c r="AKE59" s="12">
        <f>MIN(MAX(MktMin19plus,ALC58*MktPct19plus),MAX(0,ALQ58-CashBuffer))</f>
        <v/>
      </c>
      <c r="AKF59" s="12">
        <f>IF(AKE59&gt;0,MAX(1,ROUND(AKE59/'Sens - CAC &amp; Marketing'!$A$10*AKB59,0)),0)</f>
        <v/>
      </c>
      <c r="AKG59" s="12">
        <f>IF(AKF59&gt;0,ROUND(AKF59*ReferralMix/(1-ReferralMix),0),0)</f>
        <v/>
      </c>
      <c r="AKH59" s="12">
        <f>AKF59+AKG59</f>
        <v/>
      </c>
      <c r="AKI59" s="12">
        <f>ROUND(AKH59*(1-AnnualMix),0)</f>
        <v/>
      </c>
      <c r="AKJ59" s="12">
        <f>AKH59-AKI59</f>
        <v/>
      </c>
      <c r="AKK59" s="12">
        <f>ROUND(AKI59*EssentialMix,0)</f>
        <v/>
      </c>
      <c r="AKL59" s="12">
        <f>ROUND(AKI59*PremiumMix,0)</f>
        <v/>
      </c>
      <c r="AKM59" s="12">
        <f>AKI59-AKK59-AKL59</f>
        <v/>
      </c>
      <c r="AKN59" s="12">
        <f>ROUND(AKJ59*EssentialMix,0)</f>
        <v/>
      </c>
      <c r="AKO59" s="12">
        <f>ROUND(AKJ59*PremiumMix,0)</f>
        <v/>
      </c>
      <c r="AKP59" s="12">
        <f>AKJ59-AKN59-AKO59</f>
        <v/>
      </c>
      <c r="AKQ59" s="12">
        <f>AKK59+AKK58+AKK57+MAX(0,AKQ58-AKK58-AKK57)*(1-AKD59)</f>
        <v/>
      </c>
      <c r="AKR59" s="12">
        <f>AKL59+AKL58+AKL57+MAX(0,AKR58-AKL58-AKL57)*(1-AKD59)</f>
        <v/>
      </c>
      <c r="AKS59" s="12">
        <f>AKM59+AKM58+AKM57+MAX(0,AKS58-AKM58-AKM57)*(1-AKD59)</f>
        <v/>
      </c>
      <c r="AKT59" s="12">
        <f>AKT58+AKN59-AKN47*(AnnualChurn*VLOOKUP(AJZ59,ChurnSeasonTable,4,FALSE))*POWER(1-(AnnualChurn*VLOOKUP(AJZ59,ChurnSeasonTable,4,FALSE)),0)+AKN35*(AnnualChurn*VLOOKUP(AJZ59,ChurnSeasonTable,4,FALSE))*POWER(1-(AnnualChurn*VLOOKUP(AJZ59,ChurnSeasonTable,4,FALSE)),1)+AKN23*(AnnualChurn*VLOOKUP(AJZ59,ChurnSeasonTable,4,FALSE))*POWER(1-(AnnualChurn*VLOOKUP(AJZ59,ChurnSeasonTable,4,FALSE)),2)+AKN11*(AnnualChurn*VLOOKUP(AJZ59,ChurnSeasonTable,4,FALSE))*POWER(1-(AnnualChurn*VLOOKUP(AJZ59,ChurnSeasonTable,4,FALSE)),3)</f>
        <v/>
      </c>
      <c r="AKU59" s="12">
        <f>AKU58+AKO59-AKO47*(AnnualChurn*VLOOKUP(AJZ59,ChurnSeasonTable,4,FALSE))*POWER(1-(AnnualChurn*VLOOKUP(AJZ59,ChurnSeasonTable,4,FALSE)),0)+AKO35*(AnnualChurn*VLOOKUP(AJZ59,ChurnSeasonTable,4,FALSE))*POWER(1-(AnnualChurn*VLOOKUP(AJZ59,ChurnSeasonTable,4,FALSE)),1)+AKO23*(AnnualChurn*VLOOKUP(AJZ59,ChurnSeasonTable,4,FALSE))*POWER(1-(AnnualChurn*VLOOKUP(AJZ59,ChurnSeasonTable,4,FALSE)),2)+AKO11*(AnnualChurn*VLOOKUP(AJZ59,ChurnSeasonTable,4,FALSE))*POWER(1-(AnnualChurn*VLOOKUP(AJZ59,ChurnSeasonTable,4,FALSE)),3)</f>
        <v/>
      </c>
      <c r="AKV59" s="12">
        <f>AKV58+AKP59-AKP47*(AnnualChurn*VLOOKUP(AJZ59,ChurnSeasonTable,4,FALSE))*POWER(1-(AnnualChurn*VLOOKUP(AJZ59,ChurnSeasonTable,4,FALSE)),0)+AKP35*(AnnualChurn*VLOOKUP(AJZ59,ChurnSeasonTable,4,FALSE))*POWER(1-(AnnualChurn*VLOOKUP(AJZ59,ChurnSeasonTable,4,FALSE)),1)+AKP23*(AnnualChurn*VLOOKUP(AJZ59,ChurnSeasonTable,4,FALSE))*POWER(1-(AnnualChurn*VLOOKUP(AJZ59,ChurnSeasonTable,4,FALSE)),2)+AKP11*(AnnualChurn*VLOOKUP(AJZ59,ChurnSeasonTable,4,FALSE))*POWER(1-(AnnualChurn*VLOOKUP(AJZ59,ChurnSeasonTable,4,FALSE)),3)</f>
        <v/>
      </c>
      <c r="AKW59" s="12">
        <f>AKQ59+AKR59+AKS59+AKT59+AKU59+AKV59</f>
        <v/>
      </c>
      <c r="AKX59" s="9">
        <f>AKQ59*BlendedPriceEssMonthly*AKC59+AKR59*BlendedPricePremMonthly*AKC59+AKS59*BlendedPriceEliteMonthly*AKC59+AKT59*BlendedPriceEssAnnual*AKC59/12+AKU59*BlendedPricePremAnnual*AKC59/12+AKV59*BlendedPriceEliteAnnual*AKC59/12</f>
        <v/>
      </c>
      <c r="AKY59" s="9">
        <f>AKX59*12</f>
        <v/>
      </c>
      <c r="AKZ59" s="12">
        <f>AKQ59*BlendedPriceEssMonthly*AKC59+AKR59*BlendedPricePremMonthly*AKC59+AKS59*BlendedPriceEliteMonthly*AKC59</f>
        <v/>
      </c>
      <c r="ALA59" s="12">
        <f>AKN59*BlendedPriceEssAnnual*AKC59+AKO59*BlendedPricePremAnnual*AKC59+AKP59*BlendedPriceEliteAnnual*AKC59</f>
        <v/>
      </c>
      <c r="ALB59" s="12">
        <f>AKN47*POWER(1-(AnnualChurn*VLOOKUP(AJZ59,ChurnSeasonTable,4,FALSE)),1)*BlendedPriceEssAnnual*AKC59+AKN35*POWER(1-(AnnualChurn*VLOOKUP(AJZ59,ChurnSeasonTable,4,FALSE)),2)*BlendedPriceEssAnnual*AKC59+AKN23*POWER(1-(AnnualChurn*VLOOKUP(AJZ59,ChurnSeasonTable,4,FALSE)),3)*BlendedPriceEssAnnual*AKC59+AKN11*POWER(1-(AnnualChurn*VLOOKUP(AJZ59,ChurnSeasonTable,4,FALSE)),4)*BlendedPriceEssAnnual*AKC59+AKO47*POWER(1-(AnnualChurn*VLOOKUP(AJZ59,ChurnSeasonTable,4,FALSE)),1)*BlendedPricePremAnnual*AKC59+AKO35*POWER(1-(AnnualChurn*VLOOKUP(AJZ59,ChurnSeasonTable,4,FALSE)),2)*BlendedPricePremAnnual*AKC59+AKO23*POWER(1-(AnnualChurn*VLOOKUP(AJZ59,ChurnSeasonTable,4,FALSE)),3)*BlendedPricePremAnnual*AKC59+AKO11*POWER(1-(AnnualChurn*VLOOKUP(AJZ59,ChurnSeasonTable,4,FALSE)),4)*BlendedPricePremAnnual*AKC59+AKP47*POWER(1-(AnnualChurn*VLOOKUP(AJZ59,ChurnSeasonTable,4,FALSE)),1)*BlendedPriceEliteAnnual*AKC59+AKP35*POWER(1-(AnnualChurn*VLOOKUP(AJZ59,ChurnSeasonTable,4,FALSE)),2)*BlendedPriceEliteAnnual*AKC59+AKP23*POWER(1-(AnnualChurn*VLOOKUP(AJZ59,ChurnSeasonTable,4,FALSE)),3)*BlendedPriceEliteAnnual*AKC59+AKP11*POWER(1-(AnnualChurn*VLOOKUP(AJZ59,ChurnSeasonTable,4,FALSE)),4)*BlendedPriceEliteAnnual*AKC59</f>
        <v/>
      </c>
      <c r="ALC59" s="9">
        <f>AKZ59+ALA59+ALB59</f>
        <v/>
      </c>
      <c r="ALD59" s="12">
        <f>SUM(ALC48:ALC59)</f>
        <v/>
      </c>
      <c r="ALE59" s="12">
        <f>OR(ALE58,IF(VATAgentMode,SUM($ALC48:$ALC59)-SUM($ALJ48:$ALJ59)&gt;=VATThreshold,SUM($ALC48:$ALC59)&gt;=VATThreshold))</f>
        <v/>
      </c>
      <c r="ALF59" s="9">
        <f>IF(ALE59,IF(VATAgentMode,ALC59-((ALC59-ALJ59)-(ALC59-ALJ59)/(1+VATRate)),ALC59/(1+VATRate)),ALC59)</f>
        <v/>
      </c>
      <c r="ALG59" s="12">
        <f>ALC59-ALF59</f>
        <v/>
      </c>
      <c r="ALH59" s="12">
        <f>IF(ALE59=0,0,IF(AJZ59=1,SUMPRODUCT(--(($AKA$5:$AKA59=$AKA59-1)*($AJZ$5:$AJZ59&gt;=10)*($AJZ$5:$AJZ59&lt;=12)),$ALG$5:$ALG59),IF(AJZ59=4,SUMPRODUCT(--(($AKA$5:$AKA59=$AKA59)*($AJZ$5:$AJZ59&gt;=1)*($AJZ$5:$AJZ59&lt;=3)),$ALG$5:$ALG59),IF(AJZ59=7,SUMPRODUCT(--(($AKA$5:$AKA59=$AKA59)*($AJZ$5:$AJZ59&gt;=4)*($AJZ$5:$AJZ59&lt;=6)),$ALG$5:$ALG59),IF(AJZ59=10,SUMPRODUCT(--(($AKA$5:$AKA59=$AKA59)*($AJZ$5:$AJZ59&gt;=7)*($AJZ$5:$AJZ59&lt;=9)),$ALG$5:$ALG59),0)))))</f>
        <v/>
      </c>
      <c r="ALI59" s="12">
        <f>ALI58+ALG59-ALH59</f>
        <v/>
      </c>
      <c r="ALJ59" s="12">
        <f>IF(ProviderDelay&gt;=1,AKQ58*BlendedProvPayEss+AKR58*BlendedProvPayPrem+AKS58*BlendedProvPayElite+AKT58*BlendedProvPayEss+AKU58*BlendedProvPayPrem+AKV58*BlendedProvPayElite,AKQ59*BlendedProvPayEss+AKR59*BlendedProvPayPrem+AKS59*BlendedProvPayElite+AKT59*BlendedProvPayEss+AKU59*BlendedProvPayPrem+AKV59*BlendedProvPayElite)</f>
        <v/>
      </c>
      <c r="ALK59" s="12">
        <f>ALC59*PaymentFee</f>
        <v/>
      </c>
      <c r="ALL59" s="12">
        <f>AKW59*OpsAI</f>
        <v/>
      </c>
      <c r="ALM59" s="12">
        <f>MonthlyFixed</f>
        <v/>
      </c>
      <c r="ALN59" s="12">
        <f>AKG59*ReferralReward</f>
        <v/>
      </c>
      <c r="ALO59" s="12">
        <f>AKE59</f>
        <v/>
      </c>
      <c r="ALP59" s="9">
        <f>ALF59-ALJ59-ALK59-ALL59-ALM59-ALN59-ALO59</f>
        <v/>
      </c>
      <c r="ALQ59" s="9">
        <f>ALQ58+ALC59-(ALJ59+ALK59+ALL59+ALM59+ALN59+ALO59+ALH59)</f>
        <v/>
      </c>
      <c r="ALR59" s="12">
        <f>IF(AKW59&gt;0,AKX59/AKW59,0)</f>
        <v/>
      </c>
      <c r="ALS59" s="11">
        <f>IF(AKW58&gt;0,MAX(0,(AKW58+AKH59-AKW59)/AKW58),0)</f>
        <v/>
      </c>
      <c r="ALU59" s="12" t="n">
        <v>55</v>
      </c>
      <c r="ALV59" s="12">
        <f>MOD(ALU59-1+LaunchMonth-1,12)+1</f>
        <v/>
      </c>
      <c r="ALW59" s="12">
        <f>INT((ALU59-1+LaunchMonth-1)/12)+1</f>
        <v/>
      </c>
      <c r="ALX59" s="12">
        <f>VLOOKUP(ALV59,SeasonTable,2,FALSE)</f>
        <v/>
      </c>
      <c r="ALY59" s="12">
        <f>(1+InflationRate)^INT((ALU59-1)/12)</f>
        <v/>
      </c>
      <c r="ALZ59" s="11">
        <f>MonthlyChurn*VLOOKUP(ALV59,ChurnSeasonTable,4,FALSE)</f>
        <v/>
      </c>
      <c r="AMA59" s="12">
        <f>MIN(MAX(MktMin19plus,AMY58*MktPct19plus),MAX(0,ANM58-CashBuffer))</f>
        <v/>
      </c>
      <c r="AMB59" s="12">
        <f>IF(AMA59&gt;0,MAX(1,ROUND(AMA59/'Sens - CAC &amp; Marketing'!$A$11*ALX59,0)),0)</f>
        <v/>
      </c>
      <c r="AMC59" s="12">
        <f>IF(AMB59&gt;0,ROUND(AMB59*ReferralMix/(1-ReferralMix),0),0)</f>
        <v/>
      </c>
      <c r="AMD59" s="12">
        <f>AMB59+AMC59</f>
        <v/>
      </c>
      <c r="AME59" s="12">
        <f>ROUND(AMD59*(1-AnnualMix),0)</f>
        <v/>
      </c>
      <c r="AMF59" s="12">
        <f>AMD59-AME59</f>
        <v/>
      </c>
      <c r="AMG59" s="12">
        <f>ROUND(AME59*EssentialMix,0)</f>
        <v/>
      </c>
      <c r="AMH59" s="12">
        <f>ROUND(AME59*PremiumMix,0)</f>
        <v/>
      </c>
      <c r="AMI59" s="12">
        <f>AME59-AMG59-AMH59</f>
        <v/>
      </c>
      <c r="AMJ59" s="12">
        <f>ROUND(AMF59*EssentialMix,0)</f>
        <v/>
      </c>
      <c r="AMK59" s="12">
        <f>ROUND(AMF59*PremiumMix,0)</f>
        <v/>
      </c>
      <c r="AML59" s="12">
        <f>AMF59-AMJ59-AMK59</f>
        <v/>
      </c>
      <c r="AMM59" s="12">
        <f>AMG59+AMG58+AMG57+MAX(0,AMM58-AMG58-AMG57)*(1-ALZ59)</f>
        <v/>
      </c>
      <c r="AMN59" s="12">
        <f>AMH59+AMH58+AMH57+MAX(0,AMN58-AMH58-AMH57)*(1-ALZ59)</f>
        <v/>
      </c>
      <c r="AMO59" s="12">
        <f>AMI59+AMI58+AMI57+MAX(0,AMO58-AMI58-AMI57)*(1-ALZ59)</f>
        <v/>
      </c>
      <c r="AMP59" s="12">
        <f>AMP58+AMJ59-AMJ47*(AnnualChurn*VLOOKUP(ALV59,ChurnSeasonTable,4,FALSE))*POWER(1-(AnnualChurn*VLOOKUP(ALV59,ChurnSeasonTable,4,FALSE)),0)+AMJ35*(AnnualChurn*VLOOKUP(ALV59,ChurnSeasonTable,4,FALSE))*POWER(1-(AnnualChurn*VLOOKUP(ALV59,ChurnSeasonTable,4,FALSE)),1)+AMJ23*(AnnualChurn*VLOOKUP(ALV59,ChurnSeasonTable,4,FALSE))*POWER(1-(AnnualChurn*VLOOKUP(ALV59,ChurnSeasonTable,4,FALSE)),2)+AMJ11*(AnnualChurn*VLOOKUP(ALV59,ChurnSeasonTable,4,FALSE))*POWER(1-(AnnualChurn*VLOOKUP(ALV59,ChurnSeasonTable,4,FALSE)),3)</f>
        <v/>
      </c>
      <c r="AMQ59" s="12">
        <f>AMQ58+AMK59-AMK47*(AnnualChurn*VLOOKUP(ALV59,ChurnSeasonTable,4,FALSE))*POWER(1-(AnnualChurn*VLOOKUP(ALV59,ChurnSeasonTable,4,FALSE)),0)+AMK35*(AnnualChurn*VLOOKUP(ALV59,ChurnSeasonTable,4,FALSE))*POWER(1-(AnnualChurn*VLOOKUP(ALV59,ChurnSeasonTable,4,FALSE)),1)+AMK23*(AnnualChurn*VLOOKUP(ALV59,ChurnSeasonTable,4,FALSE))*POWER(1-(AnnualChurn*VLOOKUP(ALV59,ChurnSeasonTable,4,FALSE)),2)+AMK11*(AnnualChurn*VLOOKUP(ALV59,ChurnSeasonTable,4,FALSE))*POWER(1-(AnnualChurn*VLOOKUP(ALV59,ChurnSeasonTable,4,FALSE)),3)</f>
        <v/>
      </c>
      <c r="AMR59" s="12">
        <f>AMR58+AML59-AML47*(AnnualChurn*VLOOKUP(ALV59,ChurnSeasonTable,4,FALSE))*POWER(1-(AnnualChurn*VLOOKUP(ALV59,ChurnSeasonTable,4,FALSE)),0)+AML35*(AnnualChurn*VLOOKUP(ALV59,ChurnSeasonTable,4,FALSE))*POWER(1-(AnnualChurn*VLOOKUP(ALV59,ChurnSeasonTable,4,FALSE)),1)+AML23*(AnnualChurn*VLOOKUP(ALV59,ChurnSeasonTable,4,FALSE))*POWER(1-(AnnualChurn*VLOOKUP(ALV59,ChurnSeasonTable,4,FALSE)),2)+AML11*(AnnualChurn*VLOOKUP(ALV59,ChurnSeasonTable,4,FALSE))*POWER(1-(AnnualChurn*VLOOKUP(ALV59,ChurnSeasonTable,4,FALSE)),3)</f>
        <v/>
      </c>
      <c r="AMS59" s="12">
        <f>AMM59+AMN59+AMO59+AMP59+AMQ59+AMR59</f>
        <v/>
      </c>
      <c r="AMT59" s="9">
        <f>AMM59*BlendedPriceEssMonthly*ALY59+AMN59*BlendedPricePremMonthly*ALY59+AMO59*BlendedPriceEliteMonthly*ALY59+AMP59*BlendedPriceEssAnnual*ALY59/12+AMQ59*BlendedPricePremAnnual*ALY59/12+AMR59*BlendedPriceEliteAnnual*ALY59/12</f>
        <v/>
      </c>
      <c r="AMU59" s="9">
        <f>AMT59*12</f>
        <v/>
      </c>
      <c r="AMV59" s="12">
        <f>AMM59*BlendedPriceEssMonthly*ALY59+AMN59*BlendedPricePremMonthly*ALY59+AMO59*BlendedPriceEliteMonthly*ALY59</f>
        <v/>
      </c>
      <c r="AMW59" s="12">
        <f>AMJ59*BlendedPriceEssAnnual*ALY59+AMK59*BlendedPricePremAnnual*ALY59+AML59*BlendedPriceEliteAnnual*ALY59</f>
        <v/>
      </c>
      <c r="AMX59" s="12">
        <f>AMJ47*POWER(1-(AnnualChurn*VLOOKUP(ALV59,ChurnSeasonTable,4,FALSE)),1)*BlendedPriceEssAnnual*ALY59+AMJ35*POWER(1-(AnnualChurn*VLOOKUP(ALV59,ChurnSeasonTable,4,FALSE)),2)*BlendedPriceEssAnnual*ALY59+AMJ23*POWER(1-(AnnualChurn*VLOOKUP(ALV59,ChurnSeasonTable,4,FALSE)),3)*BlendedPriceEssAnnual*ALY59+AMJ11*POWER(1-(AnnualChurn*VLOOKUP(ALV59,ChurnSeasonTable,4,FALSE)),4)*BlendedPriceEssAnnual*ALY59+AMK47*POWER(1-(AnnualChurn*VLOOKUP(ALV59,ChurnSeasonTable,4,FALSE)),1)*BlendedPricePremAnnual*ALY59+AMK35*POWER(1-(AnnualChurn*VLOOKUP(ALV59,ChurnSeasonTable,4,FALSE)),2)*BlendedPricePremAnnual*ALY59+AMK23*POWER(1-(AnnualChurn*VLOOKUP(ALV59,ChurnSeasonTable,4,FALSE)),3)*BlendedPricePremAnnual*ALY59+AMK11*POWER(1-(AnnualChurn*VLOOKUP(ALV59,ChurnSeasonTable,4,FALSE)),4)*BlendedPricePremAnnual*ALY59+AML47*POWER(1-(AnnualChurn*VLOOKUP(ALV59,ChurnSeasonTable,4,FALSE)),1)*BlendedPriceEliteAnnual*ALY59+AML35*POWER(1-(AnnualChurn*VLOOKUP(ALV59,ChurnSeasonTable,4,FALSE)),2)*BlendedPriceEliteAnnual*ALY59+AML23*POWER(1-(AnnualChurn*VLOOKUP(ALV59,ChurnSeasonTable,4,FALSE)),3)*BlendedPriceEliteAnnual*ALY59+AML11*POWER(1-(AnnualChurn*VLOOKUP(ALV59,ChurnSeasonTable,4,FALSE)),4)*BlendedPriceEliteAnnual*ALY59</f>
        <v/>
      </c>
      <c r="AMY59" s="9">
        <f>AMV59+AMW59+AMX59</f>
        <v/>
      </c>
      <c r="AMZ59" s="12">
        <f>SUM(AMY48:AMY59)</f>
        <v/>
      </c>
      <c r="ANA59" s="12">
        <f>OR(ANA58,IF(VATAgentMode,SUM($AMY48:$AMY59)-SUM($ANF48:$ANF59)&gt;=VATThreshold,SUM($AMY48:$AMY59)&gt;=VATThreshold))</f>
        <v/>
      </c>
      <c r="ANB59" s="9">
        <f>IF(ANA59,IF(VATAgentMode,AMY59-((AMY59-ANF59)-(AMY59-ANF59)/(1+VATRate)),AMY59/(1+VATRate)),AMY59)</f>
        <v/>
      </c>
      <c r="ANC59" s="12">
        <f>AMY59-ANB59</f>
        <v/>
      </c>
      <c r="AND59" s="12">
        <f>IF(ANA59=0,0,IF(ALV59=1,SUMPRODUCT(--(($ALW$5:$ALW59=$ALW59-1)*($ALV$5:$ALV59&gt;=10)*($ALV$5:$ALV59&lt;=12)),$ANC$5:$ANC59),IF(ALV59=4,SUMPRODUCT(--(($ALW$5:$ALW59=$ALW59)*($ALV$5:$ALV59&gt;=1)*($ALV$5:$ALV59&lt;=3)),$ANC$5:$ANC59),IF(ALV59=7,SUMPRODUCT(--(($ALW$5:$ALW59=$ALW59)*($ALV$5:$ALV59&gt;=4)*($ALV$5:$ALV59&lt;=6)),$ANC$5:$ANC59),IF(ALV59=10,SUMPRODUCT(--(($ALW$5:$ALW59=$ALW59)*($ALV$5:$ALV59&gt;=7)*($ALV$5:$ALV59&lt;=9)),$ANC$5:$ANC59),0)))))</f>
        <v/>
      </c>
      <c r="ANE59" s="12">
        <f>ANE58+ANC59-AND59</f>
        <v/>
      </c>
      <c r="ANF59" s="12">
        <f>IF(ProviderDelay&gt;=1,AMM58*BlendedProvPayEss+AMN58*BlendedProvPayPrem+AMO58*BlendedProvPayElite+AMP58*BlendedProvPayEss+AMQ58*BlendedProvPayPrem+AMR58*BlendedProvPayElite,AMM59*BlendedProvPayEss+AMN59*BlendedProvPayPrem+AMO59*BlendedProvPayElite+AMP59*BlendedProvPayEss+AMQ59*BlendedProvPayPrem+AMR59*BlendedProvPayElite)</f>
        <v/>
      </c>
      <c r="ANG59" s="12">
        <f>AMY59*PaymentFee</f>
        <v/>
      </c>
      <c r="ANH59" s="12">
        <f>AMS59*OpsAI</f>
        <v/>
      </c>
      <c r="ANI59" s="12">
        <f>MonthlyFixed</f>
        <v/>
      </c>
      <c r="ANJ59" s="12">
        <f>AMC59*ReferralReward</f>
        <v/>
      </c>
      <c r="ANK59" s="12">
        <f>AMA59</f>
        <v/>
      </c>
      <c r="ANL59" s="9">
        <f>ANB59-ANF59-ANG59-ANH59-ANI59-ANJ59-ANK59</f>
        <v/>
      </c>
      <c r="ANM59" s="9">
        <f>ANM58+AMY59-(ANF59+ANG59+ANH59+ANI59+ANJ59+ANK59+AND59)</f>
        <v/>
      </c>
      <c r="ANN59" s="12">
        <f>IF(AMS59&gt;0,AMT59/AMS59,0)</f>
        <v/>
      </c>
      <c r="ANO59" s="11">
        <f>IF(AMS58&gt;0,MAX(0,(AMS58+AMD59-AMS59)/AMS58),0)</f>
        <v/>
      </c>
      <c r="ANQ59" s="12" t="n">
        <v>55</v>
      </c>
      <c r="ANR59" s="12">
        <f>MOD(ANQ59-1+LaunchMonth-1,12)+1</f>
        <v/>
      </c>
      <c r="ANS59" s="12">
        <f>INT((ANQ59-1+LaunchMonth-1)/12)+1</f>
        <v/>
      </c>
      <c r="ANT59" s="12">
        <f>VLOOKUP(ANR59,SeasonTable,2,FALSE)</f>
        <v/>
      </c>
      <c r="ANU59" s="12">
        <f>(1+InflationRate)^INT((ANQ59-1)/12)</f>
        <v/>
      </c>
      <c r="ANV59" s="11">
        <f>MonthlyChurn*VLOOKUP(ANR59,ChurnSeasonTable,4,FALSE)</f>
        <v/>
      </c>
      <c r="ANW59" s="12">
        <f>MIN(MAX(MktMin19plus,AOU58*MktPct19plus),MAX(0,API58-CashBuffer))</f>
        <v/>
      </c>
      <c r="ANX59" s="12">
        <f>IF(ANW59&gt;0,MAX(1,ROUND(ANW59/'Sens - CAC &amp; Marketing'!$A$12*ANT59,0)),0)</f>
        <v/>
      </c>
      <c r="ANY59" s="12">
        <f>IF(ANX59&gt;0,ROUND(ANX59*ReferralMix/(1-ReferralMix),0),0)</f>
        <v/>
      </c>
      <c r="ANZ59" s="12">
        <f>ANX59+ANY59</f>
        <v/>
      </c>
      <c r="AOA59" s="12">
        <f>ROUND(ANZ59*(1-AnnualMix),0)</f>
        <v/>
      </c>
      <c r="AOB59" s="12">
        <f>ANZ59-AOA59</f>
        <v/>
      </c>
      <c r="AOC59" s="12">
        <f>ROUND(AOA59*EssentialMix,0)</f>
        <v/>
      </c>
      <c r="AOD59" s="12">
        <f>ROUND(AOA59*PremiumMix,0)</f>
        <v/>
      </c>
      <c r="AOE59" s="12">
        <f>AOA59-AOC59-AOD59</f>
        <v/>
      </c>
      <c r="AOF59" s="12">
        <f>ROUND(AOB59*EssentialMix,0)</f>
        <v/>
      </c>
      <c r="AOG59" s="12">
        <f>ROUND(AOB59*PremiumMix,0)</f>
        <v/>
      </c>
      <c r="AOH59" s="12">
        <f>AOB59-AOF59-AOG59</f>
        <v/>
      </c>
      <c r="AOI59" s="12">
        <f>AOC59+AOC58+AOC57+MAX(0,AOI58-AOC58-AOC57)*(1-ANV59)</f>
        <v/>
      </c>
      <c r="AOJ59" s="12">
        <f>AOD59+AOD58+AOD57+MAX(0,AOJ58-AOD58-AOD57)*(1-ANV59)</f>
        <v/>
      </c>
      <c r="AOK59" s="12">
        <f>AOE59+AOE58+AOE57+MAX(0,AOK58-AOE58-AOE57)*(1-ANV59)</f>
        <v/>
      </c>
      <c r="AOL59" s="12">
        <f>AOL58+AOF59-AOF47*(AnnualChurn*VLOOKUP(ANR59,ChurnSeasonTable,4,FALSE))*POWER(1-(AnnualChurn*VLOOKUP(ANR59,ChurnSeasonTable,4,FALSE)),0)+AOF35*(AnnualChurn*VLOOKUP(ANR59,ChurnSeasonTable,4,FALSE))*POWER(1-(AnnualChurn*VLOOKUP(ANR59,ChurnSeasonTable,4,FALSE)),1)+AOF23*(AnnualChurn*VLOOKUP(ANR59,ChurnSeasonTable,4,FALSE))*POWER(1-(AnnualChurn*VLOOKUP(ANR59,ChurnSeasonTable,4,FALSE)),2)+AOF11*(AnnualChurn*VLOOKUP(ANR59,ChurnSeasonTable,4,FALSE))*POWER(1-(AnnualChurn*VLOOKUP(ANR59,ChurnSeasonTable,4,FALSE)),3)</f>
        <v/>
      </c>
      <c r="AOM59" s="12">
        <f>AOM58+AOG59-AOG47*(AnnualChurn*VLOOKUP(ANR59,ChurnSeasonTable,4,FALSE))*POWER(1-(AnnualChurn*VLOOKUP(ANR59,ChurnSeasonTable,4,FALSE)),0)+AOG35*(AnnualChurn*VLOOKUP(ANR59,ChurnSeasonTable,4,FALSE))*POWER(1-(AnnualChurn*VLOOKUP(ANR59,ChurnSeasonTable,4,FALSE)),1)+AOG23*(AnnualChurn*VLOOKUP(ANR59,ChurnSeasonTable,4,FALSE))*POWER(1-(AnnualChurn*VLOOKUP(ANR59,ChurnSeasonTable,4,FALSE)),2)+AOG11*(AnnualChurn*VLOOKUP(ANR59,ChurnSeasonTable,4,FALSE))*POWER(1-(AnnualChurn*VLOOKUP(ANR59,ChurnSeasonTable,4,FALSE)),3)</f>
        <v/>
      </c>
      <c r="AON59" s="12">
        <f>AON58+AOH59-AOH47*(AnnualChurn*VLOOKUP(ANR59,ChurnSeasonTable,4,FALSE))*POWER(1-(AnnualChurn*VLOOKUP(ANR59,ChurnSeasonTable,4,FALSE)),0)+AOH35*(AnnualChurn*VLOOKUP(ANR59,ChurnSeasonTable,4,FALSE))*POWER(1-(AnnualChurn*VLOOKUP(ANR59,ChurnSeasonTable,4,FALSE)),1)+AOH23*(AnnualChurn*VLOOKUP(ANR59,ChurnSeasonTable,4,FALSE))*POWER(1-(AnnualChurn*VLOOKUP(ANR59,ChurnSeasonTable,4,FALSE)),2)+AOH11*(AnnualChurn*VLOOKUP(ANR59,ChurnSeasonTable,4,FALSE))*POWER(1-(AnnualChurn*VLOOKUP(ANR59,ChurnSeasonTable,4,FALSE)),3)</f>
        <v/>
      </c>
      <c r="AOO59" s="12">
        <f>AOI59+AOJ59+AOK59+AOL59+AOM59+AON59</f>
        <v/>
      </c>
      <c r="AOP59" s="9">
        <f>AOI59*BlendedPriceEssMonthly*ANU59+AOJ59*BlendedPricePremMonthly*ANU59+AOK59*BlendedPriceEliteMonthly*ANU59+AOL59*BlendedPriceEssAnnual*ANU59/12+AOM59*BlendedPricePremAnnual*ANU59/12+AON59*BlendedPriceEliteAnnual*ANU59/12</f>
        <v/>
      </c>
      <c r="AOQ59" s="9">
        <f>AOP59*12</f>
        <v/>
      </c>
      <c r="AOR59" s="12">
        <f>AOI59*BlendedPriceEssMonthly*ANU59+AOJ59*BlendedPricePremMonthly*ANU59+AOK59*BlendedPriceEliteMonthly*ANU59</f>
        <v/>
      </c>
      <c r="AOS59" s="12">
        <f>AOF59*BlendedPriceEssAnnual*ANU59+AOG59*BlendedPricePremAnnual*ANU59+AOH59*BlendedPriceEliteAnnual*ANU59</f>
        <v/>
      </c>
      <c r="AOT59" s="12">
        <f>AOF47*POWER(1-(AnnualChurn*VLOOKUP(ANR59,ChurnSeasonTable,4,FALSE)),1)*BlendedPriceEssAnnual*ANU59+AOF35*POWER(1-(AnnualChurn*VLOOKUP(ANR59,ChurnSeasonTable,4,FALSE)),2)*BlendedPriceEssAnnual*ANU59+AOF23*POWER(1-(AnnualChurn*VLOOKUP(ANR59,ChurnSeasonTable,4,FALSE)),3)*BlendedPriceEssAnnual*ANU59+AOF11*POWER(1-(AnnualChurn*VLOOKUP(ANR59,ChurnSeasonTable,4,FALSE)),4)*BlendedPriceEssAnnual*ANU59+AOG47*POWER(1-(AnnualChurn*VLOOKUP(ANR59,ChurnSeasonTable,4,FALSE)),1)*BlendedPricePremAnnual*ANU59+AOG35*POWER(1-(AnnualChurn*VLOOKUP(ANR59,ChurnSeasonTable,4,FALSE)),2)*BlendedPricePremAnnual*ANU59+AOG23*POWER(1-(AnnualChurn*VLOOKUP(ANR59,ChurnSeasonTable,4,FALSE)),3)*BlendedPricePremAnnual*ANU59+AOG11*POWER(1-(AnnualChurn*VLOOKUP(ANR59,ChurnSeasonTable,4,FALSE)),4)*BlendedPricePremAnnual*ANU59+AOH47*POWER(1-(AnnualChurn*VLOOKUP(ANR59,ChurnSeasonTable,4,FALSE)),1)*BlendedPriceEliteAnnual*ANU59+AOH35*POWER(1-(AnnualChurn*VLOOKUP(ANR59,ChurnSeasonTable,4,FALSE)),2)*BlendedPriceEliteAnnual*ANU59+AOH23*POWER(1-(AnnualChurn*VLOOKUP(ANR59,ChurnSeasonTable,4,FALSE)),3)*BlendedPriceEliteAnnual*ANU59+AOH11*POWER(1-(AnnualChurn*VLOOKUP(ANR59,ChurnSeasonTable,4,FALSE)),4)*BlendedPriceEliteAnnual*ANU59</f>
        <v/>
      </c>
      <c r="AOU59" s="9">
        <f>AOR59+AOS59+AOT59</f>
        <v/>
      </c>
      <c r="AOV59" s="12">
        <f>SUM(AOU48:AOU59)</f>
        <v/>
      </c>
      <c r="AOW59" s="12">
        <f>OR(AOW58,IF(VATAgentMode,SUM($AOU48:$AOU59)-SUM($APB48:$APB59)&gt;=VATThreshold,SUM($AOU48:$AOU59)&gt;=VATThreshold))</f>
        <v/>
      </c>
      <c r="AOX59" s="9">
        <f>IF(AOW59,IF(VATAgentMode,AOU59-((AOU59-APB59)-(AOU59-APB59)/(1+VATRate)),AOU59/(1+VATRate)),AOU59)</f>
        <v/>
      </c>
      <c r="AOY59" s="12">
        <f>AOU59-AOX59</f>
        <v/>
      </c>
      <c r="AOZ59" s="12">
        <f>IF(AOW59=0,0,IF(ANR59=1,SUMPRODUCT(--(($ANS$5:$ANS59=$ANS59-1)*($ANR$5:$ANR59&gt;=10)*($ANR$5:$ANR59&lt;=12)),$AOY$5:$AOY59),IF(ANR59=4,SUMPRODUCT(--(($ANS$5:$ANS59=$ANS59)*($ANR$5:$ANR59&gt;=1)*($ANR$5:$ANR59&lt;=3)),$AOY$5:$AOY59),IF(ANR59=7,SUMPRODUCT(--(($ANS$5:$ANS59=$ANS59)*($ANR$5:$ANR59&gt;=4)*($ANR$5:$ANR59&lt;=6)),$AOY$5:$AOY59),IF(ANR59=10,SUMPRODUCT(--(($ANS$5:$ANS59=$ANS59)*($ANR$5:$ANR59&gt;=7)*($ANR$5:$ANR59&lt;=9)),$AOY$5:$AOY59),0)))))</f>
        <v/>
      </c>
      <c r="APA59" s="12">
        <f>APA58+AOY59-AOZ59</f>
        <v/>
      </c>
      <c r="APB59" s="12">
        <f>IF(ProviderDelay&gt;=1,AOI58*BlendedProvPayEss+AOJ58*BlendedProvPayPrem+AOK58*BlendedProvPayElite+AOL58*BlendedProvPayEss+AOM58*BlendedProvPayPrem+AON58*BlendedProvPayElite,AOI59*BlendedProvPayEss+AOJ59*BlendedProvPayPrem+AOK59*BlendedProvPayElite+AOL59*BlendedProvPayEss+AOM59*BlendedProvPayPrem+AON59*BlendedProvPayElite)</f>
        <v/>
      </c>
      <c r="APC59" s="12">
        <f>AOU59*PaymentFee</f>
        <v/>
      </c>
      <c r="APD59" s="12">
        <f>AOO59*OpsAI</f>
        <v/>
      </c>
      <c r="APE59" s="12">
        <f>MonthlyFixed</f>
        <v/>
      </c>
      <c r="APF59" s="12">
        <f>ANY59*ReferralReward</f>
        <v/>
      </c>
      <c r="APG59" s="12">
        <f>ANW59</f>
        <v/>
      </c>
      <c r="APH59" s="9">
        <f>AOX59-APB59-APC59-APD59-APE59-APF59-APG59</f>
        <v/>
      </c>
      <c r="API59" s="9">
        <f>API58+AOU59-(APB59+APC59+APD59+APE59+APF59+APG59+AOZ59)</f>
        <v/>
      </c>
      <c r="APJ59" s="12">
        <f>IF(AOO59&gt;0,AOP59/AOO59,0)</f>
        <v/>
      </c>
      <c r="APK59" s="11">
        <f>IF(AOO58&gt;0,MAX(0,(AOO58+ANZ59-AOO59)/AOO58),0)</f>
        <v/>
      </c>
      <c r="APM59" s="12" t="n">
        <v>55</v>
      </c>
      <c r="APN59" s="12">
        <f>MOD(APM59-1+LaunchMonth-1,12)+1</f>
        <v/>
      </c>
      <c r="APO59" s="12">
        <f>INT((APM59-1+LaunchMonth-1)/12)+1</f>
        <v/>
      </c>
      <c r="APP59" s="12">
        <f>VLOOKUP(APN59,SeasonTable,2,FALSE)</f>
        <v/>
      </c>
      <c r="APQ59" s="12">
        <f>(1+InflationRate)^INT((APM59-1)/12)</f>
        <v/>
      </c>
      <c r="APR59" s="11">
        <f>MonthlyChurn*VLOOKUP(APN59,ChurnSeasonTable,4,FALSE)</f>
        <v/>
      </c>
      <c r="APS59" s="12">
        <f>MIN(MAX(MktMin19plus,AQQ58*MktPct19plus),MAX(0,ARE58-CashBuffer))</f>
        <v/>
      </c>
      <c r="APT59" s="12">
        <f>IF(APS59&gt;0,MAX(1,ROUND(APS59/'Sens - CAC &amp; Marketing'!$A$13*APP59,0)),0)</f>
        <v/>
      </c>
      <c r="APU59" s="12">
        <f>IF(APT59&gt;0,ROUND(APT59*ReferralMix/(1-ReferralMix),0),0)</f>
        <v/>
      </c>
      <c r="APV59" s="12">
        <f>APT59+APU59</f>
        <v/>
      </c>
      <c r="APW59" s="12">
        <f>ROUND(APV59*(1-AnnualMix),0)</f>
        <v/>
      </c>
      <c r="APX59" s="12">
        <f>APV59-APW59</f>
        <v/>
      </c>
      <c r="APY59" s="12">
        <f>ROUND(APW59*EssentialMix,0)</f>
        <v/>
      </c>
      <c r="APZ59" s="12">
        <f>ROUND(APW59*PremiumMix,0)</f>
        <v/>
      </c>
      <c r="AQA59" s="12">
        <f>APW59-APY59-APZ59</f>
        <v/>
      </c>
      <c r="AQB59" s="12">
        <f>ROUND(APX59*EssentialMix,0)</f>
        <v/>
      </c>
      <c r="AQC59" s="12">
        <f>ROUND(APX59*PremiumMix,0)</f>
        <v/>
      </c>
      <c r="AQD59" s="12">
        <f>APX59-AQB59-AQC59</f>
        <v/>
      </c>
      <c r="AQE59" s="12">
        <f>APY59+APY58+APY57+MAX(0,AQE58-APY58-APY57)*(1-APR59)</f>
        <v/>
      </c>
      <c r="AQF59" s="12">
        <f>APZ59+APZ58+APZ57+MAX(0,AQF58-APZ58-APZ57)*(1-APR59)</f>
        <v/>
      </c>
      <c r="AQG59" s="12">
        <f>AQA59+AQA58+AQA57+MAX(0,AQG58-AQA58-AQA57)*(1-APR59)</f>
        <v/>
      </c>
      <c r="AQH59" s="12">
        <f>AQH58+AQB59-AQB47*(AnnualChurn*VLOOKUP(APN59,ChurnSeasonTable,4,FALSE))*POWER(1-(AnnualChurn*VLOOKUP(APN59,ChurnSeasonTable,4,FALSE)),0)+AQB35*(AnnualChurn*VLOOKUP(APN59,ChurnSeasonTable,4,FALSE))*POWER(1-(AnnualChurn*VLOOKUP(APN59,ChurnSeasonTable,4,FALSE)),1)+AQB23*(AnnualChurn*VLOOKUP(APN59,ChurnSeasonTable,4,FALSE))*POWER(1-(AnnualChurn*VLOOKUP(APN59,ChurnSeasonTable,4,FALSE)),2)+AQB11*(AnnualChurn*VLOOKUP(APN59,ChurnSeasonTable,4,FALSE))*POWER(1-(AnnualChurn*VLOOKUP(APN59,ChurnSeasonTable,4,FALSE)),3)</f>
        <v/>
      </c>
      <c r="AQI59" s="12">
        <f>AQI58+AQC59-AQC47*(AnnualChurn*VLOOKUP(APN59,ChurnSeasonTable,4,FALSE))*POWER(1-(AnnualChurn*VLOOKUP(APN59,ChurnSeasonTable,4,FALSE)),0)+AQC35*(AnnualChurn*VLOOKUP(APN59,ChurnSeasonTable,4,FALSE))*POWER(1-(AnnualChurn*VLOOKUP(APN59,ChurnSeasonTable,4,FALSE)),1)+AQC23*(AnnualChurn*VLOOKUP(APN59,ChurnSeasonTable,4,FALSE))*POWER(1-(AnnualChurn*VLOOKUP(APN59,ChurnSeasonTable,4,FALSE)),2)+AQC11*(AnnualChurn*VLOOKUP(APN59,ChurnSeasonTable,4,FALSE))*POWER(1-(AnnualChurn*VLOOKUP(APN59,ChurnSeasonTable,4,FALSE)),3)</f>
        <v/>
      </c>
      <c r="AQJ59" s="12">
        <f>AQJ58+AQD59-AQD47*(AnnualChurn*VLOOKUP(APN59,ChurnSeasonTable,4,FALSE))*POWER(1-(AnnualChurn*VLOOKUP(APN59,ChurnSeasonTable,4,FALSE)),0)+AQD35*(AnnualChurn*VLOOKUP(APN59,ChurnSeasonTable,4,FALSE))*POWER(1-(AnnualChurn*VLOOKUP(APN59,ChurnSeasonTable,4,FALSE)),1)+AQD23*(AnnualChurn*VLOOKUP(APN59,ChurnSeasonTable,4,FALSE))*POWER(1-(AnnualChurn*VLOOKUP(APN59,ChurnSeasonTable,4,FALSE)),2)+AQD11*(AnnualChurn*VLOOKUP(APN59,ChurnSeasonTable,4,FALSE))*POWER(1-(AnnualChurn*VLOOKUP(APN59,ChurnSeasonTable,4,FALSE)),3)</f>
        <v/>
      </c>
      <c r="AQK59" s="12">
        <f>AQE59+AQF59+AQG59+AQH59+AQI59+AQJ59</f>
        <v/>
      </c>
      <c r="AQL59" s="9">
        <f>AQE59*BlendedPriceEssMonthly*APQ59+AQF59*BlendedPricePremMonthly*APQ59+AQG59*BlendedPriceEliteMonthly*APQ59+AQH59*BlendedPriceEssAnnual*APQ59/12+AQI59*BlendedPricePremAnnual*APQ59/12+AQJ59*BlendedPriceEliteAnnual*APQ59/12</f>
        <v/>
      </c>
      <c r="AQM59" s="9">
        <f>AQL59*12</f>
        <v/>
      </c>
      <c r="AQN59" s="12">
        <f>AQE59*BlendedPriceEssMonthly*APQ59+AQF59*BlendedPricePremMonthly*APQ59+AQG59*BlendedPriceEliteMonthly*APQ59</f>
        <v/>
      </c>
      <c r="AQO59" s="12">
        <f>AQB59*BlendedPriceEssAnnual*APQ59+AQC59*BlendedPricePremAnnual*APQ59+AQD59*BlendedPriceEliteAnnual*APQ59</f>
        <v/>
      </c>
      <c r="AQP59" s="12">
        <f>AQB47*POWER(1-(AnnualChurn*VLOOKUP(APN59,ChurnSeasonTable,4,FALSE)),1)*BlendedPriceEssAnnual*APQ59+AQB35*POWER(1-(AnnualChurn*VLOOKUP(APN59,ChurnSeasonTable,4,FALSE)),2)*BlendedPriceEssAnnual*APQ59+AQB23*POWER(1-(AnnualChurn*VLOOKUP(APN59,ChurnSeasonTable,4,FALSE)),3)*BlendedPriceEssAnnual*APQ59+AQB11*POWER(1-(AnnualChurn*VLOOKUP(APN59,ChurnSeasonTable,4,FALSE)),4)*BlendedPriceEssAnnual*APQ59+AQC47*POWER(1-(AnnualChurn*VLOOKUP(APN59,ChurnSeasonTable,4,FALSE)),1)*BlendedPricePremAnnual*APQ59+AQC35*POWER(1-(AnnualChurn*VLOOKUP(APN59,ChurnSeasonTable,4,FALSE)),2)*BlendedPricePremAnnual*APQ59+AQC23*POWER(1-(AnnualChurn*VLOOKUP(APN59,ChurnSeasonTable,4,FALSE)),3)*BlendedPricePremAnnual*APQ59+AQC11*POWER(1-(AnnualChurn*VLOOKUP(APN59,ChurnSeasonTable,4,FALSE)),4)*BlendedPricePremAnnual*APQ59+AQD47*POWER(1-(AnnualChurn*VLOOKUP(APN59,ChurnSeasonTable,4,FALSE)),1)*BlendedPriceEliteAnnual*APQ59+AQD35*POWER(1-(AnnualChurn*VLOOKUP(APN59,ChurnSeasonTable,4,FALSE)),2)*BlendedPriceEliteAnnual*APQ59+AQD23*POWER(1-(AnnualChurn*VLOOKUP(APN59,ChurnSeasonTable,4,FALSE)),3)*BlendedPriceEliteAnnual*APQ59+AQD11*POWER(1-(AnnualChurn*VLOOKUP(APN59,ChurnSeasonTable,4,FALSE)),4)*BlendedPriceEliteAnnual*APQ59</f>
        <v/>
      </c>
      <c r="AQQ59" s="9">
        <f>AQN59+AQO59+AQP59</f>
        <v/>
      </c>
      <c r="AQR59" s="12">
        <f>SUM(AQQ48:AQQ59)</f>
        <v/>
      </c>
      <c r="AQS59" s="12">
        <f>OR(AQS58,IF(VATAgentMode,SUM($AQQ48:$AQQ59)-SUM($AQX48:$AQX59)&gt;=VATThreshold,SUM($AQQ48:$AQQ59)&gt;=VATThreshold))</f>
        <v/>
      </c>
      <c r="AQT59" s="9">
        <f>IF(AQS59,IF(VATAgentMode,AQQ59-((AQQ59-AQX59)-(AQQ59-AQX59)/(1+VATRate)),AQQ59/(1+VATRate)),AQQ59)</f>
        <v/>
      </c>
      <c r="AQU59" s="12">
        <f>AQQ59-AQT59</f>
        <v/>
      </c>
      <c r="AQV59" s="12">
        <f>IF(AQS59=0,0,IF(APN59=1,SUMPRODUCT(--(($APO$5:$APO59=$APO59-1)*($APN$5:$APN59&gt;=10)*($APN$5:$APN59&lt;=12)),$AQU$5:$AQU59),IF(APN59=4,SUMPRODUCT(--(($APO$5:$APO59=$APO59)*($APN$5:$APN59&gt;=1)*($APN$5:$APN59&lt;=3)),$AQU$5:$AQU59),IF(APN59=7,SUMPRODUCT(--(($APO$5:$APO59=$APO59)*($APN$5:$APN59&gt;=4)*($APN$5:$APN59&lt;=6)),$AQU$5:$AQU59),IF(APN59=10,SUMPRODUCT(--(($APO$5:$APO59=$APO59)*($APN$5:$APN59&gt;=7)*($APN$5:$APN59&lt;=9)),$AQU$5:$AQU59),0)))))</f>
        <v/>
      </c>
      <c r="AQW59" s="12">
        <f>AQW58+AQU59-AQV59</f>
        <v/>
      </c>
      <c r="AQX59" s="12">
        <f>IF(ProviderDelay&gt;=1,AQE58*BlendedProvPayEss+AQF58*BlendedProvPayPrem+AQG58*BlendedProvPayElite+AQH58*BlendedProvPayEss+AQI58*BlendedProvPayPrem+AQJ58*BlendedProvPayElite,AQE59*BlendedProvPayEss+AQF59*BlendedProvPayPrem+AQG59*BlendedProvPayElite+AQH59*BlendedProvPayEss+AQI59*BlendedProvPayPrem+AQJ59*BlendedProvPayElite)</f>
        <v/>
      </c>
      <c r="AQY59" s="12">
        <f>AQQ59*PaymentFee</f>
        <v/>
      </c>
      <c r="AQZ59" s="12">
        <f>AQK59*OpsAI</f>
        <v/>
      </c>
      <c r="ARA59" s="12">
        <f>MonthlyFixed</f>
        <v/>
      </c>
      <c r="ARB59" s="12">
        <f>APU59*ReferralReward</f>
        <v/>
      </c>
      <c r="ARC59" s="12">
        <f>APS59</f>
        <v/>
      </c>
      <c r="ARD59" s="9">
        <f>AQT59-AQX59-AQY59-AQZ59-ARA59-ARB59-ARC59</f>
        <v/>
      </c>
      <c r="ARE59" s="9">
        <f>ARE58+AQQ59-(AQX59+AQY59+AQZ59+ARA59+ARB59+ARC59+AQV59)</f>
        <v/>
      </c>
      <c r="ARF59" s="12">
        <f>IF(AQK59&gt;0,AQL59/AQK59,0)</f>
        <v/>
      </c>
      <c r="ARG59" s="11">
        <f>IF(AQK58&gt;0,MAX(0,(AQK58+APV59-AQK59)/AQK58),0)</f>
        <v/>
      </c>
      <c r="ARI59" s="12" t="n">
        <v>55</v>
      </c>
      <c r="ARJ59" s="12">
        <f>MOD(ARI59-1+LaunchMonth-1,12)+1</f>
        <v/>
      </c>
      <c r="ARK59" s="12">
        <f>INT((ARI59-1+LaunchMonth-1)/12)+1</f>
        <v/>
      </c>
      <c r="ARL59" s="12">
        <f>VLOOKUP(ARJ59,SeasonTable,2,FALSE)</f>
        <v/>
      </c>
      <c r="ARM59" s="12">
        <f>(1+InflationRate)^INT((ARI59-1)/12)</f>
        <v/>
      </c>
      <c r="ARN59" s="11">
        <f>MonthlyChurn*VLOOKUP(ARJ59,ChurnSeasonTable,4,FALSE)</f>
        <v/>
      </c>
      <c r="ARO59" s="12">
        <f>MIN(MAX(MktMin19plus,ASM58*MktPct19plus),MAX(0,ATA58-CashBuffer))</f>
        <v/>
      </c>
      <c r="ARP59" s="12">
        <f>IF(ARO59&gt;0,MAX(1,ROUND(ARO59/'Sens - CAC &amp; Marketing'!$A$14*ARL59,0)),0)</f>
        <v/>
      </c>
      <c r="ARQ59" s="12">
        <f>IF(ARP59&gt;0,ROUND(ARP59*ReferralMix/(1-ReferralMix),0),0)</f>
        <v/>
      </c>
      <c r="ARR59" s="12">
        <f>ARP59+ARQ59</f>
        <v/>
      </c>
      <c r="ARS59" s="12">
        <f>ROUND(ARR59*(1-AnnualMix),0)</f>
        <v/>
      </c>
      <c r="ART59" s="12">
        <f>ARR59-ARS59</f>
        <v/>
      </c>
      <c r="ARU59" s="12">
        <f>ROUND(ARS59*EssentialMix,0)</f>
        <v/>
      </c>
      <c r="ARV59" s="12">
        <f>ROUND(ARS59*PremiumMix,0)</f>
        <v/>
      </c>
      <c r="ARW59" s="12">
        <f>ARS59-ARU59-ARV59</f>
        <v/>
      </c>
      <c r="ARX59" s="12">
        <f>ROUND(ART59*EssentialMix,0)</f>
        <v/>
      </c>
      <c r="ARY59" s="12">
        <f>ROUND(ART59*PremiumMix,0)</f>
        <v/>
      </c>
      <c r="ARZ59" s="12">
        <f>ART59-ARX59-ARY59</f>
        <v/>
      </c>
      <c r="ASA59" s="12">
        <f>ARU59+ARU58+ARU57+MAX(0,ASA58-ARU58-ARU57)*(1-ARN59)</f>
        <v/>
      </c>
      <c r="ASB59" s="12">
        <f>ARV59+ARV58+ARV57+MAX(0,ASB58-ARV58-ARV57)*(1-ARN59)</f>
        <v/>
      </c>
      <c r="ASC59" s="12">
        <f>ARW59+ARW58+ARW57+MAX(0,ASC58-ARW58-ARW57)*(1-ARN59)</f>
        <v/>
      </c>
      <c r="ASD59" s="12">
        <f>ASD58+ARX59-ARX47*(AnnualChurn*VLOOKUP(ARJ59,ChurnSeasonTable,4,FALSE))*POWER(1-(AnnualChurn*VLOOKUP(ARJ59,ChurnSeasonTable,4,FALSE)),0)+ARX35*(AnnualChurn*VLOOKUP(ARJ59,ChurnSeasonTable,4,FALSE))*POWER(1-(AnnualChurn*VLOOKUP(ARJ59,ChurnSeasonTable,4,FALSE)),1)+ARX23*(AnnualChurn*VLOOKUP(ARJ59,ChurnSeasonTable,4,FALSE))*POWER(1-(AnnualChurn*VLOOKUP(ARJ59,ChurnSeasonTable,4,FALSE)),2)+ARX11*(AnnualChurn*VLOOKUP(ARJ59,ChurnSeasonTable,4,FALSE))*POWER(1-(AnnualChurn*VLOOKUP(ARJ59,ChurnSeasonTable,4,FALSE)),3)</f>
        <v/>
      </c>
      <c r="ASE59" s="12">
        <f>ASE58+ARY59-ARY47*(AnnualChurn*VLOOKUP(ARJ59,ChurnSeasonTable,4,FALSE))*POWER(1-(AnnualChurn*VLOOKUP(ARJ59,ChurnSeasonTable,4,FALSE)),0)+ARY35*(AnnualChurn*VLOOKUP(ARJ59,ChurnSeasonTable,4,FALSE))*POWER(1-(AnnualChurn*VLOOKUP(ARJ59,ChurnSeasonTable,4,FALSE)),1)+ARY23*(AnnualChurn*VLOOKUP(ARJ59,ChurnSeasonTable,4,FALSE))*POWER(1-(AnnualChurn*VLOOKUP(ARJ59,ChurnSeasonTable,4,FALSE)),2)+ARY11*(AnnualChurn*VLOOKUP(ARJ59,ChurnSeasonTable,4,FALSE))*POWER(1-(AnnualChurn*VLOOKUP(ARJ59,ChurnSeasonTable,4,FALSE)),3)</f>
        <v/>
      </c>
      <c r="ASF59" s="12">
        <f>ASF58+ARZ59-ARZ47*(AnnualChurn*VLOOKUP(ARJ59,ChurnSeasonTable,4,FALSE))*POWER(1-(AnnualChurn*VLOOKUP(ARJ59,ChurnSeasonTable,4,FALSE)),0)+ARZ35*(AnnualChurn*VLOOKUP(ARJ59,ChurnSeasonTable,4,FALSE))*POWER(1-(AnnualChurn*VLOOKUP(ARJ59,ChurnSeasonTable,4,FALSE)),1)+ARZ23*(AnnualChurn*VLOOKUP(ARJ59,ChurnSeasonTable,4,FALSE))*POWER(1-(AnnualChurn*VLOOKUP(ARJ59,ChurnSeasonTable,4,FALSE)),2)+ARZ11*(AnnualChurn*VLOOKUP(ARJ59,ChurnSeasonTable,4,FALSE))*POWER(1-(AnnualChurn*VLOOKUP(ARJ59,ChurnSeasonTable,4,FALSE)),3)</f>
        <v/>
      </c>
      <c r="ASG59" s="12">
        <f>ASA59+ASB59+ASC59+ASD59+ASE59+ASF59</f>
        <v/>
      </c>
      <c r="ASH59" s="9">
        <f>ASA59*BlendedPriceEssMonthly*ARM59+ASB59*BlendedPricePremMonthly*ARM59+ASC59*BlendedPriceEliteMonthly*ARM59+ASD59*BlendedPriceEssAnnual*ARM59/12+ASE59*BlendedPricePremAnnual*ARM59/12+ASF59*BlendedPriceEliteAnnual*ARM59/12</f>
        <v/>
      </c>
      <c r="ASI59" s="9">
        <f>ASH59*12</f>
        <v/>
      </c>
      <c r="ASJ59" s="12">
        <f>ASA59*BlendedPriceEssMonthly*ARM59+ASB59*BlendedPricePremMonthly*ARM59+ASC59*BlendedPriceEliteMonthly*ARM59</f>
        <v/>
      </c>
      <c r="ASK59" s="12">
        <f>ARX59*BlendedPriceEssAnnual*ARM59+ARY59*BlendedPricePremAnnual*ARM59+ARZ59*BlendedPriceEliteAnnual*ARM59</f>
        <v/>
      </c>
      <c r="ASL59" s="12">
        <f>ARX47*POWER(1-(AnnualChurn*VLOOKUP(ARJ59,ChurnSeasonTable,4,FALSE)),1)*BlendedPriceEssAnnual*ARM59+ARX35*POWER(1-(AnnualChurn*VLOOKUP(ARJ59,ChurnSeasonTable,4,FALSE)),2)*BlendedPriceEssAnnual*ARM59+ARX23*POWER(1-(AnnualChurn*VLOOKUP(ARJ59,ChurnSeasonTable,4,FALSE)),3)*BlendedPriceEssAnnual*ARM59+ARX11*POWER(1-(AnnualChurn*VLOOKUP(ARJ59,ChurnSeasonTable,4,FALSE)),4)*BlendedPriceEssAnnual*ARM59+ARY47*POWER(1-(AnnualChurn*VLOOKUP(ARJ59,ChurnSeasonTable,4,FALSE)),1)*BlendedPricePremAnnual*ARM59+ARY35*POWER(1-(AnnualChurn*VLOOKUP(ARJ59,ChurnSeasonTable,4,FALSE)),2)*BlendedPricePremAnnual*ARM59+ARY23*POWER(1-(AnnualChurn*VLOOKUP(ARJ59,ChurnSeasonTable,4,FALSE)),3)*BlendedPricePremAnnual*ARM59+ARY11*POWER(1-(AnnualChurn*VLOOKUP(ARJ59,ChurnSeasonTable,4,FALSE)),4)*BlendedPricePremAnnual*ARM59+ARZ47*POWER(1-(AnnualChurn*VLOOKUP(ARJ59,ChurnSeasonTable,4,FALSE)),1)*BlendedPriceEliteAnnual*ARM59+ARZ35*POWER(1-(AnnualChurn*VLOOKUP(ARJ59,ChurnSeasonTable,4,FALSE)),2)*BlendedPriceEliteAnnual*ARM59+ARZ23*POWER(1-(AnnualChurn*VLOOKUP(ARJ59,ChurnSeasonTable,4,FALSE)),3)*BlendedPriceEliteAnnual*ARM59+ARZ11*POWER(1-(AnnualChurn*VLOOKUP(ARJ59,ChurnSeasonTable,4,FALSE)),4)*BlendedPriceEliteAnnual*ARM59</f>
        <v/>
      </c>
      <c r="ASM59" s="9">
        <f>ASJ59+ASK59+ASL59</f>
        <v/>
      </c>
      <c r="ASN59" s="12">
        <f>SUM(ASM48:ASM59)</f>
        <v/>
      </c>
      <c r="ASO59" s="12">
        <f>OR(ASO58,IF(VATAgentMode,SUM($ASM48:$ASM59)-SUM($AST48:$AST59)&gt;=VATThreshold,SUM($ASM48:$ASM59)&gt;=VATThreshold))</f>
        <v/>
      </c>
      <c r="ASP59" s="9">
        <f>IF(ASO59,IF(VATAgentMode,ASM59-((ASM59-AST59)-(ASM59-AST59)/(1+VATRate)),ASM59/(1+VATRate)),ASM59)</f>
        <v/>
      </c>
      <c r="ASQ59" s="12">
        <f>ASM59-ASP59</f>
        <v/>
      </c>
      <c r="ASR59" s="12">
        <f>IF(ASO59=0,0,IF(ARJ59=1,SUMPRODUCT(--(($ARK$5:$ARK59=$ARK59-1)*($ARJ$5:$ARJ59&gt;=10)*($ARJ$5:$ARJ59&lt;=12)),$ASQ$5:$ASQ59),IF(ARJ59=4,SUMPRODUCT(--(($ARK$5:$ARK59=$ARK59)*($ARJ$5:$ARJ59&gt;=1)*($ARJ$5:$ARJ59&lt;=3)),$ASQ$5:$ASQ59),IF(ARJ59=7,SUMPRODUCT(--(($ARK$5:$ARK59=$ARK59)*($ARJ$5:$ARJ59&gt;=4)*($ARJ$5:$ARJ59&lt;=6)),$ASQ$5:$ASQ59),IF(ARJ59=10,SUMPRODUCT(--(($ARK$5:$ARK59=$ARK59)*($ARJ$5:$ARJ59&gt;=7)*($ARJ$5:$ARJ59&lt;=9)),$ASQ$5:$ASQ59),0)))))</f>
        <v/>
      </c>
      <c r="ASS59" s="12">
        <f>ASS58+ASQ59-ASR59</f>
        <v/>
      </c>
      <c r="AST59" s="12">
        <f>IF(ProviderDelay&gt;=1,ASA58*BlendedProvPayEss+ASB58*BlendedProvPayPrem+ASC58*BlendedProvPayElite+ASD58*BlendedProvPayEss+ASE58*BlendedProvPayPrem+ASF58*BlendedProvPayElite,ASA59*BlendedProvPayEss+ASB59*BlendedProvPayPrem+ASC59*BlendedProvPayElite+ASD59*BlendedProvPayEss+ASE59*BlendedProvPayPrem+ASF59*BlendedProvPayElite)</f>
        <v/>
      </c>
      <c r="ASU59" s="12">
        <f>ASM59*PaymentFee</f>
        <v/>
      </c>
      <c r="ASV59" s="12">
        <f>ASG59*OpsAI</f>
        <v/>
      </c>
      <c r="ASW59" s="12">
        <f>MonthlyFixed</f>
        <v/>
      </c>
      <c r="ASX59" s="12">
        <f>ARQ59*ReferralReward</f>
        <v/>
      </c>
      <c r="ASY59" s="12">
        <f>ARO59</f>
        <v/>
      </c>
      <c r="ASZ59" s="9">
        <f>ASP59-AST59-ASU59-ASV59-ASW59-ASX59-ASY59</f>
        <v/>
      </c>
      <c r="ATA59" s="9">
        <f>ATA58+ASM59-(AST59+ASU59+ASV59+ASW59+ASX59+ASY59+ASR59)</f>
        <v/>
      </c>
      <c r="ATB59" s="12">
        <f>IF(ASG59&gt;0,ASH59/ASG59,0)</f>
        <v/>
      </c>
      <c r="ATC59" s="11">
        <f>IF(ASG58&gt;0,MAX(0,(ASG58+ARR59-ASG59)/ASG58),0)</f>
        <v/>
      </c>
      <c r="ATE59" s="12" t="n">
        <v>55</v>
      </c>
      <c r="ATF59" s="12">
        <f>MOD(ATE59-1+LaunchMonth-1,12)+1</f>
        <v/>
      </c>
      <c r="ATG59" s="12">
        <f>INT((ATE59-1+LaunchMonth-1)/12)+1</f>
        <v/>
      </c>
      <c r="ATH59" s="12">
        <f>VLOOKUP(ATF59,SeasonTable,2,FALSE)</f>
        <v/>
      </c>
      <c r="ATI59" s="12">
        <f>(1+InflationRate)^INT((ATE59-1)/12)</f>
        <v/>
      </c>
      <c r="ATJ59" s="11">
        <f>MonthlyChurn*VLOOKUP(ATF59,ChurnSeasonTable,4,FALSE)</f>
        <v/>
      </c>
      <c r="ATK59" s="12">
        <f>MIN(MAX(MktMin19plus,AUI58*MktPct19plus),MAX(0,AUW58-CashBuffer))</f>
        <v/>
      </c>
      <c r="ATL59" s="12">
        <f>IF(ATK59&gt;0,MAX(1,ROUND(ATK59/'Sens - CAC &amp; Marketing'!$A$15*ATH59,0)),0)</f>
        <v/>
      </c>
      <c r="ATM59" s="12">
        <f>IF(ATL59&gt;0,ROUND(ATL59*ReferralMix/(1-ReferralMix),0),0)</f>
        <v/>
      </c>
      <c r="ATN59" s="12">
        <f>ATL59+ATM59</f>
        <v/>
      </c>
      <c r="ATO59" s="12">
        <f>ROUND(ATN59*(1-AnnualMix),0)</f>
        <v/>
      </c>
      <c r="ATP59" s="12">
        <f>ATN59-ATO59</f>
        <v/>
      </c>
      <c r="ATQ59" s="12">
        <f>ROUND(ATO59*EssentialMix,0)</f>
        <v/>
      </c>
      <c r="ATR59" s="12">
        <f>ROUND(ATO59*PremiumMix,0)</f>
        <v/>
      </c>
      <c r="ATS59" s="12">
        <f>ATO59-ATQ59-ATR59</f>
        <v/>
      </c>
      <c r="ATT59" s="12">
        <f>ROUND(ATP59*EssentialMix,0)</f>
        <v/>
      </c>
      <c r="ATU59" s="12">
        <f>ROUND(ATP59*PremiumMix,0)</f>
        <v/>
      </c>
      <c r="ATV59" s="12">
        <f>ATP59-ATT59-ATU59</f>
        <v/>
      </c>
      <c r="ATW59" s="12">
        <f>ATQ59+ATQ58+ATQ57+MAX(0,ATW58-ATQ58-ATQ57)*(1-ATJ59)</f>
        <v/>
      </c>
      <c r="ATX59" s="12">
        <f>ATR59+ATR58+ATR57+MAX(0,ATX58-ATR58-ATR57)*(1-ATJ59)</f>
        <v/>
      </c>
      <c r="ATY59" s="12">
        <f>ATS59+ATS58+ATS57+MAX(0,ATY58-ATS58-ATS57)*(1-ATJ59)</f>
        <v/>
      </c>
      <c r="ATZ59" s="12">
        <f>ATZ58+ATT59-ATT47*(AnnualChurn*VLOOKUP(ATF59,ChurnSeasonTable,4,FALSE))*POWER(1-(AnnualChurn*VLOOKUP(ATF59,ChurnSeasonTable,4,FALSE)),0)+ATT35*(AnnualChurn*VLOOKUP(ATF59,ChurnSeasonTable,4,FALSE))*POWER(1-(AnnualChurn*VLOOKUP(ATF59,ChurnSeasonTable,4,FALSE)),1)+ATT23*(AnnualChurn*VLOOKUP(ATF59,ChurnSeasonTable,4,FALSE))*POWER(1-(AnnualChurn*VLOOKUP(ATF59,ChurnSeasonTable,4,FALSE)),2)+ATT11*(AnnualChurn*VLOOKUP(ATF59,ChurnSeasonTable,4,FALSE))*POWER(1-(AnnualChurn*VLOOKUP(ATF59,ChurnSeasonTable,4,FALSE)),3)</f>
        <v/>
      </c>
      <c r="AUA59" s="12">
        <f>AUA58+ATU59-ATU47*(AnnualChurn*VLOOKUP(ATF59,ChurnSeasonTable,4,FALSE))*POWER(1-(AnnualChurn*VLOOKUP(ATF59,ChurnSeasonTable,4,FALSE)),0)+ATU35*(AnnualChurn*VLOOKUP(ATF59,ChurnSeasonTable,4,FALSE))*POWER(1-(AnnualChurn*VLOOKUP(ATF59,ChurnSeasonTable,4,FALSE)),1)+ATU23*(AnnualChurn*VLOOKUP(ATF59,ChurnSeasonTable,4,FALSE))*POWER(1-(AnnualChurn*VLOOKUP(ATF59,ChurnSeasonTable,4,FALSE)),2)+ATU11*(AnnualChurn*VLOOKUP(ATF59,ChurnSeasonTable,4,FALSE))*POWER(1-(AnnualChurn*VLOOKUP(ATF59,ChurnSeasonTable,4,FALSE)),3)</f>
        <v/>
      </c>
      <c r="AUB59" s="12">
        <f>AUB58+ATV59-ATV47*(AnnualChurn*VLOOKUP(ATF59,ChurnSeasonTable,4,FALSE))*POWER(1-(AnnualChurn*VLOOKUP(ATF59,ChurnSeasonTable,4,FALSE)),0)+ATV35*(AnnualChurn*VLOOKUP(ATF59,ChurnSeasonTable,4,FALSE))*POWER(1-(AnnualChurn*VLOOKUP(ATF59,ChurnSeasonTable,4,FALSE)),1)+ATV23*(AnnualChurn*VLOOKUP(ATF59,ChurnSeasonTable,4,FALSE))*POWER(1-(AnnualChurn*VLOOKUP(ATF59,ChurnSeasonTable,4,FALSE)),2)+ATV11*(AnnualChurn*VLOOKUP(ATF59,ChurnSeasonTable,4,FALSE))*POWER(1-(AnnualChurn*VLOOKUP(ATF59,ChurnSeasonTable,4,FALSE)),3)</f>
        <v/>
      </c>
      <c r="AUC59" s="12">
        <f>ATW59+ATX59+ATY59+ATZ59+AUA59+AUB59</f>
        <v/>
      </c>
      <c r="AUD59" s="9">
        <f>ATW59*BlendedPriceEssMonthly*ATI59+ATX59*BlendedPricePremMonthly*ATI59+ATY59*BlendedPriceEliteMonthly*ATI59+ATZ59*BlendedPriceEssAnnual*ATI59/12+AUA59*BlendedPricePremAnnual*ATI59/12+AUB59*BlendedPriceEliteAnnual*ATI59/12</f>
        <v/>
      </c>
      <c r="AUE59" s="9">
        <f>AUD59*12</f>
        <v/>
      </c>
      <c r="AUF59" s="12">
        <f>ATW59*BlendedPriceEssMonthly*ATI59+ATX59*BlendedPricePremMonthly*ATI59+ATY59*BlendedPriceEliteMonthly*ATI59</f>
        <v/>
      </c>
      <c r="AUG59" s="12">
        <f>ATT59*BlendedPriceEssAnnual*ATI59+ATU59*BlendedPricePremAnnual*ATI59+ATV59*BlendedPriceEliteAnnual*ATI59</f>
        <v/>
      </c>
      <c r="AUH59" s="12">
        <f>ATT47*POWER(1-(AnnualChurn*VLOOKUP(ATF59,ChurnSeasonTable,4,FALSE)),1)*BlendedPriceEssAnnual*ATI59+ATT35*POWER(1-(AnnualChurn*VLOOKUP(ATF59,ChurnSeasonTable,4,FALSE)),2)*BlendedPriceEssAnnual*ATI59+ATT23*POWER(1-(AnnualChurn*VLOOKUP(ATF59,ChurnSeasonTable,4,FALSE)),3)*BlendedPriceEssAnnual*ATI59+ATT11*POWER(1-(AnnualChurn*VLOOKUP(ATF59,ChurnSeasonTable,4,FALSE)),4)*BlendedPriceEssAnnual*ATI59+ATU47*POWER(1-(AnnualChurn*VLOOKUP(ATF59,ChurnSeasonTable,4,FALSE)),1)*BlendedPricePremAnnual*ATI59+ATU35*POWER(1-(AnnualChurn*VLOOKUP(ATF59,ChurnSeasonTable,4,FALSE)),2)*BlendedPricePremAnnual*ATI59+ATU23*POWER(1-(AnnualChurn*VLOOKUP(ATF59,ChurnSeasonTable,4,FALSE)),3)*BlendedPricePremAnnual*ATI59+ATU11*POWER(1-(AnnualChurn*VLOOKUP(ATF59,ChurnSeasonTable,4,FALSE)),4)*BlendedPricePremAnnual*ATI59+ATV47*POWER(1-(AnnualChurn*VLOOKUP(ATF59,ChurnSeasonTable,4,FALSE)),1)*BlendedPriceEliteAnnual*ATI59+ATV35*POWER(1-(AnnualChurn*VLOOKUP(ATF59,ChurnSeasonTable,4,FALSE)),2)*BlendedPriceEliteAnnual*ATI59+ATV23*POWER(1-(AnnualChurn*VLOOKUP(ATF59,ChurnSeasonTable,4,FALSE)),3)*BlendedPriceEliteAnnual*ATI59+ATV11*POWER(1-(AnnualChurn*VLOOKUP(ATF59,ChurnSeasonTable,4,FALSE)),4)*BlendedPriceEliteAnnual*ATI59</f>
        <v/>
      </c>
      <c r="AUI59" s="9">
        <f>AUF59+AUG59+AUH59</f>
        <v/>
      </c>
      <c r="AUJ59" s="12">
        <f>SUM(AUI48:AUI59)</f>
        <v/>
      </c>
      <c r="AUK59" s="12">
        <f>OR(AUK58,IF(VATAgentMode,SUM($AUI48:$AUI59)-SUM($AUP48:$AUP59)&gt;=VATThreshold,SUM($AUI48:$AUI59)&gt;=VATThreshold))</f>
        <v/>
      </c>
      <c r="AUL59" s="9">
        <f>IF(AUK59,IF(VATAgentMode,AUI59-((AUI59-AUP59)-(AUI59-AUP59)/(1+VATRate)),AUI59/(1+VATRate)),AUI59)</f>
        <v/>
      </c>
      <c r="AUM59" s="12">
        <f>AUI59-AUL59</f>
        <v/>
      </c>
      <c r="AUN59" s="12">
        <f>IF(AUK59=0,0,IF(ATF59=1,SUMPRODUCT(--(($ATG$5:$ATG59=$ATG59-1)*($ATF$5:$ATF59&gt;=10)*($ATF$5:$ATF59&lt;=12)),$AUM$5:$AUM59),IF(ATF59=4,SUMPRODUCT(--(($ATG$5:$ATG59=$ATG59)*($ATF$5:$ATF59&gt;=1)*($ATF$5:$ATF59&lt;=3)),$AUM$5:$AUM59),IF(ATF59=7,SUMPRODUCT(--(($ATG$5:$ATG59=$ATG59)*($ATF$5:$ATF59&gt;=4)*($ATF$5:$ATF59&lt;=6)),$AUM$5:$AUM59),IF(ATF59=10,SUMPRODUCT(--(($ATG$5:$ATG59=$ATG59)*($ATF$5:$ATF59&gt;=7)*($ATF$5:$ATF59&lt;=9)),$AUM$5:$AUM59),0)))))</f>
        <v/>
      </c>
      <c r="AUO59" s="12">
        <f>AUO58+AUM59-AUN59</f>
        <v/>
      </c>
      <c r="AUP59" s="12">
        <f>IF(ProviderDelay&gt;=1,ATW58*BlendedProvPayEss+ATX58*BlendedProvPayPrem+ATY58*BlendedProvPayElite+ATZ58*BlendedProvPayEss+AUA58*BlendedProvPayPrem+AUB58*BlendedProvPayElite,ATW59*BlendedProvPayEss+ATX59*BlendedProvPayPrem+ATY59*BlendedProvPayElite+ATZ59*BlendedProvPayEss+AUA59*BlendedProvPayPrem+AUB59*BlendedProvPayElite)</f>
        <v/>
      </c>
      <c r="AUQ59" s="12">
        <f>AUI59*PaymentFee</f>
        <v/>
      </c>
      <c r="AUR59" s="12">
        <f>AUC59*OpsAI</f>
        <v/>
      </c>
      <c r="AUS59" s="12">
        <f>MonthlyFixed</f>
        <v/>
      </c>
      <c r="AUT59" s="12">
        <f>ATM59*ReferralReward</f>
        <v/>
      </c>
      <c r="AUU59" s="12">
        <f>ATK59</f>
        <v/>
      </c>
      <c r="AUV59" s="9">
        <f>AUL59-AUP59-AUQ59-AUR59-AUS59-AUT59-AUU59</f>
        <v/>
      </c>
      <c r="AUW59" s="9">
        <f>AUW58+AUI59-(AUP59+AUQ59+AUR59+AUS59+AUT59+AUU59+AUN59)</f>
        <v/>
      </c>
      <c r="AUX59" s="12">
        <f>IF(AUC59&gt;0,AUD59/AUC59,0)</f>
        <v/>
      </c>
      <c r="AUY59" s="11">
        <f>IF(AUC58&gt;0,MAX(0,(AUC58+ATN59-AUC59)/AUC58),0)</f>
        <v/>
      </c>
      <c r="AVA59" s="12" t="n">
        <v>55</v>
      </c>
      <c r="AVB59" s="12">
        <f>MOD(AVA59-1+LaunchMonth-1,12)+1</f>
        <v/>
      </c>
      <c r="AVC59" s="12">
        <f>INT((AVA59-1+LaunchMonth-1)/12)+1</f>
        <v/>
      </c>
      <c r="AVD59" s="12">
        <f>VLOOKUP(AVB59,WinterPivotSeasonTable,5,FALSE)</f>
        <v/>
      </c>
      <c r="AVE59" s="12">
        <f>(1+InflationRate)^INT((AVA59-1)/12)</f>
        <v/>
      </c>
      <c r="AVF59" s="11">
        <f>MonthlyChurn*VLOOKUP(AVB59,WinterPivotChurnTable,6,FALSE)</f>
        <v/>
      </c>
      <c r="AVG59" s="12">
        <f>MIN(MAX(MktMin19plus,AWE58*MktPct19plus),MAX(0,AWS58-CashBuffer))</f>
        <v/>
      </c>
      <c r="AVH59" s="12">
        <f>IF(AVG59&gt;0,MAX(1,ROUND(AVG59/CAC*AVD59,0)),0)</f>
        <v/>
      </c>
      <c r="AVI59" s="12">
        <f>IF(AVH59&gt;0,ROUND(AVH59*ReferralMix/(1-ReferralMix),0),0)</f>
        <v/>
      </c>
      <c r="AVJ59" s="12">
        <f>AVH59+AVI59</f>
        <v/>
      </c>
      <c r="AVK59" s="12">
        <f>ROUND(AVJ59*(1-AnnualMix),0)</f>
        <v/>
      </c>
      <c r="AVL59" s="12">
        <f>AVJ59-AVK59</f>
        <v/>
      </c>
      <c r="AVM59" s="12">
        <f>ROUND(AVK59*'Sens - Winter Pivot'!$B$6,0)</f>
        <v/>
      </c>
      <c r="AVN59" s="12">
        <f>ROUND(AVK59*PremiumMix,0)</f>
        <v/>
      </c>
      <c r="AVO59" s="12">
        <f>AVK59-AVM59-AVN59</f>
        <v/>
      </c>
      <c r="AVP59" s="12">
        <f>ROUND(AVL59*'Sens - Winter Pivot'!$B$6,0)</f>
        <v/>
      </c>
      <c r="AVQ59" s="12">
        <f>ROUND(AVL59*PremiumMix,0)</f>
        <v/>
      </c>
      <c r="AVR59" s="12">
        <f>AVL59-AVP59-AVQ59</f>
        <v/>
      </c>
      <c r="AVS59" s="12">
        <f>AVM59+AVM58+AVM57+MAX(0,AVS58-AVM58-AVM57)*(1-AVF59)</f>
        <v/>
      </c>
      <c r="AVT59" s="12">
        <f>AVN59+AVN58+AVN57+MAX(0,AVT58-AVN58-AVN57)*(1-AVF59)</f>
        <v/>
      </c>
      <c r="AVU59" s="12">
        <f>AVO59+AVO58+AVO57+MAX(0,AVU58-AVO58-AVO57)*(1-AVF59)</f>
        <v/>
      </c>
      <c r="AVV59" s="12">
        <f>AVV58+AVP59-AVP47*(AnnualChurn*VLOOKUP(AVB59,ChurnSeasonTable,4,FALSE))*POWER(1-(AnnualChurn*VLOOKUP(AVB59,ChurnSeasonTable,4,FALSE)),0)+AVP35*(AnnualChurn*VLOOKUP(AVB59,ChurnSeasonTable,4,FALSE))*POWER(1-(AnnualChurn*VLOOKUP(AVB59,ChurnSeasonTable,4,FALSE)),1)+AVP23*(AnnualChurn*VLOOKUP(AVB59,ChurnSeasonTable,4,FALSE))*POWER(1-(AnnualChurn*VLOOKUP(AVB59,ChurnSeasonTable,4,FALSE)),2)+AVP11*(AnnualChurn*VLOOKUP(AVB59,ChurnSeasonTable,4,FALSE))*POWER(1-(AnnualChurn*VLOOKUP(AVB59,ChurnSeasonTable,4,FALSE)),3)</f>
        <v/>
      </c>
      <c r="AVW59" s="12">
        <f>AVW58+AVQ59-AVQ47*(AnnualChurn*VLOOKUP(AVB59,ChurnSeasonTable,4,FALSE))*POWER(1-(AnnualChurn*VLOOKUP(AVB59,ChurnSeasonTable,4,FALSE)),0)+AVQ35*(AnnualChurn*VLOOKUP(AVB59,ChurnSeasonTable,4,FALSE))*POWER(1-(AnnualChurn*VLOOKUP(AVB59,ChurnSeasonTable,4,FALSE)),1)+AVQ23*(AnnualChurn*VLOOKUP(AVB59,ChurnSeasonTable,4,FALSE))*POWER(1-(AnnualChurn*VLOOKUP(AVB59,ChurnSeasonTable,4,FALSE)),2)+AVQ11*(AnnualChurn*VLOOKUP(AVB59,ChurnSeasonTable,4,FALSE))*POWER(1-(AnnualChurn*VLOOKUP(AVB59,ChurnSeasonTable,4,FALSE)),3)</f>
        <v/>
      </c>
      <c r="AVX59" s="12">
        <f>AVX58+AVR59-AVR47*(AnnualChurn*VLOOKUP(AVB59,ChurnSeasonTable,4,FALSE))*POWER(1-(AnnualChurn*VLOOKUP(AVB59,ChurnSeasonTable,4,FALSE)),0)+AVR35*(AnnualChurn*VLOOKUP(AVB59,ChurnSeasonTable,4,FALSE))*POWER(1-(AnnualChurn*VLOOKUP(AVB59,ChurnSeasonTable,4,FALSE)),1)+AVR23*(AnnualChurn*VLOOKUP(AVB59,ChurnSeasonTable,4,FALSE))*POWER(1-(AnnualChurn*VLOOKUP(AVB59,ChurnSeasonTable,4,FALSE)),2)+AVR11*(AnnualChurn*VLOOKUP(AVB59,ChurnSeasonTable,4,FALSE))*POWER(1-(AnnualChurn*VLOOKUP(AVB59,ChurnSeasonTable,4,FALSE)),3)</f>
        <v/>
      </c>
      <c r="AVY59" s="12">
        <f>AVS59+AVT59+AVU59+AVV59+AVW59+AVX59</f>
        <v/>
      </c>
      <c r="AVZ59" s="9">
        <f>AVS59*BlendedPriceEssMonthly*AVE59+AVT59*(BlendedPricePremMonthly+'Sens - Winter Pivot'!$B$7)*AVE59+AVU59*BlendedPriceEliteMonthly*AVE59+AVV59*BlendedPriceEssAnnual*AVE59/12+AVW59*(BlendedPricePremAnnual+'Sens - Winter Pivot'!$B$7*12)*AVE59/12+AVX59*BlendedPriceEliteAnnual*AVE59/12</f>
        <v/>
      </c>
      <c r="AWA59" s="9">
        <f>AVZ59*12</f>
        <v/>
      </c>
      <c r="AWB59" s="12">
        <f>AVS59*BlendedPriceEssMonthly*AVE59+AVT59*(BlendedPricePremMonthly+'Sens - Winter Pivot'!$B$7)*AVE59+AVU59*BlendedPriceEliteMonthly*AVE59</f>
        <v/>
      </c>
      <c r="AWC59" s="12">
        <f>AVP59*BlendedPriceEssAnnual*AVE59+AVQ59*(BlendedPricePremAnnual+'Sens - Winter Pivot'!$B$7*12)*AVE59+AVR59*BlendedPriceEliteAnnual*AVE59</f>
        <v/>
      </c>
      <c r="AWD59" s="12">
        <f>AVP47*POWER(1-(AnnualChurn*VLOOKUP(AVB59,ChurnSeasonTable,4,FALSE)),1)*BlendedPriceEssAnnual*AVE59+AVP35*POWER(1-(AnnualChurn*VLOOKUP(AVB59,ChurnSeasonTable,4,FALSE)),2)*BlendedPriceEssAnnual*AVE59+AVP23*POWER(1-(AnnualChurn*VLOOKUP(AVB59,ChurnSeasonTable,4,FALSE)),3)*BlendedPriceEssAnnual*AVE59+AVP11*POWER(1-(AnnualChurn*VLOOKUP(AVB59,ChurnSeasonTable,4,FALSE)),4)*BlendedPriceEssAnnual*AVE59+AVQ47*POWER(1-(AnnualChurn*VLOOKUP(AVB59,ChurnSeasonTable,4,FALSE)),1)*BlendedPricePremAnnual*AVE59+AVQ35*POWER(1-(AnnualChurn*VLOOKUP(AVB59,ChurnSeasonTable,4,FALSE)),2)*BlendedPricePremAnnual*AVE59+AVQ23*POWER(1-(AnnualChurn*VLOOKUP(AVB59,ChurnSeasonTable,4,FALSE)),3)*BlendedPricePremAnnual*AVE59+AVQ11*POWER(1-(AnnualChurn*VLOOKUP(AVB59,ChurnSeasonTable,4,FALSE)),4)*BlendedPricePremAnnual*AVE59+AVR47*POWER(1-(AnnualChurn*VLOOKUP(AVB59,ChurnSeasonTable,4,FALSE)),1)*BlendedPriceEliteAnnual*AVE59+AVR35*POWER(1-(AnnualChurn*VLOOKUP(AVB59,ChurnSeasonTable,4,FALSE)),2)*BlendedPriceEliteAnnual*AVE59+AVR23*POWER(1-(AnnualChurn*VLOOKUP(AVB59,ChurnSeasonTable,4,FALSE)),3)*BlendedPriceEliteAnnual*AVE59+AVR11*POWER(1-(AnnualChurn*VLOOKUP(AVB59,ChurnSeasonTable,4,FALSE)),4)*BlendedPriceEliteAnnual*AVE59</f>
        <v/>
      </c>
      <c r="AWE59" s="9">
        <f>AWB59+AWC59+AWD59</f>
        <v/>
      </c>
      <c r="AWF59" s="12">
        <f>SUM(AWE48:AWE59)</f>
        <v/>
      </c>
      <c r="AWG59" s="12">
        <f>OR(AWG58,IF(VATAgentMode,SUM($AWE48:$AWE59)-SUM($AWL48:$AWL59)&gt;=VATThreshold,SUM($AWE48:$AWE59)&gt;=VATThreshold))</f>
        <v/>
      </c>
      <c r="AWH59" s="9">
        <f>IF(AWG59,IF(VATAgentMode,AWE59-((AWE59-AWL59)-(AWE59-AWL59)/(1+VATRate)),AWE59/(1+VATRate)),AWE59)</f>
        <v/>
      </c>
      <c r="AWI59" s="12">
        <f>AWE59-AWH59</f>
        <v/>
      </c>
      <c r="AWJ59" s="12">
        <f>IF(AWG59=0,0,IF(AVB59=1,SUMPRODUCT(--(($AVC$5:$AVC59=$AVC59-1)*($AVB$5:$AVB59&gt;=10)*($AVB$5:$AVB59&lt;=12)),$AWI$5:$AWI59),IF(AVB59=4,SUMPRODUCT(--(($AVC$5:$AVC59=$AVC59)*($AVB$5:$AVB59&gt;=1)*($AVB$5:$AVB59&lt;=3)),$AWI$5:$AWI59),IF(AVB59=7,SUMPRODUCT(--(($AVC$5:$AVC59=$AVC59)*($AVB$5:$AVB59&gt;=4)*($AVB$5:$AVB59&lt;=6)),$AWI$5:$AWI59),IF(AVB59=10,SUMPRODUCT(--(($AVC$5:$AVC59=$AVC59)*($AVB$5:$AVB59&gt;=7)*($AVB$5:$AVB59&lt;=9)),$AWI$5:$AWI59),0)))))</f>
        <v/>
      </c>
      <c r="AWK59" s="12">
        <f>AWK58+AWI59-AWJ59</f>
        <v/>
      </c>
      <c r="AWL59" s="12">
        <f>IF(ProviderDelay&gt;=1,AVS58*BlendedProvPayEss+AVT58*BlendedProvPayPrem+AVU58*BlendedProvPayElite+AVV58*BlendedProvPayEss+AVW58*BlendedProvPayPrem+AVX58*BlendedProvPayElite,AVS59*BlendedProvPayEss+AVT59*BlendedProvPayPrem+AVU59*BlendedProvPayElite+AVV59*BlendedProvPayEss+AVW59*BlendedProvPayPrem+AVX59*BlendedProvPayElite)</f>
        <v/>
      </c>
      <c r="AWM59" s="12">
        <f>AWE59*PaymentFee</f>
        <v/>
      </c>
      <c r="AWN59" s="12">
        <f>AVY59*OpsAI</f>
        <v/>
      </c>
      <c r="AWO59" s="12">
        <f>MonthlyFixed</f>
        <v/>
      </c>
      <c r="AWP59" s="12">
        <f>AVI59*ReferralReward</f>
        <v/>
      </c>
      <c r="AWQ59" s="12">
        <f>AVG59</f>
        <v/>
      </c>
      <c r="AWR59" s="9">
        <f>AWH59-AWL59-AWM59-AWN59-AWO59-AWP59-AWQ59</f>
        <v/>
      </c>
      <c r="AWS59" s="9">
        <f>AWS58+AWE59-(AWL59+AWM59+AWN59+AWO59+AWP59+AWQ59+AWJ59)</f>
        <v/>
      </c>
      <c r="AWT59" s="12">
        <f>IF(AVY59&gt;0,AVZ59/AVY59,0)</f>
        <v/>
      </c>
      <c r="AWU59" s="11">
        <f>IF(AVY58&gt;0,MAX(0,(AVY58+AVJ59-AVY59)/AVY58),0)</f>
        <v/>
      </c>
    </row>
    <row r="60">
      <c r="A60" s="12" t="n">
        <v>56</v>
      </c>
      <c r="B60" s="12">
        <f>MOD(A60-1+LaunchMonth-1,12)+1</f>
        <v/>
      </c>
      <c r="C60" s="12">
        <f>INT((A60-1+LaunchMonth-1)/12)+1</f>
        <v/>
      </c>
      <c r="D60" s="12">
        <f>VLOOKUP(B60,SeasonTable,2,FALSE)</f>
        <v/>
      </c>
      <c r="E60" s="12">
        <f>(1+InflationRate)^INT((A60-1)/12)</f>
        <v/>
      </c>
      <c r="F60" s="11">
        <f>'Sens - Scenarios'!$B$5*VLOOKUP(B60,ChurnSeasonTable,4,FALSE)</f>
        <v/>
      </c>
      <c r="G60" s="12">
        <f>MIN(MAX(MktMin19plus,AE59*MktPct19plus),MAX(0,AS59-CashBuffer))</f>
        <v/>
      </c>
      <c r="H60" s="12">
        <f>IF(G60&gt;0,MAX(1,ROUND(G60/'Sens - Scenarios'!$B$8*D60,0)),0)</f>
        <v/>
      </c>
      <c r="I60" s="12">
        <f>IF(H60&gt;0,ROUND(H60*ReferralMix/(1-ReferralMix),0),0)</f>
        <v/>
      </c>
      <c r="J60" s="12">
        <f>H60+I60</f>
        <v/>
      </c>
      <c r="K60" s="12">
        <f>ROUND(J60*(1-'Sens - Scenarios'!$B$7),0)</f>
        <v/>
      </c>
      <c r="L60" s="12">
        <f>J60-K60</f>
        <v/>
      </c>
      <c r="M60" s="12">
        <f>ROUND(K60*EssentialMix,0)</f>
        <v/>
      </c>
      <c r="N60" s="12">
        <f>ROUND(K60*PremiumMix,0)</f>
        <v/>
      </c>
      <c r="O60" s="12">
        <f>K60-M60-N60</f>
        <v/>
      </c>
      <c r="P60" s="12">
        <f>ROUND(L60*EssentialMix,0)</f>
        <v/>
      </c>
      <c r="Q60" s="12">
        <f>ROUND(L60*PremiumMix,0)</f>
        <v/>
      </c>
      <c r="R60" s="12">
        <f>L60-P60-Q60</f>
        <v/>
      </c>
      <c r="S60" s="12">
        <f>M60+M59+M58+MAX(0,S59-M59-M58)*(1-F60)</f>
        <v/>
      </c>
      <c r="T60" s="12">
        <f>N60+N59+N58+MAX(0,T59-N59-N58)*(1-F60)</f>
        <v/>
      </c>
      <c r="U60" s="12">
        <f>O60+O59+O58+MAX(0,U59-O59-O58)*(1-F60)</f>
        <v/>
      </c>
      <c r="V60" s="12">
        <f>V59+P60-P48*('Sens - Scenarios'!$B$6*VLOOKUP(B60,ChurnSeasonTable,4,FALSE))*POWER(1-('Sens - Scenarios'!$B$6*VLOOKUP(B60,ChurnSeasonTable,4,FALSE)),0)+P36*('Sens - Scenarios'!$B$6*VLOOKUP(B60,ChurnSeasonTable,4,FALSE))*POWER(1-('Sens - Scenarios'!$B$6*VLOOKUP(B60,ChurnSeasonTable,4,FALSE)),1)+P24*('Sens - Scenarios'!$B$6*VLOOKUP(B60,ChurnSeasonTable,4,FALSE))*POWER(1-('Sens - Scenarios'!$B$6*VLOOKUP(B60,ChurnSeasonTable,4,FALSE)),2)+P12*('Sens - Scenarios'!$B$6*VLOOKUP(B60,ChurnSeasonTable,4,FALSE))*POWER(1-('Sens - Scenarios'!$B$6*VLOOKUP(B60,ChurnSeasonTable,4,FALSE)),3)</f>
        <v/>
      </c>
      <c r="W60" s="12">
        <f>W59+Q60-Q48*('Sens - Scenarios'!$B$6*VLOOKUP(B60,ChurnSeasonTable,4,FALSE))*POWER(1-('Sens - Scenarios'!$B$6*VLOOKUP(B60,ChurnSeasonTable,4,FALSE)),0)+Q36*('Sens - Scenarios'!$B$6*VLOOKUP(B60,ChurnSeasonTable,4,FALSE))*POWER(1-('Sens - Scenarios'!$B$6*VLOOKUP(B60,ChurnSeasonTable,4,FALSE)),1)+Q24*('Sens - Scenarios'!$B$6*VLOOKUP(B60,ChurnSeasonTable,4,FALSE))*POWER(1-('Sens - Scenarios'!$B$6*VLOOKUP(B60,ChurnSeasonTable,4,FALSE)),2)+Q12*('Sens - Scenarios'!$B$6*VLOOKUP(B60,ChurnSeasonTable,4,FALSE))*POWER(1-('Sens - Scenarios'!$B$6*VLOOKUP(B60,ChurnSeasonTable,4,FALSE)),3)</f>
        <v/>
      </c>
      <c r="X60" s="12">
        <f>X59+R60-R48*('Sens - Scenarios'!$B$6*VLOOKUP(B60,ChurnSeasonTable,4,FALSE))*POWER(1-('Sens - Scenarios'!$B$6*VLOOKUP(B60,ChurnSeasonTable,4,FALSE)),0)+R36*('Sens - Scenarios'!$B$6*VLOOKUP(B60,ChurnSeasonTable,4,FALSE))*POWER(1-('Sens - Scenarios'!$B$6*VLOOKUP(B60,ChurnSeasonTable,4,FALSE)),1)+R24*('Sens - Scenarios'!$B$6*VLOOKUP(B60,ChurnSeasonTable,4,FALSE))*POWER(1-('Sens - Scenarios'!$B$6*VLOOKUP(B60,ChurnSeasonTable,4,FALSE)),2)+R12*('Sens - Scenarios'!$B$6*VLOOKUP(B60,ChurnSeasonTable,4,FALSE))*POWER(1-('Sens - Scenarios'!$B$6*VLOOKUP(B60,ChurnSeasonTable,4,FALSE)),3)</f>
        <v/>
      </c>
      <c r="Y60" s="12">
        <f>S60+T60+U60+V60+W60+X60</f>
        <v/>
      </c>
      <c r="Z60" s="9">
        <f>S60*BlendedPriceEssMonthly*E60+T60*BlendedPricePremMonthly*E60+U60*BlendedPriceEliteMonthly*E60+V60*BlendedPriceEssAnnual*E60/12+W60*BlendedPricePremAnnual*E60/12+X60*BlendedPriceEliteAnnual*E60/12</f>
        <v/>
      </c>
      <c r="AA60" s="9">
        <f>Z60*12</f>
        <v/>
      </c>
      <c r="AB60" s="12">
        <f>S60*BlendedPriceEssMonthly*E60+T60*BlendedPricePremMonthly*E60+U60*BlendedPriceEliteMonthly*E60</f>
        <v/>
      </c>
      <c r="AC60" s="12">
        <f>P60*BlendedPriceEssAnnual*E60+Q60*BlendedPricePremAnnual*E60+R60*BlendedPriceEliteAnnual*E60</f>
        <v/>
      </c>
      <c r="AD60" s="12">
        <f>P48*POWER(1-('Sens - Scenarios'!$B$6*VLOOKUP(B60,ChurnSeasonTable,4,FALSE)),1)*BlendedPriceEssAnnual*E60+P36*POWER(1-('Sens - Scenarios'!$B$6*VLOOKUP(B60,ChurnSeasonTable,4,FALSE)),2)*BlendedPriceEssAnnual*E60+P24*POWER(1-('Sens - Scenarios'!$B$6*VLOOKUP(B60,ChurnSeasonTable,4,FALSE)),3)*BlendedPriceEssAnnual*E60+P12*POWER(1-('Sens - Scenarios'!$B$6*VLOOKUP(B60,ChurnSeasonTable,4,FALSE)),4)*BlendedPriceEssAnnual*E60+Q48*POWER(1-('Sens - Scenarios'!$B$6*VLOOKUP(B60,ChurnSeasonTable,4,FALSE)),1)*BlendedPricePremAnnual*E60+Q36*POWER(1-('Sens - Scenarios'!$B$6*VLOOKUP(B60,ChurnSeasonTable,4,FALSE)),2)*BlendedPricePremAnnual*E60+Q24*POWER(1-('Sens - Scenarios'!$B$6*VLOOKUP(B60,ChurnSeasonTable,4,FALSE)),3)*BlendedPricePremAnnual*E60+Q12*POWER(1-('Sens - Scenarios'!$B$6*VLOOKUP(B60,ChurnSeasonTable,4,FALSE)),4)*BlendedPricePremAnnual*E60+R48*POWER(1-('Sens - Scenarios'!$B$6*VLOOKUP(B60,ChurnSeasonTable,4,FALSE)),1)*BlendedPriceEliteAnnual*E60+R36*POWER(1-('Sens - Scenarios'!$B$6*VLOOKUP(B60,ChurnSeasonTable,4,FALSE)),2)*BlendedPriceEliteAnnual*E60+R24*POWER(1-('Sens - Scenarios'!$B$6*VLOOKUP(B60,ChurnSeasonTable,4,FALSE)),3)*BlendedPriceEliteAnnual*E60+R12*POWER(1-('Sens - Scenarios'!$B$6*VLOOKUP(B60,ChurnSeasonTable,4,FALSE)),4)*BlendedPriceEliteAnnual*E60</f>
        <v/>
      </c>
      <c r="AE60" s="9">
        <f>AB60+AC60+AD60</f>
        <v/>
      </c>
      <c r="AF60" s="12">
        <f>SUM(AE49:AE60)</f>
        <v/>
      </c>
      <c r="AG60" s="12">
        <f>OR(AG59,IF(VATAgentMode,SUM($AE49:$AE60)-SUM($AL49:$AL60)&gt;=VATThreshold,SUM($AE49:$AE60)&gt;=VATThreshold))</f>
        <v/>
      </c>
      <c r="AH60" s="9">
        <f>IF(AG60,IF(VATAgentMode,AE60-((AE60-AL60)-(AE60-AL60)/(1+VATRate)),AE60/(1+VATRate)),AE60)</f>
        <v/>
      </c>
      <c r="AI60" s="12">
        <f>AE60-AH60</f>
        <v/>
      </c>
      <c r="AJ60" s="12">
        <f>IF(AG60=0,0,IF(B60=1,SUMPRODUCT(--(($C$5:$C60=$C60-1)*($B$5:$B60&gt;=10)*($B$5:$B60&lt;=12)),$AI$5:$AI60),IF(B60=4,SUMPRODUCT(--(($C$5:$C60=$C60)*($B$5:$B60&gt;=1)*($B$5:$B60&lt;=3)),$AI$5:$AI60),IF(B60=7,SUMPRODUCT(--(($C$5:$C60=$C60)*($B$5:$B60&gt;=4)*($B$5:$B60&lt;=6)),$AI$5:$AI60),IF(B60=10,SUMPRODUCT(--(($C$5:$C60=$C60)*($B$5:$B60&gt;=7)*($B$5:$B60&lt;=9)),$AI$5:$AI60),0)))))</f>
        <v/>
      </c>
      <c r="AK60" s="12">
        <f>AK59+AI60-AJ60</f>
        <v/>
      </c>
      <c r="AL60" s="12">
        <f>IF(ProviderDelay&gt;=1,S59*BlendedProvPayEss+T59*BlendedProvPayPrem+U59*BlendedProvPayElite+V59*BlendedProvPayEss+W59*BlendedProvPayPrem+X59*BlendedProvPayElite,S60*BlendedProvPayEss+T60*BlendedProvPayPrem+U60*BlendedProvPayElite+V60*BlendedProvPayEss+W60*BlendedProvPayPrem+X60*BlendedProvPayElite)</f>
        <v/>
      </c>
      <c r="AM60" s="12">
        <f>AE60*PaymentFee</f>
        <v/>
      </c>
      <c r="AN60" s="12">
        <f>Y60*OpsAI</f>
        <v/>
      </c>
      <c r="AO60" s="12">
        <f>MonthlyFixed</f>
        <v/>
      </c>
      <c r="AP60" s="12">
        <f>I60*ReferralReward</f>
        <v/>
      </c>
      <c r="AQ60" s="12">
        <f>G60</f>
        <v/>
      </c>
      <c r="AR60" s="9">
        <f>AH60-AL60-AM60-AN60-AO60-AP60-AQ60</f>
        <v/>
      </c>
      <c r="AS60" s="9">
        <f>AS59+AE60-(AL60+AM60+AN60+AO60+AP60+AQ60+AJ60)</f>
        <v/>
      </c>
      <c r="AT60" s="12">
        <f>IF(Y60&gt;0,Z60/Y60,0)</f>
        <v/>
      </c>
      <c r="AU60" s="11">
        <f>IF(Y59&gt;0,MAX(0,(Y59+J60-Y60)/Y59),0)</f>
        <v/>
      </c>
      <c r="AW60" s="12" t="n">
        <v>56</v>
      </c>
      <c r="AX60" s="12">
        <f>MOD(AW60-1+LaunchMonth-1,12)+1</f>
        <v/>
      </c>
      <c r="AY60" s="12">
        <f>INT((AW60-1+LaunchMonth-1)/12)+1</f>
        <v/>
      </c>
      <c r="AZ60" s="12">
        <f>VLOOKUP(AX60,SeasonTable,2,FALSE)</f>
        <v/>
      </c>
      <c r="BA60" s="12">
        <f>(1+InflationRate)^INT((AW60-1)/12)</f>
        <v/>
      </c>
      <c r="BB60" s="11">
        <f>MonthlyChurn*VLOOKUP(AX60,ChurnSeasonTable,4,FALSE)</f>
        <v/>
      </c>
      <c r="BC60" s="12">
        <f>MIN(MAX(MktMin19plus,CA59*MktPct19plus),MAX(0,CO59-CashBuffer))</f>
        <v/>
      </c>
      <c r="BD60" s="12">
        <f>IF(BC60&gt;0,MAX(1,ROUND(BC60/CAC*AZ60,0)),0)</f>
        <v/>
      </c>
      <c r="BE60" s="12">
        <f>IF(BD60&gt;0,ROUND(BD60*ReferralMix/(1-ReferralMix),0),0)</f>
        <v/>
      </c>
      <c r="BF60" s="12">
        <f>BD60+BE60</f>
        <v/>
      </c>
      <c r="BG60" s="12">
        <f>ROUND(BF60*(1-AnnualMix),0)</f>
        <v/>
      </c>
      <c r="BH60" s="12">
        <f>BF60-BG60</f>
        <v/>
      </c>
      <c r="BI60" s="12">
        <f>ROUND(BG60*EssentialMix,0)</f>
        <v/>
      </c>
      <c r="BJ60" s="12">
        <f>ROUND(BG60*PremiumMix,0)</f>
        <v/>
      </c>
      <c r="BK60" s="12">
        <f>BG60-BI60-BJ60</f>
        <v/>
      </c>
      <c r="BL60" s="12">
        <f>ROUND(BH60*EssentialMix,0)</f>
        <v/>
      </c>
      <c r="BM60" s="12">
        <f>ROUND(BH60*PremiumMix,0)</f>
        <v/>
      </c>
      <c r="BN60" s="12">
        <f>BH60-BL60-BM60</f>
        <v/>
      </c>
      <c r="BO60" s="12">
        <f>BI60+BI59+BI58+MAX(0,BO59-BI59-BI58)*(1-BB60)</f>
        <v/>
      </c>
      <c r="BP60" s="12">
        <f>BJ60+BJ59+BJ58+MAX(0,BP59-BJ59-BJ58)*(1-BB60)</f>
        <v/>
      </c>
      <c r="BQ60" s="12">
        <f>BK60+BK59+BK58+MAX(0,BQ59-BK59-BK58)*(1-BB60)</f>
        <v/>
      </c>
      <c r="BR60" s="12">
        <f>BR59+BL60-BL48*(AnnualChurn*VLOOKUP(AX60,ChurnSeasonTable,4,FALSE))*POWER(1-(AnnualChurn*VLOOKUP(AX60,ChurnSeasonTable,4,FALSE)),0)+BL36*(AnnualChurn*VLOOKUP(AX60,ChurnSeasonTable,4,FALSE))*POWER(1-(AnnualChurn*VLOOKUP(AX60,ChurnSeasonTable,4,FALSE)),1)+BL24*(AnnualChurn*VLOOKUP(AX60,ChurnSeasonTable,4,FALSE))*POWER(1-(AnnualChurn*VLOOKUP(AX60,ChurnSeasonTable,4,FALSE)),2)+BL12*(AnnualChurn*VLOOKUP(AX60,ChurnSeasonTable,4,FALSE))*POWER(1-(AnnualChurn*VLOOKUP(AX60,ChurnSeasonTable,4,FALSE)),3)</f>
        <v/>
      </c>
      <c r="BS60" s="12">
        <f>BS59+BM60-BM48*(AnnualChurn*VLOOKUP(AX60,ChurnSeasonTable,4,FALSE))*POWER(1-(AnnualChurn*VLOOKUP(AX60,ChurnSeasonTable,4,FALSE)),0)+BM36*(AnnualChurn*VLOOKUP(AX60,ChurnSeasonTable,4,FALSE))*POWER(1-(AnnualChurn*VLOOKUP(AX60,ChurnSeasonTable,4,FALSE)),1)+BM24*(AnnualChurn*VLOOKUP(AX60,ChurnSeasonTable,4,FALSE))*POWER(1-(AnnualChurn*VLOOKUP(AX60,ChurnSeasonTable,4,FALSE)),2)+BM12*(AnnualChurn*VLOOKUP(AX60,ChurnSeasonTable,4,FALSE))*POWER(1-(AnnualChurn*VLOOKUP(AX60,ChurnSeasonTable,4,FALSE)),3)</f>
        <v/>
      </c>
      <c r="BT60" s="12">
        <f>BT59+BN60-BN48*(AnnualChurn*VLOOKUP(AX60,ChurnSeasonTable,4,FALSE))*POWER(1-(AnnualChurn*VLOOKUP(AX60,ChurnSeasonTable,4,FALSE)),0)+BN36*(AnnualChurn*VLOOKUP(AX60,ChurnSeasonTable,4,FALSE))*POWER(1-(AnnualChurn*VLOOKUP(AX60,ChurnSeasonTable,4,FALSE)),1)+BN24*(AnnualChurn*VLOOKUP(AX60,ChurnSeasonTable,4,FALSE))*POWER(1-(AnnualChurn*VLOOKUP(AX60,ChurnSeasonTable,4,FALSE)),2)+BN12*(AnnualChurn*VLOOKUP(AX60,ChurnSeasonTable,4,FALSE))*POWER(1-(AnnualChurn*VLOOKUP(AX60,ChurnSeasonTable,4,FALSE)),3)</f>
        <v/>
      </c>
      <c r="BU60" s="12">
        <f>BO60+BP60+BQ60+BR60+BS60+BT60</f>
        <v/>
      </c>
      <c r="BV60" s="9">
        <f>BO60*BlendedPriceEssMonthly*BA60+BP60*BlendedPricePremMonthly*BA60+BQ60*BlendedPriceEliteMonthly*BA60+BR60*BlendedPriceEssAnnual*BA60/12+BS60*BlendedPricePremAnnual*BA60/12+BT60*BlendedPriceEliteAnnual*BA60/12</f>
        <v/>
      </c>
      <c r="BW60" s="9">
        <f>BV60*12</f>
        <v/>
      </c>
      <c r="BX60" s="12">
        <f>BO60*BlendedPriceEssMonthly*BA60+BP60*BlendedPricePremMonthly*BA60+BQ60*BlendedPriceEliteMonthly*BA60</f>
        <v/>
      </c>
      <c r="BY60" s="12">
        <f>BL60*BlendedPriceEssAnnual*BA60+BM60*BlendedPricePremAnnual*BA60+BN60*BlendedPriceEliteAnnual*BA60</f>
        <v/>
      </c>
      <c r="BZ60" s="12">
        <f>BL48*POWER(1-(AnnualChurn*VLOOKUP(AX60,ChurnSeasonTable,4,FALSE)),1)*BlendedPriceEssAnnual*BA60+BL36*POWER(1-(AnnualChurn*VLOOKUP(AX60,ChurnSeasonTable,4,FALSE)),2)*BlendedPriceEssAnnual*BA60+BL24*POWER(1-(AnnualChurn*VLOOKUP(AX60,ChurnSeasonTable,4,FALSE)),3)*BlendedPriceEssAnnual*BA60+BL12*POWER(1-(AnnualChurn*VLOOKUP(AX60,ChurnSeasonTable,4,FALSE)),4)*BlendedPriceEssAnnual*BA60+BM48*POWER(1-(AnnualChurn*VLOOKUP(AX60,ChurnSeasonTable,4,FALSE)),1)*BlendedPricePremAnnual*BA60+BM36*POWER(1-(AnnualChurn*VLOOKUP(AX60,ChurnSeasonTable,4,FALSE)),2)*BlendedPricePremAnnual*BA60+BM24*POWER(1-(AnnualChurn*VLOOKUP(AX60,ChurnSeasonTable,4,FALSE)),3)*BlendedPricePremAnnual*BA60+BM12*POWER(1-(AnnualChurn*VLOOKUP(AX60,ChurnSeasonTable,4,FALSE)),4)*BlendedPricePremAnnual*BA60+BN48*POWER(1-(AnnualChurn*VLOOKUP(AX60,ChurnSeasonTable,4,FALSE)),1)*BlendedPriceEliteAnnual*BA60+BN36*POWER(1-(AnnualChurn*VLOOKUP(AX60,ChurnSeasonTable,4,FALSE)),2)*BlendedPriceEliteAnnual*BA60+BN24*POWER(1-(AnnualChurn*VLOOKUP(AX60,ChurnSeasonTable,4,FALSE)),3)*BlendedPriceEliteAnnual*BA60+BN12*POWER(1-(AnnualChurn*VLOOKUP(AX60,ChurnSeasonTable,4,FALSE)),4)*BlendedPriceEliteAnnual*BA60</f>
        <v/>
      </c>
      <c r="CA60" s="9">
        <f>BX60+BY60+BZ60</f>
        <v/>
      </c>
      <c r="CB60" s="12">
        <f>SUM(CA49:CA60)</f>
        <v/>
      </c>
      <c r="CC60" s="12">
        <f>OR(CC59,IF(VATAgentMode,SUM($CA49:$CA60)-SUM($CH49:$CH60)&gt;=VATThreshold,SUM($CA49:$CA60)&gt;=VATThreshold))</f>
        <v/>
      </c>
      <c r="CD60" s="9">
        <f>IF(CC60,IF(VATAgentMode,CA60-((CA60-CH60)-(CA60-CH60)/(1+VATRate)),CA60/(1+VATRate)),CA60)</f>
        <v/>
      </c>
      <c r="CE60" s="12">
        <f>CA60-CD60</f>
        <v/>
      </c>
      <c r="CF60" s="12">
        <f>IF(CC60=0,0,IF(AX60=1,SUMPRODUCT(--(($AY$5:$AY60=$AY60-1)*($AX$5:$AX60&gt;=10)*($AX$5:$AX60&lt;=12)),$CE$5:$CE60),IF(AX60=4,SUMPRODUCT(--(($AY$5:$AY60=$AY60)*($AX$5:$AX60&gt;=1)*($AX$5:$AX60&lt;=3)),$CE$5:$CE60),IF(AX60=7,SUMPRODUCT(--(($AY$5:$AY60=$AY60)*($AX$5:$AX60&gt;=4)*($AX$5:$AX60&lt;=6)),$CE$5:$CE60),IF(AX60=10,SUMPRODUCT(--(($AY$5:$AY60=$AY60)*($AX$5:$AX60&gt;=7)*($AX$5:$AX60&lt;=9)),$CE$5:$CE60),0)))))</f>
        <v/>
      </c>
      <c r="CG60" s="12">
        <f>CG59+CE60-CF60</f>
        <v/>
      </c>
      <c r="CH60" s="12">
        <f>IF(ProviderDelay&gt;=1,BO59*BlendedProvPayEss+BP59*BlendedProvPayPrem+BQ59*BlendedProvPayElite+BR59*BlendedProvPayEss+BS59*BlendedProvPayPrem+BT59*BlendedProvPayElite,BO60*BlendedProvPayEss+BP60*BlendedProvPayPrem+BQ60*BlendedProvPayElite+BR60*BlendedProvPayEss+BS60*BlendedProvPayPrem+BT60*BlendedProvPayElite)</f>
        <v/>
      </c>
      <c r="CI60" s="12">
        <f>CA60*PaymentFee</f>
        <v/>
      </c>
      <c r="CJ60" s="12">
        <f>BU60*OpsAI</f>
        <v/>
      </c>
      <c r="CK60" s="12">
        <f>MonthlyFixed</f>
        <v/>
      </c>
      <c r="CL60" s="12">
        <f>BE60*ReferralReward</f>
        <v/>
      </c>
      <c r="CM60" s="12">
        <f>BC60</f>
        <v/>
      </c>
      <c r="CN60" s="9">
        <f>CD60-CH60-CI60-CJ60-CK60-CL60-CM60</f>
        <v/>
      </c>
      <c r="CO60" s="9">
        <f>CO59+CA60-(CH60+CI60+CJ60+CK60+CL60+CM60+CF60)</f>
        <v/>
      </c>
      <c r="CP60" s="12">
        <f>IF(BU60&gt;0,BV60/BU60,0)</f>
        <v/>
      </c>
      <c r="CQ60" s="11">
        <f>IF(BU59&gt;0,MAX(0,(BU59+BF60-BU60)/BU59),0)</f>
        <v/>
      </c>
      <c r="CS60" s="12" t="n">
        <v>56</v>
      </c>
      <c r="CT60" s="12">
        <f>MOD(CS60-1+LaunchMonth-1,12)+1</f>
        <v/>
      </c>
      <c r="CU60" s="12">
        <f>INT((CS60-1+LaunchMonth-1)/12)+1</f>
        <v/>
      </c>
      <c r="CV60" s="12">
        <f>VLOOKUP(CT60,SeasonTable,2,FALSE)</f>
        <v/>
      </c>
      <c r="CW60" s="12">
        <f>(1+InflationRate)^INT((CS60-1)/12)</f>
        <v/>
      </c>
      <c r="CX60" s="11">
        <f>'Sens - Scenarios'!$D$5*VLOOKUP(CT60,ChurnSeasonTable,4,FALSE)</f>
        <v/>
      </c>
      <c r="CY60" s="12">
        <f>MIN(MAX(MktMin19plus,DW59*MktPct19plus),MAX(0,EK59-CashBuffer))</f>
        <v/>
      </c>
      <c r="CZ60" s="12">
        <f>IF(CY60&gt;0,MAX(1,ROUND(CY60/'Sens - Scenarios'!$D$8*CV60,0)),0)</f>
        <v/>
      </c>
      <c r="DA60" s="12">
        <f>IF(CZ60&gt;0,ROUND(CZ60*ReferralMix/(1-ReferralMix),0),0)</f>
        <v/>
      </c>
      <c r="DB60" s="12">
        <f>CZ60+DA60</f>
        <v/>
      </c>
      <c r="DC60" s="12">
        <f>ROUND(DB60*(1-'Sens - Scenarios'!$D$7),0)</f>
        <v/>
      </c>
      <c r="DD60" s="12">
        <f>DB60-DC60</f>
        <v/>
      </c>
      <c r="DE60" s="12">
        <f>ROUND(DC60*EssentialMix,0)</f>
        <v/>
      </c>
      <c r="DF60" s="12">
        <f>ROUND(DC60*PremiumMix,0)</f>
        <v/>
      </c>
      <c r="DG60" s="12">
        <f>DC60-DE60-DF60</f>
        <v/>
      </c>
      <c r="DH60" s="12">
        <f>ROUND(DD60*EssentialMix,0)</f>
        <v/>
      </c>
      <c r="DI60" s="12">
        <f>ROUND(DD60*PremiumMix,0)</f>
        <v/>
      </c>
      <c r="DJ60" s="12">
        <f>DD60-DH60-DI60</f>
        <v/>
      </c>
      <c r="DK60" s="12">
        <f>DE60+DE59+DE58+MAX(0,DK59-DE59-DE58)*(1-CX60)</f>
        <v/>
      </c>
      <c r="DL60" s="12">
        <f>DF60+DF59+DF58+MAX(0,DL59-DF59-DF58)*(1-CX60)</f>
        <v/>
      </c>
      <c r="DM60" s="12">
        <f>DG60+DG59+DG58+MAX(0,DM59-DG59-DG58)*(1-CX60)</f>
        <v/>
      </c>
      <c r="DN60" s="12">
        <f>DN59+DH60-DH48*('Sens - Scenarios'!$D$6*VLOOKUP(CT60,ChurnSeasonTable,4,FALSE))*POWER(1-('Sens - Scenarios'!$D$6*VLOOKUP(CT60,ChurnSeasonTable,4,FALSE)),0)+DH36*('Sens - Scenarios'!$D$6*VLOOKUP(CT60,ChurnSeasonTable,4,FALSE))*POWER(1-('Sens - Scenarios'!$D$6*VLOOKUP(CT60,ChurnSeasonTable,4,FALSE)),1)+DH24*('Sens - Scenarios'!$D$6*VLOOKUP(CT60,ChurnSeasonTable,4,FALSE))*POWER(1-('Sens - Scenarios'!$D$6*VLOOKUP(CT60,ChurnSeasonTable,4,FALSE)),2)+DH12*('Sens - Scenarios'!$D$6*VLOOKUP(CT60,ChurnSeasonTable,4,FALSE))*POWER(1-('Sens - Scenarios'!$D$6*VLOOKUP(CT60,ChurnSeasonTable,4,FALSE)),3)</f>
        <v/>
      </c>
      <c r="DO60" s="12">
        <f>DO59+DI60-DI48*('Sens - Scenarios'!$D$6*VLOOKUP(CT60,ChurnSeasonTable,4,FALSE))*POWER(1-('Sens - Scenarios'!$D$6*VLOOKUP(CT60,ChurnSeasonTable,4,FALSE)),0)+DI36*('Sens - Scenarios'!$D$6*VLOOKUP(CT60,ChurnSeasonTable,4,FALSE))*POWER(1-('Sens - Scenarios'!$D$6*VLOOKUP(CT60,ChurnSeasonTable,4,FALSE)),1)+DI24*('Sens - Scenarios'!$D$6*VLOOKUP(CT60,ChurnSeasonTable,4,FALSE))*POWER(1-('Sens - Scenarios'!$D$6*VLOOKUP(CT60,ChurnSeasonTable,4,FALSE)),2)+DI12*('Sens - Scenarios'!$D$6*VLOOKUP(CT60,ChurnSeasonTable,4,FALSE))*POWER(1-('Sens - Scenarios'!$D$6*VLOOKUP(CT60,ChurnSeasonTable,4,FALSE)),3)</f>
        <v/>
      </c>
      <c r="DP60" s="12">
        <f>DP59+DJ60-DJ48*('Sens - Scenarios'!$D$6*VLOOKUP(CT60,ChurnSeasonTable,4,FALSE))*POWER(1-('Sens - Scenarios'!$D$6*VLOOKUP(CT60,ChurnSeasonTable,4,FALSE)),0)+DJ36*('Sens - Scenarios'!$D$6*VLOOKUP(CT60,ChurnSeasonTable,4,FALSE))*POWER(1-('Sens - Scenarios'!$D$6*VLOOKUP(CT60,ChurnSeasonTable,4,FALSE)),1)+DJ24*('Sens - Scenarios'!$D$6*VLOOKUP(CT60,ChurnSeasonTable,4,FALSE))*POWER(1-('Sens - Scenarios'!$D$6*VLOOKUP(CT60,ChurnSeasonTable,4,FALSE)),2)+DJ12*('Sens - Scenarios'!$D$6*VLOOKUP(CT60,ChurnSeasonTable,4,FALSE))*POWER(1-('Sens - Scenarios'!$D$6*VLOOKUP(CT60,ChurnSeasonTable,4,FALSE)),3)</f>
        <v/>
      </c>
      <c r="DQ60" s="12">
        <f>DK60+DL60+DM60+DN60+DO60+DP60</f>
        <v/>
      </c>
      <c r="DR60" s="9">
        <f>DK60*BlendedPriceEssMonthly*CW60+DL60*BlendedPricePremMonthly*CW60+DM60*BlendedPriceEliteMonthly*CW60+DN60*BlendedPriceEssAnnual*CW60/12+DO60*BlendedPricePremAnnual*CW60/12+DP60*BlendedPriceEliteAnnual*CW60/12</f>
        <v/>
      </c>
      <c r="DS60" s="9">
        <f>DR60*12</f>
        <v/>
      </c>
      <c r="DT60" s="12">
        <f>DK60*BlendedPriceEssMonthly*CW60+DL60*BlendedPricePremMonthly*CW60+DM60*BlendedPriceEliteMonthly*CW60</f>
        <v/>
      </c>
      <c r="DU60" s="12">
        <f>DH60*BlendedPriceEssAnnual*CW60+DI60*BlendedPricePremAnnual*CW60+DJ60*BlendedPriceEliteAnnual*CW60</f>
        <v/>
      </c>
      <c r="DV60" s="12">
        <f>DH48*POWER(1-('Sens - Scenarios'!$D$6*VLOOKUP(CT60,ChurnSeasonTable,4,FALSE)),1)*BlendedPriceEssAnnual*CW60+DH36*POWER(1-('Sens - Scenarios'!$D$6*VLOOKUP(CT60,ChurnSeasonTable,4,FALSE)),2)*BlendedPriceEssAnnual*CW60+DH24*POWER(1-('Sens - Scenarios'!$D$6*VLOOKUP(CT60,ChurnSeasonTable,4,FALSE)),3)*BlendedPriceEssAnnual*CW60+DH12*POWER(1-('Sens - Scenarios'!$D$6*VLOOKUP(CT60,ChurnSeasonTable,4,FALSE)),4)*BlendedPriceEssAnnual*CW60+DI48*POWER(1-('Sens - Scenarios'!$D$6*VLOOKUP(CT60,ChurnSeasonTable,4,FALSE)),1)*BlendedPricePremAnnual*CW60+DI36*POWER(1-('Sens - Scenarios'!$D$6*VLOOKUP(CT60,ChurnSeasonTable,4,FALSE)),2)*BlendedPricePremAnnual*CW60+DI24*POWER(1-('Sens - Scenarios'!$D$6*VLOOKUP(CT60,ChurnSeasonTable,4,FALSE)),3)*BlendedPricePremAnnual*CW60+DI12*POWER(1-('Sens - Scenarios'!$D$6*VLOOKUP(CT60,ChurnSeasonTable,4,FALSE)),4)*BlendedPricePremAnnual*CW60+DJ48*POWER(1-('Sens - Scenarios'!$D$6*VLOOKUP(CT60,ChurnSeasonTable,4,FALSE)),1)*BlendedPriceEliteAnnual*CW60+DJ36*POWER(1-('Sens - Scenarios'!$D$6*VLOOKUP(CT60,ChurnSeasonTable,4,FALSE)),2)*BlendedPriceEliteAnnual*CW60+DJ24*POWER(1-('Sens - Scenarios'!$D$6*VLOOKUP(CT60,ChurnSeasonTable,4,FALSE)),3)*BlendedPriceEliteAnnual*CW60+DJ12*POWER(1-('Sens - Scenarios'!$D$6*VLOOKUP(CT60,ChurnSeasonTable,4,FALSE)),4)*BlendedPriceEliteAnnual*CW60</f>
        <v/>
      </c>
      <c r="DW60" s="9">
        <f>DT60+DU60+DV60</f>
        <v/>
      </c>
      <c r="DX60" s="12">
        <f>SUM(DW49:DW60)</f>
        <v/>
      </c>
      <c r="DY60" s="12">
        <f>OR(DY59,IF(VATAgentMode,SUM($DW49:$DW60)-SUM($ED49:$ED60)&gt;=VATThreshold,SUM($DW49:$DW60)&gt;=VATThreshold))</f>
        <v/>
      </c>
      <c r="DZ60" s="9">
        <f>IF(DY60,IF(VATAgentMode,DW60-((DW60-ED60)-(DW60-ED60)/(1+VATRate)),DW60/(1+VATRate)),DW60)</f>
        <v/>
      </c>
      <c r="EA60" s="12">
        <f>DW60-DZ60</f>
        <v/>
      </c>
      <c r="EB60" s="12">
        <f>IF(DY60=0,0,IF(CT60=1,SUMPRODUCT(--(($CU$5:$CU60=$CU60-1)*($CT$5:$CT60&gt;=10)*($CT$5:$CT60&lt;=12)),$EA$5:$EA60),IF(CT60=4,SUMPRODUCT(--(($CU$5:$CU60=$CU60)*($CT$5:$CT60&gt;=1)*($CT$5:$CT60&lt;=3)),$EA$5:$EA60),IF(CT60=7,SUMPRODUCT(--(($CU$5:$CU60=$CU60)*($CT$5:$CT60&gt;=4)*($CT$5:$CT60&lt;=6)),$EA$5:$EA60),IF(CT60=10,SUMPRODUCT(--(($CU$5:$CU60=$CU60)*($CT$5:$CT60&gt;=7)*($CT$5:$CT60&lt;=9)),$EA$5:$EA60),0)))))</f>
        <v/>
      </c>
      <c r="EC60" s="12">
        <f>EC59+EA60-EB60</f>
        <v/>
      </c>
      <c r="ED60" s="12">
        <f>IF(ProviderDelay&gt;=1,DK59*BlendedProvPayEss+DL59*BlendedProvPayPrem+DM59*BlendedProvPayElite+DN59*BlendedProvPayEss+DO59*BlendedProvPayPrem+DP59*BlendedProvPayElite,DK60*BlendedProvPayEss+DL60*BlendedProvPayPrem+DM60*BlendedProvPayElite+DN60*BlendedProvPayEss+DO60*BlendedProvPayPrem+DP60*BlendedProvPayElite)</f>
        <v/>
      </c>
      <c r="EE60" s="12">
        <f>DW60*PaymentFee</f>
        <v/>
      </c>
      <c r="EF60" s="12">
        <f>DQ60*OpsAI</f>
        <v/>
      </c>
      <c r="EG60" s="12">
        <f>MonthlyFixed</f>
        <v/>
      </c>
      <c r="EH60" s="12">
        <f>DA60*ReferralReward</f>
        <v/>
      </c>
      <c r="EI60" s="12">
        <f>CY60</f>
        <v/>
      </c>
      <c r="EJ60" s="9">
        <f>DZ60-ED60-EE60-EF60-EG60-EH60-EI60</f>
        <v/>
      </c>
      <c r="EK60" s="9">
        <f>EK59+DW60-(ED60+EE60+EF60+EG60+EH60+EI60+EB60)</f>
        <v/>
      </c>
      <c r="EL60" s="12">
        <f>IF(DQ60&gt;0,DR60/DQ60,0)</f>
        <v/>
      </c>
      <c r="EM60" s="11">
        <f>IF(DQ59&gt;0,MAX(0,(DQ59+DB60-DQ60)/DQ59),0)</f>
        <v/>
      </c>
      <c r="EO60" s="12" t="n">
        <v>56</v>
      </c>
      <c r="EP60" s="12">
        <f>MOD(EO60-1+LaunchMonth-1,12)+1</f>
        <v/>
      </c>
      <c r="EQ60" s="12">
        <f>INT((EO60-1+LaunchMonth-1)/12)+1</f>
        <v/>
      </c>
      <c r="ER60" s="12">
        <f>VLOOKUP(EP60,SeasonTable,2,FALSE)</f>
        <v/>
      </c>
      <c r="ES60" s="12">
        <f>(1+InflationRate)^INT((EO60-1)/12)</f>
        <v/>
      </c>
      <c r="ET60" s="11">
        <f>'Sens - Churn'!$A$13*VLOOKUP(EP60,ChurnSeasonTable,4,FALSE)</f>
        <v/>
      </c>
      <c r="EU60" s="12">
        <f>MIN(MAX(MktMin19plus,FS59*MktPct19plus),MAX(0,GG59-CashBuffer))</f>
        <v/>
      </c>
      <c r="EV60" s="12">
        <f>IF(EU60&gt;0,MAX(1,ROUND(EU60/CAC*ER60,0)),0)</f>
        <v/>
      </c>
      <c r="EW60" s="12">
        <f>IF(EV60&gt;0,ROUND(EV60*ReferralMix/(1-ReferralMix),0),0)</f>
        <v/>
      </c>
      <c r="EX60" s="12">
        <f>EV60+EW60</f>
        <v/>
      </c>
      <c r="EY60" s="12">
        <f>ROUND(EX60*(1-AnnualMix),0)</f>
        <v/>
      </c>
      <c r="EZ60" s="12">
        <f>EX60-EY60</f>
        <v/>
      </c>
      <c r="FA60" s="12">
        <f>ROUND(EY60*EssentialMix,0)</f>
        <v/>
      </c>
      <c r="FB60" s="12">
        <f>ROUND(EY60*PremiumMix,0)</f>
        <v/>
      </c>
      <c r="FC60" s="12">
        <f>EY60-FA60-FB60</f>
        <v/>
      </c>
      <c r="FD60" s="12">
        <f>ROUND(EZ60*EssentialMix,0)</f>
        <v/>
      </c>
      <c r="FE60" s="12">
        <f>ROUND(EZ60*PremiumMix,0)</f>
        <v/>
      </c>
      <c r="FF60" s="12">
        <f>EZ60-FD60-FE60</f>
        <v/>
      </c>
      <c r="FG60" s="12">
        <f>FA60+FA59+FA58+MAX(0,FG59-FA59-FA58)*(1-ET60)</f>
        <v/>
      </c>
      <c r="FH60" s="12">
        <f>FB60+FB59+FB58+MAX(0,FH59-FB59-FB58)*(1-ET60)</f>
        <v/>
      </c>
      <c r="FI60" s="12">
        <f>FC60+FC59+FC58+MAX(0,FI59-FC59-FC58)*(1-ET60)</f>
        <v/>
      </c>
      <c r="FJ60" s="12">
        <f>FJ59+FD60-FD48*(AnnualChurn*VLOOKUP(EP60,ChurnSeasonTable,4,FALSE))*POWER(1-(AnnualChurn*VLOOKUP(EP60,ChurnSeasonTable,4,FALSE)),0)+FD36*(AnnualChurn*VLOOKUP(EP60,ChurnSeasonTable,4,FALSE))*POWER(1-(AnnualChurn*VLOOKUP(EP60,ChurnSeasonTable,4,FALSE)),1)+FD24*(AnnualChurn*VLOOKUP(EP60,ChurnSeasonTable,4,FALSE))*POWER(1-(AnnualChurn*VLOOKUP(EP60,ChurnSeasonTable,4,FALSE)),2)+FD12*(AnnualChurn*VLOOKUP(EP60,ChurnSeasonTable,4,FALSE))*POWER(1-(AnnualChurn*VLOOKUP(EP60,ChurnSeasonTable,4,FALSE)),3)</f>
        <v/>
      </c>
      <c r="FK60" s="12">
        <f>FK59+FE60-FE48*(AnnualChurn*VLOOKUP(EP60,ChurnSeasonTable,4,FALSE))*POWER(1-(AnnualChurn*VLOOKUP(EP60,ChurnSeasonTable,4,FALSE)),0)+FE36*(AnnualChurn*VLOOKUP(EP60,ChurnSeasonTable,4,FALSE))*POWER(1-(AnnualChurn*VLOOKUP(EP60,ChurnSeasonTable,4,FALSE)),1)+FE24*(AnnualChurn*VLOOKUP(EP60,ChurnSeasonTable,4,FALSE))*POWER(1-(AnnualChurn*VLOOKUP(EP60,ChurnSeasonTable,4,FALSE)),2)+FE12*(AnnualChurn*VLOOKUP(EP60,ChurnSeasonTable,4,FALSE))*POWER(1-(AnnualChurn*VLOOKUP(EP60,ChurnSeasonTable,4,FALSE)),3)</f>
        <v/>
      </c>
      <c r="FL60" s="12">
        <f>FL59+FF60-FF48*(AnnualChurn*VLOOKUP(EP60,ChurnSeasonTable,4,FALSE))*POWER(1-(AnnualChurn*VLOOKUP(EP60,ChurnSeasonTable,4,FALSE)),0)+FF36*(AnnualChurn*VLOOKUP(EP60,ChurnSeasonTable,4,FALSE))*POWER(1-(AnnualChurn*VLOOKUP(EP60,ChurnSeasonTable,4,FALSE)),1)+FF24*(AnnualChurn*VLOOKUP(EP60,ChurnSeasonTable,4,FALSE))*POWER(1-(AnnualChurn*VLOOKUP(EP60,ChurnSeasonTable,4,FALSE)),2)+FF12*(AnnualChurn*VLOOKUP(EP60,ChurnSeasonTable,4,FALSE))*POWER(1-(AnnualChurn*VLOOKUP(EP60,ChurnSeasonTable,4,FALSE)),3)</f>
        <v/>
      </c>
      <c r="FM60" s="12">
        <f>FG60+FH60+FI60+FJ60+FK60+FL60</f>
        <v/>
      </c>
      <c r="FN60" s="9">
        <f>FG60*BlendedPriceEssMonthly*ES60+FH60*BlendedPricePremMonthly*ES60+FI60*BlendedPriceEliteMonthly*ES60+FJ60*BlendedPriceEssAnnual*ES60/12+FK60*BlendedPricePremAnnual*ES60/12+FL60*BlendedPriceEliteAnnual*ES60/12</f>
        <v/>
      </c>
      <c r="FO60" s="9">
        <f>FN60*12</f>
        <v/>
      </c>
      <c r="FP60" s="12">
        <f>FG60*BlendedPriceEssMonthly*ES60+FH60*BlendedPricePremMonthly*ES60+FI60*BlendedPriceEliteMonthly*ES60</f>
        <v/>
      </c>
      <c r="FQ60" s="12">
        <f>FD60*BlendedPriceEssAnnual*ES60+FE60*BlendedPricePremAnnual*ES60+FF60*BlendedPriceEliteAnnual*ES60</f>
        <v/>
      </c>
      <c r="FR60" s="12">
        <f>FD48*POWER(1-(AnnualChurn*VLOOKUP(EP60,ChurnSeasonTable,4,FALSE)),1)*BlendedPriceEssAnnual*ES60+FD36*POWER(1-(AnnualChurn*VLOOKUP(EP60,ChurnSeasonTable,4,FALSE)),2)*BlendedPriceEssAnnual*ES60+FD24*POWER(1-(AnnualChurn*VLOOKUP(EP60,ChurnSeasonTable,4,FALSE)),3)*BlendedPriceEssAnnual*ES60+FD12*POWER(1-(AnnualChurn*VLOOKUP(EP60,ChurnSeasonTable,4,FALSE)),4)*BlendedPriceEssAnnual*ES60+FE48*POWER(1-(AnnualChurn*VLOOKUP(EP60,ChurnSeasonTable,4,FALSE)),1)*BlendedPricePremAnnual*ES60+FE36*POWER(1-(AnnualChurn*VLOOKUP(EP60,ChurnSeasonTable,4,FALSE)),2)*BlendedPricePremAnnual*ES60+FE24*POWER(1-(AnnualChurn*VLOOKUP(EP60,ChurnSeasonTable,4,FALSE)),3)*BlendedPricePremAnnual*ES60+FE12*POWER(1-(AnnualChurn*VLOOKUP(EP60,ChurnSeasonTable,4,FALSE)),4)*BlendedPricePremAnnual*ES60+FF48*POWER(1-(AnnualChurn*VLOOKUP(EP60,ChurnSeasonTable,4,FALSE)),1)*BlendedPriceEliteAnnual*ES60+FF36*POWER(1-(AnnualChurn*VLOOKUP(EP60,ChurnSeasonTable,4,FALSE)),2)*BlendedPriceEliteAnnual*ES60+FF24*POWER(1-(AnnualChurn*VLOOKUP(EP60,ChurnSeasonTable,4,FALSE)),3)*BlendedPriceEliteAnnual*ES60+FF12*POWER(1-(AnnualChurn*VLOOKUP(EP60,ChurnSeasonTable,4,FALSE)),4)*BlendedPriceEliteAnnual*ES60</f>
        <v/>
      </c>
      <c r="FS60" s="9">
        <f>FP60+FQ60+FR60</f>
        <v/>
      </c>
      <c r="FT60" s="12">
        <f>SUM(FS49:FS60)</f>
        <v/>
      </c>
      <c r="FU60" s="12">
        <f>OR(FU59,IF(VATAgentMode,SUM($FS49:$FS60)-SUM($FZ49:$FZ60)&gt;=VATThreshold,SUM($FS49:$FS60)&gt;=VATThreshold))</f>
        <v/>
      </c>
      <c r="FV60" s="9">
        <f>IF(FU60,IF(VATAgentMode,FS60-((FS60-FZ60)-(FS60-FZ60)/(1+VATRate)),FS60/(1+VATRate)),FS60)</f>
        <v/>
      </c>
      <c r="FW60" s="12">
        <f>FS60-FV60</f>
        <v/>
      </c>
      <c r="FX60" s="12">
        <f>IF(FU60=0,0,IF(EP60=1,SUMPRODUCT(--(($EQ$5:$EQ60=$EQ60-1)*($EP$5:$EP60&gt;=10)*($EP$5:$EP60&lt;=12)),$FW$5:$FW60),IF(EP60=4,SUMPRODUCT(--(($EQ$5:$EQ60=$EQ60)*($EP$5:$EP60&gt;=1)*($EP$5:$EP60&lt;=3)),$FW$5:$FW60),IF(EP60=7,SUMPRODUCT(--(($EQ$5:$EQ60=$EQ60)*($EP$5:$EP60&gt;=4)*($EP$5:$EP60&lt;=6)),$FW$5:$FW60),IF(EP60=10,SUMPRODUCT(--(($EQ$5:$EQ60=$EQ60)*($EP$5:$EP60&gt;=7)*($EP$5:$EP60&lt;=9)),$FW$5:$FW60),0)))))</f>
        <v/>
      </c>
      <c r="FY60" s="12">
        <f>FY59+FW60-FX60</f>
        <v/>
      </c>
      <c r="FZ60" s="12">
        <f>IF(ProviderDelay&gt;=1,FG59*BlendedProvPayEss+FH59*BlendedProvPayPrem+FI59*BlendedProvPayElite+FJ59*BlendedProvPayEss+FK59*BlendedProvPayPrem+FL59*BlendedProvPayElite,FG60*BlendedProvPayEss+FH60*BlendedProvPayPrem+FI60*BlendedProvPayElite+FJ60*BlendedProvPayEss+FK60*BlendedProvPayPrem+FL60*BlendedProvPayElite)</f>
        <v/>
      </c>
      <c r="GA60" s="12">
        <f>FS60*PaymentFee</f>
        <v/>
      </c>
      <c r="GB60" s="12">
        <f>FM60*OpsAI</f>
        <v/>
      </c>
      <c r="GC60" s="12">
        <f>MonthlyFixed</f>
        <v/>
      </c>
      <c r="GD60" s="12">
        <f>EW60*ReferralReward</f>
        <v/>
      </c>
      <c r="GE60" s="12">
        <f>EU60</f>
        <v/>
      </c>
      <c r="GF60" s="9">
        <f>FV60-FZ60-GA60-GB60-GC60-GD60-GE60</f>
        <v/>
      </c>
      <c r="GG60" s="9">
        <f>GG59+FS60-(FZ60+GA60+GB60+GC60+GD60+GE60+FX60)</f>
        <v/>
      </c>
      <c r="GH60" s="12">
        <f>IF(FM60&gt;0,FN60/FM60,0)</f>
        <v/>
      </c>
      <c r="GI60" s="11">
        <f>IF(FM59&gt;0,MAX(0,(FM59+EX60-FM60)/FM59),0)</f>
        <v/>
      </c>
      <c r="GK60" s="12" t="n">
        <v>56</v>
      </c>
      <c r="GL60" s="12">
        <f>MOD(GK60-1+LaunchMonth-1,12)+1</f>
        <v/>
      </c>
      <c r="GM60" s="12">
        <f>INT((GK60-1+LaunchMonth-1)/12)+1</f>
        <v/>
      </c>
      <c r="GN60" s="12">
        <f>VLOOKUP(GL60,SeasonTable,2,FALSE)</f>
        <v/>
      </c>
      <c r="GO60" s="12">
        <f>(1+InflationRate)^INT((GK60-1)/12)</f>
        <v/>
      </c>
      <c r="GP60" s="11">
        <f>'Sens - Churn'!$A$14*VLOOKUP(GL60,ChurnSeasonTable,4,FALSE)</f>
        <v/>
      </c>
      <c r="GQ60" s="12">
        <f>MIN(MAX(MktMin19plus,HO59*MktPct19plus),MAX(0,IC59-CashBuffer))</f>
        <v/>
      </c>
      <c r="GR60" s="12">
        <f>IF(GQ60&gt;0,MAX(1,ROUND(GQ60/CAC*GN60,0)),0)</f>
        <v/>
      </c>
      <c r="GS60" s="12">
        <f>IF(GR60&gt;0,ROUND(GR60*ReferralMix/(1-ReferralMix),0),0)</f>
        <v/>
      </c>
      <c r="GT60" s="12">
        <f>GR60+GS60</f>
        <v/>
      </c>
      <c r="GU60" s="12">
        <f>ROUND(GT60*(1-AnnualMix),0)</f>
        <v/>
      </c>
      <c r="GV60" s="12">
        <f>GT60-GU60</f>
        <v/>
      </c>
      <c r="GW60" s="12">
        <f>ROUND(GU60*EssentialMix,0)</f>
        <v/>
      </c>
      <c r="GX60" s="12">
        <f>ROUND(GU60*PremiumMix,0)</f>
        <v/>
      </c>
      <c r="GY60" s="12">
        <f>GU60-GW60-GX60</f>
        <v/>
      </c>
      <c r="GZ60" s="12">
        <f>ROUND(GV60*EssentialMix,0)</f>
        <v/>
      </c>
      <c r="HA60" s="12">
        <f>ROUND(GV60*PremiumMix,0)</f>
        <v/>
      </c>
      <c r="HB60" s="12">
        <f>GV60-GZ60-HA60</f>
        <v/>
      </c>
      <c r="HC60" s="12">
        <f>GW60+GW59+GW58+MAX(0,HC59-GW59-GW58)*(1-GP60)</f>
        <v/>
      </c>
      <c r="HD60" s="12">
        <f>GX60+GX59+GX58+MAX(0,HD59-GX59-GX58)*(1-GP60)</f>
        <v/>
      </c>
      <c r="HE60" s="12">
        <f>GY60+GY59+GY58+MAX(0,HE59-GY59-GY58)*(1-GP60)</f>
        <v/>
      </c>
      <c r="HF60" s="12">
        <f>HF59+GZ60-GZ48*(AnnualChurn*VLOOKUP(GL60,ChurnSeasonTable,4,FALSE))*POWER(1-(AnnualChurn*VLOOKUP(GL60,ChurnSeasonTable,4,FALSE)),0)+GZ36*(AnnualChurn*VLOOKUP(GL60,ChurnSeasonTable,4,FALSE))*POWER(1-(AnnualChurn*VLOOKUP(GL60,ChurnSeasonTable,4,FALSE)),1)+GZ24*(AnnualChurn*VLOOKUP(GL60,ChurnSeasonTable,4,FALSE))*POWER(1-(AnnualChurn*VLOOKUP(GL60,ChurnSeasonTable,4,FALSE)),2)+GZ12*(AnnualChurn*VLOOKUP(GL60,ChurnSeasonTable,4,FALSE))*POWER(1-(AnnualChurn*VLOOKUP(GL60,ChurnSeasonTable,4,FALSE)),3)</f>
        <v/>
      </c>
      <c r="HG60" s="12">
        <f>HG59+HA60-HA48*(AnnualChurn*VLOOKUP(GL60,ChurnSeasonTable,4,FALSE))*POWER(1-(AnnualChurn*VLOOKUP(GL60,ChurnSeasonTable,4,FALSE)),0)+HA36*(AnnualChurn*VLOOKUP(GL60,ChurnSeasonTable,4,FALSE))*POWER(1-(AnnualChurn*VLOOKUP(GL60,ChurnSeasonTable,4,FALSE)),1)+HA24*(AnnualChurn*VLOOKUP(GL60,ChurnSeasonTable,4,FALSE))*POWER(1-(AnnualChurn*VLOOKUP(GL60,ChurnSeasonTable,4,FALSE)),2)+HA12*(AnnualChurn*VLOOKUP(GL60,ChurnSeasonTable,4,FALSE))*POWER(1-(AnnualChurn*VLOOKUP(GL60,ChurnSeasonTable,4,FALSE)),3)</f>
        <v/>
      </c>
      <c r="HH60" s="12">
        <f>HH59+HB60-HB48*(AnnualChurn*VLOOKUP(GL60,ChurnSeasonTable,4,FALSE))*POWER(1-(AnnualChurn*VLOOKUP(GL60,ChurnSeasonTable,4,FALSE)),0)+HB36*(AnnualChurn*VLOOKUP(GL60,ChurnSeasonTable,4,FALSE))*POWER(1-(AnnualChurn*VLOOKUP(GL60,ChurnSeasonTable,4,FALSE)),1)+HB24*(AnnualChurn*VLOOKUP(GL60,ChurnSeasonTable,4,FALSE))*POWER(1-(AnnualChurn*VLOOKUP(GL60,ChurnSeasonTable,4,FALSE)),2)+HB12*(AnnualChurn*VLOOKUP(GL60,ChurnSeasonTable,4,FALSE))*POWER(1-(AnnualChurn*VLOOKUP(GL60,ChurnSeasonTable,4,FALSE)),3)</f>
        <v/>
      </c>
      <c r="HI60" s="12">
        <f>HC60+HD60+HE60+HF60+HG60+HH60</f>
        <v/>
      </c>
      <c r="HJ60" s="9">
        <f>HC60*BlendedPriceEssMonthly*GO60+HD60*BlendedPricePremMonthly*GO60+HE60*BlendedPriceEliteMonthly*GO60+HF60*BlendedPriceEssAnnual*GO60/12+HG60*BlendedPricePremAnnual*GO60/12+HH60*BlendedPriceEliteAnnual*GO60/12</f>
        <v/>
      </c>
      <c r="HK60" s="9">
        <f>HJ60*12</f>
        <v/>
      </c>
      <c r="HL60" s="12">
        <f>HC60*BlendedPriceEssMonthly*GO60+HD60*BlendedPricePremMonthly*GO60+HE60*BlendedPriceEliteMonthly*GO60</f>
        <v/>
      </c>
      <c r="HM60" s="12">
        <f>GZ60*BlendedPriceEssAnnual*GO60+HA60*BlendedPricePremAnnual*GO60+HB60*BlendedPriceEliteAnnual*GO60</f>
        <v/>
      </c>
      <c r="HN60" s="12">
        <f>GZ48*POWER(1-(AnnualChurn*VLOOKUP(GL60,ChurnSeasonTable,4,FALSE)),1)*BlendedPriceEssAnnual*GO60+GZ36*POWER(1-(AnnualChurn*VLOOKUP(GL60,ChurnSeasonTable,4,FALSE)),2)*BlendedPriceEssAnnual*GO60+GZ24*POWER(1-(AnnualChurn*VLOOKUP(GL60,ChurnSeasonTable,4,FALSE)),3)*BlendedPriceEssAnnual*GO60+GZ12*POWER(1-(AnnualChurn*VLOOKUP(GL60,ChurnSeasonTable,4,FALSE)),4)*BlendedPriceEssAnnual*GO60+HA48*POWER(1-(AnnualChurn*VLOOKUP(GL60,ChurnSeasonTable,4,FALSE)),1)*BlendedPricePremAnnual*GO60+HA36*POWER(1-(AnnualChurn*VLOOKUP(GL60,ChurnSeasonTable,4,FALSE)),2)*BlendedPricePremAnnual*GO60+HA24*POWER(1-(AnnualChurn*VLOOKUP(GL60,ChurnSeasonTable,4,FALSE)),3)*BlendedPricePremAnnual*GO60+HA12*POWER(1-(AnnualChurn*VLOOKUP(GL60,ChurnSeasonTable,4,FALSE)),4)*BlendedPricePremAnnual*GO60+HB48*POWER(1-(AnnualChurn*VLOOKUP(GL60,ChurnSeasonTable,4,FALSE)),1)*BlendedPriceEliteAnnual*GO60+HB36*POWER(1-(AnnualChurn*VLOOKUP(GL60,ChurnSeasonTable,4,FALSE)),2)*BlendedPriceEliteAnnual*GO60+HB24*POWER(1-(AnnualChurn*VLOOKUP(GL60,ChurnSeasonTable,4,FALSE)),3)*BlendedPriceEliteAnnual*GO60+HB12*POWER(1-(AnnualChurn*VLOOKUP(GL60,ChurnSeasonTable,4,FALSE)),4)*BlendedPriceEliteAnnual*GO60</f>
        <v/>
      </c>
      <c r="HO60" s="9">
        <f>HL60+HM60+HN60</f>
        <v/>
      </c>
      <c r="HP60" s="12">
        <f>SUM(HO49:HO60)</f>
        <v/>
      </c>
      <c r="HQ60" s="12">
        <f>OR(HQ59,IF(VATAgentMode,SUM($HO49:$HO60)-SUM($HV49:$HV60)&gt;=VATThreshold,SUM($HO49:$HO60)&gt;=VATThreshold))</f>
        <v/>
      </c>
      <c r="HR60" s="9">
        <f>IF(HQ60,IF(VATAgentMode,HO60-((HO60-HV60)-(HO60-HV60)/(1+VATRate)),HO60/(1+VATRate)),HO60)</f>
        <v/>
      </c>
      <c r="HS60" s="12">
        <f>HO60-HR60</f>
        <v/>
      </c>
      <c r="HT60" s="12">
        <f>IF(HQ60=0,0,IF(GL60=1,SUMPRODUCT(--(($GM$5:$GM60=$GM60-1)*($GL$5:$GL60&gt;=10)*($GL$5:$GL60&lt;=12)),$HS$5:$HS60),IF(GL60=4,SUMPRODUCT(--(($GM$5:$GM60=$GM60)*($GL$5:$GL60&gt;=1)*($GL$5:$GL60&lt;=3)),$HS$5:$HS60),IF(GL60=7,SUMPRODUCT(--(($GM$5:$GM60=$GM60)*($GL$5:$GL60&gt;=4)*($GL$5:$GL60&lt;=6)),$HS$5:$HS60),IF(GL60=10,SUMPRODUCT(--(($GM$5:$GM60=$GM60)*($GL$5:$GL60&gt;=7)*($GL$5:$GL60&lt;=9)),$HS$5:$HS60),0)))))</f>
        <v/>
      </c>
      <c r="HU60" s="12">
        <f>HU59+HS60-HT60</f>
        <v/>
      </c>
      <c r="HV60" s="12">
        <f>IF(ProviderDelay&gt;=1,HC59*BlendedProvPayEss+HD59*BlendedProvPayPrem+HE59*BlendedProvPayElite+HF59*BlendedProvPayEss+HG59*BlendedProvPayPrem+HH59*BlendedProvPayElite,HC60*BlendedProvPayEss+HD60*BlendedProvPayPrem+HE60*BlendedProvPayElite+HF60*BlendedProvPayEss+HG60*BlendedProvPayPrem+HH60*BlendedProvPayElite)</f>
        <v/>
      </c>
      <c r="HW60" s="12">
        <f>HO60*PaymentFee</f>
        <v/>
      </c>
      <c r="HX60" s="12">
        <f>HI60*OpsAI</f>
        <v/>
      </c>
      <c r="HY60" s="12">
        <f>MonthlyFixed</f>
        <v/>
      </c>
      <c r="HZ60" s="12">
        <f>GS60*ReferralReward</f>
        <v/>
      </c>
      <c r="IA60" s="12">
        <f>GQ60</f>
        <v/>
      </c>
      <c r="IB60" s="9">
        <f>HR60-HV60-HW60-HX60-HY60-HZ60-IA60</f>
        <v/>
      </c>
      <c r="IC60" s="9">
        <f>IC59+HO60-(HV60+HW60+HX60+HY60+HZ60+IA60+HT60)</f>
        <v/>
      </c>
      <c r="ID60" s="12">
        <f>IF(HI60&gt;0,HJ60/HI60,0)</f>
        <v/>
      </c>
      <c r="IE60" s="11">
        <f>IF(HI59&gt;0,MAX(0,(HI59+GT60-HI60)/HI59),0)</f>
        <v/>
      </c>
      <c r="IG60" s="12" t="n">
        <v>56</v>
      </c>
      <c r="IH60" s="12">
        <f>MOD(IG60-1+LaunchMonth-1,12)+1</f>
        <v/>
      </c>
      <c r="II60" s="12">
        <f>INT((IG60-1+LaunchMonth-1)/12)+1</f>
        <v/>
      </c>
      <c r="IJ60" s="12">
        <f>VLOOKUP(IH60,SeasonTable,2,FALSE)</f>
        <v/>
      </c>
      <c r="IK60" s="12">
        <f>(1+InflationRate)^INT((IG60-1)/12)</f>
        <v/>
      </c>
      <c r="IL60" s="11">
        <f>'Sens - Churn'!$A$15*VLOOKUP(IH60,ChurnSeasonTable,4,FALSE)</f>
        <v/>
      </c>
      <c r="IM60" s="12">
        <f>MIN(MAX(MktMin19plus,JK59*MktPct19plus),MAX(0,JY59-CashBuffer))</f>
        <v/>
      </c>
      <c r="IN60" s="12">
        <f>IF(IM60&gt;0,MAX(1,ROUND(IM60/CAC*IJ60,0)),0)</f>
        <v/>
      </c>
      <c r="IO60" s="12">
        <f>IF(IN60&gt;0,ROUND(IN60*ReferralMix/(1-ReferralMix),0),0)</f>
        <v/>
      </c>
      <c r="IP60" s="12">
        <f>IN60+IO60</f>
        <v/>
      </c>
      <c r="IQ60" s="12">
        <f>ROUND(IP60*(1-AnnualMix),0)</f>
        <v/>
      </c>
      <c r="IR60" s="12">
        <f>IP60-IQ60</f>
        <v/>
      </c>
      <c r="IS60" s="12">
        <f>ROUND(IQ60*EssentialMix,0)</f>
        <v/>
      </c>
      <c r="IT60" s="12">
        <f>ROUND(IQ60*PremiumMix,0)</f>
        <v/>
      </c>
      <c r="IU60" s="12">
        <f>IQ60-IS60-IT60</f>
        <v/>
      </c>
      <c r="IV60" s="12">
        <f>ROUND(IR60*EssentialMix,0)</f>
        <v/>
      </c>
      <c r="IW60" s="12">
        <f>ROUND(IR60*PremiumMix,0)</f>
        <v/>
      </c>
      <c r="IX60" s="12">
        <f>IR60-IV60-IW60</f>
        <v/>
      </c>
      <c r="IY60" s="12">
        <f>IS60+IS59+IS58+MAX(0,IY59-IS59-IS58)*(1-IL60)</f>
        <v/>
      </c>
      <c r="IZ60" s="12">
        <f>IT60+IT59+IT58+MAX(0,IZ59-IT59-IT58)*(1-IL60)</f>
        <v/>
      </c>
      <c r="JA60" s="12">
        <f>IU60+IU59+IU58+MAX(0,JA59-IU59-IU58)*(1-IL60)</f>
        <v/>
      </c>
      <c r="JB60" s="12">
        <f>JB59+IV60-IV48*(AnnualChurn*VLOOKUP(IH60,ChurnSeasonTable,4,FALSE))*POWER(1-(AnnualChurn*VLOOKUP(IH60,ChurnSeasonTable,4,FALSE)),0)+IV36*(AnnualChurn*VLOOKUP(IH60,ChurnSeasonTable,4,FALSE))*POWER(1-(AnnualChurn*VLOOKUP(IH60,ChurnSeasonTable,4,FALSE)),1)+IV24*(AnnualChurn*VLOOKUP(IH60,ChurnSeasonTable,4,FALSE))*POWER(1-(AnnualChurn*VLOOKUP(IH60,ChurnSeasonTable,4,FALSE)),2)+IV12*(AnnualChurn*VLOOKUP(IH60,ChurnSeasonTable,4,FALSE))*POWER(1-(AnnualChurn*VLOOKUP(IH60,ChurnSeasonTable,4,FALSE)),3)</f>
        <v/>
      </c>
      <c r="JC60" s="12">
        <f>JC59+IW60-IW48*(AnnualChurn*VLOOKUP(IH60,ChurnSeasonTable,4,FALSE))*POWER(1-(AnnualChurn*VLOOKUP(IH60,ChurnSeasonTable,4,FALSE)),0)+IW36*(AnnualChurn*VLOOKUP(IH60,ChurnSeasonTable,4,FALSE))*POWER(1-(AnnualChurn*VLOOKUP(IH60,ChurnSeasonTable,4,FALSE)),1)+IW24*(AnnualChurn*VLOOKUP(IH60,ChurnSeasonTable,4,FALSE))*POWER(1-(AnnualChurn*VLOOKUP(IH60,ChurnSeasonTable,4,FALSE)),2)+IW12*(AnnualChurn*VLOOKUP(IH60,ChurnSeasonTable,4,FALSE))*POWER(1-(AnnualChurn*VLOOKUP(IH60,ChurnSeasonTable,4,FALSE)),3)</f>
        <v/>
      </c>
      <c r="JD60" s="12">
        <f>JD59+IX60-IX48*(AnnualChurn*VLOOKUP(IH60,ChurnSeasonTable,4,FALSE))*POWER(1-(AnnualChurn*VLOOKUP(IH60,ChurnSeasonTable,4,FALSE)),0)+IX36*(AnnualChurn*VLOOKUP(IH60,ChurnSeasonTable,4,FALSE))*POWER(1-(AnnualChurn*VLOOKUP(IH60,ChurnSeasonTable,4,FALSE)),1)+IX24*(AnnualChurn*VLOOKUP(IH60,ChurnSeasonTable,4,FALSE))*POWER(1-(AnnualChurn*VLOOKUP(IH60,ChurnSeasonTable,4,FALSE)),2)+IX12*(AnnualChurn*VLOOKUP(IH60,ChurnSeasonTable,4,FALSE))*POWER(1-(AnnualChurn*VLOOKUP(IH60,ChurnSeasonTable,4,FALSE)),3)</f>
        <v/>
      </c>
      <c r="JE60" s="12">
        <f>IY60+IZ60+JA60+JB60+JC60+JD60</f>
        <v/>
      </c>
      <c r="JF60" s="9">
        <f>IY60*BlendedPriceEssMonthly*IK60+IZ60*BlendedPricePremMonthly*IK60+JA60*BlendedPriceEliteMonthly*IK60+JB60*BlendedPriceEssAnnual*IK60/12+JC60*BlendedPricePremAnnual*IK60/12+JD60*BlendedPriceEliteAnnual*IK60/12</f>
        <v/>
      </c>
      <c r="JG60" s="9">
        <f>JF60*12</f>
        <v/>
      </c>
      <c r="JH60" s="12">
        <f>IY60*BlendedPriceEssMonthly*IK60+IZ60*BlendedPricePremMonthly*IK60+JA60*BlendedPriceEliteMonthly*IK60</f>
        <v/>
      </c>
      <c r="JI60" s="12">
        <f>IV60*BlendedPriceEssAnnual*IK60+IW60*BlendedPricePremAnnual*IK60+IX60*BlendedPriceEliteAnnual*IK60</f>
        <v/>
      </c>
      <c r="JJ60" s="12">
        <f>IV48*POWER(1-(AnnualChurn*VLOOKUP(IH60,ChurnSeasonTable,4,FALSE)),1)*BlendedPriceEssAnnual*IK60+IV36*POWER(1-(AnnualChurn*VLOOKUP(IH60,ChurnSeasonTable,4,FALSE)),2)*BlendedPriceEssAnnual*IK60+IV24*POWER(1-(AnnualChurn*VLOOKUP(IH60,ChurnSeasonTable,4,FALSE)),3)*BlendedPriceEssAnnual*IK60+IV12*POWER(1-(AnnualChurn*VLOOKUP(IH60,ChurnSeasonTable,4,FALSE)),4)*BlendedPriceEssAnnual*IK60+IW48*POWER(1-(AnnualChurn*VLOOKUP(IH60,ChurnSeasonTable,4,FALSE)),1)*BlendedPricePremAnnual*IK60+IW36*POWER(1-(AnnualChurn*VLOOKUP(IH60,ChurnSeasonTable,4,FALSE)),2)*BlendedPricePremAnnual*IK60+IW24*POWER(1-(AnnualChurn*VLOOKUP(IH60,ChurnSeasonTable,4,FALSE)),3)*BlendedPricePremAnnual*IK60+IW12*POWER(1-(AnnualChurn*VLOOKUP(IH60,ChurnSeasonTable,4,FALSE)),4)*BlendedPricePremAnnual*IK60+IX48*POWER(1-(AnnualChurn*VLOOKUP(IH60,ChurnSeasonTable,4,FALSE)),1)*BlendedPriceEliteAnnual*IK60+IX36*POWER(1-(AnnualChurn*VLOOKUP(IH60,ChurnSeasonTable,4,FALSE)),2)*BlendedPriceEliteAnnual*IK60+IX24*POWER(1-(AnnualChurn*VLOOKUP(IH60,ChurnSeasonTable,4,FALSE)),3)*BlendedPriceEliteAnnual*IK60+IX12*POWER(1-(AnnualChurn*VLOOKUP(IH60,ChurnSeasonTable,4,FALSE)),4)*BlendedPriceEliteAnnual*IK60</f>
        <v/>
      </c>
      <c r="JK60" s="9">
        <f>JH60+JI60+JJ60</f>
        <v/>
      </c>
      <c r="JL60" s="12">
        <f>SUM(JK49:JK60)</f>
        <v/>
      </c>
      <c r="JM60" s="12">
        <f>OR(JM59,IF(VATAgentMode,SUM($JK49:$JK60)-SUM($JR49:$JR60)&gt;=VATThreshold,SUM($JK49:$JK60)&gt;=VATThreshold))</f>
        <v/>
      </c>
      <c r="JN60" s="9">
        <f>IF(JM60,IF(VATAgentMode,JK60-((JK60-JR60)-(JK60-JR60)/(1+VATRate)),JK60/(1+VATRate)),JK60)</f>
        <v/>
      </c>
      <c r="JO60" s="12">
        <f>JK60-JN60</f>
        <v/>
      </c>
      <c r="JP60" s="12">
        <f>IF(JM60=0,0,IF(IH60=1,SUMPRODUCT(--(($II$5:$II60=$II60-1)*($IH$5:$IH60&gt;=10)*($IH$5:$IH60&lt;=12)),$JO$5:$JO60),IF(IH60=4,SUMPRODUCT(--(($II$5:$II60=$II60)*($IH$5:$IH60&gt;=1)*($IH$5:$IH60&lt;=3)),$JO$5:$JO60),IF(IH60=7,SUMPRODUCT(--(($II$5:$II60=$II60)*($IH$5:$IH60&gt;=4)*($IH$5:$IH60&lt;=6)),$JO$5:$JO60),IF(IH60=10,SUMPRODUCT(--(($II$5:$II60=$II60)*($IH$5:$IH60&gt;=7)*($IH$5:$IH60&lt;=9)),$JO$5:$JO60),0)))))</f>
        <v/>
      </c>
      <c r="JQ60" s="12">
        <f>JQ59+JO60-JP60</f>
        <v/>
      </c>
      <c r="JR60" s="12">
        <f>IF(ProviderDelay&gt;=1,IY59*BlendedProvPayEss+IZ59*BlendedProvPayPrem+JA59*BlendedProvPayElite+JB59*BlendedProvPayEss+JC59*BlendedProvPayPrem+JD59*BlendedProvPayElite,IY60*BlendedProvPayEss+IZ60*BlendedProvPayPrem+JA60*BlendedProvPayElite+JB60*BlendedProvPayEss+JC60*BlendedProvPayPrem+JD60*BlendedProvPayElite)</f>
        <v/>
      </c>
      <c r="JS60" s="12">
        <f>JK60*PaymentFee</f>
        <v/>
      </c>
      <c r="JT60" s="12">
        <f>JE60*OpsAI</f>
        <v/>
      </c>
      <c r="JU60" s="12">
        <f>MonthlyFixed</f>
        <v/>
      </c>
      <c r="JV60" s="12">
        <f>IO60*ReferralReward</f>
        <v/>
      </c>
      <c r="JW60" s="12">
        <f>IM60</f>
        <v/>
      </c>
      <c r="JX60" s="9">
        <f>JN60-JR60-JS60-JT60-JU60-JV60-JW60</f>
        <v/>
      </c>
      <c r="JY60" s="9">
        <f>JY59+JK60-(JR60+JS60+JT60+JU60+JV60+JW60+JP60)</f>
        <v/>
      </c>
      <c r="JZ60" s="12">
        <f>IF(JE60&gt;0,JF60/JE60,0)</f>
        <v/>
      </c>
      <c r="KA60" s="11">
        <f>IF(JE59&gt;0,MAX(0,(JE59+IP60-JE60)/JE59),0)</f>
        <v/>
      </c>
      <c r="KC60" s="12" t="n">
        <v>56</v>
      </c>
      <c r="KD60" s="12">
        <f>MOD(KC60-1+LaunchMonth-1,12)+1</f>
        <v/>
      </c>
      <c r="KE60" s="12">
        <f>INT((KC60-1+LaunchMonth-1)/12)+1</f>
        <v/>
      </c>
      <c r="KF60" s="12">
        <f>VLOOKUP(KD60,SeasonTable,2,FALSE)</f>
        <v/>
      </c>
      <c r="KG60" s="12">
        <f>(1+InflationRate)^INT((KC60-1)/12)</f>
        <v/>
      </c>
      <c r="KH60" s="11">
        <f>'Sens - Churn'!$A$16*VLOOKUP(KD60,ChurnSeasonTable,4,FALSE)</f>
        <v/>
      </c>
      <c r="KI60" s="12">
        <f>MIN(MAX(MktMin19plus,LG59*MktPct19plus),MAX(0,LU59-CashBuffer))</f>
        <v/>
      </c>
      <c r="KJ60" s="12">
        <f>IF(KI60&gt;0,MAX(1,ROUND(KI60/CAC*KF60,0)),0)</f>
        <v/>
      </c>
      <c r="KK60" s="12">
        <f>IF(KJ60&gt;0,ROUND(KJ60*ReferralMix/(1-ReferralMix),0),0)</f>
        <v/>
      </c>
      <c r="KL60" s="12">
        <f>KJ60+KK60</f>
        <v/>
      </c>
      <c r="KM60" s="12">
        <f>ROUND(KL60*(1-AnnualMix),0)</f>
        <v/>
      </c>
      <c r="KN60" s="12">
        <f>KL60-KM60</f>
        <v/>
      </c>
      <c r="KO60" s="12">
        <f>ROUND(KM60*EssentialMix,0)</f>
        <v/>
      </c>
      <c r="KP60" s="12">
        <f>ROUND(KM60*PremiumMix,0)</f>
        <v/>
      </c>
      <c r="KQ60" s="12">
        <f>KM60-KO60-KP60</f>
        <v/>
      </c>
      <c r="KR60" s="12">
        <f>ROUND(KN60*EssentialMix,0)</f>
        <v/>
      </c>
      <c r="KS60" s="12">
        <f>ROUND(KN60*PremiumMix,0)</f>
        <v/>
      </c>
      <c r="KT60" s="12">
        <f>KN60-KR60-KS60</f>
        <v/>
      </c>
      <c r="KU60" s="12">
        <f>KO60+KO59+KO58+MAX(0,KU59-KO59-KO58)*(1-KH60)</f>
        <v/>
      </c>
      <c r="KV60" s="12">
        <f>KP60+KP59+KP58+MAX(0,KV59-KP59-KP58)*(1-KH60)</f>
        <v/>
      </c>
      <c r="KW60" s="12">
        <f>KQ60+KQ59+KQ58+MAX(0,KW59-KQ59-KQ58)*(1-KH60)</f>
        <v/>
      </c>
      <c r="KX60" s="12">
        <f>KX59+KR60-KR48*(AnnualChurn*VLOOKUP(KD60,ChurnSeasonTable,4,FALSE))*POWER(1-(AnnualChurn*VLOOKUP(KD60,ChurnSeasonTable,4,FALSE)),0)+KR36*(AnnualChurn*VLOOKUP(KD60,ChurnSeasonTable,4,FALSE))*POWER(1-(AnnualChurn*VLOOKUP(KD60,ChurnSeasonTable,4,FALSE)),1)+KR24*(AnnualChurn*VLOOKUP(KD60,ChurnSeasonTable,4,FALSE))*POWER(1-(AnnualChurn*VLOOKUP(KD60,ChurnSeasonTable,4,FALSE)),2)+KR12*(AnnualChurn*VLOOKUP(KD60,ChurnSeasonTable,4,FALSE))*POWER(1-(AnnualChurn*VLOOKUP(KD60,ChurnSeasonTable,4,FALSE)),3)</f>
        <v/>
      </c>
      <c r="KY60" s="12">
        <f>KY59+KS60-KS48*(AnnualChurn*VLOOKUP(KD60,ChurnSeasonTable,4,FALSE))*POWER(1-(AnnualChurn*VLOOKUP(KD60,ChurnSeasonTable,4,FALSE)),0)+KS36*(AnnualChurn*VLOOKUP(KD60,ChurnSeasonTable,4,FALSE))*POWER(1-(AnnualChurn*VLOOKUP(KD60,ChurnSeasonTable,4,FALSE)),1)+KS24*(AnnualChurn*VLOOKUP(KD60,ChurnSeasonTable,4,FALSE))*POWER(1-(AnnualChurn*VLOOKUP(KD60,ChurnSeasonTable,4,FALSE)),2)+KS12*(AnnualChurn*VLOOKUP(KD60,ChurnSeasonTable,4,FALSE))*POWER(1-(AnnualChurn*VLOOKUP(KD60,ChurnSeasonTable,4,FALSE)),3)</f>
        <v/>
      </c>
      <c r="KZ60" s="12">
        <f>KZ59+KT60-KT48*(AnnualChurn*VLOOKUP(KD60,ChurnSeasonTable,4,FALSE))*POWER(1-(AnnualChurn*VLOOKUP(KD60,ChurnSeasonTable,4,FALSE)),0)+KT36*(AnnualChurn*VLOOKUP(KD60,ChurnSeasonTable,4,FALSE))*POWER(1-(AnnualChurn*VLOOKUP(KD60,ChurnSeasonTable,4,FALSE)),1)+KT24*(AnnualChurn*VLOOKUP(KD60,ChurnSeasonTable,4,FALSE))*POWER(1-(AnnualChurn*VLOOKUP(KD60,ChurnSeasonTable,4,FALSE)),2)+KT12*(AnnualChurn*VLOOKUP(KD60,ChurnSeasonTable,4,FALSE))*POWER(1-(AnnualChurn*VLOOKUP(KD60,ChurnSeasonTable,4,FALSE)),3)</f>
        <v/>
      </c>
      <c r="LA60" s="12">
        <f>KU60+KV60+KW60+KX60+KY60+KZ60</f>
        <v/>
      </c>
      <c r="LB60" s="9">
        <f>KU60*BlendedPriceEssMonthly*KG60+KV60*BlendedPricePremMonthly*KG60+KW60*BlendedPriceEliteMonthly*KG60+KX60*BlendedPriceEssAnnual*KG60/12+KY60*BlendedPricePremAnnual*KG60/12+KZ60*BlendedPriceEliteAnnual*KG60/12</f>
        <v/>
      </c>
      <c r="LC60" s="9">
        <f>LB60*12</f>
        <v/>
      </c>
      <c r="LD60" s="12">
        <f>KU60*BlendedPriceEssMonthly*KG60+KV60*BlendedPricePremMonthly*KG60+KW60*BlendedPriceEliteMonthly*KG60</f>
        <v/>
      </c>
      <c r="LE60" s="12">
        <f>KR60*BlendedPriceEssAnnual*KG60+KS60*BlendedPricePremAnnual*KG60+KT60*BlendedPriceEliteAnnual*KG60</f>
        <v/>
      </c>
      <c r="LF60" s="12">
        <f>KR48*POWER(1-(AnnualChurn*VLOOKUP(KD60,ChurnSeasonTable,4,FALSE)),1)*BlendedPriceEssAnnual*KG60+KR36*POWER(1-(AnnualChurn*VLOOKUP(KD60,ChurnSeasonTable,4,FALSE)),2)*BlendedPriceEssAnnual*KG60+KR24*POWER(1-(AnnualChurn*VLOOKUP(KD60,ChurnSeasonTable,4,FALSE)),3)*BlendedPriceEssAnnual*KG60+KR12*POWER(1-(AnnualChurn*VLOOKUP(KD60,ChurnSeasonTable,4,FALSE)),4)*BlendedPriceEssAnnual*KG60+KS48*POWER(1-(AnnualChurn*VLOOKUP(KD60,ChurnSeasonTable,4,FALSE)),1)*BlendedPricePremAnnual*KG60+KS36*POWER(1-(AnnualChurn*VLOOKUP(KD60,ChurnSeasonTable,4,FALSE)),2)*BlendedPricePremAnnual*KG60+KS24*POWER(1-(AnnualChurn*VLOOKUP(KD60,ChurnSeasonTable,4,FALSE)),3)*BlendedPricePremAnnual*KG60+KS12*POWER(1-(AnnualChurn*VLOOKUP(KD60,ChurnSeasonTable,4,FALSE)),4)*BlendedPricePremAnnual*KG60+KT48*POWER(1-(AnnualChurn*VLOOKUP(KD60,ChurnSeasonTable,4,FALSE)),1)*BlendedPriceEliteAnnual*KG60+KT36*POWER(1-(AnnualChurn*VLOOKUP(KD60,ChurnSeasonTable,4,FALSE)),2)*BlendedPriceEliteAnnual*KG60+KT24*POWER(1-(AnnualChurn*VLOOKUP(KD60,ChurnSeasonTable,4,FALSE)),3)*BlendedPriceEliteAnnual*KG60+KT12*POWER(1-(AnnualChurn*VLOOKUP(KD60,ChurnSeasonTable,4,FALSE)),4)*BlendedPriceEliteAnnual*KG60</f>
        <v/>
      </c>
      <c r="LG60" s="9">
        <f>LD60+LE60+LF60</f>
        <v/>
      </c>
      <c r="LH60" s="12">
        <f>SUM(LG49:LG60)</f>
        <v/>
      </c>
      <c r="LI60" s="12">
        <f>OR(LI59,IF(VATAgentMode,SUM($LG49:$LG60)-SUM($LN49:$LN60)&gt;=VATThreshold,SUM($LG49:$LG60)&gt;=VATThreshold))</f>
        <v/>
      </c>
      <c r="LJ60" s="9">
        <f>IF(LI60,IF(VATAgentMode,LG60-((LG60-LN60)-(LG60-LN60)/(1+VATRate)),LG60/(1+VATRate)),LG60)</f>
        <v/>
      </c>
      <c r="LK60" s="12">
        <f>LG60-LJ60</f>
        <v/>
      </c>
      <c r="LL60" s="12">
        <f>IF(LI60=0,0,IF(KD60=1,SUMPRODUCT(--(($KE$5:$KE60=$KE60-1)*($KD$5:$KD60&gt;=10)*($KD$5:$KD60&lt;=12)),$LK$5:$LK60),IF(KD60=4,SUMPRODUCT(--(($KE$5:$KE60=$KE60)*($KD$5:$KD60&gt;=1)*($KD$5:$KD60&lt;=3)),$LK$5:$LK60),IF(KD60=7,SUMPRODUCT(--(($KE$5:$KE60=$KE60)*($KD$5:$KD60&gt;=4)*($KD$5:$KD60&lt;=6)),$LK$5:$LK60),IF(KD60=10,SUMPRODUCT(--(($KE$5:$KE60=$KE60)*($KD$5:$KD60&gt;=7)*($KD$5:$KD60&lt;=9)),$LK$5:$LK60),0)))))</f>
        <v/>
      </c>
      <c r="LM60" s="12">
        <f>LM59+LK60-LL60</f>
        <v/>
      </c>
      <c r="LN60" s="12">
        <f>IF(ProviderDelay&gt;=1,KU59*BlendedProvPayEss+KV59*BlendedProvPayPrem+KW59*BlendedProvPayElite+KX59*BlendedProvPayEss+KY59*BlendedProvPayPrem+KZ59*BlendedProvPayElite,KU60*BlendedProvPayEss+KV60*BlendedProvPayPrem+KW60*BlendedProvPayElite+KX60*BlendedProvPayEss+KY60*BlendedProvPayPrem+KZ60*BlendedProvPayElite)</f>
        <v/>
      </c>
      <c r="LO60" s="12">
        <f>LG60*PaymentFee</f>
        <v/>
      </c>
      <c r="LP60" s="12">
        <f>LA60*OpsAI</f>
        <v/>
      </c>
      <c r="LQ60" s="12">
        <f>MonthlyFixed</f>
        <v/>
      </c>
      <c r="LR60" s="12">
        <f>KK60*ReferralReward</f>
        <v/>
      </c>
      <c r="LS60" s="12">
        <f>KI60</f>
        <v/>
      </c>
      <c r="LT60" s="9">
        <f>LJ60-LN60-LO60-LP60-LQ60-LR60-LS60</f>
        <v/>
      </c>
      <c r="LU60" s="9">
        <f>LU59+LG60-(LN60+LO60+LP60+LQ60+LR60+LS60+LL60)</f>
        <v/>
      </c>
      <c r="LV60" s="12">
        <f>IF(LA60&gt;0,LB60/LA60,0)</f>
        <v/>
      </c>
      <c r="LW60" s="11">
        <f>IF(LA59&gt;0,MAX(0,(LA59+KL60-LA60)/LA59),0)</f>
        <v/>
      </c>
      <c r="LY60" s="12" t="n">
        <v>56</v>
      </c>
      <c r="LZ60" s="12">
        <f>MOD(LY60-1+LaunchMonth-1,12)+1</f>
        <v/>
      </c>
      <c r="MA60" s="12">
        <f>INT((LY60-1+LaunchMonth-1)/12)+1</f>
        <v/>
      </c>
      <c r="MB60" s="12">
        <f>VLOOKUP(LZ60,SeasonTable,2,FALSE)</f>
        <v/>
      </c>
      <c r="MC60" s="12">
        <f>(1+InflationRate)^INT((LY60-1)/12)</f>
        <v/>
      </c>
      <c r="MD60" s="11">
        <f>'Sens - Churn'!$A$17*VLOOKUP(LZ60,ChurnSeasonTable,4,FALSE)</f>
        <v/>
      </c>
      <c r="ME60" s="12">
        <f>MIN(MAX(MktMin19plus,NC59*MktPct19plus),MAX(0,NQ59-CashBuffer))</f>
        <v/>
      </c>
      <c r="MF60" s="12">
        <f>IF(ME60&gt;0,MAX(1,ROUND(ME60/CAC*MB60,0)),0)</f>
        <v/>
      </c>
      <c r="MG60" s="12">
        <f>IF(MF60&gt;0,ROUND(MF60*ReferralMix/(1-ReferralMix),0),0)</f>
        <v/>
      </c>
      <c r="MH60" s="12">
        <f>MF60+MG60</f>
        <v/>
      </c>
      <c r="MI60" s="12">
        <f>ROUND(MH60*(1-AnnualMix),0)</f>
        <v/>
      </c>
      <c r="MJ60" s="12">
        <f>MH60-MI60</f>
        <v/>
      </c>
      <c r="MK60" s="12">
        <f>ROUND(MI60*EssentialMix,0)</f>
        <v/>
      </c>
      <c r="ML60" s="12">
        <f>ROUND(MI60*PremiumMix,0)</f>
        <v/>
      </c>
      <c r="MM60" s="12">
        <f>MI60-MK60-ML60</f>
        <v/>
      </c>
      <c r="MN60" s="12">
        <f>ROUND(MJ60*EssentialMix,0)</f>
        <v/>
      </c>
      <c r="MO60" s="12">
        <f>ROUND(MJ60*PremiumMix,0)</f>
        <v/>
      </c>
      <c r="MP60" s="12">
        <f>MJ60-MN60-MO60</f>
        <v/>
      </c>
      <c r="MQ60" s="12">
        <f>MK60+MK59+MK58+MAX(0,MQ59-MK59-MK58)*(1-MD60)</f>
        <v/>
      </c>
      <c r="MR60" s="12">
        <f>ML60+ML59+ML58+MAX(0,MR59-ML59-ML58)*(1-MD60)</f>
        <v/>
      </c>
      <c r="MS60" s="12">
        <f>MM60+MM59+MM58+MAX(0,MS59-MM59-MM58)*(1-MD60)</f>
        <v/>
      </c>
      <c r="MT60" s="12">
        <f>MT59+MN60-MN48*(AnnualChurn*VLOOKUP(LZ60,ChurnSeasonTable,4,FALSE))*POWER(1-(AnnualChurn*VLOOKUP(LZ60,ChurnSeasonTable,4,FALSE)),0)+MN36*(AnnualChurn*VLOOKUP(LZ60,ChurnSeasonTable,4,FALSE))*POWER(1-(AnnualChurn*VLOOKUP(LZ60,ChurnSeasonTable,4,FALSE)),1)+MN24*(AnnualChurn*VLOOKUP(LZ60,ChurnSeasonTable,4,FALSE))*POWER(1-(AnnualChurn*VLOOKUP(LZ60,ChurnSeasonTable,4,FALSE)),2)+MN12*(AnnualChurn*VLOOKUP(LZ60,ChurnSeasonTable,4,FALSE))*POWER(1-(AnnualChurn*VLOOKUP(LZ60,ChurnSeasonTable,4,FALSE)),3)</f>
        <v/>
      </c>
      <c r="MU60" s="12">
        <f>MU59+MO60-MO48*(AnnualChurn*VLOOKUP(LZ60,ChurnSeasonTable,4,FALSE))*POWER(1-(AnnualChurn*VLOOKUP(LZ60,ChurnSeasonTable,4,FALSE)),0)+MO36*(AnnualChurn*VLOOKUP(LZ60,ChurnSeasonTable,4,FALSE))*POWER(1-(AnnualChurn*VLOOKUP(LZ60,ChurnSeasonTable,4,FALSE)),1)+MO24*(AnnualChurn*VLOOKUP(LZ60,ChurnSeasonTable,4,FALSE))*POWER(1-(AnnualChurn*VLOOKUP(LZ60,ChurnSeasonTable,4,FALSE)),2)+MO12*(AnnualChurn*VLOOKUP(LZ60,ChurnSeasonTable,4,FALSE))*POWER(1-(AnnualChurn*VLOOKUP(LZ60,ChurnSeasonTable,4,FALSE)),3)</f>
        <v/>
      </c>
      <c r="MV60" s="12">
        <f>MV59+MP60-MP48*(AnnualChurn*VLOOKUP(LZ60,ChurnSeasonTable,4,FALSE))*POWER(1-(AnnualChurn*VLOOKUP(LZ60,ChurnSeasonTable,4,FALSE)),0)+MP36*(AnnualChurn*VLOOKUP(LZ60,ChurnSeasonTable,4,FALSE))*POWER(1-(AnnualChurn*VLOOKUP(LZ60,ChurnSeasonTable,4,FALSE)),1)+MP24*(AnnualChurn*VLOOKUP(LZ60,ChurnSeasonTable,4,FALSE))*POWER(1-(AnnualChurn*VLOOKUP(LZ60,ChurnSeasonTable,4,FALSE)),2)+MP12*(AnnualChurn*VLOOKUP(LZ60,ChurnSeasonTable,4,FALSE))*POWER(1-(AnnualChurn*VLOOKUP(LZ60,ChurnSeasonTable,4,FALSE)),3)</f>
        <v/>
      </c>
      <c r="MW60" s="12">
        <f>MQ60+MR60+MS60+MT60+MU60+MV60</f>
        <v/>
      </c>
      <c r="MX60" s="9">
        <f>MQ60*BlendedPriceEssMonthly*MC60+MR60*BlendedPricePremMonthly*MC60+MS60*BlendedPriceEliteMonthly*MC60+MT60*BlendedPriceEssAnnual*MC60/12+MU60*BlendedPricePremAnnual*MC60/12+MV60*BlendedPriceEliteAnnual*MC60/12</f>
        <v/>
      </c>
      <c r="MY60" s="9">
        <f>MX60*12</f>
        <v/>
      </c>
      <c r="MZ60" s="12">
        <f>MQ60*BlendedPriceEssMonthly*MC60+MR60*BlendedPricePremMonthly*MC60+MS60*BlendedPriceEliteMonthly*MC60</f>
        <v/>
      </c>
      <c r="NA60" s="12">
        <f>MN60*BlendedPriceEssAnnual*MC60+MO60*BlendedPricePremAnnual*MC60+MP60*BlendedPriceEliteAnnual*MC60</f>
        <v/>
      </c>
      <c r="NB60" s="12">
        <f>MN48*POWER(1-(AnnualChurn*VLOOKUP(LZ60,ChurnSeasonTable,4,FALSE)),1)*BlendedPriceEssAnnual*MC60+MN36*POWER(1-(AnnualChurn*VLOOKUP(LZ60,ChurnSeasonTable,4,FALSE)),2)*BlendedPriceEssAnnual*MC60+MN24*POWER(1-(AnnualChurn*VLOOKUP(LZ60,ChurnSeasonTable,4,FALSE)),3)*BlendedPriceEssAnnual*MC60+MN12*POWER(1-(AnnualChurn*VLOOKUP(LZ60,ChurnSeasonTable,4,FALSE)),4)*BlendedPriceEssAnnual*MC60+MO48*POWER(1-(AnnualChurn*VLOOKUP(LZ60,ChurnSeasonTable,4,FALSE)),1)*BlendedPricePremAnnual*MC60+MO36*POWER(1-(AnnualChurn*VLOOKUP(LZ60,ChurnSeasonTable,4,FALSE)),2)*BlendedPricePremAnnual*MC60+MO24*POWER(1-(AnnualChurn*VLOOKUP(LZ60,ChurnSeasonTable,4,FALSE)),3)*BlendedPricePremAnnual*MC60+MO12*POWER(1-(AnnualChurn*VLOOKUP(LZ60,ChurnSeasonTable,4,FALSE)),4)*BlendedPricePremAnnual*MC60+MP48*POWER(1-(AnnualChurn*VLOOKUP(LZ60,ChurnSeasonTable,4,FALSE)),1)*BlendedPriceEliteAnnual*MC60+MP36*POWER(1-(AnnualChurn*VLOOKUP(LZ60,ChurnSeasonTable,4,FALSE)),2)*BlendedPriceEliteAnnual*MC60+MP24*POWER(1-(AnnualChurn*VLOOKUP(LZ60,ChurnSeasonTable,4,FALSE)),3)*BlendedPriceEliteAnnual*MC60+MP12*POWER(1-(AnnualChurn*VLOOKUP(LZ60,ChurnSeasonTable,4,FALSE)),4)*BlendedPriceEliteAnnual*MC60</f>
        <v/>
      </c>
      <c r="NC60" s="9">
        <f>MZ60+NA60+NB60</f>
        <v/>
      </c>
      <c r="ND60" s="12">
        <f>SUM(NC49:NC60)</f>
        <v/>
      </c>
      <c r="NE60" s="12">
        <f>OR(NE59,IF(VATAgentMode,SUM($NC49:$NC60)-SUM($NJ49:$NJ60)&gt;=VATThreshold,SUM($NC49:$NC60)&gt;=VATThreshold))</f>
        <v/>
      </c>
      <c r="NF60" s="9">
        <f>IF(NE60,IF(VATAgentMode,NC60-((NC60-NJ60)-(NC60-NJ60)/(1+VATRate)),NC60/(1+VATRate)),NC60)</f>
        <v/>
      </c>
      <c r="NG60" s="12">
        <f>NC60-NF60</f>
        <v/>
      </c>
      <c r="NH60" s="12">
        <f>IF(NE60=0,0,IF(LZ60=1,SUMPRODUCT(--(($MA$5:$MA60=$MA60-1)*($LZ$5:$LZ60&gt;=10)*($LZ$5:$LZ60&lt;=12)),$NG$5:$NG60),IF(LZ60=4,SUMPRODUCT(--(($MA$5:$MA60=$MA60)*($LZ$5:$LZ60&gt;=1)*($LZ$5:$LZ60&lt;=3)),$NG$5:$NG60),IF(LZ60=7,SUMPRODUCT(--(($MA$5:$MA60=$MA60)*($LZ$5:$LZ60&gt;=4)*($LZ$5:$LZ60&lt;=6)),$NG$5:$NG60),IF(LZ60=10,SUMPRODUCT(--(($MA$5:$MA60=$MA60)*($LZ$5:$LZ60&gt;=7)*($LZ$5:$LZ60&lt;=9)),$NG$5:$NG60),0)))))</f>
        <v/>
      </c>
      <c r="NI60" s="12">
        <f>NI59+NG60-NH60</f>
        <v/>
      </c>
      <c r="NJ60" s="12">
        <f>IF(ProviderDelay&gt;=1,MQ59*BlendedProvPayEss+MR59*BlendedProvPayPrem+MS59*BlendedProvPayElite+MT59*BlendedProvPayEss+MU59*BlendedProvPayPrem+MV59*BlendedProvPayElite,MQ60*BlendedProvPayEss+MR60*BlendedProvPayPrem+MS60*BlendedProvPayElite+MT60*BlendedProvPayEss+MU60*BlendedProvPayPrem+MV60*BlendedProvPayElite)</f>
        <v/>
      </c>
      <c r="NK60" s="12">
        <f>NC60*PaymentFee</f>
        <v/>
      </c>
      <c r="NL60" s="12">
        <f>MW60*OpsAI</f>
        <v/>
      </c>
      <c r="NM60" s="12">
        <f>MonthlyFixed</f>
        <v/>
      </c>
      <c r="NN60" s="12">
        <f>MG60*ReferralReward</f>
        <v/>
      </c>
      <c r="NO60" s="12">
        <f>ME60</f>
        <v/>
      </c>
      <c r="NP60" s="9">
        <f>NF60-NJ60-NK60-NL60-NM60-NN60-NO60</f>
        <v/>
      </c>
      <c r="NQ60" s="9">
        <f>NQ59+NC60-(NJ60+NK60+NL60+NM60+NN60+NO60+NH60)</f>
        <v/>
      </c>
      <c r="NR60" s="12">
        <f>IF(MW60&gt;0,MX60/MW60,0)</f>
        <v/>
      </c>
      <c r="NS60" s="11">
        <f>IF(MW59&gt;0,MAX(0,(MW59+MH60-MW60)/MW59),0)</f>
        <v/>
      </c>
      <c r="NU60" s="12" t="n">
        <v>56</v>
      </c>
      <c r="NV60" s="12">
        <f>MOD(NU60-1+LaunchMonth-1,12)+1</f>
        <v/>
      </c>
      <c r="NW60" s="12">
        <f>INT((NU60-1+LaunchMonth-1)/12)+1</f>
        <v/>
      </c>
      <c r="NX60" s="12">
        <f>VLOOKUP(NV60,SeasonTable,2,FALSE)</f>
        <v/>
      </c>
      <c r="NY60" s="12">
        <f>(1+InflationRate)^INT((NU60-1)/12)</f>
        <v/>
      </c>
      <c r="NZ60" s="11">
        <f>'Sens - Churn'!$A$18*VLOOKUP(NV60,ChurnSeasonTable,4,FALSE)</f>
        <v/>
      </c>
      <c r="OA60" s="12">
        <f>MIN(MAX(MktMin19plus,OY59*MktPct19plus),MAX(0,PM59-CashBuffer))</f>
        <v/>
      </c>
      <c r="OB60" s="12">
        <f>IF(OA60&gt;0,MAX(1,ROUND(OA60/CAC*NX60,0)),0)</f>
        <v/>
      </c>
      <c r="OC60" s="12">
        <f>IF(OB60&gt;0,ROUND(OB60*ReferralMix/(1-ReferralMix),0),0)</f>
        <v/>
      </c>
      <c r="OD60" s="12">
        <f>OB60+OC60</f>
        <v/>
      </c>
      <c r="OE60" s="12">
        <f>ROUND(OD60*(1-AnnualMix),0)</f>
        <v/>
      </c>
      <c r="OF60" s="12">
        <f>OD60-OE60</f>
        <v/>
      </c>
      <c r="OG60" s="12">
        <f>ROUND(OE60*EssentialMix,0)</f>
        <v/>
      </c>
      <c r="OH60" s="12">
        <f>ROUND(OE60*PremiumMix,0)</f>
        <v/>
      </c>
      <c r="OI60" s="12">
        <f>OE60-OG60-OH60</f>
        <v/>
      </c>
      <c r="OJ60" s="12">
        <f>ROUND(OF60*EssentialMix,0)</f>
        <v/>
      </c>
      <c r="OK60" s="12">
        <f>ROUND(OF60*PremiumMix,0)</f>
        <v/>
      </c>
      <c r="OL60" s="12">
        <f>OF60-OJ60-OK60</f>
        <v/>
      </c>
      <c r="OM60" s="12">
        <f>OG60+OG59+OG58+MAX(0,OM59-OG59-OG58)*(1-NZ60)</f>
        <v/>
      </c>
      <c r="ON60" s="12">
        <f>OH60+OH59+OH58+MAX(0,ON59-OH59-OH58)*(1-NZ60)</f>
        <v/>
      </c>
      <c r="OO60" s="12">
        <f>OI60+OI59+OI58+MAX(0,OO59-OI59-OI58)*(1-NZ60)</f>
        <v/>
      </c>
      <c r="OP60" s="12">
        <f>OP59+OJ60-OJ48*(AnnualChurn*VLOOKUP(NV60,ChurnSeasonTable,4,FALSE))*POWER(1-(AnnualChurn*VLOOKUP(NV60,ChurnSeasonTable,4,FALSE)),0)+OJ36*(AnnualChurn*VLOOKUP(NV60,ChurnSeasonTable,4,FALSE))*POWER(1-(AnnualChurn*VLOOKUP(NV60,ChurnSeasonTable,4,FALSE)),1)+OJ24*(AnnualChurn*VLOOKUP(NV60,ChurnSeasonTable,4,FALSE))*POWER(1-(AnnualChurn*VLOOKUP(NV60,ChurnSeasonTable,4,FALSE)),2)+OJ12*(AnnualChurn*VLOOKUP(NV60,ChurnSeasonTable,4,FALSE))*POWER(1-(AnnualChurn*VLOOKUP(NV60,ChurnSeasonTable,4,FALSE)),3)</f>
        <v/>
      </c>
      <c r="OQ60" s="12">
        <f>OQ59+OK60-OK48*(AnnualChurn*VLOOKUP(NV60,ChurnSeasonTable,4,FALSE))*POWER(1-(AnnualChurn*VLOOKUP(NV60,ChurnSeasonTable,4,FALSE)),0)+OK36*(AnnualChurn*VLOOKUP(NV60,ChurnSeasonTable,4,FALSE))*POWER(1-(AnnualChurn*VLOOKUP(NV60,ChurnSeasonTable,4,FALSE)),1)+OK24*(AnnualChurn*VLOOKUP(NV60,ChurnSeasonTable,4,FALSE))*POWER(1-(AnnualChurn*VLOOKUP(NV60,ChurnSeasonTable,4,FALSE)),2)+OK12*(AnnualChurn*VLOOKUP(NV60,ChurnSeasonTable,4,FALSE))*POWER(1-(AnnualChurn*VLOOKUP(NV60,ChurnSeasonTable,4,FALSE)),3)</f>
        <v/>
      </c>
      <c r="OR60" s="12">
        <f>OR59+OL60-OL48*(AnnualChurn*VLOOKUP(NV60,ChurnSeasonTable,4,FALSE))*POWER(1-(AnnualChurn*VLOOKUP(NV60,ChurnSeasonTable,4,FALSE)),0)+OL36*(AnnualChurn*VLOOKUP(NV60,ChurnSeasonTable,4,FALSE))*POWER(1-(AnnualChurn*VLOOKUP(NV60,ChurnSeasonTable,4,FALSE)),1)+OL24*(AnnualChurn*VLOOKUP(NV60,ChurnSeasonTable,4,FALSE))*POWER(1-(AnnualChurn*VLOOKUP(NV60,ChurnSeasonTable,4,FALSE)),2)+OL12*(AnnualChurn*VLOOKUP(NV60,ChurnSeasonTable,4,FALSE))*POWER(1-(AnnualChurn*VLOOKUP(NV60,ChurnSeasonTable,4,FALSE)),3)</f>
        <v/>
      </c>
      <c r="OS60" s="12">
        <f>OM60+ON60+OO60+OP60+OQ60+OR60</f>
        <v/>
      </c>
      <c r="OT60" s="9">
        <f>OM60*BlendedPriceEssMonthly*NY60+ON60*BlendedPricePremMonthly*NY60+OO60*BlendedPriceEliteMonthly*NY60+OP60*BlendedPriceEssAnnual*NY60/12+OQ60*BlendedPricePremAnnual*NY60/12+OR60*BlendedPriceEliteAnnual*NY60/12</f>
        <v/>
      </c>
      <c r="OU60" s="9">
        <f>OT60*12</f>
        <v/>
      </c>
      <c r="OV60" s="12">
        <f>OM60*BlendedPriceEssMonthly*NY60+ON60*BlendedPricePremMonthly*NY60+OO60*BlendedPriceEliteMonthly*NY60</f>
        <v/>
      </c>
      <c r="OW60" s="12">
        <f>OJ60*BlendedPriceEssAnnual*NY60+OK60*BlendedPricePremAnnual*NY60+OL60*BlendedPriceEliteAnnual*NY60</f>
        <v/>
      </c>
      <c r="OX60" s="12">
        <f>OJ48*POWER(1-(AnnualChurn*VLOOKUP(NV60,ChurnSeasonTable,4,FALSE)),1)*BlendedPriceEssAnnual*NY60+OJ36*POWER(1-(AnnualChurn*VLOOKUP(NV60,ChurnSeasonTable,4,FALSE)),2)*BlendedPriceEssAnnual*NY60+OJ24*POWER(1-(AnnualChurn*VLOOKUP(NV60,ChurnSeasonTable,4,FALSE)),3)*BlendedPriceEssAnnual*NY60+OJ12*POWER(1-(AnnualChurn*VLOOKUP(NV60,ChurnSeasonTable,4,FALSE)),4)*BlendedPriceEssAnnual*NY60+OK48*POWER(1-(AnnualChurn*VLOOKUP(NV60,ChurnSeasonTable,4,FALSE)),1)*BlendedPricePremAnnual*NY60+OK36*POWER(1-(AnnualChurn*VLOOKUP(NV60,ChurnSeasonTable,4,FALSE)),2)*BlendedPricePremAnnual*NY60+OK24*POWER(1-(AnnualChurn*VLOOKUP(NV60,ChurnSeasonTable,4,FALSE)),3)*BlendedPricePremAnnual*NY60+OK12*POWER(1-(AnnualChurn*VLOOKUP(NV60,ChurnSeasonTable,4,FALSE)),4)*BlendedPricePremAnnual*NY60+OL48*POWER(1-(AnnualChurn*VLOOKUP(NV60,ChurnSeasonTable,4,FALSE)),1)*BlendedPriceEliteAnnual*NY60+OL36*POWER(1-(AnnualChurn*VLOOKUP(NV60,ChurnSeasonTable,4,FALSE)),2)*BlendedPriceEliteAnnual*NY60+OL24*POWER(1-(AnnualChurn*VLOOKUP(NV60,ChurnSeasonTable,4,FALSE)),3)*BlendedPriceEliteAnnual*NY60+OL12*POWER(1-(AnnualChurn*VLOOKUP(NV60,ChurnSeasonTable,4,FALSE)),4)*BlendedPriceEliteAnnual*NY60</f>
        <v/>
      </c>
      <c r="OY60" s="9">
        <f>OV60+OW60+OX60</f>
        <v/>
      </c>
      <c r="OZ60" s="12">
        <f>SUM(OY49:OY60)</f>
        <v/>
      </c>
      <c r="PA60" s="12">
        <f>OR(PA59,IF(VATAgentMode,SUM($OY49:$OY60)-SUM($PF49:$PF60)&gt;=VATThreshold,SUM($OY49:$OY60)&gt;=VATThreshold))</f>
        <v/>
      </c>
      <c r="PB60" s="9">
        <f>IF(PA60,IF(VATAgentMode,OY60-((OY60-PF60)-(OY60-PF60)/(1+VATRate)),OY60/(1+VATRate)),OY60)</f>
        <v/>
      </c>
      <c r="PC60" s="12">
        <f>OY60-PB60</f>
        <v/>
      </c>
      <c r="PD60" s="12">
        <f>IF(PA60=0,0,IF(NV60=1,SUMPRODUCT(--(($NW$5:$NW60=$NW60-1)*($NV$5:$NV60&gt;=10)*($NV$5:$NV60&lt;=12)),$PC$5:$PC60),IF(NV60=4,SUMPRODUCT(--(($NW$5:$NW60=$NW60)*($NV$5:$NV60&gt;=1)*($NV$5:$NV60&lt;=3)),$PC$5:$PC60),IF(NV60=7,SUMPRODUCT(--(($NW$5:$NW60=$NW60)*($NV$5:$NV60&gt;=4)*($NV$5:$NV60&lt;=6)),$PC$5:$PC60),IF(NV60=10,SUMPRODUCT(--(($NW$5:$NW60=$NW60)*($NV$5:$NV60&gt;=7)*($NV$5:$NV60&lt;=9)),$PC$5:$PC60),0)))))</f>
        <v/>
      </c>
      <c r="PE60" s="12">
        <f>PE59+PC60-PD60</f>
        <v/>
      </c>
      <c r="PF60" s="12">
        <f>IF(ProviderDelay&gt;=1,OM59*BlendedProvPayEss+ON59*BlendedProvPayPrem+OO59*BlendedProvPayElite+OP59*BlendedProvPayEss+OQ59*BlendedProvPayPrem+OR59*BlendedProvPayElite,OM60*BlendedProvPayEss+ON60*BlendedProvPayPrem+OO60*BlendedProvPayElite+OP60*BlendedProvPayEss+OQ60*BlendedProvPayPrem+OR60*BlendedProvPayElite)</f>
        <v/>
      </c>
      <c r="PG60" s="12">
        <f>OY60*PaymentFee</f>
        <v/>
      </c>
      <c r="PH60" s="12">
        <f>OS60*OpsAI</f>
        <v/>
      </c>
      <c r="PI60" s="12">
        <f>MonthlyFixed</f>
        <v/>
      </c>
      <c r="PJ60" s="12">
        <f>OC60*ReferralReward</f>
        <v/>
      </c>
      <c r="PK60" s="12">
        <f>OA60</f>
        <v/>
      </c>
      <c r="PL60" s="9">
        <f>PB60-PF60-PG60-PH60-PI60-PJ60-PK60</f>
        <v/>
      </c>
      <c r="PM60" s="9">
        <f>PM59+OY60-(PF60+PG60+PH60+PI60+PJ60+PK60+PD60)</f>
        <v/>
      </c>
      <c r="PN60" s="12">
        <f>IF(OS60&gt;0,OT60/OS60,0)</f>
        <v/>
      </c>
      <c r="PO60" s="11">
        <f>IF(OS59&gt;0,MAX(0,(OS59+OD60-OS60)/OS59),0)</f>
        <v/>
      </c>
      <c r="PQ60" s="12" t="n">
        <v>56</v>
      </c>
      <c r="PR60" s="12">
        <f>MOD(PQ60-1+LaunchMonth-1,12)+1</f>
        <v/>
      </c>
      <c r="PS60" s="12">
        <f>INT((PQ60-1+LaunchMonth-1)/12)+1</f>
        <v/>
      </c>
      <c r="PT60" s="12">
        <f>VLOOKUP(PR60,SeasonTable,2,FALSE)</f>
        <v/>
      </c>
      <c r="PU60" s="12">
        <f>(1+InflationRate)^INT((PQ60-1)/12)</f>
        <v/>
      </c>
      <c r="PV60" s="11">
        <f>'Sens - Churn'!$A$19*VLOOKUP(PR60,ChurnSeasonTable,4,FALSE)</f>
        <v/>
      </c>
      <c r="PW60" s="12">
        <f>MIN(MAX(MktMin19plus,QU59*MktPct19plus),MAX(0,RI59-CashBuffer))</f>
        <v/>
      </c>
      <c r="PX60" s="12">
        <f>IF(PW60&gt;0,MAX(1,ROUND(PW60/CAC*PT60,0)),0)</f>
        <v/>
      </c>
      <c r="PY60" s="12">
        <f>IF(PX60&gt;0,ROUND(PX60*ReferralMix/(1-ReferralMix),0),0)</f>
        <v/>
      </c>
      <c r="PZ60" s="12">
        <f>PX60+PY60</f>
        <v/>
      </c>
      <c r="QA60" s="12">
        <f>ROUND(PZ60*(1-AnnualMix),0)</f>
        <v/>
      </c>
      <c r="QB60" s="12">
        <f>PZ60-QA60</f>
        <v/>
      </c>
      <c r="QC60" s="12">
        <f>ROUND(QA60*EssentialMix,0)</f>
        <v/>
      </c>
      <c r="QD60" s="12">
        <f>ROUND(QA60*PremiumMix,0)</f>
        <v/>
      </c>
      <c r="QE60" s="12">
        <f>QA60-QC60-QD60</f>
        <v/>
      </c>
      <c r="QF60" s="12">
        <f>ROUND(QB60*EssentialMix,0)</f>
        <v/>
      </c>
      <c r="QG60" s="12">
        <f>ROUND(QB60*PremiumMix,0)</f>
        <v/>
      </c>
      <c r="QH60" s="12">
        <f>QB60-QF60-QG60</f>
        <v/>
      </c>
      <c r="QI60" s="12">
        <f>QC60+QC59+QC58+MAX(0,QI59-QC59-QC58)*(1-PV60)</f>
        <v/>
      </c>
      <c r="QJ60" s="12">
        <f>QD60+QD59+QD58+MAX(0,QJ59-QD59-QD58)*(1-PV60)</f>
        <v/>
      </c>
      <c r="QK60" s="12">
        <f>QE60+QE59+QE58+MAX(0,QK59-QE59-QE58)*(1-PV60)</f>
        <v/>
      </c>
      <c r="QL60" s="12">
        <f>QL59+QF60-QF48*(AnnualChurn*VLOOKUP(PR60,ChurnSeasonTable,4,FALSE))*POWER(1-(AnnualChurn*VLOOKUP(PR60,ChurnSeasonTable,4,FALSE)),0)+QF36*(AnnualChurn*VLOOKUP(PR60,ChurnSeasonTable,4,FALSE))*POWER(1-(AnnualChurn*VLOOKUP(PR60,ChurnSeasonTable,4,FALSE)),1)+QF24*(AnnualChurn*VLOOKUP(PR60,ChurnSeasonTable,4,FALSE))*POWER(1-(AnnualChurn*VLOOKUP(PR60,ChurnSeasonTable,4,FALSE)),2)+QF12*(AnnualChurn*VLOOKUP(PR60,ChurnSeasonTable,4,FALSE))*POWER(1-(AnnualChurn*VLOOKUP(PR60,ChurnSeasonTable,4,FALSE)),3)</f>
        <v/>
      </c>
      <c r="QM60" s="12">
        <f>QM59+QG60-QG48*(AnnualChurn*VLOOKUP(PR60,ChurnSeasonTable,4,FALSE))*POWER(1-(AnnualChurn*VLOOKUP(PR60,ChurnSeasonTable,4,FALSE)),0)+QG36*(AnnualChurn*VLOOKUP(PR60,ChurnSeasonTable,4,FALSE))*POWER(1-(AnnualChurn*VLOOKUP(PR60,ChurnSeasonTable,4,FALSE)),1)+QG24*(AnnualChurn*VLOOKUP(PR60,ChurnSeasonTable,4,FALSE))*POWER(1-(AnnualChurn*VLOOKUP(PR60,ChurnSeasonTable,4,FALSE)),2)+QG12*(AnnualChurn*VLOOKUP(PR60,ChurnSeasonTable,4,FALSE))*POWER(1-(AnnualChurn*VLOOKUP(PR60,ChurnSeasonTable,4,FALSE)),3)</f>
        <v/>
      </c>
      <c r="QN60" s="12">
        <f>QN59+QH60-QH48*(AnnualChurn*VLOOKUP(PR60,ChurnSeasonTable,4,FALSE))*POWER(1-(AnnualChurn*VLOOKUP(PR60,ChurnSeasonTable,4,FALSE)),0)+QH36*(AnnualChurn*VLOOKUP(PR60,ChurnSeasonTable,4,FALSE))*POWER(1-(AnnualChurn*VLOOKUP(PR60,ChurnSeasonTable,4,FALSE)),1)+QH24*(AnnualChurn*VLOOKUP(PR60,ChurnSeasonTable,4,FALSE))*POWER(1-(AnnualChurn*VLOOKUP(PR60,ChurnSeasonTable,4,FALSE)),2)+QH12*(AnnualChurn*VLOOKUP(PR60,ChurnSeasonTable,4,FALSE))*POWER(1-(AnnualChurn*VLOOKUP(PR60,ChurnSeasonTable,4,FALSE)),3)</f>
        <v/>
      </c>
      <c r="QO60" s="12">
        <f>QI60+QJ60+QK60+QL60+QM60+QN60</f>
        <v/>
      </c>
      <c r="QP60" s="9">
        <f>QI60*BlendedPriceEssMonthly*PU60+QJ60*BlendedPricePremMonthly*PU60+QK60*BlendedPriceEliteMonthly*PU60+QL60*BlendedPriceEssAnnual*PU60/12+QM60*BlendedPricePremAnnual*PU60/12+QN60*BlendedPriceEliteAnnual*PU60/12</f>
        <v/>
      </c>
      <c r="QQ60" s="9">
        <f>QP60*12</f>
        <v/>
      </c>
      <c r="QR60" s="12">
        <f>QI60*BlendedPriceEssMonthly*PU60+QJ60*BlendedPricePremMonthly*PU60+QK60*BlendedPriceEliteMonthly*PU60</f>
        <v/>
      </c>
      <c r="QS60" s="12">
        <f>QF60*BlendedPriceEssAnnual*PU60+QG60*BlendedPricePremAnnual*PU60+QH60*BlendedPriceEliteAnnual*PU60</f>
        <v/>
      </c>
      <c r="QT60" s="12">
        <f>QF48*POWER(1-(AnnualChurn*VLOOKUP(PR60,ChurnSeasonTable,4,FALSE)),1)*BlendedPriceEssAnnual*PU60+QF36*POWER(1-(AnnualChurn*VLOOKUP(PR60,ChurnSeasonTable,4,FALSE)),2)*BlendedPriceEssAnnual*PU60+QF24*POWER(1-(AnnualChurn*VLOOKUP(PR60,ChurnSeasonTable,4,FALSE)),3)*BlendedPriceEssAnnual*PU60+QF12*POWER(1-(AnnualChurn*VLOOKUP(PR60,ChurnSeasonTable,4,FALSE)),4)*BlendedPriceEssAnnual*PU60+QG48*POWER(1-(AnnualChurn*VLOOKUP(PR60,ChurnSeasonTable,4,FALSE)),1)*BlendedPricePremAnnual*PU60+QG36*POWER(1-(AnnualChurn*VLOOKUP(PR60,ChurnSeasonTable,4,FALSE)),2)*BlendedPricePremAnnual*PU60+QG24*POWER(1-(AnnualChurn*VLOOKUP(PR60,ChurnSeasonTable,4,FALSE)),3)*BlendedPricePremAnnual*PU60+QG12*POWER(1-(AnnualChurn*VLOOKUP(PR60,ChurnSeasonTable,4,FALSE)),4)*BlendedPricePremAnnual*PU60+QH48*POWER(1-(AnnualChurn*VLOOKUP(PR60,ChurnSeasonTable,4,FALSE)),1)*BlendedPriceEliteAnnual*PU60+QH36*POWER(1-(AnnualChurn*VLOOKUP(PR60,ChurnSeasonTable,4,FALSE)),2)*BlendedPriceEliteAnnual*PU60+QH24*POWER(1-(AnnualChurn*VLOOKUP(PR60,ChurnSeasonTable,4,FALSE)),3)*BlendedPriceEliteAnnual*PU60+QH12*POWER(1-(AnnualChurn*VLOOKUP(PR60,ChurnSeasonTable,4,FALSE)),4)*BlendedPriceEliteAnnual*PU60</f>
        <v/>
      </c>
      <c r="QU60" s="9">
        <f>QR60+QS60+QT60</f>
        <v/>
      </c>
      <c r="QV60" s="12">
        <f>SUM(QU49:QU60)</f>
        <v/>
      </c>
      <c r="QW60" s="12">
        <f>OR(QW59,IF(VATAgentMode,SUM($QU49:$QU60)-SUM($RB49:$RB60)&gt;=VATThreshold,SUM($QU49:$QU60)&gt;=VATThreshold))</f>
        <v/>
      </c>
      <c r="QX60" s="9">
        <f>IF(QW60,IF(VATAgentMode,QU60-((QU60-RB60)-(QU60-RB60)/(1+VATRate)),QU60/(1+VATRate)),QU60)</f>
        <v/>
      </c>
      <c r="QY60" s="12">
        <f>QU60-QX60</f>
        <v/>
      </c>
      <c r="QZ60" s="12">
        <f>IF(QW60=0,0,IF(PR60=1,SUMPRODUCT(--(($PS$5:$PS60=$PS60-1)*($PR$5:$PR60&gt;=10)*($PR$5:$PR60&lt;=12)),$QY$5:$QY60),IF(PR60=4,SUMPRODUCT(--(($PS$5:$PS60=$PS60)*($PR$5:$PR60&gt;=1)*($PR$5:$PR60&lt;=3)),$QY$5:$QY60),IF(PR60=7,SUMPRODUCT(--(($PS$5:$PS60=$PS60)*($PR$5:$PR60&gt;=4)*($PR$5:$PR60&lt;=6)),$QY$5:$QY60),IF(PR60=10,SUMPRODUCT(--(($PS$5:$PS60=$PS60)*($PR$5:$PR60&gt;=7)*($PR$5:$PR60&lt;=9)),$QY$5:$QY60),0)))))</f>
        <v/>
      </c>
      <c r="RA60" s="12">
        <f>RA59+QY60-QZ60</f>
        <v/>
      </c>
      <c r="RB60" s="12">
        <f>IF(ProviderDelay&gt;=1,QI59*BlendedProvPayEss+QJ59*BlendedProvPayPrem+QK59*BlendedProvPayElite+QL59*BlendedProvPayEss+QM59*BlendedProvPayPrem+QN59*BlendedProvPayElite,QI60*BlendedProvPayEss+QJ60*BlendedProvPayPrem+QK60*BlendedProvPayElite+QL60*BlendedProvPayEss+QM60*BlendedProvPayPrem+QN60*BlendedProvPayElite)</f>
        <v/>
      </c>
      <c r="RC60" s="12">
        <f>QU60*PaymentFee</f>
        <v/>
      </c>
      <c r="RD60" s="12">
        <f>QO60*OpsAI</f>
        <v/>
      </c>
      <c r="RE60" s="12">
        <f>MonthlyFixed</f>
        <v/>
      </c>
      <c r="RF60" s="12">
        <f>PY60*ReferralReward</f>
        <v/>
      </c>
      <c r="RG60" s="12">
        <f>PW60</f>
        <v/>
      </c>
      <c r="RH60" s="9">
        <f>QX60-RB60-RC60-RD60-RE60-RF60-RG60</f>
        <v/>
      </c>
      <c r="RI60" s="9">
        <f>RI59+QU60-(RB60+RC60+RD60+RE60+RF60+RG60+QZ60)</f>
        <v/>
      </c>
      <c r="RJ60" s="12">
        <f>IF(QO60&gt;0,QP60/QO60,0)</f>
        <v/>
      </c>
      <c r="RK60" s="11">
        <f>IF(QO59&gt;0,MAX(0,(QO59+PZ60-QO60)/QO59),0)</f>
        <v/>
      </c>
      <c r="RM60" s="12" t="n">
        <v>56</v>
      </c>
      <c r="RN60" s="12">
        <f>MOD(RM60-1+LaunchMonth-1,12)+1</f>
        <v/>
      </c>
      <c r="RO60" s="12">
        <f>INT((RM60-1+LaunchMonth-1)/12)+1</f>
        <v/>
      </c>
      <c r="RP60" s="12">
        <f>VLOOKUP(RN60,SeasonTable,2,FALSE)</f>
        <v/>
      </c>
      <c r="RQ60" s="12">
        <f>(1+InflationRate)^INT((RM60-1)/12)</f>
        <v/>
      </c>
      <c r="RR60" s="11">
        <f>'Sens - Churn'!$A$20*VLOOKUP(RN60,ChurnSeasonTable,4,FALSE)</f>
        <v/>
      </c>
      <c r="RS60" s="12">
        <f>MIN(MAX(MktMin19plus,SQ59*MktPct19plus),MAX(0,TE59-CashBuffer))</f>
        <v/>
      </c>
      <c r="RT60" s="12">
        <f>IF(RS60&gt;0,MAX(1,ROUND(RS60/CAC*RP60,0)),0)</f>
        <v/>
      </c>
      <c r="RU60" s="12">
        <f>IF(RT60&gt;0,ROUND(RT60*ReferralMix/(1-ReferralMix),0),0)</f>
        <v/>
      </c>
      <c r="RV60" s="12">
        <f>RT60+RU60</f>
        <v/>
      </c>
      <c r="RW60" s="12">
        <f>ROUND(RV60*(1-AnnualMix),0)</f>
        <v/>
      </c>
      <c r="RX60" s="12">
        <f>RV60-RW60</f>
        <v/>
      </c>
      <c r="RY60" s="12">
        <f>ROUND(RW60*EssentialMix,0)</f>
        <v/>
      </c>
      <c r="RZ60" s="12">
        <f>ROUND(RW60*PremiumMix,0)</f>
        <v/>
      </c>
      <c r="SA60" s="12">
        <f>RW60-RY60-RZ60</f>
        <v/>
      </c>
      <c r="SB60" s="12">
        <f>ROUND(RX60*EssentialMix,0)</f>
        <v/>
      </c>
      <c r="SC60" s="12">
        <f>ROUND(RX60*PremiumMix,0)</f>
        <v/>
      </c>
      <c r="SD60" s="12">
        <f>RX60-SB60-SC60</f>
        <v/>
      </c>
      <c r="SE60" s="12">
        <f>RY60+RY59+RY58+MAX(0,SE59-RY59-RY58)*(1-RR60)</f>
        <v/>
      </c>
      <c r="SF60" s="12">
        <f>RZ60+RZ59+RZ58+MAX(0,SF59-RZ59-RZ58)*(1-RR60)</f>
        <v/>
      </c>
      <c r="SG60" s="12">
        <f>SA60+SA59+SA58+MAX(0,SG59-SA59-SA58)*(1-RR60)</f>
        <v/>
      </c>
      <c r="SH60" s="12">
        <f>SH59+SB60-SB48*(AnnualChurn*VLOOKUP(RN60,ChurnSeasonTable,4,FALSE))*POWER(1-(AnnualChurn*VLOOKUP(RN60,ChurnSeasonTable,4,FALSE)),0)+SB36*(AnnualChurn*VLOOKUP(RN60,ChurnSeasonTable,4,FALSE))*POWER(1-(AnnualChurn*VLOOKUP(RN60,ChurnSeasonTable,4,FALSE)),1)+SB24*(AnnualChurn*VLOOKUP(RN60,ChurnSeasonTable,4,FALSE))*POWER(1-(AnnualChurn*VLOOKUP(RN60,ChurnSeasonTable,4,FALSE)),2)+SB12*(AnnualChurn*VLOOKUP(RN60,ChurnSeasonTable,4,FALSE))*POWER(1-(AnnualChurn*VLOOKUP(RN60,ChurnSeasonTable,4,FALSE)),3)</f>
        <v/>
      </c>
      <c r="SI60" s="12">
        <f>SI59+SC60-SC48*(AnnualChurn*VLOOKUP(RN60,ChurnSeasonTable,4,FALSE))*POWER(1-(AnnualChurn*VLOOKUP(RN60,ChurnSeasonTable,4,FALSE)),0)+SC36*(AnnualChurn*VLOOKUP(RN60,ChurnSeasonTable,4,FALSE))*POWER(1-(AnnualChurn*VLOOKUP(RN60,ChurnSeasonTable,4,FALSE)),1)+SC24*(AnnualChurn*VLOOKUP(RN60,ChurnSeasonTable,4,FALSE))*POWER(1-(AnnualChurn*VLOOKUP(RN60,ChurnSeasonTable,4,FALSE)),2)+SC12*(AnnualChurn*VLOOKUP(RN60,ChurnSeasonTable,4,FALSE))*POWER(1-(AnnualChurn*VLOOKUP(RN60,ChurnSeasonTable,4,FALSE)),3)</f>
        <v/>
      </c>
      <c r="SJ60" s="12">
        <f>SJ59+SD60-SD48*(AnnualChurn*VLOOKUP(RN60,ChurnSeasonTable,4,FALSE))*POWER(1-(AnnualChurn*VLOOKUP(RN60,ChurnSeasonTable,4,FALSE)),0)+SD36*(AnnualChurn*VLOOKUP(RN60,ChurnSeasonTable,4,FALSE))*POWER(1-(AnnualChurn*VLOOKUP(RN60,ChurnSeasonTable,4,FALSE)),1)+SD24*(AnnualChurn*VLOOKUP(RN60,ChurnSeasonTable,4,FALSE))*POWER(1-(AnnualChurn*VLOOKUP(RN60,ChurnSeasonTable,4,FALSE)),2)+SD12*(AnnualChurn*VLOOKUP(RN60,ChurnSeasonTable,4,FALSE))*POWER(1-(AnnualChurn*VLOOKUP(RN60,ChurnSeasonTable,4,FALSE)),3)</f>
        <v/>
      </c>
      <c r="SK60" s="12">
        <f>SE60+SF60+SG60+SH60+SI60+SJ60</f>
        <v/>
      </c>
      <c r="SL60" s="9">
        <f>SE60*BlendedPriceEssMonthly*RQ60+SF60*BlendedPricePremMonthly*RQ60+SG60*BlendedPriceEliteMonthly*RQ60+SH60*BlendedPriceEssAnnual*RQ60/12+SI60*BlendedPricePremAnnual*RQ60/12+SJ60*BlendedPriceEliteAnnual*RQ60/12</f>
        <v/>
      </c>
      <c r="SM60" s="9">
        <f>SL60*12</f>
        <v/>
      </c>
      <c r="SN60" s="12">
        <f>SE60*BlendedPriceEssMonthly*RQ60+SF60*BlendedPricePremMonthly*RQ60+SG60*BlendedPriceEliteMonthly*RQ60</f>
        <v/>
      </c>
      <c r="SO60" s="12">
        <f>SB60*BlendedPriceEssAnnual*RQ60+SC60*BlendedPricePremAnnual*RQ60+SD60*BlendedPriceEliteAnnual*RQ60</f>
        <v/>
      </c>
      <c r="SP60" s="12">
        <f>SB48*POWER(1-(AnnualChurn*VLOOKUP(RN60,ChurnSeasonTable,4,FALSE)),1)*BlendedPriceEssAnnual*RQ60+SB36*POWER(1-(AnnualChurn*VLOOKUP(RN60,ChurnSeasonTable,4,FALSE)),2)*BlendedPriceEssAnnual*RQ60+SB24*POWER(1-(AnnualChurn*VLOOKUP(RN60,ChurnSeasonTable,4,FALSE)),3)*BlendedPriceEssAnnual*RQ60+SB12*POWER(1-(AnnualChurn*VLOOKUP(RN60,ChurnSeasonTable,4,FALSE)),4)*BlendedPriceEssAnnual*RQ60+SC48*POWER(1-(AnnualChurn*VLOOKUP(RN60,ChurnSeasonTable,4,FALSE)),1)*BlendedPricePremAnnual*RQ60+SC36*POWER(1-(AnnualChurn*VLOOKUP(RN60,ChurnSeasonTable,4,FALSE)),2)*BlendedPricePremAnnual*RQ60+SC24*POWER(1-(AnnualChurn*VLOOKUP(RN60,ChurnSeasonTable,4,FALSE)),3)*BlendedPricePremAnnual*RQ60+SC12*POWER(1-(AnnualChurn*VLOOKUP(RN60,ChurnSeasonTable,4,FALSE)),4)*BlendedPricePremAnnual*RQ60+SD48*POWER(1-(AnnualChurn*VLOOKUP(RN60,ChurnSeasonTable,4,FALSE)),1)*BlendedPriceEliteAnnual*RQ60+SD36*POWER(1-(AnnualChurn*VLOOKUP(RN60,ChurnSeasonTable,4,FALSE)),2)*BlendedPriceEliteAnnual*RQ60+SD24*POWER(1-(AnnualChurn*VLOOKUP(RN60,ChurnSeasonTable,4,FALSE)),3)*BlendedPriceEliteAnnual*RQ60+SD12*POWER(1-(AnnualChurn*VLOOKUP(RN60,ChurnSeasonTable,4,FALSE)),4)*BlendedPriceEliteAnnual*RQ60</f>
        <v/>
      </c>
      <c r="SQ60" s="9">
        <f>SN60+SO60+SP60</f>
        <v/>
      </c>
      <c r="SR60" s="12">
        <f>SUM(SQ49:SQ60)</f>
        <v/>
      </c>
      <c r="SS60" s="12">
        <f>OR(SS59,IF(VATAgentMode,SUM($SQ49:$SQ60)-SUM($SX49:$SX60)&gt;=VATThreshold,SUM($SQ49:$SQ60)&gt;=VATThreshold))</f>
        <v/>
      </c>
      <c r="ST60" s="9">
        <f>IF(SS60,IF(VATAgentMode,SQ60-((SQ60-SX60)-(SQ60-SX60)/(1+VATRate)),SQ60/(1+VATRate)),SQ60)</f>
        <v/>
      </c>
      <c r="SU60" s="12">
        <f>SQ60-ST60</f>
        <v/>
      </c>
      <c r="SV60" s="12">
        <f>IF(SS60=0,0,IF(RN60=1,SUMPRODUCT(--(($RO$5:$RO60=$RO60-1)*($RN$5:$RN60&gt;=10)*($RN$5:$RN60&lt;=12)),$SU$5:$SU60),IF(RN60=4,SUMPRODUCT(--(($RO$5:$RO60=$RO60)*($RN$5:$RN60&gt;=1)*($RN$5:$RN60&lt;=3)),$SU$5:$SU60),IF(RN60=7,SUMPRODUCT(--(($RO$5:$RO60=$RO60)*($RN$5:$RN60&gt;=4)*($RN$5:$RN60&lt;=6)),$SU$5:$SU60),IF(RN60=10,SUMPRODUCT(--(($RO$5:$RO60=$RO60)*($RN$5:$RN60&gt;=7)*($RN$5:$RN60&lt;=9)),$SU$5:$SU60),0)))))</f>
        <v/>
      </c>
      <c r="SW60" s="12">
        <f>SW59+SU60-SV60</f>
        <v/>
      </c>
      <c r="SX60" s="12">
        <f>IF(ProviderDelay&gt;=1,SE59*BlendedProvPayEss+SF59*BlendedProvPayPrem+SG59*BlendedProvPayElite+SH59*BlendedProvPayEss+SI59*BlendedProvPayPrem+SJ59*BlendedProvPayElite,SE60*BlendedProvPayEss+SF60*BlendedProvPayPrem+SG60*BlendedProvPayElite+SH60*BlendedProvPayEss+SI60*BlendedProvPayPrem+SJ60*BlendedProvPayElite)</f>
        <v/>
      </c>
      <c r="SY60" s="12">
        <f>SQ60*PaymentFee</f>
        <v/>
      </c>
      <c r="SZ60" s="12">
        <f>SK60*OpsAI</f>
        <v/>
      </c>
      <c r="TA60" s="12">
        <f>MonthlyFixed</f>
        <v/>
      </c>
      <c r="TB60" s="12">
        <f>RU60*ReferralReward</f>
        <v/>
      </c>
      <c r="TC60" s="12">
        <f>RS60</f>
        <v/>
      </c>
      <c r="TD60" s="9">
        <f>ST60-SX60-SY60-SZ60-TA60-TB60-TC60</f>
        <v/>
      </c>
      <c r="TE60" s="9">
        <f>TE59+SQ60-(SX60+SY60+SZ60+TA60+TB60+TC60+SV60)</f>
        <v/>
      </c>
      <c r="TF60" s="12">
        <f>IF(SK60&gt;0,SL60/SK60,0)</f>
        <v/>
      </c>
      <c r="TG60" s="11">
        <f>IF(SK59&gt;0,MAX(0,(SK59+RV60-SK60)/SK59),0)</f>
        <v/>
      </c>
      <c r="TI60" s="12" t="n">
        <v>56</v>
      </c>
      <c r="TJ60" s="12">
        <f>MOD(TI60-1+LaunchMonth-1,12)+1</f>
        <v/>
      </c>
      <c r="TK60" s="12">
        <f>INT((TI60-1+LaunchMonth-1)/12)+1</f>
        <v/>
      </c>
      <c r="TL60" s="12">
        <f>VLOOKUP(TJ60,SeasonTable,2,FALSE)</f>
        <v/>
      </c>
      <c r="TM60" s="12">
        <f>(1+InflationRate)^INT((TI60-1)/12)</f>
        <v/>
      </c>
      <c r="TN60" s="11">
        <f>'Sens - Churn'!$A$21*VLOOKUP(TJ60,ChurnSeasonTable,4,FALSE)</f>
        <v/>
      </c>
      <c r="TO60" s="12">
        <f>MIN(MAX(MktMin19plus,UM59*MktPct19plus),MAX(0,VA59-CashBuffer))</f>
        <v/>
      </c>
      <c r="TP60" s="12">
        <f>IF(TO60&gt;0,MAX(1,ROUND(TO60/CAC*TL60,0)),0)</f>
        <v/>
      </c>
      <c r="TQ60" s="12">
        <f>IF(TP60&gt;0,ROUND(TP60*ReferralMix/(1-ReferralMix),0),0)</f>
        <v/>
      </c>
      <c r="TR60" s="12">
        <f>TP60+TQ60</f>
        <v/>
      </c>
      <c r="TS60" s="12">
        <f>ROUND(TR60*(1-AnnualMix),0)</f>
        <v/>
      </c>
      <c r="TT60" s="12">
        <f>TR60-TS60</f>
        <v/>
      </c>
      <c r="TU60" s="12">
        <f>ROUND(TS60*EssentialMix,0)</f>
        <v/>
      </c>
      <c r="TV60" s="12">
        <f>ROUND(TS60*PremiumMix,0)</f>
        <v/>
      </c>
      <c r="TW60" s="12">
        <f>TS60-TU60-TV60</f>
        <v/>
      </c>
      <c r="TX60" s="12">
        <f>ROUND(TT60*EssentialMix,0)</f>
        <v/>
      </c>
      <c r="TY60" s="12">
        <f>ROUND(TT60*PremiumMix,0)</f>
        <v/>
      </c>
      <c r="TZ60" s="12">
        <f>TT60-TX60-TY60</f>
        <v/>
      </c>
      <c r="UA60" s="12">
        <f>TU60+TU59+TU58+MAX(0,UA59-TU59-TU58)*(1-TN60)</f>
        <v/>
      </c>
      <c r="UB60" s="12">
        <f>TV60+TV59+TV58+MAX(0,UB59-TV59-TV58)*(1-TN60)</f>
        <v/>
      </c>
      <c r="UC60" s="12">
        <f>TW60+TW59+TW58+MAX(0,UC59-TW59-TW58)*(1-TN60)</f>
        <v/>
      </c>
      <c r="UD60" s="12">
        <f>UD59+TX60-TX48*(AnnualChurn*VLOOKUP(TJ60,ChurnSeasonTable,4,FALSE))*POWER(1-(AnnualChurn*VLOOKUP(TJ60,ChurnSeasonTable,4,FALSE)),0)+TX36*(AnnualChurn*VLOOKUP(TJ60,ChurnSeasonTable,4,FALSE))*POWER(1-(AnnualChurn*VLOOKUP(TJ60,ChurnSeasonTable,4,FALSE)),1)+TX24*(AnnualChurn*VLOOKUP(TJ60,ChurnSeasonTable,4,FALSE))*POWER(1-(AnnualChurn*VLOOKUP(TJ60,ChurnSeasonTable,4,FALSE)),2)+TX12*(AnnualChurn*VLOOKUP(TJ60,ChurnSeasonTable,4,FALSE))*POWER(1-(AnnualChurn*VLOOKUP(TJ60,ChurnSeasonTable,4,FALSE)),3)</f>
        <v/>
      </c>
      <c r="UE60" s="12">
        <f>UE59+TY60-TY48*(AnnualChurn*VLOOKUP(TJ60,ChurnSeasonTable,4,FALSE))*POWER(1-(AnnualChurn*VLOOKUP(TJ60,ChurnSeasonTable,4,FALSE)),0)+TY36*(AnnualChurn*VLOOKUP(TJ60,ChurnSeasonTable,4,FALSE))*POWER(1-(AnnualChurn*VLOOKUP(TJ60,ChurnSeasonTable,4,FALSE)),1)+TY24*(AnnualChurn*VLOOKUP(TJ60,ChurnSeasonTable,4,FALSE))*POWER(1-(AnnualChurn*VLOOKUP(TJ60,ChurnSeasonTable,4,FALSE)),2)+TY12*(AnnualChurn*VLOOKUP(TJ60,ChurnSeasonTable,4,FALSE))*POWER(1-(AnnualChurn*VLOOKUP(TJ60,ChurnSeasonTable,4,FALSE)),3)</f>
        <v/>
      </c>
      <c r="UF60" s="12">
        <f>UF59+TZ60-TZ48*(AnnualChurn*VLOOKUP(TJ60,ChurnSeasonTable,4,FALSE))*POWER(1-(AnnualChurn*VLOOKUP(TJ60,ChurnSeasonTable,4,FALSE)),0)+TZ36*(AnnualChurn*VLOOKUP(TJ60,ChurnSeasonTable,4,FALSE))*POWER(1-(AnnualChurn*VLOOKUP(TJ60,ChurnSeasonTable,4,FALSE)),1)+TZ24*(AnnualChurn*VLOOKUP(TJ60,ChurnSeasonTable,4,FALSE))*POWER(1-(AnnualChurn*VLOOKUP(TJ60,ChurnSeasonTable,4,FALSE)),2)+TZ12*(AnnualChurn*VLOOKUP(TJ60,ChurnSeasonTable,4,FALSE))*POWER(1-(AnnualChurn*VLOOKUP(TJ60,ChurnSeasonTable,4,FALSE)),3)</f>
        <v/>
      </c>
      <c r="UG60" s="12">
        <f>UA60+UB60+UC60+UD60+UE60+UF60</f>
        <v/>
      </c>
      <c r="UH60" s="9">
        <f>UA60*BlendedPriceEssMonthly*TM60+UB60*BlendedPricePremMonthly*TM60+UC60*BlendedPriceEliteMonthly*TM60+UD60*BlendedPriceEssAnnual*TM60/12+UE60*BlendedPricePremAnnual*TM60/12+UF60*BlendedPriceEliteAnnual*TM60/12</f>
        <v/>
      </c>
      <c r="UI60" s="9">
        <f>UH60*12</f>
        <v/>
      </c>
      <c r="UJ60" s="12">
        <f>UA60*BlendedPriceEssMonthly*TM60+UB60*BlendedPricePremMonthly*TM60+UC60*BlendedPriceEliteMonthly*TM60</f>
        <v/>
      </c>
      <c r="UK60" s="12">
        <f>TX60*BlendedPriceEssAnnual*TM60+TY60*BlendedPricePremAnnual*TM60+TZ60*BlendedPriceEliteAnnual*TM60</f>
        <v/>
      </c>
      <c r="UL60" s="12">
        <f>TX48*POWER(1-(AnnualChurn*VLOOKUP(TJ60,ChurnSeasonTable,4,FALSE)),1)*BlendedPriceEssAnnual*TM60+TX36*POWER(1-(AnnualChurn*VLOOKUP(TJ60,ChurnSeasonTable,4,FALSE)),2)*BlendedPriceEssAnnual*TM60+TX24*POWER(1-(AnnualChurn*VLOOKUP(TJ60,ChurnSeasonTable,4,FALSE)),3)*BlendedPriceEssAnnual*TM60+TX12*POWER(1-(AnnualChurn*VLOOKUP(TJ60,ChurnSeasonTable,4,FALSE)),4)*BlendedPriceEssAnnual*TM60+TY48*POWER(1-(AnnualChurn*VLOOKUP(TJ60,ChurnSeasonTable,4,FALSE)),1)*BlendedPricePremAnnual*TM60+TY36*POWER(1-(AnnualChurn*VLOOKUP(TJ60,ChurnSeasonTable,4,FALSE)),2)*BlendedPricePremAnnual*TM60+TY24*POWER(1-(AnnualChurn*VLOOKUP(TJ60,ChurnSeasonTable,4,FALSE)),3)*BlendedPricePremAnnual*TM60+TY12*POWER(1-(AnnualChurn*VLOOKUP(TJ60,ChurnSeasonTable,4,FALSE)),4)*BlendedPricePremAnnual*TM60+TZ48*POWER(1-(AnnualChurn*VLOOKUP(TJ60,ChurnSeasonTable,4,FALSE)),1)*BlendedPriceEliteAnnual*TM60+TZ36*POWER(1-(AnnualChurn*VLOOKUP(TJ60,ChurnSeasonTable,4,FALSE)),2)*BlendedPriceEliteAnnual*TM60+TZ24*POWER(1-(AnnualChurn*VLOOKUP(TJ60,ChurnSeasonTable,4,FALSE)),3)*BlendedPriceEliteAnnual*TM60+TZ12*POWER(1-(AnnualChurn*VLOOKUP(TJ60,ChurnSeasonTable,4,FALSE)),4)*BlendedPriceEliteAnnual*TM60</f>
        <v/>
      </c>
      <c r="UM60" s="9">
        <f>UJ60+UK60+UL60</f>
        <v/>
      </c>
      <c r="UN60" s="12">
        <f>SUM(UM49:UM60)</f>
        <v/>
      </c>
      <c r="UO60" s="12">
        <f>OR(UO59,IF(VATAgentMode,SUM($UM49:$UM60)-SUM($UT49:$UT60)&gt;=VATThreshold,SUM($UM49:$UM60)&gt;=VATThreshold))</f>
        <v/>
      </c>
      <c r="UP60" s="9">
        <f>IF(UO60,IF(VATAgentMode,UM60-((UM60-UT60)-(UM60-UT60)/(1+VATRate)),UM60/(1+VATRate)),UM60)</f>
        <v/>
      </c>
      <c r="UQ60" s="12">
        <f>UM60-UP60</f>
        <v/>
      </c>
      <c r="UR60" s="12">
        <f>IF(UO60=0,0,IF(TJ60=1,SUMPRODUCT(--(($TK$5:$TK60=$TK60-1)*($TJ$5:$TJ60&gt;=10)*($TJ$5:$TJ60&lt;=12)),$UQ$5:$UQ60),IF(TJ60=4,SUMPRODUCT(--(($TK$5:$TK60=$TK60)*($TJ$5:$TJ60&gt;=1)*($TJ$5:$TJ60&lt;=3)),$UQ$5:$UQ60),IF(TJ60=7,SUMPRODUCT(--(($TK$5:$TK60=$TK60)*($TJ$5:$TJ60&gt;=4)*($TJ$5:$TJ60&lt;=6)),$UQ$5:$UQ60),IF(TJ60=10,SUMPRODUCT(--(($TK$5:$TK60=$TK60)*($TJ$5:$TJ60&gt;=7)*($TJ$5:$TJ60&lt;=9)),$UQ$5:$UQ60),0)))))</f>
        <v/>
      </c>
      <c r="US60" s="12">
        <f>US59+UQ60-UR60</f>
        <v/>
      </c>
      <c r="UT60" s="12">
        <f>IF(ProviderDelay&gt;=1,UA59*BlendedProvPayEss+UB59*BlendedProvPayPrem+UC59*BlendedProvPayElite+UD59*BlendedProvPayEss+UE59*BlendedProvPayPrem+UF59*BlendedProvPayElite,UA60*BlendedProvPayEss+UB60*BlendedProvPayPrem+UC60*BlendedProvPayElite+UD60*BlendedProvPayEss+UE60*BlendedProvPayPrem+UF60*BlendedProvPayElite)</f>
        <v/>
      </c>
      <c r="UU60" s="12">
        <f>UM60*PaymentFee</f>
        <v/>
      </c>
      <c r="UV60" s="12">
        <f>UG60*OpsAI</f>
        <v/>
      </c>
      <c r="UW60" s="12">
        <f>MonthlyFixed</f>
        <v/>
      </c>
      <c r="UX60" s="12">
        <f>TQ60*ReferralReward</f>
        <v/>
      </c>
      <c r="UY60" s="12">
        <f>TO60</f>
        <v/>
      </c>
      <c r="UZ60" s="9">
        <f>UP60-UT60-UU60-UV60-UW60-UX60-UY60</f>
        <v/>
      </c>
      <c r="VA60" s="9">
        <f>VA59+UM60-(UT60+UU60+UV60+UW60+UX60+UY60+UR60)</f>
        <v/>
      </c>
      <c r="VB60" s="12">
        <f>IF(UG60&gt;0,UH60/UG60,0)</f>
        <v/>
      </c>
      <c r="VC60" s="11">
        <f>IF(UG59&gt;0,MAX(0,(UG59+TR60-UG60)/UG59),0)</f>
        <v/>
      </c>
      <c r="VE60" s="12" t="n">
        <v>56</v>
      </c>
      <c r="VF60" s="12">
        <f>MOD(VE60-1+LaunchMonth-1,12)+1</f>
        <v/>
      </c>
      <c r="VG60" s="12">
        <f>INT((VE60-1+LaunchMonth-1)/12)+1</f>
        <v/>
      </c>
      <c r="VH60" s="12">
        <f>VLOOKUP(VF60,SeasonTable,2,FALSE)</f>
        <v/>
      </c>
      <c r="VI60" s="12">
        <f>(1+InflationRate)^INT((VE60-1)/12)</f>
        <v/>
      </c>
      <c r="VJ60" s="11">
        <f>MonthlyChurn*VLOOKUP(VF60,ChurnSeasonTable,4,FALSE)</f>
        <v/>
      </c>
      <c r="VK60" s="12">
        <f>MIN(MAX(MktMin19plus,WI59*MktPct19plus),MAX(0,WW59-CashBuffer))</f>
        <v/>
      </c>
      <c r="VL60" s="12">
        <f>IF(VK60&gt;0,MAX(1,ROUND(VK60/CAC*VH60,0)),0)</f>
        <v/>
      </c>
      <c r="VM60" s="12">
        <f>IF(VL60&gt;0,ROUND(VL60*ReferralMix/(1-ReferralMix),0),0)</f>
        <v/>
      </c>
      <c r="VN60" s="12">
        <f>VL60+VM60</f>
        <v/>
      </c>
      <c r="VO60" s="12">
        <f>ROUND(VN60*(1-'Sens - Annual Mix'!$A$9),0)</f>
        <v/>
      </c>
      <c r="VP60" s="12">
        <f>VN60-VO60</f>
        <v/>
      </c>
      <c r="VQ60" s="12">
        <f>ROUND(VO60*EssentialMix,0)</f>
        <v/>
      </c>
      <c r="VR60" s="12">
        <f>ROUND(VO60*PremiumMix,0)</f>
        <v/>
      </c>
      <c r="VS60" s="12">
        <f>VO60-VQ60-VR60</f>
        <v/>
      </c>
      <c r="VT60" s="12">
        <f>ROUND(VP60*EssentialMix,0)</f>
        <v/>
      </c>
      <c r="VU60" s="12">
        <f>ROUND(VP60*PremiumMix,0)</f>
        <v/>
      </c>
      <c r="VV60" s="12">
        <f>VP60-VT60-VU60</f>
        <v/>
      </c>
      <c r="VW60" s="12">
        <f>VQ60+VQ59+VQ58+MAX(0,VW59-VQ59-VQ58)*(1-VJ60)</f>
        <v/>
      </c>
      <c r="VX60" s="12">
        <f>VR60+VR59+VR58+MAX(0,VX59-VR59-VR58)*(1-VJ60)</f>
        <v/>
      </c>
      <c r="VY60" s="12">
        <f>VS60+VS59+VS58+MAX(0,VY59-VS59-VS58)*(1-VJ60)</f>
        <v/>
      </c>
      <c r="VZ60" s="12">
        <f>VZ59+VT60-VT48*(AnnualChurn*VLOOKUP(VF60,ChurnSeasonTable,4,FALSE))*POWER(1-(AnnualChurn*VLOOKUP(VF60,ChurnSeasonTable,4,FALSE)),0)+VT36*(AnnualChurn*VLOOKUP(VF60,ChurnSeasonTable,4,FALSE))*POWER(1-(AnnualChurn*VLOOKUP(VF60,ChurnSeasonTable,4,FALSE)),1)+VT24*(AnnualChurn*VLOOKUP(VF60,ChurnSeasonTable,4,FALSE))*POWER(1-(AnnualChurn*VLOOKUP(VF60,ChurnSeasonTable,4,FALSE)),2)+VT12*(AnnualChurn*VLOOKUP(VF60,ChurnSeasonTable,4,FALSE))*POWER(1-(AnnualChurn*VLOOKUP(VF60,ChurnSeasonTable,4,FALSE)),3)</f>
        <v/>
      </c>
      <c r="WA60" s="12">
        <f>WA59+VU60-VU48*(AnnualChurn*VLOOKUP(VF60,ChurnSeasonTable,4,FALSE))*POWER(1-(AnnualChurn*VLOOKUP(VF60,ChurnSeasonTable,4,FALSE)),0)+VU36*(AnnualChurn*VLOOKUP(VF60,ChurnSeasonTable,4,FALSE))*POWER(1-(AnnualChurn*VLOOKUP(VF60,ChurnSeasonTable,4,FALSE)),1)+VU24*(AnnualChurn*VLOOKUP(VF60,ChurnSeasonTable,4,FALSE))*POWER(1-(AnnualChurn*VLOOKUP(VF60,ChurnSeasonTable,4,FALSE)),2)+VU12*(AnnualChurn*VLOOKUP(VF60,ChurnSeasonTable,4,FALSE))*POWER(1-(AnnualChurn*VLOOKUP(VF60,ChurnSeasonTable,4,FALSE)),3)</f>
        <v/>
      </c>
      <c r="WB60" s="12">
        <f>WB59+VV60-VV48*(AnnualChurn*VLOOKUP(VF60,ChurnSeasonTable,4,FALSE))*POWER(1-(AnnualChurn*VLOOKUP(VF60,ChurnSeasonTable,4,FALSE)),0)+VV36*(AnnualChurn*VLOOKUP(VF60,ChurnSeasonTable,4,FALSE))*POWER(1-(AnnualChurn*VLOOKUP(VF60,ChurnSeasonTable,4,FALSE)),1)+VV24*(AnnualChurn*VLOOKUP(VF60,ChurnSeasonTable,4,FALSE))*POWER(1-(AnnualChurn*VLOOKUP(VF60,ChurnSeasonTable,4,FALSE)),2)+VV12*(AnnualChurn*VLOOKUP(VF60,ChurnSeasonTable,4,FALSE))*POWER(1-(AnnualChurn*VLOOKUP(VF60,ChurnSeasonTable,4,FALSE)),3)</f>
        <v/>
      </c>
      <c r="WC60" s="12">
        <f>VW60+VX60+VY60+VZ60+WA60+WB60</f>
        <v/>
      </c>
      <c r="WD60" s="9">
        <f>VW60*BlendedPriceEssMonthly*VI60+VX60*BlendedPricePremMonthly*VI60+VY60*BlendedPriceEliteMonthly*VI60+VZ60*BlendedPriceEssAnnual*VI60/12+WA60*BlendedPricePremAnnual*VI60/12+WB60*BlendedPriceEliteAnnual*VI60/12</f>
        <v/>
      </c>
      <c r="WE60" s="9">
        <f>WD60*12</f>
        <v/>
      </c>
      <c r="WF60" s="12">
        <f>VW60*BlendedPriceEssMonthly*VI60+VX60*BlendedPricePremMonthly*VI60+VY60*BlendedPriceEliteMonthly*VI60</f>
        <v/>
      </c>
      <c r="WG60" s="12">
        <f>VT60*BlendedPriceEssAnnual*VI60+VU60*BlendedPricePremAnnual*VI60+VV60*BlendedPriceEliteAnnual*VI60</f>
        <v/>
      </c>
      <c r="WH60" s="12">
        <f>VT48*POWER(1-(AnnualChurn*VLOOKUP(VF60,ChurnSeasonTable,4,FALSE)),1)*BlendedPriceEssAnnual*VI60+VT36*POWER(1-(AnnualChurn*VLOOKUP(VF60,ChurnSeasonTable,4,FALSE)),2)*BlendedPriceEssAnnual*VI60+VT24*POWER(1-(AnnualChurn*VLOOKUP(VF60,ChurnSeasonTable,4,FALSE)),3)*BlendedPriceEssAnnual*VI60+VT12*POWER(1-(AnnualChurn*VLOOKUP(VF60,ChurnSeasonTable,4,FALSE)),4)*BlendedPriceEssAnnual*VI60+VU48*POWER(1-(AnnualChurn*VLOOKUP(VF60,ChurnSeasonTable,4,FALSE)),1)*BlendedPricePremAnnual*VI60+VU36*POWER(1-(AnnualChurn*VLOOKUP(VF60,ChurnSeasonTable,4,FALSE)),2)*BlendedPricePremAnnual*VI60+VU24*POWER(1-(AnnualChurn*VLOOKUP(VF60,ChurnSeasonTable,4,FALSE)),3)*BlendedPricePremAnnual*VI60+VU12*POWER(1-(AnnualChurn*VLOOKUP(VF60,ChurnSeasonTable,4,FALSE)),4)*BlendedPricePremAnnual*VI60+VV48*POWER(1-(AnnualChurn*VLOOKUP(VF60,ChurnSeasonTable,4,FALSE)),1)*BlendedPriceEliteAnnual*VI60+VV36*POWER(1-(AnnualChurn*VLOOKUP(VF60,ChurnSeasonTable,4,FALSE)),2)*BlendedPriceEliteAnnual*VI60+VV24*POWER(1-(AnnualChurn*VLOOKUP(VF60,ChurnSeasonTable,4,FALSE)),3)*BlendedPriceEliteAnnual*VI60+VV12*POWER(1-(AnnualChurn*VLOOKUP(VF60,ChurnSeasonTable,4,FALSE)),4)*BlendedPriceEliteAnnual*VI60</f>
        <v/>
      </c>
      <c r="WI60" s="9">
        <f>WF60+WG60+WH60</f>
        <v/>
      </c>
      <c r="WJ60" s="12">
        <f>SUM(WI49:WI60)</f>
        <v/>
      </c>
      <c r="WK60" s="12">
        <f>OR(WK59,IF(VATAgentMode,SUM($WI49:$WI60)-SUM($WP49:$WP60)&gt;=VATThreshold,SUM($WI49:$WI60)&gt;=VATThreshold))</f>
        <v/>
      </c>
      <c r="WL60" s="9">
        <f>IF(WK60,IF(VATAgentMode,WI60-((WI60-WP60)-(WI60-WP60)/(1+VATRate)),WI60/(1+VATRate)),WI60)</f>
        <v/>
      </c>
      <c r="WM60" s="12">
        <f>WI60-WL60</f>
        <v/>
      </c>
      <c r="WN60" s="12">
        <f>IF(WK60=0,0,IF(VF60=1,SUMPRODUCT(--(($VG$5:$VG60=$VG60-1)*($VF$5:$VF60&gt;=10)*($VF$5:$VF60&lt;=12)),$WM$5:$WM60),IF(VF60=4,SUMPRODUCT(--(($VG$5:$VG60=$VG60)*($VF$5:$VF60&gt;=1)*($VF$5:$VF60&lt;=3)),$WM$5:$WM60),IF(VF60=7,SUMPRODUCT(--(($VG$5:$VG60=$VG60)*($VF$5:$VF60&gt;=4)*($VF$5:$VF60&lt;=6)),$WM$5:$WM60),IF(VF60=10,SUMPRODUCT(--(($VG$5:$VG60=$VG60)*($VF$5:$VF60&gt;=7)*($VF$5:$VF60&lt;=9)),$WM$5:$WM60),0)))))</f>
        <v/>
      </c>
      <c r="WO60" s="12">
        <f>WO59+WM60-WN60</f>
        <v/>
      </c>
      <c r="WP60" s="12">
        <f>IF(ProviderDelay&gt;=1,VW59*BlendedProvPayEss+VX59*BlendedProvPayPrem+VY59*BlendedProvPayElite+VZ59*BlendedProvPayEss+WA59*BlendedProvPayPrem+WB59*BlendedProvPayElite,VW60*BlendedProvPayEss+VX60*BlendedProvPayPrem+VY60*BlendedProvPayElite+VZ60*BlendedProvPayEss+WA60*BlendedProvPayPrem+WB60*BlendedProvPayElite)</f>
        <v/>
      </c>
      <c r="WQ60" s="12">
        <f>WI60*PaymentFee</f>
        <v/>
      </c>
      <c r="WR60" s="12">
        <f>WC60*OpsAI</f>
        <v/>
      </c>
      <c r="WS60" s="12">
        <f>MonthlyFixed</f>
        <v/>
      </c>
      <c r="WT60" s="12">
        <f>VM60*ReferralReward</f>
        <v/>
      </c>
      <c r="WU60" s="12">
        <f>VK60</f>
        <v/>
      </c>
      <c r="WV60" s="9">
        <f>WL60-WP60-WQ60-WR60-WS60-WT60-WU60</f>
        <v/>
      </c>
      <c r="WW60" s="9">
        <f>WW59+WI60-(WP60+WQ60+WR60+WS60+WT60+WU60+WN60)</f>
        <v/>
      </c>
      <c r="WX60" s="12">
        <f>IF(WC60&gt;0,WD60/WC60,0)</f>
        <v/>
      </c>
      <c r="WY60" s="11">
        <f>IF(WC59&gt;0,MAX(0,(WC59+VN60-WC60)/WC59),0)</f>
        <v/>
      </c>
      <c r="XA60" s="12" t="n">
        <v>56</v>
      </c>
      <c r="XB60" s="12">
        <f>MOD(XA60-1+LaunchMonth-1,12)+1</f>
        <v/>
      </c>
      <c r="XC60" s="12">
        <f>INT((XA60-1+LaunchMonth-1)/12)+1</f>
        <v/>
      </c>
      <c r="XD60" s="12">
        <f>VLOOKUP(XB60,SeasonTable,2,FALSE)</f>
        <v/>
      </c>
      <c r="XE60" s="12">
        <f>(1+InflationRate)^INT((XA60-1)/12)</f>
        <v/>
      </c>
      <c r="XF60" s="11">
        <f>MonthlyChurn*VLOOKUP(XB60,ChurnSeasonTable,4,FALSE)</f>
        <v/>
      </c>
      <c r="XG60" s="12">
        <f>MIN(MAX(MktMin19plus,YE59*MktPct19plus),MAX(0,YS59-CashBuffer))</f>
        <v/>
      </c>
      <c r="XH60" s="12">
        <f>IF(XG60&gt;0,MAX(1,ROUND(XG60/CAC*XD60,0)),0)</f>
        <v/>
      </c>
      <c r="XI60" s="12">
        <f>IF(XH60&gt;0,ROUND(XH60*ReferralMix/(1-ReferralMix),0),0)</f>
        <v/>
      </c>
      <c r="XJ60" s="12">
        <f>XH60+XI60</f>
        <v/>
      </c>
      <c r="XK60" s="12">
        <f>ROUND(XJ60*(1-'Sens - Annual Mix'!$A$10),0)</f>
        <v/>
      </c>
      <c r="XL60" s="12">
        <f>XJ60-XK60</f>
        <v/>
      </c>
      <c r="XM60" s="12">
        <f>ROUND(XK60*EssentialMix,0)</f>
        <v/>
      </c>
      <c r="XN60" s="12">
        <f>ROUND(XK60*PremiumMix,0)</f>
        <v/>
      </c>
      <c r="XO60" s="12">
        <f>XK60-XM60-XN60</f>
        <v/>
      </c>
      <c r="XP60" s="12">
        <f>ROUND(XL60*EssentialMix,0)</f>
        <v/>
      </c>
      <c r="XQ60" s="12">
        <f>ROUND(XL60*PremiumMix,0)</f>
        <v/>
      </c>
      <c r="XR60" s="12">
        <f>XL60-XP60-XQ60</f>
        <v/>
      </c>
      <c r="XS60" s="12">
        <f>XM60+XM59+XM58+MAX(0,XS59-XM59-XM58)*(1-XF60)</f>
        <v/>
      </c>
      <c r="XT60" s="12">
        <f>XN60+XN59+XN58+MAX(0,XT59-XN59-XN58)*(1-XF60)</f>
        <v/>
      </c>
      <c r="XU60" s="12">
        <f>XO60+XO59+XO58+MAX(0,XU59-XO59-XO58)*(1-XF60)</f>
        <v/>
      </c>
      <c r="XV60" s="12">
        <f>XV59+XP60-XP48*(AnnualChurn*VLOOKUP(XB60,ChurnSeasonTable,4,FALSE))*POWER(1-(AnnualChurn*VLOOKUP(XB60,ChurnSeasonTable,4,FALSE)),0)+XP36*(AnnualChurn*VLOOKUP(XB60,ChurnSeasonTable,4,FALSE))*POWER(1-(AnnualChurn*VLOOKUP(XB60,ChurnSeasonTable,4,FALSE)),1)+XP24*(AnnualChurn*VLOOKUP(XB60,ChurnSeasonTable,4,FALSE))*POWER(1-(AnnualChurn*VLOOKUP(XB60,ChurnSeasonTable,4,FALSE)),2)+XP12*(AnnualChurn*VLOOKUP(XB60,ChurnSeasonTable,4,FALSE))*POWER(1-(AnnualChurn*VLOOKUP(XB60,ChurnSeasonTable,4,FALSE)),3)</f>
        <v/>
      </c>
      <c r="XW60" s="12">
        <f>XW59+XQ60-XQ48*(AnnualChurn*VLOOKUP(XB60,ChurnSeasonTable,4,FALSE))*POWER(1-(AnnualChurn*VLOOKUP(XB60,ChurnSeasonTable,4,FALSE)),0)+XQ36*(AnnualChurn*VLOOKUP(XB60,ChurnSeasonTable,4,FALSE))*POWER(1-(AnnualChurn*VLOOKUP(XB60,ChurnSeasonTable,4,FALSE)),1)+XQ24*(AnnualChurn*VLOOKUP(XB60,ChurnSeasonTable,4,FALSE))*POWER(1-(AnnualChurn*VLOOKUP(XB60,ChurnSeasonTable,4,FALSE)),2)+XQ12*(AnnualChurn*VLOOKUP(XB60,ChurnSeasonTable,4,FALSE))*POWER(1-(AnnualChurn*VLOOKUP(XB60,ChurnSeasonTable,4,FALSE)),3)</f>
        <v/>
      </c>
      <c r="XX60" s="12">
        <f>XX59+XR60-XR48*(AnnualChurn*VLOOKUP(XB60,ChurnSeasonTable,4,FALSE))*POWER(1-(AnnualChurn*VLOOKUP(XB60,ChurnSeasonTable,4,FALSE)),0)+XR36*(AnnualChurn*VLOOKUP(XB60,ChurnSeasonTable,4,FALSE))*POWER(1-(AnnualChurn*VLOOKUP(XB60,ChurnSeasonTable,4,FALSE)),1)+XR24*(AnnualChurn*VLOOKUP(XB60,ChurnSeasonTable,4,FALSE))*POWER(1-(AnnualChurn*VLOOKUP(XB60,ChurnSeasonTable,4,FALSE)),2)+XR12*(AnnualChurn*VLOOKUP(XB60,ChurnSeasonTable,4,FALSE))*POWER(1-(AnnualChurn*VLOOKUP(XB60,ChurnSeasonTable,4,FALSE)),3)</f>
        <v/>
      </c>
      <c r="XY60" s="12">
        <f>XS60+XT60+XU60+XV60+XW60+XX60</f>
        <v/>
      </c>
      <c r="XZ60" s="9">
        <f>XS60*BlendedPriceEssMonthly*XE60+XT60*BlendedPricePremMonthly*XE60+XU60*BlendedPriceEliteMonthly*XE60+XV60*BlendedPriceEssAnnual*XE60/12+XW60*BlendedPricePremAnnual*XE60/12+XX60*BlendedPriceEliteAnnual*XE60/12</f>
        <v/>
      </c>
      <c r="YA60" s="9">
        <f>XZ60*12</f>
        <v/>
      </c>
      <c r="YB60" s="12">
        <f>XS60*BlendedPriceEssMonthly*XE60+XT60*BlendedPricePremMonthly*XE60+XU60*BlendedPriceEliteMonthly*XE60</f>
        <v/>
      </c>
      <c r="YC60" s="12">
        <f>XP60*BlendedPriceEssAnnual*XE60+XQ60*BlendedPricePremAnnual*XE60+XR60*BlendedPriceEliteAnnual*XE60</f>
        <v/>
      </c>
      <c r="YD60" s="12">
        <f>XP48*POWER(1-(AnnualChurn*VLOOKUP(XB60,ChurnSeasonTable,4,FALSE)),1)*BlendedPriceEssAnnual*XE60+XP36*POWER(1-(AnnualChurn*VLOOKUP(XB60,ChurnSeasonTable,4,FALSE)),2)*BlendedPriceEssAnnual*XE60+XP24*POWER(1-(AnnualChurn*VLOOKUP(XB60,ChurnSeasonTable,4,FALSE)),3)*BlendedPriceEssAnnual*XE60+XP12*POWER(1-(AnnualChurn*VLOOKUP(XB60,ChurnSeasonTable,4,FALSE)),4)*BlendedPriceEssAnnual*XE60+XQ48*POWER(1-(AnnualChurn*VLOOKUP(XB60,ChurnSeasonTable,4,FALSE)),1)*BlendedPricePremAnnual*XE60+XQ36*POWER(1-(AnnualChurn*VLOOKUP(XB60,ChurnSeasonTable,4,FALSE)),2)*BlendedPricePremAnnual*XE60+XQ24*POWER(1-(AnnualChurn*VLOOKUP(XB60,ChurnSeasonTable,4,FALSE)),3)*BlendedPricePremAnnual*XE60+XQ12*POWER(1-(AnnualChurn*VLOOKUP(XB60,ChurnSeasonTable,4,FALSE)),4)*BlendedPricePremAnnual*XE60+XR48*POWER(1-(AnnualChurn*VLOOKUP(XB60,ChurnSeasonTable,4,FALSE)),1)*BlendedPriceEliteAnnual*XE60+XR36*POWER(1-(AnnualChurn*VLOOKUP(XB60,ChurnSeasonTable,4,FALSE)),2)*BlendedPriceEliteAnnual*XE60+XR24*POWER(1-(AnnualChurn*VLOOKUP(XB60,ChurnSeasonTable,4,FALSE)),3)*BlendedPriceEliteAnnual*XE60+XR12*POWER(1-(AnnualChurn*VLOOKUP(XB60,ChurnSeasonTable,4,FALSE)),4)*BlendedPriceEliteAnnual*XE60</f>
        <v/>
      </c>
      <c r="YE60" s="9">
        <f>YB60+YC60+YD60</f>
        <v/>
      </c>
      <c r="YF60" s="12">
        <f>SUM(YE49:YE60)</f>
        <v/>
      </c>
      <c r="YG60" s="12">
        <f>OR(YG59,IF(VATAgentMode,SUM($YE49:$YE60)-SUM($YL49:$YL60)&gt;=VATThreshold,SUM($YE49:$YE60)&gt;=VATThreshold))</f>
        <v/>
      </c>
      <c r="YH60" s="9">
        <f>IF(YG60,IF(VATAgentMode,YE60-((YE60-YL60)-(YE60-YL60)/(1+VATRate)),YE60/(1+VATRate)),YE60)</f>
        <v/>
      </c>
      <c r="YI60" s="12">
        <f>YE60-YH60</f>
        <v/>
      </c>
      <c r="YJ60" s="12">
        <f>IF(YG60=0,0,IF(XB60=1,SUMPRODUCT(--(($XC$5:$XC60=$XC60-1)*($XB$5:$XB60&gt;=10)*($XB$5:$XB60&lt;=12)),$YI$5:$YI60),IF(XB60=4,SUMPRODUCT(--(($XC$5:$XC60=$XC60)*($XB$5:$XB60&gt;=1)*($XB$5:$XB60&lt;=3)),$YI$5:$YI60),IF(XB60=7,SUMPRODUCT(--(($XC$5:$XC60=$XC60)*($XB$5:$XB60&gt;=4)*($XB$5:$XB60&lt;=6)),$YI$5:$YI60),IF(XB60=10,SUMPRODUCT(--(($XC$5:$XC60=$XC60)*($XB$5:$XB60&gt;=7)*($XB$5:$XB60&lt;=9)),$YI$5:$YI60),0)))))</f>
        <v/>
      </c>
      <c r="YK60" s="12">
        <f>YK59+YI60-YJ60</f>
        <v/>
      </c>
      <c r="YL60" s="12">
        <f>IF(ProviderDelay&gt;=1,XS59*BlendedProvPayEss+XT59*BlendedProvPayPrem+XU59*BlendedProvPayElite+XV59*BlendedProvPayEss+XW59*BlendedProvPayPrem+XX59*BlendedProvPayElite,XS60*BlendedProvPayEss+XT60*BlendedProvPayPrem+XU60*BlendedProvPayElite+XV60*BlendedProvPayEss+XW60*BlendedProvPayPrem+XX60*BlendedProvPayElite)</f>
        <v/>
      </c>
      <c r="YM60" s="12">
        <f>YE60*PaymentFee</f>
        <v/>
      </c>
      <c r="YN60" s="12">
        <f>XY60*OpsAI</f>
        <v/>
      </c>
      <c r="YO60" s="12">
        <f>MonthlyFixed</f>
        <v/>
      </c>
      <c r="YP60" s="12">
        <f>XI60*ReferralReward</f>
        <v/>
      </c>
      <c r="YQ60" s="12">
        <f>XG60</f>
        <v/>
      </c>
      <c r="YR60" s="9">
        <f>YH60-YL60-YM60-YN60-YO60-YP60-YQ60</f>
        <v/>
      </c>
      <c r="YS60" s="9">
        <f>YS59+YE60-(YL60+YM60+YN60+YO60+YP60+YQ60+YJ60)</f>
        <v/>
      </c>
      <c r="YT60" s="12">
        <f>IF(XY60&gt;0,XZ60/XY60,0)</f>
        <v/>
      </c>
      <c r="YU60" s="11">
        <f>IF(XY59&gt;0,MAX(0,(XY59+XJ60-XY60)/XY59),0)</f>
        <v/>
      </c>
      <c r="YW60" s="12" t="n">
        <v>56</v>
      </c>
      <c r="YX60" s="12">
        <f>MOD(YW60-1+LaunchMonth-1,12)+1</f>
        <v/>
      </c>
      <c r="YY60" s="12">
        <f>INT((YW60-1+LaunchMonth-1)/12)+1</f>
        <v/>
      </c>
      <c r="YZ60" s="12">
        <f>VLOOKUP(YX60,SeasonTable,2,FALSE)</f>
        <v/>
      </c>
      <c r="ZA60" s="12">
        <f>(1+InflationRate)^INT((YW60-1)/12)</f>
        <v/>
      </c>
      <c r="ZB60" s="11">
        <f>MonthlyChurn*VLOOKUP(YX60,ChurnSeasonTable,4,FALSE)</f>
        <v/>
      </c>
      <c r="ZC60" s="12">
        <f>MIN(MAX(MktMin19plus,AAA59*MktPct19plus),MAX(0,AAO59-CashBuffer))</f>
        <v/>
      </c>
      <c r="ZD60" s="12">
        <f>IF(ZC60&gt;0,MAX(1,ROUND(ZC60/CAC*YZ60,0)),0)</f>
        <v/>
      </c>
      <c r="ZE60" s="12">
        <f>IF(ZD60&gt;0,ROUND(ZD60*ReferralMix/(1-ReferralMix),0),0)</f>
        <v/>
      </c>
      <c r="ZF60" s="12">
        <f>ZD60+ZE60</f>
        <v/>
      </c>
      <c r="ZG60" s="12">
        <f>ROUND(ZF60*(1-'Sens - Annual Mix'!$A$11),0)</f>
        <v/>
      </c>
      <c r="ZH60" s="12">
        <f>ZF60-ZG60</f>
        <v/>
      </c>
      <c r="ZI60" s="12">
        <f>ROUND(ZG60*EssentialMix,0)</f>
        <v/>
      </c>
      <c r="ZJ60" s="12">
        <f>ROUND(ZG60*PremiumMix,0)</f>
        <v/>
      </c>
      <c r="ZK60" s="12">
        <f>ZG60-ZI60-ZJ60</f>
        <v/>
      </c>
      <c r="ZL60" s="12">
        <f>ROUND(ZH60*EssentialMix,0)</f>
        <v/>
      </c>
      <c r="ZM60" s="12">
        <f>ROUND(ZH60*PremiumMix,0)</f>
        <v/>
      </c>
      <c r="ZN60" s="12">
        <f>ZH60-ZL60-ZM60</f>
        <v/>
      </c>
      <c r="ZO60" s="12">
        <f>ZI60+ZI59+ZI58+MAX(0,ZO59-ZI59-ZI58)*(1-ZB60)</f>
        <v/>
      </c>
      <c r="ZP60" s="12">
        <f>ZJ60+ZJ59+ZJ58+MAX(0,ZP59-ZJ59-ZJ58)*(1-ZB60)</f>
        <v/>
      </c>
      <c r="ZQ60" s="12">
        <f>ZK60+ZK59+ZK58+MAX(0,ZQ59-ZK59-ZK58)*(1-ZB60)</f>
        <v/>
      </c>
      <c r="ZR60" s="12">
        <f>ZR59+ZL60-ZL48*(AnnualChurn*VLOOKUP(YX60,ChurnSeasonTable,4,FALSE))*POWER(1-(AnnualChurn*VLOOKUP(YX60,ChurnSeasonTable,4,FALSE)),0)+ZL36*(AnnualChurn*VLOOKUP(YX60,ChurnSeasonTable,4,FALSE))*POWER(1-(AnnualChurn*VLOOKUP(YX60,ChurnSeasonTable,4,FALSE)),1)+ZL24*(AnnualChurn*VLOOKUP(YX60,ChurnSeasonTable,4,FALSE))*POWER(1-(AnnualChurn*VLOOKUP(YX60,ChurnSeasonTable,4,FALSE)),2)+ZL12*(AnnualChurn*VLOOKUP(YX60,ChurnSeasonTable,4,FALSE))*POWER(1-(AnnualChurn*VLOOKUP(YX60,ChurnSeasonTable,4,FALSE)),3)</f>
        <v/>
      </c>
      <c r="ZS60" s="12">
        <f>ZS59+ZM60-ZM48*(AnnualChurn*VLOOKUP(YX60,ChurnSeasonTable,4,FALSE))*POWER(1-(AnnualChurn*VLOOKUP(YX60,ChurnSeasonTable,4,FALSE)),0)+ZM36*(AnnualChurn*VLOOKUP(YX60,ChurnSeasonTable,4,FALSE))*POWER(1-(AnnualChurn*VLOOKUP(YX60,ChurnSeasonTable,4,FALSE)),1)+ZM24*(AnnualChurn*VLOOKUP(YX60,ChurnSeasonTable,4,FALSE))*POWER(1-(AnnualChurn*VLOOKUP(YX60,ChurnSeasonTable,4,FALSE)),2)+ZM12*(AnnualChurn*VLOOKUP(YX60,ChurnSeasonTable,4,FALSE))*POWER(1-(AnnualChurn*VLOOKUP(YX60,ChurnSeasonTable,4,FALSE)),3)</f>
        <v/>
      </c>
      <c r="ZT60" s="12">
        <f>ZT59+ZN60-ZN48*(AnnualChurn*VLOOKUP(YX60,ChurnSeasonTable,4,FALSE))*POWER(1-(AnnualChurn*VLOOKUP(YX60,ChurnSeasonTable,4,FALSE)),0)+ZN36*(AnnualChurn*VLOOKUP(YX60,ChurnSeasonTable,4,FALSE))*POWER(1-(AnnualChurn*VLOOKUP(YX60,ChurnSeasonTable,4,FALSE)),1)+ZN24*(AnnualChurn*VLOOKUP(YX60,ChurnSeasonTable,4,FALSE))*POWER(1-(AnnualChurn*VLOOKUP(YX60,ChurnSeasonTable,4,FALSE)),2)+ZN12*(AnnualChurn*VLOOKUP(YX60,ChurnSeasonTable,4,FALSE))*POWER(1-(AnnualChurn*VLOOKUP(YX60,ChurnSeasonTable,4,FALSE)),3)</f>
        <v/>
      </c>
      <c r="ZU60" s="12">
        <f>ZO60+ZP60+ZQ60+ZR60+ZS60+ZT60</f>
        <v/>
      </c>
      <c r="ZV60" s="9">
        <f>ZO60*BlendedPriceEssMonthly*ZA60+ZP60*BlendedPricePremMonthly*ZA60+ZQ60*BlendedPriceEliteMonthly*ZA60+ZR60*BlendedPriceEssAnnual*ZA60/12+ZS60*BlendedPricePremAnnual*ZA60/12+ZT60*BlendedPriceEliteAnnual*ZA60/12</f>
        <v/>
      </c>
      <c r="ZW60" s="9">
        <f>ZV60*12</f>
        <v/>
      </c>
      <c r="ZX60" s="12">
        <f>ZO60*BlendedPriceEssMonthly*ZA60+ZP60*BlendedPricePremMonthly*ZA60+ZQ60*BlendedPriceEliteMonthly*ZA60</f>
        <v/>
      </c>
      <c r="ZY60" s="12">
        <f>ZL60*BlendedPriceEssAnnual*ZA60+ZM60*BlendedPricePremAnnual*ZA60+ZN60*BlendedPriceEliteAnnual*ZA60</f>
        <v/>
      </c>
      <c r="ZZ60" s="12">
        <f>ZL48*POWER(1-(AnnualChurn*VLOOKUP(YX60,ChurnSeasonTable,4,FALSE)),1)*BlendedPriceEssAnnual*ZA60+ZL36*POWER(1-(AnnualChurn*VLOOKUP(YX60,ChurnSeasonTable,4,FALSE)),2)*BlendedPriceEssAnnual*ZA60+ZL24*POWER(1-(AnnualChurn*VLOOKUP(YX60,ChurnSeasonTable,4,FALSE)),3)*BlendedPriceEssAnnual*ZA60+ZL12*POWER(1-(AnnualChurn*VLOOKUP(YX60,ChurnSeasonTable,4,FALSE)),4)*BlendedPriceEssAnnual*ZA60+ZM48*POWER(1-(AnnualChurn*VLOOKUP(YX60,ChurnSeasonTable,4,FALSE)),1)*BlendedPricePremAnnual*ZA60+ZM36*POWER(1-(AnnualChurn*VLOOKUP(YX60,ChurnSeasonTable,4,FALSE)),2)*BlendedPricePremAnnual*ZA60+ZM24*POWER(1-(AnnualChurn*VLOOKUP(YX60,ChurnSeasonTable,4,FALSE)),3)*BlendedPricePremAnnual*ZA60+ZM12*POWER(1-(AnnualChurn*VLOOKUP(YX60,ChurnSeasonTable,4,FALSE)),4)*BlendedPricePremAnnual*ZA60+ZN48*POWER(1-(AnnualChurn*VLOOKUP(YX60,ChurnSeasonTable,4,FALSE)),1)*BlendedPriceEliteAnnual*ZA60+ZN36*POWER(1-(AnnualChurn*VLOOKUP(YX60,ChurnSeasonTable,4,FALSE)),2)*BlendedPriceEliteAnnual*ZA60+ZN24*POWER(1-(AnnualChurn*VLOOKUP(YX60,ChurnSeasonTable,4,FALSE)),3)*BlendedPriceEliteAnnual*ZA60+ZN12*POWER(1-(AnnualChurn*VLOOKUP(YX60,ChurnSeasonTable,4,FALSE)),4)*BlendedPriceEliteAnnual*ZA60</f>
        <v/>
      </c>
      <c r="AAA60" s="9">
        <f>ZX60+ZY60+ZZ60</f>
        <v/>
      </c>
      <c r="AAB60" s="12">
        <f>SUM(AAA49:AAA60)</f>
        <v/>
      </c>
      <c r="AAC60" s="12">
        <f>OR(AAC59,IF(VATAgentMode,SUM($AAA49:$AAA60)-SUM($AAH49:$AAH60)&gt;=VATThreshold,SUM($AAA49:$AAA60)&gt;=VATThreshold))</f>
        <v/>
      </c>
      <c r="AAD60" s="9">
        <f>IF(AAC60,IF(VATAgentMode,AAA60-((AAA60-AAH60)-(AAA60-AAH60)/(1+VATRate)),AAA60/(1+VATRate)),AAA60)</f>
        <v/>
      </c>
      <c r="AAE60" s="12">
        <f>AAA60-AAD60</f>
        <v/>
      </c>
      <c r="AAF60" s="12">
        <f>IF(AAC60=0,0,IF(YX60=1,SUMPRODUCT(--(($YY$5:$YY60=$YY60-1)*($YX$5:$YX60&gt;=10)*($YX$5:$YX60&lt;=12)),$AAE$5:$AAE60),IF(YX60=4,SUMPRODUCT(--(($YY$5:$YY60=$YY60)*($YX$5:$YX60&gt;=1)*($YX$5:$YX60&lt;=3)),$AAE$5:$AAE60),IF(YX60=7,SUMPRODUCT(--(($YY$5:$YY60=$YY60)*($YX$5:$YX60&gt;=4)*($YX$5:$YX60&lt;=6)),$AAE$5:$AAE60),IF(YX60=10,SUMPRODUCT(--(($YY$5:$YY60=$YY60)*($YX$5:$YX60&gt;=7)*($YX$5:$YX60&lt;=9)),$AAE$5:$AAE60),0)))))</f>
        <v/>
      </c>
      <c r="AAG60" s="12">
        <f>AAG59+AAE60-AAF60</f>
        <v/>
      </c>
      <c r="AAH60" s="12">
        <f>IF(ProviderDelay&gt;=1,ZO59*BlendedProvPayEss+ZP59*BlendedProvPayPrem+ZQ59*BlendedProvPayElite+ZR59*BlendedProvPayEss+ZS59*BlendedProvPayPrem+ZT59*BlendedProvPayElite,ZO60*BlendedProvPayEss+ZP60*BlendedProvPayPrem+ZQ60*BlendedProvPayElite+ZR60*BlendedProvPayEss+ZS60*BlendedProvPayPrem+ZT60*BlendedProvPayElite)</f>
        <v/>
      </c>
      <c r="AAI60" s="12">
        <f>AAA60*PaymentFee</f>
        <v/>
      </c>
      <c r="AAJ60" s="12">
        <f>ZU60*OpsAI</f>
        <v/>
      </c>
      <c r="AAK60" s="12">
        <f>MonthlyFixed</f>
        <v/>
      </c>
      <c r="AAL60" s="12">
        <f>ZE60*ReferralReward</f>
        <v/>
      </c>
      <c r="AAM60" s="12">
        <f>ZC60</f>
        <v/>
      </c>
      <c r="AAN60" s="9">
        <f>AAD60-AAH60-AAI60-AAJ60-AAK60-AAL60-AAM60</f>
        <v/>
      </c>
      <c r="AAO60" s="9">
        <f>AAO59+AAA60-(AAH60+AAI60+AAJ60+AAK60+AAL60+AAM60+AAF60)</f>
        <v/>
      </c>
      <c r="AAP60" s="12">
        <f>IF(ZU60&gt;0,ZV60/ZU60,0)</f>
        <v/>
      </c>
      <c r="AAQ60" s="11">
        <f>IF(ZU59&gt;0,MAX(0,(ZU59+ZF60-ZU60)/ZU59),0)</f>
        <v/>
      </c>
      <c r="AAS60" s="12" t="n">
        <v>56</v>
      </c>
      <c r="AAT60" s="12">
        <f>MOD(AAS60-1+LaunchMonth-1,12)+1</f>
        <v/>
      </c>
      <c r="AAU60" s="12">
        <f>INT((AAS60-1+LaunchMonth-1)/12)+1</f>
        <v/>
      </c>
      <c r="AAV60" s="12">
        <f>VLOOKUP(AAT60,SeasonTable,2,FALSE)</f>
        <v/>
      </c>
      <c r="AAW60" s="12">
        <f>(1+InflationRate)^INT((AAS60-1)/12)</f>
        <v/>
      </c>
      <c r="AAX60" s="11">
        <f>MonthlyChurn*VLOOKUP(AAT60,ChurnSeasonTable,4,FALSE)</f>
        <v/>
      </c>
      <c r="AAY60" s="12">
        <f>MIN(MAX(MktMin19plus,ABW59*MktPct19plus),MAX(0,ACK59-CashBuffer))</f>
        <v/>
      </c>
      <c r="AAZ60" s="12">
        <f>IF(AAY60&gt;0,MAX(1,ROUND(AAY60/CAC*AAV60,0)),0)</f>
        <v/>
      </c>
      <c r="ABA60" s="12">
        <f>IF(AAZ60&gt;0,ROUND(AAZ60*ReferralMix/(1-ReferralMix),0),0)</f>
        <v/>
      </c>
      <c r="ABB60" s="12">
        <f>AAZ60+ABA60</f>
        <v/>
      </c>
      <c r="ABC60" s="12">
        <f>ROUND(ABB60*(1-'Sens - Annual Mix'!$A$12),0)</f>
        <v/>
      </c>
      <c r="ABD60" s="12">
        <f>ABB60-ABC60</f>
        <v/>
      </c>
      <c r="ABE60" s="12">
        <f>ROUND(ABC60*EssentialMix,0)</f>
        <v/>
      </c>
      <c r="ABF60" s="12">
        <f>ROUND(ABC60*PremiumMix,0)</f>
        <v/>
      </c>
      <c r="ABG60" s="12">
        <f>ABC60-ABE60-ABF60</f>
        <v/>
      </c>
      <c r="ABH60" s="12">
        <f>ROUND(ABD60*EssentialMix,0)</f>
        <v/>
      </c>
      <c r="ABI60" s="12">
        <f>ROUND(ABD60*PremiumMix,0)</f>
        <v/>
      </c>
      <c r="ABJ60" s="12">
        <f>ABD60-ABH60-ABI60</f>
        <v/>
      </c>
      <c r="ABK60" s="12">
        <f>ABE60+ABE59+ABE58+MAX(0,ABK59-ABE59-ABE58)*(1-AAX60)</f>
        <v/>
      </c>
      <c r="ABL60" s="12">
        <f>ABF60+ABF59+ABF58+MAX(0,ABL59-ABF59-ABF58)*(1-AAX60)</f>
        <v/>
      </c>
      <c r="ABM60" s="12">
        <f>ABG60+ABG59+ABG58+MAX(0,ABM59-ABG59-ABG58)*(1-AAX60)</f>
        <v/>
      </c>
      <c r="ABN60" s="12">
        <f>ABN59+ABH60-ABH48*(AnnualChurn*VLOOKUP(AAT60,ChurnSeasonTable,4,FALSE))*POWER(1-(AnnualChurn*VLOOKUP(AAT60,ChurnSeasonTable,4,FALSE)),0)+ABH36*(AnnualChurn*VLOOKUP(AAT60,ChurnSeasonTable,4,FALSE))*POWER(1-(AnnualChurn*VLOOKUP(AAT60,ChurnSeasonTable,4,FALSE)),1)+ABH24*(AnnualChurn*VLOOKUP(AAT60,ChurnSeasonTable,4,FALSE))*POWER(1-(AnnualChurn*VLOOKUP(AAT60,ChurnSeasonTable,4,FALSE)),2)+ABH12*(AnnualChurn*VLOOKUP(AAT60,ChurnSeasonTable,4,FALSE))*POWER(1-(AnnualChurn*VLOOKUP(AAT60,ChurnSeasonTable,4,FALSE)),3)</f>
        <v/>
      </c>
      <c r="ABO60" s="12">
        <f>ABO59+ABI60-ABI48*(AnnualChurn*VLOOKUP(AAT60,ChurnSeasonTable,4,FALSE))*POWER(1-(AnnualChurn*VLOOKUP(AAT60,ChurnSeasonTable,4,FALSE)),0)+ABI36*(AnnualChurn*VLOOKUP(AAT60,ChurnSeasonTable,4,FALSE))*POWER(1-(AnnualChurn*VLOOKUP(AAT60,ChurnSeasonTable,4,FALSE)),1)+ABI24*(AnnualChurn*VLOOKUP(AAT60,ChurnSeasonTable,4,FALSE))*POWER(1-(AnnualChurn*VLOOKUP(AAT60,ChurnSeasonTable,4,FALSE)),2)+ABI12*(AnnualChurn*VLOOKUP(AAT60,ChurnSeasonTable,4,FALSE))*POWER(1-(AnnualChurn*VLOOKUP(AAT60,ChurnSeasonTable,4,FALSE)),3)</f>
        <v/>
      </c>
      <c r="ABP60" s="12">
        <f>ABP59+ABJ60-ABJ48*(AnnualChurn*VLOOKUP(AAT60,ChurnSeasonTable,4,FALSE))*POWER(1-(AnnualChurn*VLOOKUP(AAT60,ChurnSeasonTable,4,FALSE)),0)+ABJ36*(AnnualChurn*VLOOKUP(AAT60,ChurnSeasonTable,4,FALSE))*POWER(1-(AnnualChurn*VLOOKUP(AAT60,ChurnSeasonTable,4,FALSE)),1)+ABJ24*(AnnualChurn*VLOOKUP(AAT60,ChurnSeasonTable,4,FALSE))*POWER(1-(AnnualChurn*VLOOKUP(AAT60,ChurnSeasonTable,4,FALSE)),2)+ABJ12*(AnnualChurn*VLOOKUP(AAT60,ChurnSeasonTable,4,FALSE))*POWER(1-(AnnualChurn*VLOOKUP(AAT60,ChurnSeasonTable,4,FALSE)),3)</f>
        <v/>
      </c>
      <c r="ABQ60" s="12">
        <f>ABK60+ABL60+ABM60+ABN60+ABO60+ABP60</f>
        <v/>
      </c>
      <c r="ABR60" s="9">
        <f>ABK60*BlendedPriceEssMonthly*AAW60+ABL60*BlendedPricePremMonthly*AAW60+ABM60*BlendedPriceEliteMonthly*AAW60+ABN60*BlendedPriceEssAnnual*AAW60/12+ABO60*BlendedPricePremAnnual*AAW60/12+ABP60*BlendedPriceEliteAnnual*AAW60/12</f>
        <v/>
      </c>
      <c r="ABS60" s="9">
        <f>ABR60*12</f>
        <v/>
      </c>
      <c r="ABT60" s="12">
        <f>ABK60*BlendedPriceEssMonthly*AAW60+ABL60*BlendedPricePremMonthly*AAW60+ABM60*BlendedPriceEliteMonthly*AAW60</f>
        <v/>
      </c>
      <c r="ABU60" s="12">
        <f>ABH60*BlendedPriceEssAnnual*AAW60+ABI60*BlendedPricePremAnnual*AAW60+ABJ60*BlendedPriceEliteAnnual*AAW60</f>
        <v/>
      </c>
      <c r="ABV60" s="12">
        <f>ABH48*POWER(1-(AnnualChurn*VLOOKUP(AAT60,ChurnSeasonTable,4,FALSE)),1)*BlendedPriceEssAnnual*AAW60+ABH36*POWER(1-(AnnualChurn*VLOOKUP(AAT60,ChurnSeasonTable,4,FALSE)),2)*BlendedPriceEssAnnual*AAW60+ABH24*POWER(1-(AnnualChurn*VLOOKUP(AAT60,ChurnSeasonTable,4,FALSE)),3)*BlendedPriceEssAnnual*AAW60+ABH12*POWER(1-(AnnualChurn*VLOOKUP(AAT60,ChurnSeasonTable,4,FALSE)),4)*BlendedPriceEssAnnual*AAW60+ABI48*POWER(1-(AnnualChurn*VLOOKUP(AAT60,ChurnSeasonTable,4,FALSE)),1)*BlendedPricePremAnnual*AAW60+ABI36*POWER(1-(AnnualChurn*VLOOKUP(AAT60,ChurnSeasonTable,4,FALSE)),2)*BlendedPricePremAnnual*AAW60+ABI24*POWER(1-(AnnualChurn*VLOOKUP(AAT60,ChurnSeasonTable,4,FALSE)),3)*BlendedPricePremAnnual*AAW60+ABI12*POWER(1-(AnnualChurn*VLOOKUP(AAT60,ChurnSeasonTable,4,FALSE)),4)*BlendedPricePremAnnual*AAW60+ABJ48*POWER(1-(AnnualChurn*VLOOKUP(AAT60,ChurnSeasonTable,4,FALSE)),1)*BlendedPriceEliteAnnual*AAW60+ABJ36*POWER(1-(AnnualChurn*VLOOKUP(AAT60,ChurnSeasonTable,4,FALSE)),2)*BlendedPriceEliteAnnual*AAW60+ABJ24*POWER(1-(AnnualChurn*VLOOKUP(AAT60,ChurnSeasonTable,4,FALSE)),3)*BlendedPriceEliteAnnual*AAW60+ABJ12*POWER(1-(AnnualChurn*VLOOKUP(AAT60,ChurnSeasonTable,4,FALSE)),4)*BlendedPriceEliteAnnual*AAW60</f>
        <v/>
      </c>
      <c r="ABW60" s="9">
        <f>ABT60+ABU60+ABV60</f>
        <v/>
      </c>
      <c r="ABX60" s="12">
        <f>SUM(ABW49:ABW60)</f>
        <v/>
      </c>
      <c r="ABY60" s="12">
        <f>OR(ABY59,IF(VATAgentMode,SUM($ABW49:$ABW60)-SUM($ACD49:$ACD60)&gt;=VATThreshold,SUM($ABW49:$ABW60)&gt;=VATThreshold))</f>
        <v/>
      </c>
      <c r="ABZ60" s="9">
        <f>IF(ABY60,IF(VATAgentMode,ABW60-((ABW60-ACD60)-(ABW60-ACD60)/(1+VATRate)),ABW60/(1+VATRate)),ABW60)</f>
        <v/>
      </c>
      <c r="ACA60" s="12">
        <f>ABW60-ABZ60</f>
        <v/>
      </c>
      <c r="ACB60" s="12">
        <f>IF(ABY60=0,0,IF(AAT60=1,SUMPRODUCT(--(($AAU$5:$AAU60=$AAU60-1)*($AAT$5:$AAT60&gt;=10)*($AAT$5:$AAT60&lt;=12)),$ACA$5:$ACA60),IF(AAT60=4,SUMPRODUCT(--(($AAU$5:$AAU60=$AAU60)*($AAT$5:$AAT60&gt;=1)*($AAT$5:$AAT60&lt;=3)),$ACA$5:$ACA60),IF(AAT60=7,SUMPRODUCT(--(($AAU$5:$AAU60=$AAU60)*($AAT$5:$AAT60&gt;=4)*($AAT$5:$AAT60&lt;=6)),$ACA$5:$ACA60),IF(AAT60=10,SUMPRODUCT(--(($AAU$5:$AAU60=$AAU60)*($AAT$5:$AAT60&gt;=7)*($AAT$5:$AAT60&lt;=9)),$ACA$5:$ACA60),0)))))</f>
        <v/>
      </c>
      <c r="ACC60" s="12">
        <f>ACC59+ACA60-ACB60</f>
        <v/>
      </c>
      <c r="ACD60" s="12">
        <f>IF(ProviderDelay&gt;=1,ABK59*BlendedProvPayEss+ABL59*BlendedProvPayPrem+ABM59*BlendedProvPayElite+ABN59*BlendedProvPayEss+ABO59*BlendedProvPayPrem+ABP59*BlendedProvPayElite,ABK60*BlendedProvPayEss+ABL60*BlendedProvPayPrem+ABM60*BlendedProvPayElite+ABN60*BlendedProvPayEss+ABO60*BlendedProvPayPrem+ABP60*BlendedProvPayElite)</f>
        <v/>
      </c>
      <c r="ACE60" s="12">
        <f>ABW60*PaymentFee</f>
        <v/>
      </c>
      <c r="ACF60" s="12">
        <f>ABQ60*OpsAI</f>
        <v/>
      </c>
      <c r="ACG60" s="12">
        <f>MonthlyFixed</f>
        <v/>
      </c>
      <c r="ACH60" s="12">
        <f>ABA60*ReferralReward</f>
        <v/>
      </c>
      <c r="ACI60" s="12">
        <f>AAY60</f>
        <v/>
      </c>
      <c r="ACJ60" s="9">
        <f>ABZ60-ACD60-ACE60-ACF60-ACG60-ACH60-ACI60</f>
        <v/>
      </c>
      <c r="ACK60" s="9">
        <f>ACK59+ABW60-(ACD60+ACE60+ACF60+ACG60+ACH60+ACI60+ACB60)</f>
        <v/>
      </c>
      <c r="ACL60" s="12">
        <f>IF(ABQ60&gt;0,ABR60/ABQ60,0)</f>
        <v/>
      </c>
      <c r="ACM60" s="11">
        <f>IF(ABQ59&gt;0,MAX(0,(ABQ59+ABB60-ABQ60)/ABQ59),0)</f>
        <v/>
      </c>
      <c r="ACO60" s="12" t="n">
        <v>56</v>
      </c>
      <c r="ACP60" s="12">
        <f>MOD(ACO60-1+LaunchMonth-1,12)+1</f>
        <v/>
      </c>
      <c r="ACQ60" s="12">
        <f>INT((ACO60-1+LaunchMonth-1)/12)+1</f>
        <v/>
      </c>
      <c r="ACR60" s="12">
        <f>VLOOKUP(ACP60,SeasonTable,2,FALSE)</f>
        <v/>
      </c>
      <c r="ACS60" s="12">
        <f>(1+InflationRate)^INT((ACO60-1)/12)</f>
        <v/>
      </c>
      <c r="ACT60" s="11">
        <f>MonthlyChurn*VLOOKUP(ACP60,ChurnSeasonTable,4,FALSE)</f>
        <v/>
      </c>
      <c r="ACU60" s="12">
        <f>MIN(MAX(MktMin19plus,ADS59*MktPct19plus),MAX(0,AEG59-CashBuffer))</f>
        <v/>
      </c>
      <c r="ACV60" s="12">
        <f>IF(ACU60&gt;0,MAX(1,ROUND(ACU60/CAC*ACR60,0)),0)</f>
        <v/>
      </c>
      <c r="ACW60" s="12">
        <f>IF(ACV60&gt;0,ROUND(ACV60*ReferralMix/(1-ReferralMix),0),0)</f>
        <v/>
      </c>
      <c r="ACX60" s="12">
        <f>ACV60+ACW60</f>
        <v/>
      </c>
      <c r="ACY60" s="12">
        <f>ROUND(ACX60*(1-'Sens - Annual Mix'!$A$13),0)</f>
        <v/>
      </c>
      <c r="ACZ60" s="12">
        <f>ACX60-ACY60</f>
        <v/>
      </c>
      <c r="ADA60" s="12">
        <f>ROUND(ACY60*EssentialMix,0)</f>
        <v/>
      </c>
      <c r="ADB60" s="12">
        <f>ROUND(ACY60*PremiumMix,0)</f>
        <v/>
      </c>
      <c r="ADC60" s="12">
        <f>ACY60-ADA60-ADB60</f>
        <v/>
      </c>
      <c r="ADD60" s="12">
        <f>ROUND(ACZ60*EssentialMix,0)</f>
        <v/>
      </c>
      <c r="ADE60" s="12">
        <f>ROUND(ACZ60*PremiumMix,0)</f>
        <v/>
      </c>
      <c r="ADF60" s="12">
        <f>ACZ60-ADD60-ADE60</f>
        <v/>
      </c>
      <c r="ADG60" s="12">
        <f>ADA60+ADA59+ADA58+MAX(0,ADG59-ADA59-ADA58)*(1-ACT60)</f>
        <v/>
      </c>
      <c r="ADH60" s="12">
        <f>ADB60+ADB59+ADB58+MAX(0,ADH59-ADB59-ADB58)*(1-ACT60)</f>
        <v/>
      </c>
      <c r="ADI60" s="12">
        <f>ADC60+ADC59+ADC58+MAX(0,ADI59-ADC59-ADC58)*(1-ACT60)</f>
        <v/>
      </c>
      <c r="ADJ60" s="12">
        <f>ADJ59+ADD60-ADD48*(AnnualChurn*VLOOKUP(ACP60,ChurnSeasonTable,4,FALSE))*POWER(1-(AnnualChurn*VLOOKUP(ACP60,ChurnSeasonTable,4,FALSE)),0)+ADD36*(AnnualChurn*VLOOKUP(ACP60,ChurnSeasonTable,4,FALSE))*POWER(1-(AnnualChurn*VLOOKUP(ACP60,ChurnSeasonTable,4,FALSE)),1)+ADD24*(AnnualChurn*VLOOKUP(ACP60,ChurnSeasonTable,4,FALSE))*POWER(1-(AnnualChurn*VLOOKUP(ACP60,ChurnSeasonTable,4,FALSE)),2)+ADD12*(AnnualChurn*VLOOKUP(ACP60,ChurnSeasonTable,4,FALSE))*POWER(1-(AnnualChurn*VLOOKUP(ACP60,ChurnSeasonTable,4,FALSE)),3)</f>
        <v/>
      </c>
      <c r="ADK60" s="12">
        <f>ADK59+ADE60-ADE48*(AnnualChurn*VLOOKUP(ACP60,ChurnSeasonTable,4,FALSE))*POWER(1-(AnnualChurn*VLOOKUP(ACP60,ChurnSeasonTable,4,FALSE)),0)+ADE36*(AnnualChurn*VLOOKUP(ACP60,ChurnSeasonTable,4,FALSE))*POWER(1-(AnnualChurn*VLOOKUP(ACP60,ChurnSeasonTable,4,FALSE)),1)+ADE24*(AnnualChurn*VLOOKUP(ACP60,ChurnSeasonTable,4,FALSE))*POWER(1-(AnnualChurn*VLOOKUP(ACP60,ChurnSeasonTable,4,FALSE)),2)+ADE12*(AnnualChurn*VLOOKUP(ACP60,ChurnSeasonTable,4,FALSE))*POWER(1-(AnnualChurn*VLOOKUP(ACP60,ChurnSeasonTable,4,FALSE)),3)</f>
        <v/>
      </c>
      <c r="ADL60" s="12">
        <f>ADL59+ADF60-ADF48*(AnnualChurn*VLOOKUP(ACP60,ChurnSeasonTable,4,FALSE))*POWER(1-(AnnualChurn*VLOOKUP(ACP60,ChurnSeasonTable,4,FALSE)),0)+ADF36*(AnnualChurn*VLOOKUP(ACP60,ChurnSeasonTable,4,FALSE))*POWER(1-(AnnualChurn*VLOOKUP(ACP60,ChurnSeasonTable,4,FALSE)),1)+ADF24*(AnnualChurn*VLOOKUP(ACP60,ChurnSeasonTable,4,FALSE))*POWER(1-(AnnualChurn*VLOOKUP(ACP60,ChurnSeasonTable,4,FALSE)),2)+ADF12*(AnnualChurn*VLOOKUP(ACP60,ChurnSeasonTable,4,FALSE))*POWER(1-(AnnualChurn*VLOOKUP(ACP60,ChurnSeasonTable,4,FALSE)),3)</f>
        <v/>
      </c>
      <c r="ADM60" s="12">
        <f>ADG60+ADH60+ADI60+ADJ60+ADK60+ADL60</f>
        <v/>
      </c>
      <c r="ADN60" s="9">
        <f>ADG60*BlendedPriceEssMonthly*ACS60+ADH60*BlendedPricePremMonthly*ACS60+ADI60*BlendedPriceEliteMonthly*ACS60+ADJ60*BlendedPriceEssAnnual*ACS60/12+ADK60*BlendedPricePremAnnual*ACS60/12+ADL60*BlendedPriceEliteAnnual*ACS60/12</f>
        <v/>
      </c>
      <c r="ADO60" s="9">
        <f>ADN60*12</f>
        <v/>
      </c>
      <c r="ADP60" s="12">
        <f>ADG60*BlendedPriceEssMonthly*ACS60+ADH60*BlendedPricePremMonthly*ACS60+ADI60*BlendedPriceEliteMonthly*ACS60</f>
        <v/>
      </c>
      <c r="ADQ60" s="12">
        <f>ADD60*BlendedPriceEssAnnual*ACS60+ADE60*BlendedPricePremAnnual*ACS60+ADF60*BlendedPriceEliteAnnual*ACS60</f>
        <v/>
      </c>
      <c r="ADR60" s="12">
        <f>ADD48*POWER(1-(AnnualChurn*VLOOKUP(ACP60,ChurnSeasonTable,4,FALSE)),1)*BlendedPriceEssAnnual*ACS60+ADD36*POWER(1-(AnnualChurn*VLOOKUP(ACP60,ChurnSeasonTable,4,FALSE)),2)*BlendedPriceEssAnnual*ACS60+ADD24*POWER(1-(AnnualChurn*VLOOKUP(ACP60,ChurnSeasonTable,4,FALSE)),3)*BlendedPriceEssAnnual*ACS60+ADD12*POWER(1-(AnnualChurn*VLOOKUP(ACP60,ChurnSeasonTable,4,FALSE)),4)*BlendedPriceEssAnnual*ACS60+ADE48*POWER(1-(AnnualChurn*VLOOKUP(ACP60,ChurnSeasonTable,4,FALSE)),1)*BlendedPricePremAnnual*ACS60+ADE36*POWER(1-(AnnualChurn*VLOOKUP(ACP60,ChurnSeasonTable,4,FALSE)),2)*BlendedPricePremAnnual*ACS60+ADE24*POWER(1-(AnnualChurn*VLOOKUP(ACP60,ChurnSeasonTable,4,FALSE)),3)*BlendedPricePremAnnual*ACS60+ADE12*POWER(1-(AnnualChurn*VLOOKUP(ACP60,ChurnSeasonTable,4,FALSE)),4)*BlendedPricePremAnnual*ACS60+ADF48*POWER(1-(AnnualChurn*VLOOKUP(ACP60,ChurnSeasonTable,4,FALSE)),1)*BlendedPriceEliteAnnual*ACS60+ADF36*POWER(1-(AnnualChurn*VLOOKUP(ACP60,ChurnSeasonTable,4,FALSE)),2)*BlendedPriceEliteAnnual*ACS60+ADF24*POWER(1-(AnnualChurn*VLOOKUP(ACP60,ChurnSeasonTable,4,FALSE)),3)*BlendedPriceEliteAnnual*ACS60+ADF12*POWER(1-(AnnualChurn*VLOOKUP(ACP60,ChurnSeasonTable,4,FALSE)),4)*BlendedPriceEliteAnnual*ACS60</f>
        <v/>
      </c>
      <c r="ADS60" s="9">
        <f>ADP60+ADQ60+ADR60</f>
        <v/>
      </c>
      <c r="ADT60" s="12">
        <f>SUM(ADS49:ADS60)</f>
        <v/>
      </c>
      <c r="ADU60" s="12">
        <f>OR(ADU59,IF(VATAgentMode,SUM($ADS49:$ADS60)-SUM($ADZ49:$ADZ60)&gt;=VATThreshold,SUM($ADS49:$ADS60)&gt;=VATThreshold))</f>
        <v/>
      </c>
      <c r="ADV60" s="9">
        <f>IF(ADU60,IF(VATAgentMode,ADS60-((ADS60-ADZ60)-(ADS60-ADZ60)/(1+VATRate)),ADS60/(1+VATRate)),ADS60)</f>
        <v/>
      </c>
      <c r="ADW60" s="12">
        <f>ADS60-ADV60</f>
        <v/>
      </c>
      <c r="ADX60" s="12">
        <f>IF(ADU60=0,0,IF(ACP60=1,SUMPRODUCT(--(($ACQ$5:$ACQ60=$ACQ60-1)*($ACP$5:$ACP60&gt;=10)*($ACP$5:$ACP60&lt;=12)),$ADW$5:$ADW60),IF(ACP60=4,SUMPRODUCT(--(($ACQ$5:$ACQ60=$ACQ60)*($ACP$5:$ACP60&gt;=1)*($ACP$5:$ACP60&lt;=3)),$ADW$5:$ADW60),IF(ACP60=7,SUMPRODUCT(--(($ACQ$5:$ACQ60=$ACQ60)*($ACP$5:$ACP60&gt;=4)*($ACP$5:$ACP60&lt;=6)),$ADW$5:$ADW60),IF(ACP60=10,SUMPRODUCT(--(($ACQ$5:$ACQ60=$ACQ60)*($ACP$5:$ACP60&gt;=7)*($ACP$5:$ACP60&lt;=9)),$ADW$5:$ADW60),0)))))</f>
        <v/>
      </c>
      <c r="ADY60" s="12">
        <f>ADY59+ADW60-ADX60</f>
        <v/>
      </c>
      <c r="ADZ60" s="12">
        <f>IF(ProviderDelay&gt;=1,ADG59*BlendedProvPayEss+ADH59*BlendedProvPayPrem+ADI59*BlendedProvPayElite+ADJ59*BlendedProvPayEss+ADK59*BlendedProvPayPrem+ADL59*BlendedProvPayElite,ADG60*BlendedProvPayEss+ADH60*BlendedProvPayPrem+ADI60*BlendedProvPayElite+ADJ60*BlendedProvPayEss+ADK60*BlendedProvPayPrem+ADL60*BlendedProvPayElite)</f>
        <v/>
      </c>
      <c r="AEA60" s="12">
        <f>ADS60*PaymentFee</f>
        <v/>
      </c>
      <c r="AEB60" s="12">
        <f>ADM60*OpsAI</f>
        <v/>
      </c>
      <c r="AEC60" s="12">
        <f>MonthlyFixed</f>
        <v/>
      </c>
      <c r="AED60" s="12">
        <f>ACW60*ReferralReward</f>
        <v/>
      </c>
      <c r="AEE60" s="12">
        <f>ACU60</f>
        <v/>
      </c>
      <c r="AEF60" s="9">
        <f>ADV60-ADZ60-AEA60-AEB60-AEC60-AED60-AEE60</f>
        <v/>
      </c>
      <c r="AEG60" s="9">
        <f>AEG59+ADS60-(ADZ60+AEA60+AEB60+AEC60+AED60+AEE60+ADX60)</f>
        <v/>
      </c>
      <c r="AEH60" s="12">
        <f>IF(ADM60&gt;0,ADN60/ADM60,0)</f>
        <v/>
      </c>
      <c r="AEI60" s="11">
        <f>IF(ADM59&gt;0,MAX(0,(ADM59+ACX60-ADM60)/ADM59),0)</f>
        <v/>
      </c>
      <c r="AEK60" s="12" t="n">
        <v>56</v>
      </c>
      <c r="AEL60" s="12">
        <f>MOD(AEK60-1+LaunchMonth-1,12)+1</f>
        <v/>
      </c>
      <c r="AEM60" s="12">
        <f>INT((AEK60-1+LaunchMonth-1)/12)+1</f>
        <v/>
      </c>
      <c r="AEN60" s="12">
        <f>VLOOKUP(AEL60,SeasonTable,2,FALSE)</f>
        <v/>
      </c>
      <c r="AEO60" s="12">
        <f>(1+InflationRate)^INT((AEK60-1)/12)</f>
        <v/>
      </c>
      <c r="AEP60" s="11">
        <f>MonthlyChurn*VLOOKUP(AEL60,ChurnSeasonTable,4,FALSE)</f>
        <v/>
      </c>
      <c r="AEQ60" s="12">
        <f>MIN(MAX(MktMin19plus,AFO59*MktPct19plus),MAX(0,AGC59-CashBuffer))</f>
        <v/>
      </c>
      <c r="AER60" s="12">
        <f>IF(AEQ60&gt;0,MAX(1,ROUND(AEQ60/CAC*AEN60,0)),0)</f>
        <v/>
      </c>
      <c r="AES60" s="12">
        <f>IF(AER60&gt;0,ROUND(AER60*ReferralMix/(1-ReferralMix),0),0)</f>
        <v/>
      </c>
      <c r="AET60" s="12">
        <f>AER60+AES60</f>
        <v/>
      </c>
      <c r="AEU60" s="12">
        <f>ROUND(AET60*(1-'Sens - Annual Mix'!$A$14),0)</f>
        <v/>
      </c>
      <c r="AEV60" s="12">
        <f>AET60-AEU60</f>
        <v/>
      </c>
      <c r="AEW60" s="12">
        <f>ROUND(AEU60*EssentialMix,0)</f>
        <v/>
      </c>
      <c r="AEX60" s="12">
        <f>ROUND(AEU60*PremiumMix,0)</f>
        <v/>
      </c>
      <c r="AEY60" s="12">
        <f>AEU60-AEW60-AEX60</f>
        <v/>
      </c>
      <c r="AEZ60" s="12">
        <f>ROUND(AEV60*EssentialMix,0)</f>
        <v/>
      </c>
      <c r="AFA60" s="12">
        <f>ROUND(AEV60*PremiumMix,0)</f>
        <v/>
      </c>
      <c r="AFB60" s="12">
        <f>AEV60-AEZ60-AFA60</f>
        <v/>
      </c>
      <c r="AFC60" s="12">
        <f>AEW60+AEW59+AEW58+MAX(0,AFC59-AEW59-AEW58)*(1-AEP60)</f>
        <v/>
      </c>
      <c r="AFD60" s="12">
        <f>AEX60+AEX59+AEX58+MAX(0,AFD59-AEX59-AEX58)*(1-AEP60)</f>
        <v/>
      </c>
      <c r="AFE60" s="12">
        <f>AEY60+AEY59+AEY58+MAX(0,AFE59-AEY59-AEY58)*(1-AEP60)</f>
        <v/>
      </c>
      <c r="AFF60" s="12">
        <f>AFF59+AEZ60-AEZ48*(AnnualChurn*VLOOKUP(AEL60,ChurnSeasonTable,4,FALSE))*POWER(1-(AnnualChurn*VLOOKUP(AEL60,ChurnSeasonTable,4,FALSE)),0)+AEZ36*(AnnualChurn*VLOOKUP(AEL60,ChurnSeasonTable,4,FALSE))*POWER(1-(AnnualChurn*VLOOKUP(AEL60,ChurnSeasonTable,4,FALSE)),1)+AEZ24*(AnnualChurn*VLOOKUP(AEL60,ChurnSeasonTable,4,FALSE))*POWER(1-(AnnualChurn*VLOOKUP(AEL60,ChurnSeasonTable,4,FALSE)),2)+AEZ12*(AnnualChurn*VLOOKUP(AEL60,ChurnSeasonTable,4,FALSE))*POWER(1-(AnnualChurn*VLOOKUP(AEL60,ChurnSeasonTable,4,FALSE)),3)</f>
        <v/>
      </c>
      <c r="AFG60" s="12">
        <f>AFG59+AFA60-AFA48*(AnnualChurn*VLOOKUP(AEL60,ChurnSeasonTable,4,FALSE))*POWER(1-(AnnualChurn*VLOOKUP(AEL60,ChurnSeasonTable,4,FALSE)),0)+AFA36*(AnnualChurn*VLOOKUP(AEL60,ChurnSeasonTable,4,FALSE))*POWER(1-(AnnualChurn*VLOOKUP(AEL60,ChurnSeasonTable,4,FALSE)),1)+AFA24*(AnnualChurn*VLOOKUP(AEL60,ChurnSeasonTable,4,FALSE))*POWER(1-(AnnualChurn*VLOOKUP(AEL60,ChurnSeasonTable,4,FALSE)),2)+AFA12*(AnnualChurn*VLOOKUP(AEL60,ChurnSeasonTable,4,FALSE))*POWER(1-(AnnualChurn*VLOOKUP(AEL60,ChurnSeasonTable,4,FALSE)),3)</f>
        <v/>
      </c>
      <c r="AFH60" s="12">
        <f>AFH59+AFB60-AFB48*(AnnualChurn*VLOOKUP(AEL60,ChurnSeasonTable,4,FALSE))*POWER(1-(AnnualChurn*VLOOKUP(AEL60,ChurnSeasonTable,4,FALSE)),0)+AFB36*(AnnualChurn*VLOOKUP(AEL60,ChurnSeasonTable,4,FALSE))*POWER(1-(AnnualChurn*VLOOKUP(AEL60,ChurnSeasonTable,4,FALSE)),1)+AFB24*(AnnualChurn*VLOOKUP(AEL60,ChurnSeasonTable,4,FALSE))*POWER(1-(AnnualChurn*VLOOKUP(AEL60,ChurnSeasonTable,4,FALSE)),2)+AFB12*(AnnualChurn*VLOOKUP(AEL60,ChurnSeasonTable,4,FALSE))*POWER(1-(AnnualChurn*VLOOKUP(AEL60,ChurnSeasonTable,4,FALSE)),3)</f>
        <v/>
      </c>
      <c r="AFI60" s="12">
        <f>AFC60+AFD60+AFE60+AFF60+AFG60+AFH60</f>
        <v/>
      </c>
      <c r="AFJ60" s="9">
        <f>AFC60*BlendedPriceEssMonthly*AEO60+AFD60*BlendedPricePremMonthly*AEO60+AFE60*BlendedPriceEliteMonthly*AEO60+AFF60*BlendedPriceEssAnnual*AEO60/12+AFG60*BlendedPricePremAnnual*AEO60/12+AFH60*BlendedPriceEliteAnnual*AEO60/12</f>
        <v/>
      </c>
      <c r="AFK60" s="9">
        <f>AFJ60*12</f>
        <v/>
      </c>
      <c r="AFL60" s="12">
        <f>AFC60*BlendedPriceEssMonthly*AEO60+AFD60*BlendedPricePremMonthly*AEO60+AFE60*BlendedPriceEliteMonthly*AEO60</f>
        <v/>
      </c>
      <c r="AFM60" s="12">
        <f>AEZ60*BlendedPriceEssAnnual*AEO60+AFA60*BlendedPricePremAnnual*AEO60+AFB60*BlendedPriceEliteAnnual*AEO60</f>
        <v/>
      </c>
      <c r="AFN60" s="12">
        <f>AEZ48*POWER(1-(AnnualChurn*VLOOKUP(AEL60,ChurnSeasonTable,4,FALSE)),1)*BlendedPriceEssAnnual*AEO60+AEZ36*POWER(1-(AnnualChurn*VLOOKUP(AEL60,ChurnSeasonTable,4,FALSE)),2)*BlendedPriceEssAnnual*AEO60+AEZ24*POWER(1-(AnnualChurn*VLOOKUP(AEL60,ChurnSeasonTable,4,FALSE)),3)*BlendedPriceEssAnnual*AEO60+AEZ12*POWER(1-(AnnualChurn*VLOOKUP(AEL60,ChurnSeasonTable,4,FALSE)),4)*BlendedPriceEssAnnual*AEO60+AFA48*POWER(1-(AnnualChurn*VLOOKUP(AEL60,ChurnSeasonTable,4,FALSE)),1)*BlendedPricePremAnnual*AEO60+AFA36*POWER(1-(AnnualChurn*VLOOKUP(AEL60,ChurnSeasonTable,4,FALSE)),2)*BlendedPricePremAnnual*AEO60+AFA24*POWER(1-(AnnualChurn*VLOOKUP(AEL60,ChurnSeasonTable,4,FALSE)),3)*BlendedPricePremAnnual*AEO60+AFA12*POWER(1-(AnnualChurn*VLOOKUP(AEL60,ChurnSeasonTable,4,FALSE)),4)*BlendedPricePremAnnual*AEO60+AFB48*POWER(1-(AnnualChurn*VLOOKUP(AEL60,ChurnSeasonTable,4,FALSE)),1)*BlendedPriceEliteAnnual*AEO60+AFB36*POWER(1-(AnnualChurn*VLOOKUP(AEL60,ChurnSeasonTable,4,FALSE)),2)*BlendedPriceEliteAnnual*AEO60+AFB24*POWER(1-(AnnualChurn*VLOOKUP(AEL60,ChurnSeasonTable,4,FALSE)),3)*BlendedPriceEliteAnnual*AEO60+AFB12*POWER(1-(AnnualChurn*VLOOKUP(AEL60,ChurnSeasonTable,4,FALSE)),4)*BlendedPriceEliteAnnual*AEO60</f>
        <v/>
      </c>
      <c r="AFO60" s="9">
        <f>AFL60+AFM60+AFN60</f>
        <v/>
      </c>
      <c r="AFP60" s="12">
        <f>SUM(AFO49:AFO60)</f>
        <v/>
      </c>
      <c r="AFQ60" s="12">
        <f>OR(AFQ59,IF(VATAgentMode,SUM($AFO49:$AFO60)-SUM($AFV49:$AFV60)&gt;=VATThreshold,SUM($AFO49:$AFO60)&gt;=VATThreshold))</f>
        <v/>
      </c>
      <c r="AFR60" s="9">
        <f>IF(AFQ60,IF(VATAgentMode,AFO60-((AFO60-AFV60)-(AFO60-AFV60)/(1+VATRate)),AFO60/(1+VATRate)),AFO60)</f>
        <v/>
      </c>
      <c r="AFS60" s="12">
        <f>AFO60-AFR60</f>
        <v/>
      </c>
      <c r="AFT60" s="12">
        <f>IF(AFQ60=0,0,IF(AEL60=1,SUMPRODUCT(--(($AEM$5:$AEM60=$AEM60-1)*($AEL$5:$AEL60&gt;=10)*($AEL$5:$AEL60&lt;=12)),$AFS$5:$AFS60),IF(AEL60=4,SUMPRODUCT(--(($AEM$5:$AEM60=$AEM60)*($AEL$5:$AEL60&gt;=1)*($AEL$5:$AEL60&lt;=3)),$AFS$5:$AFS60),IF(AEL60=7,SUMPRODUCT(--(($AEM$5:$AEM60=$AEM60)*($AEL$5:$AEL60&gt;=4)*($AEL$5:$AEL60&lt;=6)),$AFS$5:$AFS60),IF(AEL60=10,SUMPRODUCT(--(($AEM$5:$AEM60=$AEM60)*($AEL$5:$AEL60&gt;=7)*($AEL$5:$AEL60&lt;=9)),$AFS$5:$AFS60),0)))))</f>
        <v/>
      </c>
      <c r="AFU60" s="12">
        <f>AFU59+AFS60-AFT60</f>
        <v/>
      </c>
      <c r="AFV60" s="12">
        <f>IF(ProviderDelay&gt;=1,AFC59*BlendedProvPayEss+AFD59*BlendedProvPayPrem+AFE59*BlendedProvPayElite+AFF59*BlendedProvPayEss+AFG59*BlendedProvPayPrem+AFH59*BlendedProvPayElite,AFC60*BlendedProvPayEss+AFD60*BlendedProvPayPrem+AFE60*BlendedProvPayElite+AFF60*BlendedProvPayEss+AFG60*BlendedProvPayPrem+AFH60*BlendedProvPayElite)</f>
        <v/>
      </c>
      <c r="AFW60" s="12">
        <f>AFO60*PaymentFee</f>
        <v/>
      </c>
      <c r="AFX60" s="12">
        <f>AFI60*OpsAI</f>
        <v/>
      </c>
      <c r="AFY60" s="12">
        <f>MonthlyFixed</f>
        <v/>
      </c>
      <c r="AFZ60" s="12">
        <f>AES60*ReferralReward</f>
        <v/>
      </c>
      <c r="AGA60" s="12">
        <f>AEQ60</f>
        <v/>
      </c>
      <c r="AGB60" s="9">
        <f>AFR60-AFV60-AFW60-AFX60-AFY60-AFZ60-AGA60</f>
        <v/>
      </c>
      <c r="AGC60" s="9">
        <f>AGC59+AFO60-(AFV60+AFW60+AFX60+AFY60+AFZ60+AGA60+AFT60)</f>
        <v/>
      </c>
      <c r="AGD60" s="12">
        <f>IF(AFI60&gt;0,AFJ60/AFI60,0)</f>
        <v/>
      </c>
      <c r="AGE60" s="11">
        <f>IF(AFI59&gt;0,MAX(0,(AFI59+AET60-AFI60)/AFI59),0)</f>
        <v/>
      </c>
      <c r="AGG60" s="12" t="n">
        <v>56</v>
      </c>
      <c r="AGH60" s="12">
        <f>MOD(AGG60-1+LaunchMonth-1,12)+1</f>
        <v/>
      </c>
      <c r="AGI60" s="12">
        <f>INT((AGG60-1+LaunchMonth-1)/12)+1</f>
        <v/>
      </c>
      <c r="AGJ60" s="12">
        <f>VLOOKUP(AGH60,SeasonTable,2,FALSE)</f>
        <v/>
      </c>
      <c r="AGK60" s="12">
        <f>(1+InflationRate)^INT((AGG60-1)/12)</f>
        <v/>
      </c>
      <c r="AGL60" s="11">
        <f>MonthlyChurn*VLOOKUP(AGH60,ChurnSeasonTable,4,FALSE)</f>
        <v/>
      </c>
      <c r="AGM60" s="12">
        <f>MIN(MAX(MktMin19plus,AHK59*MktPct19plus),MAX(0,AHY59-CashBuffer))</f>
        <v/>
      </c>
      <c r="AGN60" s="12">
        <f>IF(AGM60&gt;0,MAX(1,ROUND(AGM60/CAC*AGJ60,0)),0)</f>
        <v/>
      </c>
      <c r="AGO60" s="12">
        <f>IF(AGN60&gt;0,ROUND(AGN60*ReferralMix/(1-ReferralMix),0),0)</f>
        <v/>
      </c>
      <c r="AGP60" s="12">
        <f>AGN60+AGO60</f>
        <v/>
      </c>
      <c r="AGQ60" s="12">
        <f>ROUND(AGP60*(1-'Sens - Annual Mix'!$A$15),0)</f>
        <v/>
      </c>
      <c r="AGR60" s="12">
        <f>AGP60-AGQ60</f>
        <v/>
      </c>
      <c r="AGS60" s="12">
        <f>ROUND(AGQ60*EssentialMix,0)</f>
        <v/>
      </c>
      <c r="AGT60" s="12">
        <f>ROUND(AGQ60*PremiumMix,0)</f>
        <v/>
      </c>
      <c r="AGU60" s="12">
        <f>AGQ60-AGS60-AGT60</f>
        <v/>
      </c>
      <c r="AGV60" s="12">
        <f>ROUND(AGR60*EssentialMix,0)</f>
        <v/>
      </c>
      <c r="AGW60" s="12">
        <f>ROUND(AGR60*PremiumMix,0)</f>
        <v/>
      </c>
      <c r="AGX60" s="12">
        <f>AGR60-AGV60-AGW60</f>
        <v/>
      </c>
      <c r="AGY60" s="12">
        <f>AGS60+AGS59+AGS58+MAX(0,AGY59-AGS59-AGS58)*(1-AGL60)</f>
        <v/>
      </c>
      <c r="AGZ60" s="12">
        <f>AGT60+AGT59+AGT58+MAX(0,AGZ59-AGT59-AGT58)*(1-AGL60)</f>
        <v/>
      </c>
      <c r="AHA60" s="12">
        <f>AGU60+AGU59+AGU58+MAX(0,AHA59-AGU59-AGU58)*(1-AGL60)</f>
        <v/>
      </c>
      <c r="AHB60" s="12">
        <f>AHB59+AGV60-AGV48*(AnnualChurn*VLOOKUP(AGH60,ChurnSeasonTable,4,FALSE))*POWER(1-(AnnualChurn*VLOOKUP(AGH60,ChurnSeasonTable,4,FALSE)),0)+AGV36*(AnnualChurn*VLOOKUP(AGH60,ChurnSeasonTable,4,FALSE))*POWER(1-(AnnualChurn*VLOOKUP(AGH60,ChurnSeasonTable,4,FALSE)),1)+AGV24*(AnnualChurn*VLOOKUP(AGH60,ChurnSeasonTable,4,FALSE))*POWER(1-(AnnualChurn*VLOOKUP(AGH60,ChurnSeasonTable,4,FALSE)),2)+AGV12*(AnnualChurn*VLOOKUP(AGH60,ChurnSeasonTable,4,FALSE))*POWER(1-(AnnualChurn*VLOOKUP(AGH60,ChurnSeasonTable,4,FALSE)),3)</f>
        <v/>
      </c>
      <c r="AHC60" s="12">
        <f>AHC59+AGW60-AGW48*(AnnualChurn*VLOOKUP(AGH60,ChurnSeasonTable,4,FALSE))*POWER(1-(AnnualChurn*VLOOKUP(AGH60,ChurnSeasonTable,4,FALSE)),0)+AGW36*(AnnualChurn*VLOOKUP(AGH60,ChurnSeasonTable,4,FALSE))*POWER(1-(AnnualChurn*VLOOKUP(AGH60,ChurnSeasonTable,4,FALSE)),1)+AGW24*(AnnualChurn*VLOOKUP(AGH60,ChurnSeasonTable,4,FALSE))*POWER(1-(AnnualChurn*VLOOKUP(AGH60,ChurnSeasonTable,4,FALSE)),2)+AGW12*(AnnualChurn*VLOOKUP(AGH60,ChurnSeasonTable,4,FALSE))*POWER(1-(AnnualChurn*VLOOKUP(AGH60,ChurnSeasonTable,4,FALSE)),3)</f>
        <v/>
      </c>
      <c r="AHD60" s="12">
        <f>AHD59+AGX60-AGX48*(AnnualChurn*VLOOKUP(AGH60,ChurnSeasonTable,4,FALSE))*POWER(1-(AnnualChurn*VLOOKUP(AGH60,ChurnSeasonTable,4,FALSE)),0)+AGX36*(AnnualChurn*VLOOKUP(AGH60,ChurnSeasonTable,4,FALSE))*POWER(1-(AnnualChurn*VLOOKUP(AGH60,ChurnSeasonTable,4,FALSE)),1)+AGX24*(AnnualChurn*VLOOKUP(AGH60,ChurnSeasonTable,4,FALSE))*POWER(1-(AnnualChurn*VLOOKUP(AGH60,ChurnSeasonTable,4,FALSE)),2)+AGX12*(AnnualChurn*VLOOKUP(AGH60,ChurnSeasonTable,4,FALSE))*POWER(1-(AnnualChurn*VLOOKUP(AGH60,ChurnSeasonTable,4,FALSE)),3)</f>
        <v/>
      </c>
      <c r="AHE60" s="12">
        <f>AGY60+AGZ60+AHA60+AHB60+AHC60+AHD60</f>
        <v/>
      </c>
      <c r="AHF60" s="9">
        <f>AGY60*BlendedPriceEssMonthly*AGK60+AGZ60*BlendedPricePremMonthly*AGK60+AHA60*BlendedPriceEliteMonthly*AGK60+AHB60*BlendedPriceEssAnnual*AGK60/12+AHC60*BlendedPricePremAnnual*AGK60/12+AHD60*BlendedPriceEliteAnnual*AGK60/12</f>
        <v/>
      </c>
      <c r="AHG60" s="9">
        <f>AHF60*12</f>
        <v/>
      </c>
      <c r="AHH60" s="12">
        <f>AGY60*BlendedPriceEssMonthly*AGK60+AGZ60*BlendedPricePremMonthly*AGK60+AHA60*BlendedPriceEliteMonthly*AGK60</f>
        <v/>
      </c>
      <c r="AHI60" s="12">
        <f>AGV60*BlendedPriceEssAnnual*AGK60+AGW60*BlendedPricePremAnnual*AGK60+AGX60*BlendedPriceEliteAnnual*AGK60</f>
        <v/>
      </c>
      <c r="AHJ60" s="12">
        <f>AGV48*POWER(1-(AnnualChurn*VLOOKUP(AGH60,ChurnSeasonTable,4,FALSE)),1)*BlendedPriceEssAnnual*AGK60+AGV36*POWER(1-(AnnualChurn*VLOOKUP(AGH60,ChurnSeasonTable,4,FALSE)),2)*BlendedPriceEssAnnual*AGK60+AGV24*POWER(1-(AnnualChurn*VLOOKUP(AGH60,ChurnSeasonTable,4,FALSE)),3)*BlendedPriceEssAnnual*AGK60+AGV12*POWER(1-(AnnualChurn*VLOOKUP(AGH60,ChurnSeasonTable,4,FALSE)),4)*BlendedPriceEssAnnual*AGK60+AGW48*POWER(1-(AnnualChurn*VLOOKUP(AGH60,ChurnSeasonTable,4,FALSE)),1)*BlendedPricePremAnnual*AGK60+AGW36*POWER(1-(AnnualChurn*VLOOKUP(AGH60,ChurnSeasonTable,4,FALSE)),2)*BlendedPricePremAnnual*AGK60+AGW24*POWER(1-(AnnualChurn*VLOOKUP(AGH60,ChurnSeasonTable,4,FALSE)),3)*BlendedPricePremAnnual*AGK60+AGW12*POWER(1-(AnnualChurn*VLOOKUP(AGH60,ChurnSeasonTable,4,FALSE)),4)*BlendedPricePremAnnual*AGK60+AGX48*POWER(1-(AnnualChurn*VLOOKUP(AGH60,ChurnSeasonTable,4,FALSE)),1)*BlendedPriceEliteAnnual*AGK60+AGX36*POWER(1-(AnnualChurn*VLOOKUP(AGH60,ChurnSeasonTable,4,FALSE)),2)*BlendedPriceEliteAnnual*AGK60+AGX24*POWER(1-(AnnualChurn*VLOOKUP(AGH60,ChurnSeasonTable,4,FALSE)),3)*BlendedPriceEliteAnnual*AGK60+AGX12*POWER(1-(AnnualChurn*VLOOKUP(AGH60,ChurnSeasonTable,4,FALSE)),4)*BlendedPriceEliteAnnual*AGK60</f>
        <v/>
      </c>
      <c r="AHK60" s="9">
        <f>AHH60+AHI60+AHJ60</f>
        <v/>
      </c>
      <c r="AHL60" s="12">
        <f>SUM(AHK49:AHK60)</f>
        <v/>
      </c>
      <c r="AHM60" s="12">
        <f>OR(AHM59,IF(VATAgentMode,SUM($AHK49:$AHK60)-SUM($AHR49:$AHR60)&gt;=VATThreshold,SUM($AHK49:$AHK60)&gt;=VATThreshold))</f>
        <v/>
      </c>
      <c r="AHN60" s="9">
        <f>IF(AHM60,IF(VATAgentMode,AHK60-((AHK60-AHR60)-(AHK60-AHR60)/(1+VATRate)),AHK60/(1+VATRate)),AHK60)</f>
        <v/>
      </c>
      <c r="AHO60" s="12">
        <f>AHK60-AHN60</f>
        <v/>
      </c>
      <c r="AHP60" s="12">
        <f>IF(AHM60=0,0,IF(AGH60=1,SUMPRODUCT(--(($AGI$5:$AGI60=$AGI60-1)*($AGH$5:$AGH60&gt;=10)*($AGH$5:$AGH60&lt;=12)),$AHO$5:$AHO60),IF(AGH60=4,SUMPRODUCT(--(($AGI$5:$AGI60=$AGI60)*($AGH$5:$AGH60&gt;=1)*($AGH$5:$AGH60&lt;=3)),$AHO$5:$AHO60),IF(AGH60=7,SUMPRODUCT(--(($AGI$5:$AGI60=$AGI60)*($AGH$5:$AGH60&gt;=4)*($AGH$5:$AGH60&lt;=6)),$AHO$5:$AHO60),IF(AGH60=10,SUMPRODUCT(--(($AGI$5:$AGI60=$AGI60)*($AGH$5:$AGH60&gt;=7)*($AGH$5:$AGH60&lt;=9)),$AHO$5:$AHO60),0)))))</f>
        <v/>
      </c>
      <c r="AHQ60" s="12">
        <f>AHQ59+AHO60-AHP60</f>
        <v/>
      </c>
      <c r="AHR60" s="12">
        <f>IF(ProviderDelay&gt;=1,AGY59*BlendedProvPayEss+AGZ59*BlendedProvPayPrem+AHA59*BlendedProvPayElite+AHB59*BlendedProvPayEss+AHC59*BlendedProvPayPrem+AHD59*BlendedProvPayElite,AGY60*BlendedProvPayEss+AGZ60*BlendedProvPayPrem+AHA60*BlendedProvPayElite+AHB60*BlendedProvPayEss+AHC60*BlendedProvPayPrem+AHD60*BlendedProvPayElite)</f>
        <v/>
      </c>
      <c r="AHS60" s="12">
        <f>AHK60*PaymentFee</f>
        <v/>
      </c>
      <c r="AHT60" s="12">
        <f>AHE60*OpsAI</f>
        <v/>
      </c>
      <c r="AHU60" s="12">
        <f>MonthlyFixed</f>
        <v/>
      </c>
      <c r="AHV60" s="12">
        <f>AGO60*ReferralReward</f>
        <v/>
      </c>
      <c r="AHW60" s="12">
        <f>AGM60</f>
        <v/>
      </c>
      <c r="AHX60" s="9">
        <f>AHN60-AHR60-AHS60-AHT60-AHU60-AHV60-AHW60</f>
        <v/>
      </c>
      <c r="AHY60" s="9">
        <f>AHY59+AHK60-(AHR60+AHS60+AHT60+AHU60+AHV60+AHW60+AHP60)</f>
        <v/>
      </c>
      <c r="AHZ60" s="12">
        <f>IF(AHE60&gt;0,AHF60/AHE60,0)</f>
        <v/>
      </c>
      <c r="AIA60" s="11">
        <f>IF(AHE59&gt;0,MAX(0,(AHE59+AGP60-AHE60)/AHE59),0)</f>
        <v/>
      </c>
      <c r="AIC60" s="12" t="n">
        <v>56</v>
      </c>
      <c r="AID60" s="12">
        <f>MOD(AIC60-1+LaunchMonth-1,12)+1</f>
        <v/>
      </c>
      <c r="AIE60" s="12">
        <f>INT((AIC60-1+LaunchMonth-1)/12)+1</f>
        <v/>
      </c>
      <c r="AIF60" s="12">
        <f>VLOOKUP(AID60,SeasonTable,2,FALSE)</f>
        <v/>
      </c>
      <c r="AIG60" s="12">
        <f>(1+InflationRate)^INT((AIC60-1)/12)</f>
        <v/>
      </c>
      <c r="AIH60" s="11">
        <f>MonthlyChurn*VLOOKUP(AID60,ChurnSeasonTable,4,FALSE)</f>
        <v/>
      </c>
      <c r="AII60" s="12">
        <f>MIN(MAX(MktMin19plus,AJG59*MktPct19plus),MAX(0,AJU59-CashBuffer))</f>
        <v/>
      </c>
      <c r="AIJ60" s="12">
        <f>IF(AII60&gt;0,MAX(1,ROUND(AII60/'Sens - CAC &amp; Marketing'!$A$9*AIF60,0)),0)</f>
        <v/>
      </c>
      <c r="AIK60" s="12">
        <f>IF(AIJ60&gt;0,ROUND(AIJ60*ReferralMix/(1-ReferralMix),0),0)</f>
        <v/>
      </c>
      <c r="AIL60" s="12">
        <f>AIJ60+AIK60</f>
        <v/>
      </c>
      <c r="AIM60" s="12">
        <f>ROUND(AIL60*(1-AnnualMix),0)</f>
        <v/>
      </c>
      <c r="AIN60" s="12">
        <f>AIL60-AIM60</f>
        <v/>
      </c>
      <c r="AIO60" s="12">
        <f>ROUND(AIM60*EssentialMix,0)</f>
        <v/>
      </c>
      <c r="AIP60" s="12">
        <f>ROUND(AIM60*PremiumMix,0)</f>
        <v/>
      </c>
      <c r="AIQ60" s="12">
        <f>AIM60-AIO60-AIP60</f>
        <v/>
      </c>
      <c r="AIR60" s="12">
        <f>ROUND(AIN60*EssentialMix,0)</f>
        <v/>
      </c>
      <c r="AIS60" s="12">
        <f>ROUND(AIN60*PremiumMix,0)</f>
        <v/>
      </c>
      <c r="AIT60" s="12">
        <f>AIN60-AIR60-AIS60</f>
        <v/>
      </c>
      <c r="AIU60" s="12">
        <f>AIO60+AIO59+AIO58+MAX(0,AIU59-AIO59-AIO58)*(1-AIH60)</f>
        <v/>
      </c>
      <c r="AIV60" s="12">
        <f>AIP60+AIP59+AIP58+MAX(0,AIV59-AIP59-AIP58)*(1-AIH60)</f>
        <v/>
      </c>
      <c r="AIW60" s="12">
        <f>AIQ60+AIQ59+AIQ58+MAX(0,AIW59-AIQ59-AIQ58)*(1-AIH60)</f>
        <v/>
      </c>
      <c r="AIX60" s="12">
        <f>AIX59+AIR60-AIR48*(AnnualChurn*VLOOKUP(AID60,ChurnSeasonTable,4,FALSE))*POWER(1-(AnnualChurn*VLOOKUP(AID60,ChurnSeasonTable,4,FALSE)),0)+AIR36*(AnnualChurn*VLOOKUP(AID60,ChurnSeasonTable,4,FALSE))*POWER(1-(AnnualChurn*VLOOKUP(AID60,ChurnSeasonTable,4,FALSE)),1)+AIR24*(AnnualChurn*VLOOKUP(AID60,ChurnSeasonTable,4,FALSE))*POWER(1-(AnnualChurn*VLOOKUP(AID60,ChurnSeasonTable,4,FALSE)),2)+AIR12*(AnnualChurn*VLOOKUP(AID60,ChurnSeasonTable,4,FALSE))*POWER(1-(AnnualChurn*VLOOKUP(AID60,ChurnSeasonTable,4,FALSE)),3)</f>
        <v/>
      </c>
      <c r="AIY60" s="12">
        <f>AIY59+AIS60-AIS48*(AnnualChurn*VLOOKUP(AID60,ChurnSeasonTable,4,FALSE))*POWER(1-(AnnualChurn*VLOOKUP(AID60,ChurnSeasonTable,4,FALSE)),0)+AIS36*(AnnualChurn*VLOOKUP(AID60,ChurnSeasonTable,4,FALSE))*POWER(1-(AnnualChurn*VLOOKUP(AID60,ChurnSeasonTable,4,FALSE)),1)+AIS24*(AnnualChurn*VLOOKUP(AID60,ChurnSeasonTable,4,FALSE))*POWER(1-(AnnualChurn*VLOOKUP(AID60,ChurnSeasonTable,4,FALSE)),2)+AIS12*(AnnualChurn*VLOOKUP(AID60,ChurnSeasonTable,4,FALSE))*POWER(1-(AnnualChurn*VLOOKUP(AID60,ChurnSeasonTable,4,FALSE)),3)</f>
        <v/>
      </c>
      <c r="AIZ60" s="12">
        <f>AIZ59+AIT60-AIT48*(AnnualChurn*VLOOKUP(AID60,ChurnSeasonTable,4,FALSE))*POWER(1-(AnnualChurn*VLOOKUP(AID60,ChurnSeasonTable,4,FALSE)),0)+AIT36*(AnnualChurn*VLOOKUP(AID60,ChurnSeasonTable,4,FALSE))*POWER(1-(AnnualChurn*VLOOKUP(AID60,ChurnSeasonTable,4,FALSE)),1)+AIT24*(AnnualChurn*VLOOKUP(AID60,ChurnSeasonTable,4,FALSE))*POWER(1-(AnnualChurn*VLOOKUP(AID60,ChurnSeasonTable,4,FALSE)),2)+AIT12*(AnnualChurn*VLOOKUP(AID60,ChurnSeasonTable,4,FALSE))*POWER(1-(AnnualChurn*VLOOKUP(AID60,ChurnSeasonTable,4,FALSE)),3)</f>
        <v/>
      </c>
      <c r="AJA60" s="12">
        <f>AIU60+AIV60+AIW60+AIX60+AIY60+AIZ60</f>
        <v/>
      </c>
      <c r="AJB60" s="9">
        <f>AIU60*BlendedPriceEssMonthly*AIG60+AIV60*BlendedPricePremMonthly*AIG60+AIW60*BlendedPriceEliteMonthly*AIG60+AIX60*BlendedPriceEssAnnual*AIG60/12+AIY60*BlendedPricePremAnnual*AIG60/12+AIZ60*BlendedPriceEliteAnnual*AIG60/12</f>
        <v/>
      </c>
      <c r="AJC60" s="9">
        <f>AJB60*12</f>
        <v/>
      </c>
      <c r="AJD60" s="12">
        <f>AIU60*BlendedPriceEssMonthly*AIG60+AIV60*BlendedPricePremMonthly*AIG60+AIW60*BlendedPriceEliteMonthly*AIG60</f>
        <v/>
      </c>
      <c r="AJE60" s="12">
        <f>AIR60*BlendedPriceEssAnnual*AIG60+AIS60*BlendedPricePremAnnual*AIG60+AIT60*BlendedPriceEliteAnnual*AIG60</f>
        <v/>
      </c>
      <c r="AJF60" s="12">
        <f>AIR48*POWER(1-(AnnualChurn*VLOOKUP(AID60,ChurnSeasonTable,4,FALSE)),1)*BlendedPriceEssAnnual*AIG60+AIR36*POWER(1-(AnnualChurn*VLOOKUP(AID60,ChurnSeasonTable,4,FALSE)),2)*BlendedPriceEssAnnual*AIG60+AIR24*POWER(1-(AnnualChurn*VLOOKUP(AID60,ChurnSeasonTable,4,FALSE)),3)*BlendedPriceEssAnnual*AIG60+AIR12*POWER(1-(AnnualChurn*VLOOKUP(AID60,ChurnSeasonTable,4,FALSE)),4)*BlendedPriceEssAnnual*AIG60+AIS48*POWER(1-(AnnualChurn*VLOOKUP(AID60,ChurnSeasonTable,4,FALSE)),1)*BlendedPricePremAnnual*AIG60+AIS36*POWER(1-(AnnualChurn*VLOOKUP(AID60,ChurnSeasonTable,4,FALSE)),2)*BlendedPricePremAnnual*AIG60+AIS24*POWER(1-(AnnualChurn*VLOOKUP(AID60,ChurnSeasonTable,4,FALSE)),3)*BlendedPricePremAnnual*AIG60+AIS12*POWER(1-(AnnualChurn*VLOOKUP(AID60,ChurnSeasonTable,4,FALSE)),4)*BlendedPricePremAnnual*AIG60+AIT48*POWER(1-(AnnualChurn*VLOOKUP(AID60,ChurnSeasonTable,4,FALSE)),1)*BlendedPriceEliteAnnual*AIG60+AIT36*POWER(1-(AnnualChurn*VLOOKUP(AID60,ChurnSeasonTable,4,FALSE)),2)*BlendedPriceEliteAnnual*AIG60+AIT24*POWER(1-(AnnualChurn*VLOOKUP(AID60,ChurnSeasonTable,4,FALSE)),3)*BlendedPriceEliteAnnual*AIG60+AIT12*POWER(1-(AnnualChurn*VLOOKUP(AID60,ChurnSeasonTable,4,FALSE)),4)*BlendedPriceEliteAnnual*AIG60</f>
        <v/>
      </c>
      <c r="AJG60" s="9">
        <f>AJD60+AJE60+AJF60</f>
        <v/>
      </c>
      <c r="AJH60" s="12">
        <f>SUM(AJG49:AJG60)</f>
        <v/>
      </c>
      <c r="AJI60" s="12">
        <f>OR(AJI59,IF(VATAgentMode,SUM($AJG49:$AJG60)-SUM($AJN49:$AJN60)&gt;=VATThreshold,SUM($AJG49:$AJG60)&gt;=VATThreshold))</f>
        <v/>
      </c>
      <c r="AJJ60" s="9">
        <f>IF(AJI60,IF(VATAgentMode,AJG60-((AJG60-AJN60)-(AJG60-AJN60)/(1+VATRate)),AJG60/(1+VATRate)),AJG60)</f>
        <v/>
      </c>
      <c r="AJK60" s="12">
        <f>AJG60-AJJ60</f>
        <v/>
      </c>
      <c r="AJL60" s="12">
        <f>IF(AJI60=0,0,IF(AID60=1,SUMPRODUCT(--(($AIE$5:$AIE60=$AIE60-1)*($AID$5:$AID60&gt;=10)*($AID$5:$AID60&lt;=12)),$AJK$5:$AJK60),IF(AID60=4,SUMPRODUCT(--(($AIE$5:$AIE60=$AIE60)*($AID$5:$AID60&gt;=1)*($AID$5:$AID60&lt;=3)),$AJK$5:$AJK60),IF(AID60=7,SUMPRODUCT(--(($AIE$5:$AIE60=$AIE60)*($AID$5:$AID60&gt;=4)*($AID$5:$AID60&lt;=6)),$AJK$5:$AJK60),IF(AID60=10,SUMPRODUCT(--(($AIE$5:$AIE60=$AIE60)*($AID$5:$AID60&gt;=7)*($AID$5:$AID60&lt;=9)),$AJK$5:$AJK60),0)))))</f>
        <v/>
      </c>
      <c r="AJM60" s="12">
        <f>AJM59+AJK60-AJL60</f>
        <v/>
      </c>
      <c r="AJN60" s="12">
        <f>IF(ProviderDelay&gt;=1,AIU59*BlendedProvPayEss+AIV59*BlendedProvPayPrem+AIW59*BlendedProvPayElite+AIX59*BlendedProvPayEss+AIY59*BlendedProvPayPrem+AIZ59*BlendedProvPayElite,AIU60*BlendedProvPayEss+AIV60*BlendedProvPayPrem+AIW60*BlendedProvPayElite+AIX60*BlendedProvPayEss+AIY60*BlendedProvPayPrem+AIZ60*BlendedProvPayElite)</f>
        <v/>
      </c>
      <c r="AJO60" s="12">
        <f>AJG60*PaymentFee</f>
        <v/>
      </c>
      <c r="AJP60" s="12">
        <f>AJA60*OpsAI</f>
        <v/>
      </c>
      <c r="AJQ60" s="12">
        <f>MonthlyFixed</f>
        <v/>
      </c>
      <c r="AJR60" s="12">
        <f>AIK60*ReferralReward</f>
        <v/>
      </c>
      <c r="AJS60" s="12">
        <f>AII60</f>
        <v/>
      </c>
      <c r="AJT60" s="9">
        <f>AJJ60-AJN60-AJO60-AJP60-AJQ60-AJR60-AJS60</f>
        <v/>
      </c>
      <c r="AJU60" s="9">
        <f>AJU59+AJG60-(AJN60+AJO60+AJP60+AJQ60+AJR60+AJS60+AJL60)</f>
        <v/>
      </c>
      <c r="AJV60" s="12">
        <f>IF(AJA60&gt;0,AJB60/AJA60,0)</f>
        <v/>
      </c>
      <c r="AJW60" s="11">
        <f>IF(AJA59&gt;0,MAX(0,(AJA59+AIL60-AJA60)/AJA59),0)</f>
        <v/>
      </c>
      <c r="AJY60" s="12" t="n">
        <v>56</v>
      </c>
      <c r="AJZ60" s="12">
        <f>MOD(AJY60-1+LaunchMonth-1,12)+1</f>
        <v/>
      </c>
      <c r="AKA60" s="12">
        <f>INT((AJY60-1+LaunchMonth-1)/12)+1</f>
        <v/>
      </c>
      <c r="AKB60" s="12">
        <f>VLOOKUP(AJZ60,SeasonTable,2,FALSE)</f>
        <v/>
      </c>
      <c r="AKC60" s="12">
        <f>(1+InflationRate)^INT((AJY60-1)/12)</f>
        <v/>
      </c>
      <c r="AKD60" s="11">
        <f>MonthlyChurn*VLOOKUP(AJZ60,ChurnSeasonTable,4,FALSE)</f>
        <v/>
      </c>
      <c r="AKE60" s="12">
        <f>MIN(MAX(MktMin19plus,ALC59*MktPct19plus),MAX(0,ALQ59-CashBuffer))</f>
        <v/>
      </c>
      <c r="AKF60" s="12">
        <f>IF(AKE60&gt;0,MAX(1,ROUND(AKE60/'Sens - CAC &amp; Marketing'!$A$10*AKB60,0)),0)</f>
        <v/>
      </c>
      <c r="AKG60" s="12">
        <f>IF(AKF60&gt;0,ROUND(AKF60*ReferralMix/(1-ReferralMix),0),0)</f>
        <v/>
      </c>
      <c r="AKH60" s="12">
        <f>AKF60+AKG60</f>
        <v/>
      </c>
      <c r="AKI60" s="12">
        <f>ROUND(AKH60*(1-AnnualMix),0)</f>
        <v/>
      </c>
      <c r="AKJ60" s="12">
        <f>AKH60-AKI60</f>
        <v/>
      </c>
      <c r="AKK60" s="12">
        <f>ROUND(AKI60*EssentialMix,0)</f>
        <v/>
      </c>
      <c r="AKL60" s="12">
        <f>ROUND(AKI60*PremiumMix,0)</f>
        <v/>
      </c>
      <c r="AKM60" s="12">
        <f>AKI60-AKK60-AKL60</f>
        <v/>
      </c>
      <c r="AKN60" s="12">
        <f>ROUND(AKJ60*EssentialMix,0)</f>
        <v/>
      </c>
      <c r="AKO60" s="12">
        <f>ROUND(AKJ60*PremiumMix,0)</f>
        <v/>
      </c>
      <c r="AKP60" s="12">
        <f>AKJ60-AKN60-AKO60</f>
        <v/>
      </c>
      <c r="AKQ60" s="12">
        <f>AKK60+AKK59+AKK58+MAX(0,AKQ59-AKK59-AKK58)*(1-AKD60)</f>
        <v/>
      </c>
      <c r="AKR60" s="12">
        <f>AKL60+AKL59+AKL58+MAX(0,AKR59-AKL59-AKL58)*(1-AKD60)</f>
        <v/>
      </c>
      <c r="AKS60" s="12">
        <f>AKM60+AKM59+AKM58+MAX(0,AKS59-AKM59-AKM58)*(1-AKD60)</f>
        <v/>
      </c>
      <c r="AKT60" s="12">
        <f>AKT59+AKN60-AKN48*(AnnualChurn*VLOOKUP(AJZ60,ChurnSeasonTable,4,FALSE))*POWER(1-(AnnualChurn*VLOOKUP(AJZ60,ChurnSeasonTable,4,FALSE)),0)+AKN36*(AnnualChurn*VLOOKUP(AJZ60,ChurnSeasonTable,4,FALSE))*POWER(1-(AnnualChurn*VLOOKUP(AJZ60,ChurnSeasonTable,4,FALSE)),1)+AKN24*(AnnualChurn*VLOOKUP(AJZ60,ChurnSeasonTable,4,FALSE))*POWER(1-(AnnualChurn*VLOOKUP(AJZ60,ChurnSeasonTable,4,FALSE)),2)+AKN12*(AnnualChurn*VLOOKUP(AJZ60,ChurnSeasonTable,4,FALSE))*POWER(1-(AnnualChurn*VLOOKUP(AJZ60,ChurnSeasonTable,4,FALSE)),3)</f>
        <v/>
      </c>
      <c r="AKU60" s="12">
        <f>AKU59+AKO60-AKO48*(AnnualChurn*VLOOKUP(AJZ60,ChurnSeasonTable,4,FALSE))*POWER(1-(AnnualChurn*VLOOKUP(AJZ60,ChurnSeasonTable,4,FALSE)),0)+AKO36*(AnnualChurn*VLOOKUP(AJZ60,ChurnSeasonTable,4,FALSE))*POWER(1-(AnnualChurn*VLOOKUP(AJZ60,ChurnSeasonTable,4,FALSE)),1)+AKO24*(AnnualChurn*VLOOKUP(AJZ60,ChurnSeasonTable,4,FALSE))*POWER(1-(AnnualChurn*VLOOKUP(AJZ60,ChurnSeasonTable,4,FALSE)),2)+AKO12*(AnnualChurn*VLOOKUP(AJZ60,ChurnSeasonTable,4,FALSE))*POWER(1-(AnnualChurn*VLOOKUP(AJZ60,ChurnSeasonTable,4,FALSE)),3)</f>
        <v/>
      </c>
      <c r="AKV60" s="12">
        <f>AKV59+AKP60-AKP48*(AnnualChurn*VLOOKUP(AJZ60,ChurnSeasonTable,4,FALSE))*POWER(1-(AnnualChurn*VLOOKUP(AJZ60,ChurnSeasonTable,4,FALSE)),0)+AKP36*(AnnualChurn*VLOOKUP(AJZ60,ChurnSeasonTable,4,FALSE))*POWER(1-(AnnualChurn*VLOOKUP(AJZ60,ChurnSeasonTable,4,FALSE)),1)+AKP24*(AnnualChurn*VLOOKUP(AJZ60,ChurnSeasonTable,4,FALSE))*POWER(1-(AnnualChurn*VLOOKUP(AJZ60,ChurnSeasonTable,4,FALSE)),2)+AKP12*(AnnualChurn*VLOOKUP(AJZ60,ChurnSeasonTable,4,FALSE))*POWER(1-(AnnualChurn*VLOOKUP(AJZ60,ChurnSeasonTable,4,FALSE)),3)</f>
        <v/>
      </c>
      <c r="AKW60" s="12">
        <f>AKQ60+AKR60+AKS60+AKT60+AKU60+AKV60</f>
        <v/>
      </c>
      <c r="AKX60" s="9">
        <f>AKQ60*BlendedPriceEssMonthly*AKC60+AKR60*BlendedPricePremMonthly*AKC60+AKS60*BlendedPriceEliteMonthly*AKC60+AKT60*BlendedPriceEssAnnual*AKC60/12+AKU60*BlendedPricePremAnnual*AKC60/12+AKV60*BlendedPriceEliteAnnual*AKC60/12</f>
        <v/>
      </c>
      <c r="AKY60" s="9">
        <f>AKX60*12</f>
        <v/>
      </c>
      <c r="AKZ60" s="12">
        <f>AKQ60*BlendedPriceEssMonthly*AKC60+AKR60*BlendedPricePremMonthly*AKC60+AKS60*BlendedPriceEliteMonthly*AKC60</f>
        <v/>
      </c>
      <c r="ALA60" s="12">
        <f>AKN60*BlendedPriceEssAnnual*AKC60+AKO60*BlendedPricePremAnnual*AKC60+AKP60*BlendedPriceEliteAnnual*AKC60</f>
        <v/>
      </c>
      <c r="ALB60" s="12">
        <f>AKN48*POWER(1-(AnnualChurn*VLOOKUP(AJZ60,ChurnSeasonTable,4,FALSE)),1)*BlendedPriceEssAnnual*AKC60+AKN36*POWER(1-(AnnualChurn*VLOOKUP(AJZ60,ChurnSeasonTable,4,FALSE)),2)*BlendedPriceEssAnnual*AKC60+AKN24*POWER(1-(AnnualChurn*VLOOKUP(AJZ60,ChurnSeasonTable,4,FALSE)),3)*BlendedPriceEssAnnual*AKC60+AKN12*POWER(1-(AnnualChurn*VLOOKUP(AJZ60,ChurnSeasonTable,4,FALSE)),4)*BlendedPriceEssAnnual*AKC60+AKO48*POWER(1-(AnnualChurn*VLOOKUP(AJZ60,ChurnSeasonTable,4,FALSE)),1)*BlendedPricePremAnnual*AKC60+AKO36*POWER(1-(AnnualChurn*VLOOKUP(AJZ60,ChurnSeasonTable,4,FALSE)),2)*BlendedPricePremAnnual*AKC60+AKO24*POWER(1-(AnnualChurn*VLOOKUP(AJZ60,ChurnSeasonTable,4,FALSE)),3)*BlendedPricePremAnnual*AKC60+AKO12*POWER(1-(AnnualChurn*VLOOKUP(AJZ60,ChurnSeasonTable,4,FALSE)),4)*BlendedPricePremAnnual*AKC60+AKP48*POWER(1-(AnnualChurn*VLOOKUP(AJZ60,ChurnSeasonTable,4,FALSE)),1)*BlendedPriceEliteAnnual*AKC60+AKP36*POWER(1-(AnnualChurn*VLOOKUP(AJZ60,ChurnSeasonTable,4,FALSE)),2)*BlendedPriceEliteAnnual*AKC60+AKP24*POWER(1-(AnnualChurn*VLOOKUP(AJZ60,ChurnSeasonTable,4,FALSE)),3)*BlendedPriceEliteAnnual*AKC60+AKP12*POWER(1-(AnnualChurn*VLOOKUP(AJZ60,ChurnSeasonTable,4,FALSE)),4)*BlendedPriceEliteAnnual*AKC60</f>
        <v/>
      </c>
      <c r="ALC60" s="9">
        <f>AKZ60+ALA60+ALB60</f>
        <v/>
      </c>
      <c r="ALD60" s="12">
        <f>SUM(ALC49:ALC60)</f>
        <v/>
      </c>
      <c r="ALE60" s="12">
        <f>OR(ALE59,IF(VATAgentMode,SUM($ALC49:$ALC60)-SUM($ALJ49:$ALJ60)&gt;=VATThreshold,SUM($ALC49:$ALC60)&gt;=VATThreshold))</f>
        <v/>
      </c>
      <c r="ALF60" s="9">
        <f>IF(ALE60,IF(VATAgentMode,ALC60-((ALC60-ALJ60)-(ALC60-ALJ60)/(1+VATRate)),ALC60/(1+VATRate)),ALC60)</f>
        <v/>
      </c>
      <c r="ALG60" s="12">
        <f>ALC60-ALF60</f>
        <v/>
      </c>
      <c r="ALH60" s="12">
        <f>IF(ALE60=0,0,IF(AJZ60=1,SUMPRODUCT(--(($AKA$5:$AKA60=$AKA60-1)*($AJZ$5:$AJZ60&gt;=10)*($AJZ$5:$AJZ60&lt;=12)),$ALG$5:$ALG60),IF(AJZ60=4,SUMPRODUCT(--(($AKA$5:$AKA60=$AKA60)*($AJZ$5:$AJZ60&gt;=1)*($AJZ$5:$AJZ60&lt;=3)),$ALG$5:$ALG60),IF(AJZ60=7,SUMPRODUCT(--(($AKA$5:$AKA60=$AKA60)*($AJZ$5:$AJZ60&gt;=4)*($AJZ$5:$AJZ60&lt;=6)),$ALG$5:$ALG60),IF(AJZ60=10,SUMPRODUCT(--(($AKA$5:$AKA60=$AKA60)*($AJZ$5:$AJZ60&gt;=7)*($AJZ$5:$AJZ60&lt;=9)),$ALG$5:$ALG60),0)))))</f>
        <v/>
      </c>
      <c r="ALI60" s="12">
        <f>ALI59+ALG60-ALH60</f>
        <v/>
      </c>
      <c r="ALJ60" s="12">
        <f>IF(ProviderDelay&gt;=1,AKQ59*BlendedProvPayEss+AKR59*BlendedProvPayPrem+AKS59*BlendedProvPayElite+AKT59*BlendedProvPayEss+AKU59*BlendedProvPayPrem+AKV59*BlendedProvPayElite,AKQ60*BlendedProvPayEss+AKR60*BlendedProvPayPrem+AKS60*BlendedProvPayElite+AKT60*BlendedProvPayEss+AKU60*BlendedProvPayPrem+AKV60*BlendedProvPayElite)</f>
        <v/>
      </c>
      <c r="ALK60" s="12">
        <f>ALC60*PaymentFee</f>
        <v/>
      </c>
      <c r="ALL60" s="12">
        <f>AKW60*OpsAI</f>
        <v/>
      </c>
      <c r="ALM60" s="12">
        <f>MonthlyFixed</f>
        <v/>
      </c>
      <c r="ALN60" s="12">
        <f>AKG60*ReferralReward</f>
        <v/>
      </c>
      <c r="ALO60" s="12">
        <f>AKE60</f>
        <v/>
      </c>
      <c r="ALP60" s="9">
        <f>ALF60-ALJ60-ALK60-ALL60-ALM60-ALN60-ALO60</f>
        <v/>
      </c>
      <c r="ALQ60" s="9">
        <f>ALQ59+ALC60-(ALJ60+ALK60+ALL60+ALM60+ALN60+ALO60+ALH60)</f>
        <v/>
      </c>
      <c r="ALR60" s="12">
        <f>IF(AKW60&gt;0,AKX60/AKW60,0)</f>
        <v/>
      </c>
      <c r="ALS60" s="11">
        <f>IF(AKW59&gt;0,MAX(0,(AKW59+AKH60-AKW60)/AKW59),0)</f>
        <v/>
      </c>
      <c r="ALU60" s="12" t="n">
        <v>56</v>
      </c>
      <c r="ALV60" s="12">
        <f>MOD(ALU60-1+LaunchMonth-1,12)+1</f>
        <v/>
      </c>
      <c r="ALW60" s="12">
        <f>INT((ALU60-1+LaunchMonth-1)/12)+1</f>
        <v/>
      </c>
      <c r="ALX60" s="12">
        <f>VLOOKUP(ALV60,SeasonTable,2,FALSE)</f>
        <v/>
      </c>
      <c r="ALY60" s="12">
        <f>(1+InflationRate)^INT((ALU60-1)/12)</f>
        <v/>
      </c>
      <c r="ALZ60" s="11">
        <f>MonthlyChurn*VLOOKUP(ALV60,ChurnSeasonTable,4,FALSE)</f>
        <v/>
      </c>
      <c r="AMA60" s="12">
        <f>MIN(MAX(MktMin19plus,AMY59*MktPct19plus),MAX(0,ANM59-CashBuffer))</f>
        <v/>
      </c>
      <c r="AMB60" s="12">
        <f>IF(AMA60&gt;0,MAX(1,ROUND(AMA60/'Sens - CAC &amp; Marketing'!$A$11*ALX60,0)),0)</f>
        <v/>
      </c>
      <c r="AMC60" s="12">
        <f>IF(AMB60&gt;0,ROUND(AMB60*ReferralMix/(1-ReferralMix),0),0)</f>
        <v/>
      </c>
      <c r="AMD60" s="12">
        <f>AMB60+AMC60</f>
        <v/>
      </c>
      <c r="AME60" s="12">
        <f>ROUND(AMD60*(1-AnnualMix),0)</f>
        <v/>
      </c>
      <c r="AMF60" s="12">
        <f>AMD60-AME60</f>
        <v/>
      </c>
      <c r="AMG60" s="12">
        <f>ROUND(AME60*EssentialMix,0)</f>
        <v/>
      </c>
      <c r="AMH60" s="12">
        <f>ROUND(AME60*PremiumMix,0)</f>
        <v/>
      </c>
      <c r="AMI60" s="12">
        <f>AME60-AMG60-AMH60</f>
        <v/>
      </c>
      <c r="AMJ60" s="12">
        <f>ROUND(AMF60*EssentialMix,0)</f>
        <v/>
      </c>
      <c r="AMK60" s="12">
        <f>ROUND(AMF60*PremiumMix,0)</f>
        <v/>
      </c>
      <c r="AML60" s="12">
        <f>AMF60-AMJ60-AMK60</f>
        <v/>
      </c>
      <c r="AMM60" s="12">
        <f>AMG60+AMG59+AMG58+MAX(0,AMM59-AMG59-AMG58)*(1-ALZ60)</f>
        <v/>
      </c>
      <c r="AMN60" s="12">
        <f>AMH60+AMH59+AMH58+MAX(0,AMN59-AMH59-AMH58)*(1-ALZ60)</f>
        <v/>
      </c>
      <c r="AMO60" s="12">
        <f>AMI60+AMI59+AMI58+MAX(0,AMO59-AMI59-AMI58)*(1-ALZ60)</f>
        <v/>
      </c>
      <c r="AMP60" s="12">
        <f>AMP59+AMJ60-AMJ48*(AnnualChurn*VLOOKUP(ALV60,ChurnSeasonTable,4,FALSE))*POWER(1-(AnnualChurn*VLOOKUP(ALV60,ChurnSeasonTable,4,FALSE)),0)+AMJ36*(AnnualChurn*VLOOKUP(ALV60,ChurnSeasonTable,4,FALSE))*POWER(1-(AnnualChurn*VLOOKUP(ALV60,ChurnSeasonTable,4,FALSE)),1)+AMJ24*(AnnualChurn*VLOOKUP(ALV60,ChurnSeasonTable,4,FALSE))*POWER(1-(AnnualChurn*VLOOKUP(ALV60,ChurnSeasonTable,4,FALSE)),2)+AMJ12*(AnnualChurn*VLOOKUP(ALV60,ChurnSeasonTable,4,FALSE))*POWER(1-(AnnualChurn*VLOOKUP(ALV60,ChurnSeasonTable,4,FALSE)),3)</f>
        <v/>
      </c>
      <c r="AMQ60" s="12">
        <f>AMQ59+AMK60-AMK48*(AnnualChurn*VLOOKUP(ALV60,ChurnSeasonTable,4,FALSE))*POWER(1-(AnnualChurn*VLOOKUP(ALV60,ChurnSeasonTable,4,FALSE)),0)+AMK36*(AnnualChurn*VLOOKUP(ALV60,ChurnSeasonTable,4,FALSE))*POWER(1-(AnnualChurn*VLOOKUP(ALV60,ChurnSeasonTable,4,FALSE)),1)+AMK24*(AnnualChurn*VLOOKUP(ALV60,ChurnSeasonTable,4,FALSE))*POWER(1-(AnnualChurn*VLOOKUP(ALV60,ChurnSeasonTable,4,FALSE)),2)+AMK12*(AnnualChurn*VLOOKUP(ALV60,ChurnSeasonTable,4,FALSE))*POWER(1-(AnnualChurn*VLOOKUP(ALV60,ChurnSeasonTable,4,FALSE)),3)</f>
        <v/>
      </c>
      <c r="AMR60" s="12">
        <f>AMR59+AML60-AML48*(AnnualChurn*VLOOKUP(ALV60,ChurnSeasonTable,4,FALSE))*POWER(1-(AnnualChurn*VLOOKUP(ALV60,ChurnSeasonTable,4,FALSE)),0)+AML36*(AnnualChurn*VLOOKUP(ALV60,ChurnSeasonTable,4,FALSE))*POWER(1-(AnnualChurn*VLOOKUP(ALV60,ChurnSeasonTable,4,FALSE)),1)+AML24*(AnnualChurn*VLOOKUP(ALV60,ChurnSeasonTable,4,FALSE))*POWER(1-(AnnualChurn*VLOOKUP(ALV60,ChurnSeasonTable,4,FALSE)),2)+AML12*(AnnualChurn*VLOOKUP(ALV60,ChurnSeasonTable,4,FALSE))*POWER(1-(AnnualChurn*VLOOKUP(ALV60,ChurnSeasonTable,4,FALSE)),3)</f>
        <v/>
      </c>
      <c r="AMS60" s="12">
        <f>AMM60+AMN60+AMO60+AMP60+AMQ60+AMR60</f>
        <v/>
      </c>
      <c r="AMT60" s="9">
        <f>AMM60*BlendedPriceEssMonthly*ALY60+AMN60*BlendedPricePremMonthly*ALY60+AMO60*BlendedPriceEliteMonthly*ALY60+AMP60*BlendedPriceEssAnnual*ALY60/12+AMQ60*BlendedPricePremAnnual*ALY60/12+AMR60*BlendedPriceEliteAnnual*ALY60/12</f>
        <v/>
      </c>
      <c r="AMU60" s="9">
        <f>AMT60*12</f>
        <v/>
      </c>
      <c r="AMV60" s="12">
        <f>AMM60*BlendedPriceEssMonthly*ALY60+AMN60*BlendedPricePremMonthly*ALY60+AMO60*BlendedPriceEliteMonthly*ALY60</f>
        <v/>
      </c>
      <c r="AMW60" s="12">
        <f>AMJ60*BlendedPriceEssAnnual*ALY60+AMK60*BlendedPricePremAnnual*ALY60+AML60*BlendedPriceEliteAnnual*ALY60</f>
        <v/>
      </c>
      <c r="AMX60" s="12">
        <f>AMJ48*POWER(1-(AnnualChurn*VLOOKUP(ALV60,ChurnSeasonTable,4,FALSE)),1)*BlendedPriceEssAnnual*ALY60+AMJ36*POWER(1-(AnnualChurn*VLOOKUP(ALV60,ChurnSeasonTable,4,FALSE)),2)*BlendedPriceEssAnnual*ALY60+AMJ24*POWER(1-(AnnualChurn*VLOOKUP(ALV60,ChurnSeasonTable,4,FALSE)),3)*BlendedPriceEssAnnual*ALY60+AMJ12*POWER(1-(AnnualChurn*VLOOKUP(ALV60,ChurnSeasonTable,4,FALSE)),4)*BlendedPriceEssAnnual*ALY60+AMK48*POWER(1-(AnnualChurn*VLOOKUP(ALV60,ChurnSeasonTable,4,FALSE)),1)*BlendedPricePremAnnual*ALY60+AMK36*POWER(1-(AnnualChurn*VLOOKUP(ALV60,ChurnSeasonTable,4,FALSE)),2)*BlendedPricePremAnnual*ALY60+AMK24*POWER(1-(AnnualChurn*VLOOKUP(ALV60,ChurnSeasonTable,4,FALSE)),3)*BlendedPricePremAnnual*ALY60+AMK12*POWER(1-(AnnualChurn*VLOOKUP(ALV60,ChurnSeasonTable,4,FALSE)),4)*BlendedPricePremAnnual*ALY60+AML48*POWER(1-(AnnualChurn*VLOOKUP(ALV60,ChurnSeasonTable,4,FALSE)),1)*BlendedPriceEliteAnnual*ALY60+AML36*POWER(1-(AnnualChurn*VLOOKUP(ALV60,ChurnSeasonTable,4,FALSE)),2)*BlendedPriceEliteAnnual*ALY60+AML24*POWER(1-(AnnualChurn*VLOOKUP(ALV60,ChurnSeasonTable,4,FALSE)),3)*BlendedPriceEliteAnnual*ALY60+AML12*POWER(1-(AnnualChurn*VLOOKUP(ALV60,ChurnSeasonTable,4,FALSE)),4)*BlendedPriceEliteAnnual*ALY60</f>
        <v/>
      </c>
      <c r="AMY60" s="9">
        <f>AMV60+AMW60+AMX60</f>
        <v/>
      </c>
      <c r="AMZ60" s="12">
        <f>SUM(AMY49:AMY60)</f>
        <v/>
      </c>
      <c r="ANA60" s="12">
        <f>OR(ANA59,IF(VATAgentMode,SUM($AMY49:$AMY60)-SUM($ANF49:$ANF60)&gt;=VATThreshold,SUM($AMY49:$AMY60)&gt;=VATThreshold))</f>
        <v/>
      </c>
      <c r="ANB60" s="9">
        <f>IF(ANA60,IF(VATAgentMode,AMY60-((AMY60-ANF60)-(AMY60-ANF60)/(1+VATRate)),AMY60/(1+VATRate)),AMY60)</f>
        <v/>
      </c>
      <c r="ANC60" s="12">
        <f>AMY60-ANB60</f>
        <v/>
      </c>
      <c r="AND60" s="12">
        <f>IF(ANA60=0,0,IF(ALV60=1,SUMPRODUCT(--(($ALW$5:$ALW60=$ALW60-1)*($ALV$5:$ALV60&gt;=10)*($ALV$5:$ALV60&lt;=12)),$ANC$5:$ANC60),IF(ALV60=4,SUMPRODUCT(--(($ALW$5:$ALW60=$ALW60)*($ALV$5:$ALV60&gt;=1)*($ALV$5:$ALV60&lt;=3)),$ANC$5:$ANC60),IF(ALV60=7,SUMPRODUCT(--(($ALW$5:$ALW60=$ALW60)*($ALV$5:$ALV60&gt;=4)*($ALV$5:$ALV60&lt;=6)),$ANC$5:$ANC60),IF(ALV60=10,SUMPRODUCT(--(($ALW$5:$ALW60=$ALW60)*($ALV$5:$ALV60&gt;=7)*($ALV$5:$ALV60&lt;=9)),$ANC$5:$ANC60),0)))))</f>
        <v/>
      </c>
      <c r="ANE60" s="12">
        <f>ANE59+ANC60-AND60</f>
        <v/>
      </c>
      <c r="ANF60" s="12">
        <f>IF(ProviderDelay&gt;=1,AMM59*BlendedProvPayEss+AMN59*BlendedProvPayPrem+AMO59*BlendedProvPayElite+AMP59*BlendedProvPayEss+AMQ59*BlendedProvPayPrem+AMR59*BlendedProvPayElite,AMM60*BlendedProvPayEss+AMN60*BlendedProvPayPrem+AMO60*BlendedProvPayElite+AMP60*BlendedProvPayEss+AMQ60*BlendedProvPayPrem+AMR60*BlendedProvPayElite)</f>
        <v/>
      </c>
      <c r="ANG60" s="12">
        <f>AMY60*PaymentFee</f>
        <v/>
      </c>
      <c r="ANH60" s="12">
        <f>AMS60*OpsAI</f>
        <v/>
      </c>
      <c r="ANI60" s="12">
        <f>MonthlyFixed</f>
        <v/>
      </c>
      <c r="ANJ60" s="12">
        <f>AMC60*ReferralReward</f>
        <v/>
      </c>
      <c r="ANK60" s="12">
        <f>AMA60</f>
        <v/>
      </c>
      <c r="ANL60" s="9">
        <f>ANB60-ANF60-ANG60-ANH60-ANI60-ANJ60-ANK60</f>
        <v/>
      </c>
      <c r="ANM60" s="9">
        <f>ANM59+AMY60-(ANF60+ANG60+ANH60+ANI60+ANJ60+ANK60+AND60)</f>
        <v/>
      </c>
      <c r="ANN60" s="12">
        <f>IF(AMS60&gt;0,AMT60/AMS60,0)</f>
        <v/>
      </c>
      <c r="ANO60" s="11">
        <f>IF(AMS59&gt;0,MAX(0,(AMS59+AMD60-AMS60)/AMS59),0)</f>
        <v/>
      </c>
      <c r="ANQ60" s="12" t="n">
        <v>56</v>
      </c>
      <c r="ANR60" s="12">
        <f>MOD(ANQ60-1+LaunchMonth-1,12)+1</f>
        <v/>
      </c>
      <c r="ANS60" s="12">
        <f>INT((ANQ60-1+LaunchMonth-1)/12)+1</f>
        <v/>
      </c>
      <c r="ANT60" s="12">
        <f>VLOOKUP(ANR60,SeasonTable,2,FALSE)</f>
        <v/>
      </c>
      <c r="ANU60" s="12">
        <f>(1+InflationRate)^INT((ANQ60-1)/12)</f>
        <v/>
      </c>
      <c r="ANV60" s="11">
        <f>MonthlyChurn*VLOOKUP(ANR60,ChurnSeasonTable,4,FALSE)</f>
        <v/>
      </c>
      <c r="ANW60" s="12">
        <f>MIN(MAX(MktMin19plus,AOU59*MktPct19plus),MAX(0,API59-CashBuffer))</f>
        <v/>
      </c>
      <c r="ANX60" s="12">
        <f>IF(ANW60&gt;0,MAX(1,ROUND(ANW60/'Sens - CAC &amp; Marketing'!$A$12*ANT60,0)),0)</f>
        <v/>
      </c>
      <c r="ANY60" s="12">
        <f>IF(ANX60&gt;0,ROUND(ANX60*ReferralMix/(1-ReferralMix),0),0)</f>
        <v/>
      </c>
      <c r="ANZ60" s="12">
        <f>ANX60+ANY60</f>
        <v/>
      </c>
      <c r="AOA60" s="12">
        <f>ROUND(ANZ60*(1-AnnualMix),0)</f>
        <v/>
      </c>
      <c r="AOB60" s="12">
        <f>ANZ60-AOA60</f>
        <v/>
      </c>
      <c r="AOC60" s="12">
        <f>ROUND(AOA60*EssentialMix,0)</f>
        <v/>
      </c>
      <c r="AOD60" s="12">
        <f>ROUND(AOA60*PremiumMix,0)</f>
        <v/>
      </c>
      <c r="AOE60" s="12">
        <f>AOA60-AOC60-AOD60</f>
        <v/>
      </c>
      <c r="AOF60" s="12">
        <f>ROUND(AOB60*EssentialMix,0)</f>
        <v/>
      </c>
      <c r="AOG60" s="12">
        <f>ROUND(AOB60*PremiumMix,0)</f>
        <v/>
      </c>
      <c r="AOH60" s="12">
        <f>AOB60-AOF60-AOG60</f>
        <v/>
      </c>
      <c r="AOI60" s="12">
        <f>AOC60+AOC59+AOC58+MAX(0,AOI59-AOC59-AOC58)*(1-ANV60)</f>
        <v/>
      </c>
      <c r="AOJ60" s="12">
        <f>AOD60+AOD59+AOD58+MAX(0,AOJ59-AOD59-AOD58)*(1-ANV60)</f>
        <v/>
      </c>
      <c r="AOK60" s="12">
        <f>AOE60+AOE59+AOE58+MAX(0,AOK59-AOE59-AOE58)*(1-ANV60)</f>
        <v/>
      </c>
      <c r="AOL60" s="12">
        <f>AOL59+AOF60-AOF48*(AnnualChurn*VLOOKUP(ANR60,ChurnSeasonTable,4,FALSE))*POWER(1-(AnnualChurn*VLOOKUP(ANR60,ChurnSeasonTable,4,FALSE)),0)+AOF36*(AnnualChurn*VLOOKUP(ANR60,ChurnSeasonTable,4,FALSE))*POWER(1-(AnnualChurn*VLOOKUP(ANR60,ChurnSeasonTable,4,FALSE)),1)+AOF24*(AnnualChurn*VLOOKUP(ANR60,ChurnSeasonTable,4,FALSE))*POWER(1-(AnnualChurn*VLOOKUP(ANR60,ChurnSeasonTable,4,FALSE)),2)+AOF12*(AnnualChurn*VLOOKUP(ANR60,ChurnSeasonTable,4,FALSE))*POWER(1-(AnnualChurn*VLOOKUP(ANR60,ChurnSeasonTable,4,FALSE)),3)</f>
        <v/>
      </c>
      <c r="AOM60" s="12">
        <f>AOM59+AOG60-AOG48*(AnnualChurn*VLOOKUP(ANR60,ChurnSeasonTable,4,FALSE))*POWER(1-(AnnualChurn*VLOOKUP(ANR60,ChurnSeasonTable,4,FALSE)),0)+AOG36*(AnnualChurn*VLOOKUP(ANR60,ChurnSeasonTable,4,FALSE))*POWER(1-(AnnualChurn*VLOOKUP(ANR60,ChurnSeasonTable,4,FALSE)),1)+AOG24*(AnnualChurn*VLOOKUP(ANR60,ChurnSeasonTable,4,FALSE))*POWER(1-(AnnualChurn*VLOOKUP(ANR60,ChurnSeasonTable,4,FALSE)),2)+AOG12*(AnnualChurn*VLOOKUP(ANR60,ChurnSeasonTable,4,FALSE))*POWER(1-(AnnualChurn*VLOOKUP(ANR60,ChurnSeasonTable,4,FALSE)),3)</f>
        <v/>
      </c>
      <c r="AON60" s="12">
        <f>AON59+AOH60-AOH48*(AnnualChurn*VLOOKUP(ANR60,ChurnSeasonTable,4,FALSE))*POWER(1-(AnnualChurn*VLOOKUP(ANR60,ChurnSeasonTable,4,FALSE)),0)+AOH36*(AnnualChurn*VLOOKUP(ANR60,ChurnSeasonTable,4,FALSE))*POWER(1-(AnnualChurn*VLOOKUP(ANR60,ChurnSeasonTable,4,FALSE)),1)+AOH24*(AnnualChurn*VLOOKUP(ANR60,ChurnSeasonTable,4,FALSE))*POWER(1-(AnnualChurn*VLOOKUP(ANR60,ChurnSeasonTable,4,FALSE)),2)+AOH12*(AnnualChurn*VLOOKUP(ANR60,ChurnSeasonTable,4,FALSE))*POWER(1-(AnnualChurn*VLOOKUP(ANR60,ChurnSeasonTable,4,FALSE)),3)</f>
        <v/>
      </c>
      <c r="AOO60" s="12">
        <f>AOI60+AOJ60+AOK60+AOL60+AOM60+AON60</f>
        <v/>
      </c>
      <c r="AOP60" s="9">
        <f>AOI60*BlendedPriceEssMonthly*ANU60+AOJ60*BlendedPricePremMonthly*ANU60+AOK60*BlendedPriceEliteMonthly*ANU60+AOL60*BlendedPriceEssAnnual*ANU60/12+AOM60*BlendedPricePremAnnual*ANU60/12+AON60*BlendedPriceEliteAnnual*ANU60/12</f>
        <v/>
      </c>
      <c r="AOQ60" s="9">
        <f>AOP60*12</f>
        <v/>
      </c>
      <c r="AOR60" s="12">
        <f>AOI60*BlendedPriceEssMonthly*ANU60+AOJ60*BlendedPricePremMonthly*ANU60+AOK60*BlendedPriceEliteMonthly*ANU60</f>
        <v/>
      </c>
      <c r="AOS60" s="12">
        <f>AOF60*BlendedPriceEssAnnual*ANU60+AOG60*BlendedPricePremAnnual*ANU60+AOH60*BlendedPriceEliteAnnual*ANU60</f>
        <v/>
      </c>
      <c r="AOT60" s="12">
        <f>AOF48*POWER(1-(AnnualChurn*VLOOKUP(ANR60,ChurnSeasonTable,4,FALSE)),1)*BlendedPriceEssAnnual*ANU60+AOF36*POWER(1-(AnnualChurn*VLOOKUP(ANR60,ChurnSeasonTable,4,FALSE)),2)*BlendedPriceEssAnnual*ANU60+AOF24*POWER(1-(AnnualChurn*VLOOKUP(ANR60,ChurnSeasonTable,4,FALSE)),3)*BlendedPriceEssAnnual*ANU60+AOF12*POWER(1-(AnnualChurn*VLOOKUP(ANR60,ChurnSeasonTable,4,FALSE)),4)*BlendedPriceEssAnnual*ANU60+AOG48*POWER(1-(AnnualChurn*VLOOKUP(ANR60,ChurnSeasonTable,4,FALSE)),1)*BlendedPricePremAnnual*ANU60+AOG36*POWER(1-(AnnualChurn*VLOOKUP(ANR60,ChurnSeasonTable,4,FALSE)),2)*BlendedPricePremAnnual*ANU60+AOG24*POWER(1-(AnnualChurn*VLOOKUP(ANR60,ChurnSeasonTable,4,FALSE)),3)*BlendedPricePremAnnual*ANU60+AOG12*POWER(1-(AnnualChurn*VLOOKUP(ANR60,ChurnSeasonTable,4,FALSE)),4)*BlendedPricePremAnnual*ANU60+AOH48*POWER(1-(AnnualChurn*VLOOKUP(ANR60,ChurnSeasonTable,4,FALSE)),1)*BlendedPriceEliteAnnual*ANU60+AOH36*POWER(1-(AnnualChurn*VLOOKUP(ANR60,ChurnSeasonTable,4,FALSE)),2)*BlendedPriceEliteAnnual*ANU60+AOH24*POWER(1-(AnnualChurn*VLOOKUP(ANR60,ChurnSeasonTable,4,FALSE)),3)*BlendedPriceEliteAnnual*ANU60+AOH12*POWER(1-(AnnualChurn*VLOOKUP(ANR60,ChurnSeasonTable,4,FALSE)),4)*BlendedPriceEliteAnnual*ANU60</f>
        <v/>
      </c>
      <c r="AOU60" s="9">
        <f>AOR60+AOS60+AOT60</f>
        <v/>
      </c>
      <c r="AOV60" s="12">
        <f>SUM(AOU49:AOU60)</f>
        <v/>
      </c>
      <c r="AOW60" s="12">
        <f>OR(AOW59,IF(VATAgentMode,SUM($AOU49:$AOU60)-SUM($APB49:$APB60)&gt;=VATThreshold,SUM($AOU49:$AOU60)&gt;=VATThreshold))</f>
        <v/>
      </c>
      <c r="AOX60" s="9">
        <f>IF(AOW60,IF(VATAgentMode,AOU60-((AOU60-APB60)-(AOU60-APB60)/(1+VATRate)),AOU60/(1+VATRate)),AOU60)</f>
        <v/>
      </c>
      <c r="AOY60" s="12">
        <f>AOU60-AOX60</f>
        <v/>
      </c>
      <c r="AOZ60" s="12">
        <f>IF(AOW60=0,0,IF(ANR60=1,SUMPRODUCT(--(($ANS$5:$ANS60=$ANS60-1)*($ANR$5:$ANR60&gt;=10)*($ANR$5:$ANR60&lt;=12)),$AOY$5:$AOY60),IF(ANR60=4,SUMPRODUCT(--(($ANS$5:$ANS60=$ANS60)*($ANR$5:$ANR60&gt;=1)*($ANR$5:$ANR60&lt;=3)),$AOY$5:$AOY60),IF(ANR60=7,SUMPRODUCT(--(($ANS$5:$ANS60=$ANS60)*($ANR$5:$ANR60&gt;=4)*($ANR$5:$ANR60&lt;=6)),$AOY$5:$AOY60),IF(ANR60=10,SUMPRODUCT(--(($ANS$5:$ANS60=$ANS60)*($ANR$5:$ANR60&gt;=7)*($ANR$5:$ANR60&lt;=9)),$AOY$5:$AOY60),0)))))</f>
        <v/>
      </c>
      <c r="APA60" s="12">
        <f>APA59+AOY60-AOZ60</f>
        <v/>
      </c>
      <c r="APB60" s="12">
        <f>IF(ProviderDelay&gt;=1,AOI59*BlendedProvPayEss+AOJ59*BlendedProvPayPrem+AOK59*BlendedProvPayElite+AOL59*BlendedProvPayEss+AOM59*BlendedProvPayPrem+AON59*BlendedProvPayElite,AOI60*BlendedProvPayEss+AOJ60*BlendedProvPayPrem+AOK60*BlendedProvPayElite+AOL60*BlendedProvPayEss+AOM60*BlendedProvPayPrem+AON60*BlendedProvPayElite)</f>
        <v/>
      </c>
      <c r="APC60" s="12">
        <f>AOU60*PaymentFee</f>
        <v/>
      </c>
      <c r="APD60" s="12">
        <f>AOO60*OpsAI</f>
        <v/>
      </c>
      <c r="APE60" s="12">
        <f>MonthlyFixed</f>
        <v/>
      </c>
      <c r="APF60" s="12">
        <f>ANY60*ReferralReward</f>
        <v/>
      </c>
      <c r="APG60" s="12">
        <f>ANW60</f>
        <v/>
      </c>
      <c r="APH60" s="9">
        <f>AOX60-APB60-APC60-APD60-APE60-APF60-APG60</f>
        <v/>
      </c>
      <c r="API60" s="9">
        <f>API59+AOU60-(APB60+APC60+APD60+APE60+APF60+APG60+AOZ60)</f>
        <v/>
      </c>
      <c r="APJ60" s="12">
        <f>IF(AOO60&gt;0,AOP60/AOO60,0)</f>
        <v/>
      </c>
      <c r="APK60" s="11">
        <f>IF(AOO59&gt;0,MAX(0,(AOO59+ANZ60-AOO60)/AOO59),0)</f>
        <v/>
      </c>
      <c r="APM60" s="12" t="n">
        <v>56</v>
      </c>
      <c r="APN60" s="12">
        <f>MOD(APM60-1+LaunchMonth-1,12)+1</f>
        <v/>
      </c>
      <c r="APO60" s="12">
        <f>INT((APM60-1+LaunchMonth-1)/12)+1</f>
        <v/>
      </c>
      <c r="APP60" s="12">
        <f>VLOOKUP(APN60,SeasonTable,2,FALSE)</f>
        <v/>
      </c>
      <c r="APQ60" s="12">
        <f>(1+InflationRate)^INT((APM60-1)/12)</f>
        <v/>
      </c>
      <c r="APR60" s="11">
        <f>MonthlyChurn*VLOOKUP(APN60,ChurnSeasonTable,4,FALSE)</f>
        <v/>
      </c>
      <c r="APS60" s="12">
        <f>MIN(MAX(MktMin19plus,AQQ59*MktPct19plus),MAX(0,ARE59-CashBuffer))</f>
        <v/>
      </c>
      <c r="APT60" s="12">
        <f>IF(APS60&gt;0,MAX(1,ROUND(APS60/'Sens - CAC &amp; Marketing'!$A$13*APP60,0)),0)</f>
        <v/>
      </c>
      <c r="APU60" s="12">
        <f>IF(APT60&gt;0,ROUND(APT60*ReferralMix/(1-ReferralMix),0),0)</f>
        <v/>
      </c>
      <c r="APV60" s="12">
        <f>APT60+APU60</f>
        <v/>
      </c>
      <c r="APW60" s="12">
        <f>ROUND(APV60*(1-AnnualMix),0)</f>
        <v/>
      </c>
      <c r="APX60" s="12">
        <f>APV60-APW60</f>
        <v/>
      </c>
      <c r="APY60" s="12">
        <f>ROUND(APW60*EssentialMix,0)</f>
        <v/>
      </c>
      <c r="APZ60" s="12">
        <f>ROUND(APW60*PremiumMix,0)</f>
        <v/>
      </c>
      <c r="AQA60" s="12">
        <f>APW60-APY60-APZ60</f>
        <v/>
      </c>
      <c r="AQB60" s="12">
        <f>ROUND(APX60*EssentialMix,0)</f>
        <v/>
      </c>
      <c r="AQC60" s="12">
        <f>ROUND(APX60*PremiumMix,0)</f>
        <v/>
      </c>
      <c r="AQD60" s="12">
        <f>APX60-AQB60-AQC60</f>
        <v/>
      </c>
      <c r="AQE60" s="12">
        <f>APY60+APY59+APY58+MAX(0,AQE59-APY59-APY58)*(1-APR60)</f>
        <v/>
      </c>
      <c r="AQF60" s="12">
        <f>APZ60+APZ59+APZ58+MAX(0,AQF59-APZ59-APZ58)*(1-APR60)</f>
        <v/>
      </c>
      <c r="AQG60" s="12">
        <f>AQA60+AQA59+AQA58+MAX(0,AQG59-AQA59-AQA58)*(1-APR60)</f>
        <v/>
      </c>
      <c r="AQH60" s="12">
        <f>AQH59+AQB60-AQB48*(AnnualChurn*VLOOKUP(APN60,ChurnSeasonTable,4,FALSE))*POWER(1-(AnnualChurn*VLOOKUP(APN60,ChurnSeasonTable,4,FALSE)),0)+AQB36*(AnnualChurn*VLOOKUP(APN60,ChurnSeasonTable,4,FALSE))*POWER(1-(AnnualChurn*VLOOKUP(APN60,ChurnSeasonTable,4,FALSE)),1)+AQB24*(AnnualChurn*VLOOKUP(APN60,ChurnSeasonTable,4,FALSE))*POWER(1-(AnnualChurn*VLOOKUP(APN60,ChurnSeasonTable,4,FALSE)),2)+AQB12*(AnnualChurn*VLOOKUP(APN60,ChurnSeasonTable,4,FALSE))*POWER(1-(AnnualChurn*VLOOKUP(APN60,ChurnSeasonTable,4,FALSE)),3)</f>
        <v/>
      </c>
      <c r="AQI60" s="12">
        <f>AQI59+AQC60-AQC48*(AnnualChurn*VLOOKUP(APN60,ChurnSeasonTable,4,FALSE))*POWER(1-(AnnualChurn*VLOOKUP(APN60,ChurnSeasonTable,4,FALSE)),0)+AQC36*(AnnualChurn*VLOOKUP(APN60,ChurnSeasonTable,4,FALSE))*POWER(1-(AnnualChurn*VLOOKUP(APN60,ChurnSeasonTable,4,FALSE)),1)+AQC24*(AnnualChurn*VLOOKUP(APN60,ChurnSeasonTable,4,FALSE))*POWER(1-(AnnualChurn*VLOOKUP(APN60,ChurnSeasonTable,4,FALSE)),2)+AQC12*(AnnualChurn*VLOOKUP(APN60,ChurnSeasonTable,4,FALSE))*POWER(1-(AnnualChurn*VLOOKUP(APN60,ChurnSeasonTable,4,FALSE)),3)</f>
        <v/>
      </c>
      <c r="AQJ60" s="12">
        <f>AQJ59+AQD60-AQD48*(AnnualChurn*VLOOKUP(APN60,ChurnSeasonTable,4,FALSE))*POWER(1-(AnnualChurn*VLOOKUP(APN60,ChurnSeasonTable,4,FALSE)),0)+AQD36*(AnnualChurn*VLOOKUP(APN60,ChurnSeasonTable,4,FALSE))*POWER(1-(AnnualChurn*VLOOKUP(APN60,ChurnSeasonTable,4,FALSE)),1)+AQD24*(AnnualChurn*VLOOKUP(APN60,ChurnSeasonTable,4,FALSE))*POWER(1-(AnnualChurn*VLOOKUP(APN60,ChurnSeasonTable,4,FALSE)),2)+AQD12*(AnnualChurn*VLOOKUP(APN60,ChurnSeasonTable,4,FALSE))*POWER(1-(AnnualChurn*VLOOKUP(APN60,ChurnSeasonTable,4,FALSE)),3)</f>
        <v/>
      </c>
      <c r="AQK60" s="12">
        <f>AQE60+AQF60+AQG60+AQH60+AQI60+AQJ60</f>
        <v/>
      </c>
      <c r="AQL60" s="9">
        <f>AQE60*BlendedPriceEssMonthly*APQ60+AQF60*BlendedPricePremMonthly*APQ60+AQG60*BlendedPriceEliteMonthly*APQ60+AQH60*BlendedPriceEssAnnual*APQ60/12+AQI60*BlendedPricePremAnnual*APQ60/12+AQJ60*BlendedPriceEliteAnnual*APQ60/12</f>
        <v/>
      </c>
      <c r="AQM60" s="9">
        <f>AQL60*12</f>
        <v/>
      </c>
      <c r="AQN60" s="12">
        <f>AQE60*BlendedPriceEssMonthly*APQ60+AQF60*BlendedPricePremMonthly*APQ60+AQG60*BlendedPriceEliteMonthly*APQ60</f>
        <v/>
      </c>
      <c r="AQO60" s="12">
        <f>AQB60*BlendedPriceEssAnnual*APQ60+AQC60*BlendedPricePremAnnual*APQ60+AQD60*BlendedPriceEliteAnnual*APQ60</f>
        <v/>
      </c>
      <c r="AQP60" s="12">
        <f>AQB48*POWER(1-(AnnualChurn*VLOOKUP(APN60,ChurnSeasonTable,4,FALSE)),1)*BlendedPriceEssAnnual*APQ60+AQB36*POWER(1-(AnnualChurn*VLOOKUP(APN60,ChurnSeasonTable,4,FALSE)),2)*BlendedPriceEssAnnual*APQ60+AQB24*POWER(1-(AnnualChurn*VLOOKUP(APN60,ChurnSeasonTable,4,FALSE)),3)*BlendedPriceEssAnnual*APQ60+AQB12*POWER(1-(AnnualChurn*VLOOKUP(APN60,ChurnSeasonTable,4,FALSE)),4)*BlendedPriceEssAnnual*APQ60+AQC48*POWER(1-(AnnualChurn*VLOOKUP(APN60,ChurnSeasonTable,4,FALSE)),1)*BlendedPricePremAnnual*APQ60+AQC36*POWER(1-(AnnualChurn*VLOOKUP(APN60,ChurnSeasonTable,4,FALSE)),2)*BlendedPricePremAnnual*APQ60+AQC24*POWER(1-(AnnualChurn*VLOOKUP(APN60,ChurnSeasonTable,4,FALSE)),3)*BlendedPricePremAnnual*APQ60+AQC12*POWER(1-(AnnualChurn*VLOOKUP(APN60,ChurnSeasonTable,4,FALSE)),4)*BlendedPricePremAnnual*APQ60+AQD48*POWER(1-(AnnualChurn*VLOOKUP(APN60,ChurnSeasonTable,4,FALSE)),1)*BlendedPriceEliteAnnual*APQ60+AQD36*POWER(1-(AnnualChurn*VLOOKUP(APN60,ChurnSeasonTable,4,FALSE)),2)*BlendedPriceEliteAnnual*APQ60+AQD24*POWER(1-(AnnualChurn*VLOOKUP(APN60,ChurnSeasonTable,4,FALSE)),3)*BlendedPriceEliteAnnual*APQ60+AQD12*POWER(1-(AnnualChurn*VLOOKUP(APN60,ChurnSeasonTable,4,FALSE)),4)*BlendedPriceEliteAnnual*APQ60</f>
        <v/>
      </c>
      <c r="AQQ60" s="9">
        <f>AQN60+AQO60+AQP60</f>
        <v/>
      </c>
      <c r="AQR60" s="12">
        <f>SUM(AQQ49:AQQ60)</f>
        <v/>
      </c>
      <c r="AQS60" s="12">
        <f>OR(AQS59,IF(VATAgentMode,SUM($AQQ49:$AQQ60)-SUM($AQX49:$AQX60)&gt;=VATThreshold,SUM($AQQ49:$AQQ60)&gt;=VATThreshold))</f>
        <v/>
      </c>
      <c r="AQT60" s="9">
        <f>IF(AQS60,IF(VATAgentMode,AQQ60-((AQQ60-AQX60)-(AQQ60-AQX60)/(1+VATRate)),AQQ60/(1+VATRate)),AQQ60)</f>
        <v/>
      </c>
      <c r="AQU60" s="12">
        <f>AQQ60-AQT60</f>
        <v/>
      </c>
      <c r="AQV60" s="12">
        <f>IF(AQS60=0,0,IF(APN60=1,SUMPRODUCT(--(($APO$5:$APO60=$APO60-1)*($APN$5:$APN60&gt;=10)*($APN$5:$APN60&lt;=12)),$AQU$5:$AQU60),IF(APN60=4,SUMPRODUCT(--(($APO$5:$APO60=$APO60)*($APN$5:$APN60&gt;=1)*($APN$5:$APN60&lt;=3)),$AQU$5:$AQU60),IF(APN60=7,SUMPRODUCT(--(($APO$5:$APO60=$APO60)*($APN$5:$APN60&gt;=4)*($APN$5:$APN60&lt;=6)),$AQU$5:$AQU60),IF(APN60=10,SUMPRODUCT(--(($APO$5:$APO60=$APO60)*($APN$5:$APN60&gt;=7)*($APN$5:$APN60&lt;=9)),$AQU$5:$AQU60),0)))))</f>
        <v/>
      </c>
      <c r="AQW60" s="12">
        <f>AQW59+AQU60-AQV60</f>
        <v/>
      </c>
      <c r="AQX60" s="12">
        <f>IF(ProviderDelay&gt;=1,AQE59*BlendedProvPayEss+AQF59*BlendedProvPayPrem+AQG59*BlendedProvPayElite+AQH59*BlendedProvPayEss+AQI59*BlendedProvPayPrem+AQJ59*BlendedProvPayElite,AQE60*BlendedProvPayEss+AQF60*BlendedProvPayPrem+AQG60*BlendedProvPayElite+AQH60*BlendedProvPayEss+AQI60*BlendedProvPayPrem+AQJ60*BlendedProvPayElite)</f>
        <v/>
      </c>
      <c r="AQY60" s="12">
        <f>AQQ60*PaymentFee</f>
        <v/>
      </c>
      <c r="AQZ60" s="12">
        <f>AQK60*OpsAI</f>
        <v/>
      </c>
      <c r="ARA60" s="12">
        <f>MonthlyFixed</f>
        <v/>
      </c>
      <c r="ARB60" s="12">
        <f>APU60*ReferralReward</f>
        <v/>
      </c>
      <c r="ARC60" s="12">
        <f>APS60</f>
        <v/>
      </c>
      <c r="ARD60" s="9">
        <f>AQT60-AQX60-AQY60-AQZ60-ARA60-ARB60-ARC60</f>
        <v/>
      </c>
      <c r="ARE60" s="9">
        <f>ARE59+AQQ60-(AQX60+AQY60+AQZ60+ARA60+ARB60+ARC60+AQV60)</f>
        <v/>
      </c>
      <c r="ARF60" s="12">
        <f>IF(AQK60&gt;0,AQL60/AQK60,0)</f>
        <v/>
      </c>
      <c r="ARG60" s="11">
        <f>IF(AQK59&gt;0,MAX(0,(AQK59+APV60-AQK60)/AQK59),0)</f>
        <v/>
      </c>
      <c r="ARI60" s="12" t="n">
        <v>56</v>
      </c>
      <c r="ARJ60" s="12">
        <f>MOD(ARI60-1+LaunchMonth-1,12)+1</f>
        <v/>
      </c>
      <c r="ARK60" s="12">
        <f>INT((ARI60-1+LaunchMonth-1)/12)+1</f>
        <v/>
      </c>
      <c r="ARL60" s="12">
        <f>VLOOKUP(ARJ60,SeasonTable,2,FALSE)</f>
        <v/>
      </c>
      <c r="ARM60" s="12">
        <f>(1+InflationRate)^INT((ARI60-1)/12)</f>
        <v/>
      </c>
      <c r="ARN60" s="11">
        <f>MonthlyChurn*VLOOKUP(ARJ60,ChurnSeasonTable,4,FALSE)</f>
        <v/>
      </c>
      <c r="ARO60" s="12">
        <f>MIN(MAX(MktMin19plus,ASM59*MktPct19plus),MAX(0,ATA59-CashBuffer))</f>
        <v/>
      </c>
      <c r="ARP60" s="12">
        <f>IF(ARO60&gt;0,MAX(1,ROUND(ARO60/'Sens - CAC &amp; Marketing'!$A$14*ARL60,0)),0)</f>
        <v/>
      </c>
      <c r="ARQ60" s="12">
        <f>IF(ARP60&gt;0,ROUND(ARP60*ReferralMix/(1-ReferralMix),0),0)</f>
        <v/>
      </c>
      <c r="ARR60" s="12">
        <f>ARP60+ARQ60</f>
        <v/>
      </c>
      <c r="ARS60" s="12">
        <f>ROUND(ARR60*(1-AnnualMix),0)</f>
        <v/>
      </c>
      <c r="ART60" s="12">
        <f>ARR60-ARS60</f>
        <v/>
      </c>
      <c r="ARU60" s="12">
        <f>ROUND(ARS60*EssentialMix,0)</f>
        <v/>
      </c>
      <c r="ARV60" s="12">
        <f>ROUND(ARS60*PremiumMix,0)</f>
        <v/>
      </c>
      <c r="ARW60" s="12">
        <f>ARS60-ARU60-ARV60</f>
        <v/>
      </c>
      <c r="ARX60" s="12">
        <f>ROUND(ART60*EssentialMix,0)</f>
        <v/>
      </c>
      <c r="ARY60" s="12">
        <f>ROUND(ART60*PremiumMix,0)</f>
        <v/>
      </c>
      <c r="ARZ60" s="12">
        <f>ART60-ARX60-ARY60</f>
        <v/>
      </c>
      <c r="ASA60" s="12">
        <f>ARU60+ARU59+ARU58+MAX(0,ASA59-ARU59-ARU58)*(1-ARN60)</f>
        <v/>
      </c>
      <c r="ASB60" s="12">
        <f>ARV60+ARV59+ARV58+MAX(0,ASB59-ARV59-ARV58)*(1-ARN60)</f>
        <v/>
      </c>
      <c r="ASC60" s="12">
        <f>ARW60+ARW59+ARW58+MAX(0,ASC59-ARW59-ARW58)*(1-ARN60)</f>
        <v/>
      </c>
      <c r="ASD60" s="12">
        <f>ASD59+ARX60-ARX48*(AnnualChurn*VLOOKUP(ARJ60,ChurnSeasonTable,4,FALSE))*POWER(1-(AnnualChurn*VLOOKUP(ARJ60,ChurnSeasonTable,4,FALSE)),0)+ARX36*(AnnualChurn*VLOOKUP(ARJ60,ChurnSeasonTable,4,FALSE))*POWER(1-(AnnualChurn*VLOOKUP(ARJ60,ChurnSeasonTable,4,FALSE)),1)+ARX24*(AnnualChurn*VLOOKUP(ARJ60,ChurnSeasonTable,4,FALSE))*POWER(1-(AnnualChurn*VLOOKUP(ARJ60,ChurnSeasonTable,4,FALSE)),2)+ARX12*(AnnualChurn*VLOOKUP(ARJ60,ChurnSeasonTable,4,FALSE))*POWER(1-(AnnualChurn*VLOOKUP(ARJ60,ChurnSeasonTable,4,FALSE)),3)</f>
        <v/>
      </c>
      <c r="ASE60" s="12">
        <f>ASE59+ARY60-ARY48*(AnnualChurn*VLOOKUP(ARJ60,ChurnSeasonTable,4,FALSE))*POWER(1-(AnnualChurn*VLOOKUP(ARJ60,ChurnSeasonTable,4,FALSE)),0)+ARY36*(AnnualChurn*VLOOKUP(ARJ60,ChurnSeasonTable,4,FALSE))*POWER(1-(AnnualChurn*VLOOKUP(ARJ60,ChurnSeasonTable,4,FALSE)),1)+ARY24*(AnnualChurn*VLOOKUP(ARJ60,ChurnSeasonTable,4,FALSE))*POWER(1-(AnnualChurn*VLOOKUP(ARJ60,ChurnSeasonTable,4,FALSE)),2)+ARY12*(AnnualChurn*VLOOKUP(ARJ60,ChurnSeasonTable,4,FALSE))*POWER(1-(AnnualChurn*VLOOKUP(ARJ60,ChurnSeasonTable,4,FALSE)),3)</f>
        <v/>
      </c>
      <c r="ASF60" s="12">
        <f>ASF59+ARZ60-ARZ48*(AnnualChurn*VLOOKUP(ARJ60,ChurnSeasonTable,4,FALSE))*POWER(1-(AnnualChurn*VLOOKUP(ARJ60,ChurnSeasonTable,4,FALSE)),0)+ARZ36*(AnnualChurn*VLOOKUP(ARJ60,ChurnSeasonTable,4,FALSE))*POWER(1-(AnnualChurn*VLOOKUP(ARJ60,ChurnSeasonTable,4,FALSE)),1)+ARZ24*(AnnualChurn*VLOOKUP(ARJ60,ChurnSeasonTable,4,FALSE))*POWER(1-(AnnualChurn*VLOOKUP(ARJ60,ChurnSeasonTable,4,FALSE)),2)+ARZ12*(AnnualChurn*VLOOKUP(ARJ60,ChurnSeasonTable,4,FALSE))*POWER(1-(AnnualChurn*VLOOKUP(ARJ60,ChurnSeasonTable,4,FALSE)),3)</f>
        <v/>
      </c>
      <c r="ASG60" s="12">
        <f>ASA60+ASB60+ASC60+ASD60+ASE60+ASF60</f>
        <v/>
      </c>
      <c r="ASH60" s="9">
        <f>ASA60*BlendedPriceEssMonthly*ARM60+ASB60*BlendedPricePremMonthly*ARM60+ASC60*BlendedPriceEliteMonthly*ARM60+ASD60*BlendedPriceEssAnnual*ARM60/12+ASE60*BlendedPricePremAnnual*ARM60/12+ASF60*BlendedPriceEliteAnnual*ARM60/12</f>
        <v/>
      </c>
      <c r="ASI60" s="9">
        <f>ASH60*12</f>
        <v/>
      </c>
      <c r="ASJ60" s="12">
        <f>ASA60*BlendedPriceEssMonthly*ARM60+ASB60*BlendedPricePremMonthly*ARM60+ASC60*BlendedPriceEliteMonthly*ARM60</f>
        <v/>
      </c>
      <c r="ASK60" s="12">
        <f>ARX60*BlendedPriceEssAnnual*ARM60+ARY60*BlendedPricePremAnnual*ARM60+ARZ60*BlendedPriceEliteAnnual*ARM60</f>
        <v/>
      </c>
      <c r="ASL60" s="12">
        <f>ARX48*POWER(1-(AnnualChurn*VLOOKUP(ARJ60,ChurnSeasonTable,4,FALSE)),1)*BlendedPriceEssAnnual*ARM60+ARX36*POWER(1-(AnnualChurn*VLOOKUP(ARJ60,ChurnSeasonTable,4,FALSE)),2)*BlendedPriceEssAnnual*ARM60+ARX24*POWER(1-(AnnualChurn*VLOOKUP(ARJ60,ChurnSeasonTable,4,FALSE)),3)*BlendedPriceEssAnnual*ARM60+ARX12*POWER(1-(AnnualChurn*VLOOKUP(ARJ60,ChurnSeasonTable,4,FALSE)),4)*BlendedPriceEssAnnual*ARM60+ARY48*POWER(1-(AnnualChurn*VLOOKUP(ARJ60,ChurnSeasonTable,4,FALSE)),1)*BlendedPricePremAnnual*ARM60+ARY36*POWER(1-(AnnualChurn*VLOOKUP(ARJ60,ChurnSeasonTable,4,FALSE)),2)*BlendedPricePremAnnual*ARM60+ARY24*POWER(1-(AnnualChurn*VLOOKUP(ARJ60,ChurnSeasonTable,4,FALSE)),3)*BlendedPricePremAnnual*ARM60+ARY12*POWER(1-(AnnualChurn*VLOOKUP(ARJ60,ChurnSeasonTable,4,FALSE)),4)*BlendedPricePremAnnual*ARM60+ARZ48*POWER(1-(AnnualChurn*VLOOKUP(ARJ60,ChurnSeasonTable,4,FALSE)),1)*BlendedPriceEliteAnnual*ARM60+ARZ36*POWER(1-(AnnualChurn*VLOOKUP(ARJ60,ChurnSeasonTable,4,FALSE)),2)*BlendedPriceEliteAnnual*ARM60+ARZ24*POWER(1-(AnnualChurn*VLOOKUP(ARJ60,ChurnSeasonTable,4,FALSE)),3)*BlendedPriceEliteAnnual*ARM60+ARZ12*POWER(1-(AnnualChurn*VLOOKUP(ARJ60,ChurnSeasonTable,4,FALSE)),4)*BlendedPriceEliteAnnual*ARM60</f>
        <v/>
      </c>
      <c r="ASM60" s="9">
        <f>ASJ60+ASK60+ASL60</f>
        <v/>
      </c>
      <c r="ASN60" s="12">
        <f>SUM(ASM49:ASM60)</f>
        <v/>
      </c>
      <c r="ASO60" s="12">
        <f>OR(ASO59,IF(VATAgentMode,SUM($ASM49:$ASM60)-SUM($AST49:$AST60)&gt;=VATThreshold,SUM($ASM49:$ASM60)&gt;=VATThreshold))</f>
        <v/>
      </c>
      <c r="ASP60" s="9">
        <f>IF(ASO60,IF(VATAgentMode,ASM60-((ASM60-AST60)-(ASM60-AST60)/(1+VATRate)),ASM60/(1+VATRate)),ASM60)</f>
        <v/>
      </c>
      <c r="ASQ60" s="12">
        <f>ASM60-ASP60</f>
        <v/>
      </c>
      <c r="ASR60" s="12">
        <f>IF(ASO60=0,0,IF(ARJ60=1,SUMPRODUCT(--(($ARK$5:$ARK60=$ARK60-1)*($ARJ$5:$ARJ60&gt;=10)*($ARJ$5:$ARJ60&lt;=12)),$ASQ$5:$ASQ60),IF(ARJ60=4,SUMPRODUCT(--(($ARK$5:$ARK60=$ARK60)*($ARJ$5:$ARJ60&gt;=1)*($ARJ$5:$ARJ60&lt;=3)),$ASQ$5:$ASQ60),IF(ARJ60=7,SUMPRODUCT(--(($ARK$5:$ARK60=$ARK60)*($ARJ$5:$ARJ60&gt;=4)*($ARJ$5:$ARJ60&lt;=6)),$ASQ$5:$ASQ60),IF(ARJ60=10,SUMPRODUCT(--(($ARK$5:$ARK60=$ARK60)*($ARJ$5:$ARJ60&gt;=7)*($ARJ$5:$ARJ60&lt;=9)),$ASQ$5:$ASQ60),0)))))</f>
        <v/>
      </c>
      <c r="ASS60" s="12">
        <f>ASS59+ASQ60-ASR60</f>
        <v/>
      </c>
      <c r="AST60" s="12">
        <f>IF(ProviderDelay&gt;=1,ASA59*BlendedProvPayEss+ASB59*BlendedProvPayPrem+ASC59*BlendedProvPayElite+ASD59*BlendedProvPayEss+ASE59*BlendedProvPayPrem+ASF59*BlendedProvPayElite,ASA60*BlendedProvPayEss+ASB60*BlendedProvPayPrem+ASC60*BlendedProvPayElite+ASD60*BlendedProvPayEss+ASE60*BlendedProvPayPrem+ASF60*BlendedProvPayElite)</f>
        <v/>
      </c>
      <c r="ASU60" s="12">
        <f>ASM60*PaymentFee</f>
        <v/>
      </c>
      <c r="ASV60" s="12">
        <f>ASG60*OpsAI</f>
        <v/>
      </c>
      <c r="ASW60" s="12">
        <f>MonthlyFixed</f>
        <v/>
      </c>
      <c r="ASX60" s="12">
        <f>ARQ60*ReferralReward</f>
        <v/>
      </c>
      <c r="ASY60" s="12">
        <f>ARO60</f>
        <v/>
      </c>
      <c r="ASZ60" s="9">
        <f>ASP60-AST60-ASU60-ASV60-ASW60-ASX60-ASY60</f>
        <v/>
      </c>
      <c r="ATA60" s="9">
        <f>ATA59+ASM60-(AST60+ASU60+ASV60+ASW60+ASX60+ASY60+ASR60)</f>
        <v/>
      </c>
      <c r="ATB60" s="12">
        <f>IF(ASG60&gt;0,ASH60/ASG60,0)</f>
        <v/>
      </c>
      <c r="ATC60" s="11">
        <f>IF(ASG59&gt;0,MAX(0,(ASG59+ARR60-ASG60)/ASG59),0)</f>
        <v/>
      </c>
      <c r="ATE60" s="12" t="n">
        <v>56</v>
      </c>
      <c r="ATF60" s="12">
        <f>MOD(ATE60-1+LaunchMonth-1,12)+1</f>
        <v/>
      </c>
      <c r="ATG60" s="12">
        <f>INT((ATE60-1+LaunchMonth-1)/12)+1</f>
        <v/>
      </c>
      <c r="ATH60" s="12">
        <f>VLOOKUP(ATF60,SeasonTable,2,FALSE)</f>
        <v/>
      </c>
      <c r="ATI60" s="12">
        <f>(1+InflationRate)^INT((ATE60-1)/12)</f>
        <v/>
      </c>
      <c r="ATJ60" s="11">
        <f>MonthlyChurn*VLOOKUP(ATF60,ChurnSeasonTable,4,FALSE)</f>
        <v/>
      </c>
      <c r="ATK60" s="12">
        <f>MIN(MAX(MktMin19plus,AUI59*MktPct19plus),MAX(0,AUW59-CashBuffer))</f>
        <v/>
      </c>
      <c r="ATL60" s="12">
        <f>IF(ATK60&gt;0,MAX(1,ROUND(ATK60/'Sens - CAC &amp; Marketing'!$A$15*ATH60,0)),0)</f>
        <v/>
      </c>
      <c r="ATM60" s="12">
        <f>IF(ATL60&gt;0,ROUND(ATL60*ReferralMix/(1-ReferralMix),0),0)</f>
        <v/>
      </c>
      <c r="ATN60" s="12">
        <f>ATL60+ATM60</f>
        <v/>
      </c>
      <c r="ATO60" s="12">
        <f>ROUND(ATN60*(1-AnnualMix),0)</f>
        <v/>
      </c>
      <c r="ATP60" s="12">
        <f>ATN60-ATO60</f>
        <v/>
      </c>
      <c r="ATQ60" s="12">
        <f>ROUND(ATO60*EssentialMix,0)</f>
        <v/>
      </c>
      <c r="ATR60" s="12">
        <f>ROUND(ATO60*PremiumMix,0)</f>
        <v/>
      </c>
      <c r="ATS60" s="12">
        <f>ATO60-ATQ60-ATR60</f>
        <v/>
      </c>
      <c r="ATT60" s="12">
        <f>ROUND(ATP60*EssentialMix,0)</f>
        <v/>
      </c>
      <c r="ATU60" s="12">
        <f>ROUND(ATP60*PremiumMix,0)</f>
        <v/>
      </c>
      <c r="ATV60" s="12">
        <f>ATP60-ATT60-ATU60</f>
        <v/>
      </c>
      <c r="ATW60" s="12">
        <f>ATQ60+ATQ59+ATQ58+MAX(0,ATW59-ATQ59-ATQ58)*(1-ATJ60)</f>
        <v/>
      </c>
      <c r="ATX60" s="12">
        <f>ATR60+ATR59+ATR58+MAX(0,ATX59-ATR59-ATR58)*(1-ATJ60)</f>
        <v/>
      </c>
      <c r="ATY60" s="12">
        <f>ATS60+ATS59+ATS58+MAX(0,ATY59-ATS59-ATS58)*(1-ATJ60)</f>
        <v/>
      </c>
      <c r="ATZ60" s="12">
        <f>ATZ59+ATT60-ATT48*(AnnualChurn*VLOOKUP(ATF60,ChurnSeasonTable,4,FALSE))*POWER(1-(AnnualChurn*VLOOKUP(ATF60,ChurnSeasonTable,4,FALSE)),0)+ATT36*(AnnualChurn*VLOOKUP(ATF60,ChurnSeasonTable,4,FALSE))*POWER(1-(AnnualChurn*VLOOKUP(ATF60,ChurnSeasonTable,4,FALSE)),1)+ATT24*(AnnualChurn*VLOOKUP(ATF60,ChurnSeasonTable,4,FALSE))*POWER(1-(AnnualChurn*VLOOKUP(ATF60,ChurnSeasonTable,4,FALSE)),2)+ATT12*(AnnualChurn*VLOOKUP(ATF60,ChurnSeasonTable,4,FALSE))*POWER(1-(AnnualChurn*VLOOKUP(ATF60,ChurnSeasonTable,4,FALSE)),3)</f>
        <v/>
      </c>
      <c r="AUA60" s="12">
        <f>AUA59+ATU60-ATU48*(AnnualChurn*VLOOKUP(ATF60,ChurnSeasonTable,4,FALSE))*POWER(1-(AnnualChurn*VLOOKUP(ATF60,ChurnSeasonTable,4,FALSE)),0)+ATU36*(AnnualChurn*VLOOKUP(ATF60,ChurnSeasonTable,4,FALSE))*POWER(1-(AnnualChurn*VLOOKUP(ATF60,ChurnSeasonTable,4,FALSE)),1)+ATU24*(AnnualChurn*VLOOKUP(ATF60,ChurnSeasonTable,4,FALSE))*POWER(1-(AnnualChurn*VLOOKUP(ATF60,ChurnSeasonTable,4,FALSE)),2)+ATU12*(AnnualChurn*VLOOKUP(ATF60,ChurnSeasonTable,4,FALSE))*POWER(1-(AnnualChurn*VLOOKUP(ATF60,ChurnSeasonTable,4,FALSE)),3)</f>
        <v/>
      </c>
      <c r="AUB60" s="12">
        <f>AUB59+ATV60-ATV48*(AnnualChurn*VLOOKUP(ATF60,ChurnSeasonTable,4,FALSE))*POWER(1-(AnnualChurn*VLOOKUP(ATF60,ChurnSeasonTable,4,FALSE)),0)+ATV36*(AnnualChurn*VLOOKUP(ATF60,ChurnSeasonTable,4,FALSE))*POWER(1-(AnnualChurn*VLOOKUP(ATF60,ChurnSeasonTable,4,FALSE)),1)+ATV24*(AnnualChurn*VLOOKUP(ATF60,ChurnSeasonTable,4,FALSE))*POWER(1-(AnnualChurn*VLOOKUP(ATF60,ChurnSeasonTable,4,FALSE)),2)+ATV12*(AnnualChurn*VLOOKUP(ATF60,ChurnSeasonTable,4,FALSE))*POWER(1-(AnnualChurn*VLOOKUP(ATF60,ChurnSeasonTable,4,FALSE)),3)</f>
        <v/>
      </c>
      <c r="AUC60" s="12">
        <f>ATW60+ATX60+ATY60+ATZ60+AUA60+AUB60</f>
        <v/>
      </c>
      <c r="AUD60" s="9">
        <f>ATW60*BlendedPriceEssMonthly*ATI60+ATX60*BlendedPricePremMonthly*ATI60+ATY60*BlendedPriceEliteMonthly*ATI60+ATZ60*BlendedPriceEssAnnual*ATI60/12+AUA60*BlendedPricePremAnnual*ATI60/12+AUB60*BlendedPriceEliteAnnual*ATI60/12</f>
        <v/>
      </c>
      <c r="AUE60" s="9">
        <f>AUD60*12</f>
        <v/>
      </c>
      <c r="AUF60" s="12">
        <f>ATW60*BlendedPriceEssMonthly*ATI60+ATX60*BlendedPricePremMonthly*ATI60+ATY60*BlendedPriceEliteMonthly*ATI60</f>
        <v/>
      </c>
      <c r="AUG60" s="12">
        <f>ATT60*BlendedPriceEssAnnual*ATI60+ATU60*BlendedPricePremAnnual*ATI60+ATV60*BlendedPriceEliteAnnual*ATI60</f>
        <v/>
      </c>
      <c r="AUH60" s="12">
        <f>ATT48*POWER(1-(AnnualChurn*VLOOKUP(ATF60,ChurnSeasonTable,4,FALSE)),1)*BlendedPriceEssAnnual*ATI60+ATT36*POWER(1-(AnnualChurn*VLOOKUP(ATF60,ChurnSeasonTable,4,FALSE)),2)*BlendedPriceEssAnnual*ATI60+ATT24*POWER(1-(AnnualChurn*VLOOKUP(ATF60,ChurnSeasonTable,4,FALSE)),3)*BlendedPriceEssAnnual*ATI60+ATT12*POWER(1-(AnnualChurn*VLOOKUP(ATF60,ChurnSeasonTable,4,FALSE)),4)*BlendedPriceEssAnnual*ATI60+ATU48*POWER(1-(AnnualChurn*VLOOKUP(ATF60,ChurnSeasonTable,4,FALSE)),1)*BlendedPricePremAnnual*ATI60+ATU36*POWER(1-(AnnualChurn*VLOOKUP(ATF60,ChurnSeasonTable,4,FALSE)),2)*BlendedPricePremAnnual*ATI60+ATU24*POWER(1-(AnnualChurn*VLOOKUP(ATF60,ChurnSeasonTable,4,FALSE)),3)*BlendedPricePremAnnual*ATI60+ATU12*POWER(1-(AnnualChurn*VLOOKUP(ATF60,ChurnSeasonTable,4,FALSE)),4)*BlendedPricePremAnnual*ATI60+ATV48*POWER(1-(AnnualChurn*VLOOKUP(ATF60,ChurnSeasonTable,4,FALSE)),1)*BlendedPriceEliteAnnual*ATI60+ATV36*POWER(1-(AnnualChurn*VLOOKUP(ATF60,ChurnSeasonTable,4,FALSE)),2)*BlendedPriceEliteAnnual*ATI60+ATV24*POWER(1-(AnnualChurn*VLOOKUP(ATF60,ChurnSeasonTable,4,FALSE)),3)*BlendedPriceEliteAnnual*ATI60+ATV12*POWER(1-(AnnualChurn*VLOOKUP(ATF60,ChurnSeasonTable,4,FALSE)),4)*BlendedPriceEliteAnnual*ATI60</f>
        <v/>
      </c>
      <c r="AUI60" s="9">
        <f>AUF60+AUG60+AUH60</f>
        <v/>
      </c>
      <c r="AUJ60" s="12">
        <f>SUM(AUI49:AUI60)</f>
        <v/>
      </c>
      <c r="AUK60" s="12">
        <f>OR(AUK59,IF(VATAgentMode,SUM($AUI49:$AUI60)-SUM($AUP49:$AUP60)&gt;=VATThreshold,SUM($AUI49:$AUI60)&gt;=VATThreshold))</f>
        <v/>
      </c>
      <c r="AUL60" s="9">
        <f>IF(AUK60,IF(VATAgentMode,AUI60-((AUI60-AUP60)-(AUI60-AUP60)/(1+VATRate)),AUI60/(1+VATRate)),AUI60)</f>
        <v/>
      </c>
      <c r="AUM60" s="12">
        <f>AUI60-AUL60</f>
        <v/>
      </c>
      <c r="AUN60" s="12">
        <f>IF(AUK60=0,0,IF(ATF60=1,SUMPRODUCT(--(($ATG$5:$ATG60=$ATG60-1)*($ATF$5:$ATF60&gt;=10)*($ATF$5:$ATF60&lt;=12)),$AUM$5:$AUM60),IF(ATF60=4,SUMPRODUCT(--(($ATG$5:$ATG60=$ATG60)*($ATF$5:$ATF60&gt;=1)*($ATF$5:$ATF60&lt;=3)),$AUM$5:$AUM60),IF(ATF60=7,SUMPRODUCT(--(($ATG$5:$ATG60=$ATG60)*($ATF$5:$ATF60&gt;=4)*($ATF$5:$ATF60&lt;=6)),$AUM$5:$AUM60),IF(ATF60=10,SUMPRODUCT(--(($ATG$5:$ATG60=$ATG60)*($ATF$5:$ATF60&gt;=7)*($ATF$5:$ATF60&lt;=9)),$AUM$5:$AUM60),0)))))</f>
        <v/>
      </c>
      <c r="AUO60" s="12">
        <f>AUO59+AUM60-AUN60</f>
        <v/>
      </c>
      <c r="AUP60" s="12">
        <f>IF(ProviderDelay&gt;=1,ATW59*BlendedProvPayEss+ATX59*BlendedProvPayPrem+ATY59*BlendedProvPayElite+ATZ59*BlendedProvPayEss+AUA59*BlendedProvPayPrem+AUB59*BlendedProvPayElite,ATW60*BlendedProvPayEss+ATX60*BlendedProvPayPrem+ATY60*BlendedProvPayElite+ATZ60*BlendedProvPayEss+AUA60*BlendedProvPayPrem+AUB60*BlendedProvPayElite)</f>
        <v/>
      </c>
      <c r="AUQ60" s="12">
        <f>AUI60*PaymentFee</f>
        <v/>
      </c>
      <c r="AUR60" s="12">
        <f>AUC60*OpsAI</f>
        <v/>
      </c>
      <c r="AUS60" s="12">
        <f>MonthlyFixed</f>
        <v/>
      </c>
      <c r="AUT60" s="12">
        <f>ATM60*ReferralReward</f>
        <v/>
      </c>
      <c r="AUU60" s="12">
        <f>ATK60</f>
        <v/>
      </c>
      <c r="AUV60" s="9">
        <f>AUL60-AUP60-AUQ60-AUR60-AUS60-AUT60-AUU60</f>
        <v/>
      </c>
      <c r="AUW60" s="9">
        <f>AUW59+AUI60-(AUP60+AUQ60+AUR60+AUS60+AUT60+AUU60+AUN60)</f>
        <v/>
      </c>
      <c r="AUX60" s="12">
        <f>IF(AUC60&gt;0,AUD60/AUC60,0)</f>
        <v/>
      </c>
      <c r="AUY60" s="11">
        <f>IF(AUC59&gt;0,MAX(0,(AUC59+ATN60-AUC60)/AUC59),0)</f>
        <v/>
      </c>
      <c r="AVA60" s="12" t="n">
        <v>56</v>
      </c>
      <c r="AVB60" s="12">
        <f>MOD(AVA60-1+LaunchMonth-1,12)+1</f>
        <v/>
      </c>
      <c r="AVC60" s="12">
        <f>INT((AVA60-1+LaunchMonth-1)/12)+1</f>
        <v/>
      </c>
      <c r="AVD60" s="12">
        <f>VLOOKUP(AVB60,WinterPivotSeasonTable,5,FALSE)</f>
        <v/>
      </c>
      <c r="AVE60" s="12">
        <f>(1+InflationRate)^INT((AVA60-1)/12)</f>
        <v/>
      </c>
      <c r="AVF60" s="11">
        <f>MonthlyChurn*VLOOKUP(AVB60,WinterPivotChurnTable,6,FALSE)</f>
        <v/>
      </c>
      <c r="AVG60" s="12">
        <f>MIN(MAX(MktMin19plus,AWE59*MktPct19plus),MAX(0,AWS59-CashBuffer))</f>
        <v/>
      </c>
      <c r="AVH60" s="12">
        <f>IF(AVG60&gt;0,MAX(1,ROUND(AVG60/CAC*AVD60,0)),0)</f>
        <v/>
      </c>
      <c r="AVI60" s="12">
        <f>IF(AVH60&gt;0,ROUND(AVH60*ReferralMix/(1-ReferralMix),0),0)</f>
        <v/>
      </c>
      <c r="AVJ60" s="12">
        <f>AVH60+AVI60</f>
        <v/>
      </c>
      <c r="AVK60" s="12">
        <f>ROUND(AVJ60*(1-AnnualMix),0)</f>
        <v/>
      </c>
      <c r="AVL60" s="12">
        <f>AVJ60-AVK60</f>
        <v/>
      </c>
      <c r="AVM60" s="12">
        <f>ROUND(AVK60*'Sens - Winter Pivot'!$B$6,0)</f>
        <v/>
      </c>
      <c r="AVN60" s="12">
        <f>ROUND(AVK60*PremiumMix,0)</f>
        <v/>
      </c>
      <c r="AVO60" s="12">
        <f>AVK60-AVM60-AVN60</f>
        <v/>
      </c>
      <c r="AVP60" s="12">
        <f>ROUND(AVL60*'Sens - Winter Pivot'!$B$6,0)</f>
        <v/>
      </c>
      <c r="AVQ60" s="12">
        <f>ROUND(AVL60*PremiumMix,0)</f>
        <v/>
      </c>
      <c r="AVR60" s="12">
        <f>AVL60-AVP60-AVQ60</f>
        <v/>
      </c>
      <c r="AVS60" s="12">
        <f>AVM60+AVM59+AVM58+MAX(0,AVS59-AVM59-AVM58)*(1-AVF60)</f>
        <v/>
      </c>
      <c r="AVT60" s="12">
        <f>AVN60+AVN59+AVN58+MAX(0,AVT59-AVN59-AVN58)*(1-AVF60)</f>
        <v/>
      </c>
      <c r="AVU60" s="12">
        <f>AVO60+AVO59+AVO58+MAX(0,AVU59-AVO59-AVO58)*(1-AVF60)</f>
        <v/>
      </c>
      <c r="AVV60" s="12">
        <f>AVV59+AVP60-AVP48*(AnnualChurn*VLOOKUP(AVB60,ChurnSeasonTable,4,FALSE))*POWER(1-(AnnualChurn*VLOOKUP(AVB60,ChurnSeasonTable,4,FALSE)),0)+AVP36*(AnnualChurn*VLOOKUP(AVB60,ChurnSeasonTable,4,FALSE))*POWER(1-(AnnualChurn*VLOOKUP(AVB60,ChurnSeasonTable,4,FALSE)),1)+AVP24*(AnnualChurn*VLOOKUP(AVB60,ChurnSeasonTable,4,FALSE))*POWER(1-(AnnualChurn*VLOOKUP(AVB60,ChurnSeasonTable,4,FALSE)),2)+AVP12*(AnnualChurn*VLOOKUP(AVB60,ChurnSeasonTable,4,FALSE))*POWER(1-(AnnualChurn*VLOOKUP(AVB60,ChurnSeasonTable,4,FALSE)),3)</f>
        <v/>
      </c>
      <c r="AVW60" s="12">
        <f>AVW59+AVQ60-AVQ48*(AnnualChurn*VLOOKUP(AVB60,ChurnSeasonTable,4,FALSE))*POWER(1-(AnnualChurn*VLOOKUP(AVB60,ChurnSeasonTable,4,FALSE)),0)+AVQ36*(AnnualChurn*VLOOKUP(AVB60,ChurnSeasonTable,4,FALSE))*POWER(1-(AnnualChurn*VLOOKUP(AVB60,ChurnSeasonTable,4,FALSE)),1)+AVQ24*(AnnualChurn*VLOOKUP(AVB60,ChurnSeasonTable,4,FALSE))*POWER(1-(AnnualChurn*VLOOKUP(AVB60,ChurnSeasonTable,4,FALSE)),2)+AVQ12*(AnnualChurn*VLOOKUP(AVB60,ChurnSeasonTable,4,FALSE))*POWER(1-(AnnualChurn*VLOOKUP(AVB60,ChurnSeasonTable,4,FALSE)),3)</f>
        <v/>
      </c>
      <c r="AVX60" s="12">
        <f>AVX59+AVR60-AVR48*(AnnualChurn*VLOOKUP(AVB60,ChurnSeasonTable,4,FALSE))*POWER(1-(AnnualChurn*VLOOKUP(AVB60,ChurnSeasonTable,4,FALSE)),0)+AVR36*(AnnualChurn*VLOOKUP(AVB60,ChurnSeasonTable,4,FALSE))*POWER(1-(AnnualChurn*VLOOKUP(AVB60,ChurnSeasonTable,4,FALSE)),1)+AVR24*(AnnualChurn*VLOOKUP(AVB60,ChurnSeasonTable,4,FALSE))*POWER(1-(AnnualChurn*VLOOKUP(AVB60,ChurnSeasonTable,4,FALSE)),2)+AVR12*(AnnualChurn*VLOOKUP(AVB60,ChurnSeasonTable,4,FALSE))*POWER(1-(AnnualChurn*VLOOKUP(AVB60,ChurnSeasonTable,4,FALSE)),3)</f>
        <v/>
      </c>
      <c r="AVY60" s="12">
        <f>AVS60+AVT60+AVU60+AVV60+AVW60+AVX60</f>
        <v/>
      </c>
      <c r="AVZ60" s="9">
        <f>AVS60*BlendedPriceEssMonthly*AVE60+AVT60*(BlendedPricePremMonthly+'Sens - Winter Pivot'!$B$7)*AVE60+AVU60*BlendedPriceEliteMonthly*AVE60+AVV60*BlendedPriceEssAnnual*AVE60/12+AVW60*(BlendedPricePremAnnual+'Sens - Winter Pivot'!$B$7*12)*AVE60/12+AVX60*BlendedPriceEliteAnnual*AVE60/12</f>
        <v/>
      </c>
      <c r="AWA60" s="9">
        <f>AVZ60*12</f>
        <v/>
      </c>
      <c r="AWB60" s="12">
        <f>AVS60*BlendedPriceEssMonthly*AVE60+AVT60*(BlendedPricePremMonthly+'Sens - Winter Pivot'!$B$7)*AVE60+AVU60*BlendedPriceEliteMonthly*AVE60</f>
        <v/>
      </c>
      <c r="AWC60" s="12">
        <f>AVP60*BlendedPriceEssAnnual*AVE60+AVQ60*(BlendedPricePremAnnual+'Sens - Winter Pivot'!$B$7*12)*AVE60+AVR60*BlendedPriceEliteAnnual*AVE60</f>
        <v/>
      </c>
      <c r="AWD60" s="12">
        <f>AVP48*POWER(1-(AnnualChurn*VLOOKUP(AVB60,ChurnSeasonTable,4,FALSE)),1)*BlendedPriceEssAnnual*AVE60+AVP36*POWER(1-(AnnualChurn*VLOOKUP(AVB60,ChurnSeasonTable,4,FALSE)),2)*BlendedPriceEssAnnual*AVE60+AVP24*POWER(1-(AnnualChurn*VLOOKUP(AVB60,ChurnSeasonTable,4,FALSE)),3)*BlendedPriceEssAnnual*AVE60+AVP12*POWER(1-(AnnualChurn*VLOOKUP(AVB60,ChurnSeasonTable,4,FALSE)),4)*BlendedPriceEssAnnual*AVE60+AVQ48*POWER(1-(AnnualChurn*VLOOKUP(AVB60,ChurnSeasonTable,4,FALSE)),1)*BlendedPricePremAnnual*AVE60+AVQ36*POWER(1-(AnnualChurn*VLOOKUP(AVB60,ChurnSeasonTable,4,FALSE)),2)*BlendedPricePremAnnual*AVE60+AVQ24*POWER(1-(AnnualChurn*VLOOKUP(AVB60,ChurnSeasonTable,4,FALSE)),3)*BlendedPricePremAnnual*AVE60+AVQ12*POWER(1-(AnnualChurn*VLOOKUP(AVB60,ChurnSeasonTable,4,FALSE)),4)*BlendedPricePremAnnual*AVE60+AVR48*POWER(1-(AnnualChurn*VLOOKUP(AVB60,ChurnSeasonTable,4,FALSE)),1)*BlendedPriceEliteAnnual*AVE60+AVR36*POWER(1-(AnnualChurn*VLOOKUP(AVB60,ChurnSeasonTable,4,FALSE)),2)*BlendedPriceEliteAnnual*AVE60+AVR24*POWER(1-(AnnualChurn*VLOOKUP(AVB60,ChurnSeasonTable,4,FALSE)),3)*BlendedPriceEliteAnnual*AVE60+AVR12*POWER(1-(AnnualChurn*VLOOKUP(AVB60,ChurnSeasonTable,4,FALSE)),4)*BlendedPriceEliteAnnual*AVE60</f>
        <v/>
      </c>
      <c r="AWE60" s="9">
        <f>AWB60+AWC60+AWD60</f>
        <v/>
      </c>
      <c r="AWF60" s="12">
        <f>SUM(AWE49:AWE60)</f>
        <v/>
      </c>
      <c r="AWG60" s="12">
        <f>OR(AWG59,IF(VATAgentMode,SUM($AWE49:$AWE60)-SUM($AWL49:$AWL60)&gt;=VATThreshold,SUM($AWE49:$AWE60)&gt;=VATThreshold))</f>
        <v/>
      </c>
      <c r="AWH60" s="9">
        <f>IF(AWG60,IF(VATAgentMode,AWE60-((AWE60-AWL60)-(AWE60-AWL60)/(1+VATRate)),AWE60/(1+VATRate)),AWE60)</f>
        <v/>
      </c>
      <c r="AWI60" s="12">
        <f>AWE60-AWH60</f>
        <v/>
      </c>
      <c r="AWJ60" s="12">
        <f>IF(AWG60=0,0,IF(AVB60=1,SUMPRODUCT(--(($AVC$5:$AVC60=$AVC60-1)*($AVB$5:$AVB60&gt;=10)*($AVB$5:$AVB60&lt;=12)),$AWI$5:$AWI60),IF(AVB60=4,SUMPRODUCT(--(($AVC$5:$AVC60=$AVC60)*($AVB$5:$AVB60&gt;=1)*($AVB$5:$AVB60&lt;=3)),$AWI$5:$AWI60),IF(AVB60=7,SUMPRODUCT(--(($AVC$5:$AVC60=$AVC60)*($AVB$5:$AVB60&gt;=4)*($AVB$5:$AVB60&lt;=6)),$AWI$5:$AWI60),IF(AVB60=10,SUMPRODUCT(--(($AVC$5:$AVC60=$AVC60)*($AVB$5:$AVB60&gt;=7)*($AVB$5:$AVB60&lt;=9)),$AWI$5:$AWI60),0)))))</f>
        <v/>
      </c>
      <c r="AWK60" s="12">
        <f>AWK59+AWI60-AWJ60</f>
        <v/>
      </c>
      <c r="AWL60" s="12">
        <f>IF(ProviderDelay&gt;=1,AVS59*BlendedProvPayEss+AVT59*BlendedProvPayPrem+AVU59*BlendedProvPayElite+AVV59*BlendedProvPayEss+AVW59*BlendedProvPayPrem+AVX59*BlendedProvPayElite,AVS60*BlendedProvPayEss+AVT60*BlendedProvPayPrem+AVU60*BlendedProvPayElite+AVV60*BlendedProvPayEss+AVW60*BlendedProvPayPrem+AVX60*BlendedProvPayElite)</f>
        <v/>
      </c>
      <c r="AWM60" s="12">
        <f>AWE60*PaymentFee</f>
        <v/>
      </c>
      <c r="AWN60" s="12">
        <f>AVY60*OpsAI</f>
        <v/>
      </c>
      <c r="AWO60" s="12">
        <f>MonthlyFixed</f>
        <v/>
      </c>
      <c r="AWP60" s="12">
        <f>AVI60*ReferralReward</f>
        <v/>
      </c>
      <c r="AWQ60" s="12">
        <f>AVG60</f>
        <v/>
      </c>
      <c r="AWR60" s="9">
        <f>AWH60-AWL60-AWM60-AWN60-AWO60-AWP60-AWQ60</f>
        <v/>
      </c>
      <c r="AWS60" s="9">
        <f>AWS59+AWE60-(AWL60+AWM60+AWN60+AWO60+AWP60+AWQ60+AWJ60)</f>
        <v/>
      </c>
      <c r="AWT60" s="12">
        <f>IF(AVY60&gt;0,AVZ60/AVY60,0)</f>
        <v/>
      </c>
      <c r="AWU60" s="11">
        <f>IF(AVY59&gt;0,MAX(0,(AVY59+AVJ60-AVY60)/AVY59),0)</f>
        <v/>
      </c>
    </row>
    <row r="61">
      <c r="A61" s="12" t="n">
        <v>57</v>
      </c>
      <c r="B61" s="12">
        <f>MOD(A61-1+LaunchMonth-1,12)+1</f>
        <v/>
      </c>
      <c r="C61" s="12">
        <f>INT((A61-1+LaunchMonth-1)/12)+1</f>
        <v/>
      </c>
      <c r="D61" s="12">
        <f>VLOOKUP(B61,SeasonTable,2,FALSE)</f>
        <v/>
      </c>
      <c r="E61" s="12">
        <f>(1+InflationRate)^INT((A61-1)/12)</f>
        <v/>
      </c>
      <c r="F61" s="11">
        <f>'Sens - Scenarios'!$B$5*VLOOKUP(B61,ChurnSeasonTable,4,FALSE)</f>
        <v/>
      </c>
      <c r="G61" s="12">
        <f>MIN(MAX(MktMin19plus,AE60*MktPct19plus),MAX(0,AS60-CashBuffer))</f>
        <v/>
      </c>
      <c r="H61" s="12">
        <f>IF(G61&gt;0,MAX(1,ROUND(G61/'Sens - Scenarios'!$B$8*D61,0)),0)</f>
        <v/>
      </c>
      <c r="I61" s="12">
        <f>IF(H61&gt;0,ROUND(H61*ReferralMix/(1-ReferralMix),0),0)</f>
        <v/>
      </c>
      <c r="J61" s="12">
        <f>H61+I61</f>
        <v/>
      </c>
      <c r="K61" s="12">
        <f>ROUND(J61*(1-'Sens - Scenarios'!$B$7),0)</f>
        <v/>
      </c>
      <c r="L61" s="12">
        <f>J61-K61</f>
        <v/>
      </c>
      <c r="M61" s="12">
        <f>ROUND(K61*EssentialMix,0)</f>
        <v/>
      </c>
      <c r="N61" s="12">
        <f>ROUND(K61*PremiumMix,0)</f>
        <v/>
      </c>
      <c r="O61" s="12">
        <f>K61-M61-N61</f>
        <v/>
      </c>
      <c r="P61" s="12">
        <f>ROUND(L61*EssentialMix,0)</f>
        <v/>
      </c>
      <c r="Q61" s="12">
        <f>ROUND(L61*PremiumMix,0)</f>
        <v/>
      </c>
      <c r="R61" s="12">
        <f>L61-P61-Q61</f>
        <v/>
      </c>
      <c r="S61" s="12">
        <f>M61+M60+M59+MAX(0,S60-M60-M59)*(1-F61)</f>
        <v/>
      </c>
      <c r="T61" s="12">
        <f>N61+N60+N59+MAX(0,T60-N60-N59)*(1-F61)</f>
        <v/>
      </c>
      <c r="U61" s="12">
        <f>O61+O60+O59+MAX(0,U60-O60-O59)*(1-F61)</f>
        <v/>
      </c>
      <c r="V61" s="12">
        <f>V60+P61-P49*('Sens - Scenarios'!$B$6*VLOOKUP(B61,ChurnSeasonTable,4,FALSE))*POWER(1-('Sens - Scenarios'!$B$6*VLOOKUP(B61,ChurnSeasonTable,4,FALSE)),0)+P37*('Sens - Scenarios'!$B$6*VLOOKUP(B61,ChurnSeasonTable,4,FALSE))*POWER(1-('Sens - Scenarios'!$B$6*VLOOKUP(B61,ChurnSeasonTable,4,FALSE)),1)+P25*('Sens - Scenarios'!$B$6*VLOOKUP(B61,ChurnSeasonTable,4,FALSE))*POWER(1-('Sens - Scenarios'!$B$6*VLOOKUP(B61,ChurnSeasonTable,4,FALSE)),2)+P13*('Sens - Scenarios'!$B$6*VLOOKUP(B61,ChurnSeasonTable,4,FALSE))*POWER(1-('Sens - Scenarios'!$B$6*VLOOKUP(B61,ChurnSeasonTable,4,FALSE)),3)</f>
        <v/>
      </c>
      <c r="W61" s="12">
        <f>W60+Q61-Q49*('Sens - Scenarios'!$B$6*VLOOKUP(B61,ChurnSeasonTable,4,FALSE))*POWER(1-('Sens - Scenarios'!$B$6*VLOOKUP(B61,ChurnSeasonTable,4,FALSE)),0)+Q37*('Sens - Scenarios'!$B$6*VLOOKUP(B61,ChurnSeasonTable,4,FALSE))*POWER(1-('Sens - Scenarios'!$B$6*VLOOKUP(B61,ChurnSeasonTable,4,FALSE)),1)+Q25*('Sens - Scenarios'!$B$6*VLOOKUP(B61,ChurnSeasonTable,4,FALSE))*POWER(1-('Sens - Scenarios'!$B$6*VLOOKUP(B61,ChurnSeasonTable,4,FALSE)),2)+Q13*('Sens - Scenarios'!$B$6*VLOOKUP(B61,ChurnSeasonTable,4,FALSE))*POWER(1-('Sens - Scenarios'!$B$6*VLOOKUP(B61,ChurnSeasonTable,4,FALSE)),3)</f>
        <v/>
      </c>
      <c r="X61" s="12">
        <f>X60+R61-R49*('Sens - Scenarios'!$B$6*VLOOKUP(B61,ChurnSeasonTable,4,FALSE))*POWER(1-('Sens - Scenarios'!$B$6*VLOOKUP(B61,ChurnSeasonTable,4,FALSE)),0)+R37*('Sens - Scenarios'!$B$6*VLOOKUP(B61,ChurnSeasonTable,4,FALSE))*POWER(1-('Sens - Scenarios'!$B$6*VLOOKUP(B61,ChurnSeasonTable,4,FALSE)),1)+R25*('Sens - Scenarios'!$B$6*VLOOKUP(B61,ChurnSeasonTable,4,FALSE))*POWER(1-('Sens - Scenarios'!$B$6*VLOOKUP(B61,ChurnSeasonTable,4,FALSE)),2)+R13*('Sens - Scenarios'!$B$6*VLOOKUP(B61,ChurnSeasonTable,4,FALSE))*POWER(1-('Sens - Scenarios'!$B$6*VLOOKUP(B61,ChurnSeasonTable,4,FALSE)),3)</f>
        <v/>
      </c>
      <c r="Y61" s="12">
        <f>S61+T61+U61+V61+W61+X61</f>
        <v/>
      </c>
      <c r="Z61" s="9">
        <f>S61*BlendedPriceEssMonthly*E61+T61*BlendedPricePremMonthly*E61+U61*BlendedPriceEliteMonthly*E61+V61*BlendedPriceEssAnnual*E61/12+W61*BlendedPricePremAnnual*E61/12+X61*BlendedPriceEliteAnnual*E61/12</f>
        <v/>
      </c>
      <c r="AA61" s="9">
        <f>Z61*12</f>
        <v/>
      </c>
      <c r="AB61" s="12">
        <f>S61*BlendedPriceEssMonthly*E61+T61*BlendedPricePremMonthly*E61+U61*BlendedPriceEliteMonthly*E61</f>
        <v/>
      </c>
      <c r="AC61" s="12">
        <f>P61*BlendedPriceEssAnnual*E61+Q61*BlendedPricePremAnnual*E61+R61*BlendedPriceEliteAnnual*E61</f>
        <v/>
      </c>
      <c r="AD61" s="12">
        <f>P49*POWER(1-('Sens - Scenarios'!$B$6*VLOOKUP(B61,ChurnSeasonTable,4,FALSE)),1)*BlendedPriceEssAnnual*E61+P37*POWER(1-('Sens - Scenarios'!$B$6*VLOOKUP(B61,ChurnSeasonTable,4,FALSE)),2)*BlendedPriceEssAnnual*E61+P25*POWER(1-('Sens - Scenarios'!$B$6*VLOOKUP(B61,ChurnSeasonTable,4,FALSE)),3)*BlendedPriceEssAnnual*E61+P13*POWER(1-('Sens - Scenarios'!$B$6*VLOOKUP(B61,ChurnSeasonTable,4,FALSE)),4)*BlendedPriceEssAnnual*E61+Q49*POWER(1-('Sens - Scenarios'!$B$6*VLOOKUP(B61,ChurnSeasonTable,4,FALSE)),1)*BlendedPricePremAnnual*E61+Q37*POWER(1-('Sens - Scenarios'!$B$6*VLOOKUP(B61,ChurnSeasonTable,4,FALSE)),2)*BlendedPricePremAnnual*E61+Q25*POWER(1-('Sens - Scenarios'!$B$6*VLOOKUP(B61,ChurnSeasonTable,4,FALSE)),3)*BlendedPricePremAnnual*E61+Q13*POWER(1-('Sens - Scenarios'!$B$6*VLOOKUP(B61,ChurnSeasonTable,4,FALSE)),4)*BlendedPricePremAnnual*E61+R49*POWER(1-('Sens - Scenarios'!$B$6*VLOOKUP(B61,ChurnSeasonTable,4,FALSE)),1)*BlendedPriceEliteAnnual*E61+R37*POWER(1-('Sens - Scenarios'!$B$6*VLOOKUP(B61,ChurnSeasonTable,4,FALSE)),2)*BlendedPriceEliteAnnual*E61+R25*POWER(1-('Sens - Scenarios'!$B$6*VLOOKUP(B61,ChurnSeasonTable,4,FALSE)),3)*BlendedPriceEliteAnnual*E61+R13*POWER(1-('Sens - Scenarios'!$B$6*VLOOKUP(B61,ChurnSeasonTable,4,FALSE)),4)*BlendedPriceEliteAnnual*E61</f>
        <v/>
      </c>
      <c r="AE61" s="9">
        <f>AB61+AC61+AD61</f>
        <v/>
      </c>
      <c r="AF61" s="12">
        <f>SUM(AE50:AE61)</f>
        <v/>
      </c>
      <c r="AG61" s="12">
        <f>OR(AG60,IF(VATAgentMode,SUM($AE50:$AE61)-SUM($AL50:$AL61)&gt;=VATThreshold,SUM($AE50:$AE61)&gt;=VATThreshold))</f>
        <v/>
      </c>
      <c r="AH61" s="9">
        <f>IF(AG61,IF(VATAgentMode,AE61-((AE61-AL61)-(AE61-AL61)/(1+VATRate)),AE61/(1+VATRate)),AE61)</f>
        <v/>
      </c>
      <c r="AI61" s="12">
        <f>AE61-AH61</f>
        <v/>
      </c>
      <c r="AJ61" s="12">
        <f>IF(AG61=0,0,IF(B61=1,SUMPRODUCT(--(($C$5:$C61=$C61-1)*($B$5:$B61&gt;=10)*($B$5:$B61&lt;=12)),$AI$5:$AI61),IF(B61=4,SUMPRODUCT(--(($C$5:$C61=$C61)*($B$5:$B61&gt;=1)*($B$5:$B61&lt;=3)),$AI$5:$AI61),IF(B61=7,SUMPRODUCT(--(($C$5:$C61=$C61)*($B$5:$B61&gt;=4)*($B$5:$B61&lt;=6)),$AI$5:$AI61),IF(B61=10,SUMPRODUCT(--(($C$5:$C61=$C61)*($B$5:$B61&gt;=7)*($B$5:$B61&lt;=9)),$AI$5:$AI61),0)))))</f>
        <v/>
      </c>
      <c r="AK61" s="12">
        <f>AK60+AI61-AJ61</f>
        <v/>
      </c>
      <c r="AL61" s="12">
        <f>IF(ProviderDelay&gt;=1,S60*BlendedProvPayEss+T60*BlendedProvPayPrem+U60*BlendedProvPayElite+V60*BlendedProvPayEss+W60*BlendedProvPayPrem+X60*BlendedProvPayElite,S61*BlendedProvPayEss+T61*BlendedProvPayPrem+U61*BlendedProvPayElite+V61*BlendedProvPayEss+W61*BlendedProvPayPrem+X61*BlendedProvPayElite)</f>
        <v/>
      </c>
      <c r="AM61" s="12">
        <f>AE61*PaymentFee</f>
        <v/>
      </c>
      <c r="AN61" s="12">
        <f>Y61*OpsAI</f>
        <v/>
      </c>
      <c r="AO61" s="12">
        <f>MonthlyFixed</f>
        <v/>
      </c>
      <c r="AP61" s="12">
        <f>I61*ReferralReward</f>
        <v/>
      </c>
      <c r="AQ61" s="12">
        <f>G61</f>
        <v/>
      </c>
      <c r="AR61" s="9">
        <f>AH61-AL61-AM61-AN61-AO61-AP61-AQ61</f>
        <v/>
      </c>
      <c r="AS61" s="9">
        <f>AS60+AE61-(AL61+AM61+AN61+AO61+AP61+AQ61+AJ61)</f>
        <v/>
      </c>
      <c r="AT61" s="12">
        <f>IF(Y61&gt;0,Z61/Y61,0)</f>
        <v/>
      </c>
      <c r="AU61" s="11">
        <f>IF(Y60&gt;0,MAX(0,(Y60+J61-Y61)/Y60),0)</f>
        <v/>
      </c>
      <c r="AW61" s="12" t="n">
        <v>57</v>
      </c>
      <c r="AX61" s="12">
        <f>MOD(AW61-1+LaunchMonth-1,12)+1</f>
        <v/>
      </c>
      <c r="AY61" s="12">
        <f>INT((AW61-1+LaunchMonth-1)/12)+1</f>
        <v/>
      </c>
      <c r="AZ61" s="12">
        <f>VLOOKUP(AX61,SeasonTable,2,FALSE)</f>
        <v/>
      </c>
      <c r="BA61" s="12">
        <f>(1+InflationRate)^INT((AW61-1)/12)</f>
        <v/>
      </c>
      <c r="BB61" s="11">
        <f>MonthlyChurn*VLOOKUP(AX61,ChurnSeasonTable,4,FALSE)</f>
        <v/>
      </c>
      <c r="BC61" s="12">
        <f>MIN(MAX(MktMin19plus,CA60*MktPct19plus),MAX(0,CO60-CashBuffer))</f>
        <v/>
      </c>
      <c r="BD61" s="12">
        <f>IF(BC61&gt;0,MAX(1,ROUND(BC61/CAC*AZ61,0)),0)</f>
        <v/>
      </c>
      <c r="BE61" s="12">
        <f>IF(BD61&gt;0,ROUND(BD61*ReferralMix/(1-ReferralMix),0),0)</f>
        <v/>
      </c>
      <c r="BF61" s="12">
        <f>BD61+BE61</f>
        <v/>
      </c>
      <c r="BG61" s="12">
        <f>ROUND(BF61*(1-AnnualMix),0)</f>
        <v/>
      </c>
      <c r="BH61" s="12">
        <f>BF61-BG61</f>
        <v/>
      </c>
      <c r="BI61" s="12">
        <f>ROUND(BG61*EssentialMix,0)</f>
        <v/>
      </c>
      <c r="BJ61" s="12">
        <f>ROUND(BG61*PremiumMix,0)</f>
        <v/>
      </c>
      <c r="BK61" s="12">
        <f>BG61-BI61-BJ61</f>
        <v/>
      </c>
      <c r="BL61" s="12">
        <f>ROUND(BH61*EssentialMix,0)</f>
        <v/>
      </c>
      <c r="BM61" s="12">
        <f>ROUND(BH61*PremiumMix,0)</f>
        <v/>
      </c>
      <c r="BN61" s="12">
        <f>BH61-BL61-BM61</f>
        <v/>
      </c>
      <c r="BO61" s="12">
        <f>BI61+BI60+BI59+MAX(0,BO60-BI60-BI59)*(1-BB61)</f>
        <v/>
      </c>
      <c r="BP61" s="12">
        <f>BJ61+BJ60+BJ59+MAX(0,BP60-BJ60-BJ59)*(1-BB61)</f>
        <v/>
      </c>
      <c r="BQ61" s="12">
        <f>BK61+BK60+BK59+MAX(0,BQ60-BK60-BK59)*(1-BB61)</f>
        <v/>
      </c>
      <c r="BR61" s="12">
        <f>BR60+BL61-BL49*(AnnualChurn*VLOOKUP(AX61,ChurnSeasonTable,4,FALSE))*POWER(1-(AnnualChurn*VLOOKUP(AX61,ChurnSeasonTable,4,FALSE)),0)+BL37*(AnnualChurn*VLOOKUP(AX61,ChurnSeasonTable,4,FALSE))*POWER(1-(AnnualChurn*VLOOKUP(AX61,ChurnSeasonTable,4,FALSE)),1)+BL25*(AnnualChurn*VLOOKUP(AX61,ChurnSeasonTable,4,FALSE))*POWER(1-(AnnualChurn*VLOOKUP(AX61,ChurnSeasonTable,4,FALSE)),2)+BL13*(AnnualChurn*VLOOKUP(AX61,ChurnSeasonTable,4,FALSE))*POWER(1-(AnnualChurn*VLOOKUP(AX61,ChurnSeasonTable,4,FALSE)),3)</f>
        <v/>
      </c>
      <c r="BS61" s="12">
        <f>BS60+BM61-BM49*(AnnualChurn*VLOOKUP(AX61,ChurnSeasonTable,4,FALSE))*POWER(1-(AnnualChurn*VLOOKUP(AX61,ChurnSeasonTable,4,FALSE)),0)+BM37*(AnnualChurn*VLOOKUP(AX61,ChurnSeasonTable,4,FALSE))*POWER(1-(AnnualChurn*VLOOKUP(AX61,ChurnSeasonTable,4,FALSE)),1)+BM25*(AnnualChurn*VLOOKUP(AX61,ChurnSeasonTable,4,FALSE))*POWER(1-(AnnualChurn*VLOOKUP(AX61,ChurnSeasonTable,4,FALSE)),2)+BM13*(AnnualChurn*VLOOKUP(AX61,ChurnSeasonTable,4,FALSE))*POWER(1-(AnnualChurn*VLOOKUP(AX61,ChurnSeasonTable,4,FALSE)),3)</f>
        <v/>
      </c>
      <c r="BT61" s="12">
        <f>BT60+BN61-BN49*(AnnualChurn*VLOOKUP(AX61,ChurnSeasonTable,4,FALSE))*POWER(1-(AnnualChurn*VLOOKUP(AX61,ChurnSeasonTable,4,FALSE)),0)+BN37*(AnnualChurn*VLOOKUP(AX61,ChurnSeasonTable,4,FALSE))*POWER(1-(AnnualChurn*VLOOKUP(AX61,ChurnSeasonTable,4,FALSE)),1)+BN25*(AnnualChurn*VLOOKUP(AX61,ChurnSeasonTable,4,FALSE))*POWER(1-(AnnualChurn*VLOOKUP(AX61,ChurnSeasonTable,4,FALSE)),2)+BN13*(AnnualChurn*VLOOKUP(AX61,ChurnSeasonTable,4,FALSE))*POWER(1-(AnnualChurn*VLOOKUP(AX61,ChurnSeasonTable,4,FALSE)),3)</f>
        <v/>
      </c>
      <c r="BU61" s="12">
        <f>BO61+BP61+BQ61+BR61+BS61+BT61</f>
        <v/>
      </c>
      <c r="BV61" s="9">
        <f>BO61*BlendedPriceEssMonthly*BA61+BP61*BlendedPricePremMonthly*BA61+BQ61*BlendedPriceEliteMonthly*BA61+BR61*BlendedPriceEssAnnual*BA61/12+BS61*BlendedPricePremAnnual*BA61/12+BT61*BlendedPriceEliteAnnual*BA61/12</f>
        <v/>
      </c>
      <c r="BW61" s="9">
        <f>BV61*12</f>
        <v/>
      </c>
      <c r="BX61" s="12">
        <f>BO61*BlendedPriceEssMonthly*BA61+BP61*BlendedPricePremMonthly*BA61+BQ61*BlendedPriceEliteMonthly*BA61</f>
        <v/>
      </c>
      <c r="BY61" s="12">
        <f>BL61*BlendedPriceEssAnnual*BA61+BM61*BlendedPricePremAnnual*BA61+BN61*BlendedPriceEliteAnnual*BA61</f>
        <v/>
      </c>
      <c r="BZ61" s="12">
        <f>BL49*POWER(1-(AnnualChurn*VLOOKUP(AX61,ChurnSeasonTable,4,FALSE)),1)*BlendedPriceEssAnnual*BA61+BL37*POWER(1-(AnnualChurn*VLOOKUP(AX61,ChurnSeasonTable,4,FALSE)),2)*BlendedPriceEssAnnual*BA61+BL25*POWER(1-(AnnualChurn*VLOOKUP(AX61,ChurnSeasonTable,4,FALSE)),3)*BlendedPriceEssAnnual*BA61+BL13*POWER(1-(AnnualChurn*VLOOKUP(AX61,ChurnSeasonTable,4,FALSE)),4)*BlendedPriceEssAnnual*BA61+BM49*POWER(1-(AnnualChurn*VLOOKUP(AX61,ChurnSeasonTable,4,FALSE)),1)*BlendedPricePremAnnual*BA61+BM37*POWER(1-(AnnualChurn*VLOOKUP(AX61,ChurnSeasonTable,4,FALSE)),2)*BlendedPricePremAnnual*BA61+BM25*POWER(1-(AnnualChurn*VLOOKUP(AX61,ChurnSeasonTable,4,FALSE)),3)*BlendedPricePremAnnual*BA61+BM13*POWER(1-(AnnualChurn*VLOOKUP(AX61,ChurnSeasonTable,4,FALSE)),4)*BlendedPricePremAnnual*BA61+BN49*POWER(1-(AnnualChurn*VLOOKUP(AX61,ChurnSeasonTable,4,FALSE)),1)*BlendedPriceEliteAnnual*BA61+BN37*POWER(1-(AnnualChurn*VLOOKUP(AX61,ChurnSeasonTable,4,FALSE)),2)*BlendedPriceEliteAnnual*BA61+BN25*POWER(1-(AnnualChurn*VLOOKUP(AX61,ChurnSeasonTable,4,FALSE)),3)*BlendedPriceEliteAnnual*BA61+BN13*POWER(1-(AnnualChurn*VLOOKUP(AX61,ChurnSeasonTable,4,FALSE)),4)*BlendedPriceEliteAnnual*BA61</f>
        <v/>
      </c>
      <c r="CA61" s="9">
        <f>BX61+BY61+BZ61</f>
        <v/>
      </c>
      <c r="CB61" s="12">
        <f>SUM(CA50:CA61)</f>
        <v/>
      </c>
      <c r="CC61" s="12">
        <f>OR(CC60,IF(VATAgentMode,SUM($CA50:$CA61)-SUM($CH50:$CH61)&gt;=VATThreshold,SUM($CA50:$CA61)&gt;=VATThreshold))</f>
        <v/>
      </c>
      <c r="CD61" s="9">
        <f>IF(CC61,IF(VATAgentMode,CA61-((CA61-CH61)-(CA61-CH61)/(1+VATRate)),CA61/(1+VATRate)),CA61)</f>
        <v/>
      </c>
      <c r="CE61" s="12">
        <f>CA61-CD61</f>
        <v/>
      </c>
      <c r="CF61" s="12">
        <f>IF(CC61=0,0,IF(AX61=1,SUMPRODUCT(--(($AY$5:$AY61=$AY61-1)*($AX$5:$AX61&gt;=10)*($AX$5:$AX61&lt;=12)),$CE$5:$CE61),IF(AX61=4,SUMPRODUCT(--(($AY$5:$AY61=$AY61)*($AX$5:$AX61&gt;=1)*($AX$5:$AX61&lt;=3)),$CE$5:$CE61),IF(AX61=7,SUMPRODUCT(--(($AY$5:$AY61=$AY61)*($AX$5:$AX61&gt;=4)*($AX$5:$AX61&lt;=6)),$CE$5:$CE61),IF(AX61=10,SUMPRODUCT(--(($AY$5:$AY61=$AY61)*($AX$5:$AX61&gt;=7)*($AX$5:$AX61&lt;=9)),$CE$5:$CE61),0)))))</f>
        <v/>
      </c>
      <c r="CG61" s="12">
        <f>CG60+CE61-CF61</f>
        <v/>
      </c>
      <c r="CH61" s="12">
        <f>IF(ProviderDelay&gt;=1,BO60*BlendedProvPayEss+BP60*BlendedProvPayPrem+BQ60*BlendedProvPayElite+BR60*BlendedProvPayEss+BS60*BlendedProvPayPrem+BT60*BlendedProvPayElite,BO61*BlendedProvPayEss+BP61*BlendedProvPayPrem+BQ61*BlendedProvPayElite+BR61*BlendedProvPayEss+BS61*BlendedProvPayPrem+BT61*BlendedProvPayElite)</f>
        <v/>
      </c>
      <c r="CI61" s="12">
        <f>CA61*PaymentFee</f>
        <v/>
      </c>
      <c r="CJ61" s="12">
        <f>BU61*OpsAI</f>
        <v/>
      </c>
      <c r="CK61" s="12">
        <f>MonthlyFixed</f>
        <v/>
      </c>
      <c r="CL61" s="12">
        <f>BE61*ReferralReward</f>
        <v/>
      </c>
      <c r="CM61" s="12">
        <f>BC61</f>
        <v/>
      </c>
      <c r="CN61" s="9">
        <f>CD61-CH61-CI61-CJ61-CK61-CL61-CM61</f>
        <v/>
      </c>
      <c r="CO61" s="9">
        <f>CO60+CA61-(CH61+CI61+CJ61+CK61+CL61+CM61+CF61)</f>
        <v/>
      </c>
      <c r="CP61" s="12">
        <f>IF(BU61&gt;0,BV61/BU61,0)</f>
        <v/>
      </c>
      <c r="CQ61" s="11">
        <f>IF(BU60&gt;0,MAX(0,(BU60+BF61-BU61)/BU60),0)</f>
        <v/>
      </c>
      <c r="CS61" s="12" t="n">
        <v>57</v>
      </c>
      <c r="CT61" s="12">
        <f>MOD(CS61-1+LaunchMonth-1,12)+1</f>
        <v/>
      </c>
      <c r="CU61" s="12">
        <f>INT((CS61-1+LaunchMonth-1)/12)+1</f>
        <v/>
      </c>
      <c r="CV61" s="12">
        <f>VLOOKUP(CT61,SeasonTable,2,FALSE)</f>
        <v/>
      </c>
      <c r="CW61" s="12">
        <f>(1+InflationRate)^INT((CS61-1)/12)</f>
        <v/>
      </c>
      <c r="CX61" s="11">
        <f>'Sens - Scenarios'!$D$5*VLOOKUP(CT61,ChurnSeasonTable,4,FALSE)</f>
        <v/>
      </c>
      <c r="CY61" s="12">
        <f>MIN(MAX(MktMin19plus,DW60*MktPct19plus),MAX(0,EK60-CashBuffer))</f>
        <v/>
      </c>
      <c r="CZ61" s="12">
        <f>IF(CY61&gt;0,MAX(1,ROUND(CY61/'Sens - Scenarios'!$D$8*CV61,0)),0)</f>
        <v/>
      </c>
      <c r="DA61" s="12">
        <f>IF(CZ61&gt;0,ROUND(CZ61*ReferralMix/(1-ReferralMix),0),0)</f>
        <v/>
      </c>
      <c r="DB61" s="12">
        <f>CZ61+DA61</f>
        <v/>
      </c>
      <c r="DC61" s="12">
        <f>ROUND(DB61*(1-'Sens - Scenarios'!$D$7),0)</f>
        <v/>
      </c>
      <c r="DD61" s="12">
        <f>DB61-DC61</f>
        <v/>
      </c>
      <c r="DE61" s="12">
        <f>ROUND(DC61*EssentialMix,0)</f>
        <v/>
      </c>
      <c r="DF61" s="12">
        <f>ROUND(DC61*PremiumMix,0)</f>
        <v/>
      </c>
      <c r="DG61" s="12">
        <f>DC61-DE61-DF61</f>
        <v/>
      </c>
      <c r="DH61" s="12">
        <f>ROUND(DD61*EssentialMix,0)</f>
        <v/>
      </c>
      <c r="DI61" s="12">
        <f>ROUND(DD61*PremiumMix,0)</f>
        <v/>
      </c>
      <c r="DJ61" s="12">
        <f>DD61-DH61-DI61</f>
        <v/>
      </c>
      <c r="DK61" s="12">
        <f>DE61+DE60+DE59+MAX(0,DK60-DE60-DE59)*(1-CX61)</f>
        <v/>
      </c>
      <c r="DL61" s="12">
        <f>DF61+DF60+DF59+MAX(0,DL60-DF60-DF59)*(1-CX61)</f>
        <v/>
      </c>
      <c r="DM61" s="12">
        <f>DG61+DG60+DG59+MAX(0,DM60-DG60-DG59)*(1-CX61)</f>
        <v/>
      </c>
      <c r="DN61" s="12">
        <f>DN60+DH61-DH49*('Sens - Scenarios'!$D$6*VLOOKUP(CT61,ChurnSeasonTable,4,FALSE))*POWER(1-('Sens - Scenarios'!$D$6*VLOOKUP(CT61,ChurnSeasonTable,4,FALSE)),0)+DH37*('Sens - Scenarios'!$D$6*VLOOKUP(CT61,ChurnSeasonTable,4,FALSE))*POWER(1-('Sens - Scenarios'!$D$6*VLOOKUP(CT61,ChurnSeasonTable,4,FALSE)),1)+DH25*('Sens - Scenarios'!$D$6*VLOOKUP(CT61,ChurnSeasonTable,4,FALSE))*POWER(1-('Sens - Scenarios'!$D$6*VLOOKUP(CT61,ChurnSeasonTable,4,FALSE)),2)+DH13*('Sens - Scenarios'!$D$6*VLOOKUP(CT61,ChurnSeasonTable,4,FALSE))*POWER(1-('Sens - Scenarios'!$D$6*VLOOKUP(CT61,ChurnSeasonTable,4,FALSE)),3)</f>
        <v/>
      </c>
      <c r="DO61" s="12">
        <f>DO60+DI61-DI49*('Sens - Scenarios'!$D$6*VLOOKUP(CT61,ChurnSeasonTable,4,FALSE))*POWER(1-('Sens - Scenarios'!$D$6*VLOOKUP(CT61,ChurnSeasonTable,4,FALSE)),0)+DI37*('Sens - Scenarios'!$D$6*VLOOKUP(CT61,ChurnSeasonTable,4,FALSE))*POWER(1-('Sens - Scenarios'!$D$6*VLOOKUP(CT61,ChurnSeasonTable,4,FALSE)),1)+DI25*('Sens - Scenarios'!$D$6*VLOOKUP(CT61,ChurnSeasonTable,4,FALSE))*POWER(1-('Sens - Scenarios'!$D$6*VLOOKUP(CT61,ChurnSeasonTable,4,FALSE)),2)+DI13*('Sens - Scenarios'!$D$6*VLOOKUP(CT61,ChurnSeasonTable,4,FALSE))*POWER(1-('Sens - Scenarios'!$D$6*VLOOKUP(CT61,ChurnSeasonTable,4,FALSE)),3)</f>
        <v/>
      </c>
      <c r="DP61" s="12">
        <f>DP60+DJ61-DJ49*('Sens - Scenarios'!$D$6*VLOOKUP(CT61,ChurnSeasonTable,4,FALSE))*POWER(1-('Sens - Scenarios'!$D$6*VLOOKUP(CT61,ChurnSeasonTable,4,FALSE)),0)+DJ37*('Sens - Scenarios'!$D$6*VLOOKUP(CT61,ChurnSeasonTable,4,FALSE))*POWER(1-('Sens - Scenarios'!$D$6*VLOOKUP(CT61,ChurnSeasonTable,4,FALSE)),1)+DJ25*('Sens - Scenarios'!$D$6*VLOOKUP(CT61,ChurnSeasonTable,4,FALSE))*POWER(1-('Sens - Scenarios'!$D$6*VLOOKUP(CT61,ChurnSeasonTable,4,FALSE)),2)+DJ13*('Sens - Scenarios'!$D$6*VLOOKUP(CT61,ChurnSeasonTable,4,FALSE))*POWER(1-('Sens - Scenarios'!$D$6*VLOOKUP(CT61,ChurnSeasonTable,4,FALSE)),3)</f>
        <v/>
      </c>
      <c r="DQ61" s="12">
        <f>DK61+DL61+DM61+DN61+DO61+DP61</f>
        <v/>
      </c>
      <c r="DR61" s="9">
        <f>DK61*BlendedPriceEssMonthly*CW61+DL61*BlendedPricePremMonthly*CW61+DM61*BlendedPriceEliteMonthly*CW61+DN61*BlendedPriceEssAnnual*CW61/12+DO61*BlendedPricePremAnnual*CW61/12+DP61*BlendedPriceEliteAnnual*CW61/12</f>
        <v/>
      </c>
      <c r="DS61" s="9">
        <f>DR61*12</f>
        <v/>
      </c>
      <c r="DT61" s="12">
        <f>DK61*BlendedPriceEssMonthly*CW61+DL61*BlendedPricePremMonthly*CW61+DM61*BlendedPriceEliteMonthly*CW61</f>
        <v/>
      </c>
      <c r="DU61" s="12">
        <f>DH61*BlendedPriceEssAnnual*CW61+DI61*BlendedPricePremAnnual*CW61+DJ61*BlendedPriceEliteAnnual*CW61</f>
        <v/>
      </c>
      <c r="DV61" s="12">
        <f>DH49*POWER(1-('Sens - Scenarios'!$D$6*VLOOKUP(CT61,ChurnSeasonTable,4,FALSE)),1)*BlendedPriceEssAnnual*CW61+DH37*POWER(1-('Sens - Scenarios'!$D$6*VLOOKUP(CT61,ChurnSeasonTable,4,FALSE)),2)*BlendedPriceEssAnnual*CW61+DH25*POWER(1-('Sens - Scenarios'!$D$6*VLOOKUP(CT61,ChurnSeasonTable,4,FALSE)),3)*BlendedPriceEssAnnual*CW61+DH13*POWER(1-('Sens - Scenarios'!$D$6*VLOOKUP(CT61,ChurnSeasonTable,4,FALSE)),4)*BlendedPriceEssAnnual*CW61+DI49*POWER(1-('Sens - Scenarios'!$D$6*VLOOKUP(CT61,ChurnSeasonTable,4,FALSE)),1)*BlendedPricePremAnnual*CW61+DI37*POWER(1-('Sens - Scenarios'!$D$6*VLOOKUP(CT61,ChurnSeasonTable,4,FALSE)),2)*BlendedPricePremAnnual*CW61+DI25*POWER(1-('Sens - Scenarios'!$D$6*VLOOKUP(CT61,ChurnSeasonTable,4,FALSE)),3)*BlendedPricePremAnnual*CW61+DI13*POWER(1-('Sens - Scenarios'!$D$6*VLOOKUP(CT61,ChurnSeasonTable,4,FALSE)),4)*BlendedPricePremAnnual*CW61+DJ49*POWER(1-('Sens - Scenarios'!$D$6*VLOOKUP(CT61,ChurnSeasonTable,4,FALSE)),1)*BlendedPriceEliteAnnual*CW61+DJ37*POWER(1-('Sens - Scenarios'!$D$6*VLOOKUP(CT61,ChurnSeasonTable,4,FALSE)),2)*BlendedPriceEliteAnnual*CW61+DJ25*POWER(1-('Sens - Scenarios'!$D$6*VLOOKUP(CT61,ChurnSeasonTable,4,FALSE)),3)*BlendedPriceEliteAnnual*CW61+DJ13*POWER(1-('Sens - Scenarios'!$D$6*VLOOKUP(CT61,ChurnSeasonTable,4,FALSE)),4)*BlendedPriceEliteAnnual*CW61</f>
        <v/>
      </c>
      <c r="DW61" s="9">
        <f>DT61+DU61+DV61</f>
        <v/>
      </c>
      <c r="DX61" s="12">
        <f>SUM(DW50:DW61)</f>
        <v/>
      </c>
      <c r="DY61" s="12">
        <f>OR(DY60,IF(VATAgentMode,SUM($DW50:$DW61)-SUM($ED50:$ED61)&gt;=VATThreshold,SUM($DW50:$DW61)&gt;=VATThreshold))</f>
        <v/>
      </c>
      <c r="DZ61" s="9">
        <f>IF(DY61,IF(VATAgentMode,DW61-((DW61-ED61)-(DW61-ED61)/(1+VATRate)),DW61/(1+VATRate)),DW61)</f>
        <v/>
      </c>
      <c r="EA61" s="12">
        <f>DW61-DZ61</f>
        <v/>
      </c>
      <c r="EB61" s="12">
        <f>IF(DY61=0,0,IF(CT61=1,SUMPRODUCT(--(($CU$5:$CU61=$CU61-1)*($CT$5:$CT61&gt;=10)*($CT$5:$CT61&lt;=12)),$EA$5:$EA61),IF(CT61=4,SUMPRODUCT(--(($CU$5:$CU61=$CU61)*($CT$5:$CT61&gt;=1)*($CT$5:$CT61&lt;=3)),$EA$5:$EA61),IF(CT61=7,SUMPRODUCT(--(($CU$5:$CU61=$CU61)*($CT$5:$CT61&gt;=4)*($CT$5:$CT61&lt;=6)),$EA$5:$EA61),IF(CT61=10,SUMPRODUCT(--(($CU$5:$CU61=$CU61)*($CT$5:$CT61&gt;=7)*($CT$5:$CT61&lt;=9)),$EA$5:$EA61),0)))))</f>
        <v/>
      </c>
      <c r="EC61" s="12">
        <f>EC60+EA61-EB61</f>
        <v/>
      </c>
      <c r="ED61" s="12">
        <f>IF(ProviderDelay&gt;=1,DK60*BlendedProvPayEss+DL60*BlendedProvPayPrem+DM60*BlendedProvPayElite+DN60*BlendedProvPayEss+DO60*BlendedProvPayPrem+DP60*BlendedProvPayElite,DK61*BlendedProvPayEss+DL61*BlendedProvPayPrem+DM61*BlendedProvPayElite+DN61*BlendedProvPayEss+DO61*BlendedProvPayPrem+DP61*BlendedProvPayElite)</f>
        <v/>
      </c>
      <c r="EE61" s="12">
        <f>DW61*PaymentFee</f>
        <v/>
      </c>
      <c r="EF61" s="12">
        <f>DQ61*OpsAI</f>
        <v/>
      </c>
      <c r="EG61" s="12">
        <f>MonthlyFixed</f>
        <v/>
      </c>
      <c r="EH61" s="12">
        <f>DA61*ReferralReward</f>
        <v/>
      </c>
      <c r="EI61" s="12">
        <f>CY61</f>
        <v/>
      </c>
      <c r="EJ61" s="9">
        <f>DZ61-ED61-EE61-EF61-EG61-EH61-EI61</f>
        <v/>
      </c>
      <c r="EK61" s="9">
        <f>EK60+DW61-(ED61+EE61+EF61+EG61+EH61+EI61+EB61)</f>
        <v/>
      </c>
      <c r="EL61" s="12">
        <f>IF(DQ61&gt;0,DR61/DQ61,0)</f>
        <v/>
      </c>
      <c r="EM61" s="11">
        <f>IF(DQ60&gt;0,MAX(0,(DQ60+DB61-DQ61)/DQ60),0)</f>
        <v/>
      </c>
      <c r="EO61" s="12" t="n">
        <v>57</v>
      </c>
      <c r="EP61" s="12">
        <f>MOD(EO61-1+LaunchMonth-1,12)+1</f>
        <v/>
      </c>
      <c r="EQ61" s="12">
        <f>INT((EO61-1+LaunchMonth-1)/12)+1</f>
        <v/>
      </c>
      <c r="ER61" s="12">
        <f>VLOOKUP(EP61,SeasonTable,2,FALSE)</f>
        <v/>
      </c>
      <c r="ES61" s="12">
        <f>(1+InflationRate)^INT((EO61-1)/12)</f>
        <v/>
      </c>
      <c r="ET61" s="11">
        <f>'Sens - Churn'!$A$13*VLOOKUP(EP61,ChurnSeasonTable,4,FALSE)</f>
        <v/>
      </c>
      <c r="EU61" s="12">
        <f>MIN(MAX(MktMin19plus,FS60*MktPct19plus),MAX(0,GG60-CashBuffer))</f>
        <v/>
      </c>
      <c r="EV61" s="12">
        <f>IF(EU61&gt;0,MAX(1,ROUND(EU61/CAC*ER61,0)),0)</f>
        <v/>
      </c>
      <c r="EW61" s="12">
        <f>IF(EV61&gt;0,ROUND(EV61*ReferralMix/(1-ReferralMix),0),0)</f>
        <v/>
      </c>
      <c r="EX61" s="12">
        <f>EV61+EW61</f>
        <v/>
      </c>
      <c r="EY61" s="12">
        <f>ROUND(EX61*(1-AnnualMix),0)</f>
        <v/>
      </c>
      <c r="EZ61" s="12">
        <f>EX61-EY61</f>
        <v/>
      </c>
      <c r="FA61" s="12">
        <f>ROUND(EY61*EssentialMix,0)</f>
        <v/>
      </c>
      <c r="FB61" s="12">
        <f>ROUND(EY61*PremiumMix,0)</f>
        <v/>
      </c>
      <c r="FC61" s="12">
        <f>EY61-FA61-FB61</f>
        <v/>
      </c>
      <c r="FD61" s="12">
        <f>ROUND(EZ61*EssentialMix,0)</f>
        <v/>
      </c>
      <c r="FE61" s="12">
        <f>ROUND(EZ61*PremiumMix,0)</f>
        <v/>
      </c>
      <c r="FF61" s="12">
        <f>EZ61-FD61-FE61</f>
        <v/>
      </c>
      <c r="FG61" s="12">
        <f>FA61+FA60+FA59+MAX(0,FG60-FA60-FA59)*(1-ET61)</f>
        <v/>
      </c>
      <c r="FH61" s="12">
        <f>FB61+FB60+FB59+MAX(0,FH60-FB60-FB59)*(1-ET61)</f>
        <v/>
      </c>
      <c r="FI61" s="12">
        <f>FC61+FC60+FC59+MAX(0,FI60-FC60-FC59)*(1-ET61)</f>
        <v/>
      </c>
      <c r="FJ61" s="12">
        <f>FJ60+FD61-FD49*(AnnualChurn*VLOOKUP(EP61,ChurnSeasonTable,4,FALSE))*POWER(1-(AnnualChurn*VLOOKUP(EP61,ChurnSeasonTable,4,FALSE)),0)+FD37*(AnnualChurn*VLOOKUP(EP61,ChurnSeasonTable,4,FALSE))*POWER(1-(AnnualChurn*VLOOKUP(EP61,ChurnSeasonTable,4,FALSE)),1)+FD25*(AnnualChurn*VLOOKUP(EP61,ChurnSeasonTable,4,FALSE))*POWER(1-(AnnualChurn*VLOOKUP(EP61,ChurnSeasonTable,4,FALSE)),2)+FD13*(AnnualChurn*VLOOKUP(EP61,ChurnSeasonTable,4,FALSE))*POWER(1-(AnnualChurn*VLOOKUP(EP61,ChurnSeasonTable,4,FALSE)),3)</f>
        <v/>
      </c>
      <c r="FK61" s="12">
        <f>FK60+FE61-FE49*(AnnualChurn*VLOOKUP(EP61,ChurnSeasonTable,4,FALSE))*POWER(1-(AnnualChurn*VLOOKUP(EP61,ChurnSeasonTable,4,FALSE)),0)+FE37*(AnnualChurn*VLOOKUP(EP61,ChurnSeasonTable,4,FALSE))*POWER(1-(AnnualChurn*VLOOKUP(EP61,ChurnSeasonTable,4,FALSE)),1)+FE25*(AnnualChurn*VLOOKUP(EP61,ChurnSeasonTable,4,FALSE))*POWER(1-(AnnualChurn*VLOOKUP(EP61,ChurnSeasonTable,4,FALSE)),2)+FE13*(AnnualChurn*VLOOKUP(EP61,ChurnSeasonTable,4,FALSE))*POWER(1-(AnnualChurn*VLOOKUP(EP61,ChurnSeasonTable,4,FALSE)),3)</f>
        <v/>
      </c>
      <c r="FL61" s="12">
        <f>FL60+FF61-FF49*(AnnualChurn*VLOOKUP(EP61,ChurnSeasonTable,4,FALSE))*POWER(1-(AnnualChurn*VLOOKUP(EP61,ChurnSeasonTable,4,FALSE)),0)+FF37*(AnnualChurn*VLOOKUP(EP61,ChurnSeasonTable,4,FALSE))*POWER(1-(AnnualChurn*VLOOKUP(EP61,ChurnSeasonTable,4,FALSE)),1)+FF25*(AnnualChurn*VLOOKUP(EP61,ChurnSeasonTable,4,FALSE))*POWER(1-(AnnualChurn*VLOOKUP(EP61,ChurnSeasonTable,4,FALSE)),2)+FF13*(AnnualChurn*VLOOKUP(EP61,ChurnSeasonTable,4,FALSE))*POWER(1-(AnnualChurn*VLOOKUP(EP61,ChurnSeasonTable,4,FALSE)),3)</f>
        <v/>
      </c>
      <c r="FM61" s="12">
        <f>FG61+FH61+FI61+FJ61+FK61+FL61</f>
        <v/>
      </c>
      <c r="FN61" s="9">
        <f>FG61*BlendedPriceEssMonthly*ES61+FH61*BlendedPricePremMonthly*ES61+FI61*BlendedPriceEliteMonthly*ES61+FJ61*BlendedPriceEssAnnual*ES61/12+FK61*BlendedPricePremAnnual*ES61/12+FL61*BlendedPriceEliteAnnual*ES61/12</f>
        <v/>
      </c>
      <c r="FO61" s="9">
        <f>FN61*12</f>
        <v/>
      </c>
      <c r="FP61" s="12">
        <f>FG61*BlendedPriceEssMonthly*ES61+FH61*BlendedPricePremMonthly*ES61+FI61*BlendedPriceEliteMonthly*ES61</f>
        <v/>
      </c>
      <c r="FQ61" s="12">
        <f>FD61*BlendedPriceEssAnnual*ES61+FE61*BlendedPricePremAnnual*ES61+FF61*BlendedPriceEliteAnnual*ES61</f>
        <v/>
      </c>
      <c r="FR61" s="12">
        <f>FD49*POWER(1-(AnnualChurn*VLOOKUP(EP61,ChurnSeasonTable,4,FALSE)),1)*BlendedPriceEssAnnual*ES61+FD37*POWER(1-(AnnualChurn*VLOOKUP(EP61,ChurnSeasonTable,4,FALSE)),2)*BlendedPriceEssAnnual*ES61+FD25*POWER(1-(AnnualChurn*VLOOKUP(EP61,ChurnSeasonTable,4,FALSE)),3)*BlendedPriceEssAnnual*ES61+FD13*POWER(1-(AnnualChurn*VLOOKUP(EP61,ChurnSeasonTable,4,FALSE)),4)*BlendedPriceEssAnnual*ES61+FE49*POWER(1-(AnnualChurn*VLOOKUP(EP61,ChurnSeasonTable,4,FALSE)),1)*BlendedPricePremAnnual*ES61+FE37*POWER(1-(AnnualChurn*VLOOKUP(EP61,ChurnSeasonTable,4,FALSE)),2)*BlendedPricePremAnnual*ES61+FE25*POWER(1-(AnnualChurn*VLOOKUP(EP61,ChurnSeasonTable,4,FALSE)),3)*BlendedPricePremAnnual*ES61+FE13*POWER(1-(AnnualChurn*VLOOKUP(EP61,ChurnSeasonTable,4,FALSE)),4)*BlendedPricePremAnnual*ES61+FF49*POWER(1-(AnnualChurn*VLOOKUP(EP61,ChurnSeasonTable,4,FALSE)),1)*BlendedPriceEliteAnnual*ES61+FF37*POWER(1-(AnnualChurn*VLOOKUP(EP61,ChurnSeasonTable,4,FALSE)),2)*BlendedPriceEliteAnnual*ES61+FF25*POWER(1-(AnnualChurn*VLOOKUP(EP61,ChurnSeasonTable,4,FALSE)),3)*BlendedPriceEliteAnnual*ES61+FF13*POWER(1-(AnnualChurn*VLOOKUP(EP61,ChurnSeasonTable,4,FALSE)),4)*BlendedPriceEliteAnnual*ES61</f>
        <v/>
      </c>
      <c r="FS61" s="9">
        <f>FP61+FQ61+FR61</f>
        <v/>
      </c>
      <c r="FT61" s="12">
        <f>SUM(FS50:FS61)</f>
        <v/>
      </c>
      <c r="FU61" s="12">
        <f>OR(FU60,IF(VATAgentMode,SUM($FS50:$FS61)-SUM($FZ50:$FZ61)&gt;=VATThreshold,SUM($FS50:$FS61)&gt;=VATThreshold))</f>
        <v/>
      </c>
      <c r="FV61" s="9">
        <f>IF(FU61,IF(VATAgentMode,FS61-((FS61-FZ61)-(FS61-FZ61)/(1+VATRate)),FS61/(1+VATRate)),FS61)</f>
        <v/>
      </c>
      <c r="FW61" s="12">
        <f>FS61-FV61</f>
        <v/>
      </c>
      <c r="FX61" s="12">
        <f>IF(FU61=0,0,IF(EP61=1,SUMPRODUCT(--(($EQ$5:$EQ61=$EQ61-1)*($EP$5:$EP61&gt;=10)*($EP$5:$EP61&lt;=12)),$FW$5:$FW61),IF(EP61=4,SUMPRODUCT(--(($EQ$5:$EQ61=$EQ61)*($EP$5:$EP61&gt;=1)*($EP$5:$EP61&lt;=3)),$FW$5:$FW61),IF(EP61=7,SUMPRODUCT(--(($EQ$5:$EQ61=$EQ61)*($EP$5:$EP61&gt;=4)*($EP$5:$EP61&lt;=6)),$FW$5:$FW61),IF(EP61=10,SUMPRODUCT(--(($EQ$5:$EQ61=$EQ61)*($EP$5:$EP61&gt;=7)*($EP$5:$EP61&lt;=9)),$FW$5:$FW61),0)))))</f>
        <v/>
      </c>
      <c r="FY61" s="12">
        <f>FY60+FW61-FX61</f>
        <v/>
      </c>
      <c r="FZ61" s="12">
        <f>IF(ProviderDelay&gt;=1,FG60*BlendedProvPayEss+FH60*BlendedProvPayPrem+FI60*BlendedProvPayElite+FJ60*BlendedProvPayEss+FK60*BlendedProvPayPrem+FL60*BlendedProvPayElite,FG61*BlendedProvPayEss+FH61*BlendedProvPayPrem+FI61*BlendedProvPayElite+FJ61*BlendedProvPayEss+FK61*BlendedProvPayPrem+FL61*BlendedProvPayElite)</f>
        <v/>
      </c>
      <c r="GA61" s="12">
        <f>FS61*PaymentFee</f>
        <v/>
      </c>
      <c r="GB61" s="12">
        <f>FM61*OpsAI</f>
        <v/>
      </c>
      <c r="GC61" s="12">
        <f>MonthlyFixed</f>
        <v/>
      </c>
      <c r="GD61" s="12">
        <f>EW61*ReferralReward</f>
        <v/>
      </c>
      <c r="GE61" s="12">
        <f>EU61</f>
        <v/>
      </c>
      <c r="GF61" s="9">
        <f>FV61-FZ61-GA61-GB61-GC61-GD61-GE61</f>
        <v/>
      </c>
      <c r="GG61" s="9">
        <f>GG60+FS61-(FZ61+GA61+GB61+GC61+GD61+GE61+FX61)</f>
        <v/>
      </c>
      <c r="GH61" s="12">
        <f>IF(FM61&gt;0,FN61/FM61,0)</f>
        <v/>
      </c>
      <c r="GI61" s="11">
        <f>IF(FM60&gt;0,MAX(0,(FM60+EX61-FM61)/FM60),0)</f>
        <v/>
      </c>
      <c r="GK61" s="12" t="n">
        <v>57</v>
      </c>
      <c r="GL61" s="12">
        <f>MOD(GK61-1+LaunchMonth-1,12)+1</f>
        <v/>
      </c>
      <c r="GM61" s="12">
        <f>INT((GK61-1+LaunchMonth-1)/12)+1</f>
        <v/>
      </c>
      <c r="GN61" s="12">
        <f>VLOOKUP(GL61,SeasonTable,2,FALSE)</f>
        <v/>
      </c>
      <c r="GO61" s="12">
        <f>(1+InflationRate)^INT((GK61-1)/12)</f>
        <v/>
      </c>
      <c r="GP61" s="11">
        <f>'Sens - Churn'!$A$14*VLOOKUP(GL61,ChurnSeasonTable,4,FALSE)</f>
        <v/>
      </c>
      <c r="GQ61" s="12">
        <f>MIN(MAX(MktMin19plus,HO60*MktPct19plus),MAX(0,IC60-CashBuffer))</f>
        <v/>
      </c>
      <c r="GR61" s="12">
        <f>IF(GQ61&gt;0,MAX(1,ROUND(GQ61/CAC*GN61,0)),0)</f>
        <v/>
      </c>
      <c r="GS61" s="12">
        <f>IF(GR61&gt;0,ROUND(GR61*ReferralMix/(1-ReferralMix),0),0)</f>
        <v/>
      </c>
      <c r="GT61" s="12">
        <f>GR61+GS61</f>
        <v/>
      </c>
      <c r="GU61" s="12">
        <f>ROUND(GT61*(1-AnnualMix),0)</f>
        <v/>
      </c>
      <c r="GV61" s="12">
        <f>GT61-GU61</f>
        <v/>
      </c>
      <c r="GW61" s="12">
        <f>ROUND(GU61*EssentialMix,0)</f>
        <v/>
      </c>
      <c r="GX61" s="12">
        <f>ROUND(GU61*PremiumMix,0)</f>
        <v/>
      </c>
      <c r="GY61" s="12">
        <f>GU61-GW61-GX61</f>
        <v/>
      </c>
      <c r="GZ61" s="12">
        <f>ROUND(GV61*EssentialMix,0)</f>
        <v/>
      </c>
      <c r="HA61" s="12">
        <f>ROUND(GV61*PremiumMix,0)</f>
        <v/>
      </c>
      <c r="HB61" s="12">
        <f>GV61-GZ61-HA61</f>
        <v/>
      </c>
      <c r="HC61" s="12">
        <f>GW61+GW60+GW59+MAX(0,HC60-GW60-GW59)*(1-GP61)</f>
        <v/>
      </c>
      <c r="HD61" s="12">
        <f>GX61+GX60+GX59+MAX(0,HD60-GX60-GX59)*(1-GP61)</f>
        <v/>
      </c>
      <c r="HE61" s="12">
        <f>GY61+GY60+GY59+MAX(0,HE60-GY60-GY59)*(1-GP61)</f>
        <v/>
      </c>
      <c r="HF61" s="12">
        <f>HF60+GZ61-GZ49*(AnnualChurn*VLOOKUP(GL61,ChurnSeasonTable,4,FALSE))*POWER(1-(AnnualChurn*VLOOKUP(GL61,ChurnSeasonTable,4,FALSE)),0)+GZ37*(AnnualChurn*VLOOKUP(GL61,ChurnSeasonTable,4,FALSE))*POWER(1-(AnnualChurn*VLOOKUP(GL61,ChurnSeasonTable,4,FALSE)),1)+GZ25*(AnnualChurn*VLOOKUP(GL61,ChurnSeasonTable,4,FALSE))*POWER(1-(AnnualChurn*VLOOKUP(GL61,ChurnSeasonTable,4,FALSE)),2)+GZ13*(AnnualChurn*VLOOKUP(GL61,ChurnSeasonTable,4,FALSE))*POWER(1-(AnnualChurn*VLOOKUP(GL61,ChurnSeasonTable,4,FALSE)),3)</f>
        <v/>
      </c>
      <c r="HG61" s="12">
        <f>HG60+HA61-HA49*(AnnualChurn*VLOOKUP(GL61,ChurnSeasonTable,4,FALSE))*POWER(1-(AnnualChurn*VLOOKUP(GL61,ChurnSeasonTable,4,FALSE)),0)+HA37*(AnnualChurn*VLOOKUP(GL61,ChurnSeasonTable,4,FALSE))*POWER(1-(AnnualChurn*VLOOKUP(GL61,ChurnSeasonTable,4,FALSE)),1)+HA25*(AnnualChurn*VLOOKUP(GL61,ChurnSeasonTable,4,FALSE))*POWER(1-(AnnualChurn*VLOOKUP(GL61,ChurnSeasonTable,4,FALSE)),2)+HA13*(AnnualChurn*VLOOKUP(GL61,ChurnSeasonTable,4,FALSE))*POWER(1-(AnnualChurn*VLOOKUP(GL61,ChurnSeasonTable,4,FALSE)),3)</f>
        <v/>
      </c>
      <c r="HH61" s="12">
        <f>HH60+HB61-HB49*(AnnualChurn*VLOOKUP(GL61,ChurnSeasonTable,4,FALSE))*POWER(1-(AnnualChurn*VLOOKUP(GL61,ChurnSeasonTable,4,FALSE)),0)+HB37*(AnnualChurn*VLOOKUP(GL61,ChurnSeasonTable,4,FALSE))*POWER(1-(AnnualChurn*VLOOKUP(GL61,ChurnSeasonTable,4,FALSE)),1)+HB25*(AnnualChurn*VLOOKUP(GL61,ChurnSeasonTable,4,FALSE))*POWER(1-(AnnualChurn*VLOOKUP(GL61,ChurnSeasonTable,4,FALSE)),2)+HB13*(AnnualChurn*VLOOKUP(GL61,ChurnSeasonTable,4,FALSE))*POWER(1-(AnnualChurn*VLOOKUP(GL61,ChurnSeasonTable,4,FALSE)),3)</f>
        <v/>
      </c>
      <c r="HI61" s="12">
        <f>HC61+HD61+HE61+HF61+HG61+HH61</f>
        <v/>
      </c>
      <c r="HJ61" s="9">
        <f>HC61*BlendedPriceEssMonthly*GO61+HD61*BlendedPricePremMonthly*GO61+HE61*BlendedPriceEliteMonthly*GO61+HF61*BlendedPriceEssAnnual*GO61/12+HG61*BlendedPricePremAnnual*GO61/12+HH61*BlendedPriceEliteAnnual*GO61/12</f>
        <v/>
      </c>
      <c r="HK61" s="9">
        <f>HJ61*12</f>
        <v/>
      </c>
      <c r="HL61" s="12">
        <f>HC61*BlendedPriceEssMonthly*GO61+HD61*BlendedPricePremMonthly*GO61+HE61*BlendedPriceEliteMonthly*GO61</f>
        <v/>
      </c>
      <c r="HM61" s="12">
        <f>GZ61*BlendedPriceEssAnnual*GO61+HA61*BlendedPricePremAnnual*GO61+HB61*BlendedPriceEliteAnnual*GO61</f>
        <v/>
      </c>
      <c r="HN61" s="12">
        <f>GZ49*POWER(1-(AnnualChurn*VLOOKUP(GL61,ChurnSeasonTable,4,FALSE)),1)*BlendedPriceEssAnnual*GO61+GZ37*POWER(1-(AnnualChurn*VLOOKUP(GL61,ChurnSeasonTable,4,FALSE)),2)*BlendedPriceEssAnnual*GO61+GZ25*POWER(1-(AnnualChurn*VLOOKUP(GL61,ChurnSeasonTable,4,FALSE)),3)*BlendedPriceEssAnnual*GO61+GZ13*POWER(1-(AnnualChurn*VLOOKUP(GL61,ChurnSeasonTable,4,FALSE)),4)*BlendedPriceEssAnnual*GO61+HA49*POWER(1-(AnnualChurn*VLOOKUP(GL61,ChurnSeasonTable,4,FALSE)),1)*BlendedPricePremAnnual*GO61+HA37*POWER(1-(AnnualChurn*VLOOKUP(GL61,ChurnSeasonTable,4,FALSE)),2)*BlendedPricePremAnnual*GO61+HA25*POWER(1-(AnnualChurn*VLOOKUP(GL61,ChurnSeasonTable,4,FALSE)),3)*BlendedPricePremAnnual*GO61+HA13*POWER(1-(AnnualChurn*VLOOKUP(GL61,ChurnSeasonTable,4,FALSE)),4)*BlendedPricePremAnnual*GO61+HB49*POWER(1-(AnnualChurn*VLOOKUP(GL61,ChurnSeasonTable,4,FALSE)),1)*BlendedPriceEliteAnnual*GO61+HB37*POWER(1-(AnnualChurn*VLOOKUP(GL61,ChurnSeasonTable,4,FALSE)),2)*BlendedPriceEliteAnnual*GO61+HB25*POWER(1-(AnnualChurn*VLOOKUP(GL61,ChurnSeasonTable,4,FALSE)),3)*BlendedPriceEliteAnnual*GO61+HB13*POWER(1-(AnnualChurn*VLOOKUP(GL61,ChurnSeasonTable,4,FALSE)),4)*BlendedPriceEliteAnnual*GO61</f>
        <v/>
      </c>
      <c r="HO61" s="9">
        <f>HL61+HM61+HN61</f>
        <v/>
      </c>
      <c r="HP61" s="12">
        <f>SUM(HO50:HO61)</f>
        <v/>
      </c>
      <c r="HQ61" s="12">
        <f>OR(HQ60,IF(VATAgentMode,SUM($HO50:$HO61)-SUM($HV50:$HV61)&gt;=VATThreshold,SUM($HO50:$HO61)&gt;=VATThreshold))</f>
        <v/>
      </c>
      <c r="HR61" s="9">
        <f>IF(HQ61,IF(VATAgentMode,HO61-((HO61-HV61)-(HO61-HV61)/(1+VATRate)),HO61/(1+VATRate)),HO61)</f>
        <v/>
      </c>
      <c r="HS61" s="12">
        <f>HO61-HR61</f>
        <v/>
      </c>
      <c r="HT61" s="12">
        <f>IF(HQ61=0,0,IF(GL61=1,SUMPRODUCT(--(($GM$5:$GM61=$GM61-1)*($GL$5:$GL61&gt;=10)*($GL$5:$GL61&lt;=12)),$HS$5:$HS61),IF(GL61=4,SUMPRODUCT(--(($GM$5:$GM61=$GM61)*($GL$5:$GL61&gt;=1)*($GL$5:$GL61&lt;=3)),$HS$5:$HS61),IF(GL61=7,SUMPRODUCT(--(($GM$5:$GM61=$GM61)*($GL$5:$GL61&gt;=4)*($GL$5:$GL61&lt;=6)),$HS$5:$HS61),IF(GL61=10,SUMPRODUCT(--(($GM$5:$GM61=$GM61)*($GL$5:$GL61&gt;=7)*($GL$5:$GL61&lt;=9)),$HS$5:$HS61),0)))))</f>
        <v/>
      </c>
      <c r="HU61" s="12">
        <f>HU60+HS61-HT61</f>
        <v/>
      </c>
      <c r="HV61" s="12">
        <f>IF(ProviderDelay&gt;=1,HC60*BlendedProvPayEss+HD60*BlendedProvPayPrem+HE60*BlendedProvPayElite+HF60*BlendedProvPayEss+HG60*BlendedProvPayPrem+HH60*BlendedProvPayElite,HC61*BlendedProvPayEss+HD61*BlendedProvPayPrem+HE61*BlendedProvPayElite+HF61*BlendedProvPayEss+HG61*BlendedProvPayPrem+HH61*BlendedProvPayElite)</f>
        <v/>
      </c>
      <c r="HW61" s="12">
        <f>HO61*PaymentFee</f>
        <v/>
      </c>
      <c r="HX61" s="12">
        <f>HI61*OpsAI</f>
        <v/>
      </c>
      <c r="HY61" s="12">
        <f>MonthlyFixed</f>
        <v/>
      </c>
      <c r="HZ61" s="12">
        <f>GS61*ReferralReward</f>
        <v/>
      </c>
      <c r="IA61" s="12">
        <f>GQ61</f>
        <v/>
      </c>
      <c r="IB61" s="9">
        <f>HR61-HV61-HW61-HX61-HY61-HZ61-IA61</f>
        <v/>
      </c>
      <c r="IC61" s="9">
        <f>IC60+HO61-(HV61+HW61+HX61+HY61+HZ61+IA61+HT61)</f>
        <v/>
      </c>
      <c r="ID61" s="12">
        <f>IF(HI61&gt;0,HJ61/HI61,0)</f>
        <v/>
      </c>
      <c r="IE61" s="11">
        <f>IF(HI60&gt;0,MAX(0,(HI60+GT61-HI61)/HI60),0)</f>
        <v/>
      </c>
      <c r="IG61" s="12" t="n">
        <v>57</v>
      </c>
      <c r="IH61" s="12">
        <f>MOD(IG61-1+LaunchMonth-1,12)+1</f>
        <v/>
      </c>
      <c r="II61" s="12">
        <f>INT((IG61-1+LaunchMonth-1)/12)+1</f>
        <v/>
      </c>
      <c r="IJ61" s="12">
        <f>VLOOKUP(IH61,SeasonTable,2,FALSE)</f>
        <v/>
      </c>
      <c r="IK61" s="12">
        <f>(1+InflationRate)^INT((IG61-1)/12)</f>
        <v/>
      </c>
      <c r="IL61" s="11">
        <f>'Sens - Churn'!$A$15*VLOOKUP(IH61,ChurnSeasonTable,4,FALSE)</f>
        <v/>
      </c>
      <c r="IM61" s="12">
        <f>MIN(MAX(MktMin19plus,JK60*MktPct19plus),MAX(0,JY60-CashBuffer))</f>
        <v/>
      </c>
      <c r="IN61" s="12">
        <f>IF(IM61&gt;0,MAX(1,ROUND(IM61/CAC*IJ61,0)),0)</f>
        <v/>
      </c>
      <c r="IO61" s="12">
        <f>IF(IN61&gt;0,ROUND(IN61*ReferralMix/(1-ReferralMix),0),0)</f>
        <v/>
      </c>
      <c r="IP61" s="12">
        <f>IN61+IO61</f>
        <v/>
      </c>
      <c r="IQ61" s="12">
        <f>ROUND(IP61*(1-AnnualMix),0)</f>
        <v/>
      </c>
      <c r="IR61" s="12">
        <f>IP61-IQ61</f>
        <v/>
      </c>
      <c r="IS61" s="12">
        <f>ROUND(IQ61*EssentialMix,0)</f>
        <v/>
      </c>
      <c r="IT61" s="12">
        <f>ROUND(IQ61*PremiumMix,0)</f>
        <v/>
      </c>
      <c r="IU61" s="12">
        <f>IQ61-IS61-IT61</f>
        <v/>
      </c>
      <c r="IV61" s="12">
        <f>ROUND(IR61*EssentialMix,0)</f>
        <v/>
      </c>
      <c r="IW61" s="12">
        <f>ROUND(IR61*PremiumMix,0)</f>
        <v/>
      </c>
      <c r="IX61" s="12">
        <f>IR61-IV61-IW61</f>
        <v/>
      </c>
      <c r="IY61" s="12">
        <f>IS61+IS60+IS59+MAX(0,IY60-IS60-IS59)*(1-IL61)</f>
        <v/>
      </c>
      <c r="IZ61" s="12">
        <f>IT61+IT60+IT59+MAX(0,IZ60-IT60-IT59)*(1-IL61)</f>
        <v/>
      </c>
      <c r="JA61" s="12">
        <f>IU61+IU60+IU59+MAX(0,JA60-IU60-IU59)*(1-IL61)</f>
        <v/>
      </c>
      <c r="JB61" s="12">
        <f>JB60+IV61-IV49*(AnnualChurn*VLOOKUP(IH61,ChurnSeasonTable,4,FALSE))*POWER(1-(AnnualChurn*VLOOKUP(IH61,ChurnSeasonTable,4,FALSE)),0)+IV37*(AnnualChurn*VLOOKUP(IH61,ChurnSeasonTable,4,FALSE))*POWER(1-(AnnualChurn*VLOOKUP(IH61,ChurnSeasonTable,4,FALSE)),1)+IV25*(AnnualChurn*VLOOKUP(IH61,ChurnSeasonTable,4,FALSE))*POWER(1-(AnnualChurn*VLOOKUP(IH61,ChurnSeasonTable,4,FALSE)),2)+IV13*(AnnualChurn*VLOOKUP(IH61,ChurnSeasonTable,4,FALSE))*POWER(1-(AnnualChurn*VLOOKUP(IH61,ChurnSeasonTable,4,FALSE)),3)</f>
        <v/>
      </c>
      <c r="JC61" s="12">
        <f>JC60+IW61-IW49*(AnnualChurn*VLOOKUP(IH61,ChurnSeasonTable,4,FALSE))*POWER(1-(AnnualChurn*VLOOKUP(IH61,ChurnSeasonTable,4,FALSE)),0)+IW37*(AnnualChurn*VLOOKUP(IH61,ChurnSeasonTable,4,FALSE))*POWER(1-(AnnualChurn*VLOOKUP(IH61,ChurnSeasonTable,4,FALSE)),1)+IW25*(AnnualChurn*VLOOKUP(IH61,ChurnSeasonTable,4,FALSE))*POWER(1-(AnnualChurn*VLOOKUP(IH61,ChurnSeasonTable,4,FALSE)),2)+IW13*(AnnualChurn*VLOOKUP(IH61,ChurnSeasonTable,4,FALSE))*POWER(1-(AnnualChurn*VLOOKUP(IH61,ChurnSeasonTable,4,FALSE)),3)</f>
        <v/>
      </c>
      <c r="JD61" s="12">
        <f>JD60+IX61-IX49*(AnnualChurn*VLOOKUP(IH61,ChurnSeasonTable,4,FALSE))*POWER(1-(AnnualChurn*VLOOKUP(IH61,ChurnSeasonTable,4,FALSE)),0)+IX37*(AnnualChurn*VLOOKUP(IH61,ChurnSeasonTable,4,FALSE))*POWER(1-(AnnualChurn*VLOOKUP(IH61,ChurnSeasonTable,4,FALSE)),1)+IX25*(AnnualChurn*VLOOKUP(IH61,ChurnSeasonTable,4,FALSE))*POWER(1-(AnnualChurn*VLOOKUP(IH61,ChurnSeasonTable,4,FALSE)),2)+IX13*(AnnualChurn*VLOOKUP(IH61,ChurnSeasonTable,4,FALSE))*POWER(1-(AnnualChurn*VLOOKUP(IH61,ChurnSeasonTable,4,FALSE)),3)</f>
        <v/>
      </c>
      <c r="JE61" s="12">
        <f>IY61+IZ61+JA61+JB61+JC61+JD61</f>
        <v/>
      </c>
      <c r="JF61" s="9">
        <f>IY61*BlendedPriceEssMonthly*IK61+IZ61*BlendedPricePremMonthly*IK61+JA61*BlendedPriceEliteMonthly*IK61+JB61*BlendedPriceEssAnnual*IK61/12+JC61*BlendedPricePremAnnual*IK61/12+JD61*BlendedPriceEliteAnnual*IK61/12</f>
        <v/>
      </c>
      <c r="JG61" s="9">
        <f>JF61*12</f>
        <v/>
      </c>
      <c r="JH61" s="12">
        <f>IY61*BlendedPriceEssMonthly*IK61+IZ61*BlendedPricePremMonthly*IK61+JA61*BlendedPriceEliteMonthly*IK61</f>
        <v/>
      </c>
      <c r="JI61" s="12">
        <f>IV61*BlendedPriceEssAnnual*IK61+IW61*BlendedPricePremAnnual*IK61+IX61*BlendedPriceEliteAnnual*IK61</f>
        <v/>
      </c>
      <c r="JJ61" s="12">
        <f>IV49*POWER(1-(AnnualChurn*VLOOKUP(IH61,ChurnSeasonTable,4,FALSE)),1)*BlendedPriceEssAnnual*IK61+IV37*POWER(1-(AnnualChurn*VLOOKUP(IH61,ChurnSeasonTable,4,FALSE)),2)*BlendedPriceEssAnnual*IK61+IV25*POWER(1-(AnnualChurn*VLOOKUP(IH61,ChurnSeasonTable,4,FALSE)),3)*BlendedPriceEssAnnual*IK61+IV13*POWER(1-(AnnualChurn*VLOOKUP(IH61,ChurnSeasonTable,4,FALSE)),4)*BlendedPriceEssAnnual*IK61+IW49*POWER(1-(AnnualChurn*VLOOKUP(IH61,ChurnSeasonTable,4,FALSE)),1)*BlendedPricePremAnnual*IK61+IW37*POWER(1-(AnnualChurn*VLOOKUP(IH61,ChurnSeasonTable,4,FALSE)),2)*BlendedPricePremAnnual*IK61+IW25*POWER(1-(AnnualChurn*VLOOKUP(IH61,ChurnSeasonTable,4,FALSE)),3)*BlendedPricePremAnnual*IK61+IW13*POWER(1-(AnnualChurn*VLOOKUP(IH61,ChurnSeasonTable,4,FALSE)),4)*BlendedPricePremAnnual*IK61+IX49*POWER(1-(AnnualChurn*VLOOKUP(IH61,ChurnSeasonTable,4,FALSE)),1)*BlendedPriceEliteAnnual*IK61+IX37*POWER(1-(AnnualChurn*VLOOKUP(IH61,ChurnSeasonTable,4,FALSE)),2)*BlendedPriceEliteAnnual*IK61+IX25*POWER(1-(AnnualChurn*VLOOKUP(IH61,ChurnSeasonTable,4,FALSE)),3)*BlendedPriceEliteAnnual*IK61+IX13*POWER(1-(AnnualChurn*VLOOKUP(IH61,ChurnSeasonTable,4,FALSE)),4)*BlendedPriceEliteAnnual*IK61</f>
        <v/>
      </c>
      <c r="JK61" s="9">
        <f>JH61+JI61+JJ61</f>
        <v/>
      </c>
      <c r="JL61" s="12">
        <f>SUM(JK50:JK61)</f>
        <v/>
      </c>
      <c r="JM61" s="12">
        <f>OR(JM60,IF(VATAgentMode,SUM($JK50:$JK61)-SUM($JR50:$JR61)&gt;=VATThreshold,SUM($JK50:$JK61)&gt;=VATThreshold))</f>
        <v/>
      </c>
      <c r="JN61" s="9">
        <f>IF(JM61,IF(VATAgentMode,JK61-((JK61-JR61)-(JK61-JR61)/(1+VATRate)),JK61/(1+VATRate)),JK61)</f>
        <v/>
      </c>
      <c r="JO61" s="12">
        <f>JK61-JN61</f>
        <v/>
      </c>
      <c r="JP61" s="12">
        <f>IF(JM61=0,0,IF(IH61=1,SUMPRODUCT(--(($II$5:$II61=$II61-1)*($IH$5:$IH61&gt;=10)*($IH$5:$IH61&lt;=12)),$JO$5:$JO61),IF(IH61=4,SUMPRODUCT(--(($II$5:$II61=$II61)*($IH$5:$IH61&gt;=1)*($IH$5:$IH61&lt;=3)),$JO$5:$JO61),IF(IH61=7,SUMPRODUCT(--(($II$5:$II61=$II61)*($IH$5:$IH61&gt;=4)*($IH$5:$IH61&lt;=6)),$JO$5:$JO61),IF(IH61=10,SUMPRODUCT(--(($II$5:$II61=$II61)*($IH$5:$IH61&gt;=7)*($IH$5:$IH61&lt;=9)),$JO$5:$JO61),0)))))</f>
        <v/>
      </c>
      <c r="JQ61" s="12">
        <f>JQ60+JO61-JP61</f>
        <v/>
      </c>
      <c r="JR61" s="12">
        <f>IF(ProviderDelay&gt;=1,IY60*BlendedProvPayEss+IZ60*BlendedProvPayPrem+JA60*BlendedProvPayElite+JB60*BlendedProvPayEss+JC60*BlendedProvPayPrem+JD60*BlendedProvPayElite,IY61*BlendedProvPayEss+IZ61*BlendedProvPayPrem+JA61*BlendedProvPayElite+JB61*BlendedProvPayEss+JC61*BlendedProvPayPrem+JD61*BlendedProvPayElite)</f>
        <v/>
      </c>
      <c r="JS61" s="12">
        <f>JK61*PaymentFee</f>
        <v/>
      </c>
      <c r="JT61" s="12">
        <f>JE61*OpsAI</f>
        <v/>
      </c>
      <c r="JU61" s="12">
        <f>MonthlyFixed</f>
        <v/>
      </c>
      <c r="JV61" s="12">
        <f>IO61*ReferralReward</f>
        <v/>
      </c>
      <c r="JW61" s="12">
        <f>IM61</f>
        <v/>
      </c>
      <c r="JX61" s="9">
        <f>JN61-JR61-JS61-JT61-JU61-JV61-JW61</f>
        <v/>
      </c>
      <c r="JY61" s="9">
        <f>JY60+JK61-(JR61+JS61+JT61+JU61+JV61+JW61+JP61)</f>
        <v/>
      </c>
      <c r="JZ61" s="12">
        <f>IF(JE61&gt;0,JF61/JE61,0)</f>
        <v/>
      </c>
      <c r="KA61" s="11">
        <f>IF(JE60&gt;0,MAX(0,(JE60+IP61-JE61)/JE60),0)</f>
        <v/>
      </c>
      <c r="KC61" s="12" t="n">
        <v>57</v>
      </c>
      <c r="KD61" s="12">
        <f>MOD(KC61-1+LaunchMonth-1,12)+1</f>
        <v/>
      </c>
      <c r="KE61" s="12">
        <f>INT((KC61-1+LaunchMonth-1)/12)+1</f>
        <v/>
      </c>
      <c r="KF61" s="12">
        <f>VLOOKUP(KD61,SeasonTable,2,FALSE)</f>
        <v/>
      </c>
      <c r="KG61" s="12">
        <f>(1+InflationRate)^INT((KC61-1)/12)</f>
        <v/>
      </c>
      <c r="KH61" s="11">
        <f>'Sens - Churn'!$A$16*VLOOKUP(KD61,ChurnSeasonTable,4,FALSE)</f>
        <v/>
      </c>
      <c r="KI61" s="12">
        <f>MIN(MAX(MktMin19plus,LG60*MktPct19plus),MAX(0,LU60-CashBuffer))</f>
        <v/>
      </c>
      <c r="KJ61" s="12">
        <f>IF(KI61&gt;0,MAX(1,ROUND(KI61/CAC*KF61,0)),0)</f>
        <v/>
      </c>
      <c r="KK61" s="12">
        <f>IF(KJ61&gt;0,ROUND(KJ61*ReferralMix/(1-ReferralMix),0),0)</f>
        <v/>
      </c>
      <c r="KL61" s="12">
        <f>KJ61+KK61</f>
        <v/>
      </c>
      <c r="KM61" s="12">
        <f>ROUND(KL61*(1-AnnualMix),0)</f>
        <v/>
      </c>
      <c r="KN61" s="12">
        <f>KL61-KM61</f>
        <v/>
      </c>
      <c r="KO61" s="12">
        <f>ROUND(KM61*EssentialMix,0)</f>
        <v/>
      </c>
      <c r="KP61" s="12">
        <f>ROUND(KM61*PremiumMix,0)</f>
        <v/>
      </c>
      <c r="KQ61" s="12">
        <f>KM61-KO61-KP61</f>
        <v/>
      </c>
      <c r="KR61" s="12">
        <f>ROUND(KN61*EssentialMix,0)</f>
        <v/>
      </c>
      <c r="KS61" s="12">
        <f>ROUND(KN61*PremiumMix,0)</f>
        <v/>
      </c>
      <c r="KT61" s="12">
        <f>KN61-KR61-KS61</f>
        <v/>
      </c>
      <c r="KU61" s="12">
        <f>KO61+KO60+KO59+MAX(0,KU60-KO60-KO59)*(1-KH61)</f>
        <v/>
      </c>
      <c r="KV61" s="12">
        <f>KP61+KP60+KP59+MAX(0,KV60-KP60-KP59)*(1-KH61)</f>
        <v/>
      </c>
      <c r="KW61" s="12">
        <f>KQ61+KQ60+KQ59+MAX(0,KW60-KQ60-KQ59)*(1-KH61)</f>
        <v/>
      </c>
      <c r="KX61" s="12">
        <f>KX60+KR61-KR49*(AnnualChurn*VLOOKUP(KD61,ChurnSeasonTable,4,FALSE))*POWER(1-(AnnualChurn*VLOOKUP(KD61,ChurnSeasonTable,4,FALSE)),0)+KR37*(AnnualChurn*VLOOKUP(KD61,ChurnSeasonTable,4,FALSE))*POWER(1-(AnnualChurn*VLOOKUP(KD61,ChurnSeasonTable,4,FALSE)),1)+KR25*(AnnualChurn*VLOOKUP(KD61,ChurnSeasonTable,4,FALSE))*POWER(1-(AnnualChurn*VLOOKUP(KD61,ChurnSeasonTable,4,FALSE)),2)+KR13*(AnnualChurn*VLOOKUP(KD61,ChurnSeasonTable,4,FALSE))*POWER(1-(AnnualChurn*VLOOKUP(KD61,ChurnSeasonTable,4,FALSE)),3)</f>
        <v/>
      </c>
      <c r="KY61" s="12">
        <f>KY60+KS61-KS49*(AnnualChurn*VLOOKUP(KD61,ChurnSeasonTable,4,FALSE))*POWER(1-(AnnualChurn*VLOOKUP(KD61,ChurnSeasonTable,4,FALSE)),0)+KS37*(AnnualChurn*VLOOKUP(KD61,ChurnSeasonTable,4,FALSE))*POWER(1-(AnnualChurn*VLOOKUP(KD61,ChurnSeasonTable,4,FALSE)),1)+KS25*(AnnualChurn*VLOOKUP(KD61,ChurnSeasonTable,4,FALSE))*POWER(1-(AnnualChurn*VLOOKUP(KD61,ChurnSeasonTable,4,FALSE)),2)+KS13*(AnnualChurn*VLOOKUP(KD61,ChurnSeasonTable,4,FALSE))*POWER(1-(AnnualChurn*VLOOKUP(KD61,ChurnSeasonTable,4,FALSE)),3)</f>
        <v/>
      </c>
      <c r="KZ61" s="12">
        <f>KZ60+KT61-KT49*(AnnualChurn*VLOOKUP(KD61,ChurnSeasonTable,4,FALSE))*POWER(1-(AnnualChurn*VLOOKUP(KD61,ChurnSeasonTable,4,FALSE)),0)+KT37*(AnnualChurn*VLOOKUP(KD61,ChurnSeasonTable,4,FALSE))*POWER(1-(AnnualChurn*VLOOKUP(KD61,ChurnSeasonTable,4,FALSE)),1)+KT25*(AnnualChurn*VLOOKUP(KD61,ChurnSeasonTable,4,FALSE))*POWER(1-(AnnualChurn*VLOOKUP(KD61,ChurnSeasonTable,4,FALSE)),2)+KT13*(AnnualChurn*VLOOKUP(KD61,ChurnSeasonTable,4,FALSE))*POWER(1-(AnnualChurn*VLOOKUP(KD61,ChurnSeasonTable,4,FALSE)),3)</f>
        <v/>
      </c>
      <c r="LA61" s="12">
        <f>KU61+KV61+KW61+KX61+KY61+KZ61</f>
        <v/>
      </c>
      <c r="LB61" s="9">
        <f>KU61*BlendedPriceEssMonthly*KG61+KV61*BlendedPricePremMonthly*KG61+KW61*BlendedPriceEliteMonthly*KG61+KX61*BlendedPriceEssAnnual*KG61/12+KY61*BlendedPricePremAnnual*KG61/12+KZ61*BlendedPriceEliteAnnual*KG61/12</f>
        <v/>
      </c>
      <c r="LC61" s="9">
        <f>LB61*12</f>
        <v/>
      </c>
      <c r="LD61" s="12">
        <f>KU61*BlendedPriceEssMonthly*KG61+KV61*BlendedPricePremMonthly*KG61+KW61*BlendedPriceEliteMonthly*KG61</f>
        <v/>
      </c>
      <c r="LE61" s="12">
        <f>KR61*BlendedPriceEssAnnual*KG61+KS61*BlendedPricePremAnnual*KG61+KT61*BlendedPriceEliteAnnual*KG61</f>
        <v/>
      </c>
      <c r="LF61" s="12">
        <f>KR49*POWER(1-(AnnualChurn*VLOOKUP(KD61,ChurnSeasonTable,4,FALSE)),1)*BlendedPriceEssAnnual*KG61+KR37*POWER(1-(AnnualChurn*VLOOKUP(KD61,ChurnSeasonTable,4,FALSE)),2)*BlendedPriceEssAnnual*KG61+KR25*POWER(1-(AnnualChurn*VLOOKUP(KD61,ChurnSeasonTable,4,FALSE)),3)*BlendedPriceEssAnnual*KG61+KR13*POWER(1-(AnnualChurn*VLOOKUP(KD61,ChurnSeasonTable,4,FALSE)),4)*BlendedPriceEssAnnual*KG61+KS49*POWER(1-(AnnualChurn*VLOOKUP(KD61,ChurnSeasonTable,4,FALSE)),1)*BlendedPricePremAnnual*KG61+KS37*POWER(1-(AnnualChurn*VLOOKUP(KD61,ChurnSeasonTable,4,FALSE)),2)*BlendedPricePremAnnual*KG61+KS25*POWER(1-(AnnualChurn*VLOOKUP(KD61,ChurnSeasonTable,4,FALSE)),3)*BlendedPricePremAnnual*KG61+KS13*POWER(1-(AnnualChurn*VLOOKUP(KD61,ChurnSeasonTable,4,FALSE)),4)*BlendedPricePremAnnual*KG61+KT49*POWER(1-(AnnualChurn*VLOOKUP(KD61,ChurnSeasonTable,4,FALSE)),1)*BlendedPriceEliteAnnual*KG61+KT37*POWER(1-(AnnualChurn*VLOOKUP(KD61,ChurnSeasonTable,4,FALSE)),2)*BlendedPriceEliteAnnual*KG61+KT25*POWER(1-(AnnualChurn*VLOOKUP(KD61,ChurnSeasonTable,4,FALSE)),3)*BlendedPriceEliteAnnual*KG61+KT13*POWER(1-(AnnualChurn*VLOOKUP(KD61,ChurnSeasonTable,4,FALSE)),4)*BlendedPriceEliteAnnual*KG61</f>
        <v/>
      </c>
      <c r="LG61" s="9">
        <f>LD61+LE61+LF61</f>
        <v/>
      </c>
      <c r="LH61" s="12">
        <f>SUM(LG50:LG61)</f>
        <v/>
      </c>
      <c r="LI61" s="12">
        <f>OR(LI60,IF(VATAgentMode,SUM($LG50:$LG61)-SUM($LN50:$LN61)&gt;=VATThreshold,SUM($LG50:$LG61)&gt;=VATThreshold))</f>
        <v/>
      </c>
      <c r="LJ61" s="9">
        <f>IF(LI61,IF(VATAgentMode,LG61-((LG61-LN61)-(LG61-LN61)/(1+VATRate)),LG61/(1+VATRate)),LG61)</f>
        <v/>
      </c>
      <c r="LK61" s="12">
        <f>LG61-LJ61</f>
        <v/>
      </c>
      <c r="LL61" s="12">
        <f>IF(LI61=0,0,IF(KD61=1,SUMPRODUCT(--(($KE$5:$KE61=$KE61-1)*($KD$5:$KD61&gt;=10)*($KD$5:$KD61&lt;=12)),$LK$5:$LK61),IF(KD61=4,SUMPRODUCT(--(($KE$5:$KE61=$KE61)*($KD$5:$KD61&gt;=1)*($KD$5:$KD61&lt;=3)),$LK$5:$LK61),IF(KD61=7,SUMPRODUCT(--(($KE$5:$KE61=$KE61)*($KD$5:$KD61&gt;=4)*($KD$5:$KD61&lt;=6)),$LK$5:$LK61),IF(KD61=10,SUMPRODUCT(--(($KE$5:$KE61=$KE61)*($KD$5:$KD61&gt;=7)*($KD$5:$KD61&lt;=9)),$LK$5:$LK61),0)))))</f>
        <v/>
      </c>
      <c r="LM61" s="12">
        <f>LM60+LK61-LL61</f>
        <v/>
      </c>
      <c r="LN61" s="12">
        <f>IF(ProviderDelay&gt;=1,KU60*BlendedProvPayEss+KV60*BlendedProvPayPrem+KW60*BlendedProvPayElite+KX60*BlendedProvPayEss+KY60*BlendedProvPayPrem+KZ60*BlendedProvPayElite,KU61*BlendedProvPayEss+KV61*BlendedProvPayPrem+KW61*BlendedProvPayElite+KX61*BlendedProvPayEss+KY61*BlendedProvPayPrem+KZ61*BlendedProvPayElite)</f>
        <v/>
      </c>
      <c r="LO61" s="12">
        <f>LG61*PaymentFee</f>
        <v/>
      </c>
      <c r="LP61" s="12">
        <f>LA61*OpsAI</f>
        <v/>
      </c>
      <c r="LQ61" s="12">
        <f>MonthlyFixed</f>
        <v/>
      </c>
      <c r="LR61" s="12">
        <f>KK61*ReferralReward</f>
        <v/>
      </c>
      <c r="LS61" s="12">
        <f>KI61</f>
        <v/>
      </c>
      <c r="LT61" s="9">
        <f>LJ61-LN61-LO61-LP61-LQ61-LR61-LS61</f>
        <v/>
      </c>
      <c r="LU61" s="9">
        <f>LU60+LG61-(LN61+LO61+LP61+LQ61+LR61+LS61+LL61)</f>
        <v/>
      </c>
      <c r="LV61" s="12">
        <f>IF(LA61&gt;0,LB61/LA61,0)</f>
        <v/>
      </c>
      <c r="LW61" s="11">
        <f>IF(LA60&gt;0,MAX(0,(LA60+KL61-LA61)/LA60),0)</f>
        <v/>
      </c>
      <c r="LY61" s="12" t="n">
        <v>57</v>
      </c>
      <c r="LZ61" s="12">
        <f>MOD(LY61-1+LaunchMonth-1,12)+1</f>
        <v/>
      </c>
      <c r="MA61" s="12">
        <f>INT((LY61-1+LaunchMonth-1)/12)+1</f>
        <v/>
      </c>
      <c r="MB61" s="12">
        <f>VLOOKUP(LZ61,SeasonTable,2,FALSE)</f>
        <v/>
      </c>
      <c r="MC61" s="12">
        <f>(1+InflationRate)^INT((LY61-1)/12)</f>
        <v/>
      </c>
      <c r="MD61" s="11">
        <f>'Sens - Churn'!$A$17*VLOOKUP(LZ61,ChurnSeasonTable,4,FALSE)</f>
        <v/>
      </c>
      <c r="ME61" s="12">
        <f>MIN(MAX(MktMin19plus,NC60*MktPct19plus),MAX(0,NQ60-CashBuffer))</f>
        <v/>
      </c>
      <c r="MF61" s="12">
        <f>IF(ME61&gt;0,MAX(1,ROUND(ME61/CAC*MB61,0)),0)</f>
        <v/>
      </c>
      <c r="MG61" s="12">
        <f>IF(MF61&gt;0,ROUND(MF61*ReferralMix/(1-ReferralMix),0),0)</f>
        <v/>
      </c>
      <c r="MH61" s="12">
        <f>MF61+MG61</f>
        <v/>
      </c>
      <c r="MI61" s="12">
        <f>ROUND(MH61*(1-AnnualMix),0)</f>
        <v/>
      </c>
      <c r="MJ61" s="12">
        <f>MH61-MI61</f>
        <v/>
      </c>
      <c r="MK61" s="12">
        <f>ROUND(MI61*EssentialMix,0)</f>
        <v/>
      </c>
      <c r="ML61" s="12">
        <f>ROUND(MI61*PremiumMix,0)</f>
        <v/>
      </c>
      <c r="MM61" s="12">
        <f>MI61-MK61-ML61</f>
        <v/>
      </c>
      <c r="MN61" s="12">
        <f>ROUND(MJ61*EssentialMix,0)</f>
        <v/>
      </c>
      <c r="MO61" s="12">
        <f>ROUND(MJ61*PremiumMix,0)</f>
        <v/>
      </c>
      <c r="MP61" s="12">
        <f>MJ61-MN61-MO61</f>
        <v/>
      </c>
      <c r="MQ61" s="12">
        <f>MK61+MK60+MK59+MAX(0,MQ60-MK60-MK59)*(1-MD61)</f>
        <v/>
      </c>
      <c r="MR61" s="12">
        <f>ML61+ML60+ML59+MAX(0,MR60-ML60-ML59)*(1-MD61)</f>
        <v/>
      </c>
      <c r="MS61" s="12">
        <f>MM61+MM60+MM59+MAX(0,MS60-MM60-MM59)*(1-MD61)</f>
        <v/>
      </c>
      <c r="MT61" s="12">
        <f>MT60+MN61-MN49*(AnnualChurn*VLOOKUP(LZ61,ChurnSeasonTable,4,FALSE))*POWER(1-(AnnualChurn*VLOOKUP(LZ61,ChurnSeasonTable,4,FALSE)),0)+MN37*(AnnualChurn*VLOOKUP(LZ61,ChurnSeasonTable,4,FALSE))*POWER(1-(AnnualChurn*VLOOKUP(LZ61,ChurnSeasonTable,4,FALSE)),1)+MN25*(AnnualChurn*VLOOKUP(LZ61,ChurnSeasonTable,4,FALSE))*POWER(1-(AnnualChurn*VLOOKUP(LZ61,ChurnSeasonTable,4,FALSE)),2)+MN13*(AnnualChurn*VLOOKUP(LZ61,ChurnSeasonTable,4,FALSE))*POWER(1-(AnnualChurn*VLOOKUP(LZ61,ChurnSeasonTable,4,FALSE)),3)</f>
        <v/>
      </c>
      <c r="MU61" s="12">
        <f>MU60+MO61-MO49*(AnnualChurn*VLOOKUP(LZ61,ChurnSeasonTable,4,FALSE))*POWER(1-(AnnualChurn*VLOOKUP(LZ61,ChurnSeasonTable,4,FALSE)),0)+MO37*(AnnualChurn*VLOOKUP(LZ61,ChurnSeasonTable,4,FALSE))*POWER(1-(AnnualChurn*VLOOKUP(LZ61,ChurnSeasonTable,4,FALSE)),1)+MO25*(AnnualChurn*VLOOKUP(LZ61,ChurnSeasonTable,4,FALSE))*POWER(1-(AnnualChurn*VLOOKUP(LZ61,ChurnSeasonTable,4,FALSE)),2)+MO13*(AnnualChurn*VLOOKUP(LZ61,ChurnSeasonTable,4,FALSE))*POWER(1-(AnnualChurn*VLOOKUP(LZ61,ChurnSeasonTable,4,FALSE)),3)</f>
        <v/>
      </c>
      <c r="MV61" s="12">
        <f>MV60+MP61-MP49*(AnnualChurn*VLOOKUP(LZ61,ChurnSeasonTable,4,FALSE))*POWER(1-(AnnualChurn*VLOOKUP(LZ61,ChurnSeasonTable,4,FALSE)),0)+MP37*(AnnualChurn*VLOOKUP(LZ61,ChurnSeasonTable,4,FALSE))*POWER(1-(AnnualChurn*VLOOKUP(LZ61,ChurnSeasonTable,4,FALSE)),1)+MP25*(AnnualChurn*VLOOKUP(LZ61,ChurnSeasonTable,4,FALSE))*POWER(1-(AnnualChurn*VLOOKUP(LZ61,ChurnSeasonTable,4,FALSE)),2)+MP13*(AnnualChurn*VLOOKUP(LZ61,ChurnSeasonTable,4,FALSE))*POWER(1-(AnnualChurn*VLOOKUP(LZ61,ChurnSeasonTable,4,FALSE)),3)</f>
        <v/>
      </c>
      <c r="MW61" s="12">
        <f>MQ61+MR61+MS61+MT61+MU61+MV61</f>
        <v/>
      </c>
      <c r="MX61" s="9">
        <f>MQ61*BlendedPriceEssMonthly*MC61+MR61*BlendedPricePremMonthly*MC61+MS61*BlendedPriceEliteMonthly*MC61+MT61*BlendedPriceEssAnnual*MC61/12+MU61*BlendedPricePremAnnual*MC61/12+MV61*BlendedPriceEliteAnnual*MC61/12</f>
        <v/>
      </c>
      <c r="MY61" s="9">
        <f>MX61*12</f>
        <v/>
      </c>
      <c r="MZ61" s="12">
        <f>MQ61*BlendedPriceEssMonthly*MC61+MR61*BlendedPricePremMonthly*MC61+MS61*BlendedPriceEliteMonthly*MC61</f>
        <v/>
      </c>
      <c r="NA61" s="12">
        <f>MN61*BlendedPriceEssAnnual*MC61+MO61*BlendedPricePremAnnual*MC61+MP61*BlendedPriceEliteAnnual*MC61</f>
        <v/>
      </c>
      <c r="NB61" s="12">
        <f>MN49*POWER(1-(AnnualChurn*VLOOKUP(LZ61,ChurnSeasonTable,4,FALSE)),1)*BlendedPriceEssAnnual*MC61+MN37*POWER(1-(AnnualChurn*VLOOKUP(LZ61,ChurnSeasonTable,4,FALSE)),2)*BlendedPriceEssAnnual*MC61+MN25*POWER(1-(AnnualChurn*VLOOKUP(LZ61,ChurnSeasonTable,4,FALSE)),3)*BlendedPriceEssAnnual*MC61+MN13*POWER(1-(AnnualChurn*VLOOKUP(LZ61,ChurnSeasonTable,4,FALSE)),4)*BlendedPriceEssAnnual*MC61+MO49*POWER(1-(AnnualChurn*VLOOKUP(LZ61,ChurnSeasonTable,4,FALSE)),1)*BlendedPricePremAnnual*MC61+MO37*POWER(1-(AnnualChurn*VLOOKUP(LZ61,ChurnSeasonTable,4,FALSE)),2)*BlendedPricePremAnnual*MC61+MO25*POWER(1-(AnnualChurn*VLOOKUP(LZ61,ChurnSeasonTable,4,FALSE)),3)*BlendedPricePremAnnual*MC61+MO13*POWER(1-(AnnualChurn*VLOOKUP(LZ61,ChurnSeasonTable,4,FALSE)),4)*BlendedPricePremAnnual*MC61+MP49*POWER(1-(AnnualChurn*VLOOKUP(LZ61,ChurnSeasonTable,4,FALSE)),1)*BlendedPriceEliteAnnual*MC61+MP37*POWER(1-(AnnualChurn*VLOOKUP(LZ61,ChurnSeasonTable,4,FALSE)),2)*BlendedPriceEliteAnnual*MC61+MP25*POWER(1-(AnnualChurn*VLOOKUP(LZ61,ChurnSeasonTable,4,FALSE)),3)*BlendedPriceEliteAnnual*MC61+MP13*POWER(1-(AnnualChurn*VLOOKUP(LZ61,ChurnSeasonTable,4,FALSE)),4)*BlendedPriceEliteAnnual*MC61</f>
        <v/>
      </c>
      <c r="NC61" s="9">
        <f>MZ61+NA61+NB61</f>
        <v/>
      </c>
      <c r="ND61" s="12">
        <f>SUM(NC50:NC61)</f>
        <v/>
      </c>
      <c r="NE61" s="12">
        <f>OR(NE60,IF(VATAgentMode,SUM($NC50:$NC61)-SUM($NJ50:$NJ61)&gt;=VATThreshold,SUM($NC50:$NC61)&gt;=VATThreshold))</f>
        <v/>
      </c>
      <c r="NF61" s="9">
        <f>IF(NE61,IF(VATAgentMode,NC61-((NC61-NJ61)-(NC61-NJ61)/(1+VATRate)),NC61/(1+VATRate)),NC61)</f>
        <v/>
      </c>
      <c r="NG61" s="12">
        <f>NC61-NF61</f>
        <v/>
      </c>
      <c r="NH61" s="12">
        <f>IF(NE61=0,0,IF(LZ61=1,SUMPRODUCT(--(($MA$5:$MA61=$MA61-1)*($LZ$5:$LZ61&gt;=10)*($LZ$5:$LZ61&lt;=12)),$NG$5:$NG61),IF(LZ61=4,SUMPRODUCT(--(($MA$5:$MA61=$MA61)*($LZ$5:$LZ61&gt;=1)*($LZ$5:$LZ61&lt;=3)),$NG$5:$NG61),IF(LZ61=7,SUMPRODUCT(--(($MA$5:$MA61=$MA61)*($LZ$5:$LZ61&gt;=4)*($LZ$5:$LZ61&lt;=6)),$NG$5:$NG61),IF(LZ61=10,SUMPRODUCT(--(($MA$5:$MA61=$MA61)*($LZ$5:$LZ61&gt;=7)*($LZ$5:$LZ61&lt;=9)),$NG$5:$NG61),0)))))</f>
        <v/>
      </c>
      <c r="NI61" s="12">
        <f>NI60+NG61-NH61</f>
        <v/>
      </c>
      <c r="NJ61" s="12">
        <f>IF(ProviderDelay&gt;=1,MQ60*BlendedProvPayEss+MR60*BlendedProvPayPrem+MS60*BlendedProvPayElite+MT60*BlendedProvPayEss+MU60*BlendedProvPayPrem+MV60*BlendedProvPayElite,MQ61*BlendedProvPayEss+MR61*BlendedProvPayPrem+MS61*BlendedProvPayElite+MT61*BlendedProvPayEss+MU61*BlendedProvPayPrem+MV61*BlendedProvPayElite)</f>
        <v/>
      </c>
      <c r="NK61" s="12">
        <f>NC61*PaymentFee</f>
        <v/>
      </c>
      <c r="NL61" s="12">
        <f>MW61*OpsAI</f>
        <v/>
      </c>
      <c r="NM61" s="12">
        <f>MonthlyFixed</f>
        <v/>
      </c>
      <c r="NN61" s="12">
        <f>MG61*ReferralReward</f>
        <v/>
      </c>
      <c r="NO61" s="12">
        <f>ME61</f>
        <v/>
      </c>
      <c r="NP61" s="9">
        <f>NF61-NJ61-NK61-NL61-NM61-NN61-NO61</f>
        <v/>
      </c>
      <c r="NQ61" s="9">
        <f>NQ60+NC61-(NJ61+NK61+NL61+NM61+NN61+NO61+NH61)</f>
        <v/>
      </c>
      <c r="NR61" s="12">
        <f>IF(MW61&gt;0,MX61/MW61,0)</f>
        <v/>
      </c>
      <c r="NS61" s="11">
        <f>IF(MW60&gt;0,MAX(0,(MW60+MH61-MW61)/MW60),0)</f>
        <v/>
      </c>
      <c r="NU61" s="12" t="n">
        <v>57</v>
      </c>
      <c r="NV61" s="12">
        <f>MOD(NU61-1+LaunchMonth-1,12)+1</f>
        <v/>
      </c>
      <c r="NW61" s="12">
        <f>INT((NU61-1+LaunchMonth-1)/12)+1</f>
        <v/>
      </c>
      <c r="NX61" s="12">
        <f>VLOOKUP(NV61,SeasonTable,2,FALSE)</f>
        <v/>
      </c>
      <c r="NY61" s="12">
        <f>(1+InflationRate)^INT((NU61-1)/12)</f>
        <v/>
      </c>
      <c r="NZ61" s="11">
        <f>'Sens - Churn'!$A$18*VLOOKUP(NV61,ChurnSeasonTable,4,FALSE)</f>
        <v/>
      </c>
      <c r="OA61" s="12">
        <f>MIN(MAX(MktMin19plus,OY60*MktPct19plus),MAX(0,PM60-CashBuffer))</f>
        <v/>
      </c>
      <c r="OB61" s="12">
        <f>IF(OA61&gt;0,MAX(1,ROUND(OA61/CAC*NX61,0)),0)</f>
        <v/>
      </c>
      <c r="OC61" s="12">
        <f>IF(OB61&gt;0,ROUND(OB61*ReferralMix/(1-ReferralMix),0),0)</f>
        <v/>
      </c>
      <c r="OD61" s="12">
        <f>OB61+OC61</f>
        <v/>
      </c>
      <c r="OE61" s="12">
        <f>ROUND(OD61*(1-AnnualMix),0)</f>
        <v/>
      </c>
      <c r="OF61" s="12">
        <f>OD61-OE61</f>
        <v/>
      </c>
      <c r="OG61" s="12">
        <f>ROUND(OE61*EssentialMix,0)</f>
        <v/>
      </c>
      <c r="OH61" s="12">
        <f>ROUND(OE61*PremiumMix,0)</f>
        <v/>
      </c>
      <c r="OI61" s="12">
        <f>OE61-OG61-OH61</f>
        <v/>
      </c>
      <c r="OJ61" s="12">
        <f>ROUND(OF61*EssentialMix,0)</f>
        <v/>
      </c>
      <c r="OK61" s="12">
        <f>ROUND(OF61*PremiumMix,0)</f>
        <v/>
      </c>
      <c r="OL61" s="12">
        <f>OF61-OJ61-OK61</f>
        <v/>
      </c>
      <c r="OM61" s="12">
        <f>OG61+OG60+OG59+MAX(0,OM60-OG60-OG59)*(1-NZ61)</f>
        <v/>
      </c>
      <c r="ON61" s="12">
        <f>OH61+OH60+OH59+MAX(0,ON60-OH60-OH59)*(1-NZ61)</f>
        <v/>
      </c>
      <c r="OO61" s="12">
        <f>OI61+OI60+OI59+MAX(0,OO60-OI60-OI59)*(1-NZ61)</f>
        <v/>
      </c>
      <c r="OP61" s="12">
        <f>OP60+OJ61-OJ49*(AnnualChurn*VLOOKUP(NV61,ChurnSeasonTable,4,FALSE))*POWER(1-(AnnualChurn*VLOOKUP(NV61,ChurnSeasonTable,4,FALSE)),0)+OJ37*(AnnualChurn*VLOOKUP(NV61,ChurnSeasonTable,4,FALSE))*POWER(1-(AnnualChurn*VLOOKUP(NV61,ChurnSeasonTable,4,FALSE)),1)+OJ25*(AnnualChurn*VLOOKUP(NV61,ChurnSeasonTable,4,FALSE))*POWER(1-(AnnualChurn*VLOOKUP(NV61,ChurnSeasonTable,4,FALSE)),2)+OJ13*(AnnualChurn*VLOOKUP(NV61,ChurnSeasonTable,4,FALSE))*POWER(1-(AnnualChurn*VLOOKUP(NV61,ChurnSeasonTable,4,FALSE)),3)</f>
        <v/>
      </c>
      <c r="OQ61" s="12">
        <f>OQ60+OK61-OK49*(AnnualChurn*VLOOKUP(NV61,ChurnSeasonTable,4,FALSE))*POWER(1-(AnnualChurn*VLOOKUP(NV61,ChurnSeasonTable,4,FALSE)),0)+OK37*(AnnualChurn*VLOOKUP(NV61,ChurnSeasonTable,4,FALSE))*POWER(1-(AnnualChurn*VLOOKUP(NV61,ChurnSeasonTable,4,FALSE)),1)+OK25*(AnnualChurn*VLOOKUP(NV61,ChurnSeasonTable,4,FALSE))*POWER(1-(AnnualChurn*VLOOKUP(NV61,ChurnSeasonTable,4,FALSE)),2)+OK13*(AnnualChurn*VLOOKUP(NV61,ChurnSeasonTable,4,FALSE))*POWER(1-(AnnualChurn*VLOOKUP(NV61,ChurnSeasonTable,4,FALSE)),3)</f>
        <v/>
      </c>
      <c r="OR61" s="12">
        <f>OR60+OL61-OL49*(AnnualChurn*VLOOKUP(NV61,ChurnSeasonTable,4,FALSE))*POWER(1-(AnnualChurn*VLOOKUP(NV61,ChurnSeasonTable,4,FALSE)),0)+OL37*(AnnualChurn*VLOOKUP(NV61,ChurnSeasonTable,4,FALSE))*POWER(1-(AnnualChurn*VLOOKUP(NV61,ChurnSeasonTable,4,FALSE)),1)+OL25*(AnnualChurn*VLOOKUP(NV61,ChurnSeasonTable,4,FALSE))*POWER(1-(AnnualChurn*VLOOKUP(NV61,ChurnSeasonTable,4,FALSE)),2)+OL13*(AnnualChurn*VLOOKUP(NV61,ChurnSeasonTable,4,FALSE))*POWER(1-(AnnualChurn*VLOOKUP(NV61,ChurnSeasonTable,4,FALSE)),3)</f>
        <v/>
      </c>
      <c r="OS61" s="12">
        <f>OM61+ON61+OO61+OP61+OQ61+OR61</f>
        <v/>
      </c>
      <c r="OT61" s="9">
        <f>OM61*BlendedPriceEssMonthly*NY61+ON61*BlendedPricePremMonthly*NY61+OO61*BlendedPriceEliteMonthly*NY61+OP61*BlendedPriceEssAnnual*NY61/12+OQ61*BlendedPricePremAnnual*NY61/12+OR61*BlendedPriceEliteAnnual*NY61/12</f>
        <v/>
      </c>
      <c r="OU61" s="9">
        <f>OT61*12</f>
        <v/>
      </c>
      <c r="OV61" s="12">
        <f>OM61*BlendedPriceEssMonthly*NY61+ON61*BlendedPricePremMonthly*NY61+OO61*BlendedPriceEliteMonthly*NY61</f>
        <v/>
      </c>
      <c r="OW61" s="12">
        <f>OJ61*BlendedPriceEssAnnual*NY61+OK61*BlendedPricePremAnnual*NY61+OL61*BlendedPriceEliteAnnual*NY61</f>
        <v/>
      </c>
      <c r="OX61" s="12">
        <f>OJ49*POWER(1-(AnnualChurn*VLOOKUP(NV61,ChurnSeasonTable,4,FALSE)),1)*BlendedPriceEssAnnual*NY61+OJ37*POWER(1-(AnnualChurn*VLOOKUP(NV61,ChurnSeasonTable,4,FALSE)),2)*BlendedPriceEssAnnual*NY61+OJ25*POWER(1-(AnnualChurn*VLOOKUP(NV61,ChurnSeasonTable,4,FALSE)),3)*BlendedPriceEssAnnual*NY61+OJ13*POWER(1-(AnnualChurn*VLOOKUP(NV61,ChurnSeasonTable,4,FALSE)),4)*BlendedPriceEssAnnual*NY61+OK49*POWER(1-(AnnualChurn*VLOOKUP(NV61,ChurnSeasonTable,4,FALSE)),1)*BlendedPricePremAnnual*NY61+OK37*POWER(1-(AnnualChurn*VLOOKUP(NV61,ChurnSeasonTable,4,FALSE)),2)*BlendedPricePremAnnual*NY61+OK25*POWER(1-(AnnualChurn*VLOOKUP(NV61,ChurnSeasonTable,4,FALSE)),3)*BlendedPricePremAnnual*NY61+OK13*POWER(1-(AnnualChurn*VLOOKUP(NV61,ChurnSeasonTable,4,FALSE)),4)*BlendedPricePremAnnual*NY61+OL49*POWER(1-(AnnualChurn*VLOOKUP(NV61,ChurnSeasonTable,4,FALSE)),1)*BlendedPriceEliteAnnual*NY61+OL37*POWER(1-(AnnualChurn*VLOOKUP(NV61,ChurnSeasonTable,4,FALSE)),2)*BlendedPriceEliteAnnual*NY61+OL25*POWER(1-(AnnualChurn*VLOOKUP(NV61,ChurnSeasonTable,4,FALSE)),3)*BlendedPriceEliteAnnual*NY61+OL13*POWER(1-(AnnualChurn*VLOOKUP(NV61,ChurnSeasonTable,4,FALSE)),4)*BlendedPriceEliteAnnual*NY61</f>
        <v/>
      </c>
      <c r="OY61" s="9">
        <f>OV61+OW61+OX61</f>
        <v/>
      </c>
      <c r="OZ61" s="12">
        <f>SUM(OY50:OY61)</f>
        <v/>
      </c>
      <c r="PA61" s="12">
        <f>OR(PA60,IF(VATAgentMode,SUM($OY50:$OY61)-SUM($PF50:$PF61)&gt;=VATThreshold,SUM($OY50:$OY61)&gt;=VATThreshold))</f>
        <v/>
      </c>
      <c r="PB61" s="9">
        <f>IF(PA61,IF(VATAgentMode,OY61-((OY61-PF61)-(OY61-PF61)/(1+VATRate)),OY61/(1+VATRate)),OY61)</f>
        <v/>
      </c>
      <c r="PC61" s="12">
        <f>OY61-PB61</f>
        <v/>
      </c>
      <c r="PD61" s="12">
        <f>IF(PA61=0,0,IF(NV61=1,SUMPRODUCT(--(($NW$5:$NW61=$NW61-1)*($NV$5:$NV61&gt;=10)*($NV$5:$NV61&lt;=12)),$PC$5:$PC61),IF(NV61=4,SUMPRODUCT(--(($NW$5:$NW61=$NW61)*($NV$5:$NV61&gt;=1)*($NV$5:$NV61&lt;=3)),$PC$5:$PC61),IF(NV61=7,SUMPRODUCT(--(($NW$5:$NW61=$NW61)*($NV$5:$NV61&gt;=4)*($NV$5:$NV61&lt;=6)),$PC$5:$PC61),IF(NV61=10,SUMPRODUCT(--(($NW$5:$NW61=$NW61)*($NV$5:$NV61&gt;=7)*($NV$5:$NV61&lt;=9)),$PC$5:$PC61),0)))))</f>
        <v/>
      </c>
      <c r="PE61" s="12">
        <f>PE60+PC61-PD61</f>
        <v/>
      </c>
      <c r="PF61" s="12">
        <f>IF(ProviderDelay&gt;=1,OM60*BlendedProvPayEss+ON60*BlendedProvPayPrem+OO60*BlendedProvPayElite+OP60*BlendedProvPayEss+OQ60*BlendedProvPayPrem+OR60*BlendedProvPayElite,OM61*BlendedProvPayEss+ON61*BlendedProvPayPrem+OO61*BlendedProvPayElite+OP61*BlendedProvPayEss+OQ61*BlendedProvPayPrem+OR61*BlendedProvPayElite)</f>
        <v/>
      </c>
      <c r="PG61" s="12">
        <f>OY61*PaymentFee</f>
        <v/>
      </c>
      <c r="PH61" s="12">
        <f>OS61*OpsAI</f>
        <v/>
      </c>
      <c r="PI61" s="12">
        <f>MonthlyFixed</f>
        <v/>
      </c>
      <c r="PJ61" s="12">
        <f>OC61*ReferralReward</f>
        <v/>
      </c>
      <c r="PK61" s="12">
        <f>OA61</f>
        <v/>
      </c>
      <c r="PL61" s="9">
        <f>PB61-PF61-PG61-PH61-PI61-PJ61-PK61</f>
        <v/>
      </c>
      <c r="PM61" s="9">
        <f>PM60+OY61-(PF61+PG61+PH61+PI61+PJ61+PK61+PD61)</f>
        <v/>
      </c>
      <c r="PN61" s="12">
        <f>IF(OS61&gt;0,OT61/OS61,0)</f>
        <v/>
      </c>
      <c r="PO61" s="11">
        <f>IF(OS60&gt;0,MAX(0,(OS60+OD61-OS61)/OS60),0)</f>
        <v/>
      </c>
      <c r="PQ61" s="12" t="n">
        <v>57</v>
      </c>
      <c r="PR61" s="12">
        <f>MOD(PQ61-1+LaunchMonth-1,12)+1</f>
        <v/>
      </c>
      <c r="PS61" s="12">
        <f>INT((PQ61-1+LaunchMonth-1)/12)+1</f>
        <v/>
      </c>
      <c r="PT61" s="12">
        <f>VLOOKUP(PR61,SeasonTable,2,FALSE)</f>
        <v/>
      </c>
      <c r="PU61" s="12">
        <f>(1+InflationRate)^INT((PQ61-1)/12)</f>
        <v/>
      </c>
      <c r="PV61" s="11">
        <f>'Sens - Churn'!$A$19*VLOOKUP(PR61,ChurnSeasonTable,4,FALSE)</f>
        <v/>
      </c>
      <c r="PW61" s="12">
        <f>MIN(MAX(MktMin19plus,QU60*MktPct19plus),MAX(0,RI60-CashBuffer))</f>
        <v/>
      </c>
      <c r="PX61" s="12">
        <f>IF(PW61&gt;0,MAX(1,ROUND(PW61/CAC*PT61,0)),0)</f>
        <v/>
      </c>
      <c r="PY61" s="12">
        <f>IF(PX61&gt;0,ROUND(PX61*ReferralMix/(1-ReferralMix),0),0)</f>
        <v/>
      </c>
      <c r="PZ61" s="12">
        <f>PX61+PY61</f>
        <v/>
      </c>
      <c r="QA61" s="12">
        <f>ROUND(PZ61*(1-AnnualMix),0)</f>
        <v/>
      </c>
      <c r="QB61" s="12">
        <f>PZ61-QA61</f>
        <v/>
      </c>
      <c r="QC61" s="12">
        <f>ROUND(QA61*EssentialMix,0)</f>
        <v/>
      </c>
      <c r="QD61" s="12">
        <f>ROUND(QA61*PremiumMix,0)</f>
        <v/>
      </c>
      <c r="QE61" s="12">
        <f>QA61-QC61-QD61</f>
        <v/>
      </c>
      <c r="QF61" s="12">
        <f>ROUND(QB61*EssentialMix,0)</f>
        <v/>
      </c>
      <c r="QG61" s="12">
        <f>ROUND(QB61*PremiumMix,0)</f>
        <v/>
      </c>
      <c r="QH61" s="12">
        <f>QB61-QF61-QG61</f>
        <v/>
      </c>
      <c r="QI61" s="12">
        <f>QC61+QC60+QC59+MAX(0,QI60-QC60-QC59)*(1-PV61)</f>
        <v/>
      </c>
      <c r="QJ61" s="12">
        <f>QD61+QD60+QD59+MAX(0,QJ60-QD60-QD59)*(1-PV61)</f>
        <v/>
      </c>
      <c r="QK61" s="12">
        <f>QE61+QE60+QE59+MAX(0,QK60-QE60-QE59)*(1-PV61)</f>
        <v/>
      </c>
      <c r="QL61" s="12">
        <f>QL60+QF61-QF49*(AnnualChurn*VLOOKUP(PR61,ChurnSeasonTable,4,FALSE))*POWER(1-(AnnualChurn*VLOOKUP(PR61,ChurnSeasonTable,4,FALSE)),0)+QF37*(AnnualChurn*VLOOKUP(PR61,ChurnSeasonTable,4,FALSE))*POWER(1-(AnnualChurn*VLOOKUP(PR61,ChurnSeasonTable,4,FALSE)),1)+QF25*(AnnualChurn*VLOOKUP(PR61,ChurnSeasonTable,4,FALSE))*POWER(1-(AnnualChurn*VLOOKUP(PR61,ChurnSeasonTable,4,FALSE)),2)+QF13*(AnnualChurn*VLOOKUP(PR61,ChurnSeasonTable,4,FALSE))*POWER(1-(AnnualChurn*VLOOKUP(PR61,ChurnSeasonTable,4,FALSE)),3)</f>
        <v/>
      </c>
      <c r="QM61" s="12">
        <f>QM60+QG61-QG49*(AnnualChurn*VLOOKUP(PR61,ChurnSeasonTable,4,FALSE))*POWER(1-(AnnualChurn*VLOOKUP(PR61,ChurnSeasonTable,4,FALSE)),0)+QG37*(AnnualChurn*VLOOKUP(PR61,ChurnSeasonTable,4,FALSE))*POWER(1-(AnnualChurn*VLOOKUP(PR61,ChurnSeasonTable,4,FALSE)),1)+QG25*(AnnualChurn*VLOOKUP(PR61,ChurnSeasonTable,4,FALSE))*POWER(1-(AnnualChurn*VLOOKUP(PR61,ChurnSeasonTable,4,FALSE)),2)+QG13*(AnnualChurn*VLOOKUP(PR61,ChurnSeasonTable,4,FALSE))*POWER(1-(AnnualChurn*VLOOKUP(PR61,ChurnSeasonTable,4,FALSE)),3)</f>
        <v/>
      </c>
      <c r="QN61" s="12">
        <f>QN60+QH61-QH49*(AnnualChurn*VLOOKUP(PR61,ChurnSeasonTable,4,FALSE))*POWER(1-(AnnualChurn*VLOOKUP(PR61,ChurnSeasonTable,4,FALSE)),0)+QH37*(AnnualChurn*VLOOKUP(PR61,ChurnSeasonTable,4,FALSE))*POWER(1-(AnnualChurn*VLOOKUP(PR61,ChurnSeasonTable,4,FALSE)),1)+QH25*(AnnualChurn*VLOOKUP(PR61,ChurnSeasonTable,4,FALSE))*POWER(1-(AnnualChurn*VLOOKUP(PR61,ChurnSeasonTable,4,FALSE)),2)+QH13*(AnnualChurn*VLOOKUP(PR61,ChurnSeasonTable,4,FALSE))*POWER(1-(AnnualChurn*VLOOKUP(PR61,ChurnSeasonTable,4,FALSE)),3)</f>
        <v/>
      </c>
      <c r="QO61" s="12">
        <f>QI61+QJ61+QK61+QL61+QM61+QN61</f>
        <v/>
      </c>
      <c r="QP61" s="9">
        <f>QI61*BlendedPriceEssMonthly*PU61+QJ61*BlendedPricePremMonthly*PU61+QK61*BlendedPriceEliteMonthly*PU61+QL61*BlendedPriceEssAnnual*PU61/12+QM61*BlendedPricePremAnnual*PU61/12+QN61*BlendedPriceEliteAnnual*PU61/12</f>
        <v/>
      </c>
      <c r="QQ61" s="9">
        <f>QP61*12</f>
        <v/>
      </c>
      <c r="QR61" s="12">
        <f>QI61*BlendedPriceEssMonthly*PU61+QJ61*BlendedPricePremMonthly*PU61+QK61*BlendedPriceEliteMonthly*PU61</f>
        <v/>
      </c>
      <c r="QS61" s="12">
        <f>QF61*BlendedPriceEssAnnual*PU61+QG61*BlendedPricePremAnnual*PU61+QH61*BlendedPriceEliteAnnual*PU61</f>
        <v/>
      </c>
      <c r="QT61" s="12">
        <f>QF49*POWER(1-(AnnualChurn*VLOOKUP(PR61,ChurnSeasonTable,4,FALSE)),1)*BlendedPriceEssAnnual*PU61+QF37*POWER(1-(AnnualChurn*VLOOKUP(PR61,ChurnSeasonTable,4,FALSE)),2)*BlendedPriceEssAnnual*PU61+QF25*POWER(1-(AnnualChurn*VLOOKUP(PR61,ChurnSeasonTable,4,FALSE)),3)*BlendedPriceEssAnnual*PU61+QF13*POWER(1-(AnnualChurn*VLOOKUP(PR61,ChurnSeasonTable,4,FALSE)),4)*BlendedPriceEssAnnual*PU61+QG49*POWER(1-(AnnualChurn*VLOOKUP(PR61,ChurnSeasonTable,4,FALSE)),1)*BlendedPricePremAnnual*PU61+QG37*POWER(1-(AnnualChurn*VLOOKUP(PR61,ChurnSeasonTable,4,FALSE)),2)*BlendedPricePremAnnual*PU61+QG25*POWER(1-(AnnualChurn*VLOOKUP(PR61,ChurnSeasonTable,4,FALSE)),3)*BlendedPricePremAnnual*PU61+QG13*POWER(1-(AnnualChurn*VLOOKUP(PR61,ChurnSeasonTable,4,FALSE)),4)*BlendedPricePremAnnual*PU61+QH49*POWER(1-(AnnualChurn*VLOOKUP(PR61,ChurnSeasonTable,4,FALSE)),1)*BlendedPriceEliteAnnual*PU61+QH37*POWER(1-(AnnualChurn*VLOOKUP(PR61,ChurnSeasonTable,4,FALSE)),2)*BlendedPriceEliteAnnual*PU61+QH25*POWER(1-(AnnualChurn*VLOOKUP(PR61,ChurnSeasonTable,4,FALSE)),3)*BlendedPriceEliteAnnual*PU61+QH13*POWER(1-(AnnualChurn*VLOOKUP(PR61,ChurnSeasonTable,4,FALSE)),4)*BlendedPriceEliteAnnual*PU61</f>
        <v/>
      </c>
      <c r="QU61" s="9">
        <f>QR61+QS61+QT61</f>
        <v/>
      </c>
      <c r="QV61" s="12">
        <f>SUM(QU50:QU61)</f>
        <v/>
      </c>
      <c r="QW61" s="12">
        <f>OR(QW60,IF(VATAgentMode,SUM($QU50:$QU61)-SUM($RB50:$RB61)&gt;=VATThreshold,SUM($QU50:$QU61)&gt;=VATThreshold))</f>
        <v/>
      </c>
      <c r="QX61" s="9">
        <f>IF(QW61,IF(VATAgentMode,QU61-((QU61-RB61)-(QU61-RB61)/(1+VATRate)),QU61/(1+VATRate)),QU61)</f>
        <v/>
      </c>
      <c r="QY61" s="12">
        <f>QU61-QX61</f>
        <v/>
      </c>
      <c r="QZ61" s="12">
        <f>IF(QW61=0,0,IF(PR61=1,SUMPRODUCT(--(($PS$5:$PS61=$PS61-1)*($PR$5:$PR61&gt;=10)*($PR$5:$PR61&lt;=12)),$QY$5:$QY61),IF(PR61=4,SUMPRODUCT(--(($PS$5:$PS61=$PS61)*($PR$5:$PR61&gt;=1)*($PR$5:$PR61&lt;=3)),$QY$5:$QY61),IF(PR61=7,SUMPRODUCT(--(($PS$5:$PS61=$PS61)*($PR$5:$PR61&gt;=4)*($PR$5:$PR61&lt;=6)),$QY$5:$QY61),IF(PR61=10,SUMPRODUCT(--(($PS$5:$PS61=$PS61)*($PR$5:$PR61&gt;=7)*($PR$5:$PR61&lt;=9)),$QY$5:$QY61),0)))))</f>
        <v/>
      </c>
      <c r="RA61" s="12">
        <f>RA60+QY61-QZ61</f>
        <v/>
      </c>
      <c r="RB61" s="12">
        <f>IF(ProviderDelay&gt;=1,QI60*BlendedProvPayEss+QJ60*BlendedProvPayPrem+QK60*BlendedProvPayElite+QL60*BlendedProvPayEss+QM60*BlendedProvPayPrem+QN60*BlendedProvPayElite,QI61*BlendedProvPayEss+QJ61*BlendedProvPayPrem+QK61*BlendedProvPayElite+QL61*BlendedProvPayEss+QM61*BlendedProvPayPrem+QN61*BlendedProvPayElite)</f>
        <v/>
      </c>
      <c r="RC61" s="12">
        <f>QU61*PaymentFee</f>
        <v/>
      </c>
      <c r="RD61" s="12">
        <f>QO61*OpsAI</f>
        <v/>
      </c>
      <c r="RE61" s="12">
        <f>MonthlyFixed</f>
        <v/>
      </c>
      <c r="RF61" s="12">
        <f>PY61*ReferralReward</f>
        <v/>
      </c>
      <c r="RG61" s="12">
        <f>PW61</f>
        <v/>
      </c>
      <c r="RH61" s="9">
        <f>QX61-RB61-RC61-RD61-RE61-RF61-RG61</f>
        <v/>
      </c>
      <c r="RI61" s="9">
        <f>RI60+QU61-(RB61+RC61+RD61+RE61+RF61+RG61+QZ61)</f>
        <v/>
      </c>
      <c r="RJ61" s="12">
        <f>IF(QO61&gt;0,QP61/QO61,0)</f>
        <v/>
      </c>
      <c r="RK61" s="11">
        <f>IF(QO60&gt;0,MAX(0,(QO60+PZ61-QO61)/QO60),0)</f>
        <v/>
      </c>
      <c r="RM61" s="12" t="n">
        <v>57</v>
      </c>
      <c r="RN61" s="12">
        <f>MOD(RM61-1+LaunchMonth-1,12)+1</f>
        <v/>
      </c>
      <c r="RO61" s="12">
        <f>INT((RM61-1+LaunchMonth-1)/12)+1</f>
        <v/>
      </c>
      <c r="RP61" s="12">
        <f>VLOOKUP(RN61,SeasonTable,2,FALSE)</f>
        <v/>
      </c>
      <c r="RQ61" s="12">
        <f>(1+InflationRate)^INT((RM61-1)/12)</f>
        <v/>
      </c>
      <c r="RR61" s="11">
        <f>'Sens - Churn'!$A$20*VLOOKUP(RN61,ChurnSeasonTable,4,FALSE)</f>
        <v/>
      </c>
      <c r="RS61" s="12">
        <f>MIN(MAX(MktMin19plus,SQ60*MktPct19plus),MAX(0,TE60-CashBuffer))</f>
        <v/>
      </c>
      <c r="RT61" s="12">
        <f>IF(RS61&gt;0,MAX(1,ROUND(RS61/CAC*RP61,0)),0)</f>
        <v/>
      </c>
      <c r="RU61" s="12">
        <f>IF(RT61&gt;0,ROUND(RT61*ReferralMix/(1-ReferralMix),0),0)</f>
        <v/>
      </c>
      <c r="RV61" s="12">
        <f>RT61+RU61</f>
        <v/>
      </c>
      <c r="RW61" s="12">
        <f>ROUND(RV61*(1-AnnualMix),0)</f>
        <v/>
      </c>
      <c r="RX61" s="12">
        <f>RV61-RW61</f>
        <v/>
      </c>
      <c r="RY61" s="12">
        <f>ROUND(RW61*EssentialMix,0)</f>
        <v/>
      </c>
      <c r="RZ61" s="12">
        <f>ROUND(RW61*PremiumMix,0)</f>
        <v/>
      </c>
      <c r="SA61" s="12">
        <f>RW61-RY61-RZ61</f>
        <v/>
      </c>
      <c r="SB61" s="12">
        <f>ROUND(RX61*EssentialMix,0)</f>
        <v/>
      </c>
      <c r="SC61" s="12">
        <f>ROUND(RX61*PremiumMix,0)</f>
        <v/>
      </c>
      <c r="SD61" s="12">
        <f>RX61-SB61-SC61</f>
        <v/>
      </c>
      <c r="SE61" s="12">
        <f>RY61+RY60+RY59+MAX(0,SE60-RY60-RY59)*(1-RR61)</f>
        <v/>
      </c>
      <c r="SF61" s="12">
        <f>RZ61+RZ60+RZ59+MAX(0,SF60-RZ60-RZ59)*(1-RR61)</f>
        <v/>
      </c>
      <c r="SG61" s="12">
        <f>SA61+SA60+SA59+MAX(0,SG60-SA60-SA59)*(1-RR61)</f>
        <v/>
      </c>
      <c r="SH61" s="12">
        <f>SH60+SB61-SB49*(AnnualChurn*VLOOKUP(RN61,ChurnSeasonTable,4,FALSE))*POWER(1-(AnnualChurn*VLOOKUP(RN61,ChurnSeasonTable,4,FALSE)),0)+SB37*(AnnualChurn*VLOOKUP(RN61,ChurnSeasonTable,4,FALSE))*POWER(1-(AnnualChurn*VLOOKUP(RN61,ChurnSeasonTable,4,FALSE)),1)+SB25*(AnnualChurn*VLOOKUP(RN61,ChurnSeasonTable,4,FALSE))*POWER(1-(AnnualChurn*VLOOKUP(RN61,ChurnSeasonTable,4,FALSE)),2)+SB13*(AnnualChurn*VLOOKUP(RN61,ChurnSeasonTable,4,FALSE))*POWER(1-(AnnualChurn*VLOOKUP(RN61,ChurnSeasonTable,4,FALSE)),3)</f>
        <v/>
      </c>
      <c r="SI61" s="12">
        <f>SI60+SC61-SC49*(AnnualChurn*VLOOKUP(RN61,ChurnSeasonTable,4,FALSE))*POWER(1-(AnnualChurn*VLOOKUP(RN61,ChurnSeasonTable,4,FALSE)),0)+SC37*(AnnualChurn*VLOOKUP(RN61,ChurnSeasonTable,4,FALSE))*POWER(1-(AnnualChurn*VLOOKUP(RN61,ChurnSeasonTable,4,FALSE)),1)+SC25*(AnnualChurn*VLOOKUP(RN61,ChurnSeasonTable,4,FALSE))*POWER(1-(AnnualChurn*VLOOKUP(RN61,ChurnSeasonTable,4,FALSE)),2)+SC13*(AnnualChurn*VLOOKUP(RN61,ChurnSeasonTable,4,FALSE))*POWER(1-(AnnualChurn*VLOOKUP(RN61,ChurnSeasonTable,4,FALSE)),3)</f>
        <v/>
      </c>
      <c r="SJ61" s="12">
        <f>SJ60+SD61-SD49*(AnnualChurn*VLOOKUP(RN61,ChurnSeasonTable,4,FALSE))*POWER(1-(AnnualChurn*VLOOKUP(RN61,ChurnSeasonTable,4,FALSE)),0)+SD37*(AnnualChurn*VLOOKUP(RN61,ChurnSeasonTable,4,FALSE))*POWER(1-(AnnualChurn*VLOOKUP(RN61,ChurnSeasonTable,4,FALSE)),1)+SD25*(AnnualChurn*VLOOKUP(RN61,ChurnSeasonTable,4,FALSE))*POWER(1-(AnnualChurn*VLOOKUP(RN61,ChurnSeasonTable,4,FALSE)),2)+SD13*(AnnualChurn*VLOOKUP(RN61,ChurnSeasonTable,4,FALSE))*POWER(1-(AnnualChurn*VLOOKUP(RN61,ChurnSeasonTable,4,FALSE)),3)</f>
        <v/>
      </c>
      <c r="SK61" s="12">
        <f>SE61+SF61+SG61+SH61+SI61+SJ61</f>
        <v/>
      </c>
      <c r="SL61" s="9">
        <f>SE61*BlendedPriceEssMonthly*RQ61+SF61*BlendedPricePremMonthly*RQ61+SG61*BlendedPriceEliteMonthly*RQ61+SH61*BlendedPriceEssAnnual*RQ61/12+SI61*BlendedPricePremAnnual*RQ61/12+SJ61*BlendedPriceEliteAnnual*RQ61/12</f>
        <v/>
      </c>
      <c r="SM61" s="9">
        <f>SL61*12</f>
        <v/>
      </c>
      <c r="SN61" s="12">
        <f>SE61*BlendedPriceEssMonthly*RQ61+SF61*BlendedPricePremMonthly*RQ61+SG61*BlendedPriceEliteMonthly*RQ61</f>
        <v/>
      </c>
      <c r="SO61" s="12">
        <f>SB61*BlendedPriceEssAnnual*RQ61+SC61*BlendedPricePremAnnual*RQ61+SD61*BlendedPriceEliteAnnual*RQ61</f>
        <v/>
      </c>
      <c r="SP61" s="12">
        <f>SB49*POWER(1-(AnnualChurn*VLOOKUP(RN61,ChurnSeasonTable,4,FALSE)),1)*BlendedPriceEssAnnual*RQ61+SB37*POWER(1-(AnnualChurn*VLOOKUP(RN61,ChurnSeasonTable,4,FALSE)),2)*BlendedPriceEssAnnual*RQ61+SB25*POWER(1-(AnnualChurn*VLOOKUP(RN61,ChurnSeasonTable,4,FALSE)),3)*BlendedPriceEssAnnual*RQ61+SB13*POWER(1-(AnnualChurn*VLOOKUP(RN61,ChurnSeasonTable,4,FALSE)),4)*BlendedPriceEssAnnual*RQ61+SC49*POWER(1-(AnnualChurn*VLOOKUP(RN61,ChurnSeasonTable,4,FALSE)),1)*BlendedPricePremAnnual*RQ61+SC37*POWER(1-(AnnualChurn*VLOOKUP(RN61,ChurnSeasonTable,4,FALSE)),2)*BlendedPricePremAnnual*RQ61+SC25*POWER(1-(AnnualChurn*VLOOKUP(RN61,ChurnSeasonTable,4,FALSE)),3)*BlendedPricePremAnnual*RQ61+SC13*POWER(1-(AnnualChurn*VLOOKUP(RN61,ChurnSeasonTable,4,FALSE)),4)*BlendedPricePremAnnual*RQ61+SD49*POWER(1-(AnnualChurn*VLOOKUP(RN61,ChurnSeasonTable,4,FALSE)),1)*BlendedPriceEliteAnnual*RQ61+SD37*POWER(1-(AnnualChurn*VLOOKUP(RN61,ChurnSeasonTable,4,FALSE)),2)*BlendedPriceEliteAnnual*RQ61+SD25*POWER(1-(AnnualChurn*VLOOKUP(RN61,ChurnSeasonTable,4,FALSE)),3)*BlendedPriceEliteAnnual*RQ61+SD13*POWER(1-(AnnualChurn*VLOOKUP(RN61,ChurnSeasonTable,4,FALSE)),4)*BlendedPriceEliteAnnual*RQ61</f>
        <v/>
      </c>
      <c r="SQ61" s="9">
        <f>SN61+SO61+SP61</f>
        <v/>
      </c>
      <c r="SR61" s="12">
        <f>SUM(SQ50:SQ61)</f>
        <v/>
      </c>
      <c r="SS61" s="12">
        <f>OR(SS60,IF(VATAgentMode,SUM($SQ50:$SQ61)-SUM($SX50:$SX61)&gt;=VATThreshold,SUM($SQ50:$SQ61)&gt;=VATThreshold))</f>
        <v/>
      </c>
      <c r="ST61" s="9">
        <f>IF(SS61,IF(VATAgentMode,SQ61-((SQ61-SX61)-(SQ61-SX61)/(1+VATRate)),SQ61/(1+VATRate)),SQ61)</f>
        <v/>
      </c>
      <c r="SU61" s="12">
        <f>SQ61-ST61</f>
        <v/>
      </c>
      <c r="SV61" s="12">
        <f>IF(SS61=0,0,IF(RN61=1,SUMPRODUCT(--(($RO$5:$RO61=$RO61-1)*($RN$5:$RN61&gt;=10)*($RN$5:$RN61&lt;=12)),$SU$5:$SU61),IF(RN61=4,SUMPRODUCT(--(($RO$5:$RO61=$RO61)*($RN$5:$RN61&gt;=1)*($RN$5:$RN61&lt;=3)),$SU$5:$SU61),IF(RN61=7,SUMPRODUCT(--(($RO$5:$RO61=$RO61)*($RN$5:$RN61&gt;=4)*($RN$5:$RN61&lt;=6)),$SU$5:$SU61),IF(RN61=10,SUMPRODUCT(--(($RO$5:$RO61=$RO61)*($RN$5:$RN61&gt;=7)*($RN$5:$RN61&lt;=9)),$SU$5:$SU61),0)))))</f>
        <v/>
      </c>
      <c r="SW61" s="12">
        <f>SW60+SU61-SV61</f>
        <v/>
      </c>
      <c r="SX61" s="12">
        <f>IF(ProviderDelay&gt;=1,SE60*BlendedProvPayEss+SF60*BlendedProvPayPrem+SG60*BlendedProvPayElite+SH60*BlendedProvPayEss+SI60*BlendedProvPayPrem+SJ60*BlendedProvPayElite,SE61*BlendedProvPayEss+SF61*BlendedProvPayPrem+SG61*BlendedProvPayElite+SH61*BlendedProvPayEss+SI61*BlendedProvPayPrem+SJ61*BlendedProvPayElite)</f>
        <v/>
      </c>
      <c r="SY61" s="12">
        <f>SQ61*PaymentFee</f>
        <v/>
      </c>
      <c r="SZ61" s="12">
        <f>SK61*OpsAI</f>
        <v/>
      </c>
      <c r="TA61" s="12">
        <f>MonthlyFixed</f>
        <v/>
      </c>
      <c r="TB61" s="12">
        <f>RU61*ReferralReward</f>
        <v/>
      </c>
      <c r="TC61" s="12">
        <f>RS61</f>
        <v/>
      </c>
      <c r="TD61" s="9">
        <f>ST61-SX61-SY61-SZ61-TA61-TB61-TC61</f>
        <v/>
      </c>
      <c r="TE61" s="9">
        <f>TE60+SQ61-(SX61+SY61+SZ61+TA61+TB61+TC61+SV61)</f>
        <v/>
      </c>
      <c r="TF61" s="12">
        <f>IF(SK61&gt;0,SL61/SK61,0)</f>
        <v/>
      </c>
      <c r="TG61" s="11">
        <f>IF(SK60&gt;0,MAX(0,(SK60+RV61-SK61)/SK60),0)</f>
        <v/>
      </c>
      <c r="TI61" s="12" t="n">
        <v>57</v>
      </c>
      <c r="TJ61" s="12">
        <f>MOD(TI61-1+LaunchMonth-1,12)+1</f>
        <v/>
      </c>
      <c r="TK61" s="12">
        <f>INT((TI61-1+LaunchMonth-1)/12)+1</f>
        <v/>
      </c>
      <c r="TL61" s="12">
        <f>VLOOKUP(TJ61,SeasonTable,2,FALSE)</f>
        <v/>
      </c>
      <c r="TM61" s="12">
        <f>(1+InflationRate)^INT((TI61-1)/12)</f>
        <v/>
      </c>
      <c r="TN61" s="11">
        <f>'Sens - Churn'!$A$21*VLOOKUP(TJ61,ChurnSeasonTable,4,FALSE)</f>
        <v/>
      </c>
      <c r="TO61" s="12">
        <f>MIN(MAX(MktMin19plus,UM60*MktPct19plus),MAX(0,VA60-CashBuffer))</f>
        <v/>
      </c>
      <c r="TP61" s="12">
        <f>IF(TO61&gt;0,MAX(1,ROUND(TO61/CAC*TL61,0)),0)</f>
        <v/>
      </c>
      <c r="TQ61" s="12">
        <f>IF(TP61&gt;0,ROUND(TP61*ReferralMix/(1-ReferralMix),0),0)</f>
        <v/>
      </c>
      <c r="TR61" s="12">
        <f>TP61+TQ61</f>
        <v/>
      </c>
      <c r="TS61" s="12">
        <f>ROUND(TR61*(1-AnnualMix),0)</f>
        <v/>
      </c>
      <c r="TT61" s="12">
        <f>TR61-TS61</f>
        <v/>
      </c>
      <c r="TU61" s="12">
        <f>ROUND(TS61*EssentialMix,0)</f>
        <v/>
      </c>
      <c r="TV61" s="12">
        <f>ROUND(TS61*PremiumMix,0)</f>
        <v/>
      </c>
      <c r="TW61" s="12">
        <f>TS61-TU61-TV61</f>
        <v/>
      </c>
      <c r="TX61" s="12">
        <f>ROUND(TT61*EssentialMix,0)</f>
        <v/>
      </c>
      <c r="TY61" s="12">
        <f>ROUND(TT61*PremiumMix,0)</f>
        <v/>
      </c>
      <c r="TZ61" s="12">
        <f>TT61-TX61-TY61</f>
        <v/>
      </c>
      <c r="UA61" s="12">
        <f>TU61+TU60+TU59+MAX(0,UA60-TU60-TU59)*(1-TN61)</f>
        <v/>
      </c>
      <c r="UB61" s="12">
        <f>TV61+TV60+TV59+MAX(0,UB60-TV60-TV59)*(1-TN61)</f>
        <v/>
      </c>
      <c r="UC61" s="12">
        <f>TW61+TW60+TW59+MAX(0,UC60-TW60-TW59)*(1-TN61)</f>
        <v/>
      </c>
      <c r="UD61" s="12">
        <f>UD60+TX61-TX49*(AnnualChurn*VLOOKUP(TJ61,ChurnSeasonTable,4,FALSE))*POWER(1-(AnnualChurn*VLOOKUP(TJ61,ChurnSeasonTable,4,FALSE)),0)+TX37*(AnnualChurn*VLOOKUP(TJ61,ChurnSeasonTable,4,FALSE))*POWER(1-(AnnualChurn*VLOOKUP(TJ61,ChurnSeasonTable,4,FALSE)),1)+TX25*(AnnualChurn*VLOOKUP(TJ61,ChurnSeasonTable,4,FALSE))*POWER(1-(AnnualChurn*VLOOKUP(TJ61,ChurnSeasonTable,4,FALSE)),2)+TX13*(AnnualChurn*VLOOKUP(TJ61,ChurnSeasonTable,4,FALSE))*POWER(1-(AnnualChurn*VLOOKUP(TJ61,ChurnSeasonTable,4,FALSE)),3)</f>
        <v/>
      </c>
      <c r="UE61" s="12">
        <f>UE60+TY61-TY49*(AnnualChurn*VLOOKUP(TJ61,ChurnSeasonTable,4,FALSE))*POWER(1-(AnnualChurn*VLOOKUP(TJ61,ChurnSeasonTable,4,FALSE)),0)+TY37*(AnnualChurn*VLOOKUP(TJ61,ChurnSeasonTable,4,FALSE))*POWER(1-(AnnualChurn*VLOOKUP(TJ61,ChurnSeasonTable,4,FALSE)),1)+TY25*(AnnualChurn*VLOOKUP(TJ61,ChurnSeasonTable,4,FALSE))*POWER(1-(AnnualChurn*VLOOKUP(TJ61,ChurnSeasonTable,4,FALSE)),2)+TY13*(AnnualChurn*VLOOKUP(TJ61,ChurnSeasonTable,4,FALSE))*POWER(1-(AnnualChurn*VLOOKUP(TJ61,ChurnSeasonTable,4,FALSE)),3)</f>
        <v/>
      </c>
      <c r="UF61" s="12">
        <f>UF60+TZ61-TZ49*(AnnualChurn*VLOOKUP(TJ61,ChurnSeasonTable,4,FALSE))*POWER(1-(AnnualChurn*VLOOKUP(TJ61,ChurnSeasonTable,4,FALSE)),0)+TZ37*(AnnualChurn*VLOOKUP(TJ61,ChurnSeasonTable,4,FALSE))*POWER(1-(AnnualChurn*VLOOKUP(TJ61,ChurnSeasonTable,4,FALSE)),1)+TZ25*(AnnualChurn*VLOOKUP(TJ61,ChurnSeasonTable,4,FALSE))*POWER(1-(AnnualChurn*VLOOKUP(TJ61,ChurnSeasonTable,4,FALSE)),2)+TZ13*(AnnualChurn*VLOOKUP(TJ61,ChurnSeasonTable,4,FALSE))*POWER(1-(AnnualChurn*VLOOKUP(TJ61,ChurnSeasonTable,4,FALSE)),3)</f>
        <v/>
      </c>
      <c r="UG61" s="12">
        <f>UA61+UB61+UC61+UD61+UE61+UF61</f>
        <v/>
      </c>
      <c r="UH61" s="9">
        <f>UA61*BlendedPriceEssMonthly*TM61+UB61*BlendedPricePremMonthly*TM61+UC61*BlendedPriceEliteMonthly*TM61+UD61*BlendedPriceEssAnnual*TM61/12+UE61*BlendedPricePremAnnual*TM61/12+UF61*BlendedPriceEliteAnnual*TM61/12</f>
        <v/>
      </c>
      <c r="UI61" s="9">
        <f>UH61*12</f>
        <v/>
      </c>
      <c r="UJ61" s="12">
        <f>UA61*BlendedPriceEssMonthly*TM61+UB61*BlendedPricePremMonthly*TM61+UC61*BlendedPriceEliteMonthly*TM61</f>
        <v/>
      </c>
      <c r="UK61" s="12">
        <f>TX61*BlendedPriceEssAnnual*TM61+TY61*BlendedPricePremAnnual*TM61+TZ61*BlendedPriceEliteAnnual*TM61</f>
        <v/>
      </c>
      <c r="UL61" s="12">
        <f>TX49*POWER(1-(AnnualChurn*VLOOKUP(TJ61,ChurnSeasonTable,4,FALSE)),1)*BlendedPriceEssAnnual*TM61+TX37*POWER(1-(AnnualChurn*VLOOKUP(TJ61,ChurnSeasonTable,4,FALSE)),2)*BlendedPriceEssAnnual*TM61+TX25*POWER(1-(AnnualChurn*VLOOKUP(TJ61,ChurnSeasonTable,4,FALSE)),3)*BlendedPriceEssAnnual*TM61+TX13*POWER(1-(AnnualChurn*VLOOKUP(TJ61,ChurnSeasonTable,4,FALSE)),4)*BlendedPriceEssAnnual*TM61+TY49*POWER(1-(AnnualChurn*VLOOKUP(TJ61,ChurnSeasonTable,4,FALSE)),1)*BlendedPricePremAnnual*TM61+TY37*POWER(1-(AnnualChurn*VLOOKUP(TJ61,ChurnSeasonTable,4,FALSE)),2)*BlendedPricePremAnnual*TM61+TY25*POWER(1-(AnnualChurn*VLOOKUP(TJ61,ChurnSeasonTable,4,FALSE)),3)*BlendedPricePremAnnual*TM61+TY13*POWER(1-(AnnualChurn*VLOOKUP(TJ61,ChurnSeasonTable,4,FALSE)),4)*BlendedPricePremAnnual*TM61+TZ49*POWER(1-(AnnualChurn*VLOOKUP(TJ61,ChurnSeasonTable,4,FALSE)),1)*BlendedPriceEliteAnnual*TM61+TZ37*POWER(1-(AnnualChurn*VLOOKUP(TJ61,ChurnSeasonTable,4,FALSE)),2)*BlendedPriceEliteAnnual*TM61+TZ25*POWER(1-(AnnualChurn*VLOOKUP(TJ61,ChurnSeasonTable,4,FALSE)),3)*BlendedPriceEliteAnnual*TM61+TZ13*POWER(1-(AnnualChurn*VLOOKUP(TJ61,ChurnSeasonTable,4,FALSE)),4)*BlendedPriceEliteAnnual*TM61</f>
        <v/>
      </c>
      <c r="UM61" s="9">
        <f>UJ61+UK61+UL61</f>
        <v/>
      </c>
      <c r="UN61" s="12">
        <f>SUM(UM50:UM61)</f>
        <v/>
      </c>
      <c r="UO61" s="12">
        <f>OR(UO60,IF(VATAgentMode,SUM($UM50:$UM61)-SUM($UT50:$UT61)&gt;=VATThreshold,SUM($UM50:$UM61)&gt;=VATThreshold))</f>
        <v/>
      </c>
      <c r="UP61" s="9">
        <f>IF(UO61,IF(VATAgentMode,UM61-((UM61-UT61)-(UM61-UT61)/(1+VATRate)),UM61/(1+VATRate)),UM61)</f>
        <v/>
      </c>
      <c r="UQ61" s="12">
        <f>UM61-UP61</f>
        <v/>
      </c>
      <c r="UR61" s="12">
        <f>IF(UO61=0,0,IF(TJ61=1,SUMPRODUCT(--(($TK$5:$TK61=$TK61-1)*($TJ$5:$TJ61&gt;=10)*($TJ$5:$TJ61&lt;=12)),$UQ$5:$UQ61),IF(TJ61=4,SUMPRODUCT(--(($TK$5:$TK61=$TK61)*($TJ$5:$TJ61&gt;=1)*($TJ$5:$TJ61&lt;=3)),$UQ$5:$UQ61),IF(TJ61=7,SUMPRODUCT(--(($TK$5:$TK61=$TK61)*($TJ$5:$TJ61&gt;=4)*($TJ$5:$TJ61&lt;=6)),$UQ$5:$UQ61),IF(TJ61=10,SUMPRODUCT(--(($TK$5:$TK61=$TK61)*($TJ$5:$TJ61&gt;=7)*($TJ$5:$TJ61&lt;=9)),$UQ$5:$UQ61),0)))))</f>
        <v/>
      </c>
      <c r="US61" s="12">
        <f>US60+UQ61-UR61</f>
        <v/>
      </c>
      <c r="UT61" s="12">
        <f>IF(ProviderDelay&gt;=1,UA60*BlendedProvPayEss+UB60*BlendedProvPayPrem+UC60*BlendedProvPayElite+UD60*BlendedProvPayEss+UE60*BlendedProvPayPrem+UF60*BlendedProvPayElite,UA61*BlendedProvPayEss+UB61*BlendedProvPayPrem+UC61*BlendedProvPayElite+UD61*BlendedProvPayEss+UE61*BlendedProvPayPrem+UF61*BlendedProvPayElite)</f>
        <v/>
      </c>
      <c r="UU61" s="12">
        <f>UM61*PaymentFee</f>
        <v/>
      </c>
      <c r="UV61" s="12">
        <f>UG61*OpsAI</f>
        <v/>
      </c>
      <c r="UW61" s="12">
        <f>MonthlyFixed</f>
        <v/>
      </c>
      <c r="UX61" s="12">
        <f>TQ61*ReferralReward</f>
        <v/>
      </c>
      <c r="UY61" s="12">
        <f>TO61</f>
        <v/>
      </c>
      <c r="UZ61" s="9">
        <f>UP61-UT61-UU61-UV61-UW61-UX61-UY61</f>
        <v/>
      </c>
      <c r="VA61" s="9">
        <f>VA60+UM61-(UT61+UU61+UV61+UW61+UX61+UY61+UR61)</f>
        <v/>
      </c>
      <c r="VB61" s="12">
        <f>IF(UG61&gt;0,UH61/UG61,0)</f>
        <v/>
      </c>
      <c r="VC61" s="11">
        <f>IF(UG60&gt;0,MAX(0,(UG60+TR61-UG61)/UG60),0)</f>
        <v/>
      </c>
      <c r="VE61" s="12" t="n">
        <v>57</v>
      </c>
      <c r="VF61" s="12">
        <f>MOD(VE61-1+LaunchMonth-1,12)+1</f>
        <v/>
      </c>
      <c r="VG61" s="12">
        <f>INT((VE61-1+LaunchMonth-1)/12)+1</f>
        <v/>
      </c>
      <c r="VH61" s="12">
        <f>VLOOKUP(VF61,SeasonTable,2,FALSE)</f>
        <v/>
      </c>
      <c r="VI61" s="12">
        <f>(1+InflationRate)^INT((VE61-1)/12)</f>
        <v/>
      </c>
      <c r="VJ61" s="11">
        <f>MonthlyChurn*VLOOKUP(VF61,ChurnSeasonTable,4,FALSE)</f>
        <v/>
      </c>
      <c r="VK61" s="12">
        <f>MIN(MAX(MktMin19plus,WI60*MktPct19plus),MAX(0,WW60-CashBuffer))</f>
        <v/>
      </c>
      <c r="VL61" s="12">
        <f>IF(VK61&gt;0,MAX(1,ROUND(VK61/CAC*VH61,0)),0)</f>
        <v/>
      </c>
      <c r="VM61" s="12">
        <f>IF(VL61&gt;0,ROUND(VL61*ReferralMix/(1-ReferralMix),0),0)</f>
        <v/>
      </c>
      <c r="VN61" s="12">
        <f>VL61+VM61</f>
        <v/>
      </c>
      <c r="VO61" s="12">
        <f>ROUND(VN61*(1-'Sens - Annual Mix'!$A$9),0)</f>
        <v/>
      </c>
      <c r="VP61" s="12">
        <f>VN61-VO61</f>
        <v/>
      </c>
      <c r="VQ61" s="12">
        <f>ROUND(VO61*EssentialMix,0)</f>
        <v/>
      </c>
      <c r="VR61" s="12">
        <f>ROUND(VO61*PremiumMix,0)</f>
        <v/>
      </c>
      <c r="VS61" s="12">
        <f>VO61-VQ61-VR61</f>
        <v/>
      </c>
      <c r="VT61" s="12">
        <f>ROUND(VP61*EssentialMix,0)</f>
        <v/>
      </c>
      <c r="VU61" s="12">
        <f>ROUND(VP61*PremiumMix,0)</f>
        <v/>
      </c>
      <c r="VV61" s="12">
        <f>VP61-VT61-VU61</f>
        <v/>
      </c>
      <c r="VW61" s="12">
        <f>VQ61+VQ60+VQ59+MAX(0,VW60-VQ60-VQ59)*(1-VJ61)</f>
        <v/>
      </c>
      <c r="VX61" s="12">
        <f>VR61+VR60+VR59+MAX(0,VX60-VR60-VR59)*(1-VJ61)</f>
        <v/>
      </c>
      <c r="VY61" s="12">
        <f>VS61+VS60+VS59+MAX(0,VY60-VS60-VS59)*(1-VJ61)</f>
        <v/>
      </c>
      <c r="VZ61" s="12">
        <f>VZ60+VT61-VT49*(AnnualChurn*VLOOKUP(VF61,ChurnSeasonTable,4,FALSE))*POWER(1-(AnnualChurn*VLOOKUP(VF61,ChurnSeasonTable,4,FALSE)),0)+VT37*(AnnualChurn*VLOOKUP(VF61,ChurnSeasonTable,4,FALSE))*POWER(1-(AnnualChurn*VLOOKUP(VF61,ChurnSeasonTable,4,FALSE)),1)+VT25*(AnnualChurn*VLOOKUP(VF61,ChurnSeasonTable,4,FALSE))*POWER(1-(AnnualChurn*VLOOKUP(VF61,ChurnSeasonTable,4,FALSE)),2)+VT13*(AnnualChurn*VLOOKUP(VF61,ChurnSeasonTable,4,FALSE))*POWER(1-(AnnualChurn*VLOOKUP(VF61,ChurnSeasonTable,4,FALSE)),3)</f>
        <v/>
      </c>
      <c r="WA61" s="12">
        <f>WA60+VU61-VU49*(AnnualChurn*VLOOKUP(VF61,ChurnSeasonTable,4,FALSE))*POWER(1-(AnnualChurn*VLOOKUP(VF61,ChurnSeasonTable,4,FALSE)),0)+VU37*(AnnualChurn*VLOOKUP(VF61,ChurnSeasonTable,4,FALSE))*POWER(1-(AnnualChurn*VLOOKUP(VF61,ChurnSeasonTable,4,FALSE)),1)+VU25*(AnnualChurn*VLOOKUP(VF61,ChurnSeasonTable,4,FALSE))*POWER(1-(AnnualChurn*VLOOKUP(VF61,ChurnSeasonTable,4,FALSE)),2)+VU13*(AnnualChurn*VLOOKUP(VF61,ChurnSeasonTable,4,FALSE))*POWER(1-(AnnualChurn*VLOOKUP(VF61,ChurnSeasonTable,4,FALSE)),3)</f>
        <v/>
      </c>
      <c r="WB61" s="12">
        <f>WB60+VV61-VV49*(AnnualChurn*VLOOKUP(VF61,ChurnSeasonTable,4,FALSE))*POWER(1-(AnnualChurn*VLOOKUP(VF61,ChurnSeasonTable,4,FALSE)),0)+VV37*(AnnualChurn*VLOOKUP(VF61,ChurnSeasonTable,4,FALSE))*POWER(1-(AnnualChurn*VLOOKUP(VF61,ChurnSeasonTable,4,FALSE)),1)+VV25*(AnnualChurn*VLOOKUP(VF61,ChurnSeasonTable,4,FALSE))*POWER(1-(AnnualChurn*VLOOKUP(VF61,ChurnSeasonTable,4,FALSE)),2)+VV13*(AnnualChurn*VLOOKUP(VF61,ChurnSeasonTable,4,FALSE))*POWER(1-(AnnualChurn*VLOOKUP(VF61,ChurnSeasonTable,4,FALSE)),3)</f>
        <v/>
      </c>
      <c r="WC61" s="12">
        <f>VW61+VX61+VY61+VZ61+WA61+WB61</f>
        <v/>
      </c>
      <c r="WD61" s="9">
        <f>VW61*BlendedPriceEssMonthly*VI61+VX61*BlendedPricePremMonthly*VI61+VY61*BlendedPriceEliteMonthly*VI61+VZ61*BlendedPriceEssAnnual*VI61/12+WA61*BlendedPricePremAnnual*VI61/12+WB61*BlendedPriceEliteAnnual*VI61/12</f>
        <v/>
      </c>
      <c r="WE61" s="9">
        <f>WD61*12</f>
        <v/>
      </c>
      <c r="WF61" s="12">
        <f>VW61*BlendedPriceEssMonthly*VI61+VX61*BlendedPricePremMonthly*VI61+VY61*BlendedPriceEliteMonthly*VI61</f>
        <v/>
      </c>
      <c r="WG61" s="12">
        <f>VT61*BlendedPriceEssAnnual*VI61+VU61*BlendedPricePremAnnual*VI61+VV61*BlendedPriceEliteAnnual*VI61</f>
        <v/>
      </c>
      <c r="WH61" s="12">
        <f>VT49*POWER(1-(AnnualChurn*VLOOKUP(VF61,ChurnSeasonTable,4,FALSE)),1)*BlendedPriceEssAnnual*VI61+VT37*POWER(1-(AnnualChurn*VLOOKUP(VF61,ChurnSeasonTable,4,FALSE)),2)*BlendedPriceEssAnnual*VI61+VT25*POWER(1-(AnnualChurn*VLOOKUP(VF61,ChurnSeasonTable,4,FALSE)),3)*BlendedPriceEssAnnual*VI61+VT13*POWER(1-(AnnualChurn*VLOOKUP(VF61,ChurnSeasonTable,4,FALSE)),4)*BlendedPriceEssAnnual*VI61+VU49*POWER(1-(AnnualChurn*VLOOKUP(VF61,ChurnSeasonTable,4,FALSE)),1)*BlendedPricePremAnnual*VI61+VU37*POWER(1-(AnnualChurn*VLOOKUP(VF61,ChurnSeasonTable,4,FALSE)),2)*BlendedPricePremAnnual*VI61+VU25*POWER(1-(AnnualChurn*VLOOKUP(VF61,ChurnSeasonTable,4,FALSE)),3)*BlendedPricePremAnnual*VI61+VU13*POWER(1-(AnnualChurn*VLOOKUP(VF61,ChurnSeasonTable,4,FALSE)),4)*BlendedPricePremAnnual*VI61+VV49*POWER(1-(AnnualChurn*VLOOKUP(VF61,ChurnSeasonTable,4,FALSE)),1)*BlendedPriceEliteAnnual*VI61+VV37*POWER(1-(AnnualChurn*VLOOKUP(VF61,ChurnSeasonTable,4,FALSE)),2)*BlendedPriceEliteAnnual*VI61+VV25*POWER(1-(AnnualChurn*VLOOKUP(VF61,ChurnSeasonTable,4,FALSE)),3)*BlendedPriceEliteAnnual*VI61+VV13*POWER(1-(AnnualChurn*VLOOKUP(VF61,ChurnSeasonTable,4,FALSE)),4)*BlendedPriceEliteAnnual*VI61</f>
        <v/>
      </c>
      <c r="WI61" s="9">
        <f>WF61+WG61+WH61</f>
        <v/>
      </c>
      <c r="WJ61" s="12">
        <f>SUM(WI50:WI61)</f>
        <v/>
      </c>
      <c r="WK61" s="12">
        <f>OR(WK60,IF(VATAgentMode,SUM($WI50:$WI61)-SUM($WP50:$WP61)&gt;=VATThreshold,SUM($WI50:$WI61)&gt;=VATThreshold))</f>
        <v/>
      </c>
      <c r="WL61" s="9">
        <f>IF(WK61,IF(VATAgentMode,WI61-((WI61-WP61)-(WI61-WP61)/(1+VATRate)),WI61/(1+VATRate)),WI61)</f>
        <v/>
      </c>
      <c r="WM61" s="12">
        <f>WI61-WL61</f>
        <v/>
      </c>
      <c r="WN61" s="12">
        <f>IF(WK61=0,0,IF(VF61=1,SUMPRODUCT(--(($VG$5:$VG61=$VG61-1)*($VF$5:$VF61&gt;=10)*($VF$5:$VF61&lt;=12)),$WM$5:$WM61),IF(VF61=4,SUMPRODUCT(--(($VG$5:$VG61=$VG61)*($VF$5:$VF61&gt;=1)*($VF$5:$VF61&lt;=3)),$WM$5:$WM61),IF(VF61=7,SUMPRODUCT(--(($VG$5:$VG61=$VG61)*($VF$5:$VF61&gt;=4)*($VF$5:$VF61&lt;=6)),$WM$5:$WM61),IF(VF61=10,SUMPRODUCT(--(($VG$5:$VG61=$VG61)*($VF$5:$VF61&gt;=7)*($VF$5:$VF61&lt;=9)),$WM$5:$WM61),0)))))</f>
        <v/>
      </c>
      <c r="WO61" s="12">
        <f>WO60+WM61-WN61</f>
        <v/>
      </c>
      <c r="WP61" s="12">
        <f>IF(ProviderDelay&gt;=1,VW60*BlendedProvPayEss+VX60*BlendedProvPayPrem+VY60*BlendedProvPayElite+VZ60*BlendedProvPayEss+WA60*BlendedProvPayPrem+WB60*BlendedProvPayElite,VW61*BlendedProvPayEss+VX61*BlendedProvPayPrem+VY61*BlendedProvPayElite+VZ61*BlendedProvPayEss+WA61*BlendedProvPayPrem+WB61*BlendedProvPayElite)</f>
        <v/>
      </c>
      <c r="WQ61" s="12">
        <f>WI61*PaymentFee</f>
        <v/>
      </c>
      <c r="WR61" s="12">
        <f>WC61*OpsAI</f>
        <v/>
      </c>
      <c r="WS61" s="12">
        <f>MonthlyFixed</f>
        <v/>
      </c>
      <c r="WT61" s="12">
        <f>VM61*ReferralReward</f>
        <v/>
      </c>
      <c r="WU61" s="12">
        <f>VK61</f>
        <v/>
      </c>
      <c r="WV61" s="9">
        <f>WL61-WP61-WQ61-WR61-WS61-WT61-WU61</f>
        <v/>
      </c>
      <c r="WW61" s="9">
        <f>WW60+WI61-(WP61+WQ61+WR61+WS61+WT61+WU61+WN61)</f>
        <v/>
      </c>
      <c r="WX61" s="12">
        <f>IF(WC61&gt;0,WD61/WC61,0)</f>
        <v/>
      </c>
      <c r="WY61" s="11">
        <f>IF(WC60&gt;0,MAX(0,(WC60+VN61-WC61)/WC60),0)</f>
        <v/>
      </c>
      <c r="XA61" s="12" t="n">
        <v>57</v>
      </c>
      <c r="XB61" s="12">
        <f>MOD(XA61-1+LaunchMonth-1,12)+1</f>
        <v/>
      </c>
      <c r="XC61" s="12">
        <f>INT((XA61-1+LaunchMonth-1)/12)+1</f>
        <v/>
      </c>
      <c r="XD61" s="12">
        <f>VLOOKUP(XB61,SeasonTable,2,FALSE)</f>
        <v/>
      </c>
      <c r="XE61" s="12">
        <f>(1+InflationRate)^INT((XA61-1)/12)</f>
        <v/>
      </c>
      <c r="XF61" s="11">
        <f>MonthlyChurn*VLOOKUP(XB61,ChurnSeasonTable,4,FALSE)</f>
        <v/>
      </c>
      <c r="XG61" s="12">
        <f>MIN(MAX(MktMin19plus,YE60*MktPct19plus),MAX(0,YS60-CashBuffer))</f>
        <v/>
      </c>
      <c r="XH61" s="12">
        <f>IF(XG61&gt;0,MAX(1,ROUND(XG61/CAC*XD61,0)),0)</f>
        <v/>
      </c>
      <c r="XI61" s="12">
        <f>IF(XH61&gt;0,ROUND(XH61*ReferralMix/(1-ReferralMix),0),0)</f>
        <v/>
      </c>
      <c r="XJ61" s="12">
        <f>XH61+XI61</f>
        <v/>
      </c>
      <c r="XK61" s="12">
        <f>ROUND(XJ61*(1-'Sens - Annual Mix'!$A$10),0)</f>
        <v/>
      </c>
      <c r="XL61" s="12">
        <f>XJ61-XK61</f>
        <v/>
      </c>
      <c r="XM61" s="12">
        <f>ROUND(XK61*EssentialMix,0)</f>
        <v/>
      </c>
      <c r="XN61" s="12">
        <f>ROUND(XK61*PremiumMix,0)</f>
        <v/>
      </c>
      <c r="XO61" s="12">
        <f>XK61-XM61-XN61</f>
        <v/>
      </c>
      <c r="XP61" s="12">
        <f>ROUND(XL61*EssentialMix,0)</f>
        <v/>
      </c>
      <c r="XQ61" s="12">
        <f>ROUND(XL61*PremiumMix,0)</f>
        <v/>
      </c>
      <c r="XR61" s="12">
        <f>XL61-XP61-XQ61</f>
        <v/>
      </c>
      <c r="XS61" s="12">
        <f>XM61+XM60+XM59+MAX(0,XS60-XM60-XM59)*(1-XF61)</f>
        <v/>
      </c>
      <c r="XT61" s="12">
        <f>XN61+XN60+XN59+MAX(0,XT60-XN60-XN59)*(1-XF61)</f>
        <v/>
      </c>
      <c r="XU61" s="12">
        <f>XO61+XO60+XO59+MAX(0,XU60-XO60-XO59)*(1-XF61)</f>
        <v/>
      </c>
      <c r="XV61" s="12">
        <f>XV60+XP61-XP49*(AnnualChurn*VLOOKUP(XB61,ChurnSeasonTable,4,FALSE))*POWER(1-(AnnualChurn*VLOOKUP(XB61,ChurnSeasonTable,4,FALSE)),0)+XP37*(AnnualChurn*VLOOKUP(XB61,ChurnSeasonTable,4,FALSE))*POWER(1-(AnnualChurn*VLOOKUP(XB61,ChurnSeasonTable,4,FALSE)),1)+XP25*(AnnualChurn*VLOOKUP(XB61,ChurnSeasonTable,4,FALSE))*POWER(1-(AnnualChurn*VLOOKUP(XB61,ChurnSeasonTable,4,FALSE)),2)+XP13*(AnnualChurn*VLOOKUP(XB61,ChurnSeasonTable,4,FALSE))*POWER(1-(AnnualChurn*VLOOKUP(XB61,ChurnSeasonTable,4,FALSE)),3)</f>
        <v/>
      </c>
      <c r="XW61" s="12">
        <f>XW60+XQ61-XQ49*(AnnualChurn*VLOOKUP(XB61,ChurnSeasonTable,4,FALSE))*POWER(1-(AnnualChurn*VLOOKUP(XB61,ChurnSeasonTable,4,FALSE)),0)+XQ37*(AnnualChurn*VLOOKUP(XB61,ChurnSeasonTable,4,FALSE))*POWER(1-(AnnualChurn*VLOOKUP(XB61,ChurnSeasonTable,4,FALSE)),1)+XQ25*(AnnualChurn*VLOOKUP(XB61,ChurnSeasonTable,4,FALSE))*POWER(1-(AnnualChurn*VLOOKUP(XB61,ChurnSeasonTable,4,FALSE)),2)+XQ13*(AnnualChurn*VLOOKUP(XB61,ChurnSeasonTable,4,FALSE))*POWER(1-(AnnualChurn*VLOOKUP(XB61,ChurnSeasonTable,4,FALSE)),3)</f>
        <v/>
      </c>
      <c r="XX61" s="12">
        <f>XX60+XR61-XR49*(AnnualChurn*VLOOKUP(XB61,ChurnSeasonTable,4,FALSE))*POWER(1-(AnnualChurn*VLOOKUP(XB61,ChurnSeasonTable,4,FALSE)),0)+XR37*(AnnualChurn*VLOOKUP(XB61,ChurnSeasonTable,4,FALSE))*POWER(1-(AnnualChurn*VLOOKUP(XB61,ChurnSeasonTable,4,FALSE)),1)+XR25*(AnnualChurn*VLOOKUP(XB61,ChurnSeasonTable,4,FALSE))*POWER(1-(AnnualChurn*VLOOKUP(XB61,ChurnSeasonTable,4,FALSE)),2)+XR13*(AnnualChurn*VLOOKUP(XB61,ChurnSeasonTable,4,FALSE))*POWER(1-(AnnualChurn*VLOOKUP(XB61,ChurnSeasonTable,4,FALSE)),3)</f>
        <v/>
      </c>
      <c r="XY61" s="12">
        <f>XS61+XT61+XU61+XV61+XW61+XX61</f>
        <v/>
      </c>
      <c r="XZ61" s="9">
        <f>XS61*BlendedPriceEssMonthly*XE61+XT61*BlendedPricePremMonthly*XE61+XU61*BlendedPriceEliteMonthly*XE61+XV61*BlendedPriceEssAnnual*XE61/12+XW61*BlendedPricePremAnnual*XE61/12+XX61*BlendedPriceEliteAnnual*XE61/12</f>
        <v/>
      </c>
      <c r="YA61" s="9">
        <f>XZ61*12</f>
        <v/>
      </c>
      <c r="YB61" s="12">
        <f>XS61*BlendedPriceEssMonthly*XE61+XT61*BlendedPricePremMonthly*XE61+XU61*BlendedPriceEliteMonthly*XE61</f>
        <v/>
      </c>
      <c r="YC61" s="12">
        <f>XP61*BlendedPriceEssAnnual*XE61+XQ61*BlendedPricePremAnnual*XE61+XR61*BlendedPriceEliteAnnual*XE61</f>
        <v/>
      </c>
      <c r="YD61" s="12">
        <f>XP49*POWER(1-(AnnualChurn*VLOOKUP(XB61,ChurnSeasonTable,4,FALSE)),1)*BlendedPriceEssAnnual*XE61+XP37*POWER(1-(AnnualChurn*VLOOKUP(XB61,ChurnSeasonTable,4,FALSE)),2)*BlendedPriceEssAnnual*XE61+XP25*POWER(1-(AnnualChurn*VLOOKUP(XB61,ChurnSeasonTable,4,FALSE)),3)*BlendedPriceEssAnnual*XE61+XP13*POWER(1-(AnnualChurn*VLOOKUP(XB61,ChurnSeasonTable,4,FALSE)),4)*BlendedPriceEssAnnual*XE61+XQ49*POWER(1-(AnnualChurn*VLOOKUP(XB61,ChurnSeasonTable,4,FALSE)),1)*BlendedPricePremAnnual*XE61+XQ37*POWER(1-(AnnualChurn*VLOOKUP(XB61,ChurnSeasonTable,4,FALSE)),2)*BlendedPricePremAnnual*XE61+XQ25*POWER(1-(AnnualChurn*VLOOKUP(XB61,ChurnSeasonTable,4,FALSE)),3)*BlendedPricePremAnnual*XE61+XQ13*POWER(1-(AnnualChurn*VLOOKUP(XB61,ChurnSeasonTable,4,FALSE)),4)*BlendedPricePremAnnual*XE61+XR49*POWER(1-(AnnualChurn*VLOOKUP(XB61,ChurnSeasonTable,4,FALSE)),1)*BlendedPriceEliteAnnual*XE61+XR37*POWER(1-(AnnualChurn*VLOOKUP(XB61,ChurnSeasonTable,4,FALSE)),2)*BlendedPriceEliteAnnual*XE61+XR25*POWER(1-(AnnualChurn*VLOOKUP(XB61,ChurnSeasonTable,4,FALSE)),3)*BlendedPriceEliteAnnual*XE61+XR13*POWER(1-(AnnualChurn*VLOOKUP(XB61,ChurnSeasonTable,4,FALSE)),4)*BlendedPriceEliteAnnual*XE61</f>
        <v/>
      </c>
      <c r="YE61" s="9">
        <f>YB61+YC61+YD61</f>
        <v/>
      </c>
      <c r="YF61" s="12">
        <f>SUM(YE50:YE61)</f>
        <v/>
      </c>
      <c r="YG61" s="12">
        <f>OR(YG60,IF(VATAgentMode,SUM($YE50:$YE61)-SUM($YL50:$YL61)&gt;=VATThreshold,SUM($YE50:$YE61)&gt;=VATThreshold))</f>
        <v/>
      </c>
      <c r="YH61" s="9">
        <f>IF(YG61,IF(VATAgentMode,YE61-((YE61-YL61)-(YE61-YL61)/(1+VATRate)),YE61/(1+VATRate)),YE61)</f>
        <v/>
      </c>
      <c r="YI61" s="12">
        <f>YE61-YH61</f>
        <v/>
      </c>
      <c r="YJ61" s="12">
        <f>IF(YG61=0,0,IF(XB61=1,SUMPRODUCT(--(($XC$5:$XC61=$XC61-1)*($XB$5:$XB61&gt;=10)*($XB$5:$XB61&lt;=12)),$YI$5:$YI61),IF(XB61=4,SUMPRODUCT(--(($XC$5:$XC61=$XC61)*($XB$5:$XB61&gt;=1)*($XB$5:$XB61&lt;=3)),$YI$5:$YI61),IF(XB61=7,SUMPRODUCT(--(($XC$5:$XC61=$XC61)*($XB$5:$XB61&gt;=4)*($XB$5:$XB61&lt;=6)),$YI$5:$YI61),IF(XB61=10,SUMPRODUCT(--(($XC$5:$XC61=$XC61)*($XB$5:$XB61&gt;=7)*($XB$5:$XB61&lt;=9)),$YI$5:$YI61),0)))))</f>
        <v/>
      </c>
      <c r="YK61" s="12">
        <f>YK60+YI61-YJ61</f>
        <v/>
      </c>
      <c r="YL61" s="12">
        <f>IF(ProviderDelay&gt;=1,XS60*BlendedProvPayEss+XT60*BlendedProvPayPrem+XU60*BlendedProvPayElite+XV60*BlendedProvPayEss+XW60*BlendedProvPayPrem+XX60*BlendedProvPayElite,XS61*BlendedProvPayEss+XT61*BlendedProvPayPrem+XU61*BlendedProvPayElite+XV61*BlendedProvPayEss+XW61*BlendedProvPayPrem+XX61*BlendedProvPayElite)</f>
        <v/>
      </c>
      <c r="YM61" s="12">
        <f>YE61*PaymentFee</f>
        <v/>
      </c>
      <c r="YN61" s="12">
        <f>XY61*OpsAI</f>
        <v/>
      </c>
      <c r="YO61" s="12">
        <f>MonthlyFixed</f>
        <v/>
      </c>
      <c r="YP61" s="12">
        <f>XI61*ReferralReward</f>
        <v/>
      </c>
      <c r="YQ61" s="12">
        <f>XG61</f>
        <v/>
      </c>
      <c r="YR61" s="9">
        <f>YH61-YL61-YM61-YN61-YO61-YP61-YQ61</f>
        <v/>
      </c>
      <c r="YS61" s="9">
        <f>YS60+YE61-(YL61+YM61+YN61+YO61+YP61+YQ61+YJ61)</f>
        <v/>
      </c>
      <c r="YT61" s="12">
        <f>IF(XY61&gt;0,XZ61/XY61,0)</f>
        <v/>
      </c>
      <c r="YU61" s="11">
        <f>IF(XY60&gt;0,MAX(0,(XY60+XJ61-XY61)/XY60),0)</f>
        <v/>
      </c>
      <c r="YW61" s="12" t="n">
        <v>57</v>
      </c>
      <c r="YX61" s="12">
        <f>MOD(YW61-1+LaunchMonth-1,12)+1</f>
        <v/>
      </c>
      <c r="YY61" s="12">
        <f>INT((YW61-1+LaunchMonth-1)/12)+1</f>
        <v/>
      </c>
      <c r="YZ61" s="12">
        <f>VLOOKUP(YX61,SeasonTable,2,FALSE)</f>
        <v/>
      </c>
      <c r="ZA61" s="12">
        <f>(1+InflationRate)^INT((YW61-1)/12)</f>
        <v/>
      </c>
      <c r="ZB61" s="11">
        <f>MonthlyChurn*VLOOKUP(YX61,ChurnSeasonTable,4,FALSE)</f>
        <v/>
      </c>
      <c r="ZC61" s="12">
        <f>MIN(MAX(MktMin19plus,AAA60*MktPct19plus),MAX(0,AAO60-CashBuffer))</f>
        <v/>
      </c>
      <c r="ZD61" s="12">
        <f>IF(ZC61&gt;0,MAX(1,ROUND(ZC61/CAC*YZ61,0)),0)</f>
        <v/>
      </c>
      <c r="ZE61" s="12">
        <f>IF(ZD61&gt;0,ROUND(ZD61*ReferralMix/(1-ReferralMix),0),0)</f>
        <v/>
      </c>
      <c r="ZF61" s="12">
        <f>ZD61+ZE61</f>
        <v/>
      </c>
      <c r="ZG61" s="12">
        <f>ROUND(ZF61*(1-'Sens - Annual Mix'!$A$11),0)</f>
        <v/>
      </c>
      <c r="ZH61" s="12">
        <f>ZF61-ZG61</f>
        <v/>
      </c>
      <c r="ZI61" s="12">
        <f>ROUND(ZG61*EssentialMix,0)</f>
        <v/>
      </c>
      <c r="ZJ61" s="12">
        <f>ROUND(ZG61*PremiumMix,0)</f>
        <v/>
      </c>
      <c r="ZK61" s="12">
        <f>ZG61-ZI61-ZJ61</f>
        <v/>
      </c>
      <c r="ZL61" s="12">
        <f>ROUND(ZH61*EssentialMix,0)</f>
        <v/>
      </c>
      <c r="ZM61" s="12">
        <f>ROUND(ZH61*PremiumMix,0)</f>
        <v/>
      </c>
      <c r="ZN61" s="12">
        <f>ZH61-ZL61-ZM61</f>
        <v/>
      </c>
      <c r="ZO61" s="12">
        <f>ZI61+ZI60+ZI59+MAX(0,ZO60-ZI60-ZI59)*(1-ZB61)</f>
        <v/>
      </c>
      <c r="ZP61" s="12">
        <f>ZJ61+ZJ60+ZJ59+MAX(0,ZP60-ZJ60-ZJ59)*(1-ZB61)</f>
        <v/>
      </c>
      <c r="ZQ61" s="12">
        <f>ZK61+ZK60+ZK59+MAX(0,ZQ60-ZK60-ZK59)*(1-ZB61)</f>
        <v/>
      </c>
      <c r="ZR61" s="12">
        <f>ZR60+ZL61-ZL49*(AnnualChurn*VLOOKUP(YX61,ChurnSeasonTable,4,FALSE))*POWER(1-(AnnualChurn*VLOOKUP(YX61,ChurnSeasonTable,4,FALSE)),0)+ZL37*(AnnualChurn*VLOOKUP(YX61,ChurnSeasonTable,4,FALSE))*POWER(1-(AnnualChurn*VLOOKUP(YX61,ChurnSeasonTable,4,FALSE)),1)+ZL25*(AnnualChurn*VLOOKUP(YX61,ChurnSeasonTable,4,FALSE))*POWER(1-(AnnualChurn*VLOOKUP(YX61,ChurnSeasonTable,4,FALSE)),2)+ZL13*(AnnualChurn*VLOOKUP(YX61,ChurnSeasonTable,4,FALSE))*POWER(1-(AnnualChurn*VLOOKUP(YX61,ChurnSeasonTable,4,FALSE)),3)</f>
        <v/>
      </c>
      <c r="ZS61" s="12">
        <f>ZS60+ZM61-ZM49*(AnnualChurn*VLOOKUP(YX61,ChurnSeasonTable,4,FALSE))*POWER(1-(AnnualChurn*VLOOKUP(YX61,ChurnSeasonTable,4,FALSE)),0)+ZM37*(AnnualChurn*VLOOKUP(YX61,ChurnSeasonTable,4,FALSE))*POWER(1-(AnnualChurn*VLOOKUP(YX61,ChurnSeasonTable,4,FALSE)),1)+ZM25*(AnnualChurn*VLOOKUP(YX61,ChurnSeasonTable,4,FALSE))*POWER(1-(AnnualChurn*VLOOKUP(YX61,ChurnSeasonTable,4,FALSE)),2)+ZM13*(AnnualChurn*VLOOKUP(YX61,ChurnSeasonTable,4,FALSE))*POWER(1-(AnnualChurn*VLOOKUP(YX61,ChurnSeasonTable,4,FALSE)),3)</f>
        <v/>
      </c>
      <c r="ZT61" s="12">
        <f>ZT60+ZN61-ZN49*(AnnualChurn*VLOOKUP(YX61,ChurnSeasonTable,4,FALSE))*POWER(1-(AnnualChurn*VLOOKUP(YX61,ChurnSeasonTable,4,FALSE)),0)+ZN37*(AnnualChurn*VLOOKUP(YX61,ChurnSeasonTable,4,FALSE))*POWER(1-(AnnualChurn*VLOOKUP(YX61,ChurnSeasonTable,4,FALSE)),1)+ZN25*(AnnualChurn*VLOOKUP(YX61,ChurnSeasonTable,4,FALSE))*POWER(1-(AnnualChurn*VLOOKUP(YX61,ChurnSeasonTable,4,FALSE)),2)+ZN13*(AnnualChurn*VLOOKUP(YX61,ChurnSeasonTable,4,FALSE))*POWER(1-(AnnualChurn*VLOOKUP(YX61,ChurnSeasonTable,4,FALSE)),3)</f>
        <v/>
      </c>
      <c r="ZU61" s="12">
        <f>ZO61+ZP61+ZQ61+ZR61+ZS61+ZT61</f>
        <v/>
      </c>
      <c r="ZV61" s="9">
        <f>ZO61*BlendedPriceEssMonthly*ZA61+ZP61*BlendedPricePremMonthly*ZA61+ZQ61*BlendedPriceEliteMonthly*ZA61+ZR61*BlendedPriceEssAnnual*ZA61/12+ZS61*BlendedPricePremAnnual*ZA61/12+ZT61*BlendedPriceEliteAnnual*ZA61/12</f>
        <v/>
      </c>
      <c r="ZW61" s="9">
        <f>ZV61*12</f>
        <v/>
      </c>
      <c r="ZX61" s="12">
        <f>ZO61*BlendedPriceEssMonthly*ZA61+ZP61*BlendedPricePremMonthly*ZA61+ZQ61*BlendedPriceEliteMonthly*ZA61</f>
        <v/>
      </c>
      <c r="ZY61" s="12">
        <f>ZL61*BlendedPriceEssAnnual*ZA61+ZM61*BlendedPricePremAnnual*ZA61+ZN61*BlendedPriceEliteAnnual*ZA61</f>
        <v/>
      </c>
      <c r="ZZ61" s="12">
        <f>ZL49*POWER(1-(AnnualChurn*VLOOKUP(YX61,ChurnSeasonTable,4,FALSE)),1)*BlendedPriceEssAnnual*ZA61+ZL37*POWER(1-(AnnualChurn*VLOOKUP(YX61,ChurnSeasonTable,4,FALSE)),2)*BlendedPriceEssAnnual*ZA61+ZL25*POWER(1-(AnnualChurn*VLOOKUP(YX61,ChurnSeasonTable,4,FALSE)),3)*BlendedPriceEssAnnual*ZA61+ZL13*POWER(1-(AnnualChurn*VLOOKUP(YX61,ChurnSeasonTable,4,FALSE)),4)*BlendedPriceEssAnnual*ZA61+ZM49*POWER(1-(AnnualChurn*VLOOKUP(YX61,ChurnSeasonTable,4,FALSE)),1)*BlendedPricePremAnnual*ZA61+ZM37*POWER(1-(AnnualChurn*VLOOKUP(YX61,ChurnSeasonTable,4,FALSE)),2)*BlendedPricePremAnnual*ZA61+ZM25*POWER(1-(AnnualChurn*VLOOKUP(YX61,ChurnSeasonTable,4,FALSE)),3)*BlendedPricePremAnnual*ZA61+ZM13*POWER(1-(AnnualChurn*VLOOKUP(YX61,ChurnSeasonTable,4,FALSE)),4)*BlendedPricePremAnnual*ZA61+ZN49*POWER(1-(AnnualChurn*VLOOKUP(YX61,ChurnSeasonTable,4,FALSE)),1)*BlendedPriceEliteAnnual*ZA61+ZN37*POWER(1-(AnnualChurn*VLOOKUP(YX61,ChurnSeasonTable,4,FALSE)),2)*BlendedPriceEliteAnnual*ZA61+ZN25*POWER(1-(AnnualChurn*VLOOKUP(YX61,ChurnSeasonTable,4,FALSE)),3)*BlendedPriceEliteAnnual*ZA61+ZN13*POWER(1-(AnnualChurn*VLOOKUP(YX61,ChurnSeasonTable,4,FALSE)),4)*BlendedPriceEliteAnnual*ZA61</f>
        <v/>
      </c>
      <c r="AAA61" s="9">
        <f>ZX61+ZY61+ZZ61</f>
        <v/>
      </c>
      <c r="AAB61" s="12">
        <f>SUM(AAA50:AAA61)</f>
        <v/>
      </c>
      <c r="AAC61" s="12">
        <f>OR(AAC60,IF(VATAgentMode,SUM($AAA50:$AAA61)-SUM($AAH50:$AAH61)&gt;=VATThreshold,SUM($AAA50:$AAA61)&gt;=VATThreshold))</f>
        <v/>
      </c>
      <c r="AAD61" s="9">
        <f>IF(AAC61,IF(VATAgentMode,AAA61-((AAA61-AAH61)-(AAA61-AAH61)/(1+VATRate)),AAA61/(1+VATRate)),AAA61)</f>
        <v/>
      </c>
      <c r="AAE61" s="12">
        <f>AAA61-AAD61</f>
        <v/>
      </c>
      <c r="AAF61" s="12">
        <f>IF(AAC61=0,0,IF(YX61=1,SUMPRODUCT(--(($YY$5:$YY61=$YY61-1)*($YX$5:$YX61&gt;=10)*($YX$5:$YX61&lt;=12)),$AAE$5:$AAE61),IF(YX61=4,SUMPRODUCT(--(($YY$5:$YY61=$YY61)*($YX$5:$YX61&gt;=1)*($YX$5:$YX61&lt;=3)),$AAE$5:$AAE61),IF(YX61=7,SUMPRODUCT(--(($YY$5:$YY61=$YY61)*($YX$5:$YX61&gt;=4)*($YX$5:$YX61&lt;=6)),$AAE$5:$AAE61),IF(YX61=10,SUMPRODUCT(--(($YY$5:$YY61=$YY61)*($YX$5:$YX61&gt;=7)*($YX$5:$YX61&lt;=9)),$AAE$5:$AAE61),0)))))</f>
        <v/>
      </c>
      <c r="AAG61" s="12">
        <f>AAG60+AAE61-AAF61</f>
        <v/>
      </c>
      <c r="AAH61" s="12">
        <f>IF(ProviderDelay&gt;=1,ZO60*BlendedProvPayEss+ZP60*BlendedProvPayPrem+ZQ60*BlendedProvPayElite+ZR60*BlendedProvPayEss+ZS60*BlendedProvPayPrem+ZT60*BlendedProvPayElite,ZO61*BlendedProvPayEss+ZP61*BlendedProvPayPrem+ZQ61*BlendedProvPayElite+ZR61*BlendedProvPayEss+ZS61*BlendedProvPayPrem+ZT61*BlendedProvPayElite)</f>
        <v/>
      </c>
      <c r="AAI61" s="12">
        <f>AAA61*PaymentFee</f>
        <v/>
      </c>
      <c r="AAJ61" s="12">
        <f>ZU61*OpsAI</f>
        <v/>
      </c>
      <c r="AAK61" s="12">
        <f>MonthlyFixed</f>
        <v/>
      </c>
      <c r="AAL61" s="12">
        <f>ZE61*ReferralReward</f>
        <v/>
      </c>
      <c r="AAM61" s="12">
        <f>ZC61</f>
        <v/>
      </c>
      <c r="AAN61" s="9">
        <f>AAD61-AAH61-AAI61-AAJ61-AAK61-AAL61-AAM61</f>
        <v/>
      </c>
      <c r="AAO61" s="9">
        <f>AAO60+AAA61-(AAH61+AAI61+AAJ61+AAK61+AAL61+AAM61+AAF61)</f>
        <v/>
      </c>
      <c r="AAP61" s="12">
        <f>IF(ZU61&gt;0,ZV61/ZU61,0)</f>
        <v/>
      </c>
      <c r="AAQ61" s="11">
        <f>IF(ZU60&gt;0,MAX(0,(ZU60+ZF61-ZU61)/ZU60),0)</f>
        <v/>
      </c>
      <c r="AAS61" s="12" t="n">
        <v>57</v>
      </c>
      <c r="AAT61" s="12">
        <f>MOD(AAS61-1+LaunchMonth-1,12)+1</f>
        <v/>
      </c>
      <c r="AAU61" s="12">
        <f>INT((AAS61-1+LaunchMonth-1)/12)+1</f>
        <v/>
      </c>
      <c r="AAV61" s="12">
        <f>VLOOKUP(AAT61,SeasonTable,2,FALSE)</f>
        <v/>
      </c>
      <c r="AAW61" s="12">
        <f>(1+InflationRate)^INT((AAS61-1)/12)</f>
        <v/>
      </c>
      <c r="AAX61" s="11">
        <f>MonthlyChurn*VLOOKUP(AAT61,ChurnSeasonTable,4,FALSE)</f>
        <v/>
      </c>
      <c r="AAY61" s="12">
        <f>MIN(MAX(MktMin19plus,ABW60*MktPct19plus),MAX(0,ACK60-CashBuffer))</f>
        <v/>
      </c>
      <c r="AAZ61" s="12">
        <f>IF(AAY61&gt;0,MAX(1,ROUND(AAY61/CAC*AAV61,0)),0)</f>
        <v/>
      </c>
      <c r="ABA61" s="12">
        <f>IF(AAZ61&gt;0,ROUND(AAZ61*ReferralMix/(1-ReferralMix),0),0)</f>
        <v/>
      </c>
      <c r="ABB61" s="12">
        <f>AAZ61+ABA61</f>
        <v/>
      </c>
      <c r="ABC61" s="12">
        <f>ROUND(ABB61*(1-'Sens - Annual Mix'!$A$12),0)</f>
        <v/>
      </c>
      <c r="ABD61" s="12">
        <f>ABB61-ABC61</f>
        <v/>
      </c>
      <c r="ABE61" s="12">
        <f>ROUND(ABC61*EssentialMix,0)</f>
        <v/>
      </c>
      <c r="ABF61" s="12">
        <f>ROUND(ABC61*PremiumMix,0)</f>
        <v/>
      </c>
      <c r="ABG61" s="12">
        <f>ABC61-ABE61-ABF61</f>
        <v/>
      </c>
      <c r="ABH61" s="12">
        <f>ROUND(ABD61*EssentialMix,0)</f>
        <v/>
      </c>
      <c r="ABI61" s="12">
        <f>ROUND(ABD61*PremiumMix,0)</f>
        <v/>
      </c>
      <c r="ABJ61" s="12">
        <f>ABD61-ABH61-ABI61</f>
        <v/>
      </c>
      <c r="ABK61" s="12">
        <f>ABE61+ABE60+ABE59+MAX(0,ABK60-ABE60-ABE59)*(1-AAX61)</f>
        <v/>
      </c>
      <c r="ABL61" s="12">
        <f>ABF61+ABF60+ABF59+MAX(0,ABL60-ABF60-ABF59)*(1-AAX61)</f>
        <v/>
      </c>
      <c r="ABM61" s="12">
        <f>ABG61+ABG60+ABG59+MAX(0,ABM60-ABG60-ABG59)*(1-AAX61)</f>
        <v/>
      </c>
      <c r="ABN61" s="12">
        <f>ABN60+ABH61-ABH49*(AnnualChurn*VLOOKUP(AAT61,ChurnSeasonTable,4,FALSE))*POWER(1-(AnnualChurn*VLOOKUP(AAT61,ChurnSeasonTable,4,FALSE)),0)+ABH37*(AnnualChurn*VLOOKUP(AAT61,ChurnSeasonTable,4,FALSE))*POWER(1-(AnnualChurn*VLOOKUP(AAT61,ChurnSeasonTable,4,FALSE)),1)+ABH25*(AnnualChurn*VLOOKUP(AAT61,ChurnSeasonTable,4,FALSE))*POWER(1-(AnnualChurn*VLOOKUP(AAT61,ChurnSeasonTable,4,FALSE)),2)+ABH13*(AnnualChurn*VLOOKUP(AAT61,ChurnSeasonTable,4,FALSE))*POWER(1-(AnnualChurn*VLOOKUP(AAT61,ChurnSeasonTable,4,FALSE)),3)</f>
        <v/>
      </c>
      <c r="ABO61" s="12">
        <f>ABO60+ABI61-ABI49*(AnnualChurn*VLOOKUP(AAT61,ChurnSeasonTable,4,FALSE))*POWER(1-(AnnualChurn*VLOOKUP(AAT61,ChurnSeasonTable,4,FALSE)),0)+ABI37*(AnnualChurn*VLOOKUP(AAT61,ChurnSeasonTable,4,FALSE))*POWER(1-(AnnualChurn*VLOOKUP(AAT61,ChurnSeasonTable,4,FALSE)),1)+ABI25*(AnnualChurn*VLOOKUP(AAT61,ChurnSeasonTable,4,FALSE))*POWER(1-(AnnualChurn*VLOOKUP(AAT61,ChurnSeasonTable,4,FALSE)),2)+ABI13*(AnnualChurn*VLOOKUP(AAT61,ChurnSeasonTable,4,FALSE))*POWER(1-(AnnualChurn*VLOOKUP(AAT61,ChurnSeasonTable,4,FALSE)),3)</f>
        <v/>
      </c>
      <c r="ABP61" s="12">
        <f>ABP60+ABJ61-ABJ49*(AnnualChurn*VLOOKUP(AAT61,ChurnSeasonTable,4,FALSE))*POWER(1-(AnnualChurn*VLOOKUP(AAT61,ChurnSeasonTable,4,FALSE)),0)+ABJ37*(AnnualChurn*VLOOKUP(AAT61,ChurnSeasonTable,4,FALSE))*POWER(1-(AnnualChurn*VLOOKUP(AAT61,ChurnSeasonTable,4,FALSE)),1)+ABJ25*(AnnualChurn*VLOOKUP(AAT61,ChurnSeasonTable,4,FALSE))*POWER(1-(AnnualChurn*VLOOKUP(AAT61,ChurnSeasonTable,4,FALSE)),2)+ABJ13*(AnnualChurn*VLOOKUP(AAT61,ChurnSeasonTable,4,FALSE))*POWER(1-(AnnualChurn*VLOOKUP(AAT61,ChurnSeasonTable,4,FALSE)),3)</f>
        <v/>
      </c>
      <c r="ABQ61" s="12">
        <f>ABK61+ABL61+ABM61+ABN61+ABO61+ABP61</f>
        <v/>
      </c>
      <c r="ABR61" s="9">
        <f>ABK61*BlendedPriceEssMonthly*AAW61+ABL61*BlendedPricePremMonthly*AAW61+ABM61*BlendedPriceEliteMonthly*AAW61+ABN61*BlendedPriceEssAnnual*AAW61/12+ABO61*BlendedPricePremAnnual*AAW61/12+ABP61*BlendedPriceEliteAnnual*AAW61/12</f>
        <v/>
      </c>
      <c r="ABS61" s="9">
        <f>ABR61*12</f>
        <v/>
      </c>
      <c r="ABT61" s="12">
        <f>ABK61*BlendedPriceEssMonthly*AAW61+ABL61*BlendedPricePremMonthly*AAW61+ABM61*BlendedPriceEliteMonthly*AAW61</f>
        <v/>
      </c>
      <c r="ABU61" s="12">
        <f>ABH61*BlendedPriceEssAnnual*AAW61+ABI61*BlendedPricePremAnnual*AAW61+ABJ61*BlendedPriceEliteAnnual*AAW61</f>
        <v/>
      </c>
      <c r="ABV61" s="12">
        <f>ABH49*POWER(1-(AnnualChurn*VLOOKUP(AAT61,ChurnSeasonTable,4,FALSE)),1)*BlendedPriceEssAnnual*AAW61+ABH37*POWER(1-(AnnualChurn*VLOOKUP(AAT61,ChurnSeasonTable,4,FALSE)),2)*BlendedPriceEssAnnual*AAW61+ABH25*POWER(1-(AnnualChurn*VLOOKUP(AAT61,ChurnSeasonTable,4,FALSE)),3)*BlendedPriceEssAnnual*AAW61+ABH13*POWER(1-(AnnualChurn*VLOOKUP(AAT61,ChurnSeasonTable,4,FALSE)),4)*BlendedPriceEssAnnual*AAW61+ABI49*POWER(1-(AnnualChurn*VLOOKUP(AAT61,ChurnSeasonTable,4,FALSE)),1)*BlendedPricePremAnnual*AAW61+ABI37*POWER(1-(AnnualChurn*VLOOKUP(AAT61,ChurnSeasonTable,4,FALSE)),2)*BlendedPricePremAnnual*AAW61+ABI25*POWER(1-(AnnualChurn*VLOOKUP(AAT61,ChurnSeasonTable,4,FALSE)),3)*BlendedPricePremAnnual*AAW61+ABI13*POWER(1-(AnnualChurn*VLOOKUP(AAT61,ChurnSeasonTable,4,FALSE)),4)*BlendedPricePremAnnual*AAW61+ABJ49*POWER(1-(AnnualChurn*VLOOKUP(AAT61,ChurnSeasonTable,4,FALSE)),1)*BlendedPriceEliteAnnual*AAW61+ABJ37*POWER(1-(AnnualChurn*VLOOKUP(AAT61,ChurnSeasonTable,4,FALSE)),2)*BlendedPriceEliteAnnual*AAW61+ABJ25*POWER(1-(AnnualChurn*VLOOKUP(AAT61,ChurnSeasonTable,4,FALSE)),3)*BlendedPriceEliteAnnual*AAW61+ABJ13*POWER(1-(AnnualChurn*VLOOKUP(AAT61,ChurnSeasonTable,4,FALSE)),4)*BlendedPriceEliteAnnual*AAW61</f>
        <v/>
      </c>
      <c r="ABW61" s="9">
        <f>ABT61+ABU61+ABV61</f>
        <v/>
      </c>
      <c r="ABX61" s="12">
        <f>SUM(ABW50:ABW61)</f>
        <v/>
      </c>
      <c r="ABY61" s="12">
        <f>OR(ABY60,IF(VATAgentMode,SUM($ABW50:$ABW61)-SUM($ACD50:$ACD61)&gt;=VATThreshold,SUM($ABW50:$ABW61)&gt;=VATThreshold))</f>
        <v/>
      </c>
      <c r="ABZ61" s="9">
        <f>IF(ABY61,IF(VATAgentMode,ABW61-((ABW61-ACD61)-(ABW61-ACD61)/(1+VATRate)),ABW61/(1+VATRate)),ABW61)</f>
        <v/>
      </c>
      <c r="ACA61" s="12">
        <f>ABW61-ABZ61</f>
        <v/>
      </c>
      <c r="ACB61" s="12">
        <f>IF(ABY61=0,0,IF(AAT61=1,SUMPRODUCT(--(($AAU$5:$AAU61=$AAU61-1)*($AAT$5:$AAT61&gt;=10)*($AAT$5:$AAT61&lt;=12)),$ACA$5:$ACA61),IF(AAT61=4,SUMPRODUCT(--(($AAU$5:$AAU61=$AAU61)*($AAT$5:$AAT61&gt;=1)*($AAT$5:$AAT61&lt;=3)),$ACA$5:$ACA61),IF(AAT61=7,SUMPRODUCT(--(($AAU$5:$AAU61=$AAU61)*($AAT$5:$AAT61&gt;=4)*($AAT$5:$AAT61&lt;=6)),$ACA$5:$ACA61),IF(AAT61=10,SUMPRODUCT(--(($AAU$5:$AAU61=$AAU61)*($AAT$5:$AAT61&gt;=7)*($AAT$5:$AAT61&lt;=9)),$ACA$5:$ACA61),0)))))</f>
        <v/>
      </c>
      <c r="ACC61" s="12">
        <f>ACC60+ACA61-ACB61</f>
        <v/>
      </c>
      <c r="ACD61" s="12">
        <f>IF(ProviderDelay&gt;=1,ABK60*BlendedProvPayEss+ABL60*BlendedProvPayPrem+ABM60*BlendedProvPayElite+ABN60*BlendedProvPayEss+ABO60*BlendedProvPayPrem+ABP60*BlendedProvPayElite,ABK61*BlendedProvPayEss+ABL61*BlendedProvPayPrem+ABM61*BlendedProvPayElite+ABN61*BlendedProvPayEss+ABO61*BlendedProvPayPrem+ABP61*BlendedProvPayElite)</f>
        <v/>
      </c>
      <c r="ACE61" s="12">
        <f>ABW61*PaymentFee</f>
        <v/>
      </c>
      <c r="ACF61" s="12">
        <f>ABQ61*OpsAI</f>
        <v/>
      </c>
      <c r="ACG61" s="12">
        <f>MonthlyFixed</f>
        <v/>
      </c>
      <c r="ACH61" s="12">
        <f>ABA61*ReferralReward</f>
        <v/>
      </c>
      <c r="ACI61" s="12">
        <f>AAY61</f>
        <v/>
      </c>
      <c r="ACJ61" s="9">
        <f>ABZ61-ACD61-ACE61-ACF61-ACG61-ACH61-ACI61</f>
        <v/>
      </c>
      <c r="ACK61" s="9">
        <f>ACK60+ABW61-(ACD61+ACE61+ACF61+ACG61+ACH61+ACI61+ACB61)</f>
        <v/>
      </c>
      <c r="ACL61" s="12">
        <f>IF(ABQ61&gt;0,ABR61/ABQ61,0)</f>
        <v/>
      </c>
      <c r="ACM61" s="11">
        <f>IF(ABQ60&gt;0,MAX(0,(ABQ60+ABB61-ABQ61)/ABQ60),0)</f>
        <v/>
      </c>
      <c r="ACO61" s="12" t="n">
        <v>57</v>
      </c>
      <c r="ACP61" s="12">
        <f>MOD(ACO61-1+LaunchMonth-1,12)+1</f>
        <v/>
      </c>
      <c r="ACQ61" s="12">
        <f>INT((ACO61-1+LaunchMonth-1)/12)+1</f>
        <v/>
      </c>
      <c r="ACR61" s="12">
        <f>VLOOKUP(ACP61,SeasonTable,2,FALSE)</f>
        <v/>
      </c>
      <c r="ACS61" s="12">
        <f>(1+InflationRate)^INT((ACO61-1)/12)</f>
        <v/>
      </c>
      <c r="ACT61" s="11">
        <f>MonthlyChurn*VLOOKUP(ACP61,ChurnSeasonTable,4,FALSE)</f>
        <v/>
      </c>
      <c r="ACU61" s="12">
        <f>MIN(MAX(MktMin19plus,ADS60*MktPct19plus),MAX(0,AEG60-CashBuffer))</f>
        <v/>
      </c>
      <c r="ACV61" s="12">
        <f>IF(ACU61&gt;0,MAX(1,ROUND(ACU61/CAC*ACR61,0)),0)</f>
        <v/>
      </c>
      <c r="ACW61" s="12">
        <f>IF(ACV61&gt;0,ROUND(ACV61*ReferralMix/(1-ReferralMix),0),0)</f>
        <v/>
      </c>
      <c r="ACX61" s="12">
        <f>ACV61+ACW61</f>
        <v/>
      </c>
      <c r="ACY61" s="12">
        <f>ROUND(ACX61*(1-'Sens - Annual Mix'!$A$13),0)</f>
        <v/>
      </c>
      <c r="ACZ61" s="12">
        <f>ACX61-ACY61</f>
        <v/>
      </c>
      <c r="ADA61" s="12">
        <f>ROUND(ACY61*EssentialMix,0)</f>
        <v/>
      </c>
      <c r="ADB61" s="12">
        <f>ROUND(ACY61*PremiumMix,0)</f>
        <v/>
      </c>
      <c r="ADC61" s="12">
        <f>ACY61-ADA61-ADB61</f>
        <v/>
      </c>
      <c r="ADD61" s="12">
        <f>ROUND(ACZ61*EssentialMix,0)</f>
        <v/>
      </c>
      <c r="ADE61" s="12">
        <f>ROUND(ACZ61*PremiumMix,0)</f>
        <v/>
      </c>
      <c r="ADF61" s="12">
        <f>ACZ61-ADD61-ADE61</f>
        <v/>
      </c>
      <c r="ADG61" s="12">
        <f>ADA61+ADA60+ADA59+MAX(0,ADG60-ADA60-ADA59)*(1-ACT61)</f>
        <v/>
      </c>
      <c r="ADH61" s="12">
        <f>ADB61+ADB60+ADB59+MAX(0,ADH60-ADB60-ADB59)*(1-ACT61)</f>
        <v/>
      </c>
      <c r="ADI61" s="12">
        <f>ADC61+ADC60+ADC59+MAX(0,ADI60-ADC60-ADC59)*(1-ACT61)</f>
        <v/>
      </c>
      <c r="ADJ61" s="12">
        <f>ADJ60+ADD61-ADD49*(AnnualChurn*VLOOKUP(ACP61,ChurnSeasonTable,4,FALSE))*POWER(1-(AnnualChurn*VLOOKUP(ACP61,ChurnSeasonTable,4,FALSE)),0)+ADD37*(AnnualChurn*VLOOKUP(ACP61,ChurnSeasonTable,4,FALSE))*POWER(1-(AnnualChurn*VLOOKUP(ACP61,ChurnSeasonTable,4,FALSE)),1)+ADD25*(AnnualChurn*VLOOKUP(ACP61,ChurnSeasonTable,4,FALSE))*POWER(1-(AnnualChurn*VLOOKUP(ACP61,ChurnSeasonTable,4,FALSE)),2)+ADD13*(AnnualChurn*VLOOKUP(ACP61,ChurnSeasonTable,4,FALSE))*POWER(1-(AnnualChurn*VLOOKUP(ACP61,ChurnSeasonTable,4,FALSE)),3)</f>
        <v/>
      </c>
      <c r="ADK61" s="12">
        <f>ADK60+ADE61-ADE49*(AnnualChurn*VLOOKUP(ACP61,ChurnSeasonTable,4,FALSE))*POWER(1-(AnnualChurn*VLOOKUP(ACP61,ChurnSeasonTable,4,FALSE)),0)+ADE37*(AnnualChurn*VLOOKUP(ACP61,ChurnSeasonTable,4,FALSE))*POWER(1-(AnnualChurn*VLOOKUP(ACP61,ChurnSeasonTable,4,FALSE)),1)+ADE25*(AnnualChurn*VLOOKUP(ACP61,ChurnSeasonTable,4,FALSE))*POWER(1-(AnnualChurn*VLOOKUP(ACP61,ChurnSeasonTable,4,FALSE)),2)+ADE13*(AnnualChurn*VLOOKUP(ACP61,ChurnSeasonTable,4,FALSE))*POWER(1-(AnnualChurn*VLOOKUP(ACP61,ChurnSeasonTable,4,FALSE)),3)</f>
        <v/>
      </c>
      <c r="ADL61" s="12">
        <f>ADL60+ADF61-ADF49*(AnnualChurn*VLOOKUP(ACP61,ChurnSeasonTable,4,FALSE))*POWER(1-(AnnualChurn*VLOOKUP(ACP61,ChurnSeasonTable,4,FALSE)),0)+ADF37*(AnnualChurn*VLOOKUP(ACP61,ChurnSeasonTable,4,FALSE))*POWER(1-(AnnualChurn*VLOOKUP(ACP61,ChurnSeasonTable,4,FALSE)),1)+ADF25*(AnnualChurn*VLOOKUP(ACP61,ChurnSeasonTable,4,FALSE))*POWER(1-(AnnualChurn*VLOOKUP(ACP61,ChurnSeasonTable,4,FALSE)),2)+ADF13*(AnnualChurn*VLOOKUP(ACP61,ChurnSeasonTable,4,FALSE))*POWER(1-(AnnualChurn*VLOOKUP(ACP61,ChurnSeasonTable,4,FALSE)),3)</f>
        <v/>
      </c>
      <c r="ADM61" s="12">
        <f>ADG61+ADH61+ADI61+ADJ61+ADK61+ADL61</f>
        <v/>
      </c>
      <c r="ADN61" s="9">
        <f>ADG61*BlendedPriceEssMonthly*ACS61+ADH61*BlendedPricePremMonthly*ACS61+ADI61*BlendedPriceEliteMonthly*ACS61+ADJ61*BlendedPriceEssAnnual*ACS61/12+ADK61*BlendedPricePremAnnual*ACS61/12+ADL61*BlendedPriceEliteAnnual*ACS61/12</f>
        <v/>
      </c>
      <c r="ADO61" s="9">
        <f>ADN61*12</f>
        <v/>
      </c>
      <c r="ADP61" s="12">
        <f>ADG61*BlendedPriceEssMonthly*ACS61+ADH61*BlendedPricePremMonthly*ACS61+ADI61*BlendedPriceEliteMonthly*ACS61</f>
        <v/>
      </c>
      <c r="ADQ61" s="12">
        <f>ADD61*BlendedPriceEssAnnual*ACS61+ADE61*BlendedPricePremAnnual*ACS61+ADF61*BlendedPriceEliteAnnual*ACS61</f>
        <v/>
      </c>
      <c r="ADR61" s="12">
        <f>ADD49*POWER(1-(AnnualChurn*VLOOKUP(ACP61,ChurnSeasonTable,4,FALSE)),1)*BlendedPriceEssAnnual*ACS61+ADD37*POWER(1-(AnnualChurn*VLOOKUP(ACP61,ChurnSeasonTable,4,FALSE)),2)*BlendedPriceEssAnnual*ACS61+ADD25*POWER(1-(AnnualChurn*VLOOKUP(ACP61,ChurnSeasonTable,4,FALSE)),3)*BlendedPriceEssAnnual*ACS61+ADD13*POWER(1-(AnnualChurn*VLOOKUP(ACP61,ChurnSeasonTable,4,FALSE)),4)*BlendedPriceEssAnnual*ACS61+ADE49*POWER(1-(AnnualChurn*VLOOKUP(ACP61,ChurnSeasonTable,4,FALSE)),1)*BlendedPricePremAnnual*ACS61+ADE37*POWER(1-(AnnualChurn*VLOOKUP(ACP61,ChurnSeasonTable,4,FALSE)),2)*BlendedPricePremAnnual*ACS61+ADE25*POWER(1-(AnnualChurn*VLOOKUP(ACP61,ChurnSeasonTable,4,FALSE)),3)*BlendedPricePremAnnual*ACS61+ADE13*POWER(1-(AnnualChurn*VLOOKUP(ACP61,ChurnSeasonTable,4,FALSE)),4)*BlendedPricePremAnnual*ACS61+ADF49*POWER(1-(AnnualChurn*VLOOKUP(ACP61,ChurnSeasonTable,4,FALSE)),1)*BlendedPriceEliteAnnual*ACS61+ADF37*POWER(1-(AnnualChurn*VLOOKUP(ACP61,ChurnSeasonTable,4,FALSE)),2)*BlendedPriceEliteAnnual*ACS61+ADF25*POWER(1-(AnnualChurn*VLOOKUP(ACP61,ChurnSeasonTable,4,FALSE)),3)*BlendedPriceEliteAnnual*ACS61+ADF13*POWER(1-(AnnualChurn*VLOOKUP(ACP61,ChurnSeasonTable,4,FALSE)),4)*BlendedPriceEliteAnnual*ACS61</f>
        <v/>
      </c>
      <c r="ADS61" s="9">
        <f>ADP61+ADQ61+ADR61</f>
        <v/>
      </c>
      <c r="ADT61" s="12">
        <f>SUM(ADS50:ADS61)</f>
        <v/>
      </c>
      <c r="ADU61" s="12">
        <f>OR(ADU60,IF(VATAgentMode,SUM($ADS50:$ADS61)-SUM($ADZ50:$ADZ61)&gt;=VATThreshold,SUM($ADS50:$ADS61)&gt;=VATThreshold))</f>
        <v/>
      </c>
      <c r="ADV61" s="9">
        <f>IF(ADU61,IF(VATAgentMode,ADS61-((ADS61-ADZ61)-(ADS61-ADZ61)/(1+VATRate)),ADS61/(1+VATRate)),ADS61)</f>
        <v/>
      </c>
      <c r="ADW61" s="12">
        <f>ADS61-ADV61</f>
        <v/>
      </c>
      <c r="ADX61" s="12">
        <f>IF(ADU61=0,0,IF(ACP61=1,SUMPRODUCT(--(($ACQ$5:$ACQ61=$ACQ61-1)*($ACP$5:$ACP61&gt;=10)*($ACP$5:$ACP61&lt;=12)),$ADW$5:$ADW61),IF(ACP61=4,SUMPRODUCT(--(($ACQ$5:$ACQ61=$ACQ61)*($ACP$5:$ACP61&gt;=1)*($ACP$5:$ACP61&lt;=3)),$ADW$5:$ADW61),IF(ACP61=7,SUMPRODUCT(--(($ACQ$5:$ACQ61=$ACQ61)*($ACP$5:$ACP61&gt;=4)*($ACP$5:$ACP61&lt;=6)),$ADW$5:$ADW61),IF(ACP61=10,SUMPRODUCT(--(($ACQ$5:$ACQ61=$ACQ61)*($ACP$5:$ACP61&gt;=7)*($ACP$5:$ACP61&lt;=9)),$ADW$5:$ADW61),0)))))</f>
        <v/>
      </c>
      <c r="ADY61" s="12">
        <f>ADY60+ADW61-ADX61</f>
        <v/>
      </c>
      <c r="ADZ61" s="12">
        <f>IF(ProviderDelay&gt;=1,ADG60*BlendedProvPayEss+ADH60*BlendedProvPayPrem+ADI60*BlendedProvPayElite+ADJ60*BlendedProvPayEss+ADK60*BlendedProvPayPrem+ADL60*BlendedProvPayElite,ADG61*BlendedProvPayEss+ADH61*BlendedProvPayPrem+ADI61*BlendedProvPayElite+ADJ61*BlendedProvPayEss+ADK61*BlendedProvPayPrem+ADL61*BlendedProvPayElite)</f>
        <v/>
      </c>
      <c r="AEA61" s="12">
        <f>ADS61*PaymentFee</f>
        <v/>
      </c>
      <c r="AEB61" s="12">
        <f>ADM61*OpsAI</f>
        <v/>
      </c>
      <c r="AEC61" s="12">
        <f>MonthlyFixed</f>
        <v/>
      </c>
      <c r="AED61" s="12">
        <f>ACW61*ReferralReward</f>
        <v/>
      </c>
      <c r="AEE61" s="12">
        <f>ACU61</f>
        <v/>
      </c>
      <c r="AEF61" s="9">
        <f>ADV61-ADZ61-AEA61-AEB61-AEC61-AED61-AEE61</f>
        <v/>
      </c>
      <c r="AEG61" s="9">
        <f>AEG60+ADS61-(ADZ61+AEA61+AEB61+AEC61+AED61+AEE61+ADX61)</f>
        <v/>
      </c>
      <c r="AEH61" s="12">
        <f>IF(ADM61&gt;0,ADN61/ADM61,0)</f>
        <v/>
      </c>
      <c r="AEI61" s="11">
        <f>IF(ADM60&gt;0,MAX(0,(ADM60+ACX61-ADM61)/ADM60),0)</f>
        <v/>
      </c>
      <c r="AEK61" s="12" t="n">
        <v>57</v>
      </c>
      <c r="AEL61" s="12">
        <f>MOD(AEK61-1+LaunchMonth-1,12)+1</f>
        <v/>
      </c>
      <c r="AEM61" s="12">
        <f>INT((AEK61-1+LaunchMonth-1)/12)+1</f>
        <v/>
      </c>
      <c r="AEN61" s="12">
        <f>VLOOKUP(AEL61,SeasonTable,2,FALSE)</f>
        <v/>
      </c>
      <c r="AEO61" s="12">
        <f>(1+InflationRate)^INT((AEK61-1)/12)</f>
        <v/>
      </c>
      <c r="AEP61" s="11">
        <f>MonthlyChurn*VLOOKUP(AEL61,ChurnSeasonTable,4,FALSE)</f>
        <v/>
      </c>
      <c r="AEQ61" s="12">
        <f>MIN(MAX(MktMin19plus,AFO60*MktPct19plus),MAX(0,AGC60-CashBuffer))</f>
        <v/>
      </c>
      <c r="AER61" s="12">
        <f>IF(AEQ61&gt;0,MAX(1,ROUND(AEQ61/CAC*AEN61,0)),0)</f>
        <v/>
      </c>
      <c r="AES61" s="12">
        <f>IF(AER61&gt;0,ROUND(AER61*ReferralMix/(1-ReferralMix),0),0)</f>
        <v/>
      </c>
      <c r="AET61" s="12">
        <f>AER61+AES61</f>
        <v/>
      </c>
      <c r="AEU61" s="12">
        <f>ROUND(AET61*(1-'Sens - Annual Mix'!$A$14),0)</f>
        <v/>
      </c>
      <c r="AEV61" s="12">
        <f>AET61-AEU61</f>
        <v/>
      </c>
      <c r="AEW61" s="12">
        <f>ROUND(AEU61*EssentialMix,0)</f>
        <v/>
      </c>
      <c r="AEX61" s="12">
        <f>ROUND(AEU61*PremiumMix,0)</f>
        <v/>
      </c>
      <c r="AEY61" s="12">
        <f>AEU61-AEW61-AEX61</f>
        <v/>
      </c>
      <c r="AEZ61" s="12">
        <f>ROUND(AEV61*EssentialMix,0)</f>
        <v/>
      </c>
      <c r="AFA61" s="12">
        <f>ROUND(AEV61*PremiumMix,0)</f>
        <v/>
      </c>
      <c r="AFB61" s="12">
        <f>AEV61-AEZ61-AFA61</f>
        <v/>
      </c>
      <c r="AFC61" s="12">
        <f>AEW61+AEW60+AEW59+MAX(0,AFC60-AEW60-AEW59)*(1-AEP61)</f>
        <v/>
      </c>
      <c r="AFD61" s="12">
        <f>AEX61+AEX60+AEX59+MAX(0,AFD60-AEX60-AEX59)*(1-AEP61)</f>
        <v/>
      </c>
      <c r="AFE61" s="12">
        <f>AEY61+AEY60+AEY59+MAX(0,AFE60-AEY60-AEY59)*(1-AEP61)</f>
        <v/>
      </c>
      <c r="AFF61" s="12">
        <f>AFF60+AEZ61-AEZ49*(AnnualChurn*VLOOKUP(AEL61,ChurnSeasonTable,4,FALSE))*POWER(1-(AnnualChurn*VLOOKUP(AEL61,ChurnSeasonTable,4,FALSE)),0)+AEZ37*(AnnualChurn*VLOOKUP(AEL61,ChurnSeasonTable,4,FALSE))*POWER(1-(AnnualChurn*VLOOKUP(AEL61,ChurnSeasonTable,4,FALSE)),1)+AEZ25*(AnnualChurn*VLOOKUP(AEL61,ChurnSeasonTable,4,FALSE))*POWER(1-(AnnualChurn*VLOOKUP(AEL61,ChurnSeasonTable,4,FALSE)),2)+AEZ13*(AnnualChurn*VLOOKUP(AEL61,ChurnSeasonTable,4,FALSE))*POWER(1-(AnnualChurn*VLOOKUP(AEL61,ChurnSeasonTable,4,FALSE)),3)</f>
        <v/>
      </c>
      <c r="AFG61" s="12">
        <f>AFG60+AFA61-AFA49*(AnnualChurn*VLOOKUP(AEL61,ChurnSeasonTable,4,FALSE))*POWER(1-(AnnualChurn*VLOOKUP(AEL61,ChurnSeasonTable,4,FALSE)),0)+AFA37*(AnnualChurn*VLOOKUP(AEL61,ChurnSeasonTable,4,FALSE))*POWER(1-(AnnualChurn*VLOOKUP(AEL61,ChurnSeasonTable,4,FALSE)),1)+AFA25*(AnnualChurn*VLOOKUP(AEL61,ChurnSeasonTable,4,FALSE))*POWER(1-(AnnualChurn*VLOOKUP(AEL61,ChurnSeasonTable,4,FALSE)),2)+AFA13*(AnnualChurn*VLOOKUP(AEL61,ChurnSeasonTable,4,FALSE))*POWER(1-(AnnualChurn*VLOOKUP(AEL61,ChurnSeasonTable,4,FALSE)),3)</f>
        <v/>
      </c>
      <c r="AFH61" s="12">
        <f>AFH60+AFB61-AFB49*(AnnualChurn*VLOOKUP(AEL61,ChurnSeasonTable,4,FALSE))*POWER(1-(AnnualChurn*VLOOKUP(AEL61,ChurnSeasonTable,4,FALSE)),0)+AFB37*(AnnualChurn*VLOOKUP(AEL61,ChurnSeasonTable,4,FALSE))*POWER(1-(AnnualChurn*VLOOKUP(AEL61,ChurnSeasonTable,4,FALSE)),1)+AFB25*(AnnualChurn*VLOOKUP(AEL61,ChurnSeasonTable,4,FALSE))*POWER(1-(AnnualChurn*VLOOKUP(AEL61,ChurnSeasonTable,4,FALSE)),2)+AFB13*(AnnualChurn*VLOOKUP(AEL61,ChurnSeasonTable,4,FALSE))*POWER(1-(AnnualChurn*VLOOKUP(AEL61,ChurnSeasonTable,4,FALSE)),3)</f>
        <v/>
      </c>
      <c r="AFI61" s="12">
        <f>AFC61+AFD61+AFE61+AFF61+AFG61+AFH61</f>
        <v/>
      </c>
      <c r="AFJ61" s="9">
        <f>AFC61*BlendedPriceEssMonthly*AEO61+AFD61*BlendedPricePremMonthly*AEO61+AFE61*BlendedPriceEliteMonthly*AEO61+AFF61*BlendedPriceEssAnnual*AEO61/12+AFG61*BlendedPricePremAnnual*AEO61/12+AFH61*BlendedPriceEliteAnnual*AEO61/12</f>
        <v/>
      </c>
      <c r="AFK61" s="9">
        <f>AFJ61*12</f>
        <v/>
      </c>
      <c r="AFL61" s="12">
        <f>AFC61*BlendedPriceEssMonthly*AEO61+AFD61*BlendedPricePremMonthly*AEO61+AFE61*BlendedPriceEliteMonthly*AEO61</f>
        <v/>
      </c>
      <c r="AFM61" s="12">
        <f>AEZ61*BlendedPriceEssAnnual*AEO61+AFA61*BlendedPricePremAnnual*AEO61+AFB61*BlendedPriceEliteAnnual*AEO61</f>
        <v/>
      </c>
      <c r="AFN61" s="12">
        <f>AEZ49*POWER(1-(AnnualChurn*VLOOKUP(AEL61,ChurnSeasonTable,4,FALSE)),1)*BlendedPriceEssAnnual*AEO61+AEZ37*POWER(1-(AnnualChurn*VLOOKUP(AEL61,ChurnSeasonTable,4,FALSE)),2)*BlendedPriceEssAnnual*AEO61+AEZ25*POWER(1-(AnnualChurn*VLOOKUP(AEL61,ChurnSeasonTable,4,FALSE)),3)*BlendedPriceEssAnnual*AEO61+AEZ13*POWER(1-(AnnualChurn*VLOOKUP(AEL61,ChurnSeasonTable,4,FALSE)),4)*BlendedPriceEssAnnual*AEO61+AFA49*POWER(1-(AnnualChurn*VLOOKUP(AEL61,ChurnSeasonTable,4,FALSE)),1)*BlendedPricePremAnnual*AEO61+AFA37*POWER(1-(AnnualChurn*VLOOKUP(AEL61,ChurnSeasonTable,4,FALSE)),2)*BlendedPricePremAnnual*AEO61+AFA25*POWER(1-(AnnualChurn*VLOOKUP(AEL61,ChurnSeasonTable,4,FALSE)),3)*BlendedPricePremAnnual*AEO61+AFA13*POWER(1-(AnnualChurn*VLOOKUP(AEL61,ChurnSeasonTable,4,FALSE)),4)*BlendedPricePremAnnual*AEO61+AFB49*POWER(1-(AnnualChurn*VLOOKUP(AEL61,ChurnSeasonTable,4,FALSE)),1)*BlendedPriceEliteAnnual*AEO61+AFB37*POWER(1-(AnnualChurn*VLOOKUP(AEL61,ChurnSeasonTable,4,FALSE)),2)*BlendedPriceEliteAnnual*AEO61+AFB25*POWER(1-(AnnualChurn*VLOOKUP(AEL61,ChurnSeasonTable,4,FALSE)),3)*BlendedPriceEliteAnnual*AEO61+AFB13*POWER(1-(AnnualChurn*VLOOKUP(AEL61,ChurnSeasonTable,4,FALSE)),4)*BlendedPriceEliteAnnual*AEO61</f>
        <v/>
      </c>
      <c r="AFO61" s="9">
        <f>AFL61+AFM61+AFN61</f>
        <v/>
      </c>
      <c r="AFP61" s="12">
        <f>SUM(AFO50:AFO61)</f>
        <v/>
      </c>
      <c r="AFQ61" s="12">
        <f>OR(AFQ60,IF(VATAgentMode,SUM($AFO50:$AFO61)-SUM($AFV50:$AFV61)&gt;=VATThreshold,SUM($AFO50:$AFO61)&gt;=VATThreshold))</f>
        <v/>
      </c>
      <c r="AFR61" s="9">
        <f>IF(AFQ61,IF(VATAgentMode,AFO61-((AFO61-AFV61)-(AFO61-AFV61)/(1+VATRate)),AFO61/(1+VATRate)),AFO61)</f>
        <v/>
      </c>
      <c r="AFS61" s="12">
        <f>AFO61-AFR61</f>
        <v/>
      </c>
      <c r="AFT61" s="12">
        <f>IF(AFQ61=0,0,IF(AEL61=1,SUMPRODUCT(--(($AEM$5:$AEM61=$AEM61-1)*($AEL$5:$AEL61&gt;=10)*($AEL$5:$AEL61&lt;=12)),$AFS$5:$AFS61),IF(AEL61=4,SUMPRODUCT(--(($AEM$5:$AEM61=$AEM61)*($AEL$5:$AEL61&gt;=1)*($AEL$5:$AEL61&lt;=3)),$AFS$5:$AFS61),IF(AEL61=7,SUMPRODUCT(--(($AEM$5:$AEM61=$AEM61)*($AEL$5:$AEL61&gt;=4)*($AEL$5:$AEL61&lt;=6)),$AFS$5:$AFS61),IF(AEL61=10,SUMPRODUCT(--(($AEM$5:$AEM61=$AEM61)*($AEL$5:$AEL61&gt;=7)*($AEL$5:$AEL61&lt;=9)),$AFS$5:$AFS61),0)))))</f>
        <v/>
      </c>
      <c r="AFU61" s="12">
        <f>AFU60+AFS61-AFT61</f>
        <v/>
      </c>
      <c r="AFV61" s="12">
        <f>IF(ProviderDelay&gt;=1,AFC60*BlendedProvPayEss+AFD60*BlendedProvPayPrem+AFE60*BlendedProvPayElite+AFF60*BlendedProvPayEss+AFG60*BlendedProvPayPrem+AFH60*BlendedProvPayElite,AFC61*BlendedProvPayEss+AFD61*BlendedProvPayPrem+AFE61*BlendedProvPayElite+AFF61*BlendedProvPayEss+AFG61*BlendedProvPayPrem+AFH61*BlendedProvPayElite)</f>
        <v/>
      </c>
      <c r="AFW61" s="12">
        <f>AFO61*PaymentFee</f>
        <v/>
      </c>
      <c r="AFX61" s="12">
        <f>AFI61*OpsAI</f>
        <v/>
      </c>
      <c r="AFY61" s="12">
        <f>MonthlyFixed</f>
        <v/>
      </c>
      <c r="AFZ61" s="12">
        <f>AES61*ReferralReward</f>
        <v/>
      </c>
      <c r="AGA61" s="12">
        <f>AEQ61</f>
        <v/>
      </c>
      <c r="AGB61" s="9">
        <f>AFR61-AFV61-AFW61-AFX61-AFY61-AFZ61-AGA61</f>
        <v/>
      </c>
      <c r="AGC61" s="9">
        <f>AGC60+AFO61-(AFV61+AFW61+AFX61+AFY61+AFZ61+AGA61+AFT61)</f>
        <v/>
      </c>
      <c r="AGD61" s="12">
        <f>IF(AFI61&gt;0,AFJ61/AFI61,0)</f>
        <v/>
      </c>
      <c r="AGE61" s="11">
        <f>IF(AFI60&gt;0,MAX(0,(AFI60+AET61-AFI61)/AFI60),0)</f>
        <v/>
      </c>
      <c r="AGG61" s="12" t="n">
        <v>57</v>
      </c>
      <c r="AGH61" s="12">
        <f>MOD(AGG61-1+LaunchMonth-1,12)+1</f>
        <v/>
      </c>
      <c r="AGI61" s="12">
        <f>INT((AGG61-1+LaunchMonth-1)/12)+1</f>
        <v/>
      </c>
      <c r="AGJ61" s="12">
        <f>VLOOKUP(AGH61,SeasonTable,2,FALSE)</f>
        <v/>
      </c>
      <c r="AGK61" s="12">
        <f>(1+InflationRate)^INT((AGG61-1)/12)</f>
        <v/>
      </c>
      <c r="AGL61" s="11">
        <f>MonthlyChurn*VLOOKUP(AGH61,ChurnSeasonTable,4,FALSE)</f>
        <v/>
      </c>
      <c r="AGM61" s="12">
        <f>MIN(MAX(MktMin19plus,AHK60*MktPct19plus),MAX(0,AHY60-CashBuffer))</f>
        <v/>
      </c>
      <c r="AGN61" s="12">
        <f>IF(AGM61&gt;0,MAX(1,ROUND(AGM61/CAC*AGJ61,0)),0)</f>
        <v/>
      </c>
      <c r="AGO61" s="12">
        <f>IF(AGN61&gt;0,ROUND(AGN61*ReferralMix/(1-ReferralMix),0),0)</f>
        <v/>
      </c>
      <c r="AGP61" s="12">
        <f>AGN61+AGO61</f>
        <v/>
      </c>
      <c r="AGQ61" s="12">
        <f>ROUND(AGP61*(1-'Sens - Annual Mix'!$A$15),0)</f>
        <v/>
      </c>
      <c r="AGR61" s="12">
        <f>AGP61-AGQ61</f>
        <v/>
      </c>
      <c r="AGS61" s="12">
        <f>ROUND(AGQ61*EssentialMix,0)</f>
        <v/>
      </c>
      <c r="AGT61" s="12">
        <f>ROUND(AGQ61*PremiumMix,0)</f>
        <v/>
      </c>
      <c r="AGU61" s="12">
        <f>AGQ61-AGS61-AGT61</f>
        <v/>
      </c>
      <c r="AGV61" s="12">
        <f>ROUND(AGR61*EssentialMix,0)</f>
        <v/>
      </c>
      <c r="AGW61" s="12">
        <f>ROUND(AGR61*PremiumMix,0)</f>
        <v/>
      </c>
      <c r="AGX61" s="12">
        <f>AGR61-AGV61-AGW61</f>
        <v/>
      </c>
      <c r="AGY61" s="12">
        <f>AGS61+AGS60+AGS59+MAX(0,AGY60-AGS60-AGS59)*(1-AGL61)</f>
        <v/>
      </c>
      <c r="AGZ61" s="12">
        <f>AGT61+AGT60+AGT59+MAX(0,AGZ60-AGT60-AGT59)*(1-AGL61)</f>
        <v/>
      </c>
      <c r="AHA61" s="12">
        <f>AGU61+AGU60+AGU59+MAX(0,AHA60-AGU60-AGU59)*(1-AGL61)</f>
        <v/>
      </c>
      <c r="AHB61" s="12">
        <f>AHB60+AGV61-AGV49*(AnnualChurn*VLOOKUP(AGH61,ChurnSeasonTable,4,FALSE))*POWER(1-(AnnualChurn*VLOOKUP(AGH61,ChurnSeasonTable,4,FALSE)),0)+AGV37*(AnnualChurn*VLOOKUP(AGH61,ChurnSeasonTable,4,FALSE))*POWER(1-(AnnualChurn*VLOOKUP(AGH61,ChurnSeasonTable,4,FALSE)),1)+AGV25*(AnnualChurn*VLOOKUP(AGH61,ChurnSeasonTable,4,FALSE))*POWER(1-(AnnualChurn*VLOOKUP(AGH61,ChurnSeasonTable,4,FALSE)),2)+AGV13*(AnnualChurn*VLOOKUP(AGH61,ChurnSeasonTable,4,FALSE))*POWER(1-(AnnualChurn*VLOOKUP(AGH61,ChurnSeasonTable,4,FALSE)),3)</f>
        <v/>
      </c>
      <c r="AHC61" s="12">
        <f>AHC60+AGW61-AGW49*(AnnualChurn*VLOOKUP(AGH61,ChurnSeasonTable,4,FALSE))*POWER(1-(AnnualChurn*VLOOKUP(AGH61,ChurnSeasonTable,4,FALSE)),0)+AGW37*(AnnualChurn*VLOOKUP(AGH61,ChurnSeasonTable,4,FALSE))*POWER(1-(AnnualChurn*VLOOKUP(AGH61,ChurnSeasonTable,4,FALSE)),1)+AGW25*(AnnualChurn*VLOOKUP(AGH61,ChurnSeasonTable,4,FALSE))*POWER(1-(AnnualChurn*VLOOKUP(AGH61,ChurnSeasonTable,4,FALSE)),2)+AGW13*(AnnualChurn*VLOOKUP(AGH61,ChurnSeasonTable,4,FALSE))*POWER(1-(AnnualChurn*VLOOKUP(AGH61,ChurnSeasonTable,4,FALSE)),3)</f>
        <v/>
      </c>
      <c r="AHD61" s="12">
        <f>AHD60+AGX61-AGX49*(AnnualChurn*VLOOKUP(AGH61,ChurnSeasonTable,4,FALSE))*POWER(1-(AnnualChurn*VLOOKUP(AGH61,ChurnSeasonTable,4,FALSE)),0)+AGX37*(AnnualChurn*VLOOKUP(AGH61,ChurnSeasonTable,4,FALSE))*POWER(1-(AnnualChurn*VLOOKUP(AGH61,ChurnSeasonTable,4,FALSE)),1)+AGX25*(AnnualChurn*VLOOKUP(AGH61,ChurnSeasonTable,4,FALSE))*POWER(1-(AnnualChurn*VLOOKUP(AGH61,ChurnSeasonTable,4,FALSE)),2)+AGX13*(AnnualChurn*VLOOKUP(AGH61,ChurnSeasonTable,4,FALSE))*POWER(1-(AnnualChurn*VLOOKUP(AGH61,ChurnSeasonTable,4,FALSE)),3)</f>
        <v/>
      </c>
      <c r="AHE61" s="12">
        <f>AGY61+AGZ61+AHA61+AHB61+AHC61+AHD61</f>
        <v/>
      </c>
      <c r="AHF61" s="9">
        <f>AGY61*BlendedPriceEssMonthly*AGK61+AGZ61*BlendedPricePremMonthly*AGK61+AHA61*BlendedPriceEliteMonthly*AGK61+AHB61*BlendedPriceEssAnnual*AGK61/12+AHC61*BlendedPricePremAnnual*AGK61/12+AHD61*BlendedPriceEliteAnnual*AGK61/12</f>
        <v/>
      </c>
      <c r="AHG61" s="9">
        <f>AHF61*12</f>
        <v/>
      </c>
      <c r="AHH61" s="12">
        <f>AGY61*BlendedPriceEssMonthly*AGK61+AGZ61*BlendedPricePremMonthly*AGK61+AHA61*BlendedPriceEliteMonthly*AGK61</f>
        <v/>
      </c>
      <c r="AHI61" s="12">
        <f>AGV61*BlendedPriceEssAnnual*AGK61+AGW61*BlendedPricePremAnnual*AGK61+AGX61*BlendedPriceEliteAnnual*AGK61</f>
        <v/>
      </c>
      <c r="AHJ61" s="12">
        <f>AGV49*POWER(1-(AnnualChurn*VLOOKUP(AGH61,ChurnSeasonTable,4,FALSE)),1)*BlendedPriceEssAnnual*AGK61+AGV37*POWER(1-(AnnualChurn*VLOOKUP(AGH61,ChurnSeasonTable,4,FALSE)),2)*BlendedPriceEssAnnual*AGK61+AGV25*POWER(1-(AnnualChurn*VLOOKUP(AGH61,ChurnSeasonTable,4,FALSE)),3)*BlendedPriceEssAnnual*AGK61+AGV13*POWER(1-(AnnualChurn*VLOOKUP(AGH61,ChurnSeasonTable,4,FALSE)),4)*BlendedPriceEssAnnual*AGK61+AGW49*POWER(1-(AnnualChurn*VLOOKUP(AGH61,ChurnSeasonTable,4,FALSE)),1)*BlendedPricePremAnnual*AGK61+AGW37*POWER(1-(AnnualChurn*VLOOKUP(AGH61,ChurnSeasonTable,4,FALSE)),2)*BlendedPricePremAnnual*AGK61+AGW25*POWER(1-(AnnualChurn*VLOOKUP(AGH61,ChurnSeasonTable,4,FALSE)),3)*BlendedPricePremAnnual*AGK61+AGW13*POWER(1-(AnnualChurn*VLOOKUP(AGH61,ChurnSeasonTable,4,FALSE)),4)*BlendedPricePremAnnual*AGK61+AGX49*POWER(1-(AnnualChurn*VLOOKUP(AGH61,ChurnSeasonTable,4,FALSE)),1)*BlendedPriceEliteAnnual*AGK61+AGX37*POWER(1-(AnnualChurn*VLOOKUP(AGH61,ChurnSeasonTable,4,FALSE)),2)*BlendedPriceEliteAnnual*AGK61+AGX25*POWER(1-(AnnualChurn*VLOOKUP(AGH61,ChurnSeasonTable,4,FALSE)),3)*BlendedPriceEliteAnnual*AGK61+AGX13*POWER(1-(AnnualChurn*VLOOKUP(AGH61,ChurnSeasonTable,4,FALSE)),4)*BlendedPriceEliteAnnual*AGK61</f>
        <v/>
      </c>
      <c r="AHK61" s="9">
        <f>AHH61+AHI61+AHJ61</f>
        <v/>
      </c>
      <c r="AHL61" s="12">
        <f>SUM(AHK50:AHK61)</f>
        <v/>
      </c>
      <c r="AHM61" s="12">
        <f>OR(AHM60,IF(VATAgentMode,SUM($AHK50:$AHK61)-SUM($AHR50:$AHR61)&gt;=VATThreshold,SUM($AHK50:$AHK61)&gt;=VATThreshold))</f>
        <v/>
      </c>
      <c r="AHN61" s="9">
        <f>IF(AHM61,IF(VATAgentMode,AHK61-((AHK61-AHR61)-(AHK61-AHR61)/(1+VATRate)),AHK61/(1+VATRate)),AHK61)</f>
        <v/>
      </c>
      <c r="AHO61" s="12">
        <f>AHK61-AHN61</f>
        <v/>
      </c>
      <c r="AHP61" s="12">
        <f>IF(AHM61=0,0,IF(AGH61=1,SUMPRODUCT(--(($AGI$5:$AGI61=$AGI61-1)*($AGH$5:$AGH61&gt;=10)*($AGH$5:$AGH61&lt;=12)),$AHO$5:$AHO61),IF(AGH61=4,SUMPRODUCT(--(($AGI$5:$AGI61=$AGI61)*($AGH$5:$AGH61&gt;=1)*($AGH$5:$AGH61&lt;=3)),$AHO$5:$AHO61),IF(AGH61=7,SUMPRODUCT(--(($AGI$5:$AGI61=$AGI61)*($AGH$5:$AGH61&gt;=4)*($AGH$5:$AGH61&lt;=6)),$AHO$5:$AHO61),IF(AGH61=10,SUMPRODUCT(--(($AGI$5:$AGI61=$AGI61)*($AGH$5:$AGH61&gt;=7)*($AGH$5:$AGH61&lt;=9)),$AHO$5:$AHO61),0)))))</f>
        <v/>
      </c>
      <c r="AHQ61" s="12">
        <f>AHQ60+AHO61-AHP61</f>
        <v/>
      </c>
      <c r="AHR61" s="12">
        <f>IF(ProviderDelay&gt;=1,AGY60*BlendedProvPayEss+AGZ60*BlendedProvPayPrem+AHA60*BlendedProvPayElite+AHB60*BlendedProvPayEss+AHC60*BlendedProvPayPrem+AHD60*BlendedProvPayElite,AGY61*BlendedProvPayEss+AGZ61*BlendedProvPayPrem+AHA61*BlendedProvPayElite+AHB61*BlendedProvPayEss+AHC61*BlendedProvPayPrem+AHD61*BlendedProvPayElite)</f>
        <v/>
      </c>
      <c r="AHS61" s="12">
        <f>AHK61*PaymentFee</f>
        <v/>
      </c>
      <c r="AHT61" s="12">
        <f>AHE61*OpsAI</f>
        <v/>
      </c>
      <c r="AHU61" s="12">
        <f>MonthlyFixed</f>
        <v/>
      </c>
      <c r="AHV61" s="12">
        <f>AGO61*ReferralReward</f>
        <v/>
      </c>
      <c r="AHW61" s="12">
        <f>AGM61</f>
        <v/>
      </c>
      <c r="AHX61" s="9">
        <f>AHN61-AHR61-AHS61-AHT61-AHU61-AHV61-AHW61</f>
        <v/>
      </c>
      <c r="AHY61" s="9">
        <f>AHY60+AHK61-(AHR61+AHS61+AHT61+AHU61+AHV61+AHW61+AHP61)</f>
        <v/>
      </c>
      <c r="AHZ61" s="12">
        <f>IF(AHE61&gt;0,AHF61/AHE61,0)</f>
        <v/>
      </c>
      <c r="AIA61" s="11">
        <f>IF(AHE60&gt;0,MAX(0,(AHE60+AGP61-AHE61)/AHE60),0)</f>
        <v/>
      </c>
      <c r="AIC61" s="12" t="n">
        <v>57</v>
      </c>
      <c r="AID61" s="12">
        <f>MOD(AIC61-1+LaunchMonth-1,12)+1</f>
        <v/>
      </c>
      <c r="AIE61" s="12">
        <f>INT((AIC61-1+LaunchMonth-1)/12)+1</f>
        <v/>
      </c>
      <c r="AIF61" s="12">
        <f>VLOOKUP(AID61,SeasonTable,2,FALSE)</f>
        <v/>
      </c>
      <c r="AIG61" s="12">
        <f>(1+InflationRate)^INT((AIC61-1)/12)</f>
        <v/>
      </c>
      <c r="AIH61" s="11">
        <f>MonthlyChurn*VLOOKUP(AID61,ChurnSeasonTable,4,FALSE)</f>
        <v/>
      </c>
      <c r="AII61" s="12">
        <f>MIN(MAX(MktMin19plus,AJG60*MktPct19plus),MAX(0,AJU60-CashBuffer))</f>
        <v/>
      </c>
      <c r="AIJ61" s="12">
        <f>IF(AII61&gt;0,MAX(1,ROUND(AII61/'Sens - CAC &amp; Marketing'!$A$9*AIF61,0)),0)</f>
        <v/>
      </c>
      <c r="AIK61" s="12">
        <f>IF(AIJ61&gt;0,ROUND(AIJ61*ReferralMix/(1-ReferralMix),0),0)</f>
        <v/>
      </c>
      <c r="AIL61" s="12">
        <f>AIJ61+AIK61</f>
        <v/>
      </c>
      <c r="AIM61" s="12">
        <f>ROUND(AIL61*(1-AnnualMix),0)</f>
        <v/>
      </c>
      <c r="AIN61" s="12">
        <f>AIL61-AIM61</f>
        <v/>
      </c>
      <c r="AIO61" s="12">
        <f>ROUND(AIM61*EssentialMix,0)</f>
        <v/>
      </c>
      <c r="AIP61" s="12">
        <f>ROUND(AIM61*PremiumMix,0)</f>
        <v/>
      </c>
      <c r="AIQ61" s="12">
        <f>AIM61-AIO61-AIP61</f>
        <v/>
      </c>
      <c r="AIR61" s="12">
        <f>ROUND(AIN61*EssentialMix,0)</f>
        <v/>
      </c>
      <c r="AIS61" s="12">
        <f>ROUND(AIN61*PremiumMix,0)</f>
        <v/>
      </c>
      <c r="AIT61" s="12">
        <f>AIN61-AIR61-AIS61</f>
        <v/>
      </c>
      <c r="AIU61" s="12">
        <f>AIO61+AIO60+AIO59+MAX(0,AIU60-AIO60-AIO59)*(1-AIH61)</f>
        <v/>
      </c>
      <c r="AIV61" s="12">
        <f>AIP61+AIP60+AIP59+MAX(0,AIV60-AIP60-AIP59)*(1-AIH61)</f>
        <v/>
      </c>
      <c r="AIW61" s="12">
        <f>AIQ61+AIQ60+AIQ59+MAX(0,AIW60-AIQ60-AIQ59)*(1-AIH61)</f>
        <v/>
      </c>
      <c r="AIX61" s="12">
        <f>AIX60+AIR61-AIR49*(AnnualChurn*VLOOKUP(AID61,ChurnSeasonTable,4,FALSE))*POWER(1-(AnnualChurn*VLOOKUP(AID61,ChurnSeasonTable,4,FALSE)),0)+AIR37*(AnnualChurn*VLOOKUP(AID61,ChurnSeasonTable,4,FALSE))*POWER(1-(AnnualChurn*VLOOKUP(AID61,ChurnSeasonTable,4,FALSE)),1)+AIR25*(AnnualChurn*VLOOKUP(AID61,ChurnSeasonTable,4,FALSE))*POWER(1-(AnnualChurn*VLOOKUP(AID61,ChurnSeasonTable,4,FALSE)),2)+AIR13*(AnnualChurn*VLOOKUP(AID61,ChurnSeasonTable,4,FALSE))*POWER(1-(AnnualChurn*VLOOKUP(AID61,ChurnSeasonTable,4,FALSE)),3)</f>
        <v/>
      </c>
      <c r="AIY61" s="12">
        <f>AIY60+AIS61-AIS49*(AnnualChurn*VLOOKUP(AID61,ChurnSeasonTable,4,FALSE))*POWER(1-(AnnualChurn*VLOOKUP(AID61,ChurnSeasonTable,4,FALSE)),0)+AIS37*(AnnualChurn*VLOOKUP(AID61,ChurnSeasonTable,4,FALSE))*POWER(1-(AnnualChurn*VLOOKUP(AID61,ChurnSeasonTable,4,FALSE)),1)+AIS25*(AnnualChurn*VLOOKUP(AID61,ChurnSeasonTable,4,FALSE))*POWER(1-(AnnualChurn*VLOOKUP(AID61,ChurnSeasonTable,4,FALSE)),2)+AIS13*(AnnualChurn*VLOOKUP(AID61,ChurnSeasonTable,4,FALSE))*POWER(1-(AnnualChurn*VLOOKUP(AID61,ChurnSeasonTable,4,FALSE)),3)</f>
        <v/>
      </c>
      <c r="AIZ61" s="12">
        <f>AIZ60+AIT61-AIT49*(AnnualChurn*VLOOKUP(AID61,ChurnSeasonTable,4,FALSE))*POWER(1-(AnnualChurn*VLOOKUP(AID61,ChurnSeasonTable,4,FALSE)),0)+AIT37*(AnnualChurn*VLOOKUP(AID61,ChurnSeasonTable,4,FALSE))*POWER(1-(AnnualChurn*VLOOKUP(AID61,ChurnSeasonTable,4,FALSE)),1)+AIT25*(AnnualChurn*VLOOKUP(AID61,ChurnSeasonTable,4,FALSE))*POWER(1-(AnnualChurn*VLOOKUP(AID61,ChurnSeasonTable,4,FALSE)),2)+AIT13*(AnnualChurn*VLOOKUP(AID61,ChurnSeasonTable,4,FALSE))*POWER(1-(AnnualChurn*VLOOKUP(AID61,ChurnSeasonTable,4,FALSE)),3)</f>
        <v/>
      </c>
      <c r="AJA61" s="12">
        <f>AIU61+AIV61+AIW61+AIX61+AIY61+AIZ61</f>
        <v/>
      </c>
      <c r="AJB61" s="9">
        <f>AIU61*BlendedPriceEssMonthly*AIG61+AIV61*BlendedPricePremMonthly*AIG61+AIW61*BlendedPriceEliteMonthly*AIG61+AIX61*BlendedPriceEssAnnual*AIG61/12+AIY61*BlendedPricePremAnnual*AIG61/12+AIZ61*BlendedPriceEliteAnnual*AIG61/12</f>
        <v/>
      </c>
      <c r="AJC61" s="9">
        <f>AJB61*12</f>
        <v/>
      </c>
      <c r="AJD61" s="12">
        <f>AIU61*BlendedPriceEssMonthly*AIG61+AIV61*BlendedPricePremMonthly*AIG61+AIW61*BlendedPriceEliteMonthly*AIG61</f>
        <v/>
      </c>
      <c r="AJE61" s="12">
        <f>AIR61*BlendedPriceEssAnnual*AIG61+AIS61*BlendedPricePremAnnual*AIG61+AIT61*BlendedPriceEliteAnnual*AIG61</f>
        <v/>
      </c>
      <c r="AJF61" s="12">
        <f>AIR49*POWER(1-(AnnualChurn*VLOOKUP(AID61,ChurnSeasonTable,4,FALSE)),1)*BlendedPriceEssAnnual*AIG61+AIR37*POWER(1-(AnnualChurn*VLOOKUP(AID61,ChurnSeasonTable,4,FALSE)),2)*BlendedPriceEssAnnual*AIG61+AIR25*POWER(1-(AnnualChurn*VLOOKUP(AID61,ChurnSeasonTable,4,FALSE)),3)*BlendedPriceEssAnnual*AIG61+AIR13*POWER(1-(AnnualChurn*VLOOKUP(AID61,ChurnSeasonTable,4,FALSE)),4)*BlendedPriceEssAnnual*AIG61+AIS49*POWER(1-(AnnualChurn*VLOOKUP(AID61,ChurnSeasonTable,4,FALSE)),1)*BlendedPricePremAnnual*AIG61+AIS37*POWER(1-(AnnualChurn*VLOOKUP(AID61,ChurnSeasonTable,4,FALSE)),2)*BlendedPricePremAnnual*AIG61+AIS25*POWER(1-(AnnualChurn*VLOOKUP(AID61,ChurnSeasonTable,4,FALSE)),3)*BlendedPricePremAnnual*AIG61+AIS13*POWER(1-(AnnualChurn*VLOOKUP(AID61,ChurnSeasonTable,4,FALSE)),4)*BlendedPricePremAnnual*AIG61+AIT49*POWER(1-(AnnualChurn*VLOOKUP(AID61,ChurnSeasonTable,4,FALSE)),1)*BlendedPriceEliteAnnual*AIG61+AIT37*POWER(1-(AnnualChurn*VLOOKUP(AID61,ChurnSeasonTable,4,FALSE)),2)*BlendedPriceEliteAnnual*AIG61+AIT25*POWER(1-(AnnualChurn*VLOOKUP(AID61,ChurnSeasonTable,4,FALSE)),3)*BlendedPriceEliteAnnual*AIG61+AIT13*POWER(1-(AnnualChurn*VLOOKUP(AID61,ChurnSeasonTable,4,FALSE)),4)*BlendedPriceEliteAnnual*AIG61</f>
        <v/>
      </c>
      <c r="AJG61" s="9">
        <f>AJD61+AJE61+AJF61</f>
        <v/>
      </c>
      <c r="AJH61" s="12">
        <f>SUM(AJG50:AJG61)</f>
        <v/>
      </c>
      <c r="AJI61" s="12">
        <f>OR(AJI60,IF(VATAgentMode,SUM($AJG50:$AJG61)-SUM($AJN50:$AJN61)&gt;=VATThreshold,SUM($AJG50:$AJG61)&gt;=VATThreshold))</f>
        <v/>
      </c>
      <c r="AJJ61" s="9">
        <f>IF(AJI61,IF(VATAgentMode,AJG61-((AJG61-AJN61)-(AJG61-AJN61)/(1+VATRate)),AJG61/(1+VATRate)),AJG61)</f>
        <v/>
      </c>
      <c r="AJK61" s="12">
        <f>AJG61-AJJ61</f>
        <v/>
      </c>
      <c r="AJL61" s="12">
        <f>IF(AJI61=0,0,IF(AID61=1,SUMPRODUCT(--(($AIE$5:$AIE61=$AIE61-1)*($AID$5:$AID61&gt;=10)*($AID$5:$AID61&lt;=12)),$AJK$5:$AJK61),IF(AID61=4,SUMPRODUCT(--(($AIE$5:$AIE61=$AIE61)*($AID$5:$AID61&gt;=1)*($AID$5:$AID61&lt;=3)),$AJK$5:$AJK61),IF(AID61=7,SUMPRODUCT(--(($AIE$5:$AIE61=$AIE61)*($AID$5:$AID61&gt;=4)*($AID$5:$AID61&lt;=6)),$AJK$5:$AJK61),IF(AID61=10,SUMPRODUCT(--(($AIE$5:$AIE61=$AIE61)*($AID$5:$AID61&gt;=7)*($AID$5:$AID61&lt;=9)),$AJK$5:$AJK61),0)))))</f>
        <v/>
      </c>
      <c r="AJM61" s="12">
        <f>AJM60+AJK61-AJL61</f>
        <v/>
      </c>
      <c r="AJN61" s="12">
        <f>IF(ProviderDelay&gt;=1,AIU60*BlendedProvPayEss+AIV60*BlendedProvPayPrem+AIW60*BlendedProvPayElite+AIX60*BlendedProvPayEss+AIY60*BlendedProvPayPrem+AIZ60*BlendedProvPayElite,AIU61*BlendedProvPayEss+AIV61*BlendedProvPayPrem+AIW61*BlendedProvPayElite+AIX61*BlendedProvPayEss+AIY61*BlendedProvPayPrem+AIZ61*BlendedProvPayElite)</f>
        <v/>
      </c>
      <c r="AJO61" s="12">
        <f>AJG61*PaymentFee</f>
        <v/>
      </c>
      <c r="AJP61" s="12">
        <f>AJA61*OpsAI</f>
        <v/>
      </c>
      <c r="AJQ61" s="12">
        <f>MonthlyFixed</f>
        <v/>
      </c>
      <c r="AJR61" s="12">
        <f>AIK61*ReferralReward</f>
        <v/>
      </c>
      <c r="AJS61" s="12">
        <f>AII61</f>
        <v/>
      </c>
      <c r="AJT61" s="9">
        <f>AJJ61-AJN61-AJO61-AJP61-AJQ61-AJR61-AJS61</f>
        <v/>
      </c>
      <c r="AJU61" s="9">
        <f>AJU60+AJG61-(AJN61+AJO61+AJP61+AJQ61+AJR61+AJS61+AJL61)</f>
        <v/>
      </c>
      <c r="AJV61" s="12">
        <f>IF(AJA61&gt;0,AJB61/AJA61,0)</f>
        <v/>
      </c>
      <c r="AJW61" s="11">
        <f>IF(AJA60&gt;0,MAX(0,(AJA60+AIL61-AJA61)/AJA60),0)</f>
        <v/>
      </c>
      <c r="AJY61" s="12" t="n">
        <v>57</v>
      </c>
      <c r="AJZ61" s="12">
        <f>MOD(AJY61-1+LaunchMonth-1,12)+1</f>
        <v/>
      </c>
      <c r="AKA61" s="12">
        <f>INT((AJY61-1+LaunchMonth-1)/12)+1</f>
        <v/>
      </c>
      <c r="AKB61" s="12">
        <f>VLOOKUP(AJZ61,SeasonTable,2,FALSE)</f>
        <v/>
      </c>
      <c r="AKC61" s="12">
        <f>(1+InflationRate)^INT((AJY61-1)/12)</f>
        <v/>
      </c>
      <c r="AKD61" s="11">
        <f>MonthlyChurn*VLOOKUP(AJZ61,ChurnSeasonTable,4,FALSE)</f>
        <v/>
      </c>
      <c r="AKE61" s="12">
        <f>MIN(MAX(MktMin19plus,ALC60*MktPct19plus),MAX(0,ALQ60-CashBuffer))</f>
        <v/>
      </c>
      <c r="AKF61" s="12">
        <f>IF(AKE61&gt;0,MAX(1,ROUND(AKE61/'Sens - CAC &amp; Marketing'!$A$10*AKB61,0)),0)</f>
        <v/>
      </c>
      <c r="AKG61" s="12">
        <f>IF(AKF61&gt;0,ROUND(AKF61*ReferralMix/(1-ReferralMix),0),0)</f>
        <v/>
      </c>
      <c r="AKH61" s="12">
        <f>AKF61+AKG61</f>
        <v/>
      </c>
      <c r="AKI61" s="12">
        <f>ROUND(AKH61*(1-AnnualMix),0)</f>
        <v/>
      </c>
      <c r="AKJ61" s="12">
        <f>AKH61-AKI61</f>
        <v/>
      </c>
      <c r="AKK61" s="12">
        <f>ROUND(AKI61*EssentialMix,0)</f>
        <v/>
      </c>
      <c r="AKL61" s="12">
        <f>ROUND(AKI61*PremiumMix,0)</f>
        <v/>
      </c>
      <c r="AKM61" s="12">
        <f>AKI61-AKK61-AKL61</f>
        <v/>
      </c>
      <c r="AKN61" s="12">
        <f>ROUND(AKJ61*EssentialMix,0)</f>
        <v/>
      </c>
      <c r="AKO61" s="12">
        <f>ROUND(AKJ61*PremiumMix,0)</f>
        <v/>
      </c>
      <c r="AKP61" s="12">
        <f>AKJ61-AKN61-AKO61</f>
        <v/>
      </c>
      <c r="AKQ61" s="12">
        <f>AKK61+AKK60+AKK59+MAX(0,AKQ60-AKK60-AKK59)*(1-AKD61)</f>
        <v/>
      </c>
      <c r="AKR61" s="12">
        <f>AKL61+AKL60+AKL59+MAX(0,AKR60-AKL60-AKL59)*(1-AKD61)</f>
        <v/>
      </c>
      <c r="AKS61" s="12">
        <f>AKM61+AKM60+AKM59+MAX(0,AKS60-AKM60-AKM59)*(1-AKD61)</f>
        <v/>
      </c>
      <c r="AKT61" s="12">
        <f>AKT60+AKN61-AKN49*(AnnualChurn*VLOOKUP(AJZ61,ChurnSeasonTable,4,FALSE))*POWER(1-(AnnualChurn*VLOOKUP(AJZ61,ChurnSeasonTable,4,FALSE)),0)+AKN37*(AnnualChurn*VLOOKUP(AJZ61,ChurnSeasonTable,4,FALSE))*POWER(1-(AnnualChurn*VLOOKUP(AJZ61,ChurnSeasonTable,4,FALSE)),1)+AKN25*(AnnualChurn*VLOOKUP(AJZ61,ChurnSeasonTable,4,FALSE))*POWER(1-(AnnualChurn*VLOOKUP(AJZ61,ChurnSeasonTable,4,FALSE)),2)+AKN13*(AnnualChurn*VLOOKUP(AJZ61,ChurnSeasonTable,4,FALSE))*POWER(1-(AnnualChurn*VLOOKUP(AJZ61,ChurnSeasonTable,4,FALSE)),3)</f>
        <v/>
      </c>
      <c r="AKU61" s="12">
        <f>AKU60+AKO61-AKO49*(AnnualChurn*VLOOKUP(AJZ61,ChurnSeasonTable,4,FALSE))*POWER(1-(AnnualChurn*VLOOKUP(AJZ61,ChurnSeasonTable,4,FALSE)),0)+AKO37*(AnnualChurn*VLOOKUP(AJZ61,ChurnSeasonTable,4,FALSE))*POWER(1-(AnnualChurn*VLOOKUP(AJZ61,ChurnSeasonTable,4,FALSE)),1)+AKO25*(AnnualChurn*VLOOKUP(AJZ61,ChurnSeasonTable,4,FALSE))*POWER(1-(AnnualChurn*VLOOKUP(AJZ61,ChurnSeasonTable,4,FALSE)),2)+AKO13*(AnnualChurn*VLOOKUP(AJZ61,ChurnSeasonTable,4,FALSE))*POWER(1-(AnnualChurn*VLOOKUP(AJZ61,ChurnSeasonTable,4,FALSE)),3)</f>
        <v/>
      </c>
      <c r="AKV61" s="12">
        <f>AKV60+AKP61-AKP49*(AnnualChurn*VLOOKUP(AJZ61,ChurnSeasonTable,4,FALSE))*POWER(1-(AnnualChurn*VLOOKUP(AJZ61,ChurnSeasonTable,4,FALSE)),0)+AKP37*(AnnualChurn*VLOOKUP(AJZ61,ChurnSeasonTable,4,FALSE))*POWER(1-(AnnualChurn*VLOOKUP(AJZ61,ChurnSeasonTable,4,FALSE)),1)+AKP25*(AnnualChurn*VLOOKUP(AJZ61,ChurnSeasonTable,4,FALSE))*POWER(1-(AnnualChurn*VLOOKUP(AJZ61,ChurnSeasonTable,4,FALSE)),2)+AKP13*(AnnualChurn*VLOOKUP(AJZ61,ChurnSeasonTable,4,FALSE))*POWER(1-(AnnualChurn*VLOOKUP(AJZ61,ChurnSeasonTable,4,FALSE)),3)</f>
        <v/>
      </c>
      <c r="AKW61" s="12">
        <f>AKQ61+AKR61+AKS61+AKT61+AKU61+AKV61</f>
        <v/>
      </c>
      <c r="AKX61" s="9">
        <f>AKQ61*BlendedPriceEssMonthly*AKC61+AKR61*BlendedPricePremMonthly*AKC61+AKS61*BlendedPriceEliteMonthly*AKC61+AKT61*BlendedPriceEssAnnual*AKC61/12+AKU61*BlendedPricePremAnnual*AKC61/12+AKV61*BlendedPriceEliteAnnual*AKC61/12</f>
        <v/>
      </c>
      <c r="AKY61" s="9">
        <f>AKX61*12</f>
        <v/>
      </c>
      <c r="AKZ61" s="12">
        <f>AKQ61*BlendedPriceEssMonthly*AKC61+AKR61*BlendedPricePremMonthly*AKC61+AKS61*BlendedPriceEliteMonthly*AKC61</f>
        <v/>
      </c>
      <c r="ALA61" s="12">
        <f>AKN61*BlendedPriceEssAnnual*AKC61+AKO61*BlendedPricePremAnnual*AKC61+AKP61*BlendedPriceEliteAnnual*AKC61</f>
        <v/>
      </c>
      <c r="ALB61" s="12">
        <f>AKN49*POWER(1-(AnnualChurn*VLOOKUP(AJZ61,ChurnSeasonTable,4,FALSE)),1)*BlendedPriceEssAnnual*AKC61+AKN37*POWER(1-(AnnualChurn*VLOOKUP(AJZ61,ChurnSeasonTable,4,FALSE)),2)*BlendedPriceEssAnnual*AKC61+AKN25*POWER(1-(AnnualChurn*VLOOKUP(AJZ61,ChurnSeasonTable,4,FALSE)),3)*BlendedPriceEssAnnual*AKC61+AKN13*POWER(1-(AnnualChurn*VLOOKUP(AJZ61,ChurnSeasonTable,4,FALSE)),4)*BlendedPriceEssAnnual*AKC61+AKO49*POWER(1-(AnnualChurn*VLOOKUP(AJZ61,ChurnSeasonTable,4,FALSE)),1)*BlendedPricePremAnnual*AKC61+AKO37*POWER(1-(AnnualChurn*VLOOKUP(AJZ61,ChurnSeasonTable,4,FALSE)),2)*BlendedPricePremAnnual*AKC61+AKO25*POWER(1-(AnnualChurn*VLOOKUP(AJZ61,ChurnSeasonTable,4,FALSE)),3)*BlendedPricePremAnnual*AKC61+AKO13*POWER(1-(AnnualChurn*VLOOKUP(AJZ61,ChurnSeasonTable,4,FALSE)),4)*BlendedPricePremAnnual*AKC61+AKP49*POWER(1-(AnnualChurn*VLOOKUP(AJZ61,ChurnSeasonTable,4,FALSE)),1)*BlendedPriceEliteAnnual*AKC61+AKP37*POWER(1-(AnnualChurn*VLOOKUP(AJZ61,ChurnSeasonTable,4,FALSE)),2)*BlendedPriceEliteAnnual*AKC61+AKP25*POWER(1-(AnnualChurn*VLOOKUP(AJZ61,ChurnSeasonTable,4,FALSE)),3)*BlendedPriceEliteAnnual*AKC61+AKP13*POWER(1-(AnnualChurn*VLOOKUP(AJZ61,ChurnSeasonTable,4,FALSE)),4)*BlendedPriceEliteAnnual*AKC61</f>
        <v/>
      </c>
      <c r="ALC61" s="9">
        <f>AKZ61+ALA61+ALB61</f>
        <v/>
      </c>
      <c r="ALD61" s="12">
        <f>SUM(ALC50:ALC61)</f>
        <v/>
      </c>
      <c r="ALE61" s="12">
        <f>OR(ALE60,IF(VATAgentMode,SUM($ALC50:$ALC61)-SUM($ALJ50:$ALJ61)&gt;=VATThreshold,SUM($ALC50:$ALC61)&gt;=VATThreshold))</f>
        <v/>
      </c>
      <c r="ALF61" s="9">
        <f>IF(ALE61,IF(VATAgentMode,ALC61-((ALC61-ALJ61)-(ALC61-ALJ61)/(1+VATRate)),ALC61/(1+VATRate)),ALC61)</f>
        <v/>
      </c>
      <c r="ALG61" s="12">
        <f>ALC61-ALF61</f>
        <v/>
      </c>
      <c r="ALH61" s="12">
        <f>IF(ALE61=0,0,IF(AJZ61=1,SUMPRODUCT(--(($AKA$5:$AKA61=$AKA61-1)*($AJZ$5:$AJZ61&gt;=10)*($AJZ$5:$AJZ61&lt;=12)),$ALG$5:$ALG61),IF(AJZ61=4,SUMPRODUCT(--(($AKA$5:$AKA61=$AKA61)*($AJZ$5:$AJZ61&gt;=1)*($AJZ$5:$AJZ61&lt;=3)),$ALG$5:$ALG61),IF(AJZ61=7,SUMPRODUCT(--(($AKA$5:$AKA61=$AKA61)*($AJZ$5:$AJZ61&gt;=4)*($AJZ$5:$AJZ61&lt;=6)),$ALG$5:$ALG61),IF(AJZ61=10,SUMPRODUCT(--(($AKA$5:$AKA61=$AKA61)*($AJZ$5:$AJZ61&gt;=7)*($AJZ$5:$AJZ61&lt;=9)),$ALG$5:$ALG61),0)))))</f>
        <v/>
      </c>
      <c r="ALI61" s="12">
        <f>ALI60+ALG61-ALH61</f>
        <v/>
      </c>
      <c r="ALJ61" s="12">
        <f>IF(ProviderDelay&gt;=1,AKQ60*BlendedProvPayEss+AKR60*BlendedProvPayPrem+AKS60*BlendedProvPayElite+AKT60*BlendedProvPayEss+AKU60*BlendedProvPayPrem+AKV60*BlendedProvPayElite,AKQ61*BlendedProvPayEss+AKR61*BlendedProvPayPrem+AKS61*BlendedProvPayElite+AKT61*BlendedProvPayEss+AKU61*BlendedProvPayPrem+AKV61*BlendedProvPayElite)</f>
        <v/>
      </c>
      <c r="ALK61" s="12">
        <f>ALC61*PaymentFee</f>
        <v/>
      </c>
      <c r="ALL61" s="12">
        <f>AKW61*OpsAI</f>
        <v/>
      </c>
      <c r="ALM61" s="12">
        <f>MonthlyFixed</f>
        <v/>
      </c>
      <c r="ALN61" s="12">
        <f>AKG61*ReferralReward</f>
        <v/>
      </c>
      <c r="ALO61" s="12">
        <f>AKE61</f>
        <v/>
      </c>
      <c r="ALP61" s="9">
        <f>ALF61-ALJ61-ALK61-ALL61-ALM61-ALN61-ALO61</f>
        <v/>
      </c>
      <c r="ALQ61" s="9">
        <f>ALQ60+ALC61-(ALJ61+ALK61+ALL61+ALM61+ALN61+ALO61+ALH61)</f>
        <v/>
      </c>
      <c r="ALR61" s="12">
        <f>IF(AKW61&gt;0,AKX61/AKW61,0)</f>
        <v/>
      </c>
      <c r="ALS61" s="11">
        <f>IF(AKW60&gt;0,MAX(0,(AKW60+AKH61-AKW61)/AKW60),0)</f>
        <v/>
      </c>
      <c r="ALU61" s="12" t="n">
        <v>57</v>
      </c>
      <c r="ALV61" s="12">
        <f>MOD(ALU61-1+LaunchMonth-1,12)+1</f>
        <v/>
      </c>
      <c r="ALW61" s="12">
        <f>INT((ALU61-1+LaunchMonth-1)/12)+1</f>
        <v/>
      </c>
      <c r="ALX61" s="12">
        <f>VLOOKUP(ALV61,SeasonTable,2,FALSE)</f>
        <v/>
      </c>
      <c r="ALY61" s="12">
        <f>(1+InflationRate)^INT((ALU61-1)/12)</f>
        <v/>
      </c>
      <c r="ALZ61" s="11">
        <f>MonthlyChurn*VLOOKUP(ALV61,ChurnSeasonTable,4,FALSE)</f>
        <v/>
      </c>
      <c r="AMA61" s="12">
        <f>MIN(MAX(MktMin19plus,AMY60*MktPct19plus),MAX(0,ANM60-CashBuffer))</f>
        <v/>
      </c>
      <c r="AMB61" s="12">
        <f>IF(AMA61&gt;0,MAX(1,ROUND(AMA61/'Sens - CAC &amp; Marketing'!$A$11*ALX61,0)),0)</f>
        <v/>
      </c>
      <c r="AMC61" s="12">
        <f>IF(AMB61&gt;0,ROUND(AMB61*ReferralMix/(1-ReferralMix),0),0)</f>
        <v/>
      </c>
      <c r="AMD61" s="12">
        <f>AMB61+AMC61</f>
        <v/>
      </c>
      <c r="AME61" s="12">
        <f>ROUND(AMD61*(1-AnnualMix),0)</f>
        <v/>
      </c>
      <c r="AMF61" s="12">
        <f>AMD61-AME61</f>
        <v/>
      </c>
      <c r="AMG61" s="12">
        <f>ROUND(AME61*EssentialMix,0)</f>
        <v/>
      </c>
      <c r="AMH61" s="12">
        <f>ROUND(AME61*PremiumMix,0)</f>
        <v/>
      </c>
      <c r="AMI61" s="12">
        <f>AME61-AMG61-AMH61</f>
        <v/>
      </c>
      <c r="AMJ61" s="12">
        <f>ROUND(AMF61*EssentialMix,0)</f>
        <v/>
      </c>
      <c r="AMK61" s="12">
        <f>ROUND(AMF61*PremiumMix,0)</f>
        <v/>
      </c>
      <c r="AML61" s="12">
        <f>AMF61-AMJ61-AMK61</f>
        <v/>
      </c>
      <c r="AMM61" s="12">
        <f>AMG61+AMG60+AMG59+MAX(0,AMM60-AMG60-AMG59)*(1-ALZ61)</f>
        <v/>
      </c>
      <c r="AMN61" s="12">
        <f>AMH61+AMH60+AMH59+MAX(0,AMN60-AMH60-AMH59)*(1-ALZ61)</f>
        <v/>
      </c>
      <c r="AMO61" s="12">
        <f>AMI61+AMI60+AMI59+MAX(0,AMO60-AMI60-AMI59)*(1-ALZ61)</f>
        <v/>
      </c>
      <c r="AMP61" s="12">
        <f>AMP60+AMJ61-AMJ49*(AnnualChurn*VLOOKUP(ALV61,ChurnSeasonTable,4,FALSE))*POWER(1-(AnnualChurn*VLOOKUP(ALV61,ChurnSeasonTable,4,FALSE)),0)+AMJ37*(AnnualChurn*VLOOKUP(ALV61,ChurnSeasonTable,4,FALSE))*POWER(1-(AnnualChurn*VLOOKUP(ALV61,ChurnSeasonTable,4,FALSE)),1)+AMJ25*(AnnualChurn*VLOOKUP(ALV61,ChurnSeasonTable,4,FALSE))*POWER(1-(AnnualChurn*VLOOKUP(ALV61,ChurnSeasonTable,4,FALSE)),2)+AMJ13*(AnnualChurn*VLOOKUP(ALV61,ChurnSeasonTable,4,FALSE))*POWER(1-(AnnualChurn*VLOOKUP(ALV61,ChurnSeasonTable,4,FALSE)),3)</f>
        <v/>
      </c>
      <c r="AMQ61" s="12">
        <f>AMQ60+AMK61-AMK49*(AnnualChurn*VLOOKUP(ALV61,ChurnSeasonTable,4,FALSE))*POWER(1-(AnnualChurn*VLOOKUP(ALV61,ChurnSeasonTable,4,FALSE)),0)+AMK37*(AnnualChurn*VLOOKUP(ALV61,ChurnSeasonTable,4,FALSE))*POWER(1-(AnnualChurn*VLOOKUP(ALV61,ChurnSeasonTable,4,FALSE)),1)+AMK25*(AnnualChurn*VLOOKUP(ALV61,ChurnSeasonTable,4,FALSE))*POWER(1-(AnnualChurn*VLOOKUP(ALV61,ChurnSeasonTable,4,FALSE)),2)+AMK13*(AnnualChurn*VLOOKUP(ALV61,ChurnSeasonTable,4,FALSE))*POWER(1-(AnnualChurn*VLOOKUP(ALV61,ChurnSeasonTable,4,FALSE)),3)</f>
        <v/>
      </c>
      <c r="AMR61" s="12">
        <f>AMR60+AML61-AML49*(AnnualChurn*VLOOKUP(ALV61,ChurnSeasonTable,4,FALSE))*POWER(1-(AnnualChurn*VLOOKUP(ALV61,ChurnSeasonTable,4,FALSE)),0)+AML37*(AnnualChurn*VLOOKUP(ALV61,ChurnSeasonTable,4,FALSE))*POWER(1-(AnnualChurn*VLOOKUP(ALV61,ChurnSeasonTable,4,FALSE)),1)+AML25*(AnnualChurn*VLOOKUP(ALV61,ChurnSeasonTable,4,FALSE))*POWER(1-(AnnualChurn*VLOOKUP(ALV61,ChurnSeasonTable,4,FALSE)),2)+AML13*(AnnualChurn*VLOOKUP(ALV61,ChurnSeasonTable,4,FALSE))*POWER(1-(AnnualChurn*VLOOKUP(ALV61,ChurnSeasonTable,4,FALSE)),3)</f>
        <v/>
      </c>
      <c r="AMS61" s="12">
        <f>AMM61+AMN61+AMO61+AMP61+AMQ61+AMR61</f>
        <v/>
      </c>
      <c r="AMT61" s="9">
        <f>AMM61*BlendedPriceEssMonthly*ALY61+AMN61*BlendedPricePremMonthly*ALY61+AMO61*BlendedPriceEliteMonthly*ALY61+AMP61*BlendedPriceEssAnnual*ALY61/12+AMQ61*BlendedPricePremAnnual*ALY61/12+AMR61*BlendedPriceEliteAnnual*ALY61/12</f>
        <v/>
      </c>
      <c r="AMU61" s="9">
        <f>AMT61*12</f>
        <v/>
      </c>
      <c r="AMV61" s="12">
        <f>AMM61*BlendedPriceEssMonthly*ALY61+AMN61*BlendedPricePremMonthly*ALY61+AMO61*BlendedPriceEliteMonthly*ALY61</f>
        <v/>
      </c>
      <c r="AMW61" s="12">
        <f>AMJ61*BlendedPriceEssAnnual*ALY61+AMK61*BlendedPricePremAnnual*ALY61+AML61*BlendedPriceEliteAnnual*ALY61</f>
        <v/>
      </c>
      <c r="AMX61" s="12">
        <f>AMJ49*POWER(1-(AnnualChurn*VLOOKUP(ALV61,ChurnSeasonTable,4,FALSE)),1)*BlendedPriceEssAnnual*ALY61+AMJ37*POWER(1-(AnnualChurn*VLOOKUP(ALV61,ChurnSeasonTable,4,FALSE)),2)*BlendedPriceEssAnnual*ALY61+AMJ25*POWER(1-(AnnualChurn*VLOOKUP(ALV61,ChurnSeasonTable,4,FALSE)),3)*BlendedPriceEssAnnual*ALY61+AMJ13*POWER(1-(AnnualChurn*VLOOKUP(ALV61,ChurnSeasonTable,4,FALSE)),4)*BlendedPriceEssAnnual*ALY61+AMK49*POWER(1-(AnnualChurn*VLOOKUP(ALV61,ChurnSeasonTable,4,FALSE)),1)*BlendedPricePremAnnual*ALY61+AMK37*POWER(1-(AnnualChurn*VLOOKUP(ALV61,ChurnSeasonTable,4,FALSE)),2)*BlendedPricePremAnnual*ALY61+AMK25*POWER(1-(AnnualChurn*VLOOKUP(ALV61,ChurnSeasonTable,4,FALSE)),3)*BlendedPricePremAnnual*ALY61+AMK13*POWER(1-(AnnualChurn*VLOOKUP(ALV61,ChurnSeasonTable,4,FALSE)),4)*BlendedPricePremAnnual*ALY61+AML49*POWER(1-(AnnualChurn*VLOOKUP(ALV61,ChurnSeasonTable,4,FALSE)),1)*BlendedPriceEliteAnnual*ALY61+AML37*POWER(1-(AnnualChurn*VLOOKUP(ALV61,ChurnSeasonTable,4,FALSE)),2)*BlendedPriceEliteAnnual*ALY61+AML25*POWER(1-(AnnualChurn*VLOOKUP(ALV61,ChurnSeasonTable,4,FALSE)),3)*BlendedPriceEliteAnnual*ALY61+AML13*POWER(1-(AnnualChurn*VLOOKUP(ALV61,ChurnSeasonTable,4,FALSE)),4)*BlendedPriceEliteAnnual*ALY61</f>
        <v/>
      </c>
      <c r="AMY61" s="9">
        <f>AMV61+AMW61+AMX61</f>
        <v/>
      </c>
      <c r="AMZ61" s="12">
        <f>SUM(AMY50:AMY61)</f>
        <v/>
      </c>
      <c r="ANA61" s="12">
        <f>OR(ANA60,IF(VATAgentMode,SUM($AMY50:$AMY61)-SUM($ANF50:$ANF61)&gt;=VATThreshold,SUM($AMY50:$AMY61)&gt;=VATThreshold))</f>
        <v/>
      </c>
      <c r="ANB61" s="9">
        <f>IF(ANA61,IF(VATAgentMode,AMY61-((AMY61-ANF61)-(AMY61-ANF61)/(1+VATRate)),AMY61/(1+VATRate)),AMY61)</f>
        <v/>
      </c>
      <c r="ANC61" s="12">
        <f>AMY61-ANB61</f>
        <v/>
      </c>
      <c r="AND61" s="12">
        <f>IF(ANA61=0,0,IF(ALV61=1,SUMPRODUCT(--(($ALW$5:$ALW61=$ALW61-1)*($ALV$5:$ALV61&gt;=10)*($ALV$5:$ALV61&lt;=12)),$ANC$5:$ANC61),IF(ALV61=4,SUMPRODUCT(--(($ALW$5:$ALW61=$ALW61)*($ALV$5:$ALV61&gt;=1)*($ALV$5:$ALV61&lt;=3)),$ANC$5:$ANC61),IF(ALV61=7,SUMPRODUCT(--(($ALW$5:$ALW61=$ALW61)*($ALV$5:$ALV61&gt;=4)*($ALV$5:$ALV61&lt;=6)),$ANC$5:$ANC61),IF(ALV61=10,SUMPRODUCT(--(($ALW$5:$ALW61=$ALW61)*($ALV$5:$ALV61&gt;=7)*($ALV$5:$ALV61&lt;=9)),$ANC$5:$ANC61),0)))))</f>
        <v/>
      </c>
      <c r="ANE61" s="12">
        <f>ANE60+ANC61-AND61</f>
        <v/>
      </c>
      <c r="ANF61" s="12">
        <f>IF(ProviderDelay&gt;=1,AMM60*BlendedProvPayEss+AMN60*BlendedProvPayPrem+AMO60*BlendedProvPayElite+AMP60*BlendedProvPayEss+AMQ60*BlendedProvPayPrem+AMR60*BlendedProvPayElite,AMM61*BlendedProvPayEss+AMN61*BlendedProvPayPrem+AMO61*BlendedProvPayElite+AMP61*BlendedProvPayEss+AMQ61*BlendedProvPayPrem+AMR61*BlendedProvPayElite)</f>
        <v/>
      </c>
      <c r="ANG61" s="12">
        <f>AMY61*PaymentFee</f>
        <v/>
      </c>
      <c r="ANH61" s="12">
        <f>AMS61*OpsAI</f>
        <v/>
      </c>
      <c r="ANI61" s="12">
        <f>MonthlyFixed</f>
        <v/>
      </c>
      <c r="ANJ61" s="12">
        <f>AMC61*ReferralReward</f>
        <v/>
      </c>
      <c r="ANK61" s="12">
        <f>AMA61</f>
        <v/>
      </c>
      <c r="ANL61" s="9">
        <f>ANB61-ANF61-ANG61-ANH61-ANI61-ANJ61-ANK61</f>
        <v/>
      </c>
      <c r="ANM61" s="9">
        <f>ANM60+AMY61-(ANF61+ANG61+ANH61+ANI61+ANJ61+ANK61+AND61)</f>
        <v/>
      </c>
      <c r="ANN61" s="12">
        <f>IF(AMS61&gt;0,AMT61/AMS61,0)</f>
        <v/>
      </c>
      <c r="ANO61" s="11">
        <f>IF(AMS60&gt;0,MAX(0,(AMS60+AMD61-AMS61)/AMS60),0)</f>
        <v/>
      </c>
      <c r="ANQ61" s="12" t="n">
        <v>57</v>
      </c>
      <c r="ANR61" s="12">
        <f>MOD(ANQ61-1+LaunchMonth-1,12)+1</f>
        <v/>
      </c>
      <c r="ANS61" s="12">
        <f>INT((ANQ61-1+LaunchMonth-1)/12)+1</f>
        <v/>
      </c>
      <c r="ANT61" s="12">
        <f>VLOOKUP(ANR61,SeasonTable,2,FALSE)</f>
        <v/>
      </c>
      <c r="ANU61" s="12">
        <f>(1+InflationRate)^INT((ANQ61-1)/12)</f>
        <v/>
      </c>
      <c r="ANV61" s="11">
        <f>MonthlyChurn*VLOOKUP(ANR61,ChurnSeasonTable,4,FALSE)</f>
        <v/>
      </c>
      <c r="ANW61" s="12">
        <f>MIN(MAX(MktMin19plus,AOU60*MktPct19plus),MAX(0,API60-CashBuffer))</f>
        <v/>
      </c>
      <c r="ANX61" s="12">
        <f>IF(ANW61&gt;0,MAX(1,ROUND(ANW61/'Sens - CAC &amp; Marketing'!$A$12*ANT61,0)),0)</f>
        <v/>
      </c>
      <c r="ANY61" s="12">
        <f>IF(ANX61&gt;0,ROUND(ANX61*ReferralMix/(1-ReferralMix),0),0)</f>
        <v/>
      </c>
      <c r="ANZ61" s="12">
        <f>ANX61+ANY61</f>
        <v/>
      </c>
      <c r="AOA61" s="12">
        <f>ROUND(ANZ61*(1-AnnualMix),0)</f>
        <v/>
      </c>
      <c r="AOB61" s="12">
        <f>ANZ61-AOA61</f>
        <v/>
      </c>
      <c r="AOC61" s="12">
        <f>ROUND(AOA61*EssentialMix,0)</f>
        <v/>
      </c>
      <c r="AOD61" s="12">
        <f>ROUND(AOA61*PremiumMix,0)</f>
        <v/>
      </c>
      <c r="AOE61" s="12">
        <f>AOA61-AOC61-AOD61</f>
        <v/>
      </c>
      <c r="AOF61" s="12">
        <f>ROUND(AOB61*EssentialMix,0)</f>
        <v/>
      </c>
      <c r="AOG61" s="12">
        <f>ROUND(AOB61*PremiumMix,0)</f>
        <v/>
      </c>
      <c r="AOH61" s="12">
        <f>AOB61-AOF61-AOG61</f>
        <v/>
      </c>
      <c r="AOI61" s="12">
        <f>AOC61+AOC60+AOC59+MAX(0,AOI60-AOC60-AOC59)*(1-ANV61)</f>
        <v/>
      </c>
      <c r="AOJ61" s="12">
        <f>AOD61+AOD60+AOD59+MAX(0,AOJ60-AOD60-AOD59)*(1-ANV61)</f>
        <v/>
      </c>
      <c r="AOK61" s="12">
        <f>AOE61+AOE60+AOE59+MAX(0,AOK60-AOE60-AOE59)*(1-ANV61)</f>
        <v/>
      </c>
      <c r="AOL61" s="12">
        <f>AOL60+AOF61-AOF49*(AnnualChurn*VLOOKUP(ANR61,ChurnSeasonTable,4,FALSE))*POWER(1-(AnnualChurn*VLOOKUP(ANR61,ChurnSeasonTable,4,FALSE)),0)+AOF37*(AnnualChurn*VLOOKUP(ANR61,ChurnSeasonTable,4,FALSE))*POWER(1-(AnnualChurn*VLOOKUP(ANR61,ChurnSeasonTable,4,FALSE)),1)+AOF25*(AnnualChurn*VLOOKUP(ANR61,ChurnSeasonTable,4,FALSE))*POWER(1-(AnnualChurn*VLOOKUP(ANR61,ChurnSeasonTable,4,FALSE)),2)+AOF13*(AnnualChurn*VLOOKUP(ANR61,ChurnSeasonTable,4,FALSE))*POWER(1-(AnnualChurn*VLOOKUP(ANR61,ChurnSeasonTable,4,FALSE)),3)</f>
        <v/>
      </c>
      <c r="AOM61" s="12">
        <f>AOM60+AOG61-AOG49*(AnnualChurn*VLOOKUP(ANR61,ChurnSeasonTable,4,FALSE))*POWER(1-(AnnualChurn*VLOOKUP(ANR61,ChurnSeasonTable,4,FALSE)),0)+AOG37*(AnnualChurn*VLOOKUP(ANR61,ChurnSeasonTable,4,FALSE))*POWER(1-(AnnualChurn*VLOOKUP(ANR61,ChurnSeasonTable,4,FALSE)),1)+AOG25*(AnnualChurn*VLOOKUP(ANR61,ChurnSeasonTable,4,FALSE))*POWER(1-(AnnualChurn*VLOOKUP(ANR61,ChurnSeasonTable,4,FALSE)),2)+AOG13*(AnnualChurn*VLOOKUP(ANR61,ChurnSeasonTable,4,FALSE))*POWER(1-(AnnualChurn*VLOOKUP(ANR61,ChurnSeasonTable,4,FALSE)),3)</f>
        <v/>
      </c>
      <c r="AON61" s="12">
        <f>AON60+AOH61-AOH49*(AnnualChurn*VLOOKUP(ANR61,ChurnSeasonTable,4,FALSE))*POWER(1-(AnnualChurn*VLOOKUP(ANR61,ChurnSeasonTable,4,FALSE)),0)+AOH37*(AnnualChurn*VLOOKUP(ANR61,ChurnSeasonTable,4,FALSE))*POWER(1-(AnnualChurn*VLOOKUP(ANR61,ChurnSeasonTable,4,FALSE)),1)+AOH25*(AnnualChurn*VLOOKUP(ANR61,ChurnSeasonTable,4,FALSE))*POWER(1-(AnnualChurn*VLOOKUP(ANR61,ChurnSeasonTable,4,FALSE)),2)+AOH13*(AnnualChurn*VLOOKUP(ANR61,ChurnSeasonTable,4,FALSE))*POWER(1-(AnnualChurn*VLOOKUP(ANR61,ChurnSeasonTable,4,FALSE)),3)</f>
        <v/>
      </c>
      <c r="AOO61" s="12">
        <f>AOI61+AOJ61+AOK61+AOL61+AOM61+AON61</f>
        <v/>
      </c>
      <c r="AOP61" s="9">
        <f>AOI61*BlendedPriceEssMonthly*ANU61+AOJ61*BlendedPricePremMonthly*ANU61+AOK61*BlendedPriceEliteMonthly*ANU61+AOL61*BlendedPriceEssAnnual*ANU61/12+AOM61*BlendedPricePremAnnual*ANU61/12+AON61*BlendedPriceEliteAnnual*ANU61/12</f>
        <v/>
      </c>
      <c r="AOQ61" s="9">
        <f>AOP61*12</f>
        <v/>
      </c>
      <c r="AOR61" s="12">
        <f>AOI61*BlendedPriceEssMonthly*ANU61+AOJ61*BlendedPricePremMonthly*ANU61+AOK61*BlendedPriceEliteMonthly*ANU61</f>
        <v/>
      </c>
      <c r="AOS61" s="12">
        <f>AOF61*BlendedPriceEssAnnual*ANU61+AOG61*BlendedPricePremAnnual*ANU61+AOH61*BlendedPriceEliteAnnual*ANU61</f>
        <v/>
      </c>
      <c r="AOT61" s="12">
        <f>AOF49*POWER(1-(AnnualChurn*VLOOKUP(ANR61,ChurnSeasonTable,4,FALSE)),1)*BlendedPriceEssAnnual*ANU61+AOF37*POWER(1-(AnnualChurn*VLOOKUP(ANR61,ChurnSeasonTable,4,FALSE)),2)*BlendedPriceEssAnnual*ANU61+AOF25*POWER(1-(AnnualChurn*VLOOKUP(ANR61,ChurnSeasonTable,4,FALSE)),3)*BlendedPriceEssAnnual*ANU61+AOF13*POWER(1-(AnnualChurn*VLOOKUP(ANR61,ChurnSeasonTable,4,FALSE)),4)*BlendedPriceEssAnnual*ANU61+AOG49*POWER(1-(AnnualChurn*VLOOKUP(ANR61,ChurnSeasonTable,4,FALSE)),1)*BlendedPricePremAnnual*ANU61+AOG37*POWER(1-(AnnualChurn*VLOOKUP(ANR61,ChurnSeasonTable,4,FALSE)),2)*BlendedPricePremAnnual*ANU61+AOG25*POWER(1-(AnnualChurn*VLOOKUP(ANR61,ChurnSeasonTable,4,FALSE)),3)*BlendedPricePremAnnual*ANU61+AOG13*POWER(1-(AnnualChurn*VLOOKUP(ANR61,ChurnSeasonTable,4,FALSE)),4)*BlendedPricePremAnnual*ANU61+AOH49*POWER(1-(AnnualChurn*VLOOKUP(ANR61,ChurnSeasonTable,4,FALSE)),1)*BlendedPriceEliteAnnual*ANU61+AOH37*POWER(1-(AnnualChurn*VLOOKUP(ANR61,ChurnSeasonTable,4,FALSE)),2)*BlendedPriceEliteAnnual*ANU61+AOH25*POWER(1-(AnnualChurn*VLOOKUP(ANR61,ChurnSeasonTable,4,FALSE)),3)*BlendedPriceEliteAnnual*ANU61+AOH13*POWER(1-(AnnualChurn*VLOOKUP(ANR61,ChurnSeasonTable,4,FALSE)),4)*BlendedPriceEliteAnnual*ANU61</f>
        <v/>
      </c>
      <c r="AOU61" s="9">
        <f>AOR61+AOS61+AOT61</f>
        <v/>
      </c>
      <c r="AOV61" s="12">
        <f>SUM(AOU50:AOU61)</f>
        <v/>
      </c>
      <c r="AOW61" s="12">
        <f>OR(AOW60,IF(VATAgentMode,SUM($AOU50:$AOU61)-SUM($APB50:$APB61)&gt;=VATThreshold,SUM($AOU50:$AOU61)&gt;=VATThreshold))</f>
        <v/>
      </c>
      <c r="AOX61" s="9">
        <f>IF(AOW61,IF(VATAgentMode,AOU61-((AOU61-APB61)-(AOU61-APB61)/(1+VATRate)),AOU61/(1+VATRate)),AOU61)</f>
        <v/>
      </c>
      <c r="AOY61" s="12">
        <f>AOU61-AOX61</f>
        <v/>
      </c>
      <c r="AOZ61" s="12">
        <f>IF(AOW61=0,0,IF(ANR61=1,SUMPRODUCT(--(($ANS$5:$ANS61=$ANS61-1)*($ANR$5:$ANR61&gt;=10)*($ANR$5:$ANR61&lt;=12)),$AOY$5:$AOY61),IF(ANR61=4,SUMPRODUCT(--(($ANS$5:$ANS61=$ANS61)*($ANR$5:$ANR61&gt;=1)*($ANR$5:$ANR61&lt;=3)),$AOY$5:$AOY61),IF(ANR61=7,SUMPRODUCT(--(($ANS$5:$ANS61=$ANS61)*($ANR$5:$ANR61&gt;=4)*($ANR$5:$ANR61&lt;=6)),$AOY$5:$AOY61),IF(ANR61=10,SUMPRODUCT(--(($ANS$5:$ANS61=$ANS61)*($ANR$5:$ANR61&gt;=7)*($ANR$5:$ANR61&lt;=9)),$AOY$5:$AOY61),0)))))</f>
        <v/>
      </c>
      <c r="APA61" s="12">
        <f>APA60+AOY61-AOZ61</f>
        <v/>
      </c>
      <c r="APB61" s="12">
        <f>IF(ProviderDelay&gt;=1,AOI60*BlendedProvPayEss+AOJ60*BlendedProvPayPrem+AOK60*BlendedProvPayElite+AOL60*BlendedProvPayEss+AOM60*BlendedProvPayPrem+AON60*BlendedProvPayElite,AOI61*BlendedProvPayEss+AOJ61*BlendedProvPayPrem+AOK61*BlendedProvPayElite+AOL61*BlendedProvPayEss+AOM61*BlendedProvPayPrem+AON61*BlendedProvPayElite)</f>
        <v/>
      </c>
      <c r="APC61" s="12">
        <f>AOU61*PaymentFee</f>
        <v/>
      </c>
      <c r="APD61" s="12">
        <f>AOO61*OpsAI</f>
        <v/>
      </c>
      <c r="APE61" s="12">
        <f>MonthlyFixed</f>
        <v/>
      </c>
      <c r="APF61" s="12">
        <f>ANY61*ReferralReward</f>
        <v/>
      </c>
      <c r="APG61" s="12">
        <f>ANW61</f>
        <v/>
      </c>
      <c r="APH61" s="9">
        <f>AOX61-APB61-APC61-APD61-APE61-APF61-APG61</f>
        <v/>
      </c>
      <c r="API61" s="9">
        <f>API60+AOU61-(APB61+APC61+APD61+APE61+APF61+APG61+AOZ61)</f>
        <v/>
      </c>
      <c r="APJ61" s="12">
        <f>IF(AOO61&gt;0,AOP61/AOO61,0)</f>
        <v/>
      </c>
      <c r="APK61" s="11">
        <f>IF(AOO60&gt;0,MAX(0,(AOO60+ANZ61-AOO61)/AOO60),0)</f>
        <v/>
      </c>
      <c r="APM61" s="12" t="n">
        <v>57</v>
      </c>
      <c r="APN61" s="12">
        <f>MOD(APM61-1+LaunchMonth-1,12)+1</f>
        <v/>
      </c>
      <c r="APO61" s="12">
        <f>INT((APM61-1+LaunchMonth-1)/12)+1</f>
        <v/>
      </c>
      <c r="APP61" s="12">
        <f>VLOOKUP(APN61,SeasonTable,2,FALSE)</f>
        <v/>
      </c>
      <c r="APQ61" s="12">
        <f>(1+InflationRate)^INT((APM61-1)/12)</f>
        <v/>
      </c>
      <c r="APR61" s="11">
        <f>MonthlyChurn*VLOOKUP(APN61,ChurnSeasonTable,4,FALSE)</f>
        <v/>
      </c>
      <c r="APS61" s="12">
        <f>MIN(MAX(MktMin19plus,AQQ60*MktPct19plus),MAX(0,ARE60-CashBuffer))</f>
        <v/>
      </c>
      <c r="APT61" s="12">
        <f>IF(APS61&gt;0,MAX(1,ROUND(APS61/'Sens - CAC &amp; Marketing'!$A$13*APP61,0)),0)</f>
        <v/>
      </c>
      <c r="APU61" s="12">
        <f>IF(APT61&gt;0,ROUND(APT61*ReferralMix/(1-ReferralMix),0),0)</f>
        <v/>
      </c>
      <c r="APV61" s="12">
        <f>APT61+APU61</f>
        <v/>
      </c>
      <c r="APW61" s="12">
        <f>ROUND(APV61*(1-AnnualMix),0)</f>
        <v/>
      </c>
      <c r="APX61" s="12">
        <f>APV61-APW61</f>
        <v/>
      </c>
      <c r="APY61" s="12">
        <f>ROUND(APW61*EssentialMix,0)</f>
        <v/>
      </c>
      <c r="APZ61" s="12">
        <f>ROUND(APW61*PremiumMix,0)</f>
        <v/>
      </c>
      <c r="AQA61" s="12">
        <f>APW61-APY61-APZ61</f>
        <v/>
      </c>
      <c r="AQB61" s="12">
        <f>ROUND(APX61*EssentialMix,0)</f>
        <v/>
      </c>
      <c r="AQC61" s="12">
        <f>ROUND(APX61*PremiumMix,0)</f>
        <v/>
      </c>
      <c r="AQD61" s="12">
        <f>APX61-AQB61-AQC61</f>
        <v/>
      </c>
      <c r="AQE61" s="12">
        <f>APY61+APY60+APY59+MAX(0,AQE60-APY60-APY59)*(1-APR61)</f>
        <v/>
      </c>
      <c r="AQF61" s="12">
        <f>APZ61+APZ60+APZ59+MAX(0,AQF60-APZ60-APZ59)*(1-APR61)</f>
        <v/>
      </c>
      <c r="AQG61" s="12">
        <f>AQA61+AQA60+AQA59+MAX(0,AQG60-AQA60-AQA59)*(1-APR61)</f>
        <v/>
      </c>
      <c r="AQH61" s="12">
        <f>AQH60+AQB61-AQB49*(AnnualChurn*VLOOKUP(APN61,ChurnSeasonTable,4,FALSE))*POWER(1-(AnnualChurn*VLOOKUP(APN61,ChurnSeasonTable,4,FALSE)),0)+AQB37*(AnnualChurn*VLOOKUP(APN61,ChurnSeasonTable,4,FALSE))*POWER(1-(AnnualChurn*VLOOKUP(APN61,ChurnSeasonTable,4,FALSE)),1)+AQB25*(AnnualChurn*VLOOKUP(APN61,ChurnSeasonTable,4,FALSE))*POWER(1-(AnnualChurn*VLOOKUP(APN61,ChurnSeasonTable,4,FALSE)),2)+AQB13*(AnnualChurn*VLOOKUP(APN61,ChurnSeasonTable,4,FALSE))*POWER(1-(AnnualChurn*VLOOKUP(APN61,ChurnSeasonTable,4,FALSE)),3)</f>
        <v/>
      </c>
      <c r="AQI61" s="12">
        <f>AQI60+AQC61-AQC49*(AnnualChurn*VLOOKUP(APN61,ChurnSeasonTable,4,FALSE))*POWER(1-(AnnualChurn*VLOOKUP(APN61,ChurnSeasonTable,4,FALSE)),0)+AQC37*(AnnualChurn*VLOOKUP(APN61,ChurnSeasonTable,4,FALSE))*POWER(1-(AnnualChurn*VLOOKUP(APN61,ChurnSeasonTable,4,FALSE)),1)+AQC25*(AnnualChurn*VLOOKUP(APN61,ChurnSeasonTable,4,FALSE))*POWER(1-(AnnualChurn*VLOOKUP(APN61,ChurnSeasonTable,4,FALSE)),2)+AQC13*(AnnualChurn*VLOOKUP(APN61,ChurnSeasonTable,4,FALSE))*POWER(1-(AnnualChurn*VLOOKUP(APN61,ChurnSeasonTable,4,FALSE)),3)</f>
        <v/>
      </c>
      <c r="AQJ61" s="12">
        <f>AQJ60+AQD61-AQD49*(AnnualChurn*VLOOKUP(APN61,ChurnSeasonTable,4,FALSE))*POWER(1-(AnnualChurn*VLOOKUP(APN61,ChurnSeasonTable,4,FALSE)),0)+AQD37*(AnnualChurn*VLOOKUP(APN61,ChurnSeasonTable,4,FALSE))*POWER(1-(AnnualChurn*VLOOKUP(APN61,ChurnSeasonTable,4,FALSE)),1)+AQD25*(AnnualChurn*VLOOKUP(APN61,ChurnSeasonTable,4,FALSE))*POWER(1-(AnnualChurn*VLOOKUP(APN61,ChurnSeasonTable,4,FALSE)),2)+AQD13*(AnnualChurn*VLOOKUP(APN61,ChurnSeasonTable,4,FALSE))*POWER(1-(AnnualChurn*VLOOKUP(APN61,ChurnSeasonTable,4,FALSE)),3)</f>
        <v/>
      </c>
      <c r="AQK61" s="12">
        <f>AQE61+AQF61+AQG61+AQH61+AQI61+AQJ61</f>
        <v/>
      </c>
      <c r="AQL61" s="9">
        <f>AQE61*BlendedPriceEssMonthly*APQ61+AQF61*BlendedPricePremMonthly*APQ61+AQG61*BlendedPriceEliteMonthly*APQ61+AQH61*BlendedPriceEssAnnual*APQ61/12+AQI61*BlendedPricePremAnnual*APQ61/12+AQJ61*BlendedPriceEliteAnnual*APQ61/12</f>
        <v/>
      </c>
      <c r="AQM61" s="9">
        <f>AQL61*12</f>
        <v/>
      </c>
      <c r="AQN61" s="12">
        <f>AQE61*BlendedPriceEssMonthly*APQ61+AQF61*BlendedPricePremMonthly*APQ61+AQG61*BlendedPriceEliteMonthly*APQ61</f>
        <v/>
      </c>
      <c r="AQO61" s="12">
        <f>AQB61*BlendedPriceEssAnnual*APQ61+AQC61*BlendedPricePremAnnual*APQ61+AQD61*BlendedPriceEliteAnnual*APQ61</f>
        <v/>
      </c>
      <c r="AQP61" s="12">
        <f>AQB49*POWER(1-(AnnualChurn*VLOOKUP(APN61,ChurnSeasonTable,4,FALSE)),1)*BlendedPriceEssAnnual*APQ61+AQB37*POWER(1-(AnnualChurn*VLOOKUP(APN61,ChurnSeasonTable,4,FALSE)),2)*BlendedPriceEssAnnual*APQ61+AQB25*POWER(1-(AnnualChurn*VLOOKUP(APN61,ChurnSeasonTable,4,FALSE)),3)*BlendedPriceEssAnnual*APQ61+AQB13*POWER(1-(AnnualChurn*VLOOKUP(APN61,ChurnSeasonTable,4,FALSE)),4)*BlendedPriceEssAnnual*APQ61+AQC49*POWER(1-(AnnualChurn*VLOOKUP(APN61,ChurnSeasonTable,4,FALSE)),1)*BlendedPricePremAnnual*APQ61+AQC37*POWER(1-(AnnualChurn*VLOOKUP(APN61,ChurnSeasonTable,4,FALSE)),2)*BlendedPricePremAnnual*APQ61+AQC25*POWER(1-(AnnualChurn*VLOOKUP(APN61,ChurnSeasonTable,4,FALSE)),3)*BlendedPricePremAnnual*APQ61+AQC13*POWER(1-(AnnualChurn*VLOOKUP(APN61,ChurnSeasonTable,4,FALSE)),4)*BlendedPricePremAnnual*APQ61+AQD49*POWER(1-(AnnualChurn*VLOOKUP(APN61,ChurnSeasonTable,4,FALSE)),1)*BlendedPriceEliteAnnual*APQ61+AQD37*POWER(1-(AnnualChurn*VLOOKUP(APN61,ChurnSeasonTable,4,FALSE)),2)*BlendedPriceEliteAnnual*APQ61+AQD25*POWER(1-(AnnualChurn*VLOOKUP(APN61,ChurnSeasonTable,4,FALSE)),3)*BlendedPriceEliteAnnual*APQ61+AQD13*POWER(1-(AnnualChurn*VLOOKUP(APN61,ChurnSeasonTable,4,FALSE)),4)*BlendedPriceEliteAnnual*APQ61</f>
        <v/>
      </c>
      <c r="AQQ61" s="9">
        <f>AQN61+AQO61+AQP61</f>
        <v/>
      </c>
      <c r="AQR61" s="12">
        <f>SUM(AQQ50:AQQ61)</f>
        <v/>
      </c>
      <c r="AQS61" s="12">
        <f>OR(AQS60,IF(VATAgentMode,SUM($AQQ50:$AQQ61)-SUM($AQX50:$AQX61)&gt;=VATThreshold,SUM($AQQ50:$AQQ61)&gt;=VATThreshold))</f>
        <v/>
      </c>
      <c r="AQT61" s="9">
        <f>IF(AQS61,IF(VATAgentMode,AQQ61-((AQQ61-AQX61)-(AQQ61-AQX61)/(1+VATRate)),AQQ61/(1+VATRate)),AQQ61)</f>
        <v/>
      </c>
      <c r="AQU61" s="12">
        <f>AQQ61-AQT61</f>
        <v/>
      </c>
      <c r="AQV61" s="12">
        <f>IF(AQS61=0,0,IF(APN61=1,SUMPRODUCT(--(($APO$5:$APO61=$APO61-1)*($APN$5:$APN61&gt;=10)*($APN$5:$APN61&lt;=12)),$AQU$5:$AQU61),IF(APN61=4,SUMPRODUCT(--(($APO$5:$APO61=$APO61)*($APN$5:$APN61&gt;=1)*($APN$5:$APN61&lt;=3)),$AQU$5:$AQU61),IF(APN61=7,SUMPRODUCT(--(($APO$5:$APO61=$APO61)*($APN$5:$APN61&gt;=4)*($APN$5:$APN61&lt;=6)),$AQU$5:$AQU61),IF(APN61=10,SUMPRODUCT(--(($APO$5:$APO61=$APO61)*($APN$5:$APN61&gt;=7)*($APN$5:$APN61&lt;=9)),$AQU$5:$AQU61),0)))))</f>
        <v/>
      </c>
      <c r="AQW61" s="12">
        <f>AQW60+AQU61-AQV61</f>
        <v/>
      </c>
      <c r="AQX61" s="12">
        <f>IF(ProviderDelay&gt;=1,AQE60*BlendedProvPayEss+AQF60*BlendedProvPayPrem+AQG60*BlendedProvPayElite+AQH60*BlendedProvPayEss+AQI60*BlendedProvPayPrem+AQJ60*BlendedProvPayElite,AQE61*BlendedProvPayEss+AQF61*BlendedProvPayPrem+AQG61*BlendedProvPayElite+AQH61*BlendedProvPayEss+AQI61*BlendedProvPayPrem+AQJ61*BlendedProvPayElite)</f>
        <v/>
      </c>
      <c r="AQY61" s="12">
        <f>AQQ61*PaymentFee</f>
        <v/>
      </c>
      <c r="AQZ61" s="12">
        <f>AQK61*OpsAI</f>
        <v/>
      </c>
      <c r="ARA61" s="12">
        <f>MonthlyFixed</f>
        <v/>
      </c>
      <c r="ARB61" s="12">
        <f>APU61*ReferralReward</f>
        <v/>
      </c>
      <c r="ARC61" s="12">
        <f>APS61</f>
        <v/>
      </c>
      <c r="ARD61" s="9">
        <f>AQT61-AQX61-AQY61-AQZ61-ARA61-ARB61-ARC61</f>
        <v/>
      </c>
      <c r="ARE61" s="9">
        <f>ARE60+AQQ61-(AQX61+AQY61+AQZ61+ARA61+ARB61+ARC61+AQV61)</f>
        <v/>
      </c>
      <c r="ARF61" s="12">
        <f>IF(AQK61&gt;0,AQL61/AQK61,0)</f>
        <v/>
      </c>
      <c r="ARG61" s="11">
        <f>IF(AQK60&gt;0,MAX(0,(AQK60+APV61-AQK61)/AQK60),0)</f>
        <v/>
      </c>
      <c r="ARI61" s="12" t="n">
        <v>57</v>
      </c>
      <c r="ARJ61" s="12">
        <f>MOD(ARI61-1+LaunchMonth-1,12)+1</f>
        <v/>
      </c>
      <c r="ARK61" s="12">
        <f>INT((ARI61-1+LaunchMonth-1)/12)+1</f>
        <v/>
      </c>
      <c r="ARL61" s="12">
        <f>VLOOKUP(ARJ61,SeasonTable,2,FALSE)</f>
        <v/>
      </c>
      <c r="ARM61" s="12">
        <f>(1+InflationRate)^INT((ARI61-1)/12)</f>
        <v/>
      </c>
      <c r="ARN61" s="11">
        <f>MonthlyChurn*VLOOKUP(ARJ61,ChurnSeasonTable,4,FALSE)</f>
        <v/>
      </c>
      <c r="ARO61" s="12">
        <f>MIN(MAX(MktMin19plus,ASM60*MktPct19plus),MAX(0,ATA60-CashBuffer))</f>
        <v/>
      </c>
      <c r="ARP61" s="12">
        <f>IF(ARO61&gt;0,MAX(1,ROUND(ARO61/'Sens - CAC &amp; Marketing'!$A$14*ARL61,0)),0)</f>
        <v/>
      </c>
      <c r="ARQ61" s="12">
        <f>IF(ARP61&gt;0,ROUND(ARP61*ReferralMix/(1-ReferralMix),0),0)</f>
        <v/>
      </c>
      <c r="ARR61" s="12">
        <f>ARP61+ARQ61</f>
        <v/>
      </c>
      <c r="ARS61" s="12">
        <f>ROUND(ARR61*(1-AnnualMix),0)</f>
        <v/>
      </c>
      <c r="ART61" s="12">
        <f>ARR61-ARS61</f>
        <v/>
      </c>
      <c r="ARU61" s="12">
        <f>ROUND(ARS61*EssentialMix,0)</f>
        <v/>
      </c>
      <c r="ARV61" s="12">
        <f>ROUND(ARS61*PremiumMix,0)</f>
        <v/>
      </c>
      <c r="ARW61" s="12">
        <f>ARS61-ARU61-ARV61</f>
        <v/>
      </c>
      <c r="ARX61" s="12">
        <f>ROUND(ART61*EssentialMix,0)</f>
        <v/>
      </c>
      <c r="ARY61" s="12">
        <f>ROUND(ART61*PremiumMix,0)</f>
        <v/>
      </c>
      <c r="ARZ61" s="12">
        <f>ART61-ARX61-ARY61</f>
        <v/>
      </c>
      <c r="ASA61" s="12">
        <f>ARU61+ARU60+ARU59+MAX(0,ASA60-ARU60-ARU59)*(1-ARN61)</f>
        <v/>
      </c>
      <c r="ASB61" s="12">
        <f>ARV61+ARV60+ARV59+MAX(0,ASB60-ARV60-ARV59)*(1-ARN61)</f>
        <v/>
      </c>
      <c r="ASC61" s="12">
        <f>ARW61+ARW60+ARW59+MAX(0,ASC60-ARW60-ARW59)*(1-ARN61)</f>
        <v/>
      </c>
      <c r="ASD61" s="12">
        <f>ASD60+ARX61-ARX49*(AnnualChurn*VLOOKUP(ARJ61,ChurnSeasonTable,4,FALSE))*POWER(1-(AnnualChurn*VLOOKUP(ARJ61,ChurnSeasonTable,4,FALSE)),0)+ARX37*(AnnualChurn*VLOOKUP(ARJ61,ChurnSeasonTable,4,FALSE))*POWER(1-(AnnualChurn*VLOOKUP(ARJ61,ChurnSeasonTable,4,FALSE)),1)+ARX25*(AnnualChurn*VLOOKUP(ARJ61,ChurnSeasonTable,4,FALSE))*POWER(1-(AnnualChurn*VLOOKUP(ARJ61,ChurnSeasonTable,4,FALSE)),2)+ARX13*(AnnualChurn*VLOOKUP(ARJ61,ChurnSeasonTable,4,FALSE))*POWER(1-(AnnualChurn*VLOOKUP(ARJ61,ChurnSeasonTable,4,FALSE)),3)</f>
        <v/>
      </c>
      <c r="ASE61" s="12">
        <f>ASE60+ARY61-ARY49*(AnnualChurn*VLOOKUP(ARJ61,ChurnSeasonTable,4,FALSE))*POWER(1-(AnnualChurn*VLOOKUP(ARJ61,ChurnSeasonTable,4,FALSE)),0)+ARY37*(AnnualChurn*VLOOKUP(ARJ61,ChurnSeasonTable,4,FALSE))*POWER(1-(AnnualChurn*VLOOKUP(ARJ61,ChurnSeasonTable,4,FALSE)),1)+ARY25*(AnnualChurn*VLOOKUP(ARJ61,ChurnSeasonTable,4,FALSE))*POWER(1-(AnnualChurn*VLOOKUP(ARJ61,ChurnSeasonTable,4,FALSE)),2)+ARY13*(AnnualChurn*VLOOKUP(ARJ61,ChurnSeasonTable,4,FALSE))*POWER(1-(AnnualChurn*VLOOKUP(ARJ61,ChurnSeasonTable,4,FALSE)),3)</f>
        <v/>
      </c>
      <c r="ASF61" s="12">
        <f>ASF60+ARZ61-ARZ49*(AnnualChurn*VLOOKUP(ARJ61,ChurnSeasonTable,4,FALSE))*POWER(1-(AnnualChurn*VLOOKUP(ARJ61,ChurnSeasonTable,4,FALSE)),0)+ARZ37*(AnnualChurn*VLOOKUP(ARJ61,ChurnSeasonTable,4,FALSE))*POWER(1-(AnnualChurn*VLOOKUP(ARJ61,ChurnSeasonTable,4,FALSE)),1)+ARZ25*(AnnualChurn*VLOOKUP(ARJ61,ChurnSeasonTable,4,FALSE))*POWER(1-(AnnualChurn*VLOOKUP(ARJ61,ChurnSeasonTable,4,FALSE)),2)+ARZ13*(AnnualChurn*VLOOKUP(ARJ61,ChurnSeasonTable,4,FALSE))*POWER(1-(AnnualChurn*VLOOKUP(ARJ61,ChurnSeasonTable,4,FALSE)),3)</f>
        <v/>
      </c>
      <c r="ASG61" s="12">
        <f>ASA61+ASB61+ASC61+ASD61+ASE61+ASF61</f>
        <v/>
      </c>
      <c r="ASH61" s="9">
        <f>ASA61*BlendedPriceEssMonthly*ARM61+ASB61*BlendedPricePremMonthly*ARM61+ASC61*BlendedPriceEliteMonthly*ARM61+ASD61*BlendedPriceEssAnnual*ARM61/12+ASE61*BlendedPricePremAnnual*ARM61/12+ASF61*BlendedPriceEliteAnnual*ARM61/12</f>
        <v/>
      </c>
      <c r="ASI61" s="9">
        <f>ASH61*12</f>
        <v/>
      </c>
      <c r="ASJ61" s="12">
        <f>ASA61*BlendedPriceEssMonthly*ARM61+ASB61*BlendedPricePremMonthly*ARM61+ASC61*BlendedPriceEliteMonthly*ARM61</f>
        <v/>
      </c>
      <c r="ASK61" s="12">
        <f>ARX61*BlendedPriceEssAnnual*ARM61+ARY61*BlendedPricePremAnnual*ARM61+ARZ61*BlendedPriceEliteAnnual*ARM61</f>
        <v/>
      </c>
      <c r="ASL61" s="12">
        <f>ARX49*POWER(1-(AnnualChurn*VLOOKUP(ARJ61,ChurnSeasonTable,4,FALSE)),1)*BlendedPriceEssAnnual*ARM61+ARX37*POWER(1-(AnnualChurn*VLOOKUP(ARJ61,ChurnSeasonTable,4,FALSE)),2)*BlendedPriceEssAnnual*ARM61+ARX25*POWER(1-(AnnualChurn*VLOOKUP(ARJ61,ChurnSeasonTable,4,FALSE)),3)*BlendedPriceEssAnnual*ARM61+ARX13*POWER(1-(AnnualChurn*VLOOKUP(ARJ61,ChurnSeasonTable,4,FALSE)),4)*BlendedPriceEssAnnual*ARM61+ARY49*POWER(1-(AnnualChurn*VLOOKUP(ARJ61,ChurnSeasonTable,4,FALSE)),1)*BlendedPricePremAnnual*ARM61+ARY37*POWER(1-(AnnualChurn*VLOOKUP(ARJ61,ChurnSeasonTable,4,FALSE)),2)*BlendedPricePremAnnual*ARM61+ARY25*POWER(1-(AnnualChurn*VLOOKUP(ARJ61,ChurnSeasonTable,4,FALSE)),3)*BlendedPricePremAnnual*ARM61+ARY13*POWER(1-(AnnualChurn*VLOOKUP(ARJ61,ChurnSeasonTable,4,FALSE)),4)*BlendedPricePremAnnual*ARM61+ARZ49*POWER(1-(AnnualChurn*VLOOKUP(ARJ61,ChurnSeasonTable,4,FALSE)),1)*BlendedPriceEliteAnnual*ARM61+ARZ37*POWER(1-(AnnualChurn*VLOOKUP(ARJ61,ChurnSeasonTable,4,FALSE)),2)*BlendedPriceEliteAnnual*ARM61+ARZ25*POWER(1-(AnnualChurn*VLOOKUP(ARJ61,ChurnSeasonTable,4,FALSE)),3)*BlendedPriceEliteAnnual*ARM61+ARZ13*POWER(1-(AnnualChurn*VLOOKUP(ARJ61,ChurnSeasonTable,4,FALSE)),4)*BlendedPriceEliteAnnual*ARM61</f>
        <v/>
      </c>
      <c r="ASM61" s="9">
        <f>ASJ61+ASK61+ASL61</f>
        <v/>
      </c>
      <c r="ASN61" s="12">
        <f>SUM(ASM50:ASM61)</f>
        <v/>
      </c>
      <c r="ASO61" s="12">
        <f>OR(ASO60,IF(VATAgentMode,SUM($ASM50:$ASM61)-SUM($AST50:$AST61)&gt;=VATThreshold,SUM($ASM50:$ASM61)&gt;=VATThreshold))</f>
        <v/>
      </c>
      <c r="ASP61" s="9">
        <f>IF(ASO61,IF(VATAgentMode,ASM61-((ASM61-AST61)-(ASM61-AST61)/(1+VATRate)),ASM61/(1+VATRate)),ASM61)</f>
        <v/>
      </c>
      <c r="ASQ61" s="12">
        <f>ASM61-ASP61</f>
        <v/>
      </c>
      <c r="ASR61" s="12">
        <f>IF(ASO61=0,0,IF(ARJ61=1,SUMPRODUCT(--(($ARK$5:$ARK61=$ARK61-1)*($ARJ$5:$ARJ61&gt;=10)*($ARJ$5:$ARJ61&lt;=12)),$ASQ$5:$ASQ61),IF(ARJ61=4,SUMPRODUCT(--(($ARK$5:$ARK61=$ARK61)*($ARJ$5:$ARJ61&gt;=1)*($ARJ$5:$ARJ61&lt;=3)),$ASQ$5:$ASQ61),IF(ARJ61=7,SUMPRODUCT(--(($ARK$5:$ARK61=$ARK61)*($ARJ$5:$ARJ61&gt;=4)*($ARJ$5:$ARJ61&lt;=6)),$ASQ$5:$ASQ61),IF(ARJ61=10,SUMPRODUCT(--(($ARK$5:$ARK61=$ARK61)*($ARJ$5:$ARJ61&gt;=7)*($ARJ$5:$ARJ61&lt;=9)),$ASQ$5:$ASQ61),0)))))</f>
        <v/>
      </c>
      <c r="ASS61" s="12">
        <f>ASS60+ASQ61-ASR61</f>
        <v/>
      </c>
      <c r="AST61" s="12">
        <f>IF(ProviderDelay&gt;=1,ASA60*BlendedProvPayEss+ASB60*BlendedProvPayPrem+ASC60*BlendedProvPayElite+ASD60*BlendedProvPayEss+ASE60*BlendedProvPayPrem+ASF60*BlendedProvPayElite,ASA61*BlendedProvPayEss+ASB61*BlendedProvPayPrem+ASC61*BlendedProvPayElite+ASD61*BlendedProvPayEss+ASE61*BlendedProvPayPrem+ASF61*BlendedProvPayElite)</f>
        <v/>
      </c>
      <c r="ASU61" s="12">
        <f>ASM61*PaymentFee</f>
        <v/>
      </c>
      <c r="ASV61" s="12">
        <f>ASG61*OpsAI</f>
        <v/>
      </c>
      <c r="ASW61" s="12">
        <f>MonthlyFixed</f>
        <v/>
      </c>
      <c r="ASX61" s="12">
        <f>ARQ61*ReferralReward</f>
        <v/>
      </c>
      <c r="ASY61" s="12">
        <f>ARO61</f>
        <v/>
      </c>
      <c r="ASZ61" s="9">
        <f>ASP61-AST61-ASU61-ASV61-ASW61-ASX61-ASY61</f>
        <v/>
      </c>
      <c r="ATA61" s="9">
        <f>ATA60+ASM61-(AST61+ASU61+ASV61+ASW61+ASX61+ASY61+ASR61)</f>
        <v/>
      </c>
      <c r="ATB61" s="12">
        <f>IF(ASG61&gt;0,ASH61/ASG61,0)</f>
        <v/>
      </c>
      <c r="ATC61" s="11">
        <f>IF(ASG60&gt;0,MAX(0,(ASG60+ARR61-ASG61)/ASG60),0)</f>
        <v/>
      </c>
      <c r="ATE61" s="12" t="n">
        <v>57</v>
      </c>
      <c r="ATF61" s="12">
        <f>MOD(ATE61-1+LaunchMonth-1,12)+1</f>
        <v/>
      </c>
      <c r="ATG61" s="12">
        <f>INT((ATE61-1+LaunchMonth-1)/12)+1</f>
        <v/>
      </c>
      <c r="ATH61" s="12">
        <f>VLOOKUP(ATF61,SeasonTable,2,FALSE)</f>
        <v/>
      </c>
      <c r="ATI61" s="12">
        <f>(1+InflationRate)^INT((ATE61-1)/12)</f>
        <v/>
      </c>
      <c r="ATJ61" s="11">
        <f>MonthlyChurn*VLOOKUP(ATF61,ChurnSeasonTable,4,FALSE)</f>
        <v/>
      </c>
      <c r="ATK61" s="12">
        <f>MIN(MAX(MktMin19plus,AUI60*MktPct19plus),MAX(0,AUW60-CashBuffer))</f>
        <v/>
      </c>
      <c r="ATL61" s="12">
        <f>IF(ATK61&gt;0,MAX(1,ROUND(ATK61/'Sens - CAC &amp; Marketing'!$A$15*ATH61,0)),0)</f>
        <v/>
      </c>
      <c r="ATM61" s="12">
        <f>IF(ATL61&gt;0,ROUND(ATL61*ReferralMix/(1-ReferralMix),0),0)</f>
        <v/>
      </c>
      <c r="ATN61" s="12">
        <f>ATL61+ATM61</f>
        <v/>
      </c>
      <c r="ATO61" s="12">
        <f>ROUND(ATN61*(1-AnnualMix),0)</f>
        <v/>
      </c>
      <c r="ATP61" s="12">
        <f>ATN61-ATO61</f>
        <v/>
      </c>
      <c r="ATQ61" s="12">
        <f>ROUND(ATO61*EssentialMix,0)</f>
        <v/>
      </c>
      <c r="ATR61" s="12">
        <f>ROUND(ATO61*PremiumMix,0)</f>
        <v/>
      </c>
      <c r="ATS61" s="12">
        <f>ATO61-ATQ61-ATR61</f>
        <v/>
      </c>
      <c r="ATT61" s="12">
        <f>ROUND(ATP61*EssentialMix,0)</f>
        <v/>
      </c>
      <c r="ATU61" s="12">
        <f>ROUND(ATP61*PremiumMix,0)</f>
        <v/>
      </c>
      <c r="ATV61" s="12">
        <f>ATP61-ATT61-ATU61</f>
        <v/>
      </c>
      <c r="ATW61" s="12">
        <f>ATQ61+ATQ60+ATQ59+MAX(0,ATW60-ATQ60-ATQ59)*(1-ATJ61)</f>
        <v/>
      </c>
      <c r="ATX61" s="12">
        <f>ATR61+ATR60+ATR59+MAX(0,ATX60-ATR60-ATR59)*(1-ATJ61)</f>
        <v/>
      </c>
      <c r="ATY61" s="12">
        <f>ATS61+ATS60+ATS59+MAX(0,ATY60-ATS60-ATS59)*(1-ATJ61)</f>
        <v/>
      </c>
      <c r="ATZ61" s="12">
        <f>ATZ60+ATT61-ATT49*(AnnualChurn*VLOOKUP(ATF61,ChurnSeasonTable,4,FALSE))*POWER(1-(AnnualChurn*VLOOKUP(ATF61,ChurnSeasonTable,4,FALSE)),0)+ATT37*(AnnualChurn*VLOOKUP(ATF61,ChurnSeasonTable,4,FALSE))*POWER(1-(AnnualChurn*VLOOKUP(ATF61,ChurnSeasonTable,4,FALSE)),1)+ATT25*(AnnualChurn*VLOOKUP(ATF61,ChurnSeasonTable,4,FALSE))*POWER(1-(AnnualChurn*VLOOKUP(ATF61,ChurnSeasonTable,4,FALSE)),2)+ATT13*(AnnualChurn*VLOOKUP(ATF61,ChurnSeasonTable,4,FALSE))*POWER(1-(AnnualChurn*VLOOKUP(ATF61,ChurnSeasonTable,4,FALSE)),3)</f>
        <v/>
      </c>
      <c r="AUA61" s="12">
        <f>AUA60+ATU61-ATU49*(AnnualChurn*VLOOKUP(ATF61,ChurnSeasonTable,4,FALSE))*POWER(1-(AnnualChurn*VLOOKUP(ATF61,ChurnSeasonTable,4,FALSE)),0)+ATU37*(AnnualChurn*VLOOKUP(ATF61,ChurnSeasonTable,4,FALSE))*POWER(1-(AnnualChurn*VLOOKUP(ATF61,ChurnSeasonTable,4,FALSE)),1)+ATU25*(AnnualChurn*VLOOKUP(ATF61,ChurnSeasonTable,4,FALSE))*POWER(1-(AnnualChurn*VLOOKUP(ATF61,ChurnSeasonTable,4,FALSE)),2)+ATU13*(AnnualChurn*VLOOKUP(ATF61,ChurnSeasonTable,4,FALSE))*POWER(1-(AnnualChurn*VLOOKUP(ATF61,ChurnSeasonTable,4,FALSE)),3)</f>
        <v/>
      </c>
      <c r="AUB61" s="12">
        <f>AUB60+ATV61-ATV49*(AnnualChurn*VLOOKUP(ATF61,ChurnSeasonTable,4,FALSE))*POWER(1-(AnnualChurn*VLOOKUP(ATF61,ChurnSeasonTable,4,FALSE)),0)+ATV37*(AnnualChurn*VLOOKUP(ATF61,ChurnSeasonTable,4,FALSE))*POWER(1-(AnnualChurn*VLOOKUP(ATF61,ChurnSeasonTable,4,FALSE)),1)+ATV25*(AnnualChurn*VLOOKUP(ATF61,ChurnSeasonTable,4,FALSE))*POWER(1-(AnnualChurn*VLOOKUP(ATF61,ChurnSeasonTable,4,FALSE)),2)+ATV13*(AnnualChurn*VLOOKUP(ATF61,ChurnSeasonTable,4,FALSE))*POWER(1-(AnnualChurn*VLOOKUP(ATF61,ChurnSeasonTable,4,FALSE)),3)</f>
        <v/>
      </c>
      <c r="AUC61" s="12">
        <f>ATW61+ATX61+ATY61+ATZ61+AUA61+AUB61</f>
        <v/>
      </c>
      <c r="AUD61" s="9">
        <f>ATW61*BlendedPriceEssMonthly*ATI61+ATX61*BlendedPricePremMonthly*ATI61+ATY61*BlendedPriceEliteMonthly*ATI61+ATZ61*BlendedPriceEssAnnual*ATI61/12+AUA61*BlendedPricePremAnnual*ATI61/12+AUB61*BlendedPriceEliteAnnual*ATI61/12</f>
        <v/>
      </c>
      <c r="AUE61" s="9">
        <f>AUD61*12</f>
        <v/>
      </c>
      <c r="AUF61" s="12">
        <f>ATW61*BlendedPriceEssMonthly*ATI61+ATX61*BlendedPricePremMonthly*ATI61+ATY61*BlendedPriceEliteMonthly*ATI61</f>
        <v/>
      </c>
      <c r="AUG61" s="12">
        <f>ATT61*BlendedPriceEssAnnual*ATI61+ATU61*BlendedPricePremAnnual*ATI61+ATV61*BlendedPriceEliteAnnual*ATI61</f>
        <v/>
      </c>
      <c r="AUH61" s="12">
        <f>ATT49*POWER(1-(AnnualChurn*VLOOKUP(ATF61,ChurnSeasonTable,4,FALSE)),1)*BlendedPriceEssAnnual*ATI61+ATT37*POWER(1-(AnnualChurn*VLOOKUP(ATF61,ChurnSeasonTable,4,FALSE)),2)*BlendedPriceEssAnnual*ATI61+ATT25*POWER(1-(AnnualChurn*VLOOKUP(ATF61,ChurnSeasonTable,4,FALSE)),3)*BlendedPriceEssAnnual*ATI61+ATT13*POWER(1-(AnnualChurn*VLOOKUP(ATF61,ChurnSeasonTable,4,FALSE)),4)*BlendedPriceEssAnnual*ATI61+ATU49*POWER(1-(AnnualChurn*VLOOKUP(ATF61,ChurnSeasonTable,4,FALSE)),1)*BlendedPricePremAnnual*ATI61+ATU37*POWER(1-(AnnualChurn*VLOOKUP(ATF61,ChurnSeasonTable,4,FALSE)),2)*BlendedPricePremAnnual*ATI61+ATU25*POWER(1-(AnnualChurn*VLOOKUP(ATF61,ChurnSeasonTable,4,FALSE)),3)*BlendedPricePremAnnual*ATI61+ATU13*POWER(1-(AnnualChurn*VLOOKUP(ATF61,ChurnSeasonTable,4,FALSE)),4)*BlendedPricePremAnnual*ATI61+ATV49*POWER(1-(AnnualChurn*VLOOKUP(ATF61,ChurnSeasonTable,4,FALSE)),1)*BlendedPriceEliteAnnual*ATI61+ATV37*POWER(1-(AnnualChurn*VLOOKUP(ATF61,ChurnSeasonTable,4,FALSE)),2)*BlendedPriceEliteAnnual*ATI61+ATV25*POWER(1-(AnnualChurn*VLOOKUP(ATF61,ChurnSeasonTable,4,FALSE)),3)*BlendedPriceEliteAnnual*ATI61+ATV13*POWER(1-(AnnualChurn*VLOOKUP(ATF61,ChurnSeasonTable,4,FALSE)),4)*BlendedPriceEliteAnnual*ATI61</f>
        <v/>
      </c>
      <c r="AUI61" s="9">
        <f>AUF61+AUG61+AUH61</f>
        <v/>
      </c>
      <c r="AUJ61" s="12">
        <f>SUM(AUI50:AUI61)</f>
        <v/>
      </c>
      <c r="AUK61" s="12">
        <f>OR(AUK60,IF(VATAgentMode,SUM($AUI50:$AUI61)-SUM($AUP50:$AUP61)&gt;=VATThreshold,SUM($AUI50:$AUI61)&gt;=VATThreshold))</f>
        <v/>
      </c>
      <c r="AUL61" s="9">
        <f>IF(AUK61,IF(VATAgentMode,AUI61-((AUI61-AUP61)-(AUI61-AUP61)/(1+VATRate)),AUI61/(1+VATRate)),AUI61)</f>
        <v/>
      </c>
      <c r="AUM61" s="12">
        <f>AUI61-AUL61</f>
        <v/>
      </c>
      <c r="AUN61" s="12">
        <f>IF(AUK61=0,0,IF(ATF61=1,SUMPRODUCT(--(($ATG$5:$ATG61=$ATG61-1)*($ATF$5:$ATF61&gt;=10)*($ATF$5:$ATF61&lt;=12)),$AUM$5:$AUM61),IF(ATF61=4,SUMPRODUCT(--(($ATG$5:$ATG61=$ATG61)*($ATF$5:$ATF61&gt;=1)*($ATF$5:$ATF61&lt;=3)),$AUM$5:$AUM61),IF(ATF61=7,SUMPRODUCT(--(($ATG$5:$ATG61=$ATG61)*($ATF$5:$ATF61&gt;=4)*($ATF$5:$ATF61&lt;=6)),$AUM$5:$AUM61),IF(ATF61=10,SUMPRODUCT(--(($ATG$5:$ATG61=$ATG61)*($ATF$5:$ATF61&gt;=7)*($ATF$5:$ATF61&lt;=9)),$AUM$5:$AUM61),0)))))</f>
        <v/>
      </c>
      <c r="AUO61" s="12">
        <f>AUO60+AUM61-AUN61</f>
        <v/>
      </c>
      <c r="AUP61" s="12">
        <f>IF(ProviderDelay&gt;=1,ATW60*BlendedProvPayEss+ATX60*BlendedProvPayPrem+ATY60*BlendedProvPayElite+ATZ60*BlendedProvPayEss+AUA60*BlendedProvPayPrem+AUB60*BlendedProvPayElite,ATW61*BlendedProvPayEss+ATX61*BlendedProvPayPrem+ATY61*BlendedProvPayElite+ATZ61*BlendedProvPayEss+AUA61*BlendedProvPayPrem+AUB61*BlendedProvPayElite)</f>
        <v/>
      </c>
      <c r="AUQ61" s="12">
        <f>AUI61*PaymentFee</f>
        <v/>
      </c>
      <c r="AUR61" s="12">
        <f>AUC61*OpsAI</f>
        <v/>
      </c>
      <c r="AUS61" s="12">
        <f>MonthlyFixed</f>
        <v/>
      </c>
      <c r="AUT61" s="12">
        <f>ATM61*ReferralReward</f>
        <v/>
      </c>
      <c r="AUU61" s="12">
        <f>ATK61</f>
        <v/>
      </c>
      <c r="AUV61" s="9">
        <f>AUL61-AUP61-AUQ61-AUR61-AUS61-AUT61-AUU61</f>
        <v/>
      </c>
      <c r="AUW61" s="9">
        <f>AUW60+AUI61-(AUP61+AUQ61+AUR61+AUS61+AUT61+AUU61+AUN61)</f>
        <v/>
      </c>
      <c r="AUX61" s="12">
        <f>IF(AUC61&gt;0,AUD61/AUC61,0)</f>
        <v/>
      </c>
      <c r="AUY61" s="11">
        <f>IF(AUC60&gt;0,MAX(0,(AUC60+ATN61-AUC61)/AUC60),0)</f>
        <v/>
      </c>
      <c r="AVA61" s="12" t="n">
        <v>57</v>
      </c>
      <c r="AVB61" s="12">
        <f>MOD(AVA61-1+LaunchMonth-1,12)+1</f>
        <v/>
      </c>
      <c r="AVC61" s="12">
        <f>INT((AVA61-1+LaunchMonth-1)/12)+1</f>
        <v/>
      </c>
      <c r="AVD61" s="12">
        <f>VLOOKUP(AVB61,WinterPivotSeasonTable,5,FALSE)</f>
        <v/>
      </c>
      <c r="AVE61" s="12">
        <f>(1+InflationRate)^INT((AVA61-1)/12)</f>
        <v/>
      </c>
      <c r="AVF61" s="11">
        <f>MonthlyChurn*VLOOKUP(AVB61,WinterPivotChurnTable,6,FALSE)</f>
        <v/>
      </c>
      <c r="AVG61" s="12">
        <f>MIN(MAX(MktMin19plus,AWE60*MktPct19plus),MAX(0,AWS60-CashBuffer))</f>
        <v/>
      </c>
      <c r="AVH61" s="12">
        <f>IF(AVG61&gt;0,MAX(1,ROUND(AVG61/CAC*AVD61,0)),0)</f>
        <v/>
      </c>
      <c r="AVI61" s="12">
        <f>IF(AVH61&gt;0,ROUND(AVH61*ReferralMix/(1-ReferralMix),0),0)</f>
        <v/>
      </c>
      <c r="AVJ61" s="12">
        <f>AVH61+AVI61</f>
        <v/>
      </c>
      <c r="AVK61" s="12">
        <f>ROUND(AVJ61*(1-AnnualMix),0)</f>
        <v/>
      </c>
      <c r="AVL61" s="12">
        <f>AVJ61-AVK61</f>
        <v/>
      </c>
      <c r="AVM61" s="12">
        <f>ROUND(AVK61*'Sens - Winter Pivot'!$B$6,0)</f>
        <v/>
      </c>
      <c r="AVN61" s="12">
        <f>ROUND(AVK61*PremiumMix,0)</f>
        <v/>
      </c>
      <c r="AVO61" s="12">
        <f>AVK61-AVM61-AVN61</f>
        <v/>
      </c>
      <c r="AVP61" s="12">
        <f>ROUND(AVL61*'Sens - Winter Pivot'!$B$6,0)</f>
        <v/>
      </c>
      <c r="AVQ61" s="12">
        <f>ROUND(AVL61*PremiumMix,0)</f>
        <v/>
      </c>
      <c r="AVR61" s="12">
        <f>AVL61-AVP61-AVQ61</f>
        <v/>
      </c>
      <c r="AVS61" s="12">
        <f>AVM61+AVM60+AVM59+MAX(0,AVS60-AVM60-AVM59)*(1-AVF61)</f>
        <v/>
      </c>
      <c r="AVT61" s="12">
        <f>AVN61+AVN60+AVN59+MAX(0,AVT60-AVN60-AVN59)*(1-AVF61)</f>
        <v/>
      </c>
      <c r="AVU61" s="12">
        <f>AVO61+AVO60+AVO59+MAX(0,AVU60-AVO60-AVO59)*(1-AVF61)</f>
        <v/>
      </c>
      <c r="AVV61" s="12">
        <f>AVV60+AVP61-AVP49*(AnnualChurn*VLOOKUP(AVB61,ChurnSeasonTable,4,FALSE))*POWER(1-(AnnualChurn*VLOOKUP(AVB61,ChurnSeasonTable,4,FALSE)),0)+AVP37*(AnnualChurn*VLOOKUP(AVB61,ChurnSeasonTable,4,FALSE))*POWER(1-(AnnualChurn*VLOOKUP(AVB61,ChurnSeasonTable,4,FALSE)),1)+AVP25*(AnnualChurn*VLOOKUP(AVB61,ChurnSeasonTable,4,FALSE))*POWER(1-(AnnualChurn*VLOOKUP(AVB61,ChurnSeasonTable,4,FALSE)),2)+AVP13*(AnnualChurn*VLOOKUP(AVB61,ChurnSeasonTable,4,FALSE))*POWER(1-(AnnualChurn*VLOOKUP(AVB61,ChurnSeasonTable,4,FALSE)),3)</f>
        <v/>
      </c>
      <c r="AVW61" s="12">
        <f>AVW60+AVQ61-AVQ49*(AnnualChurn*VLOOKUP(AVB61,ChurnSeasonTable,4,FALSE))*POWER(1-(AnnualChurn*VLOOKUP(AVB61,ChurnSeasonTable,4,FALSE)),0)+AVQ37*(AnnualChurn*VLOOKUP(AVB61,ChurnSeasonTable,4,FALSE))*POWER(1-(AnnualChurn*VLOOKUP(AVB61,ChurnSeasonTable,4,FALSE)),1)+AVQ25*(AnnualChurn*VLOOKUP(AVB61,ChurnSeasonTable,4,FALSE))*POWER(1-(AnnualChurn*VLOOKUP(AVB61,ChurnSeasonTable,4,FALSE)),2)+AVQ13*(AnnualChurn*VLOOKUP(AVB61,ChurnSeasonTable,4,FALSE))*POWER(1-(AnnualChurn*VLOOKUP(AVB61,ChurnSeasonTable,4,FALSE)),3)</f>
        <v/>
      </c>
      <c r="AVX61" s="12">
        <f>AVX60+AVR61-AVR49*(AnnualChurn*VLOOKUP(AVB61,ChurnSeasonTable,4,FALSE))*POWER(1-(AnnualChurn*VLOOKUP(AVB61,ChurnSeasonTable,4,FALSE)),0)+AVR37*(AnnualChurn*VLOOKUP(AVB61,ChurnSeasonTable,4,FALSE))*POWER(1-(AnnualChurn*VLOOKUP(AVB61,ChurnSeasonTable,4,FALSE)),1)+AVR25*(AnnualChurn*VLOOKUP(AVB61,ChurnSeasonTable,4,FALSE))*POWER(1-(AnnualChurn*VLOOKUP(AVB61,ChurnSeasonTable,4,FALSE)),2)+AVR13*(AnnualChurn*VLOOKUP(AVB61,ChurnSeasonTable,4,FALSE))*POWER(1-(AnnualChurn*VLOOKUP(AVB61,ChurnSeasonTable,4,FALSE)),3)</f>
        <v/>
      </c>
      <c r="AVY61" s="12">
        <f>AVS61+AVT61+AVU61+AVV61+AVW61+AVX61</f>
        <v/>
      </c>
      <c r="AVZ61" s="9">
        <f>AVS61*BlendedPriceEssMonthly*AVE61+AVT61*(BlendedPricePremMonthly+'Sens - Winter Pivot'!$B$7)*AVE61+AVU61*BlendedPriceEliteMonthly*AVE61+AVV61*BlendedPriceEssAnnual*AVE61/12+AVW61*(BlendedPricePremAnnual+'Sens - Winter Pivot'!$B$7*12)*AVE61/12+AVX61*BlendedPriceEliteAnnual*AVE61/12</f>
        <v/>
      </c>
      <c r="AWA61" s="9">
        <f>AVZ61*12</f>
        <v/>
      </c>
      <c r="AWB61" s="12">
        <f>AVS61*BlendedPriceEssMonthly*AVE61+AVT61*(BlendedPricePremMonthly+'Sens - Winter Pivot'!$B$7)*AVE61+AVU61*BlendedPriceEliteMonthly*AVE61</f>
        <v/>
      </c>
      <c r="AWC61" s="12">
        <f>AVP61*BlendedPriceEssAnnual*AVE61+AVQ61*(BlendedPricePremAnnual+'Sens - Winter Pivot'!$B$7*12)*AVE61+AVR61*BlendedPriceEliteAnnual*AVE61</f>
        <v/>
      </c>
      <c r="AWD61" s="12">
        <f>AVP49*POWER(1-(AnnualChurn*VLOOKUP(AVB61,ChurnSeasonTable,4,FALSE)),1)*BlendedPriceEssAnnual*AVE61+AVP37*POWER(1-(AnnualChurn*VLOOKUP(AVB61,ChurnSeasonTable,4,FALSE)),2)*BlendedPriceEssAnnual*AVE61+AVP25*POWER(1-(AnnualChurn*VLOOKUP(AVB61,ChurnSeasonTable,4,FALSE)),3)*BlendedPriceEssAnnual*AVE61+AVP13*POWER(1-(AnnualChurn*VLOOKUP(AVB61,ChurnSeasonTable,4,FALSE)),4)*BlendedPriceEssAnnual*AVE61+AVQ49*POWER(1-(AnnualChurn*VLOOKUP(AVB61,ChurnSeasonTable,4,FALSE)),1)*BlendedPricePremAnnual*AVE61+AVQ37*POWER(1-(AnnualChurn*VLOOKUP(AVB61,ChurnSeasonTable,4,FALSE)),2)*BlendedPricePremAnnual*AVE61+AVQ25*POWER(1-(AnnualChurn*VLOOKUP(AVB61,ChurnSeasonTable,4,FALSE)),3)*BlendedPricePremAnnual*AVE61+AVQ13*POWER(1-(AnnualChurn*VLOOKUP(AVB61,ChurnSeasonTable,4,FALSE)),4)*BlendedPricePremAnnual*AVE61+AVR49*POWER(1-(AnnualChurn*VLOOKUP(AVB61,ChurnSeasonTable,4,FALSE)),1)*BlendedPriceEliteAnnual*AVE61+AVR37*POWER(1-(AnnualChurn*VLOOKUP(AVB61,ChurnSeasonTable,4,FALSE)),2)*BlendedPriceEliteAnnual*AVE61+AVR25*POWER(1-(AnnualChurn*VLOOKUP(AVB61,ChurnSeasonTable,4,FALSE)),3)*BlendedPriceEliteAnnual*AVE61+AVR13*POWER(1-(AnnualChurn*VLOOKUP(AVB61,ChurnSeasonTable,4,FALSE)),4)*BlendedPriceEliteAnnual*AVE61</f>
        <v/>
      </c>
      <c r="AWE61" s="9">
        <f>AWB61+AWC61+AWD61</f>
        <v/>
      </c>
      <c r="AWF61" s="12">
        <f>SUM(AWE50:AWE61)</f>
        <v/>
      </c>
      <c r="AWG61" s="12">
        <f>OR(AWG60,IF(VATAgentMode,SUM($AWE50:$AWE61)-SUM($AWL50:$AWL61)&gt;=VATThreshold,SUM($AWE50:$AWE61)&gt;=VATThreshold))</f>
        <v/>
      </c>
      <c r="AWH61" s="9">
        <f>IF(AWG61,IF(VATAgentMode,AWE61-((AWE61-AWL61)-(AWE61-AWL61)/(1+VATRate)),AWE61/(1+VATRate)),AWE61)</f>
        <v/>
      </c>
      <c r="AWI61" s="12">
        <f>AWE61-AWH61</f>
        <v/>
      </c>
      <c r="AWJ61" s="12">
        <f>IF(AWG61=0,0,IF(AVB61=1,SUMPRODUCT(--(($AVC$5:$AVC61=$AVC61-1)*($AVB$5:$AVB61&gt;=10)*($AVB$5:$AVB61&lt;=12)),$AWI$5:$AWI61),IF(AVB61=4,SUMPRODUCT(--(($AVC$5:$AVC61=$AVC61)*($AVB$5:$AVB61&gt;=1)*($AVB$5:$AVB61&lt;=3)),$AWI$5:$AWI61),IF(AVB61=7,SUMPRODUCT(--(($AVC$5:$AVC61=$AVC61)*($AVB$5:$AVB61&gt;=4)*($AVB$5:$AVB61&lt;=6)),$AWI$5:$AWI61),IF(AVB61=10,SUMPRODUCT(--(($AVC$5:$AVC61=$AVC61)*($AVB$5:$AVB61&gt;=7)*($AVB$5:$AVB61&lt;=9)),$AWI$5:$AWI61),0)))))</f>
        <v/>
      </c>
      <c r="AWK61" s="12">
        <f>AWK60+AWI61-AWJ61</f>
        <v/>
      </c>
      <c r="AWL61" s="12">
        <f>IF(ProviderDelay&gt;=1,AVS60*BlendedProvPayEss+AVT60*BlendedProvPayPrem+AVU60*BlendedProvPayElite+AVV60*BlendedProvPayEss+AVW60*BlendedProvPayPrem+AVX60*BlendedProvPayElite,AVS61*BlendedProvPayEss+AVT61*BlendedProvPayPrem+AVU61*BlendedProvPayElite+AVV61*BlendedProvPayEss+AVW61*BlendedProvPayPrem+AVX61*BlendedProvPayElite)</f>
        <v/>
      </c>
      <c r="AWM61" s="12">
        <f>AWE61*PaymentFee</f>
        <v/>
      </c>
      <c r="AWN61" s="12">
        <f>AVY61*OpsAI</f>
        <v/>
      </c>
      <c r="AWO61" s="12">
        <f>MonthlyFixed</f>
        <v/>
      </c>
      <c r="AWP61" s="12">
        <f>AVI61*ReferralReward</f>
        <v/>
      </c>
      <c r="AWQ61" s="12">
        <f>AVG61</f>
        <v/>
      </c>
      <c r="AWR61" s="9">
        <f>AWH61-AWL61-AWM61-AWN61-AWO61-AWP61-AWQ61</f>
        <v/>
      </c>
      <c r="AWS61" s="9">
        <f>AWS60+AWE61-(AWL61+AWM61+AWN61+AWO61+AWP61+AWQ61+AWJ61)</f>
        <v/>
      </c>
      <c r="AWT61" s="12">
        <f>IF(AVY61&gt;0,AVZ61/AVY61,0)</f>
        <v/>
      </c>
      <c r="AWU61" s="11">
        <f>IF(AVY60&gt;0,MAX(0,(AVY60+AVJ61-AVY61)/AVY60),0)</f>
        <v/>
      </c>
    </row>
    <row r="62">
      <c r="A62" s="12" t="n">
        <v>58</v>
      </c>
      <c r="B62" s="12">
        <f>MOD(A62-1+LaunchMonth-1,12)+1</f>
        <v/>
      </c>
      <c r="C62" s="12">
        <f>INT((A62-1+LaunchMonth-1)/12)+1</f>
        <v/>
      </c>
      <c r="D62" s="12">
        <f>VLOOKUP(B62,SeasonTable,2,FALSE)</f>
        <v/>
      </c>
      <c r="E62" s="12">
        <f>(1+InflationRate)^INT((A62-1)/12)</f>
        <v/>
      </c>
      <c r="F62" s="11">
        <f>'Sens - Scenarios'!$B$5*VLOOKUP(B62,ChurnSeasonTable,4,FALSE)</f>
        <v/>
      </c>
      <c r="G62" s="12">
        <f>MIN(MAX(MktMin19plus,AE61*MktPct19plus),MAX(0,AS61-CashBuffer))</f>
        <v/>
      </c>
      <c r="H62" s="12">
        <f>IF(G62&gt;0,MAX(1,ROUND(G62/'Sens - Scenarios'!$B$8*D62,0)),0)</f>
        <v/>
      </c>
      <c r="I62" s="12">
        <f>IF(H62&gt;0,ROUND(H62*ReferralMix/(1-ReferralMix),0),0)</f>
        <v/>
      </c>
      <c r="J62" s="12">
        <f>H62+I62</f>
        <v/>
      </c>
      <c r="K62" s="12">
        <f>ROUND(J62*(1-'Sens - Scenarios'!$B$7),0)</f>
        <v/>
      </c>
      <c r="L62" s="12">
        <f>J62-K62</f>
        <v/>
      </c>
      <c r="M62" s="12">
        <f>ROUND(K62*EssentialMix,0)</f>
        <v/>
      </c>
      <c r="N62" s="12">
        <f>ROUND(K62*PremiumMix,0)</f>
        <v/>
      </c>
      <c r="O62" s="12">
        <f>K62-M62-N62</f>
        <v/>
      </c>
      <c r="P62" s="12">
        <f>ROUND(L62*EssentialMix,0)</f>
        <v/>
      </c>
      <c r="Q62" s="12">
        <f>ROUND(L62*PremiumMix,0)</f>
        <v/>
      </c>
      <c r="R62" s="12">
        <f>L62-P62-Q62</f>
        <v/>
      </c>
      <c r="S62" s="12">
        <f>M62+M61+M60+MAX(0,S61-M61-M60)*(1-F62)</f>
        <v/>
      </c>
      <c r="T62" s="12">
        <f>N62+N61+N60+MAX(0,T61-N61-N60)*(1-F62)</f>
        <v/>
      </c>
      <c r="U62" s="12">
        <f>O62+O61+O60+MAX(0,U61-O61-O60)*(1-F62)</f>
        <v/>
      </c>
      <c r="V62" s="12">
        <f>V61+P62-P50*('Sens - Scenarios'!$B$6*VLOOKUP(B62,ChurnSeasonTable,4,FALSE))*POWER(1-('Sens - Scenarios'!$B$6*VLOOKUP(B62,ChurnSeasonTable,4,FALSE)),0)+P38*('Sens - Scenarios'!$B$6*VLOOKUP(B62,ChurnSeasonTable,4,FALSE))*POWER(1-('Sens - Scenarios'!$B$6*VLOOKUP(B62,ChurnSeasonTable,4,FALSE)),1)+P26*('Sens - Scenarios'!$B$6*VLOOKUP(B62,ChurnSeasonTable,4,FALSE))*POWER(1-('Sens - Scenarios'!$B$6*VLOOKUP(B62,ChurnSeasonTable,4,FALSE)),2)+P14*('Sens - Scenarios'!$B$6*VLOOKUP(B62,ChurnSeasonTable,4,FALSE))*POWER(1-('Sens - Scenarios'!$B$6*VLOOKUP(B62,ChurnSeasonTable,4,FALSE)),3)</f>
        <v/>
      </c>
      <c r="W62" s="12">
        <f>W61+Q62-Q50*('Sens - Scenarios'!$B$6*VLOOKUP(B62,ChurnSeasonTable,4,FALSE))*POWER(1-('Sens - Scenarios'!$B$6*VLOOKUP(B62,ChurnSeasonTable,4,FALSE)),0)+Q38*('Sens - Scenarios'!$B$6*VLOOKUP(B62,ChurnSeasonTable,4,FALSE))*POWER(1-('Sens - Scenarios'!$B$6*VLOOKUP(B62,ChurnSeasonTable,4,FALSE)),1)+Q26*('Sens - Scenarios'!$B$6*VLOOKUP(B62,ChurnSeasonTable,4,FALSE))*POWER(1-('Sens - Scenarios'!$B$6*VLOOKUP(B62,ChurnSeasonTable,4,FALSE)),2)+Q14*('Sens - Scenarios'!$B$6*VLOOKUP(B62,ChurnSeasonTable,4,FALSE))*POWER(1-('Sens - Scenarios'!$B$6*VLOOKUP(B62,ChurnSeasonTable,4,FALSE)),3)</f>
        <v/>
      </c>
      <c r="X62" s="12">
        <f>X61+R62-R50*('Sens - Scenarios'!$B$6*VLOOKUP(B62,ChurnSeasonTable,4,FALSE))*POWER(1-('Sens - Scenarios'!$B$6*VLOOKUP(B62,ChurnSeasonTable,4,FALSE)),0)+R38*('Sens - Scenarios'!$B$6*VLOOKUP(B62,ChurnSeasonTable,4,FALSE))*POWER(1-('Sens - Scenarios'!$B$6*VLOOKUP(B62,ChurnSeasonTable,4,FALSE)),1)+R26*('Sens - Scenarios'!$B$6*VLOOKUP(B62,ChurnSeasonTable,4,FALSE))*POWER(1-('Sens - Scenarios'!$B$6*VLOOKUP(B62,ChurnSeasonTable,4,FALSE)),2)+R14*('Sens - Scenarios'!$B$6*VLOOKUP(B62,ChurnSeasonTable,4,FALSE))*POWER(1-('Sens - Scenarios'!$B$6*VLOOKUP(B62,ChurnSeasonTable,4,FALSE)),3)</f>
        <v/>
      </c>
      <c r="Y62" s="12">
        <f>S62+T62+U62+V62+W62+X62</f>
        <v/>
      </c>
      <c r="Z62" s="9">
        <f>S62*BlendedPriceEssMonthly*E62+T62*BlendedPricePremMonthly*E62+U62*BlendedPriceEliteMonthly*E62+V62*BlendedPriceEssAnnual*E62/12+W62*BlendedPricePremAnnual*E62/12+X62*BlendedPriceEliteAnnual*E62/12</f>
        <v/>
      </c>
      <c r="AA62" s="9">
        <f>Z62*12</f>
        <v/>
      </c>
      <c r="AB62" s="12">
        <f>S62*BlendedPriceEssMonthly*E62+T62*BlendedPricePremMonthly*E62+U62*BlendedPriceEliteMonthly*E62</f>
        <v/>
      </c>
      <c r="AC62" s="12">
        <f>P62*BlendedPriceEssAnnual*E62+Q62*BlendedPricePremAnnual*E62+R62*BlendedPriceEliteAnnual*E62</f>
        <v/>
      </c>
      <c r="AD62" s="12">
        <f>P50*POWER(1-('Sens - Scenarios'!$B$6*VLOOKUP(B62,ChurnSeasonTable,4,FALSE)),1)*BlendedPriceEssAnnual*E62+P38*POWER(1-('Sens - Scenarios'!$B$6*VLOOKUP(B62,ChurnSeasonTable,4,FALSE)),2)*BlendedPriceEssAnnual*E62+P26*POWER(1-('Sens - Scenarios'!$B$6*VLOOKUP(B62,ChurnSeasonTable,4,FALSE)),3)*BlendedPriceEssAnnual*E62+P14*POWER(1-('Sens - Scenarios'!$B$6*VLOOKUP(B62,ChurnSeasonTable,4,FALSE)),4)*BlendedPriceEssAnnual*E62+Q50*POWER(1-('Sens - Scenarios'!$B$6*VLOOKUP(B62,ChurnSeasonTable,4,FALSE)),1)*BlendedPricePremAnnual*E62+Q38*POWER(1-('Sens - Scenarios'!$B$6*VLOOKUP(B62,ChurnSeasonTable,4,FALSE)),2)*BlendedPricePremAnnual*E62+Q26*POWER(1-('Sens - Scenarios'!$B$6*VLOOKUP(B62,ChurnSeasonTable,4,FALSE)),3)*BlendedPricePremAnnual*E62+Q14*POWER(1-('Sens - Scenarios'!$B$6*VLOOKUP(B62,ChurnSeasonTable,4,FALSE)),4)*BlendedPricePremAnnual*E62+R50*POWER(1-('Sens - Scenarios'!$B$6*VLOOKUP(B62,ChurnSeasonTable,4,FALSE)),1)*BlendedPriceEliteAnnual*E62+R38*POWER(1-('Sens - Scenarios'!$B$6*VLOOKUP(B62,ChurnSeasonTable,4,FALSE)),2)*BlendedPriceEliteAnnual*E62+R26*POWER(1-('Sens - Scenarios'!$B$6*VLOOKUP(B62,ChurnSeasonTable,4,FALSE)),3)*BlendedPriceEliteAnnual*E62+R14*POWER(1-('Sens - Scenarios'!$B$6*VLOOKUP(B62,ChurnSeasonTable,4,FALSE)),4)*BlendedPriceEliteAnnual*E62</f>
        <v/>
      </c>
      <c r="AE62" s="9">
        <f>AB62+AC62+AD62</f>
        <v/>
      </c>
      <c r="AF62" s="12">
        <f>SUM(AE51:AE62)</f>
        <v/>
      </c>
      <c r="AG62" s="12">
        <f>OR(AG61,IF(VATAgentMode,SUM($AE51:$AE62)-SUM($AL51:$AL62)&gt;=VATThreshold,SUM($AE51:$AE62)&gt;=VATThreshold))</f>
        <v/>
      </c>
      <c r="AH62" s="9">
        <f>IF(AG62,IF(VATAgentMode,AE62-((AE62-AL62)-(AE62-AL62)/(1+VATRate)),AE62/(1+VATRate)),AE62)</f>
        <v/>
      </c>
      <c r="AI62" s="12">
        <f>AE62-AH62</f>
        <v/>
      </c>
      <c r="AJ62" s="12">
        <f>IF(AG62=0,0,IF(B62=1,SUMPRODUCT(--(($C$5:$C62=$C62-1)*($B$5:$B62&gt;=10)*($B$5:$B62&lt;=12)),$AI$5:$AI62),IF(B62=4,SUMPRODUCT(--(($C$5:$C62=$C62)*($B$5:$B62&gt;=1)*($B$5:$B62&lt;=3)),$AI$5:$AI62),IF(B62=7,SUMPRODUCT(--(($C$5:$C62=$C62)*($B$5:$B62&gt;=4)*($B$5:$B62&lt;=6)),$AI$5:$AI62),IF(B62=10,SUMPRODUCT(--(($C$5:$C62=$C62)*($B$5:$B62&gt;=7)*($B$5:$B62&lt;=9)),$AI$5:$AI62),0)))))</f>
        <v/>
      </c>
      <c r="AK62" s="12">
        <f>AK61+AI62-AJ62</f>
        <v/>
      </c>
      <c r="AL62" s="12">
        <f>IF(ProviderDelay&gt;=1,S61*BlendedProvPayEss+T61*BlendedProvPayPrem+U61*BlendedProvPayElite+V61*BlendedProvPayEss+W61*BlendedProvPayPrem+X61*BlendedProvPayElite,S62*BlendedProvPayEss+T62*BlendedProvPayPrem+U62*BlendedProvPayElite+V62*BlendedProvPayEss+W62*BlendedProvPayPrem+X62*BlendedProvPayElite)</f>
        <v/>
      </c>
      <c r="AM62" s="12">
        <f>AE62*PaymentFee</f>
        <v/>
      </c>
      <c r="AN62" s="12">
        <f>Y62*OpsAI</f>
        <v/>
      </c>
      <c r="AO62" s="12">
        <f>MonthlyFixed</f>
        <v/>
      </c>
      <c r="AP62" s="12">
        <f>I62*ReferralReward</f>
        <v/>
      </c>
      <c r="AQ62" s="12">
        <f>G62</f>
        <v/>
      </c>
      <c r="AR62" s="9">
        <f>AH62-AL62-AM62-AN62-AO62-AP62-AQ62</f>
        <v/>
      </c>
      <c r="AS62" s="9">
        <f>AS61+AE62-(AL62+AM62+AN62+AO62+AP62+AQ62+AJ62)</f>
        <v/>
      </c>
      <c r="AT62" s="12">
        <f>IF(Y62&gt;0,Z62/Y62,0)</f>
        <v/>
      </c>
      <c r="AU62" s="11">
        <f>IF(Y61&gt;0,MAX(0,(Y61+J62-Y62)/Y61),0)</f>
        <v/>
      </c>
      <c r="AW62" s="12" t="n">
        <v>58</v>
      </c>
      <c r="AX62" s="12">
        <f>MOD(AW62-1+LaunchMonth-1,12)+1</f>
        <v/>
      </c>
      <c r="AY62" s="12">
        <f>INT((AW62-1+LaunchMonth-1)/12)+1</f>
        <v/>
      </c>
      <c r="AZ62" s="12">
        <f>VLOOKUP(AX62,SeasonTable,2,FALSE)</f>
        <v/>
      </c>
      <c r="BA62" s="12">
        <f>(1+InflationRate)^INT((AW62-1)/12)</f>
        <v/>
      </c>
      <c r="BB62" s="11">
        <f>MonthlyChurn*VLOOKUP(AX62,ChurnSeasonTable,4,FALSE)</f>
        <v/>
      </c>
      <c r="BC62" s="12">
        <f>MIN(MAX(MktMin19plus,CA61*MktPct19plus),MAX(0,CO61-CashBuffer))</f>
        <v/>
      </c>
      <c r="BD62" s="12">
        <f>IF(BC62&gt;0,MAX(1,ROUND(BC62/CAC*AZ62,0)),0)</f>
        <v/>
      </c>
      <c r="BE62" s="12">
        <f>IF(BD62&gt;0,ROUND(BD62*ReferralMix/(1-ReferralMix),0),0)</f>
        <v/>
      </c>
      <c r="BF62" s="12">
        <f>BD62+BE62</f>
        <v/>
      </c>
      <c r="BG62" s="12">
        <f>ROUND(BF62*(1-AnnualMix),0)</f>
        <v/>
      </c>
      <c r="BH62" s="12">
        <f>BF62-BG62</f>
        <v/>
      </c>
      <c r="BI62" s="12">
        <f>ROUND(BG62*EssentialMix,0)</f>
        <v/>
      </c>
      <c r="BJ62" s="12">
        <f>ROUND(BG62*PremiumMix,0)</f>
        <v/>
      </c>
      <c r="BK62" s="12">
        <f>BG62-BI62-BJ62</f>
        <v/>
      </c>
      <c r="BL62" s="12">
        <f>ROUND(BH62*EssentialMix,0)</f>
        <v/>
      </c>
      <c r="BM62" s="12">
        <f>ROUND(BH62*PremiumMix,0)</f>
        <v/>
      </c>
      <c r="BN62" s="12">
        <f>BH62-BL62-BM62</f>
        <v/>
      </c>
      <c r="BO62" s="12">
        <f>BI62+BI61+BI60+MAX(0,BO61-BI61-BI60)*(1-BB62)</f>
        <v/>
      </c>
      <c r="BP62" s="12">
        <f>BJ62+BJ61+BJ60+MAX(0,BP61-BJ61-BJ60)*(1-BB62)</f>
        <v/>
      </c>
      <c r="BQ62" s="12">
        <f>BK62+BK61+BK60+MAX(0,BQ61-BK61-BK60)*(1-BB62)</f>
        <v/>
      </c>
      <c r="BR62" s="12">
        <f>BR61+BL62-BL50*(AnnualChurn*VLOOKUP(AX62,ChurnSeasonTable,4,FALSE))*POWER(1-(AnnualChurn*VLOOKUP(AX62,ChurnSeasonTable,4,FALSE)),0)+BL38*(AnnualChurn*VLOOKUP(AX62,ChurnSeasonTable,4,FALSE))*POWER(1-(AnnualChurn*VLOOKUP(AX62,ChurnSeasonTable,4,FALSE)),1)+BL26*(AnnualChurn*VLOOKUP(AX62,ChurnSeasonTable,4,FALSE))*POWER(1-(AnnualChurn*VLOOKUP(AX62,ChurnSeasonTable,4,FALSE)),2)+BL14*(AnnualChurn*VLOOKUP(AX62,ChurnSeasonTable,4,FALSE))*POWER(1-(AnnualChurn*VLOOKUP(AX62,ChurnSeasonTable,4,FALSE)),3)</f>
        <v/>
      </c>
      <c r="BS62" s="12">
        <f>BS61+BM62-BM50*(AnnualChurn*VLOOKUP(AX62,ChurnSeasonTable,4,FALSE))*POWER(1-(AnnualChurn*VLOOKUP(AX62,ChurnSeasonTable,4,FALSE)),0)+BM38*(AnnualChurn*VLOOKUP(AX62,ChurnSeasonTable,4,FALSE))*POWER(1-(AnnualChurn*VLOOKUP(AX62,ChurnSeasonTable,4,FALSE)),1)+BM26*(AnnualChurn*VLOOKUP(AX62,ChurnSeasonTable,4,FALSE))*POWER(1-(AnnualChurn*VLOOKUP(AX62,ChurnSeasonTable,4,FALSE)),2)+BM14*(AnnualChurn*VLOOKUP(AX62,ChurnSeasonTable,4,FALSE))*POWER(1-(AnnualChurn*VLOOKUP(AX62,ChurnSeasonTable,4,FALSE)),3)</f>
        <v/>
      </c>
      <c r="BT62" s="12">
        <f>BT61+BN62-BN50*(AnnualChurn*VLOOKUP(AX62,ChurnSeasonTable,4,FALSE))*POWER(1-(AnnualChurn*VLOOKUP(AX62,ChurnSeasonTable,4,FALSE)),0)+BN38*(AnnualChurn*VLOOKUP(AX62,ChurnSeasonTable,4,FALSE))*POWER(1-(AnnualChurn*VLOOKUP(AX62,ChurnSeasonTable,4,FALSE)),1)+BN26*(AnnualChurn*VLOOKUP(AX62,ChurnSeasonTable,4,FALSE))*POWER(1-(AnnualChurn*VLOOKUP(AX62,ChurnSeasonTable,4,FALSE)),2)+BN14*(AnnualChurn*VLOOKUP(AX62,ChurnSeasonTable,4,FALSE))*POWER(1-(AnnualChurn*VLOOKUP(AX62,ChurnSeasonTable,4,FALSE)),3)</f>
        <v/>
      </c>
      <c r="BU62" s="12">
        <f>BO62+BP62+BQ62+BR62+BS62+BT62</f>
        <v/>
      </c>
      <c r="BV62" s="9">
        <f>BO62*BlendedPriceEssMonthly*BA62+BP62*BlendedPricePremMonthly*BA62+BQ62*BlendedPriceEliteMonthly*BA62+BR62*BlendedPriceEssAnnual*BA62/12+BS62*BlendedPricePremAnnual*BA62/12+BT62*BlendedPriceEliteAnnual*BA62/12</f>
        <v/>
      </c>
      <c r="BW62" s="9">
        <f>BV62*12</f>
        <v/>
      </c>
      <c r="BX62" s="12">
        <f>BO62*BlendedPriceEssMonthly*BA62+BP62*BlendedPricePremMonthly*BA62+BQ62*BlendedPriceEliteMonthly*BA62</f>
        <v/>
      </c>
      <c r="BY62" s="12">
        <f>BL62*BlendedPriceEssAnnual*BA62+BM62*BlendedPricePremAnnual*BA62+BN62*BlendedPriceEliteAnnual*BA62</f>
        <v/>
      </c>
      <c r="BZ62" s="12">
        <f>BL50*POWER(1-(AnnualChurn*VLOOKUP(AX62,ChurnSeasonTable,4,FALSE)),1)*BlendedPriceEssAnnual*BA62+BL38*POWER(1-(AnnualChurn*VLOOKUP(AX62,ChurnSeasonTable,4,FALSE)),2)*BlendedPriceEssAnnual*BA62+BL26*POWER(1-(AnnualChurn*VLOOKUP(AX62,ChurnSeasonTable,4,FALSE)),3)*BlendedPriceEssAnnual*BA62+BL14*POWER(1-(AnnualChurn*VLOOKUP(AX62,ChurnSeasonTable,4,FALSE)),4)*BlendedPriceEssAnnual*BA62+BM50*POWER(1-(AnnualChurn*VLOOKUP(AX62,ChurnSeasonTable,4,FALSE)),1)*BlendedPricePremAnnual*BA62+BM38*POWER(1-(AnnualChurn*VLOOKUP(AX62,ChurnSeasonTable,4,FALSE)),2)*BlendedPricePremAnnual*BA62+BM26*POWER(1-(AnnualChurn*VLOOKUP(AX62,ChurnSeasonTable,4,FALSE)),3)*BlendedPricePremAnnual*BA62+BM14*POWER(1-(AnnualChurn*VLOOKUP(AX62,ChurnSeasonTable,4,FALSE)),4)*BlendedPricePremAnnual*BA62+BN50*POWER(1-(AnnualChurn*VLOOKUP(AX62,ChurnSeasonTable,4,FALSE)),1)*BlendedPriceEliteAnnual*BA62+BN38*POWER(1-(AnnualChurn*VLOOKUP(AX62,ChurnSeasonTable,4,FALSE)),2)*BlendedPriceEliteAnnual*BA62+BN26*POWER(1-(AnnualChurn*VLOOKUP(AX62,ChurnSeasonTable,4,FALSE)),3)*BlendedPriceEliteAnnual*BA62+BN14*POWER(1-(AnnualChurn*VLOOKUP(AX62,ChurnSeasonTable,4,FALSE)),4)*BlendedPriceEliteAnnual*BA62</f>
        <v/>
      </c>
      <c r="CA62" s="9">
        <f>BX62+BY62+BZ62</f>
        <v/>
      </c>
      <c r="CB62" s="12">
        <f>SUM(CA51:CA62)</f>
        <v/>
      </c>
      <c r="CC62" s="12">
        <f>OR(CC61,IF(VATAgentMode,SUM($CA51:$CA62)-SUM($CH51:$CH62)&gt;=VATThreshold,SUM($CA51:$CA62)&gt;=VATThreshold))</f>
        <v/>
      </c>
      <c r="CD62" s="9">
        <f>IF(CC62,IF(VATAgentMode,CA62-((CA62-CH62)-(CA62-CH62)/(1+VATRate)),CA62/(1+VATRate)),CA62)</f>
        <v/>
      </c>
      <c r="CE62" s="12">
        <f>CA62-CD62</f>
        <v/>
      </c>
      <c r="CF62" s="12">
        <f>IF(CC62=0,0,IF(AX62=1,SUMPRODUCT(--(($AY$5:$AY62=$AY62-1)*($AX$5:$AX62&gt;=10)*($AX$5:$AX62&lt;=12)),$CE$5:$CE62),IF(AX62=4,SUMPRODUCT(--(($AY$5:$AY62=$AY62)*($AX$5:$AX62&gt;=1)*($AX$5:$AX62&lt;=3)),$CE$5:$CE62),IF(AX62=7,SUMPRODUCT(--(($AY$5:$AY62=$AY62)*($AX$5:$AX62&gt;=4)*($AX$5:$AX62&lt;=6)),$CE$5:$CE62),IF(AX62=10,SUMPRODUCT(--(($AY$5:$AY62=$AY62)*($AX$5:$AX62&gt;=7)*($AX$5:$AX62&lt;=9)),$CE$5:$CE62),0)))))</f>
        <v/>
      </c>
      <c r="CG62" s="12">
        <f>CG61+CE62-CF62</f>
        <v/>
      </c>
      <c r="CH62" s="12">
        <f>IF(ProviderDelay&gt;=1,BO61*BlendedProvPayEss+BP61*BlendedProvPayPrem+BQ61*BlendedProvPayElite+BR61*BlendedProvPayEss+BS61*BlendedProvPayPrem+BT61*BlendedProvPayElite,BO62*BlendedProvPayEss+BP62*BlendedProvPayPrem+BQ62*BlendedProvPayElite+BR62*BlendedProvPayEss+BS62*BlendedProvPayPrem+BT62*BlendedProvPayElite)</f>
        <v/>
      </c>
      <c r="CI62" s="12">
        <f>CA62*PaymentFee</f>
        <v/>
      </c>
      <c r="CJ62" s="12">
        <f>BU62*OpsAI</f>
        <v/>
      </c>
      <c r="CK62" s="12">
        <f>MonthlyFixed</f>
        <v/>
      </c>
      <c r="CL62" s="12">
        <f>BE62*ReferralReward</f>
        <v/>
      </c>
      <c r="CM62" s="12">
        <f>BC62</f>
        <v/>
      </c>
      <c r="CN62" s="9">
        <f>CD62-CH62-CI62-CJ62-CK62-CL62-CM62</f>
        <v/>
      </c>
      <c r="CO62" s="9">
        <f>CO61+CA62-(CH62+CI62+CJ62+CK62+CL62+CM62+CF62)</f>
        <v/>
      </c>
      <c r="CP62" s="12">
        <f>IF(BU62&gt;0,BV62/BU62,0)</f>
        <v/>
      </c>
      <c r="CQ62" s="11">
        <f>IF(BU61&gt;0,MAX(0,(BU61+BF62-BU62)/BU61),0)</f>
        <v/>
      </c>
      <c r="CS62" s="12" t="n">
        <v>58</v>
      </c>
      <c r="CT62" s="12">
        <f>MOD(CS62-1+LaunchMonth-1,12)+1</f>
        <v/>
      </c>
      <c r="CU62" s="12">
        <f>INT((CS62-1+LaunchMonth-1)/12)+1</f>
        <v/>
      </c>
      <c r="CV62" s="12">
        <f>VLOOKUP(CT62,SeasonTable,2,FALSE)</f>
        <v/>
      </c>
      <c r="CW62" s="12">
        <f>(1+InflationRate)^INT((CS62-1)/12)</f>
        <v/>
      </c>
      <c r="CX62" s="11">
        <f>'Sens - Scenarios'!$D$5*VLOOKUP(CT62,ChurnSeasonTable,4,FALSE)</f>
        <v/>
      </c>
      <c r="CY62" s="12">
        <f>MIN(MAX(MktMin19plus,DW61*MktPct19plus),MAX(0,EK61-CashBuffer))</f>
        <v/>
      </c>
      <c r="CZ62" s="12">
        <f>IF(CY62&gt;0,MAX(1,ROUND(CY62/'Sens - Scenarios'!$D$8*CV62,0)),0)</f>
        <v/>
      </c>
      <c r="DA62" s="12">
        <f>IF(CZ62&gt;0,ROUND(CZ62*ReferralMix/(1-ReferralMix),0),0)</f>
        <v/>
      </c>
      <c r="DB62" s="12">
        <f>CZ62+DA62</f>
        <v/>
      </c>
      <c r="DC62" s="12">
        <f>ROUND(DB62*(1-'Sens - Scenarios'!$D$7),0)</f>
        <v/>
      </c>
      <c r="DD62" s="12">
        <f>DB62-DC62</f>
        <v/>
      </c>
      <c r="DE62" s="12">
        <f>ROUND(DC62*EssentialMix,0)</f>
        <v/>
      </c>
      <c r="DF62" s="12">
        <f>ROUND(DC62*PremiumMix,0)</f>
        <v/>
      </c>
      <c r="DG62" s="12">
        <f>DC62-DE62-DF62</f>
        <v/>
      </c>
      <c r="DH62" s="12">
        <f>ROUND(DD62*EssentialMix,0)</f>
        <v/>
      </c>
      <c r="DI62" s="12">
        <f>ROUND(DD62*PremiumMix,0)</f>
        <v/>
      </c>
      <c r="DJ62" s="12">
        <f>DD62-DH62-DI62</f>
        <v/>
      </c>
      <c r="DK62" s="12">
        <f>DE62+DE61+DE60+MAX(0,DK61-DE61-DE60)*(1-CX62)</f>
        <v/>
      </c>
      <c r="DL62" s="12">
        <f>DF62+DF61+DF60+MAX(0,DL61-DF61-DF60)*(1-CX62)</f>
        <v/>
      </c>
      <c r="DM62" s="12">
        <f>DG62+DG61+DG60+MAX(0,DM61-DG61-DG60)*(1-CX62)</f>
        <v/>
      </c>
      <c r="DN62" s="12">
        <f>DN61+DH62-DH50*('Sens - Scenarios'!$D$6*VLOOKUP(CT62,ChurnSeasonTable,4,FALSE))*POWER(1-('Sens - Scenarios'!$D$6*VLOOKUP(CT62,ChurnSeasonTable,4,FALSE)),0)+DH38*('Sens - Scenarios'!$D$6*VLOOKUP(CT62,ChurnSeasonTable,4,FALSE))*POWER(1-('Sens - Scenarios'!$D$6*VLOOKUP(CT62,ChurnSeasonTable,4,FALSE)),1)+DH26*('Sens - Scenarios'!$D$6*VLOOKUP(CT62,ChurnSeasonTable,4,FALSE))*POWER(1-('Sens - Scenarios'!$D$6*VLOOKUP(CT62,ChurnSeasonTable,4,FALSE)),2)+DH14*('Sens - Scenarios'!$D$6*VLOOKUP(CT62,ChurnSeasonTable,4,FALSE))*POWER(1-('Sens - Scenarios'!$D$6*VLOOKUP(CT62,ChurnSeasonTable,4,FALSE)),3)</f>
        <v/>
      </c>
      <c r="DO62" s="12">
        <f>DO61+DI62-DI50*('Sens - Scenarios'!$D$6*VLOOKUP(CT62,ChurnSeasonTable,4,FALSE))*POWER(1-('Sens - Scenarios'!$D$6*VLOOKUP(CT62,ChurnSeasonTable,4,FALSE)),0)+DI38*('Sens - Scenarios'!$D$6*VLOOKUP(CT62,ChurnSeasonTable,4,FALSE))*POWER(1-('Sens - Scenarios'!$D$6*VLOOKUP(CT62,ChurnSeasonTable,4,FALSE)),1)+DI26*('Sens - Scenarios'!$D$6*VLOOKUP(CT62,ChurnSeasonTable,4,FALSE))*POWER(1-('Sens - Scenarios'!$D$6*VLOOKUP(CT62,ChurnSeasonTable,4,FALSE)),2)+DI14*('Sens - Scenarios'!$D$6*VLOOKUP(CT62,ChurnSeasonTable,4,FALSE))*POWER(1-('Sens - Scenarios'!$D$6*VLOOKUP(CT62,ChurnSeasonTable,4,FALSE)),3)</f>
        <v/>
      </c>
      <c r="DP62" s="12">
        <f>DP61+DJ62-DJ50*('Sens - Scenarios'!$D$6*VLOOKUP(CT62,ChurnSeasonTable,4,FALSE))*POWER(1-('Sens - Scenarios'!$D$6*VLOOKUP(CT62,ChurnSeasonTable,4,FALSE)),0)+DJ38*('Sens - Scenarios'!$D$6*VLOOKUP(CT62,ChurnSeasonTable,4,FALSE))*POWER(1-('Sens - Scenarios'!$D$6*VLOOKUP(CT62,ChurnSeasonTable,4,FALSE)),1)+DJ26*('Sens - Scenarios'!$D$6*VLOOKUP(CT62,ChurnSeasonTable,4,FALSE))*POWER(1-('Sens - Scenarios'!$D$6*VLOOKUP(CT62,ChurnSeasonTable,4,FALSE)),2)+DJ14*('Sens - Scenarios'!$D$6*VLOOKUP(CT62,ChurnSeasonTable,4,FALSE))*POWER(1-('Sens - Scenarios'!$D$6*VLOOKUP(CT62,ChurnSeasonTable,4,FALSE)),3)</f>
        <v/>
      </c>
      <c r="DQ62" s="12">
        <f>DK62+DL62+DM62+DN62+DO62+DP62</f>
        <v/>
      </c>
      <c r="DR62" s="9">
        <f>DK62*BlendedPriceEssMonthly*CW62+DL62*BlendedPricePremMonthly*CW62+DM62*BlendedPriceEliteMonthly*CW62+DN62*BlendedPriceEssAnnual*CW62/12+DO62*BlendedPricePremAnnual*CW62/12+DP62*BlendedPriceEliteAnnual*CW62/12</f>
        <v/>
      </c>
      <c r="DS62" s="9">
        <f>DR62*12</f>
        <v/>
      </c>
      <c r="DT62" s="12">
        <f>DK62*BlendedPriceEssMonthly*CW62+DL62*BlendedPricePremMonthly*CW62+DM62*BlendedPriceEliteMonthly*CW62</f>
        <v/>
      </c>
      <c r="DU62" s="12">
        <f>DH62*BlendedPriceEssAnnual*CW62+DI62*BlendedPricePremAnnual*CW62+DJ62*BlendedPriceEliteAnnual*CW62</f>
        <v/>
      </c>
      <c r="DV62" s="12">
        <f>DH50*POWER(1-('Sens - Scenarios'!$D$6*VLOOKUP(CT62,ChurnSeasonTable,4,FALSE)),1)*BlendedPriceEssAnnual*CW62+DH38*POWER(1-('Sens - Scenarios'!$D$6*VLOOKUP(CT62,ChurnSeasonTable,4,FALSE)),2)*BlendedPriceEssAnnual*CW62+DH26*POWER(1-('Sens - Scenarios'!$D$6*VLOOKUP(CT62,ChurnSeasonTable,4,FALSE)),3)*BlendedPriceEssAnnual*CW62+DH14*POWER(1-('Sens - Scenarios'!$D$6*VLOOKUP(CT62,ChurnSeasonTable,4,FALSE)),4)*BlendedPriceEssAnnual*CW62+DI50*POWER(1-('Sens - Scenarios'!$D$6*VLOOKUP(CT62,ChurnSeasonTable,4,FALSE)),1)*BlendedPricePremAnnual*CW62+DI38*POWER(1-('Sens - Scenarios'!$D$6*VLOOKUP(CT62,ChurnSeasonTable,4,FALSE)),2)*BlendedPricePremAnnual*CW62+DI26*POWER(1-('Sens - Scenarios'!$D$6*VLOOKUP(CT62,ChurnSeasonTable,4,FALSE)),3)*BlendedPricePremAnnual*CW62+DI14*POWER(1-('Sens - Scenarios'!$D$6*VLOOKUP(CT62,ChurnSeasonTable,4,FALSE)),4)*BlendedPricePremAnnual*CW62+DJ50*POWER(1-('Sens - Scenarios'!$D$6*VLOOKUP(CT62,ChurnSeasonTable,4,FALSE)),1)*BlendedPriceEliteAnnual*CW62+DJ38*POWER(1-('Sens - Scenarios'!$D$6*VLOOKUP(CT62,ChurnSeasonTable,4,FALSE)),2)*BlendedPriceEliteAnnual*CW62+DJ26*POWER(1-('Sens - Scenarios'!$D$6*VLOOKUP(CT62,ChurnSeasonTable,4,FALSE)),3)*BlendedPriceEliteAnnual*CW62+DJ14*POWER(1-('Sens - Scenarios'!$D$6*VLOOKUP(CT62,ChurnSeasonTable,4,FALSE)),4)*BlendedPriceEliteAnnual*CW62</f>
        <v/>
      </c>
      <c r="DW62" s="9">
        <f>DT62+DU62+DV62</f>
        <v/>
      </c>
      <c r="DX62" s="12">
        <f>SUM(DW51:DW62)</f>
        <v/>
      </c>
      <c r="DY62" s="12">
        <f>OR(DY61,IF(VATAgentMode,SUM($DW51:$DW62)-SUM($ED51:$ED62)&gt;=VATThreshold,SUM($DW51:$DW62)&gt;=VATThreshold))</f>
        <v/>
      </c>
      <c r="DZ62" s="9">
        <f>IF(DY62,IF(VATAgentMode,DW62-((DW62-ED62)-(DW62-ED62)/(1+VATRate)),DW62/(1+VATRate)),DW62)</f>
        <v/>
      </c>
      <c r="EA62" s="12">
        <f>DW62-DZ62</f>
        <v/>
      </c>
      <c r="EB62" s="12">
        <f>IF(DY62=0,0,IF(CT62=1,SUMPRODUCT(--(($CU$5:$CU62=$CU62-1)*($CT$5:$CT62&gt;=10)*($CT$5:$CT62&lt;=12)),$EA$5:$EA62),IF(CT62=4,SUMPRODUCT(--(($CU$5:$CU62=$CU62)*($CT$5:$CT62&gt;=1)*($CT$5:$CT62&lt;=3)),$EA$5:$EA62),IF(CT62=7,SUMPRODUCT(--(($CU$5:$CU62=$CU62)*($CT$5:$CT62&gt;=4)*($CT$5:$CT62&lt;=6)),$EA$5:$EA62),IF(CT62=10,SUMPRODUCT(--(($CU$5:$CU62=$CU62)*($CT$5:$CT62&gt;=7)*($CT$5:$CT62&lt;=9)),$EA$5:$EA62),0)))))</f>
        <v/>
      </c>
      <c r="EC62" s="12">
        <f>EC61+EA62-EB62</f>
        <v/>
      </c>
      <c r="ED62" s="12">
        <f>IF(ProviderDelay&gt;=1,DK61*BlendedProvPayEss+DL61*BlendedProvPayPrem+DM61*BlendedProvPayElite+DN61*BlendedProvPayEss+DO61*BlendedProvPayPrem+DP61*BlendedProvPayElite,DK62*BlendedProvPayEss+DL62*BlendedProvPayPrem+DM62*BlendedProvPayElite+DN62*BlendedProvPayEss+DO62*BlendedProvPayPrem+DP62*BlendedProvPayElite)</f>
        <v/>
      </c>
      <c r="EE62" s="12">
        <f>DW62*PaymentFee</f>
        <v/>
      </c>
      <c r="EF62" s="12">
        <f>DQ62*OpsAI</f>
        <v/>
      </c>
      <c r="EG62" s="12">
        <f>MonthlyFixed</f>
        <v/>
      </c>
      <c r="EH62" s="12">
        <f>DA62*ReferralReward</f>
        <v/>
      </c>
      <c r="EI62" s="12">
        <f>CY62</f>
        <v/>
      </c>
      <c r="EJ62" s="9">
        <f>DZ62-ED62-EE62-EF62-EG62-EH62-EI62</f>
        <v/>
      </c>
      <c r="EK62" s="9">
        <f>EK61+DW62-(ED62+EE62+EF62+EG62+EH62+EI62+EB62)</f>
        <v/>
      </c>
      <c r="EL62" s="12">
        <f>IF(DQ62&gt;0,DR62/DQ62,0)</f>
        <v/>
      </c>
      <c r="EM62" s="11">
        <f>IF(DQ61&gt;0,MAX(0,(DQ61+DB62-DQ62)/DQ61),0)</f>
        <v/>
      </c>
      <c r="EO62" s="12" t="n">
        <v>58</v>
      </c>
      <c r="EP62" s="12">
        <f>MOD(EO62-1+LaunchMonth-1,12)+1</f>
        <v/>
      </c>
      <c r="EQ62" s="12">
        <f>INT((EO62-1+LaunchMonth-1)/12)+1</f>
        <v/>
      </c>
      <c r="ER62" s="12">
        <f>VLOOKUP(EP62,SeasonTable,2,FALSE)</f>
        <v/>
      </c>
      <c r="ES62" s="12">
        <f>(1+InflationRate)^INT((EO62-1)/12)</f>
        <v/>
      </c>
      <c r="ET62" s="11">
        <f>'Sens - Churn'!$A$13*VLOOKUP(EP62,ChurnSeasonTable,4,FALSE)</f>
        <v/>
      </c>
      <c r="EU62" s="12">
        <f>MIN(MAX(MktMin19plus,FS61*MktPct19plus),MAX(0,GG61-CashBuffer))</f>
        <v/>
      </c>
      <c r="EV62" s="12">
        <f>IF(EU62&gt;0,MAX(1,ROUND(EU62/CAC*ER62,0)),0)</f>
        <v/>
      </c>
      <c r="EW62" s="12">
        <f>IF(EV62&gt;0,ROUND(EV62*ReferralMix/(1-ReferralMix),0),0)</f>
        <v/>
      </c>
      <c r="EX62" s="12">
        <f>EV62+EW62</f>
        <v/>
      </c>
      <c r="EY62" s="12">
        <f>ROUND(EX62*(1-AnnualMix),0)</f>
        <v/>
      </c>
      <c r="EZ62" s="12">
        <f>EX62-EY62</f>
        <v/>
      </c>
      <c r="FA62" s="12">
        <f>ROUND(EY62*EssentialMix,0)</f>
        <v/>
      </c>
      <c r="FB62" s="12">
        <f>ROUND(EY62*PremiumMix,0)</f>
        <v/>
      </c>
      <c r="FC62" s="12">
        <f>EY62-FA62-FB62</f>
        <v/>
      </c>
      <c r="FD62" s="12">
        <f>ROUND(EZ62*EssentialMix,0)</f>
        <v/>
      </c>
      <c r="FE62" s="12">
        <f>ROUND(EZ62*PremiumMix,0)</f>
        <v/>
      </c>
      <c r="FF62" s="12">
        <f>EZ62-FD62-FE62</f>
        <v/>
      </c>
      <c r="FG62" s="12">
        <f>FA62+FA61+FA60+MAX(0,FG61-FA61-FA60)*(1-ET62)</f>
        <v/>
      </c>
      <c r="FH62" s="12">
        <f>FB62+FB61+FB60+MAX(0,FH61-FB61-FB60)*(1-ET62)</f>
        <v/>
      </c>
      <c r="FI62" s="12">
        <f>FC62+FC61+FC60+MAX(0,FI61-FC61-FC60)*(1-ET62)</f>
        <v/>
      </c>
      <c r="FJ62" s="12">
        <f>FJ61+FD62-FD50*(AnnualChurn*VLOOKUP(EP62,ChurnSeasonTable,4,FALSE))*POWER(1-(AnnualChurn*VLOOKUP(EP62,ChurnSeasonTable,4,FALSE)),0)+FD38*(AnnualChurn*VLOOKUP(EP62,ChurnSeasonTable,4,FALSE))*POWER(1-(AnnualChurn*VLOOKUP(EP62,ChurnSeasonTable,4,FALSE)),1)+FD26*(AnnualChurn*VLOOKUP(EP62,ChurnSeasonTable,4,FALSE))*POWER(1-(AnnualChurn*VLOOKUP(EP62,ChurnSeasonTable,4,FALSE)),2)+FD14*(AnnualChurn*VLOOKUP(EP62,ChurnSeasonTable,4,FALSE))*POWER(1-(AnnualChurn*VLOOKUP(EP62,ChurnSeasonTable,4,FALSE)),3)</f>
        <v/>
      </c>
      <c r="FK62" s="12">
        <f>FK61+FE62-FE50*(AnnualChurn*VLOOKUP(EP62,ChurnSeasonTable,4,FALSE))*POWER(1-(AnnualChurn*VLOOKUP(EP62,ChurnSeasonTable,4,FALSE)),0)+FE38*(AnnualChurn*VLOOKUP(EP62,ChurnSeasonTable,4,FALSE))*POWER(1-(AnnualChurn*VLOOKUP(EP62,ChurnSeasonTable,4,FALSE)),1)+FE26*(AnnualChurn*VLOOKUP(EP62,ChurnSeasonTable,4,FALSE))*POWER(1-(AnnualChurn*VLOOKUP(EP62,ChurnSeasonTable,4,FALSE)),2)+FE14*(AnnualChurn*VLOOKUP(EP62,ChurnSeasonTable,4,FALSE))*POWER(1-(AnnualChurn*VLOOKUP(EP62,ChurnSeasonTable,4,FALSE)),3)</f>
        <v/>
      </c>
      <c r="FL62" s="12">
        <f>FL61+FF62-FF50*(AnnualChurn*VLOOKUP(EP62,ChurnSeasonTable,4,FALSE))*POWER(1-(AnnualChurn*VLOOKUP(EP62,ChurnSeasonTable,4,FALSE)),0)+FF38*(AnnualChurn*VLOOKUP(EP62,ChurnSeasonTable,4,FALSE))*POWER(1-(AnnualChurn*VLOOKUP(EP62,ChurnSeasonTable,4,FALSE)),1)+FF26*(AnnualChurn*VLOOKUP(EP62,ChurnSeasonTable,4,FALSE))*POWER(1-(AnnualChurn*VLOOKUP(EP62,ChurnSeasonTable,4,FALSE)),2)+FF14*(AnnualChurn*VLOOKUP(EP62,ChurnSeasonTable,4,FALSE))*POWER(1-(AnnualChurn*VLOOKUP(EP62,ChurnSeasonTable,4,FALSE)),3)</f>
        <v/>
      </c>
      <c r="FM62" s="12">
        <f>FG62+FH62+FI62+FJ62+FK62+FL62</f>
        <v/>
      </c>
      <c r="FN62" s="9">
        <f>FG62*BlendedPriceEssMonthly*ES62+FH62*BlendedPricePremMonthly*ES62+FI62*BlendedPriceEliteMonthly*ES62+FJ62*BlendedPriceEssAnnual*ES62/12+FK62*BlendedPricePremAnnual*ES62/12+FL62*BlendedPriceEliteAnnual*ES62/12</f>
        <v/>
      </c>
      <c r="FO62" s="9">
        <f>FN62*12</f>
        <v/>
      </c>
      <c r="FP62" s="12">
        <f>FG62*BlendedPriceEssMonthly*ES62+FH62*BlendedPricePremMonthly*ES62+FI62*BlendedPriceEliteMonthly*ES62</f>
        <v/>
      </c>
      <c r="FQ62" s="12">
        <f>FD62*BlendedPriceEssAnnual*ES62+FE62*BlendedPricePremAnnual*ES62+FF62*BlendedPriceEliteAnnual*ES62</f>
        <v/>
      </c>
      <c r="FR62" s="12">
        <f>FD50*POWER(1-(AnnualChurn*VLOOKUP(EP62,ChurnSeasonTable,4,FALSE)),1)*BlendedPriceEssAnnual*ES62+FD38*POWER(1-(AnnualChurn*VLOOKUP(EP62,ChurnSeasonTable,4,FALSE)),2)*BlendedPriceEssAnnual*ES62+FD26*POWER(1-(AnnualChurn*VLOOKUP(EP62,ChurnSeasonTable,4,FALSE)),3)*BlendedPriceEssAnnual*ES62+FD14*POWER(1-(AnnualChurn*VLOOKUP(EP62,ChurnSeasonTable,4,FALSE)),4)*BlendedPriceEssAnnual*ES62+FE50*POWER(1-(AnnualChurn*VLOOKUP(EP62,ChurnSeasonTable,4,FALSE)),1)*BlendedPricePremAnnual*ES62+FE38*POWER(1-(AnnualChurn*VLOOKUP(EP62,ChurnSeasonTable,4,FALSE)),2)*BlendedPricePremAnnual*ES62+FE26*POWER(1-(AnnualChurn*VLOOKUP(EP62,ChurnSeasonTable,4,FALSE)),3)*BlendedPricePremAnnual*ES62+FE14*POWER(1-(AnnualChurn*VLOOKUP(EP62,ChurnSeasonTable,4,FALSE)),4)*BlendedPricePremAnnual*ES62+FF50*POWER(1-(AnnualChurn*VLOOKUP(EP62,ChurnSeasonTable,4,FALSE)),1)*BlendedPriceEliteAnnual*ES62+FF38*POWER(1-(AnnualChurn*VLOOKUP(EP62,ChurnSeasonTable,4,FALSE)),2)*BlendedPriceEliteAnnual*ES62+FF26*POWER(1-(AnnualChurn*VLOOKUP(EP62,ChurnSeasonTable,4,FALSE)),3)*BlendedPriceEliteAnnual*ES62+FF14*POWER(1-(AnnualChurn*VLOOKUP(EP62,ChurnSeasonTable,4,FALSE)),4)*BlendedPriceEliteAnnual*ES62</f>
        <v/>
      </c>
      <c r="FS62" s="9">
        <f>FP62+FQ62+FR62</f>
        <v/>
      </c>
      <c r="FT62" s="12">
        <f>SUM(FS51:FS62)</f>
        <v/>
      </c>
      <c r="FU62" s="12">
        <f>OR(FU61,IF(VATAgentMode,SUM($FS51:$FS62)-SUM($FZ51:$FZ62)&gt;=VATThreshold,SUM($FS51:$FS62)&gt;=VATThreshold))</f>
        <v/>
      </c>
      <c r="FV62" s="9">
        <f>IF(FU62,IF(VATAgentMode,FS62-((FS62-FZ62)-(FS62-FZ62)/(1+VATRate)),FS62/(1+VATRate)),FS62)</f>
        <v/>
      </c>
      <c r="FW62" s="12">
        <f>FS62-FV62</f>
        <v/>
      </c>
      <c r="FX62" s="12">
        <f>IF(FU62=0,0,IF(EP62=1,SUMPRODUCT(--(($EQ$5:$EQ62=$EQ62-1)*($EP$5:$EP62&gt;=10)*($EP$5:$EP62&lt;=12)),$FW$5:$FW62),IF(EP62=4,SUMPRODUCT(--(($EQ$5:$EQ62=$EQ62)*($EP$5:$EP62&gt;=1)*($EP$5:$EP62&lt;=3)),$FW$5:$FW62),IF(EP62=7,SUMPRODUCT(--(($EQ$5:$EQ62=$EQ62)*($EP$5:$EP62&gt;=4)*($EP$5:$EP62&lt;=6)),$FW$5:$FW62),IF(EP62=10,SUMPRODUCT(--(($EQ$5:$EQ62=$EQ62)*($EP$5:$EP62&gt;=7)*($EP$5:$EP62&lt;=9)),$FW$5:$FW62),0)))))</f>
        <v/>
      </c>
      <c r="FY62" s="12">
        <f>FY61+FW62-FX62</f>
        <v/>
      </c>
      <c r="FZ62" s="12">
        <f>IF(ProviderDelay&gt;=1,FG61*BlendedProvPayEss+FH61*BlendedProvPayPrem+FI61*BlendedProvPayElite+FJ61*BlendedProvPayEss+FK61*BlendedProvPayPrem+FL61*BlendedProvPayElite,FG62*BlendedProvPayEss+FH62*BlendedProvPayPrem+FI62*BlendedProvPayElite+FJ62*BlendedProvPayEss+FK62*BlendedProvPayPrem+FL62*BlendedProvPayElite)</f>
        <v/>
      </c>
      <c r="GA62" s="12">
        <f>FS62*PaymentFee</f>
        <v/>
      </c>
      <c r="GB62" s="12">
        <f>FM62*OpsAI</f>
        <v/>
      </c>
      <c r="GC62" s="12">
        <f>MonthlyFixed</f>
        <v/>
      </c>
      <c r="GD62" s="12">
        <f>EW62*ReferralReward</f>
        <v/>
      </c>
      <c r="GE62" s="12">
        <f>EU62</f>
        <v/>
      </c>
      <c r="GF62" s="9">
        <f>FV62-FZ62-GA62-GB62-GC62-GD62-GE62</f>
        <v/>
      </c>
      <c r="GG62" s="9">
        <f>GG61+FS62-(FZ62+GA62+GB62+GC62+GD62+GE62+FX62)</f>
        <v/>
      </c>
      <c r="GH62" s="12">
        <f>IF(FM62&gt;0,FN62/FM62,0)</f>
        <v/>
      </c>
      <c r="GI62" s="11">
        <f>IF(FM61&gt;0,MAX(0,(FM61+EX62-FM62)/FM61),0)</f>
        <v/>
      </c>
      <c r="GK62" s="12" t="n">
        <v>58</v>
      </c>
      <c r="GL62" s="12">
        <f>MOD(GK62-1+LaunchMonth-1,12)+1</f>
        <v/>
      </c>
      <c r="GM62" s="12">
        <f>INT((GK62-1+LaunchMonth-1)/12)+1</f>
        <v/>
      </c>
      <c r="GN62" s="12">
        <f>VLOOKUP(GL62,SeasonTable,2,FALSE)</f>
        <v/>
      </c>
      <c r="GO62" s="12">
        <f>(1+InflationRate)^INT((GK62-1)/12)</f>
        <v/>
      </c>
      <c r="GP62" s="11">
        <f>'Sens - Churn'!$A$14*VLOOKUP(GL62,ChurnSeasonTable,4,FALSE)</f>
        <v/>
      </c>
      <c r="GQ62" s="12">
        <f>MIN(MAX(MktMin19plus,HO61*MktPct19plus),MAX(0,IC61-CashBuffer))</f>
        <v/>
      </c>
      <c r="GR62" s="12">
        <f>IF(GQ62&gt;0,MAX(1,ROUND(GQ62/CAC*GN62,0)),0)</f>
        <v/>
      </c>
      <c r="GS62" s="12">
        <f>IF(GR62&gt;0,ROUND(GR62*ReferralMix/(1-ReferralMix),0),0)</f>
        <v/>
      </c>
      <c r="GT62" s="12">
        <f>GR62+GS62</f>
        <v/>
      </c>
      <c r="GU62" s="12">
        <f>ROUND(GT62*(1-AnnualMix),0)</f>
        <v/>
      </c>
      <c r="GV62" s="12">
        <f>GT62-GU62</f>
        <v/>
      </c>
      <c r="GW62" s="12">
        <f>ROUND(GU62*EssentialMix,0)</f>
        <v/>
      </c>
      <c r="GX62" s="12">
        <f>ROUND(GU62*PremiumMix,0)</f>
        <v/>
      </c>
      <c r="GY62" s="12">
        <f>GU62-GW62-GX62</f>
        <v/>
      </c>
      <c r="GZ62" s="12">
        <f>ROUND(GV62*EssentialMix,0)</f>
        <v/>
      </c>
      <c r="HA62" s="12">
        <f>ROUND(GV62*PremiumMix,0)</f>
        <v/>
      </c>
      <c r="HB62" s="12">
        <f>GV62-GZ62-HA62</f>
        <v/>
      </c>
      <c r="HC62" s="12">
        <f>GW62+GW61+GW60+MAX(0,HC61-GW61-GW60)*(1-GP62)</f>
        <v/>
      </c>
      <c r="HD62" s="12">
        <f>GX62+GX61+GX60+MAX(0,HD61-GX61-GX60)*(1-GP62)</f>
        <v/>
      </c>
      <c r="HE62" s="12">
        <f>GY62+GY61+GY60+MAX(0,HE61-GY61-GY60)*(1-GP62)</f>
        <v/>
      </c>
      <c r="HF62" s="12">
        <f>HF61+GZ62-GZ50*(AnnualChurn*VLOOKUP(GL62,ChurnSeasonTable,4,FALSE))*POWER(1-(AnnualChurn*VLOOKUP(GL62,ChurnSeasonTable,4,FALSE)),0)+GZ38*(AnnualChurn*VLOOKUP(GL62,ChurnSeasonTable,4,FALSE))*POWER(1-(AnnualChurn*VLOOKUP(GL62,ChurnSeasonTable,4,FALSE)),1)+GZ26*(AnnualChurn*VLOOKUP(GL62,ChurnSeasonTable,4,FALSE))*POWER(1-(AnnualChurn*VLOOKUP(GL62,ChurnSeasonTable,4,FALSE)),2)+GZ14*(AnnualChurn*VLOOKUP(GL62,ChurnSeasonTable,4,FALSE))*POWER(1-(AnnualChurn*VLOOKUP(GL62,ChurnSeasonTable,4,FALSE)),3)</f>
        <v/>
      </c>
      <c r="HG62" s="12">
        <f>HG61+HA62-HA50*(AnnualChurn*VLOOKUP(GL62,ChurnSeasonTable,4,FALSE))*POWER(1-(AnnualChurn*VLOOKUP(GL62,ChurnSeasonTable,4,FALSE)),0)+HA38*(AnnualChurn*VLOOKUP(GL62,ChurnSeasonTable,4,FALSE))*POWER(1-(AnnualChurn*VLOOKUP(GL62,ChurnSeasonTable,4,FALSE)),1)+HA26*(AnnualChurn*VLOOKUP(GL62,ChurnSeasonTable,4,FALSE))*POWER(1-(AnnualChurn*VLOOKUP(GL62,ChurnSeasonTable,4,FALSE)),2)+HA14*(AnnualChurn*VLOOKUP(GL62,ChurnSeasonTable,4,FALSE))*POWER(1-(AnnualChurn*VLOOKUP(GL62,ChurnSeasonTable,4,FALSE)),3)</f>
        <v/>
      </c>
      <c r="HH62" s="12">
        <f>HH61+HB62-HB50*(AnnualChurn*VLOOKUP(GL62,ChurnSeasonTable,4,FALSE))*POWER(1-(AnnualChurn*VLOOKUP(GL62,ChurnSeasonTable,4,FALSE)),0)+HB38*(AnnualChurn*VLOOKUP(GL62,ChurnSeasonTable,4,FALSE))*POWER(1-(AnnualChurn*VLOOKUP(GL62,ChurnSeasonTable,4,FALSE)),1)+HB26*(AnnualChurn*VLOOKUP(GL62,ChurnSeasonTable,4,FALSE))*POWER(1-(AnnualChurn*VLOOKUP(GL62,ChurnSeasonTable,4,FALSE)),2)+HB14*(AnnualChurn*VLOOKUP(GL62,ChurnSeasonTable,4,FALSE))*POWER(1-(AnnualChurn*VLOOKUP(GL62,ChurnSeasonTable,4,FALSE)),3)</f>
        <v/>
      </c>
      <c r="HI62" s="12">
        <f>HC62+HD62+HE62+HF62+HG62+HH62</f>
        <v/>
      </c>
      <c r="HJ62" s="9">
        <f>HC62*BlendedPriceEssMonthly*GO62+HD62*BlendedPricePremMonthly*GO62+HE62*BlendedPriceEliteMonthly*GO62+HF62*BlendedPriceEssAnnual*GO62/12+HG62*BlendedPricePremAnnual*GO62/12+HH62*BlendedPriceEliteAnnual*GO62/12</f>
        <v/>
      </c>
      <c r="HK62" s="9">
        <f>HJ62*12</f>
        <v/>
      </c>
      <c r="HL62" s="12">
        <f>HC62*BlendedPriceEssMonthly*GO62+HD62*BlendedPricePremMonthly*GO62+HE62*BlendedPriceEliteMonthly*GO62</f>
        <v/>
      </c>
      <c r="HM62" s="12">
        <f>GZ62*BlendedPriceEssAnnual*GO62+HA62*BlendedPricePremAnnual*GO62+HB62*BlendedPriceEliteAnnual*GO62</f>
        <v/>
      </c>
      <c r="HN62" s="12">
        <f>GZ50*POWER(1-(AnnualChurn*VLOOKUP(GL62,ChurnSeasonTable,4,FALSE)),1)*BlendedPriceEssAnnual*GO62+GZ38*POWER(1-(AnnualChurn*VLOOKUP(GL62,ChurnSeasonTable,4,FALSE)),2)*BlendedPriceEssAnnual*GO62+GZ26*POWER(1-(AnnualChurn*VLOOKUP(GL62,ChurnSeasonTable,4,FALSE)),3)*BlendedPriceEssAnnual*GO62+GZ14*POWER(1-(AnnualChurn*VLOOKUP(GL62,ChurnSeasonTable,4,FALSE)),4)*BlendedPriceEssAnnual*GO62+HA50*POWER(1-(AnnualChurn*VLOOKUP(GL62,ChurnSeasonTable,4,FALSE)),1)*BlendedPricePremAnnual*GO62+HA38*POWER(1-(AnnualChurn*VLOOKUP(GL62,ChurnSeasonTable,4,FALSE)),2)*BlendedPricePremAnnual*GO62+HA26*POWER(1-(AnnualChurn*VLOOKUP(GL62,ChurnSeasonTable,4,FALSE)),3)*BlendedPricePremAnnual*GO62+HA14*POWER(1-(AnnualChurn*VLOOKUP(GL62,ChurnSeasonTable,4,FALSE)),4)*BlendedPricePremAnnual*GO62+HB50*POWER(1-(AnnualChurn*VLOOKUP(GL62,ChurnSeasonTable,4,FALSE)),1)*BlendedPriceEliteAnnual*GO62+HB38*POWER(1-(AnnualChurn*VLOOKUP(GL62,ChurnSeasonTable,4,FALSE)),2)*BlendedPriceEliteAnnual*GO62+HB26*POWER(1-(AnnualChurn*VLOOKUP(GL62,ChurnSeasonTable,4,FALSE)),3)*BlendedPriceEliteAnnual*GO62+HB14*POWER(1-(AnnualChurn*VLOOKUP(GL62,ChurnSeasonTable,4,FALSE)),4)*BlendedPriceEliteAnnual*GO62</f>
        <v/>
      </c>
      <c r="HO62" s="9">
        <f>HL62+HM62+HN62</f>
        <v/>
      </c>
      <c r="HP62" s="12">
        <f>SUM(HO51:HO62)</f>
        <v/>
      </c>
      <c r="HQ62" s="12">
        <f>OR(HQ61,IF(VATAgentMode,SUM($HO51:$HO62)-SUM($HV51:$HV62)&gt;=VATThreshold,SUM($HO51:$HO62)&gt;=VATThreshold))</f>
        <v/>
      </c>
      <c r="HR62" s="9">
        <f>IF(HQ62,IF(VATAgentMode,HO62-((HO62-HV62)-(HO62-HV62)/(1+VATRate)),HO62/(1+VATRate)),HO62)</f>
        <v/>
      </c>
      <c r="HS62" s="12">
        <f>HO62-HR62</f>
        <v/>
      </c>
      <c r="HT62" s="12">
        <f>IF(HQ62=0,0,IF(GL62=1,SUMPRODUCT(--(($GM$5:$GM62=$GM62-1)*($GL$5:$GL62&gt;=10)*($GL$5:$GL62&lt;=12)),$HS$5:$HS62),IF(GL62=4,SUMPRODUCT(--(($GM$5:$GM62=$GM62)*($GL$5:$GL62&gt;=1)*($GL$5:$GL62&lt;=3)),$HS$5:$HS62),IF(GL62=7,SUMPRODUCT(--(($GM$5:$GM62=$GM62)*($GL$5:$GL62&gt;=4)*($GL$5:$GL62&lt;=6)),$HS$5:$HS62),IF(GL62=10,SUMPRODUCT(--(($GM$5:$GM62=$GM62)*($GL$5:$GL62&gt;=7)*($GL$5:$GL62&lt;=9)),$HS$5:$HS62),0)))))</f>
        <v/>
      </c>
      <c r="HU62" s="12">
        <f>HU61+HS62-HT62</f>
        <v/>
      </c>
      <c r="HV62" s="12">
        <f>IF(ProviderDelay&gt;=1,HC61*BlendedProvPayEss+HD61*BlendedProvPayPrem+HE61*BlendedProvPayElite+HF61*BlendedProvPayEss+HG61*BlendedProvPayPrem+HH61*BlendedProvPayElite,HC62*BlendedProvPayEss+HD62*BlendedProvPayPrem+HE62*BlendedProvPayElite+HF62*BlendedProvPayEss+HG62*BlendedProvPayPrem+HH62*BlendedProvPayElite)</f>
        <v/>
      </c>
      <c r="HW62" s="12">
        <f>HO62*PaymentFee</f>
        <v/>
      </c>
      <c r="HX62" s="12">
        <f>HI62*OpsAI</f>
        <v/>
      </c>
      <c r="HY62" s="12">
        <f>MonthlyFixed</f>
        <v/>
      </c>
      <c r="HZ62" s="12">
        <f>GS62*ReferralReward</f>
        <v/>
      </c>
      <c r="IA62" s="12">
        <f>GQ62</f>
        <v/>
      </c>
      <c r="IB62" s="9">
        <f>HR62-HV62-HW62-HX62-HY62-HZ62-IA62</f>
        <v/>
      </c>
      <c r="IC62" s="9">
        <f>IC61+HO62-(HV62+HW62+HX62+HY62+HZ62+IA62+HT62)</f>
        <v/>
      </c>
      <c r="ID62" s="12">
        <f>IF(HI62&gt;0,HJ62/HI62,0)</f>
        <v/>
      </c>
      <c r="IE62" s="11">
        <f>IF(HI61&gt;0,MAX(0,(HI61+GT62-HI62)/HI61),0)</f>
        <v/>
      </c>
      <c r="IG62" s="12" t="n">
        <v>58</v>
      </c>
      <c r="IH62" s="12">
        <f>MOD(IG62-1+LaunchMonth-1,12)+1</f>
        <v/>
      </c>
      <c r="II62" s="12">
        <f>INT((IG62-1+LaunchMonth-1)/12)+1</f>
        <v/>
      </c>
      <c r="IJ62" s="12">
        <f>VLOOKUP(IH62,SeasonTable,2,FALSE)</f>
        <v/>
      </c>
      <c r="IK62" s="12">
        <f>(1+InflationRate)^INT((IG62-1)/12)</f>
        <v/>
      </c>
      <c r="IL62" s="11">
        <f>'Sens - Churn'!$A$15*VLOOKUP(IH62,ChurnSeasonTable,4,FALSE)</f>
        <v/>
      </c>
      <c r="IM62" s="12">
        <f>MIN(MAX(MktMin19plus,JK61*MktPct19plus),MAX(0,JY61-CashBuffer))</f>
        <v/>
      </c>
      <c r="IN62" s="12">
        <f>IF(IM62&gt;0,MAX(1,ROUND(IM62/CAC*IJ62,0)),0)</f>
        <v/>
      </c>
      <c r="IO62" s="12">
        <f>IF(IN62&gt;0,ROUND(IN62*ReferralMix/(1-ReferralMix),0),0)</f>
        <v/>
      </c>
      <c r="IP62" s="12">
        <f>IN62+IO62</f>
        <v/>
      </c>
      <c r="IQ62" s="12">
        <f>ROUND(IP62*(1-AnnualMix),0)</f>
        <v/>
      </c>
      <c r="IR62" s="12">
        <f>IP62-IQ62</f>
        <v/>
      </c>
      <c r="IS62" s="12">
        <f>ROUND(IQ62*EssentialMix,0)</f>
        <v/>
      </c>
      <c r="IT62" s="12">
        <f>ROUND(IQ62*PremiumMix,0)</f>
        <v/>
      </c>
      <c r="IU62" s="12">
        <f>IQ62-IS62-IT62</f>
        <v/>
      </c>
      <c r="IV62" s="12">
        <f>ROUND(IR62*EssentialMix,0)</f>
        <v/>
      </c>
      <c r="IW62" s="12">
        <f>ROUND(IR62*PremiumMix,0)</f>
        <v/>
      </c>
      <c r="IX62" s="12">
        <f>IR62-IV62-IW62</f>
        <v/>
      </c>
      <c r="IY62" s="12">
        <f>IS62+IS61+IS60+MAX(0,IY61-IS61-IS60)*(1-IL62)</f>
        <v/>
      </c>
      <c r="IZ62" s="12">
        <f>IT62+IT61+IT60+MAX(0,IZ61-IT61-IT60)*(1-IL62)</f>
        <v/>
      </c>
      <c r="JA62" s="12">
        <f>IU62+IU61+IU60+MAX(0,JA61-IU61-IU60)*(1-IL62)</f>
        <v/>
      </c>
      <c r="JB62" s="12">
        <f>JB61+IV62-IV50*(AnnualChurn*VLOOKUP(IH62,ChurnSeasonTable,4,FALSE))*POWER(1-(AnnualChurn*VLOOKUP(IH62,ChurnSeasonTable,4,FALSE)),0)+IV38*(AnnualChurn*VLOOKUP(IH62,ChurnSeasonTable,4,FALSE))*POWER(1-(AnnualChurn*VLOOKUP(IH62,ChurnSeasonTable,4,FALSE)),1)+IV26*(AnnualChurn*VLOOKUP(IH62,ChurnSeasonTable,4,FALSE))*POWER(1-(AnnualChurn*VLOOKUP(IH62,ChurnSeasonTable,4,FALSE)),2)+IV14*(AnnualChurn*VLOOKUP(IH62,ChurnSeasonTable,4,FALSE))*POWER(1-(AnnualChurn*VLOOKUP(IH62,ChurnSeasonTable,4,FALSE)),3)</f>
        <v/>
      </c>
      <c r="JC62" s="12">
        <f>JC61+IW62-IW50*(AnnualChurn*VLOOKUP(IH62,ChurnSeasonTable,4,FALSE))*POWER(1-(AnnualChurn*VLOOKUP(IH62,ChurnSeasonTable,4,FALSE)),0)+IW38*(AnnualChurn*VLOOKUP(IH62,ChurnSeasonTable,4,FALSE))*POWER(1-(AnnualChurn*VLOOKUP(IH62,ChurnSeasonTable,4,FALSE)),1)+IW26*(AnnualChurn*VLOOKUP(IH62,ChurnSeasonTable,4,FALSE))*POWER(1-(AnnualChurn*VLOOKUP(IH62,ChurnSeasonTable,4,FALSE)),2)+IW14*(AnnualChurn*VLOOKUP(IH62,ChurnSeasonTable,4,FALSE))*POWER(1-(AnnualChurn*VLOOKUP(IH62,ChurnSeasonTable,4,FALSE)),3)</f>
        <v/>
      </c>
      <c r="JD62" s="12">
        <f>JD61+IX62-IX50*(AnnualChurn*VLOOKUP(IH62,ChurnSeasonTable,4,FALSE))*POWER(1-(AnnualChurn*VLOOKUP(IH62,ChurnSeasonTable,4,FALSE)),0)+IX38*(AnnualChurn*VLOOKUP(IH62,ChurnSeasonTable,4,FALSE))*POWER(1-(AnnualChurn*VLOOKUP(IH62,ChurnSeasonTable,4,FALSE)),1)+IX26*(AnnualChurn*VLOOKUP(IH62,ChurnSeasonTable,4,FALSE))*POWER(1-(AnnualChurn*VLOOKUP(IH62,ChurnSeasonTable,4,FALSE)),2)+IX14*(AnnualChurn*VLOOKUP(IH62,ChurnSeasonTable,4,FALSE))*POWER(1-(AnnualChurn*VLOOKUP(IH62,ChurnSeasonTable,4,FALSE)),3)</f>
        <v/>
      </c>
      <c r="JE62" s="12">
        <f>IY62+IZ62+JA62+JB62+JC62+JD62</f>
        <v/>
      </c>
      <c r="JF62" s="9">
        <f>IY62*BlendedPriceEssMonthly*IK62+IZ62*BlendedPricePremMonthly*IK62+JA62*BlendedPriceEliteMonthly*IK62+JB62*BlendedPriceEssAnnual*IK62/12+JC62*BlendedPricePremAnnual*IK62/12+JD62*BlendedPriceEliteAnnual*IK62/12</f>
        <v/>
      </c>
      <c r="JG62" s="9">
        <f>JF62*12</f>
        <v/>
      </c>
      <c r="JH62" s="12">
        <f>IY62*BlendedPriceEssMonthly*IK62+IZ62*BlendedPricePremMonthly*IK62+JA62*BlendedPriceEliteMonthly*IK62</f>
        <v/>
      </c>
      <c r="JI62" s="12">
        <f>IV62*BlendedPriceEssAnnual*IK62+IW62*BlendedPricePremAnnual*IK62+IX62*BlendedPriceEliteAnnual*IK62</f>
        <v/>
      </c>
      <c r="JJ62" s="12">
        <f>IV50*POWER(1-(AnnualChurn*VLOOKUP(IH62,ChurnSeasonTable,4,FALSE)),1)*BlendedPriceEssAnnual*IK62+IV38*POWER(1-(AnnualChurn*VLOOKUP(IH62,ChurnSeasonTable,4,FALSE)),2)*BlendedPriceEssAnnual*IK62+IV26*POWER(1-(AnnualChurn*VLOOKUP(IH62,ChurnSeasonTable,4,FALSE)),3)*BlendedPriceEssAnnual*IK62+IV14*POWER(1-(AnnualChurn*VLOOKUP(IH62,ChurnSeasonTable,4,FALSE)),4)*BlendedPriceEssAnnual*IK62+IW50*POWER(1-(AnnualChurn*VLOOKUP(IH62,ChurnSeasonTable,4,FALSE)),1)*BlendedPricePremAnnual*IK62+IW38*POWER(1-(AnnualChurn*VLOOKUP(IH62,ChurnSeasonTable,4,FALSE)),2)*BlendedPricePremAnnual*IK62+IW26*POWER(1-(AnnualChurn*VLOOKUP(IH62,ChurnSeasonTable,4,FALSE)),3)*BlendedPricePremAnnual*IK62+IW14*POWER(1-(AnnualChurn*VLOOKUP(IH62,ChurnSeasonTable,4,FALSE)),4)*BlendedPricePremAnnual*IK62+IX50*POWER(1-(AnnualChurn*VLOOKUP(IH62,ChurnSeasonTable,4,FALSE)),1)*BlendedPriceEliteAnnual*IK62+IX38*POWER(1-(AnnualChurn*VLOOKUP(IH62,ChurnSeasonTable,4,FALSE)),2)*BlendedPriceEliteAnnual*IK62+IX26*POWER(1-(AnnualChurn*VLOOKUP(IH62,ChurnSeasonTable,4,FALSE)),3)*BlendedPriceEliteAnnual*IK62+IX14*POWER(1-(AnnualChurn*VLOOKUP(IH62,ChurnSeasonTable,4,FALSE)),4)*BlendedPriceEliteAnnual*IK62</f>
        <v/>
      </c>
      <c r="JK62" s="9">
        <f>JH62+JI62+JJ62</f>
        <v/>
      </c>
      <c r="JL62" s="12">
        <f>SUM(JK51:JK62)</f>
        <v/>
      </c>
      <c r="JM62" s="12">
        <f>OR(JM61,IF(VATAgentMode,SUM($JK51:$JK62)-SUM($JR51:$JR62)&gt;=VATThreshold,SUM($JK51:$JK62)&gt;=VATThreshold))</f>
        <v/>
      </c>
      <c r="JN62" s="9">
        <f>IF(JM62,IF(VATAgentMode,JK62-((JK62-JR62)-(JK62-JR62)/(1+VATRate)),JK62/(1+VATRate)),JK62)</f>
        <v/>
      </c>
      <c r="JO62" s="12">
        <f>JK62-JN62</f>
        <v/>
      </c>
      <c r="JP62" s="12">
        <f>IF(JM62=0,0,IF(IH62=1,SUMPRODUCT(--(($II$5:$II62=$II62-1)*($IH$5:$IH62&gt;=10)*($IH$5:$IH62&lt;=12)),$JO$5:$JO62),IF(IH62=4,SUMPRODUCT(--(($II$5:$II62=$II62)*($IH$5:$IH62&gt;=1)*($IH$5:$IH62&lt;=3)),$JO$5:$JO62),IF(IH62=7,SUMPRODUCT(--(($II$5:$II62=$II62)*($IH$5:$IH62&gt;=4)*($IH$5:$IH62&lt;=6)),$JO$5:$JO62),IF(IH62=10,SUMPRODUCT(--(($II$5:$II62=$II62)*($IH$5:$IH62&gt;=7)*($IH$5:$IH62&lt;=9)),$JO$5:$JO62),0)))))</f>
        <v/>
      </c>
      <c r="JQ62" s="12">
        <f>JQ61+JO62-JP62</f>
        <v/>
      </c>
      <c r="JR62" s="12">
        <f>IF(ProviderDelay&gt;=1,IY61*BlendedProvPayEss+IZ61*BlendedProvPayPrem+JA61*BlendedProvPayElite+JB61*BlendedProvPayEss+JC61*BlendedProvPayPrem+JD61*BlendedProvPayElite,IY62*BlendedProvPayEss+IZ62*BlendedProvPayPrem+JA62*BlendedProvPayElite+JB62*BlendedProvPayEss+JC62*BlendedProvPayPrem+JD62*BlendedProvPayElite)</f>
        <v/>
      </c>
      <c r="JS62" s="12">
        <f>JK62*PaymentFee</f>
        <v/>
      </c>
      <c r="JT62" s="12">
        <f>JE62*OpsAI</f>
        <v/>
      </c>
      <c r="JU62" s="12">
        <f>MonthlyFixed</f>
        <v/>
      </c>
      <c r="JV62" s="12">
        <f>IO62*ReferralReward</f>
        <v/>
      </c>
      <c r="JW62" s="12">
        <f>IM62</f>
        <v/>
      </c>
      <c r="JX62" s="9">
        <f>JN62-JR62-JS62-JT62-JU62-JV62-JW62</f>
        <v/>
      </c>
      <c r="JY62" s="9">
        <f>JY61+JK62-(JR62+JS62+JT62+JU62+JV62+JW62+JP62)</f>
        <v/>
      </c>
      <c r="JZ62" s="12">
        <f>IF(JE62&gt;0,JF62/JE62,0)</f>
        <v/>
      </c>
      <c r="KA62" s="11">
        <f>IF(JE61&gt;0,MAX(0,(JE61+IP62-JE62)/JE61),0)</f>
        <v/>
      </c>
      <c r="KC62" s="12" t="n">
        <v>58</v>
      </c>
      <c r="KD62" s="12">
        <f>MOD(KC62-1+LaunchMonth-1,12)+1</f>
        <v/>
      </c>
      <c r="KE62" s="12">
        <f>INT((KC62-1+LaunchMonth-1)/12)+1</f>
        <v/>
      </c>
      <c r="KF62" s="12">
        <f>VLOOKUP(KD62,SeasonTable,2,FALSE)</f>
        <v/>
      </c>
      <c r="KG62" s="12">
        <f>(1+InflationRate)^INT((KC62-1)/12)</f>
        <v/>
      </c>
      <c r="KH62" s="11">
        <f>'Sens - Churn'!$A$16*VLOOKUP(KD62,ChurnSeasonTable,4,FALSE)</f>
        <v/>
      </c>
      <c r="KI62" s="12">
        <f>MIN(MAX(MktMin19plus,LG61*MktPct19plus),MAX(0,LU61-CashBuffer))</f>
        <v/>
      </c>
      <c r="KJ62" s="12">
        <f>IF(KI62&gt;0,MAX(1,ROUND(KI62/CAC*KF62,0)),0)</f>
        <v/>
      </c>
      <c r="KK62" s="12">
        <f>IF(KJ62&gt;0,ROUND(KJ62*ReferralMix/(1-ReferralMix),0),0)</f>
        <v/>
      </c>
      <c r="KL62" s="12">
        <f>KJ62+KK62</f>
        <v/>
      </c>
      <c r="KM62" s="12">
        <f>ROUND(KL62*(1-AnnualMix),0)</f>
        <v/>
      </c>
      <c r="KN62" s="12">
        <f>KL62-KM62</f>
        <v/>
      </c>
      <c r="KO62" s="12">
        <f>ROUND(KM62*EssentialMix,0)</f>
        <v/>
      </c>
      <c r="KP62" s="12">
        <f>ROUND(KM62*PremiumMix,0)</f>
        <v/>
      </c>
      <c r="KQ62" s="12">
        <f>KM62-KO62-KP62</f>
        <v/>
      </c>
      <c r="KR62" s="12">
        <f>ROUND(KN62*EssentialMix,0)</f>
        <v/>
      </c>
      <c r="KS62" s="12">
        <f>ROUND(KN62*PremiumMix,0)</f>
        <v/>
      </c>
      <c r="KT62" s="12">
        <f>KN62-KR62-KS62</f>
        <v/>
      </c>
      <c r="KU62" s="12">
        <f>KO62+KO61+KO60+MAX(0,KU61-KO61-KO60)*(1-KH62)</f>
        <v/>
      </c>
      <c r="KV62" s="12">
        <f>KP62+KP61+KP60+MAX(0,KV61-KP61-KP60)*(1-KH62)</f>
        <v/>
      </c>
      <c r="KW62" s="12">
        <f>KQ62+KQ61+KQ60+MAX(0,KW61-KQ61-KQ60)*(1-KH62)</f>
        <v/>
      </c>
      <c r="KX62" s="12">
        <f>KX61+KR62-KR50*(AnnualChurn*VLOOKUP(KD62,ChurnSeasonTable,4,FALSE))*POWER(1-(AnnualChurn*VLOOKUP(KD62,ChurnSeasonTable,4,FALSE)),0)+KR38*(AnnualChurn*VLOOKUP(KD62,ChurnSeasonTable,4,FALSE))*POWER(1-(AnnualChurn*VLOOKUP(KD62,ChurnSeasonTable,4,FALSE)),1)+KR26*(AnnualChurn*VLOOKUP(KD62,ChurnSeasonTable,4,FALSE))*POWER(1-(AnnualChurn*VLOOKUP(KD62,ChurnSeasonTable,4,FALSE)),2)+KR14*(AnnualChurn*VLOOKUP(KD62,ChurnSeasonTable,4,FALSE))*POWER(1-(AnnualChurn*VLOOKUP(KD62,ChurnSeasonTable,4,FALSE)),3)</f>
        <v/>
      </c>
      <c r="KY62" s="12">
        <f>KY61+KS62-KS50*(AnnualChurn*VLOOKUP(KD62,ChurnSeasonTable,4,FALSE))*POWER(1-(AnnualChurn*VLOOKUP(KD62,ChurnSeasonTable,4,FALSE)),0)+KS38*(AnnualChurn*VLOOKUP(KD62,ChurnSeasonTable,4,FALSE))*POWER(1-(AnnualChurn*VLOOKUP(KD62,ChurnSeasonTable,4,FALSE)),1)+KS26*(AnnualChurn*VLOOKUP(KD62,ChurnSeasonTable,4,FALSE))*POWER(1-(AnnualChurn*VLOOKUP(KD62,ChurnSeasonTable,4,FALSE)),2)+KS14*(AnnualChurn*VLOOKUP(KD62,ChurnSeasonTable,4,FALSE))*POWER(1-(AnnualChurn*VLOOKUP(KD62,ChurnSeasonTable,4,FALSE)),3)</f>
        <v/>
      </c>
      <c r="KZ62" s="12">
        <f>KZ61+KT62-KT50*(AnnualChurn*VLOOKUP(KD62,ChurnSeasonTable,4,FALSE))*POWER(1-(AnnualChurn*VLOOKUP(KD62,ChurnSeasonTable,4,FALSE)),0)+KT38*(AnnualChurn*VLOOKUP(KD62,ChurnSeasonTable,4,FALSE))*POWER(1-(AnnualChurn*VLOOKUP(KD62,ChurnSeasonTable,4,FALSE)),1)+KT26*(AnnualChurn*VLOOKUP(KD62,ChurnSeasonTable,4,FALSE))*POWER(1-(AnnualChurn*VLOOKUP(KD62,ChurnSeasonTable,4,FALSE)),2)+KT14*(AnnualChurn*VLOOKUP(KD62,ChurnSeasonTable,4,FALSE))*POWER(1-(AnnualChurn*VLOOKUP(KD62,ChurnSeasonTable,4,FALSE)),3)</f>
        <v/>
      </c>
      <c r="LA62" s="12">
        <f>KU62+KV62+KW62+KX62+KY62+KZ62</f>
        <v/>
      </c>
      <c r="LB62" s="9">
        <f>KU62*BlendedPriceEssMonthly*KG62+KV62*BlendedPricePremMonthly*KG62+KW62*BlendedPriceEliteMonthly*KG62+KX62*BlendedPriceEssAnnual*KG62/12+KY62*BlendedPricePremAnnual*KG62/12+KZ62*BlendedPriceEliteAnnual*KG62/12</f>
        <v/>
      </c>
      <c r="LC62" s="9">
        <f>LB62*12</f>
        <v/>
      </c>
      <c r="LD62" s="12">
        <f>KU62*BlendedPriceEssMonthly*KG62+KV62*BlendedPricePremMonthly*KG62+KW62*BlendedPriceEliteMonthly*KG62</f>
        <v/>
      </c>
      <c r="LE62" s="12">
        <f>KR62*BlendedPriceEssAnnual*KG62+KS62*BlendedPricePremAnnual*KG62+KT62*BlendedPriceEliteAnnual*KG62</f>
        <v/>
      </c>
      <c r="LF62" s="12">
        <f>KR50*POWER(1-(AnnualChurn*VLOOKUP(KD62,ChurnSeasonTable,4,FALSE)),1)*BlendedPriceEssAnnual*KG62+KR38*POWER(1-(AnnualChurn*VLOOKUP(KD62,ChurnSeasonTable,4,FALSE)),2)*BlendedPriceEssAnnual*KG62+KR26*POWER(1-(AnnualChurn*VLOOKUP(KD62,ChurnSeasonTable,4,FALSE)),3)*BlendedPriceEssAnnual*KG62+KR14*POWER(1-(AnnualChurn*VLOOKUP(KD62,ChurnSeasonTable,4,FALSE)),4)*BlendedPriceEssAnnual*KG62+KS50*POWER(1-(AnnualChurn*VLOOKUP(KD62,ChurnSeasonTable,4,FALSE)),1)*BlendedPricePremAnnual*KG62+KS38*POWER(1-(AnnualChurn*VLOOKUP(KD62,ChurnSeasonTable,4,FALSE)),2)*BlendedPricePremAnnual*KG62+KS26*POWER(1-(AnnualChurn*VLOOKUP(KD62,ChurnSeasonTable,4,FALSE)),3)*BlendedPricePremAnnual*KG62+KS14*POWER(1-(AnnualChurn*VLOOKUP(KD62,ChurnSeasonTable,4,FALSE)),4)*BlendedPricePremAnnual*KG62+KT50*POWER(1-(AnnualChurn*VLOOKUP(KD62,ChurnSeasonTable,4,FALSE)),1)*BlendedPriceEliteAnnual*KG62+KT38*POWER(1-(AnnualChurn*VLOOKUP(KD62,ChurnSeasonTable,4,FALSE)),2)*BlendedPriceEliteAnnual*KG62+KT26*POWER(1-(AnnualChurn*VLOOKUP(KD62,ChurnSeasonTable,4,FALSE)),3)*BlendedPriceEliteAnnual*KG62+KT14*POWER(1-(AnnualChurn*VLOOKUP(KD62,ChurnSeasonTable,4,FALSE)),4)*BlendedPriceEliteAnnual*KG62</f>
        <v/>
      </c>
      <c r="LG62" s="9">
        <f>LD62+LE62+LF62</f>
        <v/>
      </c>
      <c r="LH62" s="12">
        <f>SUM(LG51:LG62)</f>
        <v/>
      </c>
      <c r="LI62" s="12">
        <f>OR(LI61,IF(VATAgentMode,SUM($LG51:$LG62)-SUM($LN51:$LN62)&gt;=VATThreshold,SUM($LG51:$LG62)&gt;=VATThreshold))</f>
        <v/>
      </c>
      <c r="LJ62" s="9">
        <f>IF(LI62,IF(VATAgentMode,LG62-((LG62-LN62)-(LG62-LN62)/(1+VATRate)),LG62/(1+VATRate)),LG62)</f>
        <v/>
      </c>
      <c r="LK62" s="12">
        <f>LG62-LJ62</f>
        <v/>
      </c>
      <c r="LL62" s="12">
        <f>IF(LI62=0,0,IF(KD62=1,SUMPRODUCT(--(($KE$5:$KE62=$KE62-1)*($KD$5:$KD62&gt;=10)*($KD$5:$KD62&lt;=12)),$LK$5:$LK62),IF(KD62=4,SUMPRODUCT(--(($KE$5:$KE62=$KE62)*($KD$5:$KD62&gt;=1)*($KD$5:$KD62&lt;=3)),$LK$5:$LK62),IF(KD62=7,SUMPRODUCT(--(($KE$5:$KE62=$KE62)*($KD$5:$KD62&gt;=4)*($KD$5:$KD62&lt;=6)),$LK$5:$LK62),IF(KD62=10,SUMPRODUCT(--(($KE$5:$KE62=$KE62)*($KD$5:$KD62&gt;=7)*($KD$5:$KD62&lt;=9)),$LK$5:$LK62),0)))))</f>
        <v/>
      </c>
      <c r="LM62" s="12">
        <f>LM61+LK62-LL62</f>
        <v/>
      </c>
      <c r="LN62" s="12">
        <f>IF(ProviderDelay&gt;=1,KU61*BlendedProvPayEss+KV61*BlendedProvPayPrem+KW61*BlendedProvPayElite+KX61*BlendedProvPayEss+KY61*BlendedProvPayPrem+KZ61*BlendedProvPayElite,KU62*BlendedProvPayEss+KV62*BlendedProvPayPrem+KW62*BlendedProvPayElite+KX62*BlendedProvPayEss+KY62*BlendedProvPayPrem+KZ62*BlendedProvPayElite)</f>
        <v/>
      </c>
      <c r="LO62" s="12">
        <f>LG62*PaymentFee</f>
        <v/>
      </c>
      <c r="LP62" s="12">
        <f>LA62*OpsAI</f>
        <v/>
      </c>
      <c r="LQ62" s="12">
        <f>MonthlyFixed</f>
        <v/>
      </c>
      <c r="LR62" s="12">
        <f>KK62*ReferralReward</f>
        <v/>
      </c>
      <c r="LS62" s="12">
        <f>KI62</f>
        <v/>
      </c>
      <c r="LT62" s="9">
        <f>LJ62-LN62-LO62-LP62-LQ62-LR62-LS62</f>
        <v/>
      </c>
      <c r="LU62" s="9">
        <f>LU61+LG62-(LN62+LO62+LP62+LQ62+LR62+LS62+LL62)</f>
        <v/>
      </c>
      <c r="LV62" s="12">
        <f>IF(LA62&gt;0,LB62/LA62,0)</f>
        <v/>
      </c>
      <c r="LW62" s="11">
        <f>IF(LA61&gt;0,MAX(0,(LA61+KL62-LA62)/LA61),0)</f>
        <v/>
      </c>
      <c r="LY62" s="12" t="n">
        <v>58</v>
      </c>
      <c r="LZ62" s="12">
        <f>MOD(LY62-1+LaunchMonth-1,12)+1</f>
        <v/>
      </c>
      <c r="MA62" s="12">
        <f>INT((LY62-1+LaunchMonth-1)/12)+1</f>
        <v/>
      </c>
      <c r="MB62" s="12">
        <f>VLOOKUP(LZ62,SeasonTable,2,FALSE)</f>
        <v/>
      </c>
      <c r="MC62" s="12">
        <f>(1+InflationRate)^INT((LY62-1)/12)</f>
        <v/>
      </c>
      <c r="MD62" s="11">
        <f>'Sens - Churn'!$A$17*VLOOKUP(LZ62,ChurnSeasonTable,4,FALSE)</f>
        <v/>
      </c>
      <c r="ME62" s="12">
        <f>MIN(MAX(MktMin19plus,NC61*MktPct19plus),MAX(0,NQ61-CashBuffer))</f>
        <v/>
      </c>
      <c r="MF62" s="12">
        <f>IF(ME62&gt;0,MAX(1,ROUND(ME62/CAC*MB62,0)),0)</f>
        <v/>
      </c>
      <c r="MG62" s="12">
        <f>IF(MF62&gt;0,ROUND(MF62*ReferralMix/(1-ReferralMix),0),0)</f>
        <v/>
      </c>
      <c r="MH62" s="12">
        <f>MF62+MG62</f>
        <v/>
      </c>
      <c r="MI62" s="12">
        <f>ROUND(MH62*(1-AnnualMix),0)</f>
        <v/>
      </c>
      <c r="MJ62" s="12">
        <f>MH62-MI62</f>
        <v/>
      </c>
      <c r="MK62" s="12">
        <f>ROUND(MI62*EssentialMix,0)</f>
        <v/>
      </c>
      <c r="ML62" s="12">
        <f>ROUND(MI62*PremiumMix,0)</f>
        <v/>
      </c>
      <c r="MM62" s="12">
        <f>MI62-MK62-ML62</f>
        <v/>
      </c>
      <c r="MN62" s="12">
        <f>ROUND(MJ62*EssentialMix,0)</f>
        <v/>
      </c>
      <c r="MO62" s="12">
        <f>ROUND(MJ62*PremiumMix,0)</f>
        <v/>
      </c>
      <c r="MP62" s="12">
        <f>MJ62-MN62-MO62</f>
        <v/>
      </c>
      <c r="MQ62" s="12">
        <f>MK62+MK61+MK60+MAX(0,MQ61-MK61-MK60)*(1-MD62)</f>
        <v/>
      </c>
      <c r="MR62" s="12">
        <f>ML62+ML61+ML60+MAX(0,MR61-ML61-ML60)*(1-MD62)</f>
        <v/>
      </c>
      <c r="MS62" s="12">
        <f>MM62+MM61+MM60+MAX(0,MS61-MM61-MM60)*(1-MD62)</f>
        <v/>
      </c>
      <c r="MT62" s="12">
        <f>MT61+MN62-MN50*(AnnualChurn*VLOOKUP(LZ62,ChurnSeasonTable,4,FALSE))*POWER(1-(AnnualChurn*VLOOKUP(LZ62,ChurnSeasonTable,4,FALSE)),0)+MN38*(AnnualChurn*VLOOKUP(LZ62,ChurnSeasonTable,4,FALSE))*POWER(1-(AnnualChurn*VLOOKUP(LZ62,ChurnSeasonTable,4,FALSE)),1)+MN26*(AnnualChurn*VLOOKUP(LZ62,ChurnSeasonTable,4,FALSE))*POWER(1-(AnnualChurn*VLOOKUP(LZ62,ChurnSeasonTable,4,FALSE)),2)+MN14*(AnnualChurn*VLOOKUP(LZ62,ChurnSeasonTable,4,FALSE))*POWER(1-(AnnualChurn*VLOOKUP(LZ62,ChurnSeasonTable,4,FALSE)),3)</f>
        <v/>
      </c>
      <c r="MU62" s="12">
        <f>MU61+MO62-MO50*(AnnualChurn*VLOOKUP(LZ62,ChurnSeasonTable,4,FALSE))*POWER(1-(AnnualChurn*VLOOKUP(LZ62,ChurnSeasonTable,4,FALSE)),0)+MO38*(AnnualChurn*VLOOKUP(LZ62,ChurnSeasonTable,4,FALSE))*POWER(1-(AnnualChurn*VLOOKUP(LZ62,ChurnSeasonTable,4,FALSE)),1)+MO26*(AnnualChurn*VLOOKUP(LZ62,ChurnSeasonTable,4,FALSE))*POWER(1-(AnnualChurn*VLOOKUP(LZ62,ChurnSeasonTable,4,FALSE)),2)+MO14*(AnnualChurn*VLOOKUP(LZ62,ChurnSeasonTable,4,FALSE))*POWER(1-(AnnualChurn*VLOOKUP(LZ62,ChurnSeasonTable,4,FALSE)),3)</f>
        <v/>
      </c>
      <c r="MV62" s="12">
        <f>MV61+MP62-MP50*(AnnualChurn*VLOOKUP(LZ62,ChurnSeasonTable,4,FALSE))*POWER(1-(AnnualChurn*VLOOKUP(LZ62,ChurnSeasonTable,4,FALSE)),0)+MP38*(AnnualChurn*VLOOKUP(LZ62,ChurnSeasonTable,4,FALSE))*POWER(1-(AnnualChurn*VLOOKUP(LZ62,ChurnSeasonTable,4,FALSE)),1)+MP26*(AnnualChurn*VLOOKUP(LZ62,ChurnSeasonTable,4,FALSE))*POWER(1-(AnnualChurn*VLOOKUP(LZ62,ChurnSeasonTable,4,FALSE)),2)+MP14*(AnnualChurn*VLOOKUP(LZ62,ChurnSeasonTable,4,FALSE))*POWER(1-(AnnualChurn*VLOOKUP(LZ62,ChurnSeasonTable,4,FALSE)),3)</f>
        <v/>
      </c>
      <c r="MW62" s="12">
        <f>MQ62+MR62+MS62+MT62+MU62+MV62</f>
        <v/>
      </c>
      <c r="MX62" s="9">
        <f>MQ62*BlendedPriceEssMonthly*MC62+MR62*BlendedPricePremMonthly*MC62+MS62*BlendedPriceEliteMonthly*MC62+MT62*BlendedPriceEssAnnual*MC62/12+MU62*BlendedPricePremAnnual*MC62/12+MV62*BlendedPriceEliteAnnual*MC62/12</f>
        <v/>
      </c>
      <c r="MY62" s="9">
        <f>MX62*12</f>
        <v/>
      </c>
      <c r="MZ62" s="12">
        <f>MQ62*BlendedPriceEssMonthly*MC62+MR62*BlendedPricePremMonthly*MC62+MS62*BlendedPriceEliteMonthly*MC62</f>
        <v/>
      </c>
      <c r="NA62" s="12">
        <f>MN62*BlendedPriceEssAnnual*MC62+MO62*BlendedPricePremAnnual*MC62+MP62*BlendedPriceEliteAnnual*MC62</f>
        <v/>
      </c>
      <c r="NB62" s="12">
        <f>MN50*POWER(1-(AnnualChurn*VLOOKUP(LZ62,ChurnSeasonTable,4,FALSE)),1)*BlendedPriceEssAnnual*MC62+MN38*POWER(1-(AnnualChurn*VLOOKUP(LZ62,ChurnSeasonTable,4,FALSE)),2)*BlendedPriceEssAnnual*MC62+MN26*POWER(1-(AnnualChurn*VLOOKUP(LZ62,ChurnSeasonTable,4,FALSE)),3)*BlendedPriceEssAnnual*MC62+MN14*POWER(1-(AnnualChurn*VLOOKUP(LZ62,ChurnSeasonTable,4,FALSE)),4)*BlendedPriceEssAnnual*MC62+MO50*POWER(1-(AnnualChurn*VLOOKUP(LZ62,ChurnSeasonTable,4,FALSE)),1)*BlendedPricePremAnnual*MC62+MO38*POWER(1-(AnnualChurn*VLOOKUP(LZ62,ChurnSeasonTable,4,FALSE)),2)*BlendedPricePremAnnual*MC62+MO26*POWER(1-(AnnualChurn*VLOOKUP(LZ62,ChurnSeasonTable,4,FALSE)),3)*BlendedPricePremAnnual*MC62+MO14*POWER(1-(AnnualChurn*VLOOKUP(LZ62,ChurnSeasonTable,4,FALSE)),4)*BlendedPricePremAnnual*MC62+MP50*POWER(1-(AnnualChurn*VLOOKUP(LZ62,ChurnSeasonTable,4,FALSE)),1)*BlendedPriceEliteAnnual*MC62+MP38*POWER(1-(AnnualChurn*VLOOKUP(LZ62,ChurnSeasonTable,4,FALSE)),2)*BlendedPriceEliteAnnual*MC62+MP26*POWER(1-(AnnualChurn*VLOOKUP(LZ62,ChurnSeasonTable,4,FALSE)),3)*BlendedPriceEliteAnnual*MC62+MP14*POWER(1-(AnnualChurn*VLOOKUP(LZ62,ChurnSeasonTable,4,FALSE)),4)*BlendedPriceEliteAnnual*MC62</f>
        <v/>
      </c>
      <c r="NC62" s="9">
        <f>MZ62+NA62+NB62</f>
        <v/>
      </c>
      <c r="ND62" s="12">
        <f>SUM(NC51:NC62)</f>
        <v/>
      </c>
      <c r="NE62" s="12">
        <f>OR(NE61,IF(VATAgentMode,SUM($NC51:$NC62)-SUM($NJ51:$NJ62)&gt;=VATThreshold,SUM($NC51:$NC62)&gt;=VATThreshold))</f>
        <v/>
      </c>
      <c r="NF62" s="9">
        <f>IF(NE62,IF(VATAgentMode,NC62-((NC62-NJ62)-(NC62-NJ62)/(1+VATRate)),NC62/(1+VATRate)),NC62)</f>
        <v/>
      </c>
      <c r="NG62" s="12">
        <f>NC62-NF62</f>
        <v/>
      </c>
      <c r="NH62" s="12">
        <f>IF(NE62=0,0,IF(LZ62=1,SUMPRODUCT(--(($MA$5:$MA62=$MA62-1)*($LZ$5:$LZ62&gt;=10)*($LZ$5:$LZ62&lt;=12)),$NG$5:$NG62),IF(LZ62=4,SUMPRODUCT(--(($MA$5:$MA62=$MA62)*($LZ$5:$LZ62&gt;=1)*($LZ$5:$LZ62&lt;=3)),$NG$5:$NG62),IF(LZ62=7,SUMPRODUCT(--(($MA$5:$MA62=$MA62)*($LZ$5:$LZ62&gt;=4)*($LZ$5:$LZ62&lt;=6)),$NG$5:$NG62),IF(LZ62=10,SUMPRODUCT(--(($MA$5:$MA62=$MA62)*($LZ$5:$LZ62&gt;=7)*($LZ$5:$LZ62&lt;=9)),$NG$5:$NG62),0)))))</f>
        <v/>
      </c>
      <c r="NI62" s="12">
        <f>NI61+NG62-NH62</f>
        <v/>
      </c>
      <c r="NJ62" s="12">
        <f>IF(ProviderDelay&gt;=1,MQ61*BlendedProvPayEss+MR61*BlendedProvPayPrem+MS61*BlendedProvPayElite+MT61*BlendedProvPayEss+MU61*BlendedProvPayPrem+MV61*BlendedProvPayElite,MQ62*BlendedProvPayEss+MR62*BlendedProvPayPrem+MS62*BlendedProvPayElite+MT62*BlendedProvPayEss+MU62*BlendedProvPayPrem+MV62*BlendedProvPayElite)</f>
        <v/>
      </c>
      <c r="NK62" s="12">
        <f>NC62*PaymentFee</f>
        <v/>
      </c>
      <c r="NL62" s="12">
        <f>MW62*OpsAI</f>
        <v/>
      </c>
      <c r="NM62" s="12">
        <f>MonthlyFixed</f>
        <v/>
      </c>
      <c r="NN62" s="12">
        <f>MG62*ReferralReward</f>
        <v/>
      </c>
      <c r="NO62" s="12">
        <f>ME62</f>
        <v/>
      </c>
      <c r="NP62" s="9">
        <f>NF62-NJ62-NK62-NL62-NM62-NN62-NO62</f>
        <v/>
      </c>
      <c r="NQ62" s="9">
        <f>NQ61+NC62-(NJ62+NK62+NL62+NM62+NN62+NO62+NH62)</f>
        <v/>
      </c>
      <c r="NR62" s="12">
        <f>IF(MW62&gt;0,MX62/MW62,0)</f>
        <v/>
      </c>
      <c r="NS62" s="11">
        <f>IF(MW61&gt;0,MAX(0,(MW61+MH62-MW62)/MW61),0)</f>
        <v/>
      </c>
      <c r="NU62" s="12" t="n">
        <v>58</v>
      </c>
      <c r="NV62" s="12">
        <f>MOD(NU62-1+LaunchMonth-1,12)+1</f>
        <v/>
      </c>
      <c r="NW62" s="12">
        <f>INT((NU62-1+LaunchMonth-1)/12)+1</f>
        <v/>
      </c>
      <c r="NX62" s="12">
        <f>VLOOKUP(NV62,SeasonTable,2,FALSE)</f>
        <v/>
      </c>
      <c r="NY62" s="12">
        <f>(1+InflationRate)^INT((NU62-1)/12)</f>
        <v/>
      </c>
      <c r="NZ62" s="11">
        <f>'Sens - Churn'!$A$18*VLOOKUP(NV62,ChurnSeasonTable,4,FALSE)</f>
        <v/>
      </c>
      <c r="OA62" s="12">
        <f>MIN(MAX(MktMin19plus,OY61*MktPct19plus),MAX(0,PM61-CashBuffer))</f>
        <v/>
      </c>
      <c r="OB62" s="12">
        <f>IF(OA62&gt;0,MAX(1,ROUND(OA62/CAC*NX62,0)),0)</f>
        <v/>
      </c>
      <c r="OC62" s="12">
        <f>IF(OB62&gt;0,ROUND(OB62*ReferralMix/(1-ReferralMix),0),0)</f>
        <v/>
      </c>
      <c r="OD62" s="12">
        <f>OB62+OC62</f>
        <v/>
      </c>
      <c r="OE62" s="12">
        <f>ROUND(OD62*(1-AnnualMix),0)</f>
        <v/>
      </c>
      <c r="OF62" s="12">
        <f>OD62-OE62</f>
        <v/>
      </c>
      <c r="OG62" s="12">
        <f>ROUND(OE62*EssentialMix,0)</f>
        <v/>
      </c>
      <c r="OH62" s="12">
        <f>ROUND(OE62*PremiumMix,0)</f>
        <v/>
      </c>
      <c r="OI62" s="12">
        <f>OE62-OG62-OH62</f>
        <v/>
      </c>
      <c r="OJ62" s="12">
        <f>ROUND(OF62*EssentialMix,0)</f>
        <v/>
      </c>
      <c r="OK62" s="12">
        <f>ROUND(OF62*PremiumMix,0)</f>
        <v/>
      </c>
      <c r="OL62" s="12">
        <f>OF62-OJ62-OK62</f>
        <v/>
      </c>
      <c r="OM62" s="12">
        <f>OG62+OG61+OG60+MAX(0,OM61-OG61-OG60)*(1-NZ62)</f>
        <v/>
      </c>
      <c r="ON62" s="12">
        <f>OH62+OH61+OH60+MAX(0,ON61-OH61-OH60)*(1-NZ62)</f>
        <v/>
      </c>
      <c r="OO62" s="12">
        <f>OI62+OI61+OI60+MAX(0,OO61-OI61-OI60)*(1-NZ62)</f>
        <v/>
      </c>
      <c r="OP62" s="12">
        <f>OP61+OJ62-OJ50*(AnnualChurn*VLOOKUP(NV62,ChurnSeasonTable,4,FALSE))*POWER(1-(AnnualChurn*VLOOKUP(NV62,ChurnSeasonTable,4,FALSE)),0)+OJ38*(AnnualChurn*VLOOKUP(NV62,ChurnSeasonTable,4,FALSE))*POWER(1-(AnnualChurn*VLOOKUP(NV62,ChurnSeasonTable,4,FALSE)),1)+OJ26*(AnnualChurn*VLOOKUP(NV62,ChurnSeasonTable,4,FALSE))*POWER(1-(AnnualChurn*VLOOKUP(NV62,ChurnSeasonTable,4,FALSE)),2)+OJ14*(AnnualChurn*VLOOKUP(NV62,ChurnSeasonTable,4,FALSE))*POWER(1-(AnnualChurn*VLOOKUP(NV62,ChurnSeasonTable,4,FALSE)),3)</f>
        <v/>
      </c>
      <c r="OQ62" s="12">
        <f>OQ61+OK62-OK50*(AnnualChurn*VLOOKUP(NV62,ChurnSeasonTable,4,FALSE))*POWER(1-(AnnualChurn*VLOOKUP(NV62,ChurnSeasonTable,4,FALSE)),0)+OK38*(AnnualChurn*VLOOKUP(NV62,ChurnSeasonTable,4,FALSE))*POWER(1-(AnnualChurn*VLOOKUP(NV62,ChurnSeasonTable,4,FALSE)),1)+OK26*(AnnualChurn*VLOOKUP(NV62,ChurnSeasonTable,4,FALSE))*POWER(1-(AnnualChurn*VLOOKUP(NV62,ChurnSeasonTable,4,FALSE)),2)+OK14*(AnnualChurn*VLOOKUP(NV62,ChurnSeasonTable,4,FALSE))*POWER(1-(AnnualChurn*VLOOKUP(NV62,ChurnSeasonTable,4,FALSE)),3)</f>
        <v/>
      </c>
      <c r="OR62" s="12">
        <f>OR61+OL62-OL50*(AnnualChurn*VLOOKUP(NV62,ChurnSeasonTable,4,FALSE))*POWER(1-(AnnualChurn*VLOOKUP(NV62,ChurnSeasonTable,4,FALSE)),0)+OL38*(AnnualChurn*VLOOKUP(NV62,ChurnSeasonTable,4,FALSE))*POWER(1-(AnnualChurn*VLOOKUP(NV62,ChurnSeasonTable,4,FALSE)),1)+OL26*(AnnualChurn*VLOOKUP(NV62,ChurnSeasonTable,4,FALSE))*POWER(1-(AnnualChurn*VLOOKUP(NV62,ChurnSeasonTable,4,FALSE)),2)+OL14*(AnnualChurn*VLOOKUP(NV62,ChurnSeasonTable,4,FALSE))*POWER(1-(AnnualChurn*VLOOKUP(NV62,ChurnSeasonTable,4,FALSE)),3)</f>
        <v/>
      </c>
      <c r="OS62" s="12">
        <f>OM62+ON62+OO62+OP62+OQ62+OR62</f>
        <v/>
      </c>
      <c r="OT62" s="9">
        <f>OM62*BlendedPriceEssMonthly*NY62+ON62*BlendedPricePremMonthly*NY62+OO62*BlendedPriceEliteMonthly*NY62+OP62*BlendedPriceEssAnnual*NY62/12+OQ62*BlendedPricePremAnnual*NY62/12+OR62*BlendedPriceEliteAnnual*NY62/12</f>
        <v/>
      </c>
      <c r="OU62" s="9">
        <f>OT62*12</f>
        <v/>
      </c>
      <c r="OV62" s="12">
        <f>OM62*BlendedPriceEssMonthly*NY62+ON62*BlendedPricePremMonthly*NY62+OO62*BlendedPriceEliteMonthly*NY62</f>
        <v/>
      </c>
      <c r="OW62" s="12">
        <f>OJ62*BlendedPriceEssAnnual*NY62+OK62*BlendedPricePremAnnual*NY62+OL62*BlendedPriceEliteAnnual*NY62</f>
        <v/>
      </c>
      <c r="OX62" s="12">
        <f>OJ50*POWER(1-(AnnualChurn*VLOOKUP(NV62,ChurnSeasonTable,4,FALSE)),1)*BlendedPriceEssAnnual*NY62+OJ38*POWER(1-(AnnualChurn*VLOOKUP(NV62,ChurnSeasonTable,4,FALSE)),2)*BlendedPriceEssAnnual*NY62+OJ26*POWER(1-(AnnualChurn*VLOOKUP(NV62,ChurnSeasonTable,4,FALSE)),3)*BlendedPriceEssAnnual*NY62+OJ14*POWER(1-(AnnualChurn*VLOOKUP(NV62,ChurnSeasonTable,4,FALSE)),4)*BlendedPriceEssAnnual*NY62+OK50*POWER(1-(AnnualChurn*VLOOKUP(NV62,ChurnSeasonTable,4,FALSE)),1)*BlendedPricePremAnnual*NY62+OK38*POWER(1-(AnnualChurn*VLOOKUP(NV62,ChurnSeasonTable,4,FALSE)),2)*BlendedPricePremAnnual*NY62+OK26*POWER(1-(AnnualChurn*VLOOKUP(NV62,ChurnSeasonTable,4,FALSE)),3)*BlendedPricePremAnnual*NY62+OK14*POWER(1-(AnnualChurn*VLOOKUP(NV62,ChurnSeasonTable,4,FALSE)),4)*BlendedPricePremAnnual*NY62+OL50*POWER(1-(AnnualChurn*VLOOKUP(NV62,ChurnSeasonTable,4,FALSE)),1)*BlendedPriceEliteAnnual*NY62+OL38*POWER(1-(AnnualChurn*VLOOKUP(NV62,ChurnSeasonTable,4,FALSE)),2)*BlendedPriceEliteAnnual*NY62+OL26*POWER(1-(AnnualChurn*VLOOKUP(NV62,ChurnSeasonTable,4,FALSE)),3)*BlendedPriceEliteAnnual*NY62+OL14*POWER(1-(AnnualChurn*VLOOKUP(NV62,ChurnSeasonTable,4,FALSE)),4)*BlendedPriceEliteAnnual*NY62</f>
        <v/>
      </c>
      <c r="OY62" s="9">
        <f>OV62+OW62+OX62</f>
        <v/>
      </c>
      <c r="OZ62" s="12">
        <f>SUM(OY51:OY62)</f>
        <v/>
      </c>
      <c r="PA62" s="12">
        <f>OR(PA61,IF(VATAgentMode,SUM($OY51:$OY62)-SUM($PF51:$PF62)&gt;=VATThreshold,SUM($OY51:$OY62)&gt;=VATThreshold))</f>
        <v/>
      </c>
      <c r="PB62" s="9">
        <f>IF(PA62,IF(VATAgentMode,OY62-((OY62-PF62)-(OY62-PF62)/(1+VATRate)),OY62/(1+VATRate)),OY62)</f>
        <v/>
      </c>
      <c r="PC62" s="12">
        <f>OY62-PB62</f>
        <v/>
      </c>
      <c r="PD62" s="12">
        <f>IF(PA62=0,0,IF(NV62=1,SUMPRODUCT(--(($NW$5:$NW62=$NW62-1)*($NV$5:$NV62&gt;=10)*($NV$5:$NV62&lt;=12)),$PC$5:$PC62),IF(NV62=4,SUMPRODUCT(--(($NW$5:$NW62=$NW62)*($NV$5:$NV62&gt;=1)*($NV$5:$NV62&lt;=3)),$PC$5:$PC62),IF(NV62=7,SUMPRODUCT(--(($NW$5:$NW62=$NW62)*($NV$5:$NV62&gt;=4)*($NV$5:$NV62&lt;=6)),$PC$5:$PC62),IF(NV62=10,SUMPRODUCT(--(($NW$5:$NW62=$NW62)*($NV$5:$NV62&gt;=7)*($NV$5:$NV62&lt;=9)),$PC$5:$PC62),0)))))</f>
        <v/>
      </c>
      <c r="PE62" s="12">
        <f>PE61+PC62-PD62</f>
        <v/>
      </c>
      <c r="PF62" s="12">
        <f>IF(ProviderDelay&gt;=1,OM61*BlendedProvPayEss+ON61*BlendedProvPayPrem+OO61*BlendedProvPayElite+OP61*BlendedProvPayEss+OQ61*BlendedProvPayPrem+OR61*BlendedProvPayElite,OM62*BlendedProvPayEss+ON62*BlendedProvPayPrem+OO62*BlendedProvPayElite+OP62*BlendedProvPayEss+OQ62*BlendedProvPayPrem+OR62*BlendedProvPayElite)</f>
        <v/>
      </c>
      <c r="PG62" s="12">
        <f>OY62*PaymentFee</f>
        <v/>
      </c>
      <c r="PH62" s="12">
        <f>OS62*OpsAI</f>
        <v/>
      </c>
      <c r="PI62" s="12">
        <f>MonthlyFixed</f>
        <v/>
      </c>
      <c r="PJ62" s="12">
        <f>OC62*ReferralReward</f>
        <v/>
      </c>
      <c r="PK62" s="12">
        <f>OA62</f>
        <v/>
      </c>
      <c r="PL62" s="9">
        <f>PB62-PF62-PG62-PH62-PI62-PJ62-PK62</f>
        <v/>
      </c>
      <c r="PM62" s="9">
        <f>PM61+OY62-(PF62+PG62+PH62+PI62+PJ62+PK62+PD62)</f>
        <v/>
      </c>
      <c r="PN62" s="12">
        <f>IF(OS62&gt;0,OT62/OS62,0)</f>
        <v/>
      </c>
      <c r="PO62" s="11">
        <f>IF(OS61&gt;0,MAX(0,(OS61+OD62-OS62)/OS61),0)</f>
        <v/>
      </c>
      <c r="PQ62" s="12" t="n">
        <v>58</v>
      </c>
      <c r="PR62" s="12">
        <f>MOD(PQ62-1+LaunchMonth-1,12)+1</f>
        <v/>
      </c>
      <c r="PS62" s="12">
        <f>INT((PQ62-1+LaunchMonth-1)/12)+1</f>
        <v/>
      </c>
      <c r="PT62" s="12">
        <f>VLOOKUP(PR62,SeasonTable,2,FALSE)</f>
        <v/>
      </c>
      <c r="PU62" s="12">
        <f>(1+InflationRate)^INT((PQ62-1)/12)</f>
        <v/>
      </c>
      <c r="PV62" s="11">
        <f>'Sens - Churn'!$A$19*VLOOKUP(PR62,ChurnSeasonTable,4,FALSE)</f>
        <v/>
      </c>
      <c r="PW62" s="12">
        <f>MIN(MAX(MktMin19plus,QU61*MktPct19plus),MAX(0,RI61-CashBuffer))</f>
        <v/>
      </c>
      <c r="PX62" s="12">
        <f>IF(PW62&gt;0,MAX(1,ROUND(PW62/CAC*PT62,0)),0)</f>
        <v/>
      </c>
      <c r="PY62" s="12">
        <f>IF(PX62&gt;0,ROUND(PX62*ReferralMix/(1-ReferralMix),0),0)</f>
        <v/>
      </c>
      <c r="PZ62" s="12">
        <f>PX62+PY62</f>
        <v/>
      </c>
      <c r="QA62" s="12">
        <f>ROUND(PZ62*(1-AnnualMix),0)</f>
        <v/>
      </c>
      <c r="QB62" s="12">
        <f>PZ62-QA62</f>
        <v/>
      </c>
      <c r="QC62" s="12">
        <f>ROUND(QA62*EssentialMix,0)</f>
        <v/>
      </c>
      <c r="QD62" s="12">
        <f>ROUND(QA62*PremiumMix,0)</f>
        <v/>
      </c>
      <c r="QE62" s="12">
        <f>QA62-QC62-QD62</f>
        <v/>
      </c>
      <c r="QF62" s="12">
        <f>ROUND(QB62*EssentialMix,0)</f>
        <v/>
      </c>
      <c r="QG62" s="12">
        <f>ROUND(QB62*PremiumMix,0)</f>
        <v/>
      </c>
      <c r="QH62" s="12">
        <f>QB62-QF62-QG62</f>
        <v/>
      </c>
      <c r="QI62" s="12">
        <f>QC62+QC61+QC60+MAX(0,QI61-QC61-QC60)*(1-PV62)</f>
        <v/>
      </c>
      <c r="QJ62" s="12">
        <f>QD62+QD61+QD60+MAX(0,QJ61-QD61-QD60)*(1-PV62)</f>
        <v/>
      </c>
      <c r="QK62" s="12">
        <f>QE62+QE61+QE60+MAX(0,QK61-QE61-QE60)*(1-PV62)</f>
        <v/>
      </c>
      <c r="QL62" s="12">
        <f>QL61+QF62-QF50*(AnnualChurn*VLOOKUP(PR62,ChurnSeasonTable,4,FALSE))*POWER(1-(AnnualChurn*VLOOKUP(PR62,ChurnSeasonTable,4,FALSE)),0)+QF38*(AnnualChurn*VLOOKUP(PR62,ChurnSeasonTable,4,FALSE))*POWER(1-(AnnualChurn*VLOOKUP(PR62,ChurnSeasonTable,4,FALSE)),1)+QF26*(AnnualChurn*VLOOKUP(PR62,ChurnSeasonTable,4,FALSE))*POWER(1-(AnnualChurn*VLOOKUP(PR62,ChurnSeasonTable,4,FALSE)),2)+QF14*(AnnualChurn*VLOOKUP(PR62,ChurnSeasonTable,4,FALSE))*POWER(1-(AnnualChurn*VLOOKUP(PR62,ChurnSeasonTable,4,FALSE)),3)</f>
        <v/>
      </c>
      <c r="QM62" s="12">
        <f>QM61+QG62-QG50*(AnnualChurn*VLOOKUP(PR62,ChurnSeasonTable,4,FALSE))*POWER(1-(AnnualChurn*VLOOKUP(PR62,ChurnSeasonTable,4,FALSE)),0)+QG38*(AnnualChurn*VLOOKUP(PR62,ChurnSeasonTable,4,FALSE))*POWER(1-(AnnualChurn*VLOOKUP(PR62,ChurnSeasonTable,4,FALSE)),1)+QG26*(AnnualChurn*VLOOKUP(PR62,ChurnSeasonTable,4,FALSE))*POWER(1-(AnnualChurn*VLOOKUP(PR62,ChurnSeasonTable,4,FALSE)),2)+QG14*(AnnualChurn*VLOOKUP(PR62,ChurnSeasonTable,4,FALSE))*POWER(1-(AnnualChurn*VLOOKUP(PR62,ChurnSeasonTable,4,FALSE)),3)</f>
        <v/>
      </c>
      <c r="QN62" s="12">
        <f>QN61+QH62-QH50*(AnnualChurn*VLOOKUP(PR62,ChurnSeasonTable,4,FALSE))*POWER(1-(AnnualChurn*VLOOKUP(PR62,ChurnSeasonTable,4,FALSE)),0)+QH38*(AnnualChurn*VLOOKUP(PR62,ChurnSeasonTable,4,FALSE))*POWER(1-(AnnualChurn*VLOOKUP(PR62,ChurnSeasonTable,4,FALSE)),1)+QH26*(AnnualChurn*VLOOKUP(PR62,ChurnSeasonTable,4,FALSE))*POWER(1-(AnnualChurn*VLOOKUP(PR62,ChurnSeasonTable,4,FALSE)),2)+QH14*(AnnualChurn*VLOOKUP(PR62,ChurnSeasonTable,4,FALSE))*POWER(1-(AnnualChurn*VLOOKUP(PR62,ChurnSeasonTable,4,FALSE)),3)</f>
        <v/>
      </c>
      <c r="QO62" s="12">
        <f>QI62+QJ62+QK62+QL62+QM62+QN62</f>
        <v/>
      </c>
      <c r="QP62" s="9">
        <f>QI62*BlendedPriceEssMonthly*PU62+QJ62*BlendedPricePremMonthly*PU62+QK62*BlendedPriceEliteMonthly*PU62+QL62*BlendedPriceEssAnnual*PU62/12+QM62*BlendedPricePremAnnual*PU62/12+QN62*BlendedPriceEliteAnnual*PU62/12</f>
        <v/>
      </c>
      <c r="QQ62" s="9">
        <f>QP62*12</f>
        <v/>
      </c>
      <c r="QR62" s="12">
        <f>QI62*BlendedPriceEssMonthly*PU62+QJ62*BlendedPricePremMonthly*PU62+QK62*BlendedPriceEliteMonthly*PU62</f>
        <v/>
      </c>
      <c r="QS62" s="12">
        <f>QF62*BlendedPriceEssAnnual*PU62+QG62*BlendedPricePremAnnual*PU62+QH62*BlendedPriceEliteAnnual*PU62</f>
        <v/>
      </c>
      <c r="QT62" s="12">
        <f>QF50*POWER(1-(AnnualChurn*VLOOKUP(PR62,ChurnSeasonTable,4,FALSE)),1)*BlendedPriceEssAnnual*PU62+QF38*POWER(1-(AnnualChurn*VLOOKUP(PR62,ChurnSeasonTable,4,FALSE)),2)*BlendedPriceEssAnnual*PU62+QF26*POWER(1-(AnnualChurn*VLOOKUP(PR62,ChurnSeasonTable,4,FALSE)),3)*BlendedPriceEssAnnual*PU62+QF14*POWER(1-(AnnualChurn*VLOOKUP(PR62,ChurnSeasonTable,4,FALSE)),4)*BlendedPriceEssAnnual*PU62+QG50*POWER(1-(AnnualChurn*VLOOKUP(PR62,ChurnSeasonTable,4,FALSE)),1)*BlendedPricePremAnnual*PU62+QG38*POWER(1-(AnnualChurn*VLOOKUP(PR62,ChurnSeasonTable,4,FALSE)),2)*BlendedPricePremAnnual*PU62+QG26*POWER(1-(AnnualChurn*VLOOKUP(PR62,ChurnSeasonTable,4,FALSE)),3)*BlendedPricePremAnnual*PU62+QG14*POWER(1-(AnnualChurn*VLOOKUP(PR62,ChurnSeasonTable,4,FALSE)),4)*BlendedPricePremAnnual*PU62+QH50*POWER(1-(AnnualChurn*VLOOKUP(PR62,ChurnSeasonTable,4,FALSE)),1)*BlendedPriceEliteAnnual*PU62+QH38*POWER(1-(AnnualChurn*VLOOKUP(PR62,ChurnSeasonTable,4,FALSE)),2)*BlendedPriceEliteAnnual*PU62+QH26*POWER(1-(AnnualChurn*VLOOKUP(PR62,ChurnSeasonTable,4,FALSE)),3)*BlendedPriceEliteAnnual*PU62+QH14*POWER(1-(AnnualChurn*VLOOKUP(PR62,ChurnSeasonTable,4,FALSE)),4)*BlendedPriceEliteAnnual*PU62</f>
        <v/>
      </c>
      <c r="QU62" s="9">
        <f>QR62+QS62+QT62</f>
        <v/>
      </c>
      <c r="QV62" s="12">
        <f>SUM(QU51:QU62)</f>
        <v/>
      </c>
      <c r="QW62" s="12">
        <f>OR(QW61,IF(VATAgentMode,SUM($QU51:$QU62)-SUM($RB51:$RB62)&gt;=VATThreshold,SUM($QU51:$QU62)&gt;=VATThreshold))</f>
        <v/>
      </c>
      <c r="QX62" s="9">
        <f>IF(QW62,IF(VATAgentMode,QU62-((QU62-RB62)-(QU62-RB62)/(1+VATRate)),QU62/(1+VATRate)),QU62)</f>
        <v/>
      </c>
      <c r="QY62" s="12">
        <f>QU62-QX62</f>
        <v/>
      </c>
      <c r="QZ62" s="12">
        <f>IF(QW62=0,0,IF(PR62=1,SUMPRODUCT(--(($PS$5:$PS62=$PS62-1)*($PR$5:$PR62&gt;=10)*($PR$5:$PR62&lt;=12)),$QY$5:$QY62),IF(PR62=4,SUMPRODUCT(--(($PS$5:$PS62=$PS62)*($PR$5:$PR62&gt;=1)*($PR$5:$PR62&lt;=3)),$QY$5:$QY62),IF(PR62=7,SUMPRODUCT(--(($PS$5:$PS62=$PS62)*($PR$5:$PR62&gt;=4)*($PR$5:$PR62&lt;=6)),$QY$5:$QY62),IF(PR62=10,SUMPRODUCT(--(($PS$5:$PS62=$PS62)*($PR$5:$PR62&gt;=7)*($PR$5:$PR62&lt;=9)),$QY$5:$QY62),0)))))</f>
        <v/>
      </c>
      <c r="RA62" s="12">
        <f>RA61+QY62-QZ62</f>
        <v/>
      </c>
      <c r="RB62" s="12">
        <f>IF(ProviderDelay&gt;=1,QI61*BlendedProvPayEss+QJ61*BlendedProvPayPrem+QK61*BlendedProvPayElite+QL61*BlendedProvPayEss+QM61*BlendedProvPayPrem+QN61*BlendedProvPayElite,QI62*BlendedProvPayEss+QJ62*BlendedProvPayPrem+QK62*BlendedProvPayElite+QL62*BlendedProvPayEss+QM62*BlendedProvPayPrem+QN62*BlendedProvPayElite)</f>
        <v/>
      </c>
      <c r="RC62" s="12">
        <f>QU62*PaymentFee</f>
        <v/>
      </c>
      <c r="RD62" s="12">
        <f>QO62*OpsAI</f>
        <v/>
      </c>
      <c r="RE62" s="12">
        <f>MonthlyFixed</f>
        <v/>
      </c>
      <c r="RF62" s="12">
        <f>PY62*ReferralReward</f>
        <v/>
      </c>
      <c r="RG62" s="12">
        <f>PW62</f>
        <v/>
      </c>
      <c r="RH62" s="9">
        <f>QX62-RB62-RC62-RD62-RE62-RF62-RG62</f>
        <v/>
      </c>
      <c r="RI62" s="9">
        <f>RI61+QU62-(RB62+RC62+RD62+RE62+RF62+RG62+QZ62)</f>
        <v/>
      </c>
      <c r="RJ62" s="12">
        <f>IF(QO62&gt;0,QP62/QO62,0)</f>
        <v/>
      </c>
      <c r="RK62" s="11">
        <f>IF(QO61&gt;0,MAX(0,(QO61+PZ62-QO62)/QO61),0)</f>
        <v/>
      </c>
      <c r="RM62" s="12" t="n">
        <v>58</v>
      </c>
      <c r="RN62" s="12">
        <f>MOD(RM62-1+LaunchMonth-1,12)+1</f>
        <v/>
      </c>
      <c r="RO62" s="12">
        <f>INT((RM62-1+LaunchMonth-1)/12)+1</f>
        <v/>
      </c>
      <c r="RP62" s="12">
        <f>VLOOKUP(RN62,SeasonTable,2,FALSE)</f>
        <v/>
      </c>
      <c r="RQ62" s="12">
        <f>(1+InflationRate)^INT((RM62-1)/12)</f>
        <v/>
      </c>
      <c r="RR62" s="11">
        <f>'Sens - Churn'!$A$20*VLOOKUP(RN62,ChurnSeasonTable,4,FALSE)</f>
        <v/>
      </c>
      <c r="RS62" s="12">
        <f>MIN(MAX(MktMin19plus,SQ61*MktPct19plus),MAX(0,TE61-CashBuffer))</f>
        <v/>
      </c>
      <c r="RT62" s="12">
        <f>IF(RS62&gt;0,MAX(1,ROUND(RS62/CAC*RP62,0)),0)</f>
        <v/>
      </c>
      <c r="RU62" s="12">
        <f>IF(RT62&gt;0,ROUND(RT62*ReferralMix/(1-ReferralMix),0),0)</f>
        <v/>
      </c>
      <c r="RV62" s="12">
        <f>RT62+RU62</f>
        <v/>
      </c>
      <c r="RW62" s="12">
        <f>ROUND(RV62*(1-AnnualMix),0)</f>
        <v/>
      </c>
      <c r="RX62" s="12">
        <f>RV62-RW62</f>
        <v/>
      </c>
      <c r="RY62" s="12">
        <f>ROUND(RW62*EssentialMix,0)</f>
        <v/>
      </c>
      <c r="RZ62" s="12">
        <f>ROUND(RW62*PremiumMix,0)</f>
        <v/>
      </c>
      <c r="SA62" s="12">
        <f>RW62-RY62-RZ62</f>
        <v/>
      </c>
      <c r="SB62" s="12">
        <f>ROUND(RX62*EssentialMix,0)</f>
        <v/>
      </c>
      <c r="SC62" s="12">
        <f>ROUND(RX62*PremiumMix,0)</f>
        <v/>
      </c>
      <c r="SD62" s="12">
        <f>RX62-SB62-SC62</f>
        <v/>
      </c>
      <c r="SE62" s="12">
        <f>RY62+RY61+RY60+MAX(0,SE61-RY61-RY60)*(1-RR62)</f>
        <v/>
      </c>
      <c r="SF62" s="12">
        <f>RZ62+RZ61+RZ60+MAX(0,SF61-RZ61-RZ60)*(1-RR62)</f>
        <v/>
      </c>
      <c r="SG62" s="12">
        <f>SA62+SA61+SA60+MAX(0,SG61-SA61-SA60)*(1-RR62)</f>
        <v/>
      </c>
      <c r="SH62" s="12">
        <f>SH61+SB62-SB50*(AnnualChurn*VLOOKUP(RN62,ChurnSeasonTable,4,FALSE))*POWER(1-(AnnualChurn*VLOOKUP(RN62,ChurnSeasonTable,4,FALSE)),0)+SB38*(AnnualChurn*VLOOKUP(RN62,ChurnSeasonTable,4,FALSE))*POWER(1-(AnnualChurn*VLOOKUP(RN62,ChurnSeasonTable,4,FALSE)),1)+SB26*(AnnualChurn*VLOOKUP(RN62,ChurnSeasonTable,4,FALSE))*POWER(1-(AnnualChurn*VLOOKUP(RN62,ChurnSeasonTable,4,FALSE)),2)+SB14*(AnnualChurn*VLOOKUP(RN62,ChurnSeasonTable,4,FALSE))*POWER(1-(AnnualChurn*VLOOKUP(RN62,ChurnSeasonTable,4,FALSE)),3)</f>
        <v/>
      </c>
      <c r="SI62" s="12">
        <f>SI61+SC62-SC50*(AnnualChurn*VLOOKUP(RN62,ChurnSeasonTable,4,FALSE))*POWER(1-(AnnualChurn*VLOOKUP(RN62,ChurnSeasonTable,4,FALSE)),0)+SC38*(AnnualChurn*VLOOKUP(RN62,ChurnSeasonTable,4,FALSE))*POWER(1-(AnnualChurn*VLOOKUP(RN62,ChurnSeasonTable,4,FALSE)),1)+SC26*(AnnualChurn*VLOOKUP(RN62,ChurnSeasonTable,4,FALSE))*POWER(1-(AnnualChurn*VLOOKUP(RN62,ChurnSeasonTable,4,FALSE)),2)+SC14*(AnnualChurn*VLOOKUP(RN62,ChurnSeasonTable,4,FALSE))*POWER(1-(AnnualChurn*VLOOKUP(RN62,ChurnSeasonTable,4,FALSE)),3)</f>
        <v/>
      </c>
      <c r="SJ62" s="12">
        <f>SJ61+SD62-SD50*(AnnualChurn*VLOOKUP(RN62,ChurnSeasonTable,4,FALSE))*POWER(1-(AnnualChurn*VLOOKUP(RN62,ChurnSeasonTable,4,FALSE)),0)+SD38*(AnnualChurn*VLOOKUP(RN62,ChurnSeasonTable,4,FALSE))*POWER(1-(AnnualChurn*VLOOKUP(RN62,ChurnSeasonTable,4,FALSE)),1)+SD26*(AnnualChurn*VLOOKUP(RN62,ChurnSeasonTable,4,FALSE))*POWER(1-(AnnualChurn*VLOOKUP(RN62,ChurnSeasonTable,4,FALSE)),2)+SD14*(AnnualChurn*VLOOKUP(RN62,ChurnSeasonTable,4,FALSE))*POWER(1-(AnnualChurn*VLOOKUP(RN62,ChurnSeasonTable,4,FALSE)),3)</f>
        <v/>
      </c>
      <c r="SK62" s="12">
        <f>SE62+SF62+SG62+SH62+SI62+SJ62</f>
        <v/>
      </c>
      <c r="SL62" s="9">
        <f>SE62*BlendedPriceEssMonthly*RQ62+SF62*BlendedPricePremMonthly*RQ62+SG62*BlendedPriceEliteMonthly*RQ62+SH62*BlendedPriceEssAnnual*RQ62/12+SI62*BlendedPricePremAnnual*RQ62/12+SJ62*BlendedPriceEliteAnnual*RQ62/12</f>
        <v/>
      </c>
      <c r="SM62" s="9">
        <f>SL62*12</f>
        <v/>
      </c>
      <c r="SN62" s="12">
        <f>SE62*BlendedPriceEssMonthly*RQ62+SF62*BlendedPricePremMonthly*RQ62+SG62*BlendedPriceEliteMonthly*RQ62</f>
        <v/>
      </c>
      <c r="SO62" s="12">
        <f>SB62*BlendedPriceEssAnnual*RQ62+SC62*BlendedPricePremAnnual*RQ62+SD62*BlendedPriceEliteAnnual*RQ62</f>
        <v/>
      </c>
      <c r="SP62" s="12">
        <f>SB50*POWER(1-(AnnualChurn*VLOOKUP(RN62,ChurnSeasonTable,4,FALSE)),1)*BlendedPriceEssAnnual*RQ62+SB38*POWER(1-(AnnualChurn*VLOOKUP(RN62,ChurnSeasonTable,4,FALSE)),2)*BlendedPriceEssAnnual*RQ62+SB26*POWER(1-(AnnualChurn*VLOOKUP(RN62,ChurnSeasonTable,4,FALSE)),3)*BlendedPriceEssAnnual*RQ62+SB14*POWER(1-(AnnualChurn*VLOOKUP(RN62,ChurnSeasonTable,4,FALSE)),4)*BlendedPriceEssAnnual*RQ62+SC50*POWER(1-(AnnualChurn*VLOOKUP(RN62,ChurnSeasonTable,4,FALSE)),1)*BlendedPricePremAnnual*RQ62+SC38*POWER(1-(AnnualChurn*VLOOKUP(RN62,ChurnSeasonTable,4,FALSE)),2)*BlendedPricePremAnnual*RQ62+SC26*POWER(1-(AnnualChurn*VLOOKUP(RN62,ChurnSeasonTable,4,FALSE)),3)*BlendedPricePremAnnual*RQ62+SC14*POWER(1-(AnnualChurn*VLOOKUP(RN62,ChurnSeasonTable,4,FALSE)),4)*BlendedPricePremAnnual*RQ62+SD50*POWER(1-(AnnualChurn*VLOOKUP(RN62,ChurnSeasonTable,4,FALSE)),1)*BlendedPriceEliteAnnual*RQ62+SD38*POWER(1-(AnnualChurn*VLOOKUP(RN62,ChurnSeasonTable,4,FALSE)),2)*BlendedPriceEliteAnnual*RQ62+SD26*POWER(1-(AnnualChurn*VLOOKUP(RN62,ChurnSeasonTable,4,FALSE)),3)*BlendedPriceEliteAnnual*RQ62+SD14*POWER(1-(AnnualChurn*VLOOKUP(RN62,ChurnSeasonTable,4,FALSE)),4)*BlendedPriceEliteAnnual*RQ62</f>
        <v/>
      </c>
      <c r="SQ62" s="9">
        <f>SN62+SO62+SP62</f>
        <v/>
      </c>
      <c r="SR62" s="12">
        <f>SUM(SQ51:SQ62)</f>
        <v/>
      </c>
      <c r="SS62" s="12">
        <f>OR(SS61,IF(VATAgentMode,SUM($SQ51:$SQ62)-SUM($SX51:$SX62)&gt;=VATThreshold,SUM($SQ51:$SQ62)&gt;=VATThreshold))</f>
        <v/>
      </c>
      <c r="ST62" s="9">
        <f>IF(SS62,IF(VATAgentMode,SQ62-((SQ62-SX62)-(SQ62-SX62)/(1+VATRate)),SQ62/(1+VATRate)),SQ62)</f>
        <v/>
      </c>
      <c r="SU62" s="12">
        <f>SQ62-ST62</f>
        <v/>
      </c>
      <c r="SV62" s="12">
        <f>IF(SS62=0,0,IF(RN62=1,SUMPRODUCT(--(($RO$5:$RO62=$RO62-1)*($RN$5:$RN62&gt;=10)*($RN$5:$RN62&lt;=12)),$SU$5:$SU62),IF(RN62=4,SUMPRODUCT(--(($RO$5:$RO62=$RO62)*($RN$5:$RN62&gt;=1)*($RN$5:$RN62&lt;=3)),$SU$5:$SU62),IF(RN62=7,SUMPRODUCT(--(($RO$5:$RO62=$RO62)*($RN$5:$RN62&gt;=4)*($RN$5:$RN62&lt;=6)),$SU$5:$SU62),IF(RN62=10,SUMPRODUCT(--(($RO$5:$RO62=$RO62)*($RN$5:$RN62&gt;=7)*($RN$5:$RN62&lt;=9)),$SU$5:$SU62),0)))))</f>
        <v/>
      </c>
      <c r="SW62" s="12">
        <f>SW61+SU62-SV62</f>
        <v/>
      </c>
      <c r="SX62" s="12">
        <f>IF(ProviderDelay&gt;=1,SE61*BlendedProvPayEss+SF61*BlendedProvPayPrem+SG61*BlendedProvPayElite+SH61*BlendedProvPayEss+SI61*BlendedProvPayPrem+SJ61*BlendedProvPayElite,SE62*BlendedProvPayEss+SF62*BlendedProvPayPrem+SG62*BlendedProvPayElite+SH62*BlendedProvPayEss+SI62*BlendedProvPayPrem+SJ62*BlendedProvPayElite)</f>
        <v/>
      </c>
      <c r="SY62" s="12">
        <f>SQ62*PaymentFee</f>
        <v/>
      </c>
      <c r="SZ62" s="12">
        <f>SK62*OpsAI</f>
        <v/>
      </c>
      <c r="TA62" s="12">
        <f>MonthlyFixed</f>
        <v/>
      </c>
      <c r="TB62" s="12">
        <f>RU62*ReferralReward</f>
        <v/>
      </c>
      <c r="TC62" s="12">
        <f>RS62</f>
        <v/>
      </c>
      <c r="TD62" s="9">
        <f>ST62-SX62-SY62-SZ62-TA62-TB62-TC62</f>
        <v/>
      </c>
      <c r="TE62" s="9">
        <f>TE61+SQ62-(SX62+SY62+SZ62+TA62+TB62+TC62+SV62)</f>
        <v/>
      </c>
      <c r="TF62" s="12">
        <f>IF(SK62&gt;0,SL62/SK62,0)</f>
        <v/>
      </c>
      <c r="TG62" s="11">
        <f>IF(SK61&gt;0,MAX(0,(SK61+RV62-SK62)/SK61),0)</f>
        <v/>
      </c>
      <c r="TI62" s="12" t="n">
        <v>58</v>
      </c>
      <c r="TJ62" s="12">
        <f>MOD(TI62-1+LaunchMonth-1,12)+1</f>
        <v/>
      </c>
      <c r="TK62" s="12">
        <f>INT((TI62-1+LaunchMonth-1)/12)+1</f>
        <v/>
      </c>
      <c r="TL62" s="12">
        <f>VLOOKUP(TJ62,SeasonTable,2,FALSE)</f>
        <v/>
      </c>
      <c r="TM62" s="12">
        <f>(1+InflationRate)^INT((TI62-1)/12)</f>
        <v/>
      </c>
      <c r="TN62" s="11">
        <f>'Sens - Churn'!$A$21*VLOOKUP(TJ62,ChurnSeasonTable,4,FALSE)</f>
        <v/>
      </c>
      <c r="TO62" s="12">
        <f>MIN(MAX(MktMin19plus,UM61*MktPct19plus),MAX(0,VA61-CashBuffer))</f>
        <v/>
      </c>
      <c r="TP62" s="12">
        <f>IF(TO62&gt;0,MAX(1,ROUND(TO62/CAC*TL62,0)),0)</f>
        <v/>
      </c>
      <c r="TQ62" s="12">
        <f>IF(TP62&gt;0,ROUND(TP62*ReferralMix/(1-ReferralMix),0),0)</f>
        <v/>
      </c>
      <c r="TR62" s="12">
        <f>TP62+TQ62</f>
        <v/>
      </c>
      <c r="TS62" s="12">
        <f>ROUND(TR62*(1-AnnualMix),0)</f>
        <v/>
      </c>
      <c r="TT62" s="12">
        <f>TR62-TS62</f>
        <v/>
      </c>
      <c r="TU62" s="12">
        <f>ROUND(TS62*EssentialMix,0)</f>
        <v/>
      </c>
      <c r="TV62" s="12">
        <f>ROUND(TS62*PremiumMix,0)</f>
        <v/>
      </c>
      <c r="TW62" s="12">
        <f>TS62-TU62-TV62</f>
        <v/>
      </c>
      <c r="TX62" s="12">
        <f>ROUND(TT62*EssentialMix,0)</f>
        <v/>
      </c>
      <c r="TY62" s="12">
        <f>ROUND(TT62*PremiumMix,0)</f>
        <v/>
      </c>
      <c r="TZ62" s="12">
        <f>TT62-TX62-TY62</f>
        <v/>
      </c>
      <c r="UA62" s="12">
        <f>TU62+TU61+TU60+MAX(0,UA61-TU61-TU60)*(1-TN62)</f>
        <v/>
      </c>
      <c r="UB62" s="12">
        <f>TV62+TV61+TV60+MAX(0,UB61-TV61-TV60)*(1-TN62)</f>
        <v/>
      </c>
      <c r="UC62" s="12">
        <f>TW62+TW61+TW60+MAX(0,UC61-TW61-TW60)*(1-TN62)</f>
        <v/>
      </c>
      <c r="UD62" s="12">
        <f>UD61+TX62-TX50*(AnnualChurn*VLOOKUP(TJ62,ChurnSeasonTable,4,FALSE))*POWER(1-(AnnualChurn*VLOOKUP(TJ62,ChurnSeasonTable,4,FALSE)),0)+TX38*(AnnualChurn*VLOOKUP(TJ62,ChurnSeasonTable,4,FALSE))*POWER(1-(AnnualChurn*VLOOKUP(TJ62,ChurnSeasonTable,4,FALSE)),1)+TX26*(AnnualChurn*VLOOKUP(TJ62,ChurnSeasonTable,4,FALSE))*POWER(1-(AnnualChurn*VLOOKUP(TJ62,ChurnSeasonTable,4,FALSE)),2)+TX14*(AnnualChurn*VLOOKUP(TJ62,ChurnSeasonTable,4,FALSE))*POWER(1-(AnnualChurn*VLOOKUP(TJ62,ChurnSeasonTable,4,FALSE)),3)</f>
        <v/>
      </c>
      <c r="UE62" s="12">
        <f>UE61+TY62-TY50*(AnnualChurn*VLOOKUP(TJ62,ChurnSeasonTable,4,FALSE))*POWER(1-(AnnualChurn*VLOOKUP(TJ62,ChurnSeasonTable,4,FALSE)),0)+TY38*(AnnualChurn*VLOOKUP(TJ62,ChurnSeasonTable,4,FALSE))*POWER(1-(AnnualChurn*VLOOKUP(TJ62,ChurnSeasonTable,4,FALSE)),1)+TY26*(AnnualChurn*VLOOKUP(TJ62,ChurnSeasonTable,4,FALSE))*POWER(1-(AnnualChurn*VLOOKUP(TJ62,ChurnSeasonTable,4,FALSE)),2)+TY14*(AnnualChurn*VLOOKUP(TJ62,ChurnSeasonTable,4,FALSE))*POWER(1-(AnnualChurn*VLOOKUP(TJ62,ChurnSeasonTable,4,FALSE)),3)</f>
        <v/>
      </c>
      <c r="UF62" s="12">
        <f>UF61+TZ62-TZ50*(AnnualChurn*VLOOKUP(TJ62,ChurnSeasonTable,4,FALSE))*POWER(1-(AnnualChurn*VLOOKUP(TJ62,ChurnSeasonTable,4,FALSE)),0)+TZ38*(AnnualChurn*VLOOKUP(TJ62,ChurnSeasonTable,4,FALSE))*POWER(1-(AnnualChurn*VLOOKUP(TJ62,ChurnSeasonTable,4,FALSE)),1)+TZ26*(AnnualChurn*VLOOKUP(TJ62,ChurnSeasonTable,4,FALSE))*POWER(1-(AnnualChurn*VLOOKUP(TJ62,ChurnSeasonTable,4,FALSE)),2)+TZ14*(AnnualChurn*VLOOKUP(TJ62,ChurnSeasonTable,4,FALSE))*POWER(1-(AnnualChurn*VLOOKUP(TJ62,ChurnSeasonTable,4,FALSE)),3)</f>
        <v/>
      </c>
      <c r="UG62" s="12">
        <f>UA62+UB62+UC62+UD62+UE62+UF62</f>
        <v/>
      </c>
      <c r="UH62" s="9">
        <f>UA62*BlendedPriceEssMonthly*TM62+UB62*BlendedPricePremMonthly*TM62+UC62*BlendedPriceEliteMonthly*TM62+UD62*BlendedPriceEssAnnual*TM62/12+UE62*BlendedPricePremAnnual*TM62/12+UF62*BlendedPriceEliteAnnual*TM62/12</f>
        <v/>
      </c>
      <c r="UI62" s="9">
        <f>UH62*12</f>
        <v/>
      </c>
      <c r="UJ62" s="12">
        <f>UA62*BlendedPriceEssMonthly*TM62+UB62*BlendedPricePremMonthly*TM62+UC62*BlendedPriceEliteMonthly*TM62</f>
        <v/>
      </c>
      <c r="UK62" s="12">
        <f>TX62*BlendedPriceEssAnnual*TM62+TY62*BlendedPricePremAnnual*TM62+TZ62*BlendedPriceEliteAnnual*TM62</f>
        <v/>
      </c>
      <c r="UL62" s="12">
        <f>TX50*POWER(1-(AnnualChurn*VLOOKUP(TJ62,ChurnSeasonTable,4,FALSE)),1)*BlendedPriceEssAnnual*TM62+TX38*POWER(1-(AnnualChurn*VLOOKUP(TJ62,ChurnSeasonTable,4,FALSE)),2)*BlendedPriceEssAnnual*TM62+TX26*POWER(1-(AnnualChurn*VLOOKUP(TJ62,ChurnSeasonTable,4,FALSE)),3)*BlendedPriceEssAnnual*TM62+TX14*POWER(1-(AnnualChurn*VLOOKUP(TJ62,ChurnSeasonTable,4,FALSE)),4)*BlendedPriceEssAnnual*TM62+TY50*POWER(1-(AnnualChurn*VLOOKUP(TJ62,ChurnSeasonTable,4,FALSE)),1)*BlendedPricePremAnnual*TM62+TY38*POWER(1-(AnnualChurn*VLOOKUP(TJ62,ChurnSeasonTable,4,FALSE)),2)*BlendedPricePremAnnual*TM62+TY26*POWER(1-(AnnualChurn*VLOOKUP(TJ62,ChurnSeasonTable,4,FALSE)),3)*BlendedPricePremAnnual*TM62+TY14*POWER(1-(AnnualChurn*VLOOKUP(TJ62,ChurnSeasonTable,4,FALSE)),4)*BlendedPricePremAnnual*TM62+TZ50*POWER(1-(AnnualChurn*VLOOKUP(TJ62,ChurnSeasonTable,4,FALSE)),1)*BlendedPriceEliteAnnual*TM62+TZ38*POWER(1-(AnnualChurn*VLOOKUP(TJ62,ChurnSeasonTable,4,FALSE)),2)*BlendedPriceEliteAnnual*TM62+TZ26*POWER(1-(AnnualChurn*VLOOKUP(TJ62,ChurnSeasonTable,4,FALSE)),3)*BlendedPriceEliteAnnual*TM62+TZ14*POWER(1-(AnnualChurn*VLOOKUP(TJ62,ChurnSeasonTable,4,FALSE)),4)*BlendedPriceEliteAnnual*TM62</f>
        <v/>
      </c>
      <c r="UM62" s="9">
        <f>UJ62+UK62+UL62</f>
        <v/>
      </c>
      <c r="UN62" s="12">
        <f>SUM(UM51:UM62)</f>
        <v/>
      </c>
      <c r="UO62" s="12">
        <f>OR(UO61,IF(VATAgentMode,SUM($UM51:$UM62)-SUM($UT51:$UT62)&gt;=VATThreshold,SUM($UM51:$UM62)&gt;=VATThreshold))</f>
        <v/>
      </c>
      <c r="UP62" s="9">
        <f>IF(UO62,IF(VATAgentMode,UM62-((UM62-UT62)-(UM62-UT62)/(1+VATRate)),UM62/(1+VATRate)),UM62)</f>
        <v/>
      </c>
      <c r="UQ62" s="12">
        <f>UM62-UP62</f>
        <v/>
      </c>
      <c r="UR62" s="12">
        <f>IF(UO62=0,0,IF(TJ62=1,SUMPRODUCT(--(($TK$5:$TK62=$TK62-1)*($TJ$5:$TJ62&gt;=10)*($TJ$5:$TJ62&lt;=12)),$UQ$5:$UQ62),IF(TJ62=4,SUMPRODUCT(--(($TK$5:$TK62=$TK62)*($TJ$5:$TJ62&gt;=1)*($TJ$5:$TJ62&lt;=3)),$UQ$5:$UQ62),IF(TJ62=7,SUMPRODUCT(--(($TK$5:$TK62=$TK62)*($TJ$5:$TJ62&gt;=4)*($TJ$5:$TJ62&lt;=6)),$UQ$5:$UQ62),IF(TJ62=10,SUMPRODUCT(--(($TK$5:$TK62=$TK62)*($TJ$5:$TJ62&gt;=7)*($TJ$5:$TJ62&lt;=9)),$UQ$5:$UQ62),0)))))</f>
        <v/>
      </c>
      <c r="US62" s="12">
        <f>US61+UQ62-UR62</f>
        <v/>
      </c>
      <c r="UT62" s="12">
        <f>IF(ProviderDelay&gt;=1,UA61*BlendedProvPayEss+UB61*BlendedProvPayPrem+UC61*BlendedProvPayElite+UD61*BlendedProvPayEss+UE61*BlendedProvPayPrem+UF61*BlendedProvPayElite,UA62*BlendedProvPayEss+UB62*BlendedProvPayPrem+UC62*BlendedProvPayElite+UD62*BlendedProvPayEss+UE62*BlendedProvPayPrem+UF62*BlendedProvPayElite)</f>
        <v/>
      </c>
      <c r="UU62" s="12">
        <f>UM62*PaymentFee</f>
        <v/>
      </c>
      <c r="UV62" s="12">
        <f>UG62*OpsAI</f>
        <v/>
      </c>
      <c r="UW62" s="12">
        <f>MonthlyFixed</f>
        <v/>
      </c>
      <c r="UX62" s="12">
        <f>TQ62*ReferralReward</f>
        <v/>
      </c>
      <c r="UY62" s="12">
        <f>TO62</f>
        <v/>
      </c>
      <c r="UZ62" s="9">
        <f>UP62-UT62-UU62-UV62-UW62-UX62-UY62</f>
        <v/>
      </c>
      <c r="VA62" s="9">
        <f>VA61+UM62-(UT62+UU62+UV62+UW62+UX62+UY62+UR62)</f>
        <v/>
      </c>
      <c r="VB62" s="12">
        <f>IF(UG62&gt;0,UH62/UG62,0)</f>
        <v/>
      </c>
      <c r="VC62" s="11">
        <f>IF(UG61&gt;0,MAX(0,(UG61+TR62-UG62)/UG61),0)</f>
        <v/>
      </c>
      <c r="VE62" s="12" t="n">
        <v>58</v>
      </c>
      <c r="VF62" s="12">
        <f>MOD(VE62-1+LaunchMonth-1,12)+1</f>
        <v/>
      </c>
      <c r="VG62" s="12">
        <f>INT((VE62-1+LaunchMonth-1)/12)+1</f>
        <v/>
      </c>
      <c r="VH62" s="12">
        <f>VLOOKUP(VF62,SeasonTable,2,FALSE)</f>
        <v/>
      </c>
      <c r="VI62" s="12">
        <f>(1+InflationRate)^INT((VE62-1)/12)</f>
        <v/>
      </c>
      <c r="VJ62" s="11">
        <f>MonthlyChurn*VLOOKUP(VF62,ChurnSeasonTable,4,FALSE)</f>
        <v/>
      </c>
      <c r="VK62" s="12">
        <f>MIN(MAX(MktMin19plus,WI61*MktPct19plus),MAX(0,WW61-CashBuffer))</f>
        <v/>
      </c>
      <c r="VL62" s="12">
        <f>IF(VK62&gt;0,MAX(1,ROUND(VK62/CAC*VH62,0)),0)</f>
        <v/>
      </c>
      <c r="VM62" s="12">
        <f>IF(VL62&gt;0,ROUND(VL62*ReferralMix/(1-ReferralMix),0),0)</f>
        <v/>
      </c>
      <c r="VN62" s="12">
        <f>VL62+VM62</f>
        <v/>
      </c>
      <c r="VO62" s="12">
        <f>ROUND(VN62*(1-'Sens - Annual Mix'!$A$9),0)</f>
        <v/>
      </c>
      <c r="VP62" s="12">
        <f>VN62-VO62</f>
        <v/>
      </c>
      <c r="VQ62" s="12">
        <f>ROUND(VO62*EssentialMix,0)</f>
        <v/>
      </c>
      <c r="VR62" s="12">
        <f>ROUND(VO62*PremiumMix,0)</f>
        <v/>
      </c>
      <c r="VS62" s="12">
        <f>VO62-VQ62-VR62</f>
        <v/>
      </c>
      <c r="VT62" s="12">
        <f>ROUND(VP62*EssentialMix,0)</f>
        <v/>
      </c>
      <c r="VU62" s="12">
        <f>ROUND(VP62*PremiumMix,0)</f>
        <v/>
      </c>
      <c r="VV62" s="12">
        <f>VP62-VT62-VU62</f>
        <v/>
      </c>
      <c r="VW62" s="12">
        <f>VQ62+VQ61+VQ60+MAX(0,VW61-VQ61-VQ60)*(1-VJ62)</f>
        <v/>
      </c>
      <c r="VX62" s="12">
        <f>VR62+VR61+VR60+MAX(0,VX61-VR61-VR60)*(1-VJ62)</f>
        <v/>
      </c>
      <c r="VY62" s="12">
        <f>VS62+VS61+VS60+MAX(0,VY61-VS61-VS60)*(1-VJ62)</f>
        <v/>
      </c>
      <c r="VZ62" s="12">
        <f>VZ61+VT62-VT50*(AnnualChurn*VLOOKUP(VF62,ChurnSeasonTable,4,FALSE))*POWER(1-(AnnualChurn*VLOOKUP(VF62,ChurnSeasonTable,4,FALSE)),0)+VT38*(AnnualChurn*VLOOKUP(VF62,ChurnSeasonTable,4,FALSE))*POWER(1-(AnnualChurn*VLOOKUP(VF62,ChurnSeasonTable,4,FALSE)),1)+VT26*(AnnualChurn*VLOOKUP(VF62,ChurnSeasonTable,4,FALSE))*POWER(1-(AnnualChurn*VLOOKUP(VF62,ChurnSeasonTable,4,FALSE)),2)+VT14*(AnnualChurn*VLOOKUP(VF62,ChurnSeasonTable,4,FALSE))*POWER(1-(AnnualChurn*VLOOKUP(VF62,ChurnSeasonTable,4,FALSE)),3)</f>
        <v/>
      </c>
      <c r="WA62" s="12">
        <f>WA61+VU62-VU50*(AnnualChurn*VLOOKUP(VF62,ChurnSeasonTable,4,FALSE))*POWER(1-(AnnualChurn*VLOOKUP(VF62,ChurnSeasonTable,4,FALSE)),0)+VU38*(AnnualChurn*VLOOKUP(VF62,ChurnSeasonTable,4,FALSE))*POWER(1-(AnnualChurn*VLOOKUP(VF62,ChurnSeasonTable,4,FALSE)),1)+VU26*(AnnualChurn*VLOOKUP(VF62,ChurnSeasonTable,4,FALSE))*POWER(1-(AnnualChurn*VLOOKUP(VF62,ChurnSeasonTable,4,FALSE)),2)+VU14*(AnnualChurn*VLOOKUP(VF62,ChurnSeasonTable,4,FALSE))*POWER(1-(AnnualChurn*VLOOKUP(VF62,ChurnSeasonTable,4,FALSE)),3)</f>
        <v/>
      </c>
      <c r="WB62" s="12">
        <f>WB61+VV62-VV50*(AnnualChurn*VLOOKUP(VF62,ChurnSeasonTable,4,FALSE))*POWER(1-(AnnualChurn*VLOOKUP(VF62,ChurnSeasonTable,4,FALSE)),0)+VV38*(AnnualChurn*VLOOKUP(VF62,ChurnSeasonTable,4,FALSE))*POWER(1-(AnnualChurn*VLOOKUP(VF62,ChurnSeasonTable,4,FALSE)),1)+VV26*(AnnualChurn*VLOOKUP(VF62,ChurnSeasonTable,4,FALSE))*POWER(1-(AnnualChurn*VLOOKUP(VF62,ChurnSeasonTable,4,FALSE)),2)+VV14*(AnnualChurn*VLOOKUP(VF62,ChurnSeasonTable,4,FALSE))*POWER(1-(AnnualChurn*VLOOKUP(VF62,ChurnSeasonTable,4,FALSE)),3)</f>
        <v/>
      </c>
      <c r="WC62" s="12">
        <f>VW62+VX62+VY62+VZ62+WA62+WB62</f>
        <v/>
      </c>
      <c r="WD62" s="9">
        <f>VW62*BlendedPriceEssMonthly*VI62+VX62*BlendedPricePremMonthly*VI62+VY62*BlendedPriceEliteMonthly*VI62+VZ62*BlendedPriceEssAnnual*VI62/12+WA62*BlendedPricePremAnnual*VI62/12+WB62*BlendedPriceEliteAnnual*VI62/12</f>
        <v/>
      </c>
      <c r="WE62" s="9">
        <f>WD62*12</f>
        <v/>
      </c>
      <c r="WF62" s="12">
        <f>VW62*BlendedPriceEssMonthly*VI62+VX62*BlendedPricePremMonthly*VI62+VY62*BlendedPriceEliteMonthly*VI62</f>
        <v/>
      </c>
      <c r="WG62" s="12">
        <f>VT62*BlendedPriceEssAnnual*VI62+VU62*BlendedPricePremAnnual*VI62+VV62*BlendedPriceEliteAnnual*VI62</f>
        <v/>
      </c>
      <c r="WH62" s="12">
        <f>VT50*POWER(1-(AnnualChurn*VLOOKUP(VF62,ChurnSeasonTable,4,FALSE)),1)*BlendedPriceEssAnnual*VI62+VT38*POWER(1-(AnnualChurn*VLOOKUP(VF62,ChurnSeasonTable,4,FALSE)),2)*BlendedPriceEssAnnual*VI62+VT26*POWER(1-(AnnualChurn*VLOOKUP(VF62,ChurnSeasonTable,4,FALSE)),3)*BlendedPriceEssAnnual*VI62+VT14*POWER(1-(AnnualChurn*VLOOKUP(VF62,ChurnSeasonTable,4,FALSE)),4)*BlendedPriceEssAnnual*VI62+VU50*POWER(1-(AnnualChurn*VLOOKUP(VF62,ChurnSeasonTable,4,FALSE)),1)*BlendedPricePremAnnual*VI62+VU38*POWER(1-(AnnualChurn*VLOOKUP(VF62,ChurnSeasonTable,4,FALSE)),2)*BlendedPricePremAnnual*VI62+VU26*POWER(1-(AnnualChurn*VLOOKUP(VF62,ChurnSeasonTable,4,FALSE)),3)*BlendedPricePremAnnual*VI62+VU14*POWER(1-(AnnualChurn*VLOOKUP(VF62,ChurnSeasonTable,4,FALSE)),4)*BlendedPricePremAnnual*VI62+VV50*POWER(1-(AnnualChurn*VLOOKUP(VF62,ChurnSeasonTable,4,FALSE)),1)*BlendedPriceEliteAnnual*VI62+VV38*POWER(1-(AnnualChurn*VLOOKUP(VF62,ChurnSeasonTable,4,FALSE)),2)*BlendedPriceEliteAnnual*VI62+VV26*POWER(1-(AnnualChurn*VLOOKUP(VF62,ChurnSeasonTable,4,FALSE)),3)*BlendedPriceEliteAnnual*VI62+VV14*POWER(1-(AnnualChurn*VLOOKUP(VF62,ChurnSeasonTable,4,FALSE)),4)*BlendedPriceEliteAnnual*VI62</f>
        <v/>
      </c>
      <c r="WI62" s="9">
        <f>WF62+WG62+WH62</f>
        <v/>
      </c>
      <c r="WJ62" s="12">
        <f>SUM(WI51:WI62)</f>
        <v/>
      </c>
      <c r="WK62" s="12">
        <f>OR(WK61,IF(VATAgentMode,SUM($WI51:$WI62)-SUM($WP51:$WP62)&gt;=VATThreshold,SUM($WI51:$WI62)&gt;=VATThreshold))</f>
        <v/>
      </c>
      <c r="WL62" s="9">
        <f>IF(WK62,IF(VATAgentMode,WI62-((WI62-WP62)-(WI62-WP62)/(1+VATRate)),WI62/(1+VATRate)),WI62)</f>
        <v/>
      </c>
      <c r="WM62" s="12">
        <f>WI62-WL62</f>
        <v/>
      </c>
      <c r="WN62" s="12">
        <f>IF(WK62=0,0,IF(VF62=1,SUMPRODUCT(--(($VG$5:$VG62=$VG62-1)*($VF$5:$VF62&gt;=10)*($VF$5:$VF62&lt;=12)),$WM$5:$WM62),IF(VF62=4,SUMPRODUCT(--(($VG$5:$VG62=$VG62)*($VF$5:$VF62&gt;=1)*($VF$5:$VF62&lt;=3)),$WM$5:$WM62),IF(VF62=7,SUMPRODUCT(--(($VG$5:$VG62=$VG62)*($VF$5:$VF62&gt;=4)*($VF$5:$VF62&lt;=6)),$WM$5:$WM62),IF(VF62=10,SUMPRODUCT(--(($VG$5:$VG62=$VG62)*($VF$5:$VF62&gt;=7)*($VF$5:$VF62&lt;=9)),$WM$5:$WM62),0)))))</f>
        <v/>
      </c>
      <c r="WO62" s="12">
        <f>WO61+WM62-WN62</f>
        <v/>
      </c>
      <c r="WP62" s="12">
        <f>IF(ProviderDelay&gt;=1,VW61*BlendedProvPayEss+VX61*BlendedProvPayPrem+VY61*BlendedProvPayElite+VZ61*BlendedProvPayEss+WA61*BlendedProvPayPrem+WB61*BlendedProvPayElite,VW62*BlendedProvPayEss+VX62*BlendedProvPayPrem+VY62*BlendedProvPayElite+VZ62*BlendedProvPayEss+WA62*BlendedProvPayPrem+WB62*BlendedProvPayElite)</f>
        <v/>
      </c>
      <c r="WQ62" s="12">
        <f>WI62*PaymentFee</f>
        <v/>
      </c>
      <c r="WR62" s="12">
        <f>WC62*OpsAI</f>
        <v/>
      </c>
      <c r="WS62" s="12">
        <f>MonthlyFixed</f>
        <v/>
      </c>
      <c r="WT62" s="12">
        <f>VM62*ReferralReward</f>
        <v/>
      </c>
      <c r="WU62" s="12">
        <f>VK62</f>
        <v/>
      </c>
      <c r="WV62" s="9">
        <f>WL62-WP62-WQ62-WR62-WS62-WT62-WU62</f>
        <v/>
      </c>
      <c r="WW62" s="9">
        <f>WW61+WI62-(WP62+WQ62+WR62+WS62+WT62+WU62+WN62)</f>
        <v/>
      </c>
      <c r="WX62" s="12">
        <f>IF(WC62&gt;0,WD62/WC62,0)</f>
        <v/>
      </c>
      <c r="WY62" s="11">
        <f>IF(WC61&gt;0,MAX(0,(WC61+VN62-WC62)/WC61),0)</f>
        <v/>
      </c>
      <c r="XA62" s="12" t="n">
        <v>58</v>
      </c>
      <c r="XB62" s="12">
        <f>MOD(XA62-1+LaunchMonth-1,12)+1</f>
        <v/>
      </c>
      <c r="XC62" s="12">
        <f>INT((XA62-1+LaunchMonth-1)/12)+1</f>
        <v/>
      </c>
      <c r="XD62" s="12">
        <f>VLOOKUP(XB62,SeasonTable,2,FALSE)</f>
        <v/>
      </c>
      <c r="XE62" s="12">
        <f>(1+InflationRate)^INT((XA62-1)/12)</f>
        <v/>
      </c>
      <c r="XF62" s="11">
        <f>MonthlyChurn*VLOOKUP(XB62,ChurnSeasonTable,4,FALSE)</f>
        <v/>
      </c>
      <c r="XG62" s="12">
        <f>MIN(MAX(MktMin19plus,YE61*MktPct19plus),MAX(0,YS61-CashBuffer))</f>
        <v/>
      </c>
      <c r="XH62" s="12">
        <f>IF(XG62&gt;0,MAX(1,ROUND(XG62/CAC*XD62,0)),0)</f>
        <v/>
      </c>
      <c r="XI62" s="12">
        <f>IF(XH62&gt;0,ROUND(XH62*ReferralMix/(1-ReferralMix),0),0)</f>
        <v/>
      </c>
      <c r="XJ62" s="12">
        <f>XH62+XI62</f>
        <v/>
      </c>
      <c r="XK62" s="12">
        <f>ROUND(XJ62*(1-'Sens - Annual Mix'!$A$10),0)</f>
        <v/>
      </c>
      <c r="XL62" s="12">
        <f>XJ62-XK62</f>
        <v/>
      </c>
      <c r="XM62" s="12">
        <f>ROUND(XK62*EssentialMix,0)</f>
        <v/>
      </c>
      <c r="XN62" s="12">
        <f>ROUND(XK62*PremiumMix,0)</f>
        <v/>
      </c>
      <c r="XO62" s="12">
        <f>XK62-XM62-XN62</f>
        <v/>
      </c>
      <c r="XP62" s="12">
        <f>ROUND(XL62*EssentialMix,0)</f>
        <v/>
      </c>
      <c r="XQ62" s="12">
        <f>ROUND(XL62*PremiumMix,0)</f>
        <v/>
      </c>
      <c r="XR62" s="12">
        <f>XL62-XP62-XQ62</f>
        <v/>
      </c>
      <c r="XS62" s="12">
        <f>XM62+XM61+XM60+MAX(0,XS61-XM61-XM60)*(1-XF62)</f>
        <v/>
      </c>
      <c r="XT62" s="12">
        <f>XN62+XN61+XN60+MAX(0,XT61-XN61-XN60)*(1-XF62)</f>
        <v/>
      </c>
      <c r="XU62" s="12">
        <f>XO62+XO61+XO60+MAX(0,XU61-XO61-XO60)*(1-XF62)</f>
        <v/>
      </c>
      <c r="XV62" s="12">
        <f>XV61+XP62-XP50*(AnnualChurn*VLOOKUP(XB62,ChurnSeasonTable,4,FALSE))*POWER(1-(AnnualChurn*VLOOKUP(XB62,ChurnSeasonTable,4,FALSE)),0)+XP38*(AnnualChurn*VLOOKUP(XB62,ChurnSeasonTable,4,FALSE))*POWER(1-(AnnualChurn*VLOOKUP(XB62,ChurnSeasonTable,4,FALSE)),1)+XP26*(AnnualChurn*VLOOKUP(XB62,ChurnSeasonTable,4,FALSE))*POWER(1-(AnnualChurn*VLOOKUP(XB62,ChurnSeasonTable,4,FALSE)),2)+XP14*(AnnualChurn*VLOOKUP(XB62,ChurnSeasonTable,4,FALSE))*POWER(1-(AnnualChurn*VLOOKUP(XB62,ChurnSeasonTable,4,FALSE)),3)</f>
        <v/>
      </c>
      <c r="XW62" s="12">
        <f>XW61+XQ62-XQ50*(AnnualChurn*VLOOKUP(XB62,ChurnSeasonTable,4,FALSE))*POWER(1-(AnnualChurn*VLOOKUP(XB62,ChurnSeasonTable,4,FALSE)),0)+XQ38*(AnnualChurn*VLOOKUP(XB62,ChurnSeasonTable,4,FALSE))*POWER(1-(AnnualChurn*VLOOKUP(XB62,ChurnSeasonTable,4,FALSE)),1)+XQ26*(AnnualChurn*VLOOKUP(XB62,ChurnSeasonTable,4,FALSE))*POWER(1-(AnnualChurn*VLOOKUP(XB62,ChurnSeasonTable,4,FALSE)),2)+XQ14*(AnnualChurn*VLOOKUP(XB62,ChurnSeasonTable,4,FALSE))*POWER(1-(AnnualChurn*VLOOKUP(XB62,ChurnSeasonTable,4,FALSE)),3)</f>
        <v/>
      </c>
      <c r="XX62" s="12">
        <f>XX61+XR62-XR50*(AnnualChurn*VLOOKUP(XB62,ChurnSeasonTable,4,FALSE))*POWER(1-(AnnualChurn*VLOOKUP(XB62,ChurnSeasonTable,4,FALSE)),0)+XR38*(AnnualChurn*VLOOKUP(XB62,ChurnSeasonTable,4,FALSE))*POWER(1-(AnnualChurn*VLOOKUP(XB62,ChurnSeasonTable,4,FALSE)),1)+XR26*(AnnualChurn*VLOOKUP(XB62,ChurnSeasonTable,4,FALSE))*POWER(1-(AnnualChurn*VLOOKUP(XB62,ChurnSeasonTable,4,FALSE)),2)+XR14*(AnnualChurn*VLOOKUP(XB62,ChurnSeasonTable,4,FALSE))*POWER(1-(AnnualChurn*VLOOKUP(XB62,ChurnSeasonTable,4,FALSE)),3)</f>
        <v/>
      </c>
      <c r="XY62" s="12">
        <f>XS62+XT62+XU62+XV62+XW62+XX62</f>
        <v/>
      </c>
      <c r="XZ62" s="9">
        <f>XS62*BlendedPriceEssMonthly*XE62+XT62*BlendedPricePremMonthly*XE62+XU62*BlendedPriceEliteMonthly*XE62+XV62*BlendedPriceEssAnnual*XE62/12+XW62*BlendedPricePremAnnual*XE62/12+XX62*BlendedPriceEliteAnnual*XE62/12</f>
        <v/>
      </c>
      <c r="YA62" s="9">
        <f>XZ62*12</f>
        <v/>
      </c>
      <c r="YB62" s="12">
        <f>XS62*BlendedPriceEssMonthly*XE62+XT62*BlendedPricePremMonthly*XE62+XU62*BlendedPriceEliteMonthly*XE62</f>
        <v/>
      </c>
      <c r="YC62" s="12">
        <f>XP62*BlendedPriceEssAnnual*XE62+XQ62*BlendedPricePremAnnual*XE62+XR62*BlendedPriceEliteAnnual*XE62</f>
        <v/>
      </c>
      <c r="YD62" s="12">
        <f>XP50*POWER(1-(AnnualChurn*VLOOKUP(XB62,ChurnSeasonTable,4,FALSE)),1)*BlendedPriceEssAnnual*XE62+XP38*POWER(1-(AnnualChurn*VLOOKUP(XB62,ChurnSeasonTable,4,FALSE)),2)*BlendedPriceEssAnnual*XE62+XP26*POWER(1-(AnnualChurn*VLOOKUP(XB62,ChurnSeasonTable,4,FALSE)),3)*BlendedPriceEssAnnual*XE62+XP14*POWER(1-(AnnualChurn*VLOOKUP(XB62,ChurnSeasonTable,4,FALSE)),4)*BlendedPriceEssAnnual*XE62+XQ50*POWER(1-(AnnualChurn*VLOOKUP(XB62,ChurnSeasonTable,4,FALSE)),1)*BlendedPricePremAnnual*XE62+XQ38*POWER(1-(AnnualChurn*VLOOKUP(XB62,ChurnSeasonTable,4,FALSE)),2)*BlendedPricePremAnnual*XE62+XQ26*POWER(1-(AnnualChurn*VLOOKUP(XB62,ChurnSeasonTable,4,FALSE)),3)*BlendedPricePremAnnual*XE62+XQ14*POWER(1-(AnnualChurn*VLOOKUP(XB62,ChurnSeasonTable,4,FALSE)),4)*BlendedPricePremAnnual*XE62+XR50*POWER(1-(AnnualChurn*VLOOKUP(XB62,ChurnSeasonTable,4,FALSE)),1)*BlendedPriceEliteAnnual*XE62+XR38*POWER(1-(AnnualChurn*VLOOKUP(XB62,ChurnSeasonTable,4,FALSE)),2)*BlendedPriceEliteAnnual*XE62+XR26*POWER(1-(AnnualChurn*VLOOKUP(XB62,ChurnSeasonTable,4,FALSE)),3)*BlendedPriceEliteAnnual*XE62+XR14*POWER(1-(AnnualChurn*VLOOKUP(XB62,ChurnSeasonTable,4,FALSE)),4)*BlendedPriceEliteAnnual*XE62</f>
        <v/>
      </c>
      <c r="YE62" s="9">
        <f>YB62+YC62+YD62</f>
        <v/>
      </c>
      <c r="YF62" s="12">
        <f>SUM(YE51:YE62)</f>
        <v/>
      </c>
      <c r="YG62" s="12">
        <f>OR(YG61,IF(VATAgentMode,SUM($YE51:$YE62)-SUM($YL51:$YL62)&gt;=VATThreshold,SUM($YE51:$YE62)&gt;=VATThreshold))</f>
        <v/>
      </c>
      <c r="YH62" s="9">
        <f>IF(YG62,IF(VATAgentMode,YE62-((YE62-YL62)-(YE62-YL62)/(1+VATRate)),YE62/(1+VATRate)),YE62)</f>
        <v/>
      </c>
      <c r="YI62" s="12">
        <f>YE62-YH62</f>
        <v/>
      </c>
      <c r="YJ62" s="12">
        <f>IF(YG62=0,0,IF(XB62=1,SUMPRODUCT(--(($XC$5:$XC62=$XC62-1)*($XB$5:$XB62&gt;=10)*($XB$5:$XB62&lt;=12)),$YI$5:$YI62),IF(XB62=4,SUMPRODUCT(--(($XC$5:$XC62=$XC62)*($XB$5:$XB62&gt;=1)*($XB$5:$XB62&lt;=3)),$YI$5:$YI62),IF(XB62=7,SUMPRODUCT(--(($XC$5:$XC62=$XC62)*($XB$5:$XB62&gt;=4)*($XB$5:$XB62&lt;=6)),$YI$5:$YI62),IF(XB62=10,SUMPRODUCT(--(($XC$5:$XC62=$XC62)*($XB$5:$XB62&gt;=7)*($XB$5:$XB62&lt;=9)),$YI$5:$YI62),0)))))</f>
        <v/>
      </c>
      <c r="YK62" s="12">
        <f>YK61+YI62-YJ62</f>
        <v/>
      </c>
      <c r="YL62" s="12">
        <f>IF(ProviderDelay&gt;=1,XS61*BlendedProvPayEss+XT61*BlendedProvPayPrem+XU61*BlendedProvPayElite+XV61*BlendedProvPayEss+XW61*BlendedProvPayPrem+XX61*BlendedProvPayElite,XS62*BlendedProvPayEss+XT62*BlendedProvPayPrem+XU62*BlendedProvPayElite+XV62*BlendedProvPayEss+XW62*BlendedProvPayPrem+XX62*BlendedProvPayElite)</f>
        <v/>
      </c>
      <c r="YM62" s="12">
        <f>YE62*PaymentFee</f>
        <v/>
      </c>
      <c r="YN62" s="12">
        <f>XY62*OpsAI</f>
        <v/>
      </c>
      <c r="YO62" s="12">
        <f>MonthlyFixed</f>
        <v/>
      </c>
      <c r="YP62" s="12">
        <f>XI62*ReferralReward</f>
        <v/>
      </c>
      <c r="YQ62" s="12">
        <f>XG62</f>
        <v/>
      </c>
      <c r="YR62" s="9">
        <f>YH62-YL62-YM62-YN62-YO62-YP62-YQ62</f>
        <v/>
      </c>
      <c r="YS62" s="9">
        <f>YS61+YE62-(YL62+YM62+YN62+YO62+YP62+YQ62+YJ62)</f>
        <v/>
      </c>
      <c r="YT62" s="12">
        <f>IF(XY62&gt;0,XZ62/XY62,0)</f>
        <v/>
      </c>
      <c r="YU62" s="11">
        <f>IF(XY61&gt;0,MAX(0,(XY61+XJ62-XY62)/XY61),0)</f>
        <v/>
      </c>
      <c r="YW62" s="12" t="n">
        <v>58</v>
      </c>
      <c r="YX62" s="12">
        <f>MOD(YW62-1+LaunchMonth-1,12)+1</f>
        <v/>
      </c>
      <c r="YY62" s="12">
        <f>INT((YW62-1+LaunchMonth-1)/12)+1</f>
        <v/>
      </c>
      <c r="YZ62" s="12">
        <f>VLOOKUP(YX62,SeasonTable,2,FALSE)</f>
        <v/>
      </c>
      <c r="ZA62" s="12">
        <f>(1+InflationRate)^INT((YW62-1)/12)</f>
        <v/>
      </c>
      <c r="ZB62" s="11">
        <f>MonthlyChurn*VLOOKUP(YX62,ChurnSeasonTable,4,FALSE)</f>
        <v/>
      </c>
      <c r="ZC62" s="12">
        <f>MIN(MAX(MktMin19plus,AAA61*MktPct19plus),MAX(0,AAO61-CashBuffer))</f>
        <v/>
      </c>
      <c r="ZD62" s="12">
        <f>IF(ZC62&gt;0,MAX(1,ROUND(ZC62/CAC*YZ62,0)),0)</f>
        <v/>
      </c>
      <c r="ZE62" s="12">
        <f>IF(ZD62&gt;0,ROUND(ZD62*ReferralMix/(1-ReferralMix),0),0)</f>
        <v/>
      </c>
      <c r="ZF62" s="12">
        <f>ZD62+ZE62</f>
        <v/>
      </c>
      <c r="ZG62" s="12">
        <f>ROUND(ZF62*(1-'Sens - Annual Mix'!$A$11),0)</f>
        <v/>
      </c>
      <c r="ZH62" s="12">
        <f>ZF62-ZG62</f>
        <v/>
      </c>
      <c r="ZI62" s="12">
        <f>ROUND(ZG62*EssentialMix,0)</f>
        <v/>
      </c>
      <c r="ZJ62" s="12">
        <f>ROUND(ZG62*PremiumMix,0)</f>
        <v/>
      </c>
      <c r="ZK62" s="12">
        <f>ZG62-ZI62-ZJ62</f>
        <v/>
      </c>
      <c r="ZL62" s="12">
        <f>ROUND(ZH62*EssentialMix,0)</f>
        <v/>
      </c>
      <c r="ZM62" s="12">
        <f>ROUND(ZH62*PremiumMix,0)</f>
        <v/>
      </c>
      <c r="ZN62" s="12">
        <f>ZH62-ZL62-ZM62</f>
        <v/>
      </c>
      <c r="ZO62" s="12">
        <f>ZI62+ZI61+ZI60+MAX(0,ZO61-ZI61-ZI60)*(1-ZB62)</f>
        <v/>
      </c>
      <c r="ZP62" s="12">
        <f>ZJ62+ZJ61+ZJ60+MAX(0,ZP61-ZJ61-ZJ60)*(1-ZB62)</f>
        <v/>
      </c>
      <c r="ZQ62" s="12">
        <f>ZK62+ZK61+ZK60+MAX(0,ZQ61-ZK61-ZK60)*(1-ZB62)</f>
        <v/>
      </c>
      <c r="ZR62" s="12">
        <f>ZR61+ZL62-ZL50*(AnnualChurn*VLOOKUP(YX62,ChurnSeasonTable,4,FALSE))*POWER(1-(AnnualChurn*VLOOKUP(YX62,ChurnSeasonTable,4,FALSE)),0)+ZL38*(AnnualChurn*VLOOKUP(YX62,ChurnSeasonTable,4,FALSE))*POWER(1-(AnnualChurn*VLOOKUP(YX62,ChurnSeasonTable,4,FALSE)),1)+ZL26*(AnnualChurn*VLOOKUP(YX62,ChurnSeasonTable,4,FALSE))*POWER(1-(AnnualChurn*VLOOKUP(YX62,ChurnSeasonTable,4,FALSE)),2)+ZL14*(AnnualChurn*VLOOKUP(YX62,ChurnSeasonTable,4,FALSE))*POWER(1-(AnnualChurn*VLOOKUP(YX62,ChurnSeasonTable,4,FALSE)),3)</f>
        <v/>
      </c>
      <c r="ZS62" s="12">
        <f>ZS61+ZM62-ZM50*(AnnualChurn*VLOOKUP(YX62,ChurnSeasonTable,4,FALSE))*POWER(1-(AnnualChurn*VLOOKUP(YX62,ChurnSeasonTable,4,FALSE)),0)+ZM38*(AnnualChurn*VLOOKUP(YX62,ChurnSeasonTable,4,FALSE))*POWER(1-(AnnualChurn*VLOOKUP(YX62,ChurnSeasonTable,4,FALSE)),1)+ZM26*(AnnualChurn*VLOOKUP(YX62,ChurnSeasonTable,4,FALSE))*POWER(1-(AnnualChurn*VLOOKUP(YX62,ChurnSeasonTable,4,FALSE)),2)+ZM14*(AnnualChurn*VLOOKUP(YX62,ChurnSeasonTable,4,FALSE))*POWER(1-(AnnualChurn*VLOOKUP(YX62,ChurnSeasonTable,4,FALSE)),3)</f>
        <v/>
      </c>
      <c r="ZT62" s="12">
        <f>ZT61+ZN62-ZN50*(AnnualChurn*VLOOKUP(YX62,ChurnSeasonTable,4,FALSE))*POWER(1-(AnnualChurn*VLOOKUP(YX62,ChurnSeasonTable,4,FALSE)),0)+ZN38*(AnnualChurn*VLOOKUP(YX62,ChurnSeasonTable,4,FALSE))*POWER(1-(AnnualChurn*VLOOKUP(YX62,ChurnSeasonTable,4,FALSE)),1)+ZN26*(AnnualChurn*VLOOKUP(YX62,ChurnSeasonTable,4,FALSE))*POWER(1-(AnnualChurn*VLOOKUP(YX62,ChurnSeasonTable,4,FALSE)),2)+ZN14*(AnnualChurn*VLOOKUP(YX62,ChurnSeasonTable,4,FALSE))*POWER(1-(AnnualChurn*VLOOKUP(YX62,ChurnSeasonTable,4,FALSE)),3)</f>
        <v/>
      </c>
      <c r="ZU62" s="12">
        <f>ZO62+ZP62+ZQ62+ZR62+ZS62+ZT62</f>
        <v/>
      </c>
      <c r="ZV62" s="9">
        <f>ZO62*BlendedPriceEssMonthly*ZA62+ZP62*BlendedPricePremMonthly*ZA62+ZQ62*BlendedPriceEliteMonthly*ZA62+ZR62*BlendedPriceEssAnnual*ZA62/12+ZS62*BlendedPricePremAnnual*ZA62/12+ZT62*BlendedPriceEliteAnnual*ZA62/12</f>
        <v/>
      </c>
      <c r="ZW62" s="9">
        <f>ZV62*12</f>
        <v/>
      </c>
      <c r="ZX62" s="12">
        <f>ZO62*BlendedPriceEssMonthly*ZA62+ZP62*BlendedPricePremMonthly*ZA62+ZQ62*BlendedPriceEliteMonthly*ZA62</f>
        <v/>
      </c>
      <c r="ZY62" s="12">
        <f>ZL62*BlendedPriceEssAnnual*ZA62+ZM62*BlendedPricePremAnnual*ZA62+ZN62*BlendedPriceEliteAnnual*ZA62</f>
        <v/>
      </c>
      <c r="ZZ62" s="12">
        <f>ZL50*POWER(1-(AnnualChurn*VLOOKUP(YX62,ChurnSeasonTable,4,FALSE)),1)*BlendedPriceEssAnnual*ZA62+ZL38*POWER(1-(AnnualChurn*VLOOKUP(YX62,ChurnSeasonTable,4,FALSE)),2)*BlendedPriceEssAnnual*ZA62+ZL26*POWER(1-(AnnualChurn*VLOOKUP(YX62,ChurnSeasonTable,4,FALSE)),3)*BlendedPriceEssAnnual*ZA62+ZL14*POWER(1-(AnnualChurn*VLOOKUP(YX62,ChurnSeasonTable,4,FALSE)),4)*BlendedPriceEssAnnual*ZA62+ZM50*POWER(1-(AnnualChurn*VLOOKUP(YX62,ChurnSeasonTable,4,FALSE)),1)*BlendedPricePremAnnual*ZA62+ZM38*POWER(1-(AnnualChurn*VLOOKUP(YX62,ChurnSeasonTable,4,FALSE)),2)*BlendedPricePremAnnual*ZA62+ZM26*POWER(1-(AnnualChurn*VLOOKUP(YX62,ChurnSeasonTable,4,FALSE)),3)*BlendedPricePremAnnual*ZA62+ZM14*POWER(1-(AnnualChurn*VLOOKUP(YX62,ChurnSeasonTable,4,FALSE)),4)*BlendedPricePremAnnual*ZA62+ZN50*POWER(1-(AnnualChurn*VLOOKUP(YX62,ChurnSeasonTable,4,FALSE)),1)*BlendedPriceEliteAnnual*ZA62+ZN38*POWER(1-(AnnualChurn*VLOOKUP(YX62,ChurnSeasonTable,4,FALSE)),2)*BlendedPriceEliteAnnual*ZA62+ZN26*POWER(1-(AnnualChurn*VLOOKUP(YX62,ChurnSeasonTable,4,FALSE)),3)*BlendedPriceEliteAnnual*ZA62+ZN14*POWER(1-(AnnualChurn*VLOOKUP(YX62,ChurnSeasonTable,4,FALSE)),4)*BlendedPriceEliteAnnual*ZA62</f>
        <v/>
      </c>
      <c r="AAA62" s="9">
        <f>ZX62+ZY62+ZZ62</f>
        <v/>
      </c>
      <c r="AAB62" s="12">
        <f>SUM(AAA51:AAA62)</f>
        <v/>
      </c>
      <c r="AAC62" s="12">
        <f>OR(AAC61,IF(VATAgentMode,SUM($AAA51:$AAA62)-SUM($AAH51:$AAH62)&gt;=VATThreshold,SUM($AAA51:$AAA62)&gt;=VATThreshold))</f>
        <v/>
      </c>
      <c r="AAD62" s="9">
        <f>IF(AAC62,IF(VATAgentMode,AAA62-((AAA62-AAH62)-(AAA62-AAH62)/(1+VATRate)),AAA62/(1+VATRate)),AAA62)</f>
        <v/>
      </c>
      <c r="AAE62" s="12">
        <f>AAA62-AAD62</f>
        <v/>
      </c>
      <c r="AAF62" s="12">
        <f>IF(AAC62=0,0,IF(YX62=1,SUMPRODUCT(--(($YY$5:$YY62=$YY62-1)*($YX$5:$YX62&gt;=10)*($YX$5:$YX62&lt;=12)),$AAE$5:$AAE62),IF(YX62=4,SUMPRODUCT(--(($YY$5:$YY62=$YY62)*($YX$5:$YX62&gt;=1)*($YX$5:$YX62&lt;=3)),$AAE$5:$AAE62),IF(YX62=7,SUMPRODUCT(--(($YY$5:$YY62=$YY62)*($YX$5:$YX62&gt;=4)*($YX$5:$YX62&lt;=6)),$AAE$5:$AAE62),IF(YX62=10,SUMPRODUCT(--(($YY$5:$YY62=$YY62)*($YX$5:$YX62&gt;=7)*($YX$5:$YX62&lt;=9)),$AAE$5:$AAE62),0)))))</f>
        <v/>
      </c>
      <c r="AAG62" s="12">
        <f>AAG61+AAE62-AAF62</f>
        <v/>
      </c>
      <c r="AAH62" s="12">
        <f>IF(ProviderDelay&gt;=1,ZO61*BlendedProvPayEss+ZP61*BlendedProvPayPrem+ZQ61*BlendedProvPayElite+ZR61*BlendedProvPayEss+ZS61*BlendedProvPayPrem+ZT61*BlendedProvPayElite,ZO62*BlendedProvPayEss+ZP62*BlendedProvPayPrem+ZQ62*BlendedProvPayElite+ZR62*BlendedProvPayEss+ZS62*BlendedProvPayPrem+ZT62*BlendedProvPayElite)</f>
        <v/>
      </c>
      <c r="AAI62" s="12">
        <f>AAA62*PaymentFee</f>
        <v/>
      </c>
      <c r="AAJ62" s="12">
        <f>ZU62*OpsAI</f>
        <v/>
      </c>
      <c r="AAK62" s="12">
        <f>MonthlyFixed</f>
        <v/>
      </c>
      <c r="AAL62" s="12">
        <f>ZE62*ReferralReward</f>
        <v/>
      </c>
      <c r="AAM62" s="12">
        <f>ZC62</f>
        <v/>
      </c>
      <c r="AAN62" s="9">
        <f>AAD62-AAH62-AAI62-AAJ62-AAK62-AAL62-AAM62</f>
        <v/>
      </c>
      <c r="AAO62" s="9">
        <f>AAO61+AAA62-(AAH62+AAI62+AAJ62+AAK62+AAL62+AAM62+AAF62)</f>
        <v/>
      </c>
      <c r="AAP62" s="12">
        <f>IF(ZU62&gt;0,ZV62/ZU62,0)</f>
        <v/>
      </c>
      <c r="AAQ62" s="11">
        <f>IF(ZU61&gt;0,MAX(0,(ZU61+ZF62-ZU62)/ZU61),0)</f>
        <v/>
      </c>
      <c r="AAS62" s="12" t="n">
        <v>58</v>
      </c>
      <c r="AAT62" s="12">
        <f>MOD(AAS62-1+LaunchMonth-1,12)+1</f>
        <v/>
      </c>
      <c r="AAU62" s="12">
        <f>INT((AAS62-1+LaunchMonth-1)/12)+1</f>
        <v/>
      </c>
      <c r="AAV62" s="12">
        <f>VLOOKUP(AAT62,SeasonTable,2,FALSE)</f>
        <v/>
      </c>
      <c r="AAW62" s="12">
        <f>(1+InflationRate)^INT((AAS62-1)/12)</f>
        <v/>
      </c>
      <c r="AAX62" s="11">
        <f>MonthlyChurn*VLOOKUP(AAT62,ChurnSeasonTable,4,FALSE)</f>
        <v/>
      </c>
      <c r="AAY62" s="12">
        <f>MIN(MAX(MktMin19plus,ABW61*MktPct19plus),MAX(0,ACK61-CashBuffer))</f>
        <v/>
      </c>
      <c r="AAZ62" s="12">
        <f>IF(AAY62&gt;0,MAX(1,ROUND(AAY62/CAC*AAV62,0)),0)</f>
        <v/>
      </c>
      <c r="ABA62" s="12">
        <f>IF(AAZ62&gt;0,ROUND(AAZ62*ReferralMix/(1-ReferralMix),0),0)</f>
        <v/>
      </c>
      <c r="ABB62" s="12">
        <f>AAZ62+ABA62</f>
        <v/>
      </c>
      <c r="ABC62" s="12">
        <f>ROUND(ABB62*(1-'Sens - Annual Mix'!$A$12),0)</f>
        <v/>
      </c>
      <c r="ABD62" s="12">
        <f>ABB62-ABC62</f>
        <v/>
      </c>
      <c r="ABE62" s="12">
        <f>ROUND(ABC62*EssentialMix,0)</f>
        <v/>
      </c>
      <c r="ABF62" s="12">
        <f>ROUND(ABC62*PremiumMix,0)</f>
        <v/>
      </c>
      <c r="ABG62" s="12">
        <f>ABC62-ABE62-ABF62</f>
        <v/>
      </c>
      <c r="ABH62" s="12">
        <f>ROUND(ABD62*EssentialMix,0)</f>
        <v/>
      </c>
      <c r="ABI62" s="12">
        <f>ROUND(ABD62*PremiumMix,0)</f>
        <v/>
      </c>
      <c r="ABJ62" s="12">
        <f>ABD62-ABH62-ABI62</f>
        <v/>
      </c>
      <c r="ABK62" s="12">
        <f>ABE62+ABE61+ABE60+MAX(0,ABK61-ABE61-ABE60)*(1-AAX62)</f>
        <v/>
      </c>
      <c r="ABL62" s="12">
        <f>ABF62+ABF61+ABF60+MAX(0,ABL61-ABF61-ABF60)*(1-AAX62)</f>
        <v/>
      </c>
      <c r="ABM62" s="12">
        <f>ABG62+ABG61+ABG60+MAX(0,ABM61-ABG61-ABG60)*(1-AAX62)</f>
        <v/>
      </c>
      <c r="ABN62" s="12">
        <f>ABN61+ABH62-ABH50*(AnnualChurn*VLOOKUP(AAT62,ChurnSeasonTable,4,FALSE))*POWER(1-(AnnualChurn*VLOOKUP(AAT62,ChurnSeasonTable,4,FALSE)),0)+ABH38*(AnnualChurn*VLOOKUP(AAT62,ChurnSeasonTable,4,FALSE))*POWER(1-(AnnualChurn*VLOOKUP(AAT62,ChurnSeasonTable,4,FALSE)),1)+ABH26*(AnnualChurn*VLOOKUP(AAT62,ChurnSeasonTable,4,FALSE))*POWER(1-(AnnualChurn*VLOOKUP(AAT62,ChurnSeasonTable,4,FALSE)),2)+ABH14*(AnnualChurn*VLOOKUP(AAT62,ChurnSeasonTable,4,FALSE))*POWER(1-(AnnualChurn*VLOOKUP(AAT62,ChurnSeasonTable,4,FALSE)),3)</f>
        <v/>
      </c>
      <c r="ABO62" s="12">
        <f>ABO61+ABI62-ABI50*(AnnualChurn*VLOOKUP(AAT62,ChurnSeasonTable,4,FALSE))*POWER(1-(AnnualChurn*VLOOKUP(AAT62,ChurnSeasonTable,4,FALSE)),0)+ABI38*(AnnualChurn*VLOOKUP(AAT62,ChurnSeasonTable,4,FALSE))*POWER(1-(AnnualChurn*VLOOKUP(AAT62,ChurnSeasonTable,4,FALSE)),1)+ABI26*(AnnualChurn*VLOOKUP(AAT62,ChurnSeasonTable,4,FALSE))*POWER(1-(AnnualChurn*VLOOKUP(AAT62,ChurnSeasonTable,4,FALSE)),2)+ABI14*(AnnualChurn*VLOOKUP(AAT62,ChurnSeasonTable,4,FALSE))*POWER(1-(AnnualChurn*VLOOKUP(AAT62,ChurnSeasonTable,4,FALSE)),3)</f>
        <v/>
      </c>
      <c r="ABP62" s="12">
        <f>ABP61+ABJ62-ABJ50*(AnnualChurn*VLOOKUP(AAT62,ChurnSeasonTable,4,FALSE))*POWER(1-(AnnualChurn*VLOOKUP(AAT62,ChurnSeasonTable,4,FALSE)),0)+ABJ38*(AnnualChurn*VLOOKUP(AAT62,ChurnSeasonTable,4,FALSE))*POWER(1-(AnnualChurn*VLOOKUP(AAT62,ChurnSeasonTable,4,FALSE)),1)+ABJ26*(AnnualChurn*VLOOKUP(AAT62,ChurnSeasonTable,4,FALSE))*POWER(1-(AnnualChurn*VLOOKUP(AAT62,ChurnSeasonTable,4,FALSE)),2)+ABJ14*(AnnualChurn*VLOOKUP(AAT62,ChurnSeasonTable,4,FALSE))*POWER(1-(AnnualChurn*VLOOKUP(AAT62,ChurnSeasonTable,4,FALSE)),3)</f>
        <v/>
      </c>
      <c r="ABQ62" s="12">
        <f>ABK62+ABL62+ABM62+ABN62+ABO62+ABP62</f>
        <v/>
      </c>
      <c r="ABR62" s="9">
        <f>ABK62*BlendedPriceEssMonthly*AAW62+ABL62*BlendedPricePremMonthly*AAW62+ABM62*BlendedPriceEliteMonthly*AAW62+ABN62*BlendedPriceEssAnnual*AAW62/12+ABO62*BlendedPricePremAnnual*AAW62/12+ABP62*BlendedPriceEliteAnnual*AAW62/12</f>
        <v/>
      </c>
      <c r="ABS62" s="9">
        <f>ABR62*12</f>
        <v/>
      </c>
      <c r="ABT62" s="12">
        <f>ABK62*BlendedPriceEssMonthly*AAW62+ABL62*BlendedPricePremMonthly*AAW62+ABM62*BlendedPriceEliteMonthly*AAW62</f>
        <v/>
      </c>
      <c r="ABU62" s="12">
        <f>ABH62*BlendedPriceEssAnnual*AAW62+ABI62*BlendedPricePremAnnual*AAW62+ABJ62*BlendedPriceEliteAnnual*AAW62</f>
        <v/>
      </c>
      <c r="ABV62" s="12">
        <f>ABH50*POWER(1-(AnnualChurn*VLOOKUP(AAT62,ChurnSeasonTable,4,FALSE)),1)*BlendedPriceEssAnnual*AAW62+ABH38*POWER(1-(AnnualChurn*VLOOKUP(AAT62,ChurnSeasonTable,4,FALSE)),2)*BlendedPriceEssAnnual*AAW62+ABH26*POWER(1-(AnnualChurn*VLOOKUP(AAT62,ChurnSeasonTable,4,FALSE)),3)*BlendedPriceEssAnnual*AAW62+ABH14*POWER(1-(AnnualChurn*VLOOKUP(AAT62,ChurnSeasonTable,4,FALSE)),4)*BlendedPriceEssAnnual*AAW62+ABI50*POWER(1-(AnnualChurn*VLOOKUP(AAT62,ChurnSeasonTable,4,FALSE)),1)*BlendedPricePremAnnual*AAW62+ABI38*POWER(1-(AnnualChurn*VLOOKUP(AAT62,ChurnSeasonTable,4,FALSE)),2)*BlendedPricePremAnnual*AAW62+ABI26*POWER(1-(AnnualChurn*VLOOKUP(AAT62,ChurnSeasonTable,4,FALSE)),3)*BlendedPricePremAnnual*AAW62+ABI14*POWER(1-(AnnualChurn*VLOOKUP(AAT62,ChurnSeasonTable,4,FALSE)),4)*BlendedPricePremAnnual*AAW62+ABJ50*POWER(1-(AnnualChurn*VLOOKUP(AAT62,ChurnSeasonTable,4,FALSE)),1)*BlendedPriceEliteAnnual*AAW62+ABJ38*POWER(1-(AnnualChurn*VLOOKUP(AAT62,ChurnSeasonTable,4,FALSE)),2)*BlendedPriceEliteAnnual*AAW62+ABJ26*POWER(1-(AnnualChurn*VLOOKUP(AAT62,ChurnSeasonTable,4,FALSE)),3)*BlendedPriceEliteAnnual*AAW62+ABJ14*POWER(1-(AnnualChurn*VLOOKUP(AAT62,ChurnSeasonTable,4,FALSE)),4)*BlendedPriceEliteAnnual*AAW62</f>
        <v/>
      </c>
      <c r="ABW62" s="9">
        <f>ABT62+ABU62+ABV62</f>
        <v/>
      </c>
      <c r="ABX62" s="12">
        <f>SUM(ABW51:ABW62)</f>
        <v/>
      </c>
      <c r="ABY62" s="12">
        <f>OR(ABY61,IF(VATAgentMode,SUM($ABW51:$ABW62)-SUM($ACD51:$ACD62)&gt;=VATThreshold,SUM($ABW51:$ABW62)&gt;=VATThreshold))</f>
        <v/>
      </c>
      <c r="ABZ62" s="9">
        <f>IF(ABY62,IF(VATAgentMode,ABW62-((ABW62-ACD62)-(ABW62-ACD62)/(1+VATRate)),ABW62/(1+VATRate)),ABW62)</f>
        <v/>
      </c>
      <c r="ACA62" s="12">
        <f>ABW62-ABZ62</f>
        <v/>
      </c>
      <c r="ACB62" s="12">
        <f>IF(ABY62=0,0,IF(AAT62=1,SUMPRODUCT(--(($AAU$5:$AAU62=$AAU62-1)*($AAT$5:$AAT62&gt;=10)*($AAT$5:$AAT62&lt;=12)),$ACA$5:$ACA62),IF(AAT62=4,SUMPRODUCT(--(($AAU$5:$AAU62=$AAU62)*($AAT$5:$AAT62&gt;=1)*($AAT$5:$AAT62&lt;=3)),$ACA$5:$ACA62),IF(AAT62=7,SUMPRODUCT(--(($AAU$5:$AAU62=$AAU62)*($AAT$5:$AAT62&gt;=4)*($AAT$5:$AAT62&lt;=6)),$ACA$5:$ACA62),IF(AAT62=10,SUMPRODUCT(--(($AAU$5:$AAU62=$AAU62)*($AAT$5:$AAT62&gt;=7)*($AAT$5:$AAT62&lt;=9)),$ACA$5:$ACA62),0)))))</f>
        <v/>
      </c>
      <c r="ACC62" s="12">
        <f>ACC61+ACA62-ACB62</f>
        <v/>
      </c>
      <c r="ACD62" s="12">
        <f>IF(ProviderDelay&gt;=1,ABK61*BlendedProvPayEss+ABL61*BlendedProvPayPrem+ABM61*BlendedProvPayElite+ABN61*BlendedProvPayEss+ABO61*BlendedProvPayPrem+ABP61*BlendedProvPayElite,ABK62*BlendedProvPayEss+ABL62*BlendedProvPayPrem+ABM62*BlendedProvPayElite+ABN62*BlendedProvPayEss+ABO62*BlendedProvPayPrem+ABP62*BlendedProvPayElite)</f>
        <v/>
      </c>
      <c r="ACE62" s="12">
        <f>ABW62*PaymentFee</f>
        <v/>
      </c>
      <c r="ACF62" s="12">
        <f>ABQ62*OpsAI</f>
        <v/>
      </c>
      <c r="ACG62" s="12">
        <f>MonthlyFixed</f>
        <v/>
      </c>
      <c r="ACH62" s="12">
        <f>ABA62*ReferralReward</f>
        <v/>
      </c>
      <c r="ACI62" s="12">
        <f>AAY62</f>
        <v/>
      </c>
      <c r="ACJ62" s="9">
        <f>ABZ62-ACD62-ACE62-ACF62-ACG62-ACH62-ACI62</f>
        <v/>
      </c>
      <c r="ACK62" s="9">
        <f>ACK61+ABW62-(ACD62+ACE62+ACF62+ACG62+ACH62+ACI62+ACB62)</f>
        <v/>
      </c>
      <c r="ACL62" s="12">
        <f>IF(ABQ62&gt;0,ABR62/ABQ62,0)</f>
        <v/>
      </c>
      <c r="ACM62" s="11">
        <f>IF(ABQ61&gt;0,MAX(0,(ABQ61+ABB62-ABQ62)/ABQ61),0)</f>
        <v/>
      </c>
      <c r="ACO62" s="12" t="n">
        <v>58</v>
      </c>
      <c r="ACP62" s="12">
        <f>MOD(ACO62-1+LaunchMonth-1,12)+1</f>
        <v/>
      </c>
      <c r="ACQ62" s="12">
        <f>INT((ACO62-1+LaunchMonth-1)/12)+1</f>
        <v/>
      </c>
      <c r="ACR62" s="12">
        <f>VLOOKUP(ACP62,SeasonTable,2,FALSE)</f>
        <v/>
      </c>
      <c r="ACS62" s="12">
        <f>(1+InflationRate)^INT((ACO62-1)/12)</f>
        <v/>
      </c>
      <c r="ACT62" s="11">
        <f>MonthlyChurn*VLOOKUP(ACP62,ChurnSeasonTable,4,FALSE)</f>
        <v/>
      </c>
      <c r="ACU62" s="12">
        <f>MIN(MAX(MktMin19plus,ADS61*MktPct19plus),MAX(0,AEG61-CashBuffer))</f>
        <v/>
      </c>
      <c r="ACV62" s="12">
        <f>IF(ACU62&gt;0,MAX(1,ROUND(ACU62/CAC*ACR62,0)),0)</f>
        <v/>
      </c>
      <c r="ACW62" s="12">
        <f>IF(ACV62&gt;0,ROUND(ACV62*ReferralMix/(1-ReferralMix),0),0)</f>
        <v/>
      </c>
      <c r="ACX62" s="12">
        <f>ACV62+ACW62</f>
        <v/>
      </c>
      <c r="ACY62" s="12">
        <f>ROUND(ACX62*(1-'Sens - Annual Mix'!$A$13),0)</f>
        <v/>
      </c>
      <c r="ACZ62" s="12">
        <f>ACX62-ACY62</f>
        <v/>
      </c>
      <c r="ADA62" s="12">
        <f>ROUND(ACY62*EssentialMix,0)</f>
        <v/>
      </c>
      <c r="ADB62" s="12">
        <f>ROUND(ACY62*PremiumMix,0)</f>
        <v/>
      </c>
      <c r="ADC62" s="12">
        <f>ACY62-ADA62-ADB62</f>
        <v/>
      </c>
      <c r="ADD62" s="12">
        <f>ROUND(ACZ62*EssentialMix,0)</f>
        <v/>
      </c>
      <c r="ADE62" s="12">
        <f>ROUND(ACZ62*PremiumMix,0)</f>
        <v/>
      </c>
      <c r="ADF62" s="12">
        <f>ACZ62-ADD62-ADE62</f>
        <v/>
      </c>
      <c r="ADG62" s="12">
        <f>ADA62+ADA61+ADA60+MAX(0,ADG61-ADA61-ADA60)*(1-ACT62)</f>
        <v/>
      </c>
      <c r="ADH62" s="12">
        <f>ADB62+ADB61+ADB60+MAX(0,ADH61-ADB61-ADB60)*(1-ACT62)</f>
        <v/>
      </c>
      <c r="ADI62" s="12">
        <f>ADC62+ADC61+ADC60+MAX(0,ADI61-ADC61-ADC60)*(1-ACT62)</f>
        <v/>
      </c>
      <c r="ADJ62" s="12">
        <f>ADJ61+ADD62-ADD50*(AnnualChurn*VLOOKUP(ACP62,ChurnSeasonTable,4,FALSE))*POWER(1-(AnnualChurn*VLOOKUP(ACP62,ChurnSeasonTable,4,FALSE)),0)+ADD38*(AnnualChurn*VLOOKUP(ACP62,ChurnSeasonTable,4,FALSE))*POWER(1-(AnnualChurn*VLOOKUP(ACP62,ChurnSeasonTable,4,FALSE)),1)+ADD26*(AnnualChurn*VLOOKUP(ACP62,ChurnSeasonTable,4,FALSE))*POWER(1-(AnnualChurn*VLOOKUP(ACP62,ChurnSeasonTable,4,FALSE)),2)+ADD14*(AnnualChurn*VLOOKUP(ACP62,ChurnSeasonTable,4,FALSE))*POWER(1-(AnnualChurn*VLOOKUP(ACP62,ChurnSeasonTable,4,FALSE)),3)</f>
        <v/>
      </c>
      <c r="ADK62" s="12">
        <f>ADK61+ADE62-ADE50*(AnnualChurn*VLOOKUP(ACP62,ChurnSeasonTable,4,FALSE))*POWER(1-(AnnualChurn*VLOOKUP(ACP62,ChurnSeasonTable,4,FALSE)),0)+ADE38*(AnnualChurn*VLOOKUP(ACP62,ChurnSeasonTable,4,FALSE))*POWER(1-(AnnualChurn*VLOOKUP(ACP62,ChurnSeasonTable,4,FALSE)),1)+ADE26*(AnnualChurn*VLOOKUP(ACP62,ChurnSeasonTable,4,FALSE))*POWER(1-(AnnualChurn*VLOOKUP(ACP62,ChurnSeasonTable,4,FALSE)),2)+ADE14*(AnnualChurn*VLOOKUP(ACP62,ChurnSeasonTable,4,FALSE))*POWER(1-(AnnualChurn*VLOOKUP(ACP62,ChurnSeasonTable,4,FALSE)),3)</f>
        <v/>
      </c>
      <c r="ADL62" s="12">
        <f>ADL61+ADF62-ADF50*(AnnualChurn*VLOOKUP(ACP62,ChurnSeasonTable,4,FALSE))*POWER(1-(AnnualChurn*VLOOKUP(ACP62,ChurnSeasonTable,4,FALSE)),0)+ADF38*(AnnualChurn*VLOOKUP(ACP62,ChurnSeasonTable,4,FALSE))*POWER(1-(AnnualChurn*VLOOKUP(ACP62,ChurnSeasonTable,4,FALSE)),1)+ADF26*(AnnualChurn*VLOOKUP(ACP62,ChurnSeasonTable,4,FALSE))*POWER(1-(AnnualChurn*VLOOKUP(ACP62,ChurnSeasonTable,4,FALSE)),2)+ADF14*(AnnualChurn*VLOOKUP(ACP62,ChurnSeasonTable,4,FALSE))*POWER(1-(AnnualChurn*VLOOKUP(ACP62,ChurnSeasonTable,4,FALSE)),3)</f>
        <v/>
      </c>
      <c r="ADM62" s="12">
        <f>ADG62+ADH62+ADI62+ADJ62+ADK62+ADL62</f>
        <v/>
      </c>
      <c r="ADN62" s="9">
        <f>ADG62*BlendedPriceEssMonthly*ACS62+ADH62*BlendedPricePremMonthly*ACS62+ADI62*BlendedPriceEliteMonthly*ACS62+ADJ62*BlendedPriceEssAnnual*ACS62/12+ADK62*BlendedPricePremAnnual*ACS62/12+ADL62*BlendedPriceEliteAnnual*ACS62/12</f>
        <v/>
      </c>
      <c r="ADO62" s="9">
        <f>ADN62*12</f>
        <v/>
      </c>
      <c r="ADP62" s="12">
        <f>ADG62*BlendedPriceEssMonthly*ACS62+ADH62*BlendedPricePremMonthly*ACS62+ADI62*BlendedPriceEliteMonthly*ACS62</f>
        <v/>
      </c>
      <c r="ADQ62" s="12">
        <f>ADD62*BlendedPriceEssAnnual*ACS62+ADE62*BlendedPricePremAnnual*ACS62+ADF62*BlendedPriceEliteAnnual*ACS62</f>
        <v/>
      </c>
      <c r="ADR62" s="12">
        <f>ADD50*POWER(1-(AnnualChurn*VLOOKUP(ACP62,ChurnSeasonTable,4,FALSE)),1)*BlendedPriceEssAnnual*ACS62+ADD38*POWER(1-(AnnualChurn*VLOOKUP(ACP62,ChurnSeasonTable,4,FALSE)),2)*BlendedPriceEssAnnual*ACS62+ADD26*POWER(1-(AnnualChurn*VLOOKUP(ACP62,ChurnSeasonTable,4,FALSE)),3)*BlendedPriceEssAnnual*ACS62+ADD14*POWER(1-(AnnualChurn*VLOOKUP(ACP62,ChurnSeasonTable,4,FALSE)),4)*BlendedPriceEssAnnual*ACS62+ADE50*POWER(1-(AnnualChurn*VLOOKUP(ACP62,ChurnSeasonTable,4,FALSE)),1)*BlendedPricePremAnnual*ACS62+ADE38*POWER(1-(AnnualChurn*VLOOKUP(ACP62,ChurnSeasonTable,4,FALSE)),2)*BlendedPricePremAnnual*ACS62+ADE26*POWER(1-(AnnualChurn*VLOOKUP(ACP62,ChurnSeasonTable,4,FALSE)),3)*BlendedPricePremAnnual*ACS62+ADE14*POWER(1-(AnnualChurn*VLOOKUP(ACP62,ChurnSeasonTable,4,FALSE)),4)*BlendedPricePremAnnual*ACS62+ADF50*POWER(1-(AnnualChurn*VLOOKUP(ACP62,ChurnSeasonTable,4,FALSE)),1)*BlendedPriceEliteAnnual*ACS62+ADF38*POWER(1-(AnnualChurn*VLOOKUP(ACP62,ChurnSeasonTable,4,FALSE)),2)*BlendedPriceEliteAnnual*ACS62+ADF26*POWER(1-(AnnualChurn*VLOOKUP(ACP62,ChurnSeasonTable,4,FALSE)),3)*BlendedPriceEliteAnnual*ACS62+ADF14*POWER(1-(AnnualChurn*VLOOKUP(ACP62,ChurnSeasonTable,4,FALSE)),4)*BlendedPriceEliteAnnual*ACS62</f>
        <v/>
      </c>
      <c r="ADS62" s="9">
        <f>ADP62+ADQ62+ADR62</f>
        <v/>
      </c>
      <c r="ADT62" s="12">
        <f>SUM(ADS51:ADS62)</f>
        <v/>
      </c>
      <c r="ADU62" s="12">
        <f>OR(ADU61,IF(VATAgentMode,SUM($ADS51:$ADS62)-SUM($ADZ51:$ADZ62)&gt;=VATThreshold,SUM($ADS51:$ADS62)&gt;=VATThreshold))</f>
        <v/>
      </c>
      <c r="ADV62" s="9">
        <f>IF(ADU62,IF(VATAgentMode,ADS62-((ADS62-ADZ62)-(ADS62-ADZ62)/(1+VATRate)),ADS62/(1+VATRate)),ADS62)</f>
        <v/>
      </c>
      <c r="ADW62" s="12">
        <f>ADS62-ADV62</f>
        <v/>
      </c>
      <c r="ADX62" s="12">
        <f>IF(ADU62=0,0,IF(ACP62=1,SUMPRODUCT(--(($ACQ$5:$ACQ62=$ACQ62-1)*($ACP$5:$ACP62&gt;=10)*($ACP$5:$ACP62&lt;=12)),$ADW$5:$ADW62),IF(ACP62=4,SUMPRODUCT(--(($ACQ$5:$ACQ62=$ACQ62)*($ACP$5:$ACP62&gt;=1)*($ACP$5:$ACP62&lt;=3)),$ADW$5:$ADW62),IF(ACP62=7,SUMPRODUCT(--(($ACQ$5:$ACQ62=$ACQ62)*($ACP$5:$ACP62&gt;=4)*($ACP$5:$ACP62&lt;=6)),$ADW$5:$ADW62),IF(ACP62=10,SUMPRODUCT(--(($ACQ$5:$ACQ62=$ACQ62)*($ACP$5:$ACP62&gt;=7)*($ACP$5:$ACP62&lt;=9)),$ADW$5:$ADW62),0)))))</f>
        <v/>
      </c>
      <c r="ADY62" s="12">
        <f>ADY61+ADW62-ADX62</f>
        <v/>
      </c>
      <c r="ADZ62" s="12">
        <f>IF(ProviderDelay&gt;=1,ADG61*BlendedProvPayEss+ADH61*BlendedProvPayPrem+ADI61*BlendedProvPayElite+ADJ61*BlendedProvPayEss+ADK61*BlendedProvPayPrem+ADL61*BlendedProvPayElite,ADG62*BlendedProvPayEss+ADH62*BlendedProvPayPrem+ADI62*BlendedProvPayElite+ADJ62*BlendedProvPayEss+ADK62*BlendedProvPayPrem+ADL62*BlendedProvPayElite)</f>
        <v/>
      </c>
      <c r="AEA62" s="12">
        <f>ADS62*PaymentFee</f>
        <v/>
      </c>
      <c r="AEB62" s="12">
        <f>ADM62*OpsAI</f>
        <v/>
      </c>
      <c r="AEC62" s="12">
        <f>MonthlyFixed</f>
        <v/>
      </c>
      <c r="AED62" s="12">
        <f>ACW62*ReferralReward</f>
        <v/>
      </c>
      <c r="AEE62" s="12">
        <f>ACU62</f>
        <v/>
      </c>
      <c r="AEF62" s="9">
        <f>ADV62-ADZ62-AEA62-AEB62-AEC62-AED62-AEE62</f>
        <v/>
      </c>
      <c r="AEG62" s="9">
        <f>AEG61+ADS62-(ADZ62+AEA62+AEB62+AEC62+AED62+AEE62+ADX62)</f>
        <v/>
      </c>
      <c r="AEH62" s="12">
        <f>IF(ADM62&gt;0,ADN62/ADM62,0)</f>
        <v/>
      </c>
      <c r="AEI62" s="11">
        <f>IF(ADM61&gt;0,MAX(0,(ADM61+ACX62-ADM62)/ADM61),0)</f>
        <v/>
      </c>
      <c r="AEK62" s="12" t="n">
        <v>58</v>
      </c>
      <c r="AEL62" s="12">
        <f>MOD(AEK62-1+LaunchMonth-1,12)+1</f>
        <v/>
      </c>
      <c r="AEM62" s="12">
        <f>INT((AEK62-1+LaunchMonth-1)/12)+1</f>
        <v/>
      </c>
      <c r="AEN62" s="12">
        <f>VLOOKUP(AEL62,SeasonTable,2,FALSE)</f>
        <v/>
      </c>
      <c r="AEO62" s="12">
        <f>(1+InflationRate)^INT((AEK62-1)/12)</f>
        <v/>
      </c>
      <c r="AEP62" s="11">
        <f>MonthlyChurn*VLOOKUP(AEL62,ChurnSeasonTable,4,FALSE)</f>
        <v/>
      </c>
      <c r="AEQ62" s="12">
        <f>MIN(MAX(MktMin19plus,AFO61*MktPct19plus),MAX(0,AGC61-CashBuffer))</f>
        <v/>
      </c>
      <c r="AER62" s="12">
        <f>IF(AEQ62&gt;0,MAX(1,ROUND(AEQ62/CAC*AEN62,0)),0)</f>
        <v/>
      </c>
      <c r="AES62" s="12">
        <f>IF(AER62&gt;0,ROUND(AER62*ReferralMix/(1-ReferralMix),0),0)</f>
        <v/>
      </c>
      <c r="AET62" s="12">
        <f>AER62+AES62</f>
        <v/>
      </c>
      <c r="AEU62" s="12">
        <f>ROUND(AET62*(1-'Sens - Annual Mix'!$A$14),0)</f>
        <v/>
      </c>
      <c r="AEV62" s="12">
        <f>AET62-AEU62</f>
        <v/>
      </c>
      <c r="AEW62" s="12">
        <f>ROUND(AEU62*EssentialMix,0)</f>
        <v/>
      </c>
      <c r="AEX62" s="12">
        <f>ROUND(AEU62*PremiumMix,0)</f>
        <v/>
      </c>
      <c r="AEY62" s="12">
        <f>AEU62-AEW62-AEX62</f>
        <v/>
      </c>
      <c r="AEZ62" s="12">
        <f>ROUND(AEV62*EssentialMix,0)</f>
        <v/>
      </c>
      <c r="AFA62" s="12">
        <f>ROUND(AEV62*PremiumMix,0)</f>
        <v/>
      </c>
      <c r="AFB62" s="12">
        <f>AEV62-AEZ62-AFA62</f>
        <v/>
      </c>
      <c r="AFC62" s="12">
        <f>AEW62+AEW61+AEW60+MAX(0,AFC61-AEW61-AEW60)*(1-AEP62)</f>
        <v/>
      </c>
      <c r="AFD62" s="12">
        <f>AEX62+AEX61+AEX60+MAX(0,AFD61-AEX61-AEX60)*(1-AEP62)</f>
        <v/>
      </c>
      <c r="AFE62" s="12">
        <f>AEY62+AEY61+AEY60+MAX(0,AFE61-AEY61-AEY60)*(1-AEP62)</f>
        <v/>
      </c>
      <c r="AFF62" s="12">
        <f>AFF61+AEZ62-AEZ50*(AnnualChurn*VLOOKUP(AEL62,ChurnSeasonTable,4,FALSE))*POWER(1-(AnnualChurn*VLOOKUP(AEL62,ChurnSeasonTable,4,FALSE)),0)+AEZ38*(AnnualChurn*VLOOKUP(AEL62,ChurnSeasonTable,4,FALSE))*POWER(1-(AnnualChurn*VLOOKUP(AEL62,ChurnSeasonTable,4,FALSE)),1)+AEZ26*(AnnualChurn*VLOOKUP(AEL62,ChurnSeasonTable,4,FALSE))*POWER(1-(AnnualChurn*VLOOKUP(AEL62,ChurnSeasonTable,4,FALSE)),2)+AEZ14*(AnnualChurn*VLOOKUP(AEL62,ChurnSeasonTable,4,FALSE))*POWER(1-(AnnualChurn*VLOOKUP(AEL62,ChurnSeasonTable,4,FALSE)),3)</f>
        <v/>
      </c>
      <c r="AFG62" s="12">
        <f>AFG61+AFA62-AFA50*(AnnualChurn*VLOOKUP(AEL62,ChurnSeasonTable,4,FALSE))*POWER(1-(AnnualChurn*VLOOKUP(AEL62,ChurnSeasonTable,4,FALSE)),0)+AFA38*(AnnualChurn*VLOOKUP(AEL62,ChurnSeasonTable,4,FALSE))*POWER(1-(AnnualChurn*VLOOKUP(AEL62,ChurnSeasonTable,4,FALSE)),1)+AFA26*(AnnualChurn*VLOOKUP(AEL62,ChurnSeasonTable,4,FALSE))*POWER(1-(AnnualChurn*VLOOKUP(AEL62,ChurnSeasonTable,4,FALSE)),2)+AFA14*(AnnualChurn*VLOOKUP(AEL62,ChurnSeasonTable,4,FALSE))*POWER(1-(AnnualChurn*VLOOKUP(AEL62,ChurnSeasonTable,4,FALSE)),3)</f>
        <v/>
      </c>
      <c r="AFH62" s="12">
        <f>AFH61+AFB62-AFB50*(AnnualChurn*VLOOKUP(AEL62,ChurnSeasonTable,4,FALSE))*POWER(1-(AnnualChurn*VLOOKUP(AEL62,ChurnSeasonTable,4,FALSE)),0)+AFB38*(AnnualChurn*VLOOKUP(AEL62,ChurnSeasonTable,4,FALSE))*POWER(1-(AnnualChurn*VLOOKUP(AEL62,ChurnSeasonTable,4,FALSE)),1)+AFB26*(AnnualChurn*VLOOKUP(AEL62,ChurnSeasonTable,4,FALSE))*POWER(1-(AnnualChurn*VLOOKUP(AEL62,ChurnSeasonTable,4,FALSE)),2)+AFB14*(AnnualChurn*VLOOKUP(AEL62,ChurnSeasonTable,4,FALSE))*POWER(1-(AnnualChurn*VLOOKUP(AEL62,ChurnSeasonTable,4,FALSE)),3)</f>
        <v/>
      </c>
      <c r="AFI62" s="12">
        <f>AFC62+AFD62+AFE62+AFF62+AFG62+AFH62</f>
        <v/>
      </c>
      <c r="AFJ62" s="9">
        <f>AFC62*BlendedPriceEssMonthly*AEO62+AFD62*BlendedPricePremMonthly*AEO62+AFE62*BlendedPriceEliteMonthly*AEO62+AFF62*BlendedPriceEssAnnual*AEO62/12+AFG62*BlendedPricePremAnnual*AEO62/12+AFH62*BlendedPriceEliteAnnual*AEO62/12</f>
        <v/>
      </c>
      <c r="AFK62" s="9">
        <f>AFJ62*12</f>
        <v/>
      </c>
      <c r="AFL62" s="12">
        <f>AFC62*BlendedPriceEssMonthly*AEO62+AFD62*BlendedPricePremMonthly*AEO62+AFE62*BlendedPriceEliteMonthly*AEO62</f>
        <v/>
      </c>
      <c r="AFM62" s="12">
        <f>AEZ62*BlendedPriceEssAnnual*AEO62+AFA62*BlendedPricePremAnnual*AEO62+AFB62*BlendedPriceEliteAnnual*AEO62</f>
        <v/>
      </c>
      <c r="AFN62" s="12">
        <f>AEZ50*POWER(1-(AnnualChurn*VLOOKUP(AEL62,ChurnSeasonTable,4,FALSE)),1)*BlendedPriceEssAnnual*AEO62+AEZ38*POWER(1-(AnnualChurn*VLOOKUP(AEL62,ChurnSeasonTable,4,FALSE)),2)*BlendedPriceEssAnnual*AEO62+AEZ26*POWER(1-(AnnualChurn*VLOOKUP(AEL62,ChurnSeasonTable,4,FALSE)),3)*BlendedPriceEssAnnual*AEO62+AEZ14*POWER(1-(AnnualChurn*VLOOKUP(AEL62,ChurnSeasonTable,4,FALSE)),4)*BlendedPriceEssAnnual*AEO62+AFA50*POWER(1-(AnnualChurn*VLOOKUP(AEL62,ChurnSeasonTable,4,FALSE)),1)*BlendedPricePremAnnual*AEO62+AFA38*POWER(1-(AnnualChurn*VLOOKUP(AEL62,ChurnSeasonTable,4,FALSE)),2)*BlendedPricePremAnnual*AEO62+AFA26*POWER(1-(AnnualChurn*VLOOKUP(AEL62,ChurnSeasonTable,4,FALSE)),3)*BlendedPricePremAnnual*AEO62+AFA14*POWER(1-(AnnualChurn*VLOOKUP(AEL62,ChurnSeasonTable,4,FALSE)),4)*BlendedPricePremAnnual*AEO62+AFB50*POWER(1-(AnnualChurn*VLOOKUP(AEL62,ChurnSeasonTable,4,FALSE)),1)*BlendedPriceEliteAnnual*AEO62+AFB38*POWER(1-(AnnualChurn*VLOOKUP(AEL62,ChurnSeasonTable,4,FALSE)),2)*BlendedPriceEliteAnnual*AEO62+AFB26*POWER(1-(AnnualChurn*VLOOKUP(AEL62,ChurnSeasonTable,4,FALSE)),3)*BlendedPriceEliteAnnual*AEO62+AFB14*POWER(1-(AnnualChurn*VLOOKUP(AEL62,ChurnSeasonTable,4,FALSE)),4)*BlendedPriceEliteAnnual*AEO62</f>
        <v/>
      </c>
      <c r="AFO62" s="9">
        <f>AFL62+AFM62+AFN62</f>
        <v/>
      </c>
      <c r="AFP62" s="12">
        <f>SUM(AFO51:AFO62)</f>
        <v/>
      </c>
      <c r="AFQ62" s="12">
        <f>OR(AFQ61,IF(VATAgentMode,SUM($AFO51:$AFO62)-SUM($AFV51:$AFV62)&gt;=VATThreshold,SUM($AFO51:$AFO62)&gt;=VATThreshold))</f>
        <v/>
      </c>
      <c r="AFR62" s="9">
        <f>IF(AFQ62,IF(VATAgentMode,AFO62-((AFO62-AFV62)-(AFO62-AFV62)/(1+VATRate)),AFO62/(1+VATRate)),AFO62)</f>
        <v/>
      </c>
      <c r="AFS62" s="12">
        <f>AFO62-AFR62</f>
        <v/>
      </c>
      <c r="AFT62" s="12">
        <f>IF(AFQ62=0,0,IF(AEL62=1,SUMPRODUCT(--(($AEM$5:$AEM62=$AEM62-1)*($AEL$5:$AEL62&gt;=10)*($AEL$5:$AEL62&lt;=12)),$AFS$5:$AFS62),IF(AEL62=4,SUMPRODUCT(--(($AEM$5:$AEM62=$AEM62)*($AEL$5:$AEL62&gt;=1)*($AEL$5:$AEL62&lt;=3)),$AFS$5:$AFS62),IF(AEL62=7,SUMPRODUCT(--(($AEM$5:$AEM62=$AEM62)*($AEL$5:$AEL62&gt;=4)*($AEL$5:$AEL62&lt;=6)),$AFS$5:$AFS62),IF(AEL62=10,SUMPRODUCT(--(($AEM$5:$AEM62=$AEM62)*($AEL$5:$AEL62&gt;=7)*($AEL$5:$AEL62&lt;=9)),$AFS$5:$AFS62),0)))))</f>
        <v/>
      </c>
      <c r="AFU62" s="12">
        <f>AFU61+AFS62-AFT62</f>
        <v/>
      </c>
      <c r="AFV62" s="12">
        <f>IF(ProviderDelay&gt;=1,AFC61*BlendedProvPayEss+AFD61*BlendedProvPayPrem+AFE61*BlendedProvPayElite+AFF61*BlendedProvPayEss+AFG61*BlendedProvPayPrem+AFH61*BlendedProvPayElite,AFC62*BlendedProvPayEss+AFD62*BlendedProvPayPrem+AFE62*BlendedProvPayElite+AFF62*BlendedProvPayEss+AFG62*BlendedProvPayPrem+AFH62*BlendedProvPayElite)</f>
        <v/>
      </c>
      <c r="AFW62" s="12">
        <f>AFO62*PaymentFee</f>
        <v/>
      </c>
      <c r="AFX62" s="12">
        <f>AFI62*OpsAI</f>
        <v/>
      </c>
      <c r="AFY62" s="12">
        <f>MonthlyFixed</f>
        <v/>
      </c>
      <c r="AFZ62" s="12">
        <f>AES62*ReferralReward</f>
        <v/>
      </c>
      <c r="AGA62" s="12">
        <f>AEQ62</f>
        <v/>
      </c>
      <c r="AGB62" s="9">
        <f>AFR62-AFV62-AFW62-AFX62-AFY62-AFZ62-AGA62</f>
        <v/>
      </c>
      <c r="AGC62" s="9">
        <f>AGC61+AFO62-(AFV62+AFW62+AFX62+AFY62+AFZ62+AGA62+AFT62)</f>
        <v/>
      </c>
      <c r="AGD62" s="12">
        <f>IF(AFI62&gt;0,AFJ62/AFI62,0)</f>
        <v/>
      </c>
      <c r="AGE62" s="11">
        <f>IF(AFI61&gt;0,MAX(0,(AFI61+AET62-AFI62)/AFI61),0)</f>
        <v/>
      </c>
      <c r="AGG62" s="12" t="n">
        <v>58</v>
      </c>
      <c r="AGH62" s="12">
        <f>MOD(AGG62-1+LaunchMonth-1,12)+1</f>
        <v/>
      </c>
      <c r="AGI62" s="12">
        <f>INT((AGG62-1+LaunchMonth-1)/12)+1</f>
        <v/>
      </c>
      <c r="AGJ62" s="12">
        <f>VLOOKUP(AGH62,SeasonTable,2,FALSE)</f>
        <v/>
      </c>
      <c r="AGK62" s="12">
        <f>(1+InflationRate)^INT((AGG62-1)/12)</f>
        <v/>
      </c>
      <c r="AGL62" s="11">
        <f>MonthlyChurn*VLOOKUP(AGH62,ChurnSeasonTable,4,FALSE)</f>
        <v/>
      </c>
      <c r="AGM62" s="12">
        <f>MIN(MAX(MktMin19plus,AHK61*MktPct19plus),MAX(0,AHY61-CashBuffer))</f>
        <v/>
      </c>
      <c r="AGN62" s="12">
        <f>IF(AGM62&gt;0,MAX(1,ROUND(AGM62/CAC*AGJ62,0)),0)</f>
        <v/>
      </c>
      <c r="AGO62" s="12">
        <f>IF(AGN62&gt;0,ROUND(AGN62*ReferralMix/(1-ReferralMix),0),0)</f>
        <v/>
      </c>
      <c r="AGP62" s="12">
        <f>AGN62+AGO62</f>
        <v/>
      </c>
      <c r="AGQ62" s="12">
        <f>ROUND(AGP62*(1-'Sens - Annual Mix'!$A$15),0)</f>
        <v/>
      </c>
      <c r="AGR62" s="12">
        <f>AGP62-AGQ62</f>
        <v/>
      </c>
      <c r="AGS62" s="12">
        <f>ROUND(AGQ62*EssentialMix,0)</f>
        <v/>
      </c>
      <c r="AGT62" s="12">
        <f>ROUND(AGQ62*PremiumMix,0)</f>
        <v/>
      </c>
      <c r="AGU62" s="12">
        <f>AGQ62-AGS62-AGT62</f>
        <v/>
      </c>
      <c r="AGV62" s="12">
        <f>ROUND(AGR62*EssentialMix,0)</f>
        <v/>
      </c>
      <c r="AGW62" s="12">
        <f>ROUND(AGR62*PremiumMix,0)</f>
        <v/>
      </c>
      <c r="AGX62" s="12">
        <f>AGR62-AGV62-AGW62</f>
        <v/>
      </c>
      <c r="AGY62" s="12">
        <f>AGS62+AGS61+AGS60+MAX(0,AGY61-AGS61-AGS60)*(1-AGL62)</f>
        <v/>
      </c>
      <c r="AGZ62" s="12">
        <f>AGT62+AGT61+AGT60+MAX(0,AGZ61-AGT61-AGT60)*(1-AGL62)</f>
        <v/>
      </c>
      <c r="AHA62" s="12">
        <f>AGU62+AGU61+AGU60+MAX(0,AHA61-AGU61-AGU60)*(1-AGL62)</f>
        <v/>
      </c>
      <c r="AHB62" s="12">
        <f>AHB61+AGV62-AGV50*(AnnualChurn*VLOOKUP(AGH62,ChurnSeasonTable,4,FALSE))*POWER(1-(AnnualChurn*VLOOKUP(AGH62,ChurnSeasonTable,4,FALSE)),0)+AGV38*(AnnualChurn*VLOOKUP(AGH62,ChurnSeasonTable,4,FALSE))*POWER(1-(AnnualChurn*VLOOKUP(AGH62,ChurnSeasonTable,4,FALSE)),1)+AGV26*(AnnualChurn*VLOOKUP(AGH62,ChurnSeasonTable,4,FALSE))*POWER(1-(AnnualChurn*VLOOKUP(AGH62,ChurnSeasonTable,4,FALSE)),2)+AGV14*(AnnualChurn*VLOOKUP(AGH62,ChurnSeasonTable,4,FALSE))*POWER(1-(AnnualChurn*VLOOKUP(AGH62,ChurnSeasonTable,4,FALSE)),3)</f>
        <v/>
      </c>
      <c r="AHC62" s="12">
        <f>AHC61+AGW62-AGW50*(AnnualChurn*VLOOKUP(AGH62,ChurnSeasonTable,4,FALSE))*POWER(1-(AnnualChurn*VLOOKUP(AGH62,ChurnSeasonTable,4,FALSE)),0)+AGW38*(AnnualChurn*VLOOKUP(AGH62,ChurnSeasonTable,4,FALSE))*POWER(1-(AnnualChurn*VLOOKUP(AGH62,ChurnSeasonTable,4,FALSE)),1)+AGW26*(AnnualChurn*VLOOKUP(AGH62,ChurnSeasonTable,4,FALSE))*POWER(1-(AnnualChurn*VLOOKUP(AGH62,ChurnSeasonTable,4,FALSE)),2)+AGW14*(AnnualChurn*VLOOKUP(AGH62,ChurnSeasonTable,4,FALSE))*POWER(1-(AnnualChurn*VLOOKUP(AGH62,ChurnSeasonTable,4,FALSE)),3)</f>
        <v/>
      </c>
      <c r="AHD62" s="12">
        <f>AHD61+AGX62-AGX50*(AnnualChurn*VLOOKUP(AGH62,ChurnSeasonTable,4,FALSE))*POWER(1-(AnnualChurn*VLOOKUP(AGH62,ChurnSeasonTable,4,FALSE)),0)+AGX38*(AnnualChurn*VLOOKUP(AGH62,ChurnSeasonTable,4,FALSE))*POWER(1-(AnnualChurn*VLOOKUP(AGH62,ChurnSeasonTable,4,FALSE)),1)+AGX26*(AnnualChurn*VLOOKUP(AGH62,ChurnSeasonTable,4,FALSE))*POWER(1-(AnnualChurn*VLOOKUP(AGH62,ChurnSeasonTable,4,FALSE)),2)+AGX14*(AnnualChurn*VLOOKUP(AGH62,ChurnSeasonTable,4,FALSE))*POWER(1-(AnnualChurn*VLOOKUP(AGH62,ChurnSeasonTable,4,FALSE)),3)</f>
        <v/>
      </c>
      <c r="AHE62" s="12">
        <f>AGY62+AGZ62+AHA62+AHB62+AHC62+AHD62</f>
        <v/>
      </c>
      <c r="AHF62" s="9">
        <f>AGY62*BlendedPriceEssMonthly*AGK62+AGZ62*BlendedPricePremMonthly*AGK62+AHA62*BlendedPriceEliteMonthly*AGK62+AHB62*BlendedPriceEssAnnual*AGK62/12+AHC62*BlendedPricePremAnnual*AGK62/12+AHD62*BlendedPriceEliteAnnual*AGK62/12</f>
        <v/>
      </c>
      <c r="AHG62" s="9">
        <f>AHF62*12</f>
        <v/>
      </c>
      <c r="AHH62" s="12">
        <f>AGY62*BlendedPriceEssMonthly*AGK62+AGZ62*BlendedPricePremMonthly*AGK62+AHA62*BlendedPriceEliteMonthly*AGK62</f>
        <v/>
      </c>
      <c r="AHI62" s="12">
        <f>AGV62*BlendedPriceEssAnnual*AGK62+AGW62*BlendedPricePremAnnual*AGK62+AGX62*BlendedPriceEliteAnnual*AGK62</f>
        <v/>
      </c>
      <c r="AHJ62" s="12">
        <f>AGV50*POWER(1-(AnnualChurn*VLOOKUP(AGH62,ChurnSeasonTable,4,FALSE)),1)*BlendedPriceEssAnnual*AGK62+AGV38*POWER(1-(AnnualChurn*VLOOKUP(AGH62,ChurnSeasonTable,4,FALSE)),2)*BlendedPriceEssAnnual*AGK62+AGV26*POWER(1-(AnnualChurn*VLOOKUP(AGH62,ChurnSeasonTable,4,FALSE)),3)*BlendedPriceEssAnnual*AGK62+AGV14*POWER(1-(AnnualChurn*VLOOKUP(AGH62,ChurnSeasonTable,4,FALSE)),4)*BlendedPriceEssAnnual*AGK62+AGW50*POWER(1-(AnnualChurn*VLOOKUP(AGH62,ChurnSeasonTable,4,FALSE)),1)*BlendedPricePremAnnual*AGK62+AGW38*POWER(1-(AnnualChurn*VLOOKUP(AGH62,ChurnSeasonTable,4,FALSE)),2)*BlendedPricePremAnnual*AGK62+AGW26*POWER(1-(AnnualChurn*VLOOKUP(AGH62,ChurnSeasonTable,4,FALSE)),3)*BlendedPricePremAnnual*AGK62+AGW14*POWER(1-(AnnualChurn*VLOOKUP(AGH62,ChurnSeasonTable,4,FALSE)),4)*BlendedPricePremAnnual*AGK62+AGX50*POWER(1-(AnnualChurn*VLOOKUP(AGH62,ChurnSeasonTable,4,FALSE)),1)*BlendedPriceEliteAnnual*AGK62+AGX38*POWER(1-(AnnualChurn*VLOOKUP(AGH62,ChurnSeasonTable,4,FALSE)),2)*BlendedPriceEliteAnnual*AGK62+AGX26*POWER(1-(AnnualChurn*VLOOKUP(AGH62,ChurnSeasonTable,4,FALSE)),3)*BlendedPriceEliteAnnual*AGK62+AGX14*POWER(1-(AnnualChurn*VLOOKUP(AGH62,ChurnSeasonTable,4,FALSE)),4)*BlendedPriceEliteAnnual*AGK62</f>
        <v/>
      </c>
      <c r="AHK62" s="9">
        <f>AHH62+AHI62+AHJ62</f>
        <v/>
      </c>
      <c r="AHL62" s="12">
        <f>SUM(AHK51:AHK62)</f>
        <v/>
      </c>
      <c r="AHM62" s="12">
        <f>OR(AHM61,IF(VATAgentMode,SUM($AHK51:$AHK62)-SUM($AHR51:$AHR62)&gt;=VATThreshold,SUM($AHK51:$AHK62)&gt;=VATThreshold))</f>
        <v/>
      </c>
      <c r="AHN62" s="9">
        <f>IF(AHM62,IF(VATAgentMode,AHK62-((AHK62-AHR62)-(AHK62-AHR62)/(1+VATRate)),AHK62/(1+VATRate)),AHK62)</f>
        <v/>
      </c>
      <c r="AHO62" s="12">
        <f>AHK62-AHN62</f>
        <v/>
      </c>
      <c r="AHP62" s="12">
        <f>IF(AHM62=0,0,IF(AGH62=1,SUMPRODUCT(--(($AGI$5:$AGI62=$AGI62-1)*($AGH$5:$AGH62&gt;=10)*($AGH$5:$AGH62&lt;=12)),$AHO$5:$AHO62),IF(AGH62=4,SUMPRODUCT(--(($AGI$5:$AGI62=$AGI62)*($AGH$5:$AGH62&gt;=1)*($AGH$5:$AGH62&lt;=3)),$AHO$5:$AHO62),IF(AGH62=7,SUMPRODUCT(--(($AGI$5:$AGI62=$AGI62)*($AGH$5:$AGH62&gt;=4)*($AGH$5:$AGH62&lt;=6)),$AHO$5:$AHO62),IF(AGH62=10,SUMPRODUCT(--(($AGI$5:$AGI62=$AGI62)*($AGH$5:$AGH62&gt;=7)*($AGH$5:$AGH62&lt;=9)),$AHO$5:$AHO62),0)))))</f>
        <v/>
      </c>
      <c r="AHQ62" s="12">
        <f>AHQ61+AHO62-AHP62</f>
        <v/>
      </c>
      <c r="AHR62" s="12">
        <f>IF(ProviderDelay&gt;=1,AGY61*BlendedProvPayEss+AGZ61*BlendedProvPayPrem+AHA61*BlendedProvPayElite+AHB61*BlendedProvPayEss+AHC61*BlendedProvPayPrem+AHD61*BlendedProvPayElite,AGY62*BlendedProvPayEss+AGZ62*BlendedProvPayPrem+AHA62*BlendedProvPayElite+AHB62*BlendedProvPayEss+AHC62*BlendedProvPayPrem+AHD62*BlendedProvPayElite)</f>
        <v/>
      </c>
      <c r="AHS62" s="12">
        <f>AHK62*PaymentFee</f>
        <v/>
      </c>
      <c r="AHT62" s="12">
        <f>AHE62*OpsAI</f>
        <v/>
      </c>
      <c r="AHU62" s="12">
        <f>MonthlyFixed</f>
        <v/>
      </c>
      <c r="AHV62" s="12">
        <f>AGO62*ReferralReward</f>
        <v/>
      </c>
      <c r="AHW62" s="12">
        <f>AGM62</f>
        <v/>
      </c>
      <c r="AHX62" s="9">
        <f>AHN62-AHR62-AHS62-AHT62-AHU62-AHV62-AHW62</f>
        <v/>
      </c>
      <c r="AHY62" s="9">
        <f>AHY61+AHK62-(AHR62+AHS62+AHT62+AHU62+AHV62+AHW62+AHP62)</f>
        <v/>
      </c>
      <c r="AHZ62" s="12">
        <f>IF(AHE62&gt;0,AHF62/AHE62,0)</f>
        <v/>
      </c>
      <c r="AIA62" s="11">
        <f>IF(AHE61&gt;0,MAX(0,(AHE61+AGP62-AHE62)/AHE61),0)</f>
        <v/>
      </c>
      <c r="AIC62" s="12" t="n">
        <v>58</v>
      </c>
      <c r="AID62" s="12">
        <f>MOD(AIC62-1+LaunchMonth-1,12)+1</f>
        <v/>
      </c>
      <c r="AIE62" s="12">
        <f>INT((AIC62-1+LaunchMonth-1)/12)+1</f>
        <v/>
      </c>
      <c r="AIF62" s="12">
        <f>VLOOKUP(AID62,SeasonTable,2,FALSE)</f>
        <v/>
      </c>
      <c r="AIG62" s="12">
        <f>(1+InflationRate)^INT((AIC62-1)/12)</f>
        <v/>
      </c>
      <c r="AIH62" s="11">
        <f>MonthlyChurn*VLOOKUP(AID62,ChurnSeasonTable,4,FALSE)</f>
        <v/>
      </c>
      <c r="AII62" s="12">
        <f>MIN(MAX(MktMin19plus,AJG61*MktPct19plus),MAX(0,AJU61-CashBuffer))</f>
        <v/>
      </c>
      <c r="AIJ62" s="12">
        <f>IF(AII62&gt;0,MAX(1,ROUND(AII62/'Sens - CAC &amp; Marketing'!$A$9*AIF62,0)),0)</f>
        <v/>
      </c>
      <c r="AIK62" s="12">
        <f>IF(AIJ62&gt;0,ROUND(AIJ62*ReferralMix/(1-ReferralMix),0),0)</f>
        <v/>
      </c>
      <c r="AIL62" s="12">
        <f>AIJ62+AIK62</f>
        <v/>
      </c>
      <c r="AIM62" s="12">
        <f>ROUND(AIL62*(1-AnnualMix),0)</f>
        <v/>
      </c>
      <c r="AIN62" s="12">
        <f>AIL62-AIM62</f>
        <v/>
      </c>
      <c r="AIO62" s="12">
        <f>ROUND(AIM62*EssentialMix,0)</f>
        <v/>
      </c>
      <c r="AIP62" s="12">
        <f>ROUND(AIM62*PremiumMix,0)</f>
        <v/>
      </c>
      <c r="AIQ62" s="12">
        <f>AIM62-AIO62-AIP62</f>
        <v/>
      </c>
      <c r="AIR62" s="12">
        <f>ROUND(AIN62*EssentialMix,0)</f>
        <v/>
      </c>
      <c r="AIS62" s="12">
        <f>ROUND(AIN62*PremiumMix,0)</f>
        <v/>
      </c>
      <c r="AIT62" s="12">
        <f>AIN62-AIR62-AIS62</f>
        <v/>
      </c>
      <c r="AIU62" s="12">
        <f>AIO62+AIO61+AIO60+MAX(0,AIU61-AIO61-AIO60)*(1-AIH62)</f>
        <v/>
      </c>
      <c r="AIV62" s="12">
        <f>AIP62+AIP61+AIP60+MAX(0,AIV61-AIP61-AIP60)*(1-AIH62)</f>
        <v/>
      </c>
      <c r="AIW62" s="12">
        <f>AIQ62+AIQ61+AIQ60+MAX(0,AIW61-AIQ61-AIQ60)*(1-AIH62)</f>
        <v/>
      </c>
      <c r="AIX62" s="12">
        <f>AIX61+AIR62-AIR50*(AnnualChurn*VLOOKUP(AID62,ChurnSeasonTable,4,FALSE))*POWER(1-(AnnualChurn*VLOOKUP(AID62,ChurnSeasonTable,4,FALSE)),0)+AIR38*(AnnualChurn*VLOOKUP(AID62,ChurnSeasonTable,4,FALSE))*POWER(1-(AnnualChurn*VLOOKUP(AID62,ChurnSeasonTable,4,FALSE)),1)+AIR26*(AnnualChurn*VLOOKUP(AID62,ChurnSeasonTable,4,FALSE))*POWER(1-(AnnualChurn*VLOOKUP(AID62,ChurnSeasonTable,4,FALSE)),2)+AIR14*(AnnualChurn*VLOOKUP(AID62,ChurnSeasonTable,4,FALSE))*POWER(1-(AnnualChurn*VLOOKUP(AID62,ChurnSeasonTable,4,FALSE)),3)</f>
        <v/>
      </c>
      <c r="AIY62" s="12">
        <f>AIY61+AIS62-AIS50*(AnnualChurn*VLOOKUP(AID62,ChurnSeasonTable,4,FALSE))*POWER(1-(AnnualChurn*VLOOKUP(AID62,ChurnSeasonTable,4,FALSE)),0)+AIS38*(AnnualChurn*VLOOKUP(AID62,ChurnSeasonTable,4,FALSE))*POWER(1-(AnnualChurn*VLOOKUP(AID62,ChurnSeasonTable,4,FALSE)),1)+AIS26*(AnnualChurn*VLOOKUP(AID62,ChurnSeasonTable,4,FALSE))*POWER(1-(AnnualChurn*VLOOKUP(AID62,ChurnSeasonTable,4,FALSE)),2)+AIS14*(AnnualChurn*VLOOKUP(AID62,ChurnSeasonTable,4,FALSE))*POWER(1-(AnnualChurn*VLOOKUP(AID62,ChurnSeasonTable,4,FALSE)),3)</f>
        <v/>
      </c>
      <c r="AIZ62" s="12">
        <f>AIZ61+AIT62-AIT50*(AnnualChurn*VLOOKUP(AID62,ChurnSeasonTable,4,FALSE))*POWER(1-(AnnualChurn*VLOOKUP(AID62,ChurnSeasonTable,4,FALSE)),0)+AIT38*(AnnualChurn*VLOOKUP(AID62,ChurnSeasonTable,4,FALSE))*POWER(1-(AnnualChurn*VLOOKUP(AID62,ChurnSeasonTable,4,FALSE)),1)+AIT26*(AnnualChurn*VLOOKUP(AID62,ChurnSeasonTable,4,FALSE))*POWER(1-(AnnualChurn*VLOOKUP(AID62,ChurnSeasonTable,4,FALSE)),2)+AIT14*(AnnualChurn*VLOOKUP(AID62,ChurnSeasonTable,4,FALSE))*POWER(1-(AnnualChurn*VLOOKUP(AID62,ChurnSeasonTable,4,FALSE)),3)</f>
        <v/>
      </c>
      <c r="AJA62" s="12">
        <f>AIU62+AIV62+AIW62+AIX62+AIY62+AIZ62</f>
        <v/>
      </c>
      <c r="AJB62" s="9">
        <f>AIU62*BlendedPriceEssMonthly*AIG62+AIV62*BlendedPricePremMonthly*AIG62+AIW62*BlendedPriceEliteMonthly*AIG62+AIX62*BlendedPriceEssAnnual*AIG62/12+AIY62*BlendedPricePremAnnual*AIG62/12+AIZ62*BlendedPriceEliteAnnual*AIG62/12</f>
        <v/>
      </c>
      <c r="AJC62" s="9">
        <f>AJB62*12</f>
        <v/>
      </c>
      <c r="AJD62" s="12">
        <f>AIU62*BlendedPriceEssMonthly*AIG62+AIV62*BlendedPricePremMonthly*AIG62+AIW62*BlendedPriceEliteMonthly*AIG62</f>
        <v/>
      </c>
      <c r="AJE62" s="12">
        <f>AIR62*BlendedPriceEssAnnual*AIG62+AIS62*BlendedPricePremAnnual*AIG62+AIT62*BlendedPriceEliteAnnual*AIG62</f>
        <v/>
      </c>
      <c r="AJF62" s="12">
        <f>AIR50*POWER(1-(AnnualChurn*VLOOKUP(AID62,ChurnSeasonTable,4,FALSE)),1)*BlendedPriceEssAnnual*AIG62+AIR38*POWER(1-(AnnualChurn*VLOOKUP(AID62,ChurnSeasonTable,4,FALSE)),2)*BlendedPriceEssAnnual*AIG62+AIR26*POWER(1-(AnnualChurn*VLOOKUP(AID62,ChurnSeasonTable,4,FALSE)),3)*BlendedPriceEssAnnual*AIG62+AIR14*POWER(1-(AnnualChurn*VLOOKUP(AID62,ChurnSeasonTable,4,FALSE)),4)*BlendedPriceEssAnnual*AIG62+AIS50*POWER(1-(AnnualChurn*VLOOKUP(AID62,ChurnSeasonTable,4,FALSE)),1)*BlendedPricePremAnnual*AIG62+AIS38*POWER(1-(AnnualChurn*VLOOKUP(AID62,ChurnSeasonTable,4,FALSE)),2)*BlendedPricePremAnnual*AIG62+AIS26*POWER(1-(AnnualChurn*VLOOKUP(AID62,ChurnSeasonTable,4,FALSE)),3)*BlendedPricePremAnnual*AIG62+AIS14*POWER(1-(AnnualChurn*VLOOKUP(AID62,ChurnSeasonTable,4,FALSE)),4)*BlendedPricePremAnnual*AIG62+AIT50*POWER(1-(AnnualChurn*VLOOKUP(AID62,ChurnSeasonTable,4,FALSE)),1)*BlendedPriceEliteAnnual*AIG62+AIT38*POWER(1-(AnnualChurn*VLOOKUP(AID62,ChurnSeasonTable,4,FALSE)),2)*BlendedPriceEliteAnnual*AIG62+AIT26*POWER(1-(AnnualChurn*VLOOKUP(AID62,ChurnSeasonTable,4,FALSE)),3)*BlendedPriceEliteAnnual*AIG62+AIT14*POWER(1-(AnnualChurn*VLOOKUP(AID62,ChurnSeasonTable,4,FALSE)),4)*BlendedPriceEliteAnnual*AIG62</f>
        <v/>
      </c>
      <c r="AJG62" s="9">
        <f>AJD62+AJE62+AJF62</f>
        <v/>
      </c>
      <c r="AJH62" s="12">
        <f>SUM(AJG51:AJG62)</f>
        <v/>
      </c>
      <c r="AJI62" s="12">
        <f>OR(AJI61,IF(VATAgentMode,SUM($AJG51:$AJG62)-SUM($AJN51:$AJN62)&gt;=VATThreshold,SUM($AJG51:$AJG62)&gt;=VATThreshold))</f>
        <v/>
      </c>
      <c r="AJJ62" s="9">
        <f>IF(AJI62,IF(VATAgentMode,AJG62-((AJG62-AJN62)-(AJG62-AJN62)/(1+VATRate)),AJG62/(1+VATRate)),AJG62)</f>
        <v/>
      </c>
      <c r="AJK62" s="12">
        <f>AJG62-AJJ62</f>
        <v/>
      </c>
      <c r="AJL62" s="12">
        <f>IF(AJI62=0,0,IF(AID62=1,SUMPRODUCT(--(($AIE$5:$AIE62=$AIE62-1)*($AID$5:$AID62&gt;=10)*($AID$5:$AID62&lt;=12)),$AJK$5:$AJK62),IF(AID62=4,SUMPRODUCT(--(($AIE$5:$AIE62=$AIE62)*($AID$5:$AID62&gt;=1)*($AID$5:$AID62&lt;=3)),$AJK$5:$AJK62),IF(AID62=7,SUMPRODUCT(--(($AIE$5:$AIE62=$AIE62)*($AID$5:$AID62&gt;=4)*($AID$5:$AID62&lt;=6)),$AJK$5:$AJK62),IF(AID62=10,SUMPRODUCT(--(($AIE$5:$AIE62=$AIE62)*($AID$5:$AID62&gt;=7)*($AID$5:$AID62&lt;=9)),$AJK$5:$AJK62),0)))))</f>
        <v/>
      </c>
      <c r="AJM62" s="12">
        <f>AJM61+AJK62-AJL62</f>
        <v/>
      </c>
      <c r="AJN62" s="12">
        <f>IF(ProviderDelay&gt;=1,AIU61*BlendedProvPayEss+AIV61*BlendedProvPayPrem+AIW61*BlendedProvPayElite+AIX61*BlendedProvPayEss+AIY61*BlendedProvPayPrem+AIZ61*BlendedProvPayElite,AIU62*BlendedProvPayEss+AIV62*BlendedProvPayPrem+AIW62*BlendedProvPayElite+AIX62*BlendedProvPayEss+AIY62*BlendedProvPayPrem+AIZ62*BlendedProvPayElite)</f>
        <v/>
      </c>
      <c r="AJO62" s="12">
        <f>AJG62*PaymentFee</f>
        <v/>
      </c>
      <c r="AJP62" s="12">
        <f>AJA62*OpsAI</f>
        <v/>
      </c>
      <c r="AJQ62" s="12">
        <f>MonthlyFixed</f>
        <v/>
      </c>
      <c r="AJR62" s="12">
        <f>AIK62*ReferralReward</f>
        <v/>
      </c>
      <c r="AJS62" s="12">
        <f>AII62</f>
        <v/>
      </c>
      <c r="AJT62" s="9">
        <f>AJJ62-AJN62-AJO62-AJP62-AJQ62-AJR62-AJS62</f>
        <v/>
      </c>
      <c r="AJU62" s="9">
        <f>AJU61+AJG62-(AJN62+AJO62+AJP62+AJQ62+AJR62+AJS62+AJL62)</f>
        <v/>
      </c>
      <c r="AJV62" s="12">
        <f>IF(AJA62&gt;0,AJB62/AJA62,0)</f>
        <v/>
      </c>
      <c r="AJW62" s="11">
        <f>IF(AJA61&gt;0,MAX(0,(AJA61+AIL62-AJA62)/AJA61),0)</f>
        <v/>
      </c>
      <c r="AJY62" s="12" t="n">
        <v>58</v>
      </c>
      <c r="AJZ62" s="12">
        <f>MOD(AJY62-1+LaunchMonth-1,12)+1</f>
        <v/>
      </c>
      <c r="AKA62" s="12">
        <f>INT((AJY62-1+LaunchMonth-1)/12)+1</f>
        <v/>
      </c>
      <c r="AKB62" s="12">
        <f>VLOOKUP(AJZ62,SeasonTable,2,FALSE)</f>
        <v/>
      </c>
      <c r="AKC62" s="12">
        <f>(1+InflationRate)^INT((AJY62-1)/12)</f>
        <v/>
      </c>
      <c r="AKD62" s="11">
        <f>MonthlyChurn*VLOOKUP(AJZ62,ChurnSeasonTable,4,FALSE)</f>
        <v/>
      </c>
      <c r="AKE62" s="12">
        <f>MIN(MAX(MktMin19plus,ALC61*MktPct19plus),MAX(0,ALQ61-CashBuffer))</f>
        <v/>
      </c>
      <c r="AKF62" s="12">
        <f>IF(AKE62&gt;0,MAX(1,ROUND(AKE62/'Sens - CAC &amp; Marketing'!$A$10*AKB62,0)),0)</f>
        <v/>
      </c>
      <c r="AKG62" s="12">
        <f>IF(AKF62&gt;0,ROUND(AKF62*ReferralMix/(1-ReferralMix),0),0)</f>
        <v/>
      </c>
      <c r="AKH62" s="12">
        <f>AKF62+AKG62</f>
        <v/>
      </c>
      <c r="AKI62" s="12">
        <f>ROUND(AKH62*(1-AnnualMix),0)</f>
        <v/>
      </c>
      <c r="AKJ62" s="12">
        <f>AKH62-AKI62</f>
        <v/>
      </c>
      <c r="AKK62" s="12">
        <f>ROUND(AKI62*EssentialMix,0)</f>
        <v/>
      </c>
      <c r="AKL62" s="12">
        <f>ROUND(AKI62*PremiumMix,0)</f>
        <v/>
      </c>
      <c r="AKM62" s="12">
        <f>AKI62-AKK62-AKL62</f>
        <v/>
      </c>
      <c r="AKN62" s="12">
        <f>ROUND(AKJ62*EssentialMix,0)</f>
        <v/>
      </c>
      <c r="AKO62" s="12">
        <f>ROUND(AKJ62*PremiumMix,0)</f>
        <v/>
      </c>
      <c r="AKP62" s="12">
        <f>AKJ62-AKN62-AKO62</f>
        <v/>
      </c>
      <c r="AKQ62" s="12">
        <f>AKK62+AKK61+AKK60+MAX(0,AKQ61-AKK61-AKK60)*(1-AKD62)</f>
        <v/>
      </c>
      <c r="AKR62" s="12">
        <f>AKL62+AKL61+AKL60+MAX(0,AKR61-AKL61-AKL60)*(1-AKD62)</f>
        <v/>
      </c>
      <c r="AKS62" s="12">
        <f>AKM62+AKM61+AKM60+MAX(0,AKS61-AKM61-AKM60)*(1-AKD62)</f>
        <v/>
      </c>
      <c r="AKT62" s="12">
        <f>AKT61+AKN62-AKN50*(AnnualChurn*VLOOKUP(AJZ62,ChurnSeasonTable,4,FALSE))*POWER(1-(AnnualChurn*VLOOKUP(AJZ62,ChurnSeasonTable,4,FALSE)),0)+AKN38*(AnnualChurn*VLOOKUP(AJZ62,ChurnSeasonTable,4,FALSE))*POWER(1-(AnnualChurn*VLOOKUP(AJZ62,ChurnSeasonTable,4,FALSE)),1)+AKN26*(AnnualChurn*VLOOKUP(AJZ62,ChurnSeasonTable,4,FALSE))*POWER(1-(AnnualChurn*VLOOKUP(AJZ62,ChurnSeasonTable,4,FALSE)),2)+AKN14*(AnnualChurn*VLOOKUP(AJZ62,ChurnSeasonTable,4,FALSE))*POWER(1-(AnnualChurn*VLOOKUP(AJZ62,ChurnSeasonTable,4,FALSE)),3)</f>
        <v/>
      </c>
      <c r="AKU62" s="12">
        <f>AKU61+AKO62-AKO50*(AnnualChurn*VLOOKUP(AJZ62,ChurnSeasonTable,4,FALSE))*POWER(1-(AnnualChurn*VLOOKUP(AJZ62,ChurnSeasonTable,4,FALSE)),0)+AKO38*(AnnualChurn*VLOOKUP(AJZ62,ChurnSeasonTable,4,FALSE))*POWER(1-(AnnualChurn*VLOOKUP(AJZ62,ChurnSeasonTable,4,FALSE)),1)+AKO26*(AnnualChurn*VLOOKUP(AJZ62,ChurnSeasonTable,4,FALSE))*POWER(1-(AnnualChurn*VLOOKUP(AJZ62,ChurnSeasonTable,4,FALSE)),2)+AKO14*(AnnualChurn*VLOOKUP(AJZ62,ChurnSeasonTable,4,FALSE))*POWER(1-(AnnualChurn*VLOOKUP(AJZ62,ChurnSeasonTable,4,FALSE)),3)</f>
        <v/>
      </c>
      <c r="AKV62" s="12">
        <f>AKV61+AKP62-AKP50*(AnnualChurn*VLOOKUP(AJZ62,ChurnSeasonTable,4,FALSE))*POWER(1-(AnnualChurn*VLOOKUP(AJZ62,ChurnSeasonTable,4,FALSE)),0)+AKP38*(AnnualChurn*VLOOKUP(AJZ62,ChurnSeasonTable,4,FALSE))*POWER(1-(AnnualChurn*VLOOKUP(AJZ62,ChurnSeasonTable,4,FALSE)),1)+AKP26*(AnnualChurn*VLOOKUP(AJZ62,ChurnSeasonTable,4,FALSE))*POWER(1-(AnnualChurn*VLOOKUP(AJZ62,ChurnSeasonTable,4,FALSE)),2)+AKP14*(AnnualChurn*VLOOKUP(AJZ62,ChurnSeasonTable,4,FALSE))*POWER(1-(AnnualChurn*VLOOKUP(AJZ62,ChurnSeasonTable,4,FALSE)),3)</f>
        <v/>
      </c>
      <c r="AKW62" s="12">
        <f>AKQ62+AKR62+AKS62+AKT62+AKU62+AKV62</f>
        <v/>
      </c>
      <c r="AKX62" s="9">
        <f>AKQ62*BlendedPriceEssMonthly*AKC62+AKR62*BlendedPricePremMonthly*AKC62+AKS62*BlendedPriceEliteMonthly*AKC62+AKT62*BlendedPriceEssAnnual*AKC62/12+AKU62*BlendedPricePremAnnual*AKC62/12+AKV62*BlendedPriceEliteAnnual*AKC62/12</f>
        <v/>
      </c>
      <c r="AKY62" s="9">
        <f>AKX62*12</f>
        <v/>
      </c>
      <c r="AKZ62" s="12">
        <f>AKQ62*BlendedPriceEssMonthly*AKC62+AKR62*BlendedPricePremMonthly*AKC62+AKS62*BlendedPriceEliteMonthly*AKC62</f>
        <v/>
      </c>
      <c r="ALA62" s="12">
        <f>AKN62*BlendedPriceEssAnnual*AKC62+AKO62*BlendedPricePremAnnual*AKC62+AKP62*BlendedPriceEliteAnnual*AKC62</f>
        <v/>
      </c>
      <c r="ALB62" s="12">
        <f>AKN50*POWER(1-(AnnualChurn*VLOOKUP(AJZ62,ChurnSeasonTable,4,FALSE)),1)*BlendedPriceEssAnnual*AKC62+AKN38*POWER(1-(AnnualChurn*VLOOKUP(AJZ62,ChurnSeasonTable,4,FALSE)),2)*BlendedPriceEssAnnual*AKC62+AKN26*POWER(1-(AnnualChurn*VLOOKUP(AJZ62,ChurnSeasonTable,4,FALSE)),3)*BlendedPriceEssAnnual*AKC62+AKN14*POWER(1-(AnnualChurn*VLOOKUP(AJZ62,ChurnSeasonTable,4,FALSE)),4)*BlendedPriceEssAnnual*AKC62+AKO50*POWER(1-(AnnualChurn*VLOOKUP(AJZ62,ChurnSeasonTable,4,FALSE)),1)*BlendedPricePremAnnual*AKC62+AKO38*POWER(1-(AnnualChurn*VLOOKUP(AJZ62,ChurnSeasonTable,4,FALSE)),2)*BlendedPricePremAnnual*AKC62+AKO26*POWER(1-(AnnualChurn*VLOOKUP(AJZ62,ChurnSeasonTable,4,FALSE)),3)*BlendedPricePremAnnual*AKC62+AKO14*POWER(1-(AnnualChurn*VLOOKUP(AJZ62,ChurnSeasonTable,4,FALSE)),4)*BlendedPricePremAnnual*AKC62+AKP50*POWER(1-(AnnualChurn*VLOOKUP(AJZ62,ChurnSeasonTable,4,FALSE)),1)*BlendedPriceEliteAnnual*AKC62+AKP38*POWER(1-(AnnualChurn*VLOOKUP(AJZ62,ChurnSeasonTable,4,FALSE)),2)*BlendedPriceEliteAnnual*AKC62+AKP26*POWER(1-(AnnualChurn*VLOOKUP(AJZ62,ChurnSeasonTable,4,FALSE)),3)*BlendedPriceEliteAnnual*AKC62+AKP14*POWER(1-(AnnualChurn*VLOOKUP(AJZ62,ChurnSeasonTable,4,FALSE)),4)*BlendedPriceEliteAnnual*AKC62</f>
        <v/>
      </c>
      <c r="ALC62" s="9">
        <f>AKZ62+ALA62+ALB62</f>
        <v/>
      </c>
      <c r="ALD62" s="12">
        <f>SUM(ALC51:ALC62)</f>
        <v/>
      </c>
      <c r="ALE62" s="12">
        <f>OR(ALE61,IF(VATAgentMode,SUM($ALC51:$ALC62)-SUM($ALJ51:$ALJ62)&gt;=VATThreshold,SUM($ALC51:$ALC62)&gt;=VATThreshold))</f>
        <v/>
      </c>
      <c r="ALF62" s="9">
        <f>IF(ALE62,IF(VATAgentMode,ALC62-((ALC62-ALJ62)-(ALC62-ALJ62)/(1+VATRate)),ALC62/(1+VATRate)),ALC62)</f>
        <v/>
      </c>
      <c r="ALG62" s="12">
        <f>ALC62-ALF62</f>
        <v/>
      </c>
      <c r="ALH62" s="12">
        <f>IF(ALE62=0,0,IF(AJZ62=1,SUMPRODUCT(--(($AKA$5:$AKA62=$AKA62-1)*($AJZ$5:$AJZ62&gt;=10)*($AJZ$5:$AJZ62&lt;=12)),$ALG$5:$ALG62),IF(AJZ62=4,SUMPRODUCT(--(($AKA$5:$AKA62=$AKA62)*($AJZ$5:$AJZ62&gt;=1)*($AJZ$5:$AJZ62&lt;=3)),$ALG$5:$ALG62),IF(AJZ62=7,SUMPRODUCT(--(($AKA$5:$AKA62=$AKA62)*($AJZ$5:$AJZ62&gt;=4)*($AJZ$5:$AJZ62&lt;=6)),$ALG$5:$ALG62),IF(AJZ62=10,SUMPRODUCT(--(($AKA$5:$AKA62=$AKA62)*($AJZ$5:$AJZ62&gt;=7)*($AJZ$5:$AJZ62&lt;=9)),$ALG$5:$ALG62),0)))))</f>
        <v/>
      </c>
      <c r="ALI62" s="12">
        <f>ALI61+ALG62-ALH62</f>
        <v/>
      </c>
      <c r="ALJ62" s="12">
        <f>IF(ProviderDelay&gt;=1,AKQ61*BlendedProvPayEss+AKR61*BlendedProvPayPrem+AKS61*BlendedProvPayElite+AKT61*BlendedProvPayEss+AKU61*BlendedProvPayPrem+AKV61*BlendedProvPayElite,AKQ62*BlendedProvPayEss+AKR62*BlendedProvPayPrem+AKS62*BlendedProvPayElite+AKT62*BlendedProvPayEss+AKU62*BlendedProvPayPrem+AKV62*BlendedProvPayElite)</f>
        <v/>
      </c>
      <c r="ALK62" s="12">
        <f>ALC62*PaymentFee</f>
        <v/>
      </c>
      <c r="ALL62" s="12">
        <f>AKW62*OpsAI</f>
        <v/>
      </c>
      <c r="ALM62" s="12">
        <f>MonthlyFixed</f>
        <v/>
      </c>
      <c r="ALN62" s="12">
        <f>AKG62*ReferralReward</f>
        <v/>
      </c>
      <c r="ALO62" s="12">
        <f>AKE62</f>
        <v/>
      </c>
      <c r="ALP62" s="9">
        <f>ALF62-ALJ62-ALK62-ALL62-ALM62-ALN62-ALO62</f>
        <v/>
      </c>
      <c r="ALQ62" s="9">
        <f>ALQ61+ALC62-(ALJ62+ALK62+ALL62+ALM62+ALN62+ALO62+ALH62)</f>
        <v/>
      </c>
      <c r="ALR62" s="12">
        <f>IF(AKW62&gt;0,AKX62/AKW62,0)</f>
        <v/>
      </c>
      <c r="ALS62" s="11">
        <f>IF(AKW61&gt;0,MAX(0,(AKW61+AKH62-AKW62)/AKW61),0)</f>
        <v/>
      </c>
      <c r="ALU62" s="12" t="n">
        <v>58</v>
      </c>
      <c r="ALV62" s="12">
        <f>MOD(ALU62-1+LaunchMonth-1,12)+1</f>
        <v/>
      </c>
      <c r="ALW62" s="12">
        <f>INT((ALU62-1+LaunchMonth-1)/12)+1</f>
        <v/>
      </c>
      <c r="ALX62" s="12">
        <f>VLOOKUP(ALV62,SeasonTable,2,FALSE)</f>
        <v/>
      </c>
      <c r="ALY62" s="12">
        <f>(1+InflationRate)^INT((ALU62-1)/12)</f>
        <v/>
      </c>
      <c r="ALZ62" s="11">
        <f>MonthlyChurn*VLOOKUP(ALV62,ChurnSeasonTable,4,FALSE)</f>
        <v/>
      </c>
      <c r="AMA62" s="12">
        <f>MIN(MAX(MktMin19plus,AMY61*MktPct19plus),MAX(0,ANM61-CashBuffer))</f>
        <v/>
      </c>
      <c r="AMB62" s="12">
        <f>IF(AMA62&gt;0,MAX(1,ROUND(AMA62/'Sens - CAC &amp; Marketing'!$A$11*ALX62,0)),0)</f>
        <v/>
      </c>
      <c r="AMC62" s="12">
        <f>IF(AMB62&gt;0,ROUND(AMB62*ReferralMix/(1-ReferralMix),0),0)</f>
        <v/>
      </c>
      <c r="AMD62" s="12">
        <f>AMB62+AMC62</f>
        <v/>
      </c>
      <c r="AME62" s="12">
        <f>ROUND(AMD62*(1-AnnualMix),0)</f>
        <v/>
      </c>
      <c r="AMF62" s="12">
        <f>AMD62-AME62</f>
        <v/>
      </c>
      <c r="AMG62" s="12">
        <f>ROUND(AME62*EssentialMix,0)</f>
        <v/>
      </c>
      <c r="AMH62" s="12">
        <f>ROUND(AME62*PremiumMix,0)</f>
        <v/>
      </c>
      <c r="AMI62" s="12">
        <f>AME62-AMG62-AMH62</f>
        <v/>
      </c>
      <c r="AMJ62" s="12">
        <f>ROUND(AMF62*EssentialMix,0)</f>
        <v/>
      </c>
      <c r="AMK62" s="12">
        <f>ROUND(AMF62*PremiumMix,0)</f>
        <v/>
      </c>
      <c r="AML62" s="12">
        <f>AMF62-AMJ62-AMK62</f>
        <v/>
      </c>
      <c r="AMM62" s="12">
        <f>AMG62+AMG61+AMG60+MAX(0,AMM61-AMG61-AMG60)*(1-ALZ62)</f>
        <v/>
      </c>
      <c r="AMN62" s="12">
        <f>AMH62+AMH61+AMH60+MAX(0,AMN61-AMH61-AMH60)*(1-ALZ62)</f>
        <v/>
      </c>
      <c r="AMO62" s="12">
        <f>AMI62+AMI61+AMI60+MAX(0,AMO61-AMI61-AMI60)*(1-ALZ62)</f>
        <v/>
      </c>
      <c r="AMP62" s="12">
        <f>AMP61+AMJ62-AMJ50*(AnnualChurn*VLOOKUP(ALV62,ChurnSeasonTable,4,FALSE))*POWER(1-(AnnualChurn*VLOOKUP(ALV62,ChurnSeasonTable,4,FALSE)),0)+AMJ38*(AnnualChurn*VLOOKUP(ALV62,ChurnSeasonTable,4,FALSE))*POWER(1-(AnnualChurn*VLOOKUP(ALV62,ChurnSeasonTable,4,FALSE)),1)+AMJ26*(AnnualChurn*VLOOKUP(ALV62,ChurnSeasonTable,4,FALSE))*POWER(1-(AnnualChurn*VLOOKUP(ALV62,ChurnSeasonTable,4,FALSE)),2)+AMJ14*(AnnualChurn*VLOOKUP(ALV62,ChurnSeasonTable,4,FALSE))*POWER(1-(AnnualChurn*VLOOKUP(ALV62,ChurnSeasonTable,4,FALSE)),3)</f>
        <v/>
      </c>
      <c r="AMQ62" s="12">
        <f>AMQ61+AMK62-AMK50*(AnnualChurn*VLOOKUP(ALV62,ChurnSeasonTable,4,FALSE))*POWER(1-(AnnualChurn*VLOOKUP(ALV62,ChurnSeasonTable,4,FALSE)),0)+AMK38*(AnnualChurn*VLOOKUP(ALV62,ChurnSeasonTable,4,FALSE))*POWER(1-(AnnualChurn*VLOOKUP(ALV62,ChurnSeasonTable,4,FALSE)),1)+AMK26*(AnnualChurn*VLOOKUP(ALV62,ChurnSeasonTable,4,FALSE))*POWER(1-(AnnualChurn*VLOOKUP(ALV62,ChurnSeasonTable,4,FALSE)),2)+AMK14*(AnnualChurn*VLOOKUP(ALV62,ChurnSeasonTable,4,FALSE))*POWER(1-(AnnualChurn*VLOOKUP(ALV62,ChurnSeasonTable,4,FALSE)),3)</f>
        <v/>
      </c>
      <c r="AMR62" s="12">
        <f>AMR61+AML62-AML50*(AnnualChurn*VLOOKUP(ALV62,ChurnSeasonTable,4,FALSE))*POWER(1-(AnnualChurn*VLOOKUP(ALV62,ChurnSeasonTable,4,FALSE)),0)+AML38*(AnnualChurn*VLOOKUP(ALV62,ChurnSeasonTable,4,FALSE))*POWER(1-(AnnualChurn*VLOOKUP(ALV62,ChurnSeasonTable,4,FALSE)),1)+AML26*(AnnualChurn*VLOOKUP(ALV62,ChurnSeasonTable,4,FALSE))*POWER(1-(AnnualChurn*VLOOKUP(ALV62,ChurnSeasonTable,4,FALSE)),2)+AML14*(AnnualChurn*VLOOKUP(ALV62,ChurnSeasonTable,4,FALSE))*POWER(1-(AnnualChurn*VLOOKUP(ALV62,ChurnSeasonTable,4,FALSE)),3)</f>
        <v/>
      </c>
      <c r="AMS62" s="12">
        <f>AMM62+AMN62+AMO62+AMP62+AMQ62+AMR62</f>
        <v/>
      </c>
      <c r="AMT62" s="9">
        <f>AMM62*BlendedPriceEssMonthly*ALY62+AMN62*BlendedPricePremMonthly*ALY62+AMO62*BlendedPriceEliteMonthly*ALY62+AMP62*BlendedPriceEssAnnual*ALY62/12+AMQ62*BlendedPricePremAnnual*ALY62/12+AMR62*BlendedPriceEliteAnnual*ALY62/12</f>
        <v/>
      </c>
      <c r="AMU62" s="9">
        <f>AMT62*12</f>
        <v/>
      </c>
      <c r="AMV62" s="12">
        <f>AMM62*BlendedPriceEssMonthly*ALY62+AMN62*BlendedPricePremMonthly*ALY62+AMO62*BlendedPriceEliteMonthly*ALY62</f>
        <v/>
      </c>
      <c r="AMW62" s="12">
        <f>AMJ62*BlendedPriceEssAnnual*ALY62+AMK62*BlendedPricePremAnnual*ALY62+AML62*BlendedPriceEliteAnnual*ALY62</f>
        <v/>
      </c>
      <c r="AMX62" s="12">
        <f>AMJ50*POWER(1-(AnnualChurn*VLOOKUP(ALV62,ChurnSeasonTable,4,FALSE)),1)*BlendedPriceEssAnnual*ALY62+AMJ38*POWER(1-(AnnualChurn*VLOOKUP(ALV62,ChurnSeasonTable,4,FALSE)),2)*BlendedPriceEssAnnual*ALY62+AMJ26*POWER(1-(AnnualChurn*VLOOKUP(ALV62,ChurnSeasonTable,4,FALSE)),3)*BlendedPriceEssAnnual*ALY62+AMJ14*POWER(1-(AnnualChurn*VLOOKUP(ALV62,ChurnSeasonTable,4,FALSE)),4)*BlendedPriceEssAnnual*ALY62+AMK50*POWER(1-(AnnualChurn*VLOOKUP(ALV62,ChurnSeasonTable,4,FALSE)),1)*BlendedPricePremAnnual*ALY62+AMK38*POWER(1-(AnnualChurn*VLOOKUP(ALV62,ChurnSeasonTable,4,FALSE)),2)*BlendedPricePremAnnual*ALY62+AMK26*POWER(1-(AnnualChurn*VLOOKUP(ALV62,ChurnSeasonTable,4,FALSE)),3)*BlendedPricePremAnnual*ALY62+AMK14*POWER(1-(AnnualChurn*VLOOKUP(ALV62,ChurnSeasonTable,4,FALSE)),4)*BlendedPricePremAnnual*ALY62+AML50*POWER(1-(AnnualChurn*VLOOKUP(ALV62,ChurnSeasonTable,4,FALSE)),1)*BlendedPriceEliteAnnual*ALY62+AML38*POWER(1-(AnnualChurn*VLOOKUP(ALV62,ChurnSeasonTable,4,FALSE)),2)*BlendedPriceEliteAnnual*ALY62+AML26*POWER(1-(AnnualChurn*VLOOKUP(ALV62,ChurnSeasonTable,4,FALSE)),3)*BlendedPriceEliteAnnual*ALY62+AML14*POWER(1-(AnnualChurn*VLOOKUP(ALV62,ChurnSeasonTable,4,FALSE)),4)*BlendedPriceEliteAnnual*ALY62</f>
        <v/>
      </c>
      <c r="AMY62" s="9">
        <f>AMV62+AMW62+AMX62</f>
        <v/>
      </c>
      <c r="AMZ62" s="12">
        <f>SUM(AMY51:AMY62)</f>
        <v/>
      </c>
      <c r="ANA62" s="12">
        <f>OR(ANA61,IF(VATAgentMode,SUM($AMY51:$AMY62)-SUM($ANF51:$ANF62)&gt;=VATThreshold,SUM($AMY51:$AMY62)&gt;=VATThreshold))</f>
        <v/>
      </c>
      <c r="ANB62" s="9">
        <f>IF(ANA62,IF(VATAgentMode,AMY62-((AMY62-ANF62)-(AMY62-ANF62)/(1+VATRate)),AMY62/(1+VATRate)),AMY62)</f>
        <v/>
      </c>
      <c r="ANC62" s="12">
        <f>AMY62-ANB62</f>
        <v/>
      </c>
      <c r="AND62" s="12">
        <f>IF(ANA62=0,0,IF(ALV62=1,SUMPRODUCT(--(($ALW$5:$ALW62=$ALW62-1)*($ALV$5:$ALV62&gt;=10)*($ALV$5:$ALV62&lt;=12)),$ANC$5:$ANC62),IF(ALV62=4,SUMPRODUCT(--(($ALW$5:$ALW62=$ALW62)*($ALV$5:$ALV62&gt;=1)*($ALV$5:$ALV62&lt;=3)),$ANC$5:$ANC62),IF(ALV62=7,SUMPRODUCT(--(($ALW$5:$ALW62=$ALW62)*($ALV$5:$ALV62&gt;=4)*($ALV$5:$ALV62&lt;=6)),$ANC$5:$ANC62),IF(ALV62=10,SUMPRODUCT(--(($ALW$5:$ALW62=$ALW62)*($ALV$5:$ALV62&gt;=7)*($ALV$5:$ALV62&lt;=9)),$ANC$5:$ANC62),0)))))</f>
        <v/>
      </c>
      <c r="ANE62" s="12">
        <f>ANE61+ANC62-AND62</f>
        <v/>
      </c>
      <c r="ANF62" s="12">
        <f>IF(ProviderDelay&gt;=1,AMM61*BlendedProvPayEss+AMN61*BlendedProvPayPrem+AMO61*BlendedProvPayElite+AMP61*BlendedProvPayEss+AMQ61*BlendedProvPayPrem+AMR61*BlendedProvPayElite,AMM62*BlendedProvPayEss+AMN62*BlendedProvPayPrem+AMO62*BlendedProvPayElite+AMP62*BlendedProvPayEss+AMQ62*BlendedProvPayPrem+AMR62*BlendedProvPayElite)</f>
        <v/>
      </c>
      <c r="ANG62" s="12">
        <f>AMY62*PaymentFee</f>
        <v/>
      </c>
      <c r="ANH62" s="12">
        <f>AMS62*OpsAI</f>
        <v/>
      </c>
      <c r="ANI62" s="12">
        <f>MonthlyFixed</f>
        <v/>
      </c>
      <c r="ANJ62" s="12">
        <f>AMC62*ReferralReward</f>
        <v/>
      </c>
      <c r="ANK62" s="12">
        <f>AMA62</f>
        <v/>
      </c>
      <c r="ANL62" s="9">
        <f>ANB62-ANF62-ANG62-ANH62-ANI62-ANJ62-ANK62</f>
        <v/>
      </c>
      <c r="ANM62" s="9">
        <f>ANM61+AMY62-(ANF62+ANG62+ANH62+ANI62+ANJ62+ANK62+AND62)</f>
        <v/>
      </c>
      <c r="ANN62" s="12">
        <f>IF(AMS62&gt;0,AMT62/AMS62,0)</f>
        <v/>
      </c>
      <c r="ANO62" s="11">
        <f>IF(AMS61&gt;0,MAX(0,(AMS61+AMD62-AMS62)/AMS61),0)</f>
        <v/>
      </c>
      <c r="ANQ62" s="12" t="n">
        <v>58</v>
      </c>
      <c r="ANR62" s="12">
        <f>MOD(ANQ62-1+LaunchMonth-1,12)+1</f>
        <v/>
      </c>
      <c r="ANS62" s="12">
        <f>INT((ANQ62-1+LaunchMonth-1)/12)+1</f>
        <v/>
      </c>
      <c r="ANT62" s="12">
        <f>VLOOKUP(ANR62,SeasonTable,2,FALSE)</f>
        <v/>
      </c>
      <c r="ANU62" s="12">
        <f>(1+InflationRate)^INT((ANQ62-1)/12)</f>
        <v/>
      </c>
      <c r="ANV62" s="11">
        <f>MonthlyChurn*VLOOKUP(ANR62,ChurnSeasonTable,4,FALSE)</f>
        <v/>
      </c>
      <c r="ANW62" s="12">
        <f>MIN(MAX(MktMin19plus,AOU61*MktPct19plus),MAX(0,API61-CashBuffer))</f>
        <v/>
      </c>
      <c r="ANX62" s="12">
        <f>IF(ANW62&gt;0,MAX(1,ROUND(ANW62/'Sens - CAC &amp; Marketing'!$A$12*ANT62,0)),0)</f>
        <v/>
      </c>
      <c r="ANY62" s="12">
        <f>IF(ANX62&gt;0,ROUND(ANX62*ReferralMix/(1-ReferralMix),0),0)</f>
        <v/>
      </c>
      <c r="ANZ62" s="12">
        <f>ANX62+ANY62</f>
        <v/>
      </c>
      <c r="AOA62" s="12">
        <f>ROUND(ANZ62*(1-AnnualMix),0)</f>
        <v/>
      </c>
      <c r="AOB62" s="12">
        <f>ANZ62-AOA62</f>
        <v/>
      </c>
      <c r="AOC62" s="12">
        <f>ROUND(AOA62*EssentialMix,0)</f>
        <v/>
      </c>
      <c r="AOD62" s="12">
        <f>ROUND(AOA62*PremiumMix,0)</f>
        <v/>
      </c>
      <c r="AOE62" s="12">
        <f>AOA62-AOC62-AOD62</f>
        <v/>
      </c>
      <c r="AOF62" s="12">
        <f>ROUND(AOB62*EssentialMix,0)</f>
        <v/>
      </c>
      <c r="AOG62" s="12">
        <f>ROUND(AOB62*PremiumMix,0)</f>
        <v/>
      </c>
      <c r="AOH62" s="12">
        <f>AOB62-AOF62-AOG62</f>
        <v/>
      </c>
      <c r="AOI62" s="12">
        <f>AOC62+AOC61+AOC60+MAX(0,AOI61-AOC61-AOC60)*(1-ANV62)</f>
        <v/>
      </c>
      <c r="AOJ62" s="12">
        <f>AOD62+AOD61+AOD60+MAX(0,AOJ61-AOD61-AOD60)*(1-ANV62)</f>
        <v/>
      </c>
      <c r="AOK62" s="12">
        <f>AOE62+AOE61+AOE60+MAX(0,AOK61-AOE61-AOE60)*(1-ANV62)</f>
        <v/>
      </c>
      <c r="AOL62" s="12">
        <f>AOL61+AOF62-AOF50*(AnnualChurn*VLOOKUP(ANR62,ChurnSeasonTable,4,FALSE))*POWER(1-(AnnualChurn*VLOOKUP(ANR62,ChurnSeasonTable,4,FALSE)),0)+AOF38*(AnnualChurn*VLOOKUP(ANR62,ChurnSeasonTable,4,FALSE))*POWER(1-(AnnualChurn*VLOOKUP(ANR62,ChurnSeasonTable,4,FALSE)),1)+AOF26*(AnnualChurn*VLOOKUP(ANR62,ChurnSeasonTable,4,FALSE))*POWER(1-(AnnualChurn*VLOOKUP(ANR62,ChurnSeasonTable,4,FALSE)),2)+AOF14*(AnnualChurn*VLOOKUP(ANR62,ChurnSeasonTable,4,FALSE))*POWER(1-(AnnualChurn*VLOOKUP(ANR62,ChurnSeasonTable,4,FALSE)),3)</f>
        <v/>
      </c>
      <c r="AOM62" s="12">
        <f>AOM61+AOG62-AOG50*(AnnualChurn*VLOOKUP(ANR62,ChurnSeasonTable,4,FALSE))*POWER(1-(AnnualChurn*VLOOKUP(ANR62,ChurnSeasonTable,4,FALSE)),0)+AOG38*(AnnualChurn*VLOOKUP(ANR62,ChurnSeasonTable,4,FALSE))*POWER(1-(AnnualChurn*VLOOKUP(ANR62,ChurnSeasonTable,4,FALSE)),1)+AOG26*(AnnualChurn*VLOOKUP(ANR62,ChurnSeasonTable,4,FALSE))*POWER(1-(AnnualChurn*VLOOKUP(ANR62,ChurnSeasonTable,4,FALSE)),2)+AOG14*(AnnualChurn*VLOOKUP(ANR62,ChurnSeasonTable,4,FALSE))*POWER(1-(AnnualChurn*VLOOKUP(ANR62,ChurnSeasonTable,4,FALSE)),3)</f>
        <v/>
      </c>
      <c r="AON62" s="12">
        <f>AON61+AOH62-AOH50*(AnnualChurn*VLOOKUP(ANR62,ChurnSeasonTable,4,FALSE))*POWER(1-(AnnualChurn*VLOOKUP(ANR62,ChurnSeasonTable,4,FALSE)),0)+AOH38*(AnnualChurn*VLOOKUP(ANR62,ChurnSeasonTable,4,FALSE))*POWER(1-(AnnualChurn*VLOOKUP(ANR62,ChurnSeasonTable,4,FALSE)),1)+AOH26*(AnnualChurn*VLOOKUP(ANR62,ChurnSeasonTable,4,FALSE))*POWER(1-(AnnualChurn*VLOOKUP(ANR62,ChurnSeasonTable,4,FALSE)),2)+AOH14*(AnnualChurn*VLOOKUP(ANR62,ChurnSeasonTable,4,FALSE))*POWER(1-(AnnualChurn*VLOOKUP(ANR62,ChurnSeasonTable,4,FALSE)),3)</f>
        <v/>
      </c>
      <c r="AOO62" s="12">
        <f>AOI62+AOJ62+AOK62+AOL62+AOM62+AON62</f>
        <v/>
      </c>
      <c r="AOP62" s="9">
        <f>AOI62*BlendedPriceEssMonthly*ANU62+AOJ62*BlendedPricePremMonthly*ANU62+AOK62*BlendedPriceEliteMonthly*ANU62+AOL62*BlendedPriceEssAnnual*ANU62/12+AOM62*BlendedPricePremAnnual*ANU62/12+AON62*BlendedPriceEliteAnnual*ANU62/12</f>
        <v/>
      </c>
      <c r="AOQ62" s="9">
        <f>AOP62*12</f>
        <v/>
      </c>
      <c r="AOR62" s="12">
        <f>AOI62*BlendedPriceEssMonthly*ANU62+AOJ62*BlendedPricePremMonthly*ANU62+AOK62*BlendedPriceEliteMonthly*ANU62</f>
        <v/>
      </c>
      <c r="AOS62" s="12">
        <f>AOF62*BlendedPriceEssAnnual*ANU62+AOG62*BlendedPricePremAnnual*ANU62+AOH62*BlendedPriceEliteAnnual*ANU62</f>
        <v/>
      </c>
      <c r="AOT62" s="12">
        <f>AOF50*POWER(1-(AnnualChurn*VLOOKUP(ANR62,ChurnSeasonTable,4,FALSE)),1)*BlendedPriceEssAnnual*ANU62+AOF38*POWER(1-(AnnualChurn*VLOOKUP(ANR62,ChurnSeasonTable,4,FALSE)),2)*BlendedPriceEssAnnual*ANU62+AOF26*POWER(1-(AnnualChurn*VLOOKUP(ANR62,ChurnSeasonTable,4,FALSE)),3)*BlendedPriceEssAnnual*ANU62+AOF14*POWER(1-(AnnualChurn*VLOOKUP(ANR62,ChurnSeasonTable,4,FALSE)),4)*BlendedPriceEssAnnual*ANU62+AOG50*POWER(1-(AnnualChurn*VLOOKUP(ANR62,ChurnSeasonTable,4,FALSE)),1)*BlendedPricePremAnnual*ANU62+AOG38*POWER(1-(AnnualChurn*VLOOKUP(ANR62,ChurnSeasonTable,4,FALSE)),2)*BlendedPricePremAnnual*ANU62+AOG26*POWER(1-(AnnualChurn*VLOOKUP(ANR62,ChurnSeasonTable,4,FALSE)),3)*BlendedPricePremAnnual*ANU62+AOG14*POWER(1-(AnnualChurn*VLOOKUP(ANR62,ChurnSeasonTable,4,FALSE)),4)*BlendedPricePremAnnual*ANU62+AOH50*POWER(1-(AnnualChurn*VLOOKUP(ANR62,ChurnSeasonTable,4,FALSE)),1)*BlendedPriceEliteAnnual*ANU62+AOH38*POWER(1-(AnnualChurn*VLOOKUP(ANR62,ChurnSeasonTable,4,FALSE)),2)*BlendedPriceEliteAnnual*ANU62+AOH26*POWER(1-(AnnualChurn*VLOOKUP(ANR62,ChurnSeasonTable,4,FALSE)),3)*BlendedPriceEliteAnnual*ANU62+AOH14*POWER(1-(AnnualChurn*VLOOKUP(ANR62,ChurnSeasonTable,4,FALSE)),4)*BlendedPriceEliteAnnual*ANU62</f>
        <v/>
      </c>
      <c r="AOU62" s="9">
        <f>AOR62+AOS62+AOT62</f>
        <v/>
      </c>
      <c r="AOV62" s="12">
        <f>SUM(AOU51:AOU62)</f>
        <v/>
      </c>
      <c r="AOW62" s="12">
        <f>OR(AOW61,IF(VATAgentMode,SUM($AOU51:$AOU62)-SUM($APB51:$APB62)&gt;=VATThreshold,SUM($AOU51:$AOU62)&gt;=VATThreshold))</f>
        <v/>
      </c>
      <c r="AOX62" s="9">
        <f>IF(AOW62,IF(VATAgentMode,AOU62-((AOU62-APB62)-(AOU62-APB62)/(1+VATRate)),AOU62/(1+VATRate)),AOU62)</f>
        <v/>
      </c>
      <c r="AOY62" s="12">
        <f>AOU62-AOX62</f>
        <v/>
      </c>
      <c r="AOZ62" s="12">
        <f>IF(AOW62=0,0,IF(ANR62=1,SUMPRODUCT(--(($ANS$5:$ANS62=$ANS62-1)*($ANR$5:$ANR62&gt;=10)*($ANR$5:$ANR62&lt;=12)),$AOY$5:$AOY62),IF(ANR62=4,SUMPRODUCT(--(($ANS$5:$ANS62=$ANS62)*($ANR$5:$ANR62&gt;=1)*($ANR$5:$ANR62&lt;=3)),$AOY$5:$AOY62),IF(ANR62=7,SUMPRODUCT(--(($ANS$5:$ANS62=$ANS62)*($ANR$5:$ANR62&gt;=4)*($ANR$5:$ANR62&lt;=6)),$AOY$5:$AOY62),IF(ANR62=10,SUMPRODUCT(--(($ANS$5:$ANS62=$ANS62)*($ANR$5:$ANR62&gt;=7)*($ANR$5:$ANR62&lt;=9)),$AOY$5:$AOY62),0)))))</f>
        <v/>
      </c>
      <c r="APA62" s="12">
        <f>APA61+AOY62-AOZ62</f>
        <v/>
      </c>
      <c r="APB62" s="12">
        <f>IF(ProviderDelay&gt;=1,AOI61*BlendedProvPayEss+AOJ61*BlendedProvPayPrem+AOK61*BlendedProvPayElite+AOL61*BlendedProvPayEss+AOM61*BlendedProvPayPrem+AON61*BlendedProvPayElite,AOI62*BlendedProvPayEss+AOJ62*BlendedProvPayPrem+AOK62*BlendedProvPayElite+AOL62*BlendedProvPayEss+AOM62*BlendedProvPayPrem+AON62*BlendedProvPayElite)</f>
        <v/>
      </c>
      <c r="APC62" s="12">
        <f>AOU62*PaymentFee</f>
        <v/>
      </c>
      <c r="APD62" s="12">
        <f>AOO62*OpsAI</f>
        <v/>
      </c>
      <c r="APE62" s="12">
        <f>MonthlyFixed</f>
        <v/>
      </c>
      <c r="APF62" s="12">
        <f>ANY62*ReferralReward</f>
        <v/>
      </c>
      <c r="APG62" s="12">
        <f>ANW62</f>
        <v/>
      </c>
      <c r="APH62" s="9">
        <f>AOX62-APB62-APC62-APD62-APE62-APF62-APG62</f>
        <v/>
      </c>
      <c r="API62" s="9">
        <f>API61+AOU62-(APB62+APC62+APD62+APE62+APF62+APG62+AOZ62)</f>
        <v/>
      </c>
      <c r="APJ62" s="12">
        <f>IF(AOO62&gt;0,AOP62/AOO62,0)</f>
        <v/>
      </c>
      <c r="APK62" s="11">
        <f>IF(AOO61&gt;0,MAX(0,(AOO61+ANZ62-AOO62)/AOO61),0)</f>
        <v/>
      </c>
      <c r="APM62" s="12" t="n">
        <v>58</v>
      </c>
      <c r="APN62" s="12">
        <f>MOD(APM62-1+LaunchMonth-1,12)+1</f>
        <v/>
      </c>
      <c r="APO62" s="12">
        <f>INT((APM62-1+LaunchMonth-1)/12)+1</f>
        <v/>
      </c>
      <c r="APP62" s="12">
        <f>VLOOKUP(APN62,SeasonTable,2,FALSE)</f>
        <v/>
      </c>
      <c r="APQ62" s="12">
        <f>(1+InflationRate)^INT((APM62-1)/12)</f>
        <v/>
      </c>
      <c r="APR62" s="11">
        <f>MonthlyChurn*VLOOKUP(APN62,ChurnSeasonTable,4,FALSE)</f>
        <v/>
      </c>
      <c r="APS62" s="12">
        <f>MIN(MAX(MktMin19plus,AQQ61*MktPct19plus),MAX(0,ARE61-CashBuffer))</f>
        <v/>
      </c>
      <c r="APT62" s="12">
        <f>IF(APS62&gt;0,MAX(1,ROUND(APS62/'Sens - CAC &amp; Marketing'!$A$13*APP62,0)),0)</f>
        <v/>
      </c>
      <c r="APU62" s="12">
        <f>IF(APT62&gt;0,ROUND(APT62*ReferralMix/(1-ReferralMix),0),0)</f>
        <v/>
      </c>
      <c r="APV62" s="12">
        <f>APT62+APU62</f>
        <v/>
      </c>
      <c r="APW62" s="12">
        <f>ROUND(APV62*(1-AnnualMix),0)</f>
        <v/>
      </c>
      <c r="APX62" s="12">
        <f>APV62-APW62</f>
        <v/>
      </c>
      <c r="APY62" s="12">
        <f>ROUND(APW62*EssentialMix,0)</f>
        <v/>
      </c>
      <c r="APZ62" s="12">
        <f>ROUND(APW62*PremiumMix,0)</f>
        <v/>
      </c>
      <c r="AQA62" s="12">
        <f>APW62-APY62-APZ62</f>
        <v/>
      </c>
      <c r="AQB62" s="12">
        <f>ROUND(APX62*EssentialMix,0)</f>
        <v/>
      </c>
      <c r="AQC62" s="12">
        <f>ROUND(APX62*PremiumMix,0)</f>
        <v/>
      </c>
      <c r="AQD62" s="12">
        <f>APX62-AQB62-AQC62</f>
        <v/>
      </c>
      <c r="AQE62" s="12">
        <f>APY62+APY61+APY60+MAX(0,AQE61-APY61-APY60)*(1-APR62)</f>
        <v/>
      </c>
      <c r="AQF62" s="12">
        <f>APZ62+APZ61+APZ60+MAX(0,AQF61-APZ61-APZ60)*(1-APR62)</f>
        <v/>
      </c>
      <c r="AQG62" s="12">
        <f>AQA62+AQA61+AQA60+MAX(0,AQG61-AQA61-AQA60)*(1-APR62)</f>
        <v/>
      </c>
      <c r="AQH62" s="12">
        <f>AQH61+AQB62-AQB50*(AnnualChurn*VLOOKUP(APN62,ChurnSeasonTable,4,FALSE))*POWER(1-(AnnualChurn*VLOOKUP(APN62,ChurnSeasonTable,4,FALSE)),0)+AQB38*(AnnualChurn*VLOOKUP(APN62,ChurnSeasonTable,4,FALSE))*POWER(1-(AnnualChurn*VLOOKUP(APN62,ChurnSeasonTable,4,FALSE)),1)+AQB26*(AnnualChurn*VLOOKUP(APN62,ChurnSeasonTable,4,FALSE))*POWER(1-(AnnualChurn*VLOOKUP(APN62,ChurnSeasonTable,4,FALSE)),2)+AQB14*(AnnualChurn*VLOOKUP(APN62,ChurnSeasonTable,4,FALSE))*POWER(1-(AnnualChurn*VLOOKUP(APN62,ChurnSeasonTable,4,FALSE)),3)</f>
        <v/>
      </c>
      <c r="AQI62" s="12">
        <f>AQI61+AQC62-AQC50*(AnnualChurn*VLOOKUP(APN62,ChurnSeasonTable,4,FALSE))*POWER(1-(AnnualChurn*VLOOKUP(APN62,ChurnSeasonTable,4,FALSE)),0)+AQC38*(AnnualChurn*VLOOKUP(APN62,ChurnSeasonTable,4,FALSE))*POWER(1-(AnnualChurn*VLOOKUP(APN62,ChurnSeasonTable,4,FALSE)),1)+AQC26*(AnnualChurn*VLOOKUP(APN62,ChurnSeasonTable,4,FALSE))*POWER(1-(AnnualChurn*VLOOKUP(APN62,ChurnSeasonTable,4,FALSE)),2)+AQC14*(AnnualChurn*VLOOKUP(APN62,ChurnSeasonTable,4,FALSE))*POWER(1-(AnnualChurn*VLOOKUP(APN62,ChurnSeasonTable,4,FALSE)),3)</f>
        <v/>
      </c>
      <c r="AQJ62" s="12">
        <f>AQJ61+AQD62-AQD50*(AnnualChurn*VLOOKUP(APN62,ChurnSeasonTable,4,FALSE))*POWER(1-(AnnualChurn*VLOOKUP(APN62,ChurnSeasonTable,4,FALSE)),0)+AQD38*(AnnualChurn*VLOOKUP(APN62,ChurnSeasonTable,4,FALSE))*POWER(1-(AnnualChurn*VLOOKUP(APN62,ChurnSeasonTable,4,FALSE)),1)+AQD26*(AnnualChurn*VLOOKUP(APN62,ChurnSeasonTable,4,FALSE))*POWER(1-(AnnualChurn*VLOOKUP(APN62,ChurnSeasonTable,4,FALSE)),2)+AQD14*(AnnualChurn*VLOOKUP(APN62,ChurnSeasonTable,4,FALSE))*POWER(1-(AnnualChurn*VLOOKUP(APN62,ChurnSeasonTable,4,FALSE)),3)</f>
        <v/>
      </c>
      <c r="AQK62" s="12">
        <f>AQE62+AQF62+AQG62+AQH62+AQI62+AQJ62</f>
        <v/>
      </c>
      <c r="AQL62" s="9">
        <f>AQE62*BlendedPriceEssMonthly*APQ62+AQF62*BlendedPricePremMonthly*APQ62+AQG62*BlendedPriceEliteMonthly*APQ62+AQH62*BlendedPriceEssAnnual*APQ62/12+AQI62*BlendedPricePremAnnual*APQ62/12+AQJ62*BlendedPriceEliteAnnual*APQ62/12</f>
        <v/>
      </c>
      <c r="AQM62" s="9">
        <f>AQL62*12</f>
        <v/>
      </c>
      <c r="AQN62" s="12">
        <f>AQE62*BlendedPriceEssMonthly*APQ62+AQF62*BlendedPricePremMonthly*APQ62+AQG62*BlendedPriceEliteMonthly*APQ62</f>
        <v/>
      </c>
      <c r="AQO62" s="12">
        <f>AQB62*BlendedPriceEssAnnual*APQ62+AQC62*BlendedPricePremAnnual*APQ62+AQD62*BlendedPriceEliteAnnual*APQ62</f>
        <v/>
      </c>
      <c r="AQP62" s="12">
        <f>AQB50*POWER(1-(AnnualChurn*VLOOKUP(APN62,ChurnSeasonTable,4,FALSE)),1)*BlendedPriceEssAnnual*APQ62+AQB38*POWER(1-(AnnualChurn*VLOOKUP(APN62,ChurnSeasonTable,4,FALSE)),2)*BlendedPriceEssAnnual*APQ62+AQB26*POWER(1-(AnnualChurn*VLOOKUP(APN62,ChurnSeasonTable,4,FALSE)),3)*BlendedPriceEssAnnual*APQ62+AQB14*POWER(1-(AnnualChurn*VLOOKUP(APN62,ChurnSeasonTable,4,FALSE)),4)*BlendedPriceEssAnnual*APQ62+AQC50*POWER(1-(AnnualChurn*VLOOKUP(APN62,ChurnSeasonTable,4,FALSE)),1)*BlendedPricePremAnnual*APQ62+AQC38*POWER(1-(AnnualChurn*VLOOKUP(APN62,ChurnSeasonTable,4,FALSE)),2)*BlendedPricePremAnnual*APQ62+AQC26*POWER(1-(AnnualChurn*VLOOKUP(APN62,ChurnSeasonTable,4,FALSE)),3)*BlendedPricePremAnnual*APQ62+AQC14*POWER(1-(AnnualChurn*VLOOKUP(APN62,ChurnSeasonTable,4,FALSE)),4)*BlendedPricePremAnnual*APQ62+AQD50*POWER(1-(AnnualChurn*VLOOKUP(APN62,ChurnSeasonTable,4,FALSE)),1)*BlendedPriceEliteAnnual*APQ62+AQD38*POWER(1-(AnnualChurn*VLOOKUP(APN62,ChurnSeasonTable,4,FALSE)),2)*BlendedPriceEliteAnnual*APQ62+AQD26*POWER(1-(AnnualChurn*VLOOKUP(APN62,ChurnSeasonTable,4,FALSE)),3)*BlendedPriceEliteAnnual*APQ62+AQD14*POWER(1-(AnnualChurn*VLOOKUP(APN62,ChurnSeasonTable,4,FALSE)),4)*BlendedPriceEliteAnnual*APQ62</f>
        <v/>
      </c>
      <c r="AQQ62" s="9">
        <f>AQN62+AQO62+AQP62</f>
        <v/>
      </c>
      <c r="AQR62" s="12">
        <f>SUM(AQQ51:AQQ62)</f>
        <v/>
      </c>
      <c r="AQS62" s="12">
        <f>OR(AQS61,IF(VATAgentMode,SUM($AQQ51:$AQQ62)-SUM($AQX51:$AQX62)&gt;=VATThreshold,SUM($AQQ51:$AQQ62)&gt;=VATThreshold))</f>
        <v/>
      </c>
      <c r="AQT62" s="9">
        <f>IF(AQS62,IF(VATAgentMode,AQQ62-((AQQ62-AQX62)-(AQQ62-AQX62)/(1+VATRate)),AQQ62/(1+VATRate)),AQQ62)</f>
        <v/>
      </c>
      <c r="AQU62" s="12">
        <f>AQQ62-AQT62</f>
        <v/>
      </c>
      <c r="AQV62" s="12">
        <f>IF(AQS62=0,0,IF(APN62=1,SUMPRODUCT(--(($APO$5:$APO62=$APO62-1)*($APN$5:$APN62&gt;=10)*($APN$5:$APN62&lt;=12)),$AQU$5:$AQU62),IF(APN62=4,SUMPRODUCT(--(($APO$5:$APO62=$APO62)*($APN$5:$APN62&gt;=1)*($APN$5:$APN62&lt;=3)),$AQU$5:$AQU62),IF(APN62=7,SUMPRODUCT(--(($APO$5:$APO62=$APO62)*($APN$5:$APN62&gt;=4)*($APN$5:$APN62&lt;=6)),$AQU$5:$AQU62),IF(APN62=10,SUMPRODUCT(--(($APO$5:$APO62=$APO62)*($APN$5:$APN62&gt;=7)*($APN$5:$APN62&lt;=9)),$AQU$5:$AQU62),0)))))</f>
        <v/>
      </c>
      <c r="AQW62" s="12">
        <f>AQW61+AQU62-AQV62</f>
        <v/>
      </c>
      <c r="AQX62" s="12">
        <f>IF(ProviderDelay&gt;=1,AQE61*BlendedProvPayEss+AQF61*BlendedProvPayPrem+AQG61*BlendedProvPayElite+AQH61*BlendedProvPayEss+AQI61*BlendedProvPayPrem+AQJ61*BlendedProvPayElite,AQE62*BlendedProvPayEss+AQF62*BlendedProvPayPrem+AQG62*BlendedProvPayElite+AQH62*BlendedProvPayEss+AQI62*BlendedProvPayPrem+AQJ62*BlendedProvPayElite)</f>
        <v/>
      </c>
      <c r="AQY62" s="12">
        <f>AQQ62*PaymentFee</f>
        <v/>
      </c>
      <c r="AQZ62" s="12">
        <f>AQK62*OpsAI</f>
        <v/>
      </c>
      <c r="ARA62" s="12">
        <f>MonthlyFixed</f>
        <v/>
      </c>
      <c r="ARB62" s="12">
        <f>APU62*ReferralReward</f>
        <v/>
      </c>
      <c r="ARC62" s="12">
        <f>APS62</f>
        <v/>
      </c>
      <c r="ARD62" s="9">
        <f>AQT62-AQX62-AQY62-AQZ62-ARA62-ARB62-ARC62</f>
        <v/>
      </c>
      <c r="ARE62" s="9">
        <f>ARE61+AQQ62-(AQX62+AQY62+AQZ62+ARA62+ARB62+ARC62+AQV62)</f>
        <v/>
      </c>
      <c r="ARF62" s="12">
        <f>IF(AQK62&gt;0,AQL62/AQK62,0)</f>
        <v/>
      </c>
      <c r="ARG62" s="11">
        <f>IF(AQK61&gt;0,MAX(0,(AQK61+APV62-AQK62)/AQK61),0)</f>
        <v/>
      </c>
      <c r="ARI62" s="12" t="n">
        <v>58</v>
      </c>
      <c r="ARJ62" s="12">
        <f>MOD(ARI62-1+LaunchMonth-1,12)+1</f>
        <v/>
      </c>
      <c r="ARK62" s="12">
        <f>INT((ARI62-1+LaunchMonth-1)/12)+1</f>
        <v/>
      </c>
      <c r="ARL62" s="12">
        <f>VLOOKUP(ARJ62,SeasonTable,2,FALSE)</f>
        <v/>
      </c>
      <c r="ARM62" s="12">
        <f>(1+InflationRate)^INT((ARI62-1)/12)</f>
        <v/>
      </c>
      <c r="ARN62" s="11">
        <f>MonthlyChurn*VLOOKUP(ARJ62,ChurnSeasonTable,4,FALSE)</f>
        <v/>
      </c>
      <c r="ARO62" s="12">
        <f>MIN(MAX(MktMin19plus,ASM61*MktPct19plus),MAX(0,ATA61-CashBuffer))</f>
        <v/>
      </c>
      <c r="ARP62" s="12">
        <f>IF(ARO62&gt;0,MAX(1,ROUND(ARO62/'Sens - CAC &amp; Marketing'!$A$14*ARL62,0)),0)</f>
        <v/>
      </c>
      <c r="ARQ62" s="12">
        <f>IF(ARP62&gt;0,ROUND(ARP62*ReferralMix/(1-ReferralMix),0),0)</f>
        <v/>
      </c>
      <c r="ARR62" s="12">
        <f>ARP62+ARQ62</f>
        <v/>
      </c>
      <c r="ARS62" s="12">
        <f>ROUND(ARR62*(1-AnnualMix),0)</f>
        <v/>
      </c>
      <c r="ART62" s="12">
        <f>ARR62-ARS62</f>
        <v/>
      </c>
      <c r="ARU62" s="12">
        <f>ROUND(ARS62*EssentialMix,0)</f>
        <v/>
      </c>
      <c r="ARV62" s="12">
        <f>ROUND(ARS62*PremiumMix,0)</f>
        <v/>
      </c>
      <c r="ARW62" s="12">
        <f>ARS62-ARU62-ARV62</f>
        <v/>
      </c>
      <c r="ARX62" s="12">
        <f>ROUND(ART62*EssentialMix,0)</f>
        <v/>
      </c>
      <c r="ARY62" s="12">
        <f>ROUND(ART62*PremiumMix,0)</f>
        <v/>
      </c>
      <c r="ARZ62" s="12">
        <f>ART62-ARX62-ARY62</f>
        <v/>
      </c>
      <c r="ASA62" s="12">
        <f>ARU62+ARU61+ARU60+MAX(0,ASA61-ARU61-ARU60)*(1-ARN62)</f>
        <v/>
      </c>
      <c r="ASB62" s="12">
        <f>ARV62+ARV61+ARV60+MAX(0,ASB61-ARV61-ARV60)*(1-ARN62)</f>
        <v/>
      </c>
      <c r="ASC62" s="12">
        <f>ARW62+ARW61+ARW60+MAX(0,ASC61-ARW61-ARW60)*(1-ARN62)</f>
        <v/>
      </c>
      <c r="ASD62" s="12">
        <f>ASD61+ARX62-ARX50*(AnnualChurn*VLOOKUP(ARJ62,ChurnSeasonTable,4,FALSE))*POWER(1-(AnnualChurn*VLOOKUP(ARJ62,ChurnSeasonTable,4,FALSE)),0)+ARX38*(AnnualChurn*VLOOKUP(ARJ62,ChurnSeasonTable,4,FALSE))*POWER(1-(AnnualChurn*VLOOKUP(ARJ62,ChurnSeasonTable,4,FALSE)),1)+ARX26*(AnnualChurn*VLOOKUP(ARJ62,ChurnSeasonTable,4,FALSE))*POWER(1-(AnnualChurn*VLOOKUP(ARJ62,ChurnSeasonTable,4,FALSE)),2)+ARX14*(AnnualChurn*VLOOKUP(ARJ62,ChurnSeasonTable,4,FALSE))*POWER(1-(AnnualChurn*VLOOKUP(ARJ62,ChurnSeasonTable,4,FALSE)),3)</f>
        <v/>
      </c>
      <c r="ASE62" s="12">
        <f>ASE61+ARY62-ARY50*(AnnualChurn*VLOOKUP(ARJ62,ChurnSeasonTable,4,FALSE))*POWER(1-(AnnualChurn*VLOOKUP(ARJ62,ChurnSeasonTable,4,FALSE)),0)+ARY38*(AnnualChurn*VLOOKUP(ARJ62,ChurnSeasonTable,4,FALSE))*POWER(1-(AnnualChurn*VLOOKUP(ARJ62,ChurnSeasonTable,4,FALSE)),1)+ARY26*(AnnualChurn*VLOOKUP(ARJ62,ChurnSeasonTable,4,FALSE))*POWER(1-(AnnualChurn*VLOOKUP(ARJ62,ChurnSeasonTable,4,FALSE)),2)+ARY14*(AnnualChurn*VLOOKUP(ARJ62,ChurnSeasonTable,4,FALSE))*POWER(1-(AnnualChurn*VLOOKUP(ARJ62,ChurnSeasonTable,4,FALSE)),3)</f>
        <v/>
      </c>
      <c r="ASF62" s="12">
        <f>ASF61+ARZ62-ARZ50*(AnnualChurn*VLOOKUP(ARJ62,ChurnSeasonTable,4,FALSE))*POWER(1-(AnnualChurn*VLOOKUP(ARJ62,ChurnSeasonTable,4,FALSE)),0)+ARZ38*(AnnualChurn*VLOOKUP(ARJ62,ChurnSeasonTable,4,FALSE))*POWER(1-(AnnualChurn*VLOOKUP(ARJ62,ChurnSeasonTable,4,FALSE)),1)+ARZ26*(AnnualChurn*VLOOKUP(ARJ62,ChurnSeasonTable,4,FALSE))*POWER(1-(AnnualChurn*VLOOKUP(ARJ62,ChurnSeasonTable,4,FALSE)),2)+ARZ14*(AnnualChurn*VLOOKUP(ARJ62,ChurnSeasonTable,4,FALSE))*POWER(1-(AnnualChurn*VLOOKUP(ARJ62,ChurnSeasonTable,4,FALSE)),3)</f>
        <v/>
      </c>
      <c r="ASG62" s="12">
        <f>ASA62+ASB62+ASC62+ASD62+ASE62+ASF62</f>
        <v/>
      </c>
      <c r="ASH62" s="9">
        <f>ASA62*BlendedPriceEssMonthly*ARM62+ASB62*BlendedPricePremMonthly*ARM62+ASC62*BlendedPriceEliteMonthly*ARM62+ASD62*BlendedPriceEssAnnual*ARM62/12+ASE62*BlendedPricePremAnnual*ARM62/12+ASF62*BlendedPriceEliteAnnual*ARM62/12</f>
        <v/>
      </c>
      <c r="ASI62" s="9">
        <f>ASH62*12</f>
        <v/>
      </c>
      <c r="ASJ62" s="12">
        <f>ASA62*BlendedPriceEssMonthly*ARM62+ASB62*BlendedPricePremMonthly*ARM62+ASC62*BlendedPriceEliteMonthly*ARM62</f>
        <v/>
      </c>
      <c r="ASK62" s="12">
        <f>ARX62*BlendedPriceEssAnnual*ARM62+ARY62*BlendedPricePremAnnual*ARM62+ARZ62*BlendedPriceEliteAnnual*ARM62</f>
        <v/>
      </c>
      <c r="ASL62" s="12">
        <f>ARX50*POWER(1-(AnnualChurn*VLOOKUP(ARJ62,ChurnSeasonTable,4,FALSE)),1)*BlendedPriceEssAnnual*ARM62+ARX38*POWER(1-(AnnualChurn*VLOOKUP(ARJ62,ChurnSeasonTable,4,FALSE)),2)*BlendedPriceEssAnnual*ARM62+ARX26*POWER(1-(AnnualChurn*VLOOKUP(ARJ62,ChurnSeasonTable,4,FALSE)),3)*BlendedPriceEssAnnual*ARM62+ARX14*POWER(1-(AnnualChurn*VLOOKUP(ARJ62,ChurnSeasonTable,4,FALSE)),4)*BlendedPriceEssAnnual*ARM62+ARY50*POWER(1-(AnnualChurn*VLOOKUP(ARJ62,ChurnSeasonTable,4,FALSE)),1)*BlendedPricePremAnnual*ARM62+ARY38*POWER(1-(AnnualChurn*VLOOKUP(ARJ62,ChurnSeasonTable,4,FALSE)),2)*BlendedPricePremAnnual*ARM62+ARY26*POWER(1-(AnnualChurn*VLOOKUP(ARJ62,ChurnSeasonTable,4,FALSE)),3)*BlendedPricePremAnnual*ARM62+ARY14*POWER(1-(AnnualChurn*VLOOKUP(ARJ62,ChurnSeasonTable,4,FALSE)),4)*BlendedPricePremAnnual*ARM62+ARZ50*POWER(1-(AnnualChurn*VLOOKUP(ARJ62,ChurnSeasonTable,4,FALSE)),1)*BlendedPriceEliteAnnual*ARM62+ARZ38*POWER(1-(AnnualChurn*VLOOKUP(ARJ62,ChurnSeasonTable,4,FALSE)),2)*BlendedPriceEliteAnnual*ARM62+ARZ26*POWER(1-(AnnualChurn*VLOOKUP(ARJ62,ChurnSeasonTable,4,FALSE)),3)*BlendedPriceEliteAnnual*ARM62+ARZ14*POWER(1-(AnnualChurn*VLOOKUP(ARJ62,ChurnSeasonTable,4,FALSE)),4)*BlendedPriceEliteAnnual*ARM62</f>
        <v/>
      </c>
      <c r="ASM62" s="9">
        <f>ASJ62+ASK62+ASL62</f>
        <v/>
      </c>
      <c r="ASN62" s="12">
        <f>SUM(ASM51:ASM62)</f>
        <v/>
      </c>
      <c r="ASO62" s="12">
        <f>OR(ASO61,IF(VATAgentMode,SUM($ASM51:$ASM62)-SUM($AST51:$AST62)&gt;=VATThreshold,SUM($ASM51:$ASM62)&gt;=VATThreshold))</f>
        <v/>
      </c>
      <c r="ASP62" s="9">
        <f>IF(ASO62,IF(VATAgentMode,ASM62-((ASM62-AST62)-(ASM62-AST62)/(1+VATRate)),ASM62/(1+VATRate)),ASM62)</f>
        <v/>
      </c>
      <c r="ASQ62" s="12">
        <f>ASM62-ASP62</f>
        <v/>
      </c>
      <c r="ASR62" s="12">
        <f>IF(ASO62=0,0,IF(ARJ62=1,SUMPRODUCT(--(($ARK$5:$ARK62=$ARK62-1)*($ARJ$5:$ARJ62&gt;=10)*($ARJ$5:$ARJ62&lt;=12)),$ASQ$5:$ASQ62),IF(ARJ62=4,SUMPRODUCT(--(($ARK$5:$ARK62=$ARK62)*($ARJ$5:$ARJ62&gt;=1)*($ARJ$5:$ARJ62&lt;=3)),$ASQ$5:$ASQ62),IF(ARJ62=7,SUMPRODUCT(--(($ARK$5:$ARK62=$ARK62)*($ARJ$5:$ARJ62&gt;=4)*($ARJ$5:$ARJ62&lt;=6)),$ASQ$5:$ASQ62),IF(ARJ62=10,SUMPRODUCT(--(($ARK$5:$ARK62=$ARK62)*($ARJ$5:$ARJ62&gt;=7)*($ARJ$5:$ARJ62&lt;=9)),$ASQ$5:$ASQ62),0)))))</f>
        <v/>
      </c>
      <c r="ASS62" s="12">
        <f>ASS61+ASQ62-ASR62</f>
        <v/>
      </c>
      <c r="AST62" s="12">
        <f>IF(ProviderDelay&gt;=1,ASA61*BlendedProvPayEss+ASB61*BlendedProvPayPrem+ASC61*BlendedProvPayElite+ASD61*BlendedProvPayEss+ASE61*BlendedProvPayPrem+ASF61*BlendedProvPayElite,ASA62*BlendedProvPayEss+ASB62*BlendedProvPayPrem+ASC62*BlendedProvPayElite+ASD62*BlendedProvPayEss+ASE62*BlendedProvPayPrem+ASF62*BlendedProvPayElite)</f>
        <v/>
      </c>
      <c r="ASU62" s="12">
        <f>ASM62*PaymentFee</f>
        <v/>
      </c>
      <c r="ASV62" s="12">
        <f>ASG62*OpsAI</f>
        <v/>
      </c>
      <c r="ASW62" s="12">
        <f>MonthlyFixed</f>
        <v/>
      </c>
      <c r="ASX62" s="12">
        <f>ARQ62*ReferralReward</f>
        <v/>
      </c>
      <c r="ASY62" s="12">
        <f>ARO62</f>
        <v/>
      </c>
      <c r="ASZ62" s="9">
        <f>ASP62-AST62-ASU62-ASV62-ASW62-ASX62-ASY62</f>
        <v/>
      </c>
      <c r="ATA62" s="9">
        <f>ATA61+ASM62-(AST62+ASU62+ASV62+ASW62+ASX62+ASY62+ASR62)</f>
        <v/>
      </c>
      <c r="ATB62" s="12">
        <f>IF(ASG62&gt;0,ASH62/ASG62,0)</f>
        <v/>
      </c>
      <c r="ATC62" s="11">
        <f>IF(ASG61&gt;0,MAX(0,(ASG61+ARR62-ASG62)/ASG61),0)</f>
        <v/>
      </c>
      <c r="ATE62" s="12" t="n">
        <v>58</v>
      </c>
      <c r="ATF62" s="12">
        <f>MOD(ATE62-1+LaunchMonth-1,12)+1</f>
        <v/>
      </c>
      <c r="ATG62" s="12">
        <f>INT((ATE62-1+LaunchMonth-1)/12)+1</f>
        <v/>
      </c>
      <c r="ATH62" s="12">
        <f>VLOOKUP(ATF62,SeasonTable,2,FALSE)</f>
        <v/>
      </c>
      <c r="ATI62" s="12">
        <f>(1+InflationRate)^INT((ATE62-1)/12)</f>
        <v/>
      </c>
      <c r="ATJ62" s="11">
        <f>MonthlyChurn*VLOOKUP(ATF62,ChurnSeasonTable,4,FALSE)</f>
        <v/>
      </c>
      <c r="ATK62" s="12">
        <f>MIN(MAX(MktMin19plus,AUI61*MktPct19plus),MAX(0,AUW61-CashBuffer))</f>
        <v/>
      </c>
      <c r="ATL62" s="12">
        <f>IF(ATK62&gt;0,MAX(1,ROUND(ATK62/'Sens - CAC &amp; Marketing'!$A$15*ATH62,0)),0)</f>
        <v/>
      </c>
      <c r="ATM62" s="12">
        <f>IF(ATL62&gt;0,ROUND(ATL62*ReferralMix/(1-ReferralMix),0),0)</f>
        <v/>
      </c>
      <c r="ATN62" s="12">
        <f>ATL62+ATM62</f>
        <v/>
      </c>
      <c r="ATO62" s="12">
        <f>ROUND(ATN62*(1-AnnualMix),0)</f>
        <v/>
      </c>
      <c r="ATP62" s="12">
        <f>ATN62-ATO62</f>
        <v/>
      </c>
      <c r="ATQ62" s="12">
        <f>ROUND(ATO62*EssentialMix,0)</f>
        <v/>
      </c>
      <c r="ATR62" s="12">
        <f>ROUND(ATO62*PremiumMix,0)</f>
        <v/>
      </c>
      <c r="ATS62" s="12">
        <f>ATO62-ATQ62-ATR62</f>
        <v/>
      </c>
      <c r="ATT62" s="12">
        <f>ROUND(ATP62*EssentialMix,0)</f>
        <v/>
      </c>
      <c r="ATU62" s="12">
        <f>ROUND(ATP62*PremiumMix,0)</f>
        <v/>
      </c>
      <c r="ATV62" s="12">
        <f>ATP62-ATT62-ATU62</f>
        <v/>
      </c>
      <c r="ATW62" s="12">
        <f>ATQ62+ATQ61+ATQ60+MAX(0,ATW61-ATQ61-ATQ60)*(1-ATJ62)</f>
        <v/>
      </c>
      <c r="ATX62" s="12">
        <f>ATR62+ATR61+ATR60+MAX(0,ATX61-ATR61-ATR60)*(1-ATJ62)</f>
        <v/>
      </c>
      <c r="ATY62" s="12">
        <f>ATS62+ATS61+ATS60+MAX(0,ATY61-ATS61-ATS60)*(1-ATJ62)</f>
        <v/>
      </c>
      <c r="ATZ62" s="12">
        <f>ATZ61+ATT62-ATT50*(AnnualChurn*VLOOKUP(ATF62,ChurnSeasonTable,4,FALSE))*POWER(1-(AnnualChurn*VLOOKUP(ATF62,ChurnSeasonTable,4,FALSE)),0)+ATT38*(AnnualChurn*VLOOKUP(ATF62,ChurnSeasonTable,4,FALSE))*POWER(1-(AnnualChurn*VLOOKUP(ATF62,ChurnSeasonTable,4,FALSE)),1)+ATT26*(AnnualChurn*VLOOKUP(ATF62,ChurnSeasonTable,4,FALSE))*POWER(1-(AnnualChurn*VLOOKUP(ATF62,ChurnSeasonTable,4,FALSE)),2)+ATT14*(AnnualChurn*VLOOKUP(ATF62,ChurnSeasonTable,4,FALSE))*POWER(1-(AnnualChurn*VLOOKUP(ATF62,ChurnSeasonTable,4,FALSE)),3)</f>
        <v/>
      </c>
      <c r="AUA62" s="12">
        <f>AUA61+ATU62-ATU50*(AnnualChurn*VLOOKUP(ATF62,ChurnSeasonTable,4,FALSE))*POWER(1-(AnnualChurn*VLOOKUP(ATF62,ChurnSeasonTable,4,FALSE)),0)+ATU38*(AnnualChurn*VLOOKUP(ATF62,ChurnSeasonTable,4,FALSE))*POWER(1-(AnnualChurn*VLOOKUP(ATF62,ChurnSeasonTable,4,FALSE)),1)+ATU26*(AnnualChurn*VLOOKUP(ATF62,ChurnSeasonTable,4,FALSE))*POWER(1-(AnnualChurn*VLOOKUP(ATF62,ChurnSeasonTable,4,FALSE)),2)+ATU14*(AnnualChurn*VLOOKUP(ATF62,ChurnSeasonTable,4,FALSE))*POWER(1-(AnnualChurn*VLOOKUP(ATF62,ChurnSeasonTable,4,FALSE)),3)</f>
        <v/>
      </c>
      <c r="AUB62" s="12">
        <f>AUB61+ATV62-ATV50*(AnnualChurn*VLOOKUP(ATF62,ChurnSeasonTable,4,FALSE))*POWER(1-(AnnualChurn*VLOOKUP(ATF62,ChurnSeasonTable,4,FALSE)),0)+ATV38*(AnnualChurn*VLOOKUP(ATF62,ChurnSeasonTable,4,FALSE))*POWER(1-(AnnualChurn*VLOOKUP(ATF62,ChurnSeasonTable,4,FALSE)),1)+ATV26*(AnnualChurn*VLOOKUP(ATF62,ChurnSeasonTable,4,FALSE))*POWER(1-(AnnualChurn*VLOOKUP(ATF62,ChurnSeasonTable,4,FALSE)),2)+ATV14*(AnnualChurn*VLOOKUP(ATF62,ChurnSeasonTable,4,FALSE))*POWER(1-(AnnualChurn*VLOOKUP(ATF62,ChurnSeasonTable,4,FALSE)),3)</f>
        <v/>
      </c>
      <c r="AUC62" s="12">
        <f>ATW62+ATX62+ATY62+ATZ62+AUA62+AUB62</f>
        <v/>
      </c>
      <c r="AUD62" s="9">
        <f>ATW62*BlendedPriceEssMonthly*ATI62+ATX62*BlendedPricePremMonthly*ATI62+ATY62*BlendedPriceEliteMonthly*ATI62+ATZ62*BlendedPriceEssAnnual*ATI62/12+AUA62*BlendedPricePremAnnual*ATI62/12+AUB62*BlendedPriceEliteAnnual*ATI62/12</f>
        <v/>
      </c>
      <c r="AUE62" s="9">
        <f>AUD62*12</f>
        <v/>
      </c>
      <c r="AUF62" s="12">
        <f>ATW62*BlendedPriceEssMonthly*ATI62+ATX62*BlendedPricePremMonthly*ATI62+ATY62*BlendedPriceEliteMonthly*ATI62</f>
        <v/>
      </c>
      <c r="AUG62" s="12">
        <f>ATT62*BlendedPriceEssAnnual*ATI62+ATU62*BlendedPricePremAnnual*ATI62+ATV62*BlendedPriceEliteAnnual*ATI62</f>
        <v/>
      </c>
      <c r="AUH62" s="12">
        <f>ATT50*POWER(1-(AnnualChurn*VLOOKUP(ATF62,ChurnSeasonTable,4,FALSE)),1)*BlendedPriceEssAnnual*ATI62+ATT38*POWER(1-(AnnualChurn*VLOOKUP(ATF62,ChurnSeasonTable,4,FALSE)),2)*BlendedPriceEssAnnual*ATI62+ATT26*POWER(1-(AnnualChurn*VLOOKUP(ATF62,ChurnSeasonTable,4,FALSE)),3)*BlendedPriceEssAnnual*ATI62+ATT14*POWER(1-(AnnualChurn*VLOOKUP(ATF62,ChurnSeasonTable,4,FALSE)),4)*BlendedPriceEssAnnual*ATI62+ATU50*POWER(1-(AnnualChurn*VLOOKUP(ATF62,ChurnSeasonTable,4,FALSE)),1)*BlendedPricePremAnnual*ATI62+ATU38*POWER(1-(AnnualChurn*VLOOKUP(ATF62,ChurnSeasonTable,4,FALSE)),2)*BlendedPricePremAnnual*ATI62+ATU26*POWER(1-(AnnualChurn*VLOOKUP(ATF62,ChurnSeasonTable,4,FALSE)),3)*BlendedPricePremAnnual*ATI62+ATU14*POWER(1-(AnnualChurn*VLOOKUP(ATF62,ChurnSeasonTable,4,FALSE)),4)*BlendedPricePremAnnual*ATI62+ATV50*POWER(1-(AnnualChurn*VLOOKUP(ATF62,ChurnSeasonTable,4,FALSE)),1)*BlendedPriceEliteAnnual*ATI62+ATV38*POWER(1-(AnnualChurn*VLOOKUP(ATF62,ChurnSeasonTable,4,FALSE)),2)*BlendedPriceEliteAnnual*ATI62+ATV26*POWER(1-(AnnualChurn*VLOOKUP(ATF62,ChurnSeasonTable,4,FALSE)),3)*BlendedPriceEliteAnnual*ATI62+ATV14*POWER(1-(AnnualChurn*VLOOKUP(ATF62,ChurnSeasonTable,4,FALSE)),4)*BlendedPriceEliteAnnual*ATI62</f>
        <v/>
      </c>
      <c r="AUI62" s="9">
        <f>AUF62+AUG62+AUH62</f>
        <v/>
      </c>
      <c r="AUJ62" s="12">
        <f>SUM(AUI51:AUI62)</f>
        <v/>
      </c>
      <c r="AUK62" s="12">
        <f>OR(AUK61,IF(VATAgentMode,SUM($AUI51:$AUI62)-SUM($AUP51:$AUP62)&gt;=VATThreshold,SUM($AUI51:$AUI62)&gt;=VATThreshold))</f>
        <v/>
      </c>
      <c r="AUL62" s="9">
        <f>IF(AUK62,IF(VATAgentMode,AUI62-((AUI62-AUP62)-(AUI62-AUP62)/(1+VATRate)),AUI62/(1+VATRate)),AUI62)</f>
        <v/>
      </c>
      <c r="AUM62" s="12">
        <f>AUI62-AUL62</f>
        <v/>
      </c>
      <c r="AUN62" s="12">
        <f>IF(AUK62=0,0,IF(ATF62=1,SUMPRODUCT(--(($ATG$5:$ATG62=$ATG62-1)*($ATF$5:$ATF62&gt;=10)*($ATF$5:$ATF62&lt;=12)),$AUM$5:$AUM62),IF(ATF62=4,SUMPRODUCT(--(($ATG$5:$ATG62=$ATG62)*($ATF$5:$ATF62&gt;=1)*($ATF$5:$ATF62&lt;=3)),$AUM$5:$AUM62),IF(ATF62=7,SUMPRODUCT(--(($ATG$5:$ATG62=$ATG62)*($ATF$5:$ATF62&gt;=4)*($ATF$5:$ATF62&lt;=6)),$AUM$5:$AUM62),IF(ATF62=10,SUMPRODUCT(--(($ATG$5:$ATG62=$ATG62)*($ATF$5:$ATF62&gt;=7)*($ATF$5:$ATF62&lt;=9)),$AUM$5:$AUM62),0)))))</f>
        <v/>
      </c>
      <c r="AUO62" s="12">
        <f>AUO61+AUM62-AUN62</f>
        <v/>
      </c>
      <c r="AUP62" s="12">
        <f>IF(ProviderDelay&gt;=1,ATW61*BlendedProvPayEss+ATX61*BlendedProvPayPrem+ATY61*BlendedProvPayElite+ATZ61*BlendedProvPayEss+AUA61*BlendedProvPayPrem+AUB61*BlendedProvPayElite,ATW62*BlendedProvPayEss+ATX62*BlendedProvPayPrem+ATY62*BlendedProvPayElite+ATZ62*BlendedProvPayEss+AUA62*BlendedProvPayPrem+AUB62*BlendedProvPayElite)</f>
        <v/>
      </c>
      <c r="AUQ62" s="12">
        <f>AUI62*PaymentFee</f>
        <v/>
      </c>
      <c r="AUR62" s="12">
        <f>AUC62*OpsAI</f>
        <v/>
      </c>
      <c r="AUS62" s="12">
        <f>MonthlyFixed</f>
        <v/>
      </c>
      <c r="AUT62" s="12">
        <f>ATM62*ReferralReward</f>
        <v/>
      </c>
      <c r="AUU62" s="12">
        <f>ATK62</f>
        <v/>
      </c>
      <c r="AUV62" s="9">
        <f>AUL62-AUP62-AUQ62-AUR62-AUS62-AUT62-AUU62</f>
        <v/>
      </c>
      <c r="AUW62" s="9">
        <f>AUW61+AUI62-(AUP62+AUQ62+AUR62+AUS62+AUT62+AUU62+AUN62)</f>
        <v/>
      </c>
      <c r="AUX62" s="12">
        <f>IF(AUC62&gt;0,AUD62/AUC62,0)</f>
        <v/>
      </c>
      <c r="AUY62" s="11">
        <f>IF(AUC61&gt;0,MAX(0,(AUC61+ATN62-AUC62)/AUC61),0)</f>
        <v/>
      </c>
      <c r="AVA62" s="12" t="n">
        <v>58</v>
      </c>
      <c r="AVB62" s="12">
        <f>MOD(AVA62-1+LaunchMonth-1,12)+1</f>
        <v/>
      </c>
      <c r="AVC62" s="12">
        <f>INT((AVA62-1+LaunchMonth-1)/12)+1</f>
        <v/>
      </c>
      <c r="AVD62" s="12">
        <f>VLOOKUP(AVB62,WinterPivotSeasonTable,5,FALSE)</f>
        <v/>
      </c>
      <c r="AVE62" s="12">
        <f>(1+InflationRate)^INT((AVA62-1)/12)</f>
        <v/>
      </c>
      <c r="AVF62" s="11">
        <f>MonthlyChurn*VLOOKUP(AVB62,WinterPivotChurnTable,6,FALSE)</f>
        <v/>
      </c>
      <c r="AVG62" s="12">
        <f>MIN(MAX(MktMin19plus,AWE61*MktPct19plus),MAX(0,AWS61-CashBuffer))</f>
        <v/>
      </c>
      <c r="AVH62" s="12">
        <f>IF(AVG62&gt;0,MAX(1,ROUND(AVG62/CAC*AVD62,0)),0)</f>
        <v/>
      </c>
      <c r="AVI62" s="12">
        <f>IF(AVH62&gt;0,ROUND(AVH62*ReferralMix/(1-ReferralMix),0),0)</f>
        <v/>
      </c>
      <c r="AVJ62" s="12">
        <f>AVH62+AVI62</f>
        <v/>
      </c>
      <c r="AVK62" s="12">
        <f>ROUND(AVJ62*(1-AnnualMix),0)</f>
        <v/>
      </c>
      <c r="AVL62" s="12">
        <f>AVJ62-AVK62</f>
        <v/>
      </c>
      <c r="AVM62" s="12">
        <f>ROUND(AVK62*'Sens - Winter Pivot'!$B$6,0)</f>
        <v/>
      </c>
      <c r="AVN62" s="12">
        <f>ROUND(AVK62*PremiumMix,0)</f>
        <v/>
      </c>
      <c r="AVO62" s="12">
        <f>AVK62-AVM62-AVN62</f>
        <v/>
      </c>
      <c r="AVP62" s="12">
        <f>ROUND(AVL62*'Sens - Winter Pivot'!$B$6,0)</f>
        <v/>
      </c>
      <c r="AVQ62" s="12">
        <f>ROUND(AVL62*PremiumMix,0)</f>
        <v/>
      </c>
      <c r="AVR62" s="12">
        <f>AVL62-AVP62-AVQ62</f>
        <v/>
      </c>
      <c r="AVS62" s="12">
        <f>AVM62+AVM61+AVM60+MAX(0,AVS61-AVM61-AVM60)*(1-AVF62)</f>
        <v/>
      </c>
      <c r="AVT62" s="12">
        <f>AVN62+AVN61+AVN60+MAX(0,AVT61-AVN61-AVN60)*(1-AVF62)</f>
        <v/>
      </c>
      <c r="AVU62" s="12">
        <f>AVO62+AVO61+AVO60+MAX(0,AVU61-AVO61-AVO60)*(1-AVF62)</f>
        <v/>
      </c>
      <c r="AVV62" s="12">
        <f>AVV61+AVP62-AVP50*(AnnualChurn*VLOOKUP(AVB62,ChurnSeasonTable,4,FALSE))*POWER(1-(AnnualChurn*VLOOKUP(AVB62,ChurnSeasonTable,4,FALSE)),0)+AVP38*(AnnualChurn*VLOOKUP(AVB62,ChurnSeasonTable,4,FALSE))*POWER(1-(AnnualChurn*VLOOKUP(AVB62,ChurnSeasonTable,4,FALSE)),1)+AVP26*(AnnualChurn*VLOOKUP(AVB62,ChurnSeasonTable,4,FALSE))*POWER(1-(AnnualChurn*VLOOKUP(AVB62,ChurnSeasonTable,4,FALSE)),2)+AVP14*(AnnualChurn*VLOOKUP(AVB62,ChurnSeasonTable,4,FALSE))*POWER(1-(AnnualChurn*VLOOKUP(AVB62,ChurnSeasonTable,4,FALSE)),3)</f>
        <v/>
      </c>
      <c r="AVW62" s="12">
        <f>AVW61+AVQ62-AVQ50*(AnnualChurn*VLOOKUP(AVB62,ChurnSeasonTable,4,FALSE))*POWER(1-(AnnualChurn*VLOOKUP(AVB62,ChurnSeasonTable,4,FALSE)),0)+AVQ38*(AnnualChurn*VLOOKUP(AVB62,ChurnSeasonTable,4,FALSE))*POWER(1-(AnnualChurn*VLOOKUP(AVB62,ChurnSeasonTable,4,FALSE)),1)+AVQ26*(AnnualChurn*VLOOKUP(AVB62,ChurnSeasonTable,4,FALSE))*POWER(1-(AnnualChurn*VLOOKUP(AVB62,ChurnSeasonTable,4,FALSE)),2)+AVQ14*(AnnualChurn*VLOOKUP(AVB62,ChurnSeasonTable,4,FALSE))*POWER(1-(AnnualChurn*VLOOKUP(AVB62,ChurnSeasonTable,4,FALSE)),3)</f>
        <v/>
      </c>
      <c r="AVX62" s="12">
        <f>AVX61+AVR62-AVR50*(AnnualChurn*VLOOKUP(AVB62,ChurnSeasonTable,4,FALSE))*POWER(1-(AnnualChurn*VLOOKUP(AVB62,ChurnSeasonTable,4,FALSE)),0)+AVR38*(AnnualChurn*VLOOKUP(AVB62,ChurnSeasonTable,4,FALSE))*POWER(1-(AnnualChurn*VLOOKUP(AVB62,ChurnSeasonTable,4,FALSE)),1)+AVR26*(AnnualChurn*VLOOKUP(AVB62,ChurnSeasonTable,4,FALSE))*POWER(1-(AnnualChurn*VLOOKUP(AVB62,ChurnSeasonTable,4,FALSE)),2)+AVR14*(AnnualChurn*VLOOKUP(AVB62,ChurnSeasonTable,4,FALSE))*POWER(1-(AnnualChurn*VLOOKUP(AVB62,ChurnSeasonTable,4,FALSE)),3)</f>
        <v/>
      </c>
      <c r="AVY62" s="12">
        <f>AVS62+AVT62+AVU62+AVV62+AVW62+AVX62</f>
        <v/>
      </c>
      <c r="AVZ62" s="9">
        <f>AVS62*BlendedPriceEssMonthly*AVE62+AVT62*(BlendedPricePremMonthly+'Sens - Winter Pivot'!$B$7)*AVE62+AVU62*BlendedPriceEliteMonthly*AVE62+AVV62*BlendedPriceEssAnnual*AVE62/12+AVW62*(BlendedPricePremAnnual+'Sens - Winter Pivot'!$B$7*12)*AVE62/12+AVX62*BlendedPriceEliteAnnual*AVE62/12</f>
        <v/>
      </c>
      <c r="AWA62" s="9">
        <f>AVZ62*12</f>
        <v/>
      </c>
      <c r="AWB62" s="12">
        <f>AVS62*BlendedPriceEssMonthly*AVE62+AVT62*(BlendedPricePremMonthly+'Sens - Winter Pivot'!$B$7)*AVE62+AVU62*BlendedPriceEliteMonthly*AVE62</f>
        <v/>
      </c>
      <c r="AWC62" s="12">
        <f>AVP62*BlendedPriceEssAnnual*AVE62+AVQ62*(BlendedPricePremAnnual+'Sens - Winter Pivot'!$B$7*12)*AVE62+AVR62*BlendedPriceEliteAnnual*AVE62</f>
        <v/>
      </c>
      <c r="AWD62" s="12">
        <f>AVP50*POWER(1-(AnnualChurn*VLOOKUP(AVB62,ChurnSeasonTable,4,FALSE)),1)*BlendedPriceEssAnnual*AVE62+AVP38*POWER(1-(AnnualChurn*VLOOKUP(AVB62,ChurnSeasonTable,4,FALSE)),2)*BlendedPriceEssAnnual*AVE62+AVP26*POWER(1-(AnnualChurn*VLOOKUP(AVB62,ChurnSeasonTable,4,FALSE)),3)*BlendedPriceEssAnnual*AVE62+AVP14*POWER(1-(AnnualChurn*VLOOKUP(AVB62,ChurnSeasonTable,4,FALSE)),4)*BlendedPriceEssAnnual*AVE62+AVQ50*POWER(1-(AnnualChurn*VLOOKUP(AVB62,ChurnSeasonTable,4,FALSE)),1)*BlendedPricePremAnnual*AVE62+AVQ38*POWER(1-(AnnualChurn*VLOOKUP(AVB62,ChurnSeasonTable,4,FALSE)),2)*BlendedPricePremAnnual*AVE62+AVQ26*POWER(1-(AnnualChurn*VLOOKUP(AVB62,ChurnSeasonTable,4,FALSE)),3)*BlendedPricePremAnnual*AVE62+AVQ14*POWER(1-(AnnualChurn*VLOOKUP(AVB62,ChurnSeasonTable,4,FALSE)),4)*BlendedPricePremAnnual*AVE62+AVR50*POWER(1-(AnnualChurn*VLOOKUP(AVB62,ChurnSeasonTable,4,FALSE)),1)*BlendedPriceEliteAnnual*AVE62+AVR38*POWER(1-(AnnualChurn*VLOOKUP(AVB62,ChurnSeasonTable,4,FALSE)),2)*BlendedPriceEliteAnnual*AVE62+AVR26*POWER(1-(AnnualChurn*VLOOKUP(AVB62,ChurnSeasonTable,4,FALSE)),3)*BlendedPriceEliteAnnual*AVE62+AVR14*POWER(1-(AnnualChurn*VLOOKUP(AVB62,ChurnSeasonTable,4,FALSE)),4)*BlendedPriceEliteAnnual*AVE62</f>
        <v/>
      </c>
      <c r="AWE62" s="9">
        <f>AWB62+AWC62+AWD62</f>
        <v/>
      </c>
      <c r="AWF62" s="12">
        <f>SUM(AWE51:AWE62)</f>
        <v/>
      </c>
      <c r="AWG62" s="12">
        <f>OR(AWG61,IF(VATAgentMode,SUM($AWE51:$AWE62)-SUM($AWL51:$AWL62)&gt;=VATThreshold,SUM($AWE51:$AWE62)&gt;=VATThreshold))</f>
        <v/>
      </c>
      <c r="AWH62" s="9">
        <f>IF(AWG62,IF(VATAgentMode,AWE62-((AWE62-AWL62)-(AWE62-AWL62)/(1+VATRate)),AWE62/(1+VATRate)),AWE62)</f>
        <v/>
      </c>
      <c r="AWI62" s="12">
        <f>AWE62-AWH62</f>
        <v/>
      </c>
      <c r="AWJ62" s="12">
        <f>IF(AWG62=0,0,IF(AVB62=1,SUMPRODUCT(--(($AVC$5:$AVC62=$AVC62-1)*($AVB$5:$AVB62&gt;=10)*($AVB$5:$AVB62&lt;=12)),$AWI$5:$AWI62),IF(AVB62=4,SUMPRODUCT(--(($AVC$5:$AVC62=$AVC62)*($AVB$5:$AVB62&gt;=1)*($AVB$5:$AVB62&lt;=3)),$AWI$5:$AWI62),IF(AVB62=7,SUMPRODUCT(--(($AVC$5:$AVC62=$AVC62)*($AVB$5:$AVB62&gt;=4)*($AVB$5:$AVB62&lt;=6)),$AWI$5:$AWI62),IF(AVB62=10,SUMPRODUCT(--(($AVC$5:$AVC62=$AVC62)*($AVB$5:$AVB62&gt;=7)*($AVB$5:$AVB62&lt;=9)),$AWI$5:$AWI62),0)))))</f>
        <v/>
      </c>
      <c r="AWK62" s="12">
        <f>AWK61+AWI62-AWJ62</f>
        <v/>
      </c>
      <c r="AWL62" s="12">
        <f>IF(ProviderDelay&gt;=1,AVS61*BlendedProvPayEss+AVT61*BlendedProvPayPrem+AVU61*BlendedProvPayElite+AVV61*BlendedProvPayEss+AVW61*BlendedProvPayPrem+AVX61*BlendedProvPayElite,AVS62*BlendedProvPayEss+AVT62*BlendedProvPayPrem+AVU62*BlendedProvPayElite+AVV62*BlendedProvPayEss+AVW62*BlendedProvPayPrem+AVX62*BlendedProvPayElite)</f>
        <v/>
      </c>
      <c r="AWM62" s="12">
        <f>AWE62*PaymentFee</f>
        <v/>
      </c>
      <c r="AWN62" s="12">
        <f>AVY62*OpsAI</f>
        <v/>
      </c>
      <c r="AWO62" s="12">
        <f>MonthlyFixed</f>
        <v/>
      </c>
      <c r="AWP62" s="12">
        <f>AVI62*ReferralReward</f>
        <v/>
      </c>
      <c r="AWQ62" s="12">
        <f>AVG62</f>
        <v/>
      </c>
      <c r="AWR62" s="9">
        <f>AWH62-AWL62-AWM62-AWN62-AWO62-AWP62-AWQ62</f>
        <v/>
      </c>
      <c r="AWS62" s="9">
        <f>AWS61+AWE62-(AWL62+AWM62+AWN62+AWO62+AWP62+AWQ62+AWJ62)</f>
        <v/>
      </c>
      <c r="AWT62" s="12">
        <f>IF(AVY62&gt;0,AVZ62/AVY62,0)</f>
        <v/>
      </c>
      <c r="AWU62" s="11">
        <f>IF(AVY61&gt;0,MAX(0,(AVY61+AVJ62-AVY62)/AVY61),0)</f>
        <v/>
      </c>
    </row>
    <row r="63">
      <c r="A63" s="12" t="n">
        <v>59</v>
      </c>
      <c r="B63" s="12">
        <f>MOD(A63-1+LaunchMonth-1,12)+1</f>
        <v/>
      </c>
      <c r="C63" s="12">
        <f>INT((A63-1+LaunchMonth-1)/12)+1</f>
        <v/>
      </c>
      <c r="D63" s="12">
        <f>VLOOKUP(B63,SeasonTable,2,FALSE)</f>
        <v/>
      </c>
      <c r="E63" s="12">
        <f>(1+InflationRate)^INT((A63-1)/12)</f>
        <v/>
      </c>
      <c r="F63" s="11">
        <f>'Sens - Scenarios'!$B$5*VLOOKUP(B63,ChurnSeasonTable,4,FALSE)</f>
        <v/>
      </c>
      <c r="G63" s="12">
        <f>MIN(MAX(MktMin19plus,AE62*MktPct19plus),MAX(0,AS62-CashBuffer))</f>
        <v/>
      </c>
      <c r="H63" s="12">
        <f>IF(G63&gt;0,MAX(1,ROUND(G63/'Sens - Scenarios'!$B$8*D63,0)),0)</f>
        <v/>
      </c>
      <c r="I63" s="12">
        <f>IF(H63&gt;0,ROUND(H63*ReferralMix/(1-ReferralMix),0),0)</f>
        <v/>
      </c>
      <c r="J63" s="12">
        <f>H63+I63</f>
        <v/>
      </c>
      <c r="K63" s="12">
        <f>ROUND(J63*(1-'Sens - Scenarios'!$B$7),0)</f>
        <v/>
      </c>
      <c r="L63" s="12">
        <f>J63-K63</f>
        <v/>
      </c>
      <c r="M63" s="12">
        <f>ROUND(K63*EssentialMix,0)</f>
        <v/>
      </c>
      <c r="N63" s="12">
        <f>ROUND(K63*PremiumMix,0)</f>
        <v/>
      </c>
      <c r="O63" s="12">
        <f>K63-M63-N63</f>
        <v/>
      </c>
      <c r="P63" s="12">
        <f>ROUND(L63*EssentialMix,0)</f>
        <v/>
      </c>
      <c r="Q63" s="12">
        <f>ROUND(L63*PremiumMix,0)</f>
        <v/>
      </c>
      <c r="R63" s="12">
        <f>L63-P63-Q63</f>
        <v/>
      </c>
      <c r="S63" s="12">
        <f>M63+M62+M61+MAX(0,S62-M62-M61)*(1-F63)</f>
        <v/>
      </c>
      <c r="T63" s="12">
        <f>N63+N62+N61+MAX(0,T62-N62-N61)*(1-F63)</f>
        <v/>
      </c>
      <c r="U63" s="12">
        <f>O63+O62+O61+MAX(0,U62-O62-O61)*(1-F63)</f>
        <v/>
      </c>
      <c r="V63" s="12">
        <f>V62+P63-P51*('Sens - Scenarios'!$B$6*VLOOKUP(B63,ChurnSeasonTable,4,FALSE))*POWER(1-('Sens - Scenarios'!$B$6*VLOOKUP(B63,ChurnSeasonTable,4,FALSE)),0)+P39*('Sens - Scenarios'!$B$6*VLOOKUP(B63,ChurnSeasonTable,4,FALSE))*POWER(1-('Sens - Scenarios'!$B$6*VLOOKUP(B63,ChurnSeasonTable,4,FALSE)),1)+P27*('Sens - Scenarios'!$B$6*VLOOKUP(B63,ChurnSeasonTable,4,FALSE))*POWER(1-('Sens - Scenarios'!$B$6*VLOOKUP(B63,ChurnSeasonTable,4,FALSE)),2)+P15*('Sens - Scenarios'!$B$6*VLOOKUP(B63,ChurnSeasonTable,4,FALSE))*POWER(1-('Sens - Scenarios'!$B$6*VLOOKUP(B63,ChurnSeasonTable,4,FALSE)),3)</f>
        <v/>
      </c>
      <c r="W63" s="12">
        <f>W62+Q63-Q51*('Sens - Scenarios'!$B$6*VLOOKUP(B63,ChurnSeasonTable,4,FALSE))*POWER(1-('Sens - Scenarios'!$B$6*VLOOKUP(B63,ChurnSeasonTable,4,FALSE)),0)+Q39*('Sens - Scenarios'!$B$6*VLOOKUP(B63,ChurnSeasonTable,4,FALSE))*POWER(1-('Sens - Scenarios'!$B$6*VLOOKUP(B63,ChurnSeasonTable,4,FALSE)),1)+Q27*('Sens - Scenarios'!$B$6*VLOOKUP(B63,ChurnSeasonTable,4,FALSE))*POWER(1-('Sens - Scenarios'!$B$6*VLOOKUP(B63,ChurnSeasonTable,4,FALSE)),2)+Q15*('Sens - Scenarios'!$B$6*VLOOKUP(B63,ChurnSeasonTable,4,FALSE))*POWER(1-('Sens - Scenarios'!$B$6*VLOOKUP(B63,ChurnSeasonTable,4,FALSE)),3)</f>
        <v/>
      </c>
      <c r="X63" s="12">
        <f>X62+R63-R51*('Sens - Scenarios'!$B$6*VLOOKUP(B63,ChurnSeasonTable,4,FALSE))*POWER(1-('Sens - Scenarios'!$B$6*VLOOKUP(B63,ChurnSeasonTable,4,FALSE)),0)+R39*('Sens - Scenarios'!$B$6*VLOOKUP(B63,ChurnSeasonTable,4,FALSE))*POWER(1-('Sens - Scenarios'!$B$6*VLOOKUP(B63,ChurnSeasonTable,4,FALSE)),1)+R27*('Sens - Scenarios'!$B$6*VLOOKUP(B63,ChurnSeasonTable,4,FALSE))*POWER(1-('Sens - Scenarios'!$B$6*VLOOKUP(B63,ChurnSeasonTable,4,FALSE)),2)+R15*('Sens - Scenarios'!$B$6*VLOOKUP(B63,ChurnSeasonTable,4,FALSE))*POWER(1-('Sens - Scenarios'!$B$6*VLOOKUP(B63,ChurnSeasonTable,4,FALSE)),3)</f>
        <v/>
      </c>
      <c r="Y63" s="12">
        <f>S63+T63+U63+V63+W63+X63</f>
        <v/>
      </c>
      <c r="Z63" s="9">
        <f>S63*BlendedPriceEssMonthly*E63+T63*BlendedPricePremMonthly*E63+U63*BlendedPriceEliteMonthly*E63+V63*BlendedPriceEssAnnual*E63/12+W63*BlendedPricePremAnnual*E63/12+X63*BlendedPriceEliteAnnual*E63/12</f>
        <v/>
      </c>
      <c r="AA63" s="9">
        <f>Z63*12</f>
        <v/>
      </c>
      <c r="AB63" s="12">
        <f>S63*BlendedPriceEssMonthly*E63+T63*BlendedPricePremMonthly*E63+U63*BlendedPriceEliteMonthly*E63</f>
        <v/>
      </c>
      <c r="AC63" s="12">
        <f>P63*BlendedPriceEssAnnual*E63+Q63*BlendedPricePremAnnual*E63+R63*BlendedPriceEliteAnnual*E63</f>
        <v/>
      </c>
      <c r="AD63" s="12">
        <f>P51*POWER(1-('Sens - Scenarios'!$B$6*VLOOKUP(B63,ChurnSeasonTable,4,FALSE)),1)*BlendedPriceEssAnnual*E63+P39*POWER(1-('Sens - Scenarios'!$B$6*VLOOKUP(B63,ChurnSeasonTable,4,FALSE)),2)*BlendedPriceEssAnnual*E63+P27*POWER(1-('Sens - Scenarios'!$B$6*VLOOKUP(B63,ChurnSeasonTable,4,FALSE)),3)*BlendedPriceEssAnnual*E63+P15*POWER(1-('Sens - Scenarios'!$B$6*VLOOKUP(B63,ChurnSeasonTable,4,FALSE)),4)*BlendedPriceEssAnnual*E63+Q51*POWER(1-('Sens - Scenarios'!$B$6*VLOOKUP(B63,ChurnSeasonTable,4,FALSE)),1)*BlendedPricePremAnnual*E63+Q39*POWER(1-('Sens - Scenarios'!$B$6*VLOOKUP(B63,ChurnSeasonTable,4,FALSE)),2)*BlendedPricePremAnnual*E63+Q27*POWER(1-('Sens - Scenarios'!$B$6*VLOOKUP(B63,ChurnSeasonTable,4,FALSE)),3)*BlendedPricePremAnnual*E63+Q15*POWER(1-('Sens - Scenarios'!$B$6*VLOOKUP(B63,ChurnSeasonTable,4,FALSE)),4)*BlendedPricePremAnnual*E63+R51*POWER(1-('Sens - Scenarios'!$B$6*VLOOKUP(B63,ChurnSeasonTable,4,FALSE)),1)*BlendedPriceEliteAnnual*E63+R39*POWER(1-('Sens - Scenarios'!$B$6*VLOOKUP(B63,ChurnSeasonTable,4,FALSE)),2)*BlendedPriceEliteAnnual*E63+R27*POWER(1-('Sens - Scenarios'!$B$6*VLOOKUP(B63,ChurnSeasonTable,4,FALSE)),3)*BlendedPriceEliteAnnual*E63+R15*POWER(1-('Sens - Scenarios'!$B$6*VLOOKUP(B63,ChurnSeasonTable,4,FALSE)),4)*BlendedPriceEliteAnnual*E63</f>
        <v/>
      </c>
      <c r="AE63" s="9">
        <f>AB63+AC63+AD63</f>
        <v/>
      </c>
      <c r="AF63" s="12">
        <f>SUM(AE52:AE63)</f>
        <v/>
      </c>
      <c r="AG63" s="12">
        <f>OR(AG62,IF(VATAgentMode,SUM($AE52:$AE63)-SUM($AL52:$AL63)&gt;=VATThreshold,SUM($AE52:$AE63)&gt;=VATThreshold))</f>
        <v/>
      </c>
      <c r="AH63" s="9">
        <f>IF(AG63,IF(VATAgentMode,AE63-((AE63-AL63)-(AE63-AL63)/(1+VATRate)),AE63/(1+VATRate)),AE63)</f>
        <v/>
      </c>
      <c r="AI63" s="12">
        <f>AE63-AH63</f>
        <v/>
      </c>
      <c r="AJ63" s="12">
        <f>IF(AG63=0,0,IF(B63=1,SUMPRODUCT(--(($C$5:$C63=$C63-1)*($B$5:$B63&gt;=10)*($B$5:$B63&lt;=12)),$AI$5:$AI63),IF(B63=4,SUMPRODUCT(--(($C$5:$C63=$C63)*($B$5:$B63&gt;=1)*($B$5:$B63&lt;=3)),$AI$5:$AI63),IF(B63=7,SUMPRODUCT(--(($C$5:$C63=$C63)*($B$5:$B63&gt;=4)*($B$5:$B63&lt;=6)),$AI$5:$AI63),IF(B63=10,SUMPRODUCT(--(($C$5:$C63=$C63)*($B$5:$B63&gt;=7)*($B$5:$B63&lt;=9)),$AI$5:$AI63),0)))))</f>
        <v/>
      </c>
      <c r="AK63" s="12">
        <f>AK62+AI63-AJ63</f>
        <v/>
      </c>
      <c r="AL63" s="12">
        <f>IF(ProviderDelay&gt;=1,S62*BlendedProvPayEss+T62*BlendedProvPayPrem+U62*BlendedProvPayElite+V62*BlendedProvPayEss+W62*BlendedProvPayPrem+X62*BlendedProvPayElite,S63*BlendedProvPayEss+T63*BlendedProvPayPrem+U63*BlendedProvPayElite+V63*BlendedProvPayEss+W63*BlendedProvPayPrem+X63*BlendedProvPayElite)</f>
        <v/>
      </c>
      <c r="AM63" s="12">
        <f>AE63*PaymentFee</f>
        <v/>
      </c>
      <c r="AN63" s="12">
        <f>Y63*OpsAI</f>
        <v/>
      </c>
      <c r="AO63" s="12">
        <f>MonthlyFixed</f>
        <v/>
      </c>
      <c r="AP63" s="12">
        <f>I63*ReferralReward</f>
        <v/>
      </c>
      <c r="AQ63" s="12">
        <f>G63</f>
        <v/>
      </c>
      <c r="AR63" s="9">
        <f>AH63-AL63-AM63-AN63-AO63-AP63-AQ63</f>
        <v/>
      </c>
      <c r="AS63" s="9">
        <f>AS62+AE63-(AL63+AM63+AN63+AO63+AP63+AQ63+AJ63)</f>
        <v/>
      </c>
      <c r="AT63" s="12">
        <f>IF(Y63&gt;0,Z63/Y63,0)</f>
        <v/>
      </c>
      <c r="AU63" s="11">
        <f>IF(Y62&gt;0,MAX(0,(Y62+J63-Y63)/Y62),0)</f>
        <v/>
      </c>
      <c r="AW63" s="12" t="n">
        <v>59</v>
      </c>
      <c r="AX63" s="12">
        <f>MOD(AW63-1+LaunchMonth-1,12)+1</f>
        <v/>
      </c>
      <c r="AY63" s="12">
        <f>INT((AW63-1+LaunchMonth-1)/12)+1</f>
        <v/>
      </c>
      <c r="AZ63" s="12">
        <f>VLOOKUP(AX63,SeasonTable,2,FALSE)</f>
        <v/>
      </c>
      <c r="BA63" s="12">
        <f>(1+InflationRate)^INT((AW63-1)/12)</f>
        <v/>
      </c>
      <c r="BB63" s="11">
        <f>MonthlyChurn*VLOOKUP(AX63,ChurnSeasonTable,4,FALSE)</f>
        <v/>
      </c>
      <c r="BC63" s="12">
        <f>MIN(MAX(MktMin19plus,CA62*MktPct19plus),MAX(0,CO62-CashBuffer))</f>
        <v/>
      </c>
      <c r="BD63" s="12">
        <f>IF(BC63&gt;0,MAX(1,ROUND(BC63/CAC*AZ63,0)),0)</f>
        <v/>
      </c>
      <c r="BE63" s="12">
        <f>IF(BD63&gt;0,ROUND(BD63*ReferralMix/(1-ReferralMix),0),0)</f>
        <v/>
      </c>
      <c r="BF63" s="12">
        <f>BD63+BE63</f>
        <v/>
      </c>
      <c r="BG63" s="12">
        <f>ROUND(BF63*(1-AnnualMix),0)</f>
        <v/>
      </c>
      <c r="BH63" s="12">
        <f>BF63-BG63</f>
        <v/>
      </c>
      <c r="BI63" s="12">
        <f>ROUND(BG63*EssentialMix,0)</f>
        <v/>
      </c>
      <c r="BJ63" s="12">
        <f>ROUND(BG63*PremiumMix,0)</f>
        <v/>
      </c>
      <c r="BK63" s="12">
        <f>BG63-BI63-BJ63</f>
        <v/>
      </c>
      <c r="BL63" s="12">
        <f>ROUND(BH63*EssentialMix,0)</f>
        <v/>
      </c>
      <c r="BM63" s="12">
        <f>ROUND(BH63*PremiumMix,0)</f>
        <v/>
      </c>
      <c r="BN63" s="12">
        <f>BH63-BL63-BM63</f>
        <v/>
      </c>
      <c r="BO63" s="12">
        <f>BI63+BI62+BI61+MAX(0,BO62-BI62-BI61)*(1-BB63)</f>
        <v/>
      </c>
      <c r="BP63" s="12">
        <f>BJ63+BJ62+BJ61+MAX(0,BP62-BJ62-BJ61)*(1-BB63)</f>
        <v/>
      </c>
      <c r="BQ63" s="12">
        <f>BK63+BK62+BK61+MAX(0,BQ62-BK62-BK61)*(1-BB63)</f>
        <v/>
      </c>
      <c r="BR63" s="12">
        <f>BR62+BL63-BL51*(AnnualChurn*VLOOKUP(AX63,ChurnSeasonTable,4,FALSE))*POWER(1-(AnnualChurn*VLOOKUP(AX63,ChurnSeasonTable,4,FALSE)),0)+BL39*(AnnualChurn*VLOOKUP(AX63,ChurnSeasonTable,4,FALSE))*POWER(1-(AnnualChurn*VLOOKUP(AX63,ChurnSeasonTable,4,FALSE)),1)+BL27*(AnnualChurn*VLOOKUP(AX63,ChurnSeasonTable,4,FALSE))*POWER(1-(AnnualChurn*VLOOKUP(AX63,ChurnSeasonTable,4,FALSE)),2)+BL15*(AnnualChurn*VLOOKUP(AX63,ChurnSeasonTable,4,FALSE))*POWER(1-(AnnualChurn*VLOOKUP(AX63,ChurnSeasonTable,4,FALSE)),3)</f>
        <v/>
      </c>
      <c r="BS63" s="12">
        <f>BS62+BM63-BM51*(AnnualChurn*VLOOKUP(AX63,ChurnSeasonTable,4,FALSE))*POWER(1-(AnnualChurn*VLOOKUP(AX63,ChurnSeasonTable,4,FALSE)),0)+BM39*(AnnualChurn*VLOOKUP(AX63,ChurnSeasonTable,4,FALSE))*POWER(1-(AnnualChurn*VLOOKUP(AX63,ChurnSeasonTable,4,FALSE)),1)+BM27*(AnnualChurn*VLOOKUP(AX63,ChurnSeasonTable,4,FALSE))*POWER(1-(AnnualChurn*VLOOKUP(AX63,ChurnSeasonTable,4,FALSE)),2)+BM15*(AnnualChurn*VLOOKUP(AX63,ChurnSeasonTable,4,FALSE))*POWER(1-(AnnualChurn*VLOOKUP(AX63,ChurnSeasonTable,4,FALSE)),3)</f>
        <v/>
      </c>
      <c r="BT63" s="12">
        <f>BT62+BN63-BN51*(AnnualChurn*VLOOKUP(AX63,ChurnSeasonTable,4,FALSE))*POWER(1-(AnnualChurn*VLOOKUP(AX63,ChurnSeasonTable,4,FALSE)),0)+BN39*(AnnualChurn*VLOOKUP(AX63,ChurnSeasonTable,4,FALSE))*POWER(1-(AnnualChurn*VLOOKUP(AX63,ChurnSeasonTable,4,FALSE)),1)+BN27*(AnnualChurn*VLOOKUP(AX63,ChurnSeasonTable,4,FALSE))*POWER(1-(AnnualChurn*VLOOKUP(AX63,ChurnSeasonTable,4,FALSE)),2)+BN15*(AnnualChurn*VLOOKUP(AX63,ChurnSeasonTable,4,FALSE))*POWER(1-(AnnualChurn*VLOOKUP(AX63,ChurnSeasonTable,4,FALSE)),3)</f>
        <v/>
      </c>
      <c r="BU63" s="12">
        <f>BO63+BP63+BQ63+BR63+BS63+BT63</f>
        <v/>
      </c>
      <c r="BV63" s="9">
        <f>BO63*BlendedPriceEssMonthly*BA63+BP63*BlendedPricePremMonthly*BA63+BQ63*BlendedPriceEliteMonthly*BA63+BR63*BlendedPriceEssAnnual*BA63/12+BS63*BlendedPricePremAnnual*BA63/12+BT63*BlendedPriceEliteAnnual*BA63/12</f>
        <v/>
      </c>
      <c r="BW63" s="9">
        <f>BV63*12</f>
        <v/>
      </c>
      <c r="BX63" s="12">
        <f>BO63*BlendedPriceEssMonthly*BA63+BP63*BlendedPricePremMonthly*BA63+BQ63*BlendedPriceEliteMonthly*BA63</f>
        <v/>
      </c>
      <c r="BY63" s="12">
        <f>BL63*BlendedPriceEssAnnual*BA63+BM63*BlendedPricePremAnnual*BA63+BN63*BlendedPriceEliteAnnual*BA63</f>
        <v/>
      </c>
      <c r="BZ63" s="12">
        <f>BL51*POWER(1-(AnnualChurn*VLOOKUP(AX63,ChurnSeasonTable,4,FALSE)),1)*BlendedPriceEssAnnual*BA63+BL39*POWER(1-(AnnualChurn*VLOOKUP(AX63,ChurnSeasonTable,4,FALSE)),2)*BlendedPriceEssAnnual*BA63+BL27*POWER(1-(AnnualChurn*VLOOKUP(AX63,ChurnSeasonTable,4,FALSE)),3)*BlendedPriceEssAnnual*BA63+BL15*POWER(1-(AnnualChurn*VLOOKUP(AX63,ChurnSeasonTable,4,FALSE)),4)*BlendedPriceEssAnnual*BA63+BM51*POWER(1-(AnnualChurn*VLOOKUP(AX63,ChurnSeasonTable,4,FALSE)),1)*BlendedPricePremAnnual*BA63+BM39*POWER(1-(AnnualChurn*VLOOKUP(AX63,ChurnSeasonTable,4,FALSE)),2)*BlendedPricePremAnnual*BA63+BM27*POWER(1-(AnnualChurn*VLOOKUP(AX63,ChurnSeasonTable,4,FALSE)),3)*BlendedPricePremAnnual*BA63+BM15*POWER(1-(AnnualChurn*VLOOKUP(AX63,ChurnSeasonTable,4,FALSE)),4)*BlendedPricePremAnnual*BA63+BN51*POWER(1-(AnnualChurn*VLOOKUP(AX63,ChurnSeasonTable,4,FALSE)),1)*BlendedPriceEliteAnnual*BA63+BN39*POWER(1-(AnnualChurn*VLOOKUP(AX63,ChurnSeasonTable,4,FALSE)),2)*BlendedPriceEliteAnnual*BA63+BN27*POWER(1-(AnnualChurn*VLOOKUP(AX63,ChurnSeasonTable,4,FALSE)),3)*BlendedPriceEliteAnnual*BA63+BN15*POWER(1-(AnnualChurn*VLOOKUP(AX63,ChurnSeasonTable,4,FALSE)),4)*BlendedPriceEliteAnnual*BA63</f>
        <v/>
      </c>
      <c r="CA63" s="9">
        <f>BX63+BY63+BZ63</f>
        <v/>
      </c>
      <c r="CB63" s="12">
        <f>SUM(CA52:CA63)</f>
        <v/>
      </c>
      <c r="CC63" s="12">
        <f>OR(CC62,IF(VATAgentMode,SUM($CA52:$CA63)-SUM($CH52:$CH63)&gt;=VATThreshold,SUM($CA52:$CA63)&gt;=VATThreshold))</f>
        <v/>
      </c>
      <c r="CD63" s="9">
        <f>IF(CC63,IF(VATAgentMode,CA63-((CA63-CH63)-(CA63-CH63)/(1+VATRate)),CA63/(1+VATRate)),CA63)</f>
        <v/>
      </c>
      <c r="CE63" s="12">
        <f>CA63-CD63</f>
        <v/>
      </c>
      <c r="CF63" s="12">
        <f>IF(CC63=0,0,IF(AX63=1,SUMPRODUCT(--(($AY$5:$AY63=$AY63-1)*($AX$5:$AX63&gt;=10)*($AX$5:$AX63&lt;=12)),$CE$5:$CE63),IF(AX63=4,SUMPRODUCT(--(($AY$5:$AY63=$AY63)*($AX$5:$AX63&gt;=1)*($AX$5:$AX63&lt;=3)),$CE$5:$CE63),IF(AX63=7,SUMPRODUCT(--(($AY$5:$AY63=$AY63)*($AX$5:$AX63&gt;=4)*($AX$5:$AX63&lt;=6)),$CE$5:$CE63),IF(AX63=10,SUMPRODUCT(--(($AY$5:$AY63=$AY63)*($AX$5:$AX63&gt;=7)*($AX$5:$AX63&lt;=9)),$CE$5:$CE63),0)))))</f>
        <v/>
      </c>
      <c r="CG63" s="12">
        <f>CG62+CE63-CF63</f>
        <v/>
      </c>
      <c r="CH63" s="12">
        <f>IF(ProviderDelay&gt;=1,BO62*BlendedProvPayEss+BP62*BlendedProvPayPrem+BQ62*BlendedProvPayElite+BR62*BlendedProvPayEss+BS62*BlendedProvPayPrem+BT62*BlendedProvPayElite,BO63*BlendedProvPayEss+BP63*BlendedProvPayPrem+BQ63*BlendedProvPayElite+BR63*BlendedProvPayEss+BS63*BlendedProvPayPrem+BT63*BlendedProvPayElite)</f>
        <v/>
      </c>
      <c r="CI63" s="12">
        <f>CA63*PaymentFee</f>
        <v/>
      </c>
      <c r="CJ63" s="12">
        <f>BU63*OpsAI</f>
        <v/>
      </c>
      <c r="CK63" s="12">
        <f>MonthlyFixed</f>
        <v/>
      </c>
      <c r="CL63" s="12">
        <f>BE63*ReferralReward</f>
        <v/>
      </c>
      <c r="CM63" s="12">
        <f>BC63</f>
        <v/>
      </c>
      <c r="CN63" s="9">
        <f>CD63-CH63-CI63-CJ63-CK63-CL63-CM63</f>
        <v/>
      </c>
      <c r="CO63" s="9">
        <f>CO62+CA63-(CH63+CI63+CJ63+CK63+CL63+CM63+CF63)</f>
        <v/>
      </c>
      <c r="CP63" s="12">
        <f>IF(BU63&gt;0,BV63/BU63,0)</f>
        <v/>
      </c>
      <c r="CQ63" s="11">
        <f>IF(BU62&gt;0,MAX(0,(BU62+BF63-BU63)/BU62),0)</f>
        <v/>
      </c>
      <c r="CS63" s="12" t="n">
        <v>59</v>
      </c>
      <c r="CT63" s="12">
        <f>MOD(CS63-1+LaunchMonth-1,12)+1</f>
        <v/>
      </c>
      <c r="CU63" s="12">
        <f>INT((CS63-1+LaunchMonth-1)/12)+1</f>
        <v/>
      </c>
      <c r="CV63" s="12">
        <f>VLOOKUP(CT63,SeasonTable,2,FALSE)</f>
        <v/>
      </c>
      <c r="CW63" s="12">
        <f>(1+InflationRate)^INT((CS63-1)/12)</f>
        <v/>
      </c>
      <c r="CX63" s="11">
        <f>'Sens - Scenarios'!$D$5*VLOOKUP(CT63,ChurnSeasonTable,4,FALSE)</f>
        <v/>
      </c>
      <c r="CY63" s="12">
        <f>MIN(MAX(MktMin19plus,DW62*MktPct19plus),MAX(0,EK62-CashBuffer))</f>
        <v/>
      </c>
      <c r="CZ63" s="12">
        <f>IF(CY63&gt;0,MAX(1,ROUND(CY63/'Sens - Scenarios'!$D$8*CV63,0)),0)</f>
        <v/>
      </c>
      <c r="DA63" s="12">
        <f>IF(CZ63&gt;0,ROUND(CZ63*ReferralMix/(1-ReferralMix),0),0)</f>
        <v/>
      </c>
      <c r="DB63" s="12">
        <f>CZ63+DA63</f>
        <v/>
      </c>
      <c r="DC63" s="12">
        <f>ROUND(DB63*(1-'Sens - Scenarios'!$D$7),0)</f>
        <v/>
      </c>
      <c r="DD63" s="12">
        <f>DB63-DC63</f>
        <v/>
      </c>
      <c r="DE63" s="12">
        <f>ROUND(DC63*EssentialMix,0)</f>
        <v/>
      </c>
      <c r="DF63" s="12">
        <f>ROUND(DC63*PremiumMix,0)</f>
        <v/>
      </c>
      <c r="DG63" s="12">
        <f>DC63-DE63-DF63</f>
        <v/>
      </c>
      <c r="DH63" s="12">
        <f>ROUND(DD63*EssentialMix,0)</f>
        <v/>
      </c>
      <c r="DI63" s="12">
        <f>ROUND(DD63*PremiumMix,0)</f>
        <v/>
      </c>
      <c r="DJ63" s="12">
        <f>DD63-DH63-DI63</f>
        <v/>
      </c>
      <c r="DK63" s="12">
        <f>DE63+DE62+DE61+MAX(0,DK62-DE62-DE61)*(1-CX63)</f>
        <v/>
      </c>
      <c r="DL63" s="12">
        <f>DF63+DF62+DF61+MAX(0,DL62-DF62-DF61)*(1-CX63)</f>
        <v/>
      </c>
      <c r="DM63" s="12">
        <f>DG63+DG62+DG61+MAX(0,DM62-DG62-DG61)*(1-CX63)</f>
        <v/>
      </c>
      <c r="DN63" s="12">
        <f>DN62+DH63-DH51*('Sens - Scenarios'!$D$6*VLOOKUP(CT63,ChurnSeasonTable,4,FALSE))*POWER(1-('Sens - Scenarios'!$D$6*VLOOKUP(CT63,ChurnSeasonTable,4,FALSE)),0)+DH39*('Sens - Scenarios'!$D$6*VLOOKUP(CT63,ChurnSeasonTable,4,FALSE))*POWER(1-('Sens - Scenarios'!$D$6*VLOOKUP(CT63,ChurnSeasonTable,4,FALSE)),1)+DH27*('Sens - Scenarios'!$D$6*VLOOKUP(CT63,ChurnSeasonTable,4,FALSE))*POWER(1-('Sens - Scenarios'!$D$6*VLOOKUP(CT63,ChurnSeasonTable,4,FALSE)),2)+DH15*('Sens - Scenarios'!$D$6*VLOOKUP(CT63,ChurnSeasonTable,4,FALSE))*POWER(1-('Sens - Scenarios'!$D$6*VLOOKUP(CT63,ChurnSeasonTable,4,FALSE)),3)</f>
        <v/>
      </c>
      <c r="DO63" s="12">
        <f>DO62+DI63-DI51*('Sens - Scenarios'!$D$6*VLOOKUP(CT63,ChurnSeasonTable,4,FALSE))*POWER(1-('Sens - Scenarios'!$D$6*VLOOKUP(CT63,ChurnSeasonTable,4,FALSE)),0)+DI39*('Sens - Scenarios'!$D$6*VLOOKUP(CT63,ChurnSeasonTable,4,FALSE))*POWER(1-('Sens - Scenarios'!$D$6*VLOOKUP(CT63,ChurnSeasonTable,4,FALSE)),1)+DI27*('Sens - Scenarios'!$D$6*VLOOKUP(CT63,ChurnSeasonTable,4,FALSE))*POWER(1-('Sens - Scenarios'!$D$6*VLOOKUP(CT63,ChurnSeasonTable,4,FALSE)),2)+DI15*('Sens - Scenarios'!$D$6*VLOOKUP(CT63,ChurnSeasonTable,4,FALSE))*POWER(1-('Sens - Scenarios'!$D$6*VLOOKUP(CT63,ChurnSeasonTable,4,FALSE)),3)</f>
        <v/>
      </c>
      <c r="DP63" s="12">
        <f>DP62+DJ63-DJ51*('Sens - Scenarios'!$D$6*VLOOKUP(CT63,ChurnSeasonTable,4,FALSE))*POWER(1-('Sens - Scenarios'!$D$6*VLOOKUP(CT63,ChurnSeasonTable,4,FALSE)),0)+DJ39*('Sens - Scenarios'!$D$6*VLOOKUP(CT63,ChurnSeasonTable,4,FALSE))*POWER(1-('Sens - Scenarios'!$D$6*VLOOKUP(CT63,ChurnSeasonTable,4,FALSE)),1)+DJ27*('Sens - Scenarios'!$D$6*VLOOKUP(CT63,ChurnSeasonTable,4,FALSE))*POWER(1-('Sens - Scenarios'!$D$6*VLOOKUP(CT63,ChurnSeasonTable,4,FALSE)),2)+DJ15*('Sens - Scenarios'!$D$6*VLOOKUP(CT63,ChurnSeasonTable,4,FALSE))*POWER(1-('Sens - Scenarios'!$D$6*VLOOKUP(CT63,ChurnSeasonTable,4,FALSE)),3)</f>
        <v/>
      </c>
      <c r="DQ63" s="12">
        <f>DK63+DL63+DM63+DN63+DO63+DP63</f>
        <v/>
      </c>
      <c r="DR63" s="9">
        <f>DK63*BlendedPriceEssMonthly*CW63+DL63*BlendedPricePremMonthly*CW63+DM63*BlendedPriceEliteMonthly*CW63+DN63*BlendedPriceEssAnnual*CW63/12+DO63*BlendedPricePremAnnual*CW63/12+DP63*BlendedPriceEliteAnnual*CW63/12</f>
        <v/>
      </c>
      <c r="DS63" s="9">
        <f>DR63*12</f>
        <v/>
      </c>
      <c r="DT63" s="12">
        <f>DK63*BlendedPriceEssMonthly*CW63+DL63*BlendedPricePremMonthly*CW63+DM63*BlendedPriceEliteMonthly*CW63</f>
        <v/>
      </c>
      <c r="DU63" s="12">
        <f>DH63*BlendedPriceEssAnnual*CW63+DI63*BlendedPricePremAnnual*CW63+DJ63*BlendedPriceEliteAnnual*CW63</f>
        <v/>
      </c>
      <c r="DV63" s="12">
        <f>DH51*POWER(1-('Sens - Scenarios'!$D$6*VLOOKUP(CT63,ChurnSeasonTable,4,FALSE)),1)*BlendedPriceEssAnnual*CW63+DH39*POWER(1-('Sens - Scenarios'!$D$6*VLOOKUP(CT63,ChurnSeasonTable,4,FALSE)),2)*BlendedPriceEssAnnual*CW63+DH27*POWER(1-('Sens - Scenarios'!$D$6*VLOOKUP(CT63,ChurnSeasonTable,4,FALSE)),3)*BlendedPriceEssAnnual*CW63+DH15*POWER(1-('Sens - Scenarios'!$D$6*VLOOKUP(CT63,ChurnSeasonTable,4,FALSE)),4)*BlendedPriceEssAnnual*CW63+DI51*POWER(1-('Sens - Scenarios'!$D$6*VLOOKUP(CT63,ChurnSeasonTable,4,FALSE)),1)*BlendedPricePremAnnual*CW63+DI39*POWER(1-('Sens - Scenarios'!$D$6*VLOOKUP(CT63,ChurnSeasonTable,4,FALSE)),2)*BlendedPricePremAnnual*CW63+DI27*POWER(1-('Sens - Scenarios'!$D$6*VLOOKUP(CT63,ChurnSeasonTable,4,FALSE)),3)*BlendedPricePremAnnual*CW63+DI15*POWER(1-('Sens - Scenarios'!$D$6*VLOOKUP(CT63,ChurnSeasonTable,4,FALSE)),4)*BlendedPricePremAnnual*CW63+DJ51*POWER(1-('Sens - Scenarios'!$D$6*VLOOKUP(CT63,ChurnSeasonTable,4,FALSE)),1)*BlendedPriceEliteAnnual*CW63+DJ39*POWER(1-('Sens - Scenarios'!$D$6*VLOOKUP(CT63,ChurnSeasonTable,4,FALSE)),2)*BlendedPriceEliteAnnual*CW63+DJ27*POWER(1-('Sens - Scenarios'!$D$6*VLOOKUP(CT63,ChurnSeasonTable,4,FALSE)),3)*BlendedPriceEliteAnnual*CW63+DJ15*POWER(1-('Sens - Scenarios'!$D$6*VLOOKUP(CT63,ChurnSeasonTable,4,FALSE)),4)*BlendedPriceEliteAnnual*CW63</f>
        <v/>
      </c>
      <c r="DW63" s="9">
        <f>DT63+DU63+DV63</f>
        <v/>
      </c>
      <c r="DX63" s="12">
        <f>SUM(DW52:DW63)</f>
        <v/>
      </c>
      <c r="DY63" s="12">
        <f>OR(DY62,IF(VATAgentMode,SUM($DW52:$DW63)-SUM($ED52:$ED63)&gt;=VATThreshold,SUM($DW52:$DW63)&gt;=VATThreshold))</f>
        <v/>
      </c>
      <c r="DZ63" s="9">
        <f>IF(DY63,IF(VATAgentMode,DW63-((DW63-ED63)-(DW63-ED63)/(1+VATRate)),DW63/(1+VATRate)),DW63)</f>
        <v/>
      </c>
      <c r="EA63" s="12">
        <f>DW63-DZ63</f>
        <v/>
      </c>
      <c r="EB63" s="12">
        <f>IF(DY63=0,0,IF(CT63=1,SUMPRODUCT(--(($CU$5:$CU63=$CU63-1)*($CT$5:$CT63&gt;=10)*($CT$5:$CT63&lt;=12)),$EA$5:$EA63),IF(CT63=4,SUMPRODUCT(--(($CU$5:$CU63=$CU63)*($CT$5:$CT63&gt;=1)*($CT$5:$CT63&lt;=3)),$EA$5:$EA63),IF(CT63=7,SUMPRODUCT(--(($CU$5:$CU63=$CU63)*($CT$5:$CT63&gt;=4)*($CT$5:$CT63&lt;=6)),$EA$5:$EA63),IF(CT63=10,SUMPRODUCT(--(($CU$5:$CU63=$CU63)*($CT$5:$CT63&gt;=7)*($CT$5:$CT63&lt;=9)),$EA$5:$EA63),0)))))</f>
        <v/>
      </c>
      <c r="EC63" s="12">
        <f>EC62+EA63-EB63</f>
        <v/>
      </c>
      <c r="ED63" s="12">
        <f>IF(ProviderDelay&gt;=1,DK62*BlendedProvPayEss+DL62*BlendedProvPayPrem+DM62*BlendedProvPayElite+DN62*BlendedProvPayEss+DO62*BlendedProvPayPrem+DP62*BlendedProvPayElite,DK63*BlendedProvPayEss+DL63*BlendedProvPayPrem+DM63*BlendedProvPayElite+DN63*BlendedProvPayEss+DO63*BlendedProvPayPrem+DP63*BlendedProvPayElite)</f>
        <v/>
      </c>
      <c r="EE63" s="12">
        <f>DW63*PaymentFee</f>
        <v/>
      </c>
      <c r="EF63" s="12">
        <f>DQ63*OpsAI</f>
        <v/>
      </c>
      <c r="EG63" s="12">
        <f>MonthlyFixed</f>
        <v/>
      </c>
      <c r="EH63" s="12">
        <f>DA63*ReferralReward</f>
        <v/>
      </c>
      <c r="EI63" s="12">
        <f>CY63</f>
        <v/>
      </c>
      <c r="EJ63" s="9">
        <f>DZ63-ED63-EE63-EF63-EG63-EH63-EI63</f>
        <v/>
      </c>
      <c r="EK63" s="9">
        <f>EK62+DW63-(ED63+EE63+EF63+EG63+EH63+EI63+EB63)</f>
        <v/>
      </c>
      <c r="EL63" s="12">
        <f>IF(DQ63&gt;0,DR63/DQ63,0)</f>
        <v/>
      </c>
      <c r="EM63" s="11">
        <f>IF(DQ62&gt;0,MAX(0,(DQ62+DB63-DQ63)/DQ62),0)</f>
        <v/>
      </c>
      <c r="EO63" s="12" t="n">
        <v>59</v>
      </c>
      <c r="EP63" s="12">
        <f>MOD(EO63-1+LaunchMonth-1,12)+1</f>
        <v/>
      </c>
      <c r="EQ63" s="12">
        <f>INT((EO63-1+LaunchMonth-1)/12)+1</f>
        <v/>
      </c>
      <c r="ER63" s="12">
        <f>VLOOKUP(EP63,SeasonTable,2,FALSE)</f>
        <v/>
      </c>
      <c r="ES63" s="12">
        <f>(1+InflationRate)^INT((EO63-1)/12)</f>
        <v/>
      </c>
      <c r="ET63" s="11">
        <f>'Sens - Churn'!$A$13*VLOOKUP(EP63,ChurnSeasonTable,4,FALSE)</f>
        <v/>
      </c>
      <c r="EU63" s="12">
        <f>MIN(MAX(MktMin19plus,FS62*MktPct19plus),MAX(0,GG62-CashBuffer))</f>
        <v/>
      </c>
      <c r="EV63" s="12">
        <f>IF(EU63&gt;0,MAX(1,ROUND(EU63/CAC*ER63,0)),0)</f>
        <v/>
      </c>
      <c r="EW63" s="12">
        <f>IF(EV63&gt;0,ROUND(EV63*ReferralMix/(1-ReferralMix),0),0)</f>
        <v/>
      </c>
      <c r="EX63" s="12">
        <f>EV63+EW63</f>
        <v/>
      </c>
      <c r="EY63" s="12">
        <f>ROUND(EX63*(1-AnnualMix),0)</f>
        <v/>
      </c>
      <c r="EZ63" s="12">
        <f>EX63-EY63</f>
        <v/>
      </c>
      <c r="FA63" s="12">
        <f>ROUND(EY63*EssentialMix,0)</f>
        <v/>
      </c>
      <c r="FB63" s="12">
        <f>ROUND(EY63*PremiumMix,0)</f>
        <v/>
      </c>
      <c r="FC63" s="12">
        <f>EY63-FA63-FB63</f>
        <v/>
      </c>
      <c r="FD63" s="12">
        <f>ROUND(EZ63*EssentialMix,0)</f>
        <v/>
      </c>
      <c r="FE63" s="12">
        <f>ROUND(EZ63*PremiumMix,0)</f>
        <v/>
      </c>
      <c r="FF63" s="12">
        <f>EZ63-FD63-FE63</f>
        <v/>
      </c>
      <c r="FG63" s="12">
        <f>FA63+FA62+FA61+MAX(0,FG62-FA62-FA61)*(1-ET63)</f>
        <v/>
      </c>
      <c r="FH63" s="12">
        <f>FB63+FB62+FB61+MAX(0,FH62-FB62-FB61)*(1-ET63)</f>
        <v/>
      </c>
      <c r="FI63" s="12">
        <f>FC63+FC62+FC61+MAX(0,FI62-FC62-FC61)*(1-ET63)</f>
        <v/>
      </c>
      <c r="FJ63" s="12">
        <f>FJ62+FD63-FD51*(AnnualChurn*VLOOKUP(EP63,ChurnSeasonTable,4,FALSE))*POWER(1-(AnnualChurn*VLOOKUP(EP63,ChurnSeasonTable,4,FALSE)),0)+FD39*(AnnualChurn*VLOOKUP(EP63,ChurnSeasonTable,4,FALSE))*POWER(1-(AnnualChurn*VLOOKUP(EP63,ChurnSeasonTable,4,FALSE)),1)+FD27*(AnnualChurn*VLOOKUP(EP63,ChurnSeasonTable,4,FALSE))*POWER(1-(AnnualChurn*VLOOKUP(EP63,ChurnSeasonTable,4,FALSE)),2)+FD15*(AnnualChurn*VLOOKUP(EP63,ChurnSeasonTable,4,FALSE))*POWER(1-(AnnualChurn*VLOOKUP(EP63,ChurnSeasonTable,4,FALSE)),3)</f>
        <v/>
      </c>
      <c r="FK63" s="12">
        <f>FK62+FE63-FE51*(AnnualChurn*VLOOKUP(EP63,ChurnSeasonTable,4,FALSE))*POWER(1-(AnnualChurn*VLOOKUP(EP63,ChurnSeasonTable,4,FALSE)),0)+FE39*(AnnualChurn*VLOOKUP(EP63,ChurnSeasonTable,4,FALSE))*POWER(1-(AnnualChurn*VLOOKUP(EP63,ChurnSeasonTable,4,FALSE)),1)+FE27*(AnnualChurn*VLOOKUP(EP63,ChurnSeasonTable,4,FALSE))*POWER(1-(AnnualChurn*VLOOKUP(EP63,ChurnSeasonTable,4,FALSE)),2)+FE15*(AnnualChurn*VLOOKUP(EP63,ChurnSeasonTable,4,FALSE))*POWER(1-(AnnualChurn*VLOOKUP(EP63,ChurnSeasonTable,4,FALSE)),3)</f>
        <v/>
      </c>
      <c r="FL63" s="12">
        <f>FL62+FF63-FF51*(AnnualChurn*VLOOKUP(EP63,ChurnSeasonTable,4,FALSE))*POWER(1-(AnnualChurn*VLOOKUP(EP63,ChurnSeasonTable,4,FALSE)),0)+FF39*(AnnualChurn*VLOOKUP(EP63,ChurnSeasonTable,4,FALSE))*POWER(1-(AnnualChurn*VLOOKUP(EP63,ChurnSeasonTable,4,FALSE)),1)+FF27*(AnnualChurn*VLOOKUP(EP63,ChurnSeasonTable,4,FALSE))*POWER(1-(AnnualChurn*VLOOKUP(EP63,ChurnSeasonTable,4,FALSE)),2)+FF15*(AnnualChurn*VLOOKUP(EP63,ChurnSeasonTable,4,FALSE))*POWER(1-(AnnualChurn*VLOOKUP(EP63,ChurnSeasonTable,4,FALSE)),3)</f>
        <v/>
      </c>
      <c r="FM63" s="12">
        <f>FG63+FH63+FI63+FJ63+FK63+FL63</f>
        <v/>
      </c>
      <c r="FN63" s="9">
        <f>FG63*BlendedPriceEssMonthly*ES63+FH63*BlendedPricePremMonthly*ES63+FI63*BlendedPriceEliteMonthly*ES63+FJ63*BlendedPriceEssAnnual*ES63/12+FK63*BlendedPricePremAnnual*ES63/12+FL63*BlendedPriceEliteAnnual*ES63/12</f>
        <v/>
      </c>
      <c r="FO63" s="9">
        <f>FN63*12</f>
        <v/>
      </c>
      <c r="FP63" s="12">
        <f>FG63*BlendedPriceEssMonthly*ES63+FH63*BlendedPricePremMonthly*ES63+FI63*BlendedPriceEliteMonthly*ES63</f>
        <v/>
      </c>
      <c r="FQ63" s="12">
        <f>FD63*BlendedPriceEssAnnual*ES63+FE63*BlendedPricePremAnnual*ES63+FF63*BlendedPriceEliteAnnual*ES63</f>
        <v/>
      </c>
      <c r="FR63" s="12">
        <f>FD51*POWER(1-(AnnualChurn*VLOOKUP(EP63,ChurnSeasonTable,4,FALSE)),1)*BlendedPriceEssAnnual*ES63+FD39*POWER(1-(AnnualChurn*VLOOKUP(EP63,ChurnSeasonTable,4,FALSE)),2)*BlendedPriceEssAnnual*ES63+FD27*POWER(1-(AnnualChurn*VLOOKUP(EP63,ChurnSeasonTable,4,FALSE)),3)*BlendedPriceEssAnnual*ES63+FD15*POWER(1-(AnnualChurn*VLOOKUP(EP63,ChurnSeasonTable,4,FALSE)),4)*BlendedPriceEssAnnual*ES63+FE51*POWER(1-(AnnualChurn*VLOOKUP(EP63,ChurnSeasonTable,4,FALSE)),1)*BlendedPricePremAnnual*ES63+FE39*POWER(1-(AnnualChurn*VLOOKUP(EP63,ChurnSeasonTable,4,FALSE)),2)*BlendedPricePremAnnual*ES63+FE27*POWER(1-(AnnualChurn*VLOOKUP(EP63,ChurnSeasonTable,4,FALSE)),3)*BlendedPricePremAnnual*ES63+FE15*POWER(1-(AnnualChurn*VLOOKUP(EP63,ChurnSeasonTable,4,FALSE)),4)*BlendedPricePremAnnual*ES63+FF51*POWER(1-(AnnualChurn*VLOOKUP(EP63,ChurnSeasonTable,4,FALSE)),1)*BlendedPriceEliteAnnual*ES63+FF39*POWER(1-(AnnualChurn*VLOOKUP(EP63,ChurnSeasonTable,4,FALSE)),2)*BlendedPriceEliteAnnual*ES63+FF27*POWER(1-(AnnualChurn*VLOOKUP(EP63,ChurnSeasonTable,4,FALSE)),3)*BlendedPriceEliteAnnual*ES63+FF15*POWER(1-(AnnualChurn*VLOOKUP(EP63,ChurnSeasonTable,4,FALSE)),4)*BlendedPriceEliteAnnual*ES63</f>
        <v/>
      </c>
      <c r="FS63" s="9">
        <f>FP63+FQ63+FR63</f>
        <v/>
      </c>
      <c r="FT63" s="12">
        <f>SUM(FS52:FS63)</f>
        <v/>
      </c>
      <c r="FU63" s="12">
        <f>OR(FU62,IF(VATAgentMode,SUM($FS52:$FS63)-SUM($FZ52:$FZ63)&gt;=VATThreshold,SUM($FS52:$FS63)&gt;=VATThreshold))</f>
        <v/>
      </c>
      <c r="FV63" s="9">
        <f>IF(FU63,IF(VATAgentMode,FS63-((FS63-FZ63)-(FS63-FZ63)/(1+VATRate)),FS63/(1+VATRate)),FS63)</f>
        <v/>
      </c>
      <c r="FW63" s="12">
        <f>FS63-FV63</f>
        <v/>
      </c>
      <c r="FX63" s="12">
        <f>IF(FU63=0,0,IF(EP63=1,SUMPRODUCT(--(($EQ$5:$EQ63=$EQ63-1)*($EP$5:$EP63&gt;=10)*($EP$5:$EP63&lt;=12)),$FW$5:$FW63),IF(EP63=4,SUMPRODUCT(--(($EQ$5:$EQ63=$EQ63)*($EP$5:$EP63&gt;=1)*($EP$5:$EP63&lt;=3)),$FW$5:$FW63),IF(EP63=7,SUMPRODUCT(--(($EQ$5:$EQ63=$EQ63)*($EP$5:$EP63&gt;=4)*($EP$5:$EP63&lt;=6)),$FW$5:$FW63),IF(EP63=10,SUMPRODUCT(--(($EQ$5:$EQ63=$EQ63)*($EP$5:$EP63&gt;=7)*($EP$5:$EP63&lt;=9)),$FW$5:$FW63),0)))))</f>
        <v/>
      </c>
      <c r="FY63" s="12">
        <f>FY62+FW63-FX63</f>
        <v/>
      </c>
      <c r="FZ63" s="12">
        <f>IF(ProviderDelay&gt;=1,FG62*BlendedProvPayEss+FH62*BlendedProvPayPrem+FI62*BlendedProvPayElite+FJ62*BlendedProvPayEss+FK62*BlendedProvPayPrem+FL62*BlendedProvPayElite,FG63*BlendedProvPayEss+FH63*BlendedProvPayPrem+FI63*BlendedProvPayElite+FJ63*BlendedProvPayEss+FK63*BlendedProvPayPrem+FL63*BlendedProvPayElite)</f>
        <v/>
      </c>
      <c r="GA63" s="12">
        <f>FS63*PaymentFee</f>
        <v/>
      </c>
      <c r="GB63" s="12">
        <f>FM63*OpsAI</f>
        <v/>
      </c>
      <c r="GC63" s="12">
        <f>MonthlyFixed</f>
        <v/>
      </c>
      <c r="GD63" s="12">
        <f>EW63*ReferralReward</f>
        <v/>
      </c>
      <c r="GE63" s="12">
        <f>EU63</f>
        <v/>
      </c>
      <c r="GF63" s="9">
        <f>FV63-FZ63-GA63-GB63-GC63-GD63-GE63</f>
        <v/>
      </c>
      <c r="GG63" s="9">
        <f>GG62+FS63-(FZ63+GA63+GB63+GC63+GD63+GE63+FX63)</f>
        <v/>
      </c>
      <c r="GH63" s="12">
        <f>IF(FM63&gt;0,FN63/FM63,0)</f>
        <v/>
      </c>
      <c r="GI63" s="11">
        <f>IF(FM62&gt;0,MAX(0,(FM62+EX63-FM63)/FM62),0)</f>
        <v/>
      </c>
      <c r="GK63" s="12" t="n">
        <v>59</v>
      </c>
      <c r="GL63" s="12">
        <f>MOD(GK63-1+LaunchMonth-1,12)+1</f>
        <v/>
      </c>
      <c r="GM63" s="12">
        <f>INT((GK63-1+LaunchMonth-1)/12)+1</f>
        <v/>
      </c>
      <c r="GN63" s="12">
        <f>VLOOKUP(GL63,SeasonTable,2,FALSE)</f>
        <v/>
      </c>
      <c r="GO63" s="12">
        <f>(1+InflationRate)^INT((GK63-1)/12)</f>
        <v/>
      </c>
      <c r="GP63" s="11">
        <f>'Sens - Churn'!$A$14*VLOOKUP(GL63,ChurnSeasonTable,4,FALSE)</f>
        <v/>
      </c>
      <c r="GQ63" s="12">
        <f>MIN(MAX(MktMin19plus,HO62*MktPct19plus),MAX(0,IC62-CashBuffer))</f>
        <v/>
      </c>
      <c r="GR63" s="12">
        <f>IF(GQ63&gt;0,MAX(1,ROUND(GQ63/CAC*GN63,0)),0)</f>
        <v/>
      </c>
      <c r="GS63" s="12">
        <f>IF(GR63&gt;0,ROUND(GR63*ReferralMix/(1-ReferralMix),0),0)</f>
        <v/>
      </c>
      <c r="GT63" s="12">
        <f>GR63+GS63</f>
        <v/>
      </c>
      <c r="GU63" s="12">
        <f>ROUND(GT63*(1-AnnualMix),0)</f>
        <v/>
      </c>
      <c r="GV63" s="12">
        <f>GT63-GU63</f>
        <v/>
      </c>
      <c r="GW63" s="12">
        <f>ROUND(GU63*EssentialMix,0)</f>
        <v/>
      </c>
      <c r="GX63" s="12">
        <f>ROUND(GU63*PremiumMix,0)</f>
        <v/>
      </c>
      <c r="GY63" s="12">
        <f>GU63-GW63-GX63</f>
        <v/>
      </c>
      <c r="GZ63" s="12">
        <f>ROUND(GV63*EssentialMix,0)</f>
        <v/>
      </c>
      <c r="HA63" s="12">
        <f>ROUND(GV63*PremiumMix,0)</f>
        <v/>
      </c>
      <c r="HB63" s="12">
        <f>GV63-GZ63-HA63</f>
        <v/>
      </c>
      <c r="HC63" s="12">
        <f>GW63+GW62+GW61+MAX(0,HC62-GW62-GW61)*(1-GP63)</f>
        <v/>
      </c>
      <c r="HD63" s="12">
        <f>GX63+GX62+GX61+MAX(0,HD62-GX62-GX61)*(1-GP63)</f>
        <v/>
      </c>
      <c r="HE63" s="12">
        <f>GY63+GY62+GY61+MAX(0,HE62-GY62-GY61)*(1-GP63)</f>
        <v/>
      </c>
      <c r="HF63" s="12">
        <f>HF62+GZ63-GZ51*(AnnualChurn*VLOOKUP(GL63,ChurnSeasonTable,4,FALSE))*POWER(1-(AnnualChurn*VLOOKUP(GL63,ChurnSeasonTable,4,FALSE)),0)+GZ39*(AnnualChurn*VLOOKUP(GL63,ChurnSeasonTable,4,FALSE))*POWER(1-(AnnualChurn*VLOOKUP(GL63,ChurnSeasonTable,4,FALSE)),1)+GZ27*(AnnualChurn*VLOOKUP(GL63,ChurnSeasonTable,4,FALSE))*POWER(1-(AnnualChurn*VLOOKUP(GL63,ChurnSeasonTable,4,FALSE)),2)+GZ15*(AnnualChurn*VLOOKUP(GL63,ChurnSeasonTable,4,FALSE))*POWER(1-(AnnualChurn*VLOOKUP(GL63,ChurnSeasonTable,4,FALSE)),3)</f>
        <v/>
      </c>
      <c r="HG63" s="12">
        <f>HG62+HA63-HA51*(AnnualChurn*VLOOKUP(GL63,ChurnSeasonTable,4,FALSE))*POWER(1-(AnnualChurn*VLOOKUP(GL63,ChurnSeasonTable,4,FALSE)),0)+HA39*(AnnualChurn*VLOOKUP(GL63,ChurnSeasonTable,4,FALSE))*POWER(1-(AnnualChurn*VLOOKUP(GL63,ChurnSeasonTable,4,FALSE)),1)+HA27*(AnnualChurn*VLOOKUP(GL63,ChurnSeasonTable,4,FALSE))*POWER(1-(AnnualChurn*VLOOKUP(GL63,ChurnSeasonTable,4,FALSE)),2)+HA15*(AnnualChurn*VLOOKUP(GL63,ChurnSeasonTable,4,FALSE))*POWER(1-(AnnualChurn*VLOOKUP(GL63,ChurnSeasonTable,4,FALSE)),3)</f>
        <v/>
      </c>
      <c r="HH63" s="12">
        <f>HH62+HB63-HB51*(AnnualChurn*VLOOKUP(GL63,ChurnSeasonTable,4,FALSE))*POWER(1-(AnnualChurn*VLOOKUP(GL63,ChurnSeasonTable,4,FALSE)),0)+HB39*(AnnualChurn*VLOOKUP(GL63,ChurnSeasonTable,4,FALSE))*POWER(1-(AnnualChurn*VLOOKUP(GL63,ChurnSeasonTable,4,FALSE)),1)+HB27*(AnnualChurn*VLOOKUP(GL63,ChurnSeasonTable,4,FALSE))*POWER(1-(AnnualChurn*VLOOKUP(GL63,ChurnSeasonTable,4,FALSE)),2)+HB15*(AnnualChurn*VLOOKUP(GL63,ChurnSeasonTable,4,FALSE))*POWER(1-(AnnualChurn*VLOOKUP(GL63,ChurnSeasonTable,4,FALSE)),3)</f>
        <v/>
      </c>
      <c r="HI63" s="12">
        <f>HC63+HD63+HE63+HF63+HG63+HH63</f>
        <v/>
      </c>
      <c r="HJ63" s="9">
        <f>HC63*BlendedPriceEssMonthly*GO63+HD63*BlendedPricePremMonthly*GO63+HE63*BlendedPriceEliteMonthly*GO63+HF63*BlendedPriceEssAnnual*GO63/12+HG63*BlendedPricePremAnnual*GO63/12+HH63*BlendedPriceEliteAnnual*GO63/12</f>
        <v/>
      </c>
      <c r="HK63" s="9">
        <f>HJ63*12</f>
        <v/>
      </c>
      <c r="HL63" s="12">
        <f>HC63*BlendedPriceEssMonthly*GO63+HD63*BlendedPricePremMonthly*GO63+HE63*BlendedPriceEliteMonthly*GO63</f>
        <v/>
      </c>
      <c r="HM63" s="12">
        <f>GZ63*BlendedPriceEssAnnual*GO63+HA63*BlendedPricePremAnnual*GO63+HB63*BlendedPriceEliteAnnual*GO63</f>
        <v/>
      </c>
      <c r="HN63" s="12">
        <f>GZ51*POWER(1-(AnnualChurn*VLOOKUP(GL63,ChurnSeasonTable,4,FALSE)),1)*BlendedPriceEssAnnual*GO63+GZ39*POWER(1-(AnnualChurn*VLOOKUP(GL63,ChurnSeasonTable,4,FALSE)),2)*BlendedPriceEssAnnual*GO63+GZ27*POWER(1-(AnnualChurn*VLOOKUP(GL63,ChurnSeasonTable,4,FALSE)),3)*BlendedPriceEssAnnual*GO63+GZ15*POWER(1-(AnnualChurn*VLOOKUP(GL63,ChurnSeasonTable,4,FALSE)),4)*BlendedPriceEssAnnual*GO63+HA51*POWER(1-(AnnualChurn*VLOOKUP(GL63,ChurnSeasonTable,4,FALSE)),1)*BlendedPricePremAnnual*GO63+HA39*POWER(1-(AnnualChurn*VLOOKUP(GL63,ChurnSeasonTable,4,FALSE)),2)*BlendedPricePremAnnual*GO63+HA27*POWER(1-(AnnualChurn*VLOOKUP(GL63,ChurnSeasonTable,4,FALSE)),3)*BlendedPricePremAnnual*GO63+HA15*POWER(1-(AnnualChurn*VLOOKUP(GL63,ChurnSeasonTable,4,FALSE)),4)*BlendedPricePremAnnual*GO63+HB51*POWER(1-(AnnualChurn*VLOOKUP(GL63,ChurnSeasonTable,4,FALSE)),1)*BlendedPriceEliteAnnual*GO63+HB39*POWER(1-(AnnualChurn*VLOOKUP(GL63,ChurnSeasonTable,4,FALSE)),2)*BlendedPriceEliteAnnual*GO63+HB27*POWER(1-(AnnualChurn*VLOOKUP(GL63,ChurnSeasonTable,4,FALSE)),3)*BlendedPriceEliteAnnual*GO63+HB15*POWER(1-(AnnualChurn*VLOOKUP(GL63,ChurnSeasonTable,4,FALSE)),4)*BlendedPriceEliteAnnual*GO63</f>
        <v/>
      </c>
      <c r="HO63" s="9">
        <f>HL63+HM63+HN63</f>
        <v/>
      </c>
      <c r="HP63" s="12">
        <f>SUM(HO52:HO63)</f>
        <v/>
      </c>
      <c r="HQ63" s="12">
        <f>OR(HQ62,IF(VATAgentMode,SUM($HO52:$HO63)-SUM($HV52:$HV63)&gt;=VATThreshold,SUM($HO52:$HO63)&gt;=VATThreshold))</f>
        <v/>
      </c>
      <c r="HR63" s="9">
        <f>IF(HQ63,IF(VATAgentMode,HO63-((HO63-HV63)-(HO63-HV63)/(1+VATRate)),HO63/(1+VATRate)),HO63)</f>
        <v/>
      </c>
      <c r="HS63" s="12">
        <f>HO63-HR63</f>
        <v/>
      </c>
      <c r="HT63" s="12">
        <f>IF(HQ63=0,0,IF(GL63=1,SUMPRODUCT(--(($GM$5:$GM63=$GM63-1)*($GL$5:$GL63&gt;=10)*($GL$5:$GL63&lt;=12)),$HS$5:$HS63),IF(GL63=4,SUMPRODUCT(--(($GM$5:$GM63=$GM63)*($GL$5:$GL63&gt;=1)*($GL$5:$GL63&lt;=3)),$HS$5:$HS63),IF(GL63=7,SUMPRODUCT(--(($GM$5:$GM63=$GM63)*($GL$5:$GL63&gt;=4)*($GL$5:$GL63&lt;=6)),$HS$5:$HS63),IF(GL63=10,SUMPRODUCT(--(($GM$5:$GM63=$GM63)*($GL$5:$GL63&gt;=7)*($GL$5:$GL63&lt;=9)),$HS$5:$HS63),0)))))</f>
        <v/>
      </c>
      <c r="HU63" s="12">
        <f>HU62+HS63-HT63</f>
        <v/>
      </c>
      <c r="HV63" s="12">
        <f>IF(ProviderDelay&gt;=1,HC62*BlendedProvPayEss+HD62*BlendedProvPayPrem+HE62*BlendedProvPayElite+HF62*BlendedProvPayEss+HG62*BlendedProvPayPrem+HH62*BlendedProvPayElite,HC63*BlendedProvPayEss+HD63*BlendedProvPayPrem+HE63*BlendedProvPayElite+HF63*BlendedProvPayEss+HG63*BlendedProvPayPrem+HH63*BlendedProvPayElite)</f>
        <v/>
      </c>
      <c r="HW63" s="12">
        <f>HO63*PaymentFee</f>
        <v/>
      </c>
      <c r="HX63" s="12">
        <f>HI63*OpsAI</f>
        <v/>
      </c>
      <c r="HY63" s="12">
        <f>MonthlyFixed</f>
        <v/>
      </c>
      <c r="HZ63" s="12">
        <f>GS63*ReferralReward</f>
        <v/>
      </c>
      <c r="IA63" s="12">
        <f>GQ63</f>
        <v/>
      </c>
      <c r="IB63" s="9">
        <f>HR63-HV63-HW63-HX63-HY63-HZ63-IA63</f>
        <v/>
      </c>
      <c r="IC63" s="9">
        <f>IC62+HO63-(HV63+HW63+HX63+HY63+HZ63+IA63+HT63)</f>
        <v/>
      </c>
      <c r="ID63" s="12">
        <f>IF(HI63&gt;0,HJ63/HI63,0)</f>
        <v/>
      </c>
      <c r="IE63" s="11">
        <f>IF(HI62&gt;0,MAX(0,(HI62+GT63-HI63)/HI62),0)</f>
        <v/>
      </c>
      <c r="IG63" s="12" t="n">
        <v>59</v>
      </c>
      <c r="IH63" s="12">
        <f>MOD(IG63-1+LaunchMonth-1,12)+1</f>
        <v/>
      </c>
      <c r="II63" s="12">
        <f>INT((IG63-1+LaunchMonth-1)/12)+1</f>
        <v/>
      </c>
      <c r="IJ63" s="12">
        <f>VLOOKUP(IH63,SeasonTable,2,FALSE)</f>
        <v/>
      </c>
      <c r="IK63" s="12">
        <f>(1+InflationRate)^INT((IG63-1)/12)</f>
        <v/>
      </c>
      <c r="IL63" s="11">
        <f>'Sens - Churn'!$A$15*VLOOKUP(IH63,ChurnSeasonTable,4,FALSE)</f>
        <v/>
      </c>
      <c r="IM63" s="12">
        <f>MIN(MAX(MktMin19plus,JK62*MktPct19plus),MAX(0,JY62-CashBuffer))</f>
        <v/>
      </c>
      <c r="IN63" s="12">
        <f>IF(IM63&gt;0,MAX(1,ROUND(IM63/CAC*IJ63,0)),0)</f>
        <v/>
      </c>
      <c r="IO63" s="12">
        <f>IF(IN63&gt;0,ROUND(IN63*ReferralMix/(1-ReferralMix),0),0)</f>
        <v/>
      </c>
      <c r="IP63" s="12">
        <f>IN63+IO63</f>
        <v/>
      </c>
      <c r="IQ63" s="12">
        <f>ROUND(IP63*(1-AnnualMix),0)</f>
        <v/>
      </c>
      <c r="IR63" s="12">
        <f>IP63-IQ63</f>
        <v/>
      </c>
      <c r="IS63" s="12">
        <f>ROUND(IQ63*EssentialMix,0)</f>
        <v/>
      </c>
      <c r="IT63" s="12">
        <f>ROUND(IQ63*PremiumMix,0)</f>
        <v/>
      </c>
      <c r="IU63" s="12">
        <f>IQ63-IS63-IT63</f>
        <v/>
      </c>
      <c r="IV63" s="12">
        <f>ROUND(IR63*EssentialMix,0)</f>
        <v/>
      </c>
      <c r="IW63" s="12">
        <f>ROUND(IR63*PremiumMix,0)</f>
        <v/>
      </c>
      <c r="IX63" s="12">
        <f>IR63-IV63-IW63</f>
        <v/>
      </c>
      <c r="IY63" s="12">
        <f>IS63+IS62+IS61+MAX(0,IY62-IS62-IS61)*(1-IL63)</f>
        <v/>
      </c>
      <c r="IZ63" s="12">
        <f>IT63+IT62+IT61+MAX(0,IZ62-IT62-IT61)*(1-IL63)</f>
        <v/>
      </c>
      <c r="JA63" s="12">
        <f>IU63+IU62+IU61+MAX(0,JA62-IU62-IU61)*(1-IL63)</f>
        <v/>
      </c>
      <c r="JB63" s="12">
        <f>JB62+IV63-IV51*(AnnualChurn*VLOOKUP(IH63,ChurnSeasonTable,4,FALSE))*POWER(1-(AnnualChurn*VLOOKUP(IH63,ChurnSeasonTable,4,FALSE)),0)+IV39*(AnnualChurn*VLOOKUP(IH63,ChurnSeasonTable,4,FALSE))*POWER(1-(AnnualChurn*VLOOKUP(IH63,ChurnSeasonTable,4,FALSE)),1)+IV27*(AnnualChurn*VLOOKUP(IH63,ChurnSeasonTable,4,FALSE))*POWER(1-(AnnualChurn*VLOOKUP(IH63,ChurnSeasonTable,4,FALSE)),2)+IV15*(AnnualChurn*VLOOKUP(IH63,ChurnSeasonTable,4,FALSE))*POWER(1-(AnnualChurn*VLOOKUP(IH63,ChurnSeasonTable,4,FALSE)),3)</f>
        <v/>
      </c>
      <c r="JC63" s="12">
        <f>JC62+IW63-IW51*(AnnualChurn*VLOOKUP(IH63,ChurnSeasonTable,4,FALSE))*POWER(1-(AnnualChurn*VLOOKUP(IH63,ChurnSeasonTable,4,FALSE)),0)+IW39*(AnnualChurn*VLOOKUP(IH63,ChurnSeasonTable,4,FALSE))*POWER(1-(AnnualChurn*VLOOKUP(IH63,ChurnSeasonTable,4,FALSE)),1)+IW27*(AnnualChurn*VLOOKUP(IH63,ChurnSeasonTable,4,FALSE))*POWER(1-(AnnualChurn*VLOOKUP(IH63,ChurnSeasonTable,4,FALSE)),2)+IW15*(AnnualChurn*VLOOKUP(IH63,ChurnSeasonTable,4,FALSE))*POWER(1-(AnnualChurn*VLOOKUP(IH63,ChurnSeasonTable,4,FALSE)),3)</f>
        <v/>
      </c>
      <c r="JD63" s="12">
        <f>JD62+IX63-IX51*(AnnualChurn*VLOOKUP(IH63,ChurnSeasonTable,4,FALSE))*POWER(1-(AnnualChurn*VLOOKUP(IH63,ChurnSeasonTable,4,FALSE)),0)+IX39*(AnnualChurn*VLOOKUP(IH63,ChurnSeasonTable,4,FALSE))*POWER(1-(AnnualChurn*VLOOKUP(IH63,ChurnSeasonTable,4,FALSE)),1)+IX27*(AnnualChurn*VLOOKUP(IH63,ChurnSeasonTable,4,FALSE))*POWER(1-(AnnualChurn*VLOOKUP(IH63,ChurnSeasonTable,4,FALSE)),2)+IX15*(AnnualChurn*VLOOKUP(IH63,ChurnSeasonTable,4,FALSE))*POWER(1-(AnnualChurn*VLOOKUP(IH63,ChurnSeasonTable,4,FALSE)),3)</f>
        <v/>
      </c>
      <c r="JE63" s="12">
        <f>IY63+IZ63+JA63+JB63+JC63+JD63</f>
        <v/>
      </c>
      <c r="JF63" s="9">
        <f>IY63*BlendedPriceEssMonthly*IK63+IZ63*BlendedPricePremMonthly*IK63+JA63*BlendedPriceEliteMonthly*IK63+JB63*BlendedPriceEssAnnual*IK63/12+JC63*BlendedPricePremAnnual*IK63/12+JD63*BlendedPriceEliteAnnual*IK63/12</f>
        <v/>
      </c>
      <c r="JG63" s="9">
        <f>JF63*12</f>
        <v/>
      </c>
      <c r="JH63" s="12">
        <f>IY63*BlendedPriceEssMonthly*IK63+IZ63*BlendedPricePremMonthly*IK63+JA63*BlendedPriceEliteMonthly*IK63</f>
        <v/>
      </c>
      <c r="JI63" s="12">
        <f>IV63*BlendedPriceEssAnnual*IK63+IW63*BlendedPricePremAnnual*IK63+IX63*BlendedPriceEliteAnnual*IK63</f>
        <v/>
      </c>
      <c r="JJ63" s="12">
        <f>IV51*POWER(1-(AnnualChurn*VLOOKUP(IH63,ChurnSeasonTable,4,FALSE)),1)*BlendedPriceEssAnnual*IK63+IV39*POWER(1-(AnnualChurn*VLOOKUP(IH63,ChurnSeasonTable,4,FALSE)),2)*BlendedPriceEssAnnual*IK63+IV27*POWER(1-(AnnualChurn*VLOOKUP(IH63,ChurnSeasonTable,4,FALSE)),3)*BlendedPriceEssAnnual*IK63+IV15*POWER(1-(AnnualChurn*VLOOKUP(IH63,ChurnSeasonTable,4,FALSE)),4)*BlendedPriceEssAnnual*IK63+IW51*POWER(1-(AnnualChurn*VLOOKUP(IH63,ChurnSeasonTable,4,FALSE)),1)*BlendedPricePremAnnual*IK63+IW39*POWER(1-(AnnualChurn*VLOOKUP(IH63,ChurnSeasonTable,4,FALSE)),2)*BlendedPricePremAnnual*IK63+IW27*POWER(1-(AnnualChurn*VLOOKUP(IH63,ChurnSeasonTable,4,FALSE)),3)*BlendedPricePremAnnual*IK63+IW15*POWER(1-(AnnualChurn*VLOOKUP(IH63,ChurnSeasonTable,4,FALSE)),4)*BlendedPricePremAnnual*IK63+IX51*POWER(1-(AnnualChurn*VLOOKUP(IH63,ChurnSeasonTable,4,FALSE)),1)*BlendedPriceEliteAnnual*IK63+IX39*POWER(1-(AnnualChurn*VLOOKUP(IH63,ChurnSeasonTable,4,FALSE)),2)*BlendedPriceEliteAnnual*IK63+IX27*POWER(1-(AnnualChurn*VLOOKUP(IH63,ChurnSeasonTable,4,FALSE)),3)*BlendedPriceEliteAnnual*IK63+IX15*POWER(1-(AnnualChurn*VLOOKUP(IH63,ChurnSeasonTable,4,FALSE)),4)*BlendedPriceEliteAnnual*IK63</f>
        <v/>
      </c>
      <c r="JK63" s="9">
        <f>JH63+JI63+JJ63</f>
        <v/>
      </c>
      <c r="JL63" s="12">
        <f>SUM(JK52:JK63)</f>
        <v/>
      </c>
      <c r="JM63" s="12">
        <f>OR(JM62,IF(VATAgentMode,SUM($JK52:$JK63)-SUM($JR52:$JR63)&gt;=VATThreshold,SUM($JK52:$JK63)&gt;=VATThreshold))</f>
        <v/>
      </c>
      <c r="JN63" s="9">
        <f>IF(JM63,IF(VATAgentMode,JK63-((JK63-JR63)-(JK63-JR63)/(1+VATRate)),JK63/(1+VATRate)),JK63)</f>
        <v/>
      </c>
      <c r="JO63" s="12">
        <f>JK63-JN63</f>
        <v/>
      </c>
      <c r="JP63" s="12">
        <f>IF(JM63=0,0,IF(IH63=1,SUMPRODUCT(--(($II$5:$II63=$II63-1)*($IH$5:$IH63&gt;=10)*($IH$5:$IH63&lt;=12)),$JO$5:$JO63),IF(IH63=4,SUMPRODUCT(--(($II$5:$II63=$II63)*($IH$5:$IH63&gt;=1)*($IH$5:$IH63&lt;=3)),$JO$5:$JO63),IF(IH63=7,SUMPRODUCT(--(($II$5:$II63=$II63)*($IH$5:$IH63&gt;=4)*($IH$5:$IH63&lt;=6)),$JO$5:$JO63),IF(IH63=10,SUMPRODUCT(--(($II$5:$II63=$II63)*($IH$5:$IH63&gt;=7)*($IH$5:$IH63&lt;=9)),$JO$5:$JO63),0)))))</f>
        <v/>
      </c>
      <c r="JQ63" s="12">
        <f>JQ62+JO63-JP63</f>
        <v/>
      </c>
      <c r="JR63" s="12">
        <f>IF(ProviderDelay&gt;=1,IY62*BlendedProvPayEss+IZ62*BlendedProvPayPrem+JA62*BlendedProvPayElite+JB62*BlendedProvPayEss+JC62*BlendedProvPayPrem+JD62*BlendedProvPayElite,IY63*BlendedProvPayEss+IZ63*BlendedProvPayPrem+JA63*BlendedProvPayElite+JB63*BlendedProvPayEss+JC63*BlendedProvPayPrem+JD63*BlendedProvPayElite)</f>
        <v/>
      </c>
      <c r="JS63" s="12">
        <f>JK63*PaymentFee</f>
        <v/>
      </c>
      <c r="JT63" s="12">
        <f>JE63*OpsAI</f>
        <v/>
      </c>
      <c r="JU63" s="12">
        <f>MonthlyFixed</f>
        <v/>
      </c>
      <c r="JV63" s="12">
        <f>IO63*ReferralReward</f>
        <v/>
      </c>
      <c r="JW63" s="12">
        <f>IM63</f>
        <v/>
      </c>
      <c r="JX63" s="9">
        <f>JN63-JR63-JS63-JT63-JU63-JV63-JW63</f>
        <v/>
      </c>
      <c r="JY63" s="9">
        <f>JY62+JK63-(JR63+JS63+JT63+JU63+JV63+JW63+JP63)</f>
        <v/>
      </c>
      <c r="JZ63" s="12">
        <f>IF(JE63&gt;0,JF63/JE63,0)</f>
        <v/>
      </c>
      <c r="KA63" s="11">
        <f>IF(JE62&gt;0,MAX(0,(JE62+IP63-JE63)/JE62),0)</f>
        <v/>
      </c>
      <c r="KC63" s="12" t="n">
        <v>59</v>
      </c>
      <c r="KD63" s="12">
        <f>MOD(KC63-1+LaunchMonth-1,12)+1</f>
        <v/>
      </c>
      <c r="KE63" s="12">
        <f>INT((KC63-1+LaunchMonth-1)/12)+1</f>
        <v/>
      </c>
      <c r="KF63" s="12">
        <f>VLOOKUP(KD63,SeasonTable,2,FALSE)</f>
        <v/>
      </c>
      <c r="KG63" s="12">
        <f>(1+InflationRate)^INT((KC63-1)/12)</f>
        <v/>
      </c>
      <c r="KH63" s="11">
        <f>'Sens - Churn'!$A$16*VLOOKUP(KD63,ChurnSeasonTable,4,FALSE)</f>
        <v/>
      </c>
      <c r="KI63" s="12">
        <f>MIN(MAX(MktMin19plus,LG62*MktPct19plus),MAX(0,LU62-CashBuffer))</f>
        <v/>
      </c>
      <c r="KJ63" s="12">
        <f>IF(KI63&gt;0,MAX(1,ROUND(KI63/CAC*KF63,0)),0)</f>
        <v/>
      </c>
      <c r="KK63" s="12">
        <f>IF(KJ63&gt;0,ROUND(KJ63*ReferralMix/(1-ReferralMix),0),0)</f>
        <v/>
      </c>
      <c r="KL63" s="12">
        <f>KJ63+KK63</f>
        <v/>
      </c>
      <c r="KM63" s="12">
        <f>ROUND(KL63*(1-AnnualMix),0)</f>
        <v/>
      </c>
      <c r="KN63" s="12">
        <f>KL63-KM63</f>
        <v/>
      </c>
      <c r="KO63" s="12">
        <f>ROUND(KM63*EssentialMix,0)</f>
        <v/>
      </c>
      <c r="KP63" s="12">
        <f>ROUND(KM63*PremiumMix,0)</f>
        <v/>
      </c>
      <c r="KQ63" s="12">
        <f>KM63-KO63-KP63</f>
        <v/>
      </c>
      <c r="KR63" s="12">
        <f>ROUND(KN63*EssentialMix,0)</f>
        <v/>
      </c>
      <c r="KS63" s="12">
        <f>ROUND(KN63*PremiumMix,0)</f>
        <v/>
      </c>
      <c r="KT63" s="12">
        <f>KN63-KR63-KS63</f>
        <v/>
      </c>
      <c r="KU63" s="12">
        <f>KO63+KO62+KO61+MAX(0,KU62-KO62-KO61)*(1-KH63)</f>
        <v/>
      </c>
      <c r="KV63" s="12">
        <f>KP63+KP62+KP61+MAX(0,KV62-KP62-KP61)*(1-KH63)</f>
        <v/>
      </c>
      <c r="KW63" s="12">
        <f>KQ63+KQ62+KQ61+MAX(0,KW62-KQ62-KQ61)*(1-KH63)</f>
        <v/>
      </c>
      <c r="KX63" s="12">
        <f>KX62+KR63-KR51*(AnnualChurn*VLOOKUP(KD63,ChurnSeasonTable,4,FALSE))*POWER(1-(AnnualChurn*VLOOKUP(KD63,ChurnSeasonTable,4,FALSE)),0)+KR39*(AnnualChurn*VLOOKUP(KD63,ChurnSeasonTable,4,FALSE))*POWER(1-(AnnualChurn*VLOOKUP(KD63,ChurnSeasonTable,4,FALSE)),1)+KR27*(AnnualChurn*VLOOKUP(KD63,ChurnSeasonTable,4,FALSE))*POWER(1-(AnnualChurn*VLOOKUP(KD63,ChurnSeasonTable,4,FALSE)),2)+KR15*(AnnualChurn*VLOOKUP(KD63,ChurnSeasonTable,4,FALSE))*POWER(1-(AnnualChurn*VLOOKUP(KD63,ChurnSeasonTable,4,FALSE)),3)</f>
        <v/>
      </c>
      <c r="KY63" s="12">
        <f>KY62+KS63-KS51*(AnnualChurn*VLOOKUP(KD63,ChurnSeasonTable,4,FALSE))*POWER(1-(AnnualChurn*VLOOKUP(KD63,ChurnSeasonTable,4,FALSE)),0)+KS39*(AnnualChurn*VLOOKUP(KD63,ChurnSeasonTable,4,FALSE))*POWER(1-(AnnualChurn*VLOOKUP(KD63,ChurnSeasonTable,4,FALSE)),1)+KS27*(AnnualChurn*VLOOKUP(KD63,ChurnSeasonTable,4,FALSE))*POWER(1-(AnnualChurn*VLOOKUP(KD63,ChurnSeasonTable,4,FALSE)),2)+KS15*(AnnualChurn*VLOOKUP(KD63,ChurnSeasonTable,4,FALSE))*POWER(1-(AnnualChurn*VLOOKUP(KD63,ChurnSeasonTable,4,FALSE)),3)</f>
        <v/>
      </c>
      <c r="KZ63" s="12">
        <f>KZ62+KT63-KT51*(AnnualChurn*VLOOKUP(KD63,ChurnSeasonTable,4,FALSE))*POWER(1-(AnnualChurn*VLOOKUP(KD63,ChurnSeasonTable,4,FALSE)),0)+KT39*(AnnualChurn*VLOOKUP(KD63,ChurnSeasonTable,4,FALSE))*POWER(1-(AnnualChurn*VLOOKUP(KD63,ChurnSeasonTable,4,FALSE)),1)+KT27*(AnnualChurn*VLOOKUP(KD63,ChurnSeasonTable,4,FALSE))*POWER(1-(AnnualChurn*VLOOKUP(KD63,ChurnSeasonTable,4,FALSE)),2)+KT15*(AnnualChurn*VLOOKUP(KD63,ChurnSeasonTable,4,FALSE))*POWER(1-(AnnualChurn*VLOOKUP(KD63,ChurnSeasonTable,4,FALSE)),3)</f>
        <v/>
      </c>
      <c r="LA63" s="12">
        <f>KU63+KV63+KW63+KX63+KY63+KZ63</f>
        <v/>
      </c>
      <c r="LB63" s="9">
        <f>KU63*BlendedPriceEssMonthly*KG63+KV63*BlendedPricePremMonthly*KG63+KW63*BlendedPriceEliteMonthly*KG63+KX63*BlendedPriceEssAnnual*KG63/12+KY63*BlendedPricePremAnnual*KG63/12+KZ63*BlendedPriceEliteAnnual*KG63/12</f>
        <v/>
      </c>
      <c r="LC63" s="9">
        <f>LB63*12</f>
        <v/>
      </c>
      <c r="LD63" s="12">
        <f>KU63*BlendedPriceEssMonthly*KG63+KV63*BlendedPricePremMonthly*KG63+KW63*BlendedPriceEliteMonthly*KG63</f>
        <v/>
      </c>
      <c r="LE63" s="12">
        <f>KR63*BlendedPriceEssAnnual*KG63+KS63*BlendedPricePremAnnual*KG63+KT63*BlendedPriceEliteAnnual*KG63</f>
        <v/>
      </c>
      <c r="LF63" s="12">
        <f>KR51*POWER(1-(AnnualChurn*VLOOKUP(KD63,ChurnSeasonTable,4,FALSE)),1)*BlendedPriceEssAnnual*KG63+KR39*POWER(1-(AnnualChurn*VLOOKUP(KD63,ChurnSeasonTable,4,FALSE)),2)*BlendedPriceEssAnnual*KG63+KR27*POWER(1-(AnnualChurn*VLOOKUP(KD63,ChurnSeasonTable,4,FALSE)),3)*BlendedPriceEssAnnual*KG63+KR15*POWER(1-(AnnualChurn*VLOOKUP(KD63,ChurnSeasonTable,4,FALSE)),4)*BlendedPriceEssAnnual*KG63+KS51*POWER(1-(AnnualChurn*VLOOKUP(KD63,ChurnSeasonTable,4,FALSE)),1)*BlendedPricePremAnnual*KG63+KS39*POWER(1-(AnnualChurn*VLOOKUP(KD63,ChurnSeasonTable,4,FALSE)),2)*BlendedPricePremAnnual*KG63+KS27*POWER(1-(AnnualChurn*VLOOKUP(KD63,ChurnSeasonTable,4,FALSE)),3)*BlendedPricePremAnnual*KG63+KS15*POWER(1-(AnnualChurn*VLOOKUP(KD63,ChurnSeasonTable,4,FALSE)),4)*BlendedPricePremAnnual*KG63+KT51*POWER(1-(AnnualChurn*VLOOKUP(KD63,ChurnSeasonTable,4,FALSE)),1)*BlendedPriceEliteAnnual*KG63+KT39*POWER(1-(AnnualChurn*VLOOKUP(KD63,ChurnSeasonTable,4,FALSE)),2)*BlendedPriceEliteAnnual*KG63+KT27*POWER(1-(AnnualChurn*VLOOKUP(KD63,ChurnSeasonTable,4,FALSE)),3)*BlendedPriceEliteAnnual*KG63+KT15*POWER(1-(AnnualChurn*VLOOKUP(KD63,ChurnSeasonTable,4,FALSE)),4)*BlendedPriceEliteAnnual*KG63</f>
        <v/>
      </c>
      <c r="LG63" s="9">
        <f>LD63+LE63+LF63</f>
        <v/>
      </c>
      <c r="LH63" s="12">
        <f>SUM(LG52:LG63)</f>
        <v/>
      </c>
      <c r="LI63" s="12">
        <f>OR(LI62,IF(VATAgentMode,SUM($LG52:$LG63)-SUM($LN52:$LN63)&gt;=VATThreshold,SUM($LG52:$LG63)&gt;=VATThreshold))</f>
        <v/>
      </c>
      <c r="LJ63" s="9">
        <f>IF(LI63,IF(VATAgentMode,LG63-((LG63-LN63)-(LG63-LN63)/(1+VATRate)),LG63/(1+VATRate)),LG63)</f>
        <v/>
      </c>
      <c r="LK63" s="12">
        <f>LG63-LJ63</f>
        <v/>
      </c>
      <c r="LL63" s="12">
        <f>IF(LI63=0,0,IF(KD63=1,SUMPRODUCT(--(($KE$5:$KE63=$KE63-1)*($KD$5:$KD63&gt;=10)*($KD$5:$KD63&lt;=12)),$LK$5:$LK63),IF(KD63=4,SUMPRODUCT(--(($KE$5:$KE63=$KE63)*($KD$5:$KD63&gt;=1)*($KD$5:$KD63&lt;=3)),$LK$5:$LK63),IF(KD63=7,SUMPRODUCT(--(($KE$5:$KE63=$KE63)*($KD$5:$KD63&gt;=4)*($KD$5:$KD63&lt;=6)),$LK$5:$LK63),IF(KD63=10,SUMPRODUCT(--(($KE$5:$KE63=$KE63)*($KD$5:$KD63&gt;=7)*($KD$5:$KD63&lt;=9)),$LK$5:$LK63),0)))))</f>
        <v/>
      </c>
      <c r="LM63" s="12">
        <f>LM62+LK63-LL63</f>
        <v/>
      </c>
      <c r="LN63" s="12">
        <f>IF(ProviderDelay&gt;=1,KU62*BlendedProvPayEss+KV62*BlendedProvPayPrem+KW62*BlendedProvPayElite+KX62*BlendedProvPayEss+KY62*BlendedProvPayPrem+KZ62*BlendedProvPayElite,KU63*BlendedProvPayEss+KV63*BlendedProvPayPrem+KW63*BlendedProvPayElite+KX63*BlendedProvPayEss+KY63*BlendedProvPayPrem+KZ63*BlendedProvPayElite)</f>
        <v/>
      </c>
      <c r="LO63" s="12">
        <f>LG63*PaymentFee</f>
        <v/>
      </c>
      <c r="LP63" s="12">
        <f>LA63*OpsAI</f>
        <v/>
      </c>
      <c r="LQ63" s="12">
        <f>MonthlyFixed</f>
        <v/>
      </c>
      <c r="LR63" s="12">
        <f>KK63*ReferralReward</f>
        <v/>
      </c>
      <c r="LS63" s="12">
        <f>KI63</f>
        <v/>
      </c>
      <c r="LT63" s="9">
        <f>LJ63-LN63-LO63-LP63-LQ63-LR63-LS63</f>
        <v/>
      </c>
      <c r="LU63" s="9">
        <f>LU62+LG63-(LN63+LO63+LP63+LQ63+LR63+LS63+LL63)</f>
        <v/>
      </c>
      <c r="LV63" s="12">
        <f>IF(LA63&gt;0,LB63/LA63,0)</f>
        <v/>
      </c>
      <c r="LW63" s="11">
        <f>IF(LA62&gt;0,MAX(0,(LA62+KL63-LA63)/LA62),0)</f>
        <v/>
      </c>
      <c r="LY63" s="12" t="n">
        <v>59</v>
      </c>
      <c r="LZ63" s="12">
        <f>MOD(LY63-1+LaunchMonth-1,12)+1</f>
        <v/>
      </c>
      <c r="MA63" s="12">
        <f>INT((LY63-1+LaunchMonth-1)/12)+1</f>
        <v/>
      </c>
      <c r="MB63" s="12">
        <f>VLOOKUP(LZ63,SeasonTable,2,FALSE)</f>
        <v/>
      </c>
      <c r="MC63" s="12">
        <f>(1+InflationRate)^INT((LY63-1)/12)</f>
        <v/>
      </c>
      <c r="MD63" s="11">
        <f>'Sens - Churn'!$A$17*VLOOKUP(LZ63,ChurnSeasonTable,4,FALSE)</f>
        <v/>
      </c>
      <c r="ME63" s="12">
        <f>MIN(MAX(MktMin19plus,NC62*MktPct19plus),MAX(0,NQ62-CashBuffer))</f>
        <v/>
      </c>
      <c r="MF63" s="12">
        <f>IF(ME63&gt;0,MAX(1,ROUND(ME63/CAC*MB63,0)),0)</f>
        <v/>
      </c>
      <c r="MG63" s="12">
        <f>IF(MF63&gt;0,ROUND(MF63*ReferralMix/(1-ReferralMix),0),0)</f>
        <v/>
      </c>
      <c r="MH63" s="12">
        <f>MF63+MG63</f>
        <v/>
      </c>
      <c r="MI63" s="12">
        <f>ROUND(MH63*(1-AnnualMix),0)</f>
        <v/>
      </c>
      <c r="MJ63" s="12">
        <f>MH63-MI63</f>
        <v/>
      </c>
      <c r="MK63" s="12">
        <f>ROUND(MI63*EssentialMix,0)</f>
        <v/>
      </c>
      <c r="ML63" s="12">
        <f>ROUND(MI63*PremiumMix,0)</f>
        <v/>
      </c>
      <c r="MM63" s="12">
        <f>MI63-MK63-ML63</f>
        <v/>
      </c>
      <c r="MN63" s="12">
        <f>ROUND(MJ63*EssentialMix,0)</f>
        <v/>
      </c>
      <c r="MO63" s="12">
        <f>ROUND(MJ63*PremiumMix,0)</f>
        <v/>
      </c>
      <c r="MP63" s="12">
        <f>MJ63-MN63-MO63</f>
        <v/>
      </c>
      <c r="MQ63" s="12">
        <f>MK63+MK62+MK61+MAX(0,MQ62-MK62-MK61)*(1-MD63)</f>
        <v/>
      </c>
      <c r="MR63" s="12">
        <f>ML63+ML62+ML61+MAX(0,MR62-ML62-ML61)*(1-MD63)</f>
        <v/>
      </c>
      <c r="MS63" s="12">
        <f>MM63+MM62+MM61+MAX(0,MS62-MM62-MM61)*(1-MD63)</f>
        <v/>
      </c>
      <c r="MT63" s="12">
        <f>MT62+MN63-MN51*(AnnualChurn*VLOOKUP(LZ63,ChurnSeasonTable,4,FALSE))*POWER(1-(AnnualChurn*VLOOKUP(LZ63,ChurnSeasonTable,4,FALSE)),0)+MN39*(AnnualChurn*VLOOKUP(LZ63,ChurnSeasonTable,4,FALSE))*POWER(1-(AnnualChurn*VLOOKUP(LZ63,ChurnSeasonTable,4,FALSE)),1)+MN27*(AnnualChurn*VLOOKUP(LZ63,ChurnSeasonTable,4,FALSE))*POWER(1-(AnnualChurn*VLOOKUP(LZ63,ChurnSeasonTable,4,FALSE)),2)+MN15*(AnnualChurn*VLOOKUP(LZ63,ChurnSeasonTable,4,FALSE))*POWER(1-(AnnualChurn*VLOOKUP(LZ63,ChurnSeasonTable,4,FALSE)),3)</f>
        <v/>
      </c>
      <c r="MU63" s="12">
        <f>MU62+MO63-MO51*(AnnualChurn*VLOOKUP(LZ63,ChurnSeasonTable,4,FALSE))*POWER(1-(AnnualChurn*VLOOKUP(LZ63,ChurnSeasonTable,4,FALSE)),0)+MO39*(AnnualChurn*VLOOKUP(LZ63,ChurnSeasonTable,4,FALSE))*POWER(1-(AnnualChurn*VLOOKUP(LZ63,ChurnSeasonTable,4,FALSE)),1)+MO27*(AnnualChurn*VLOOKUP(LZ63,ChurnSeasonTable,4,FALSE))*POWER(1-(AnnualChurn*VLOOKUP(LZ63,ChurnSeasonTable,4,FALSE)),2)+MO15*(AnnualChurn*VLOOKUP(LZ63,ChurnSeasonTable,4,FALSE))*POWER(1-(AnnualChurn*VLOOKUP(LZ63,ChurnSeasonTable,4,FALSE)),3)</f>
        <v/>
      </c>
      <c r="MV63" s="12">
        <f>MV62+MP63-MP51*(AnnualChurn*VLOOKUP(LZ63,ChurnSeasonTable,4,FALSE))*POWER(1-(AnnualChurn*VLOOKUP(LZ63,ChurnSeasonTable,4,FALSE)),0)+MP39*(AnnualChurn*VLOOKUP(LZ63,ChurnSeasonTable,4,FALSE))*POWER(1-(AnnualChurn*VLOOKUP(LZ63,ChurnSeasonTable,4,FALSE)),1)+MP27*(AnnualChurn*VLOOKUP(LZ63,ChurnSeasonTable,4,FALSE))*POWER(1-(AnnualChurn*VLOOKUP(LZ63,ChurnSeasonTable,4,FALSE)),2)+MP15*(AnnualChurn*VLOOKUP(LZ63,ChurnSeasonTable,4,FALSE))*POWER(1-(AnnualChurn*VLOOKUP(LZ63,ChurnSeasonTable,4,FALSE)),3)</f>
        <v/>
      </c>
      <c r="MW63" s="12">
        <f>MQ63+MR63+MS63+MT63+MU63+MV63</f>
        <v/>
      </c>
      <c r="MX63" s="9">
        <f>MQ63*BlendedPriceEssMonthly*MC63+MR63*BlendedPricePremMonthly*MC63+MS63*BlendedPriceEliteMonthly*MC63+MT63*BlendedPriceEssAnnual*MC63/12+MU63*BlendedPricePremAnnual*MC63/12+MV63*BlendedPriceEliteAnnual*MC63/12</f>
        <v/>
      </c>
      <c r="MY63" s="9">
        <f>MX63*12</f>
        <v/>
      </c>
      <c r="MZ63" s="12">
        <f>MQ63*BlendedPriceEssMonthly*MC63+MR63*BlendedPricePremMonthly*MC63+MS63*BlendedPriceEliteMonthly*MC63</f>
        <v/>
      </c>
      <c r="NA63" s="12">
        <f>MN63*BlendedPriceEssAnnual*MC63+MO63*BlendedPricePremAnnual*MC63+MP63*BlendedPriceEliteAnnual*MC63</f>
        <v/>
      </c>
      <c r="NB63" s="12">
        <f>MN51*POWER(1-(AnnualChurn*VLOOKUP(LZ63,ChurnSeasonTable,4,FALSE)),1)*BlendedPriceEssAnnual*MC63+MN39*POWER(1-(AnnualChurn*VLOOKUP(LZ63,ChurnSeasonTable,4,FALSE)),2)*BlendedPriceEssAnnual*MC63+MN27*POWER(1-(AnnualChurn*VLOOKUP(LZ63,ChurnSeasonTable,4,FALSE)),3)*BlendedPriceEssAnnual*MC63+MN15*POWER(1-(AnnualChurn*VLOOKUP(LZ63,ChurnSeasonTable,4,FALSE)),4)*BlendedPriceEssAnnual*MC63+MO51*POWER(1-(AnnualChurn*VLOOKUP(LZ63,ChurnSeasonTable,4,FALSE)),1)*BlendedPricePremAnnual*MC63+MO39*POWER(1-(AnnualChurn*VLOOKUP(LZ63,ChurnSeasonTable,4,FALSE)),2)*BlendedPricePremAnnual*MC63+MO27*POWER(1-(AnnualChurn*VLOOKUP(LZ63,ChurnSeasonTable,4,FALSE)),3)*BlendedPricePremAnnual*MC63+MO15*POWER(1-(AnnualChurn*VLOOKUP(LZ63,ChurnSeasonTable,4,FALSE)),4)*BlendedPricePremAnnual*MC63+MP51*POWER(1-(AnnualChurn*VLOOKUP(LZ63,ChurnSeasonTable,4,FALSE)),1)*BlendedPriceEliteAnnual*MC63+MP39*POWER(1-(AnnualChurn*VLOOKUP(LZ63,ChurnSeasonTable,4,FALSE)),2)*BlendedPriceEliteAnnual*MC63+MP27*POWER(1-(AnnualChurn*VLOOKUP(LZ63,ChurnSeasonTable,4,FALSE)),3)*BlendedPriceEliteAnnual*MC63+MP15*POWER(1-(AnnualChurn*VLOOKUP(LZ63,ChurnSeasonTable,4,FALSE)),4)*BlendedPriceEliteAnnual*MC63</f>
        <v/>
      </c>
      <c r="NC63" s="9">
        <f>MZ63+NA63+NB63</f>
        <v/>
      </c>
      <c r="ND63" s="12">
        <f>SUM(NC52:NC63)</f>
        <v/>
      </c>
      <c r="NE63" s="12">
        <f>OR(NE62,IF(VATAgentMode,SUM($NC52:$NC63)-SUM($NJ52:$NJ63)&gt;=VATThreshold,SUM($NC52:$NC63)&gt;=VATThreshold))</f>
        <v/>
      </c>
      <c r="NF63" s="9">
        <f>IF(NE63,IF(VATAgentMode,NC63-((NC63-NJ63)-(NC63-NJ63)/(1+VATRate)),NC63/(1+VATRate)),NC63)</f>
        <v/>
      </c>
      <c r="NG63" s="12">
        <f>NC63-NF63</f>
        <v/>
      </c>
      <c r="NH63" s="12">
        <f>IF(NE63=0,0,IF(LZ63=1,SUMPRODUCT(--(($MA$5:$MA63=$MA63-1)*($LZ$5:$LZ63&gt;=10)*($LZ$5:$LZ63&lt;=12)),$NG$5:$NG63),IF(LZ63=4,SUMPRODUCT(--(($MA$5:$MA63=$MA63)*($LZ$5:$LZ63&gt;=1)*($LZ$5:$LZ63&lt;=3)),$NG$5:$NG63),IF(LZ63=7,SUMPRODUCT(--(($MA$5:$MA63=$MA63)*($LZ$5:$LZ63&gt;=4)*($LZ$5:$LZ63&lt;=6)),$NG$5:$NG63),IF(LZ63=10,SUMPRODUCT(--(($MA$5:$MA63=$MA63)*($LZ$5:$LZ63&gt;=7)*($LZ$5:$LZ63&lt;=9)),$NG$5:$NG63),0)))))</f>
        <v/>
      </c>
      <c r="NI63" s="12">
        <f>NI62+NG63-NH63</f>
        <v/>
      </c>
      <c r="NJ63" s="12">
        <f>IF(ProviderDelay&gt;=1,MQ62*BlendedProvPayEss+MR62*BlendedProvPayPrem+MS62*BlendedProvPayElite+MT62*BlendedProvPayEss+MU62*BlendedProvPayPrem+MV62*BlendedProvPayElite,MQ63*BlendedProvPayEss+MR63*BlendedProvPayPrem+MS63*BlendedProvPayElite+MT63*BlendedProvPayEss+MU63*BlendedProvPayPrem+MV63*BlendedProvPayElite)</f>
        <v/>
      </c>
      <c r="NK63" s="12">
        <f>NC63*PaymentFee</f>
        <v/>
      </c>
      <c r="NL63" s="12">
        <f>MW63*OpsAI</f>
        <v/>
      </c>
      <c r="NM63" s="12">
        <f>MonthlyFixed</f>
        <v/>
      </c>
      <c r="NN63" s="12">
        <f>MG63*ReferralReward</f>
        <v/>
      </c>
      <c r="NO63" s="12">
        <f>ME63</f>
        <v/>
      </c>
      <c r="NP63" s="9">
        <f>NF63-NJ63-NK63-NL63-NM63-NN63-NO63</f>
        <v/>
      </c>
      <c r="NQ63" s="9">
        <f>NQ62+NC63-(NJ63+NK63+NL63+NM63+NN63+NO63+NH63)</f>
        <v/>
      </c>
      <c r="NR63" s="12">
        <f>IF(MW63&gt;0,MX63/MW63,0)</f>
        <v/>
      </c>
      <c r="NS63" s="11">
        <f>IF(MW62&gt;0,MAX(0,(MW62+MH63-MW63)/MW62),0)</f>
        <v/>
      </c>
      <c r="NU63" s="12" t="n">
        <v>59</v>
      </c>
      <c r="NV63" s="12">
        <f>MOD(NU63-1+LaunchMonth-1,12)+1</f>
        <v/>
      </c>
      <c r="NW63" s="12">
        <f>INT((NU63-1+LaunchMonth-1)/12)+1</f>
        <v/>
      </c>
      <c r="NX63" s="12">
        <f>VLOOKUP(NV63,SeasonTable,2,FALSE)</f>
        <v/>
      </c>
      <c r="NY63" s="12">
        <f>(1+InflationRate)^INT((NU63-1)/12)</f>
        <v/>
      </c>
      <c r="NZ63" s="11">
        <f>'Sens - Churn'!$A$18*VLOOKUP(NV63,ChurnSeasonTable,4,FALSE)</f>
        <v/>
      </c>
      <c r="OA63" s="12">
        <f>MIN(MAX(MktMin19plus,OY62*MktPct19plus),MAX(0,PM62-CashBuffer))</f>
        <v/>
      </c>
      <c r="OB63" s="12">
        <f>IF(OA63&gt;0,MAX(1,ROUND(OA63/CAC*NX63,0)),0)</f>
        <v/>
      </c>
      <c r="OC63" s="12">
        <f>IF(OB63&gt;0,ROUND(OB63*ReferralMix/(1-ReferralMix),0),0)</f>
        <v/>
      </c>
      <c r="OD63" s="12">
        <f>OB63+OC63</f>
        <v/>
      </c>
      <c r="OE63" s="12">
        <f>ROUND(OD63*(1-AnnualMix),0)</f>
        <v/>
      </c>
      <c r="OF63" s="12">
        <f>OD63-OE63</f>
        <v/>
      </c>
      <c r="OG63" s="12">
        <f>ROUND(OE63*EssentialMix,0)</f>
        <v/>
      </c>
      <c r="OH63" s="12">
        <f>ROUND(OE63*PremiumMix,0)</f>
        <v/>
      </c>
      <c r="OI63" s="12">
        <f>OE63-OG63-OH63</f>
        <v/>
      </c>
      <c r="OJ63" s="12">
        <f>ROUND(OF63*EssentialMix,0)</f>
        <v/>
      </c>
      <c r="OK63" s="12">
        <f>ROUND(OF63*PremiumMix,0)</f>
        <v/>
      </c>
      <c r="OL63" s="12">
        <f>OF63-OJ63-OK63</f>
        <v/>
      </c>
      <c r="OM63" s="12">
        <f>OG63+OG62+OG61+MAX(0,OM62-OG62-OG61)*(1-NZ63)</f>
        <v/>
      </c>
      <c r="ON63" s="12">
        <f>OH63+OH62+OH61+MAX(0,ON62-OH62-OH61)*(1-NZ63)</f>
        <v/>
      </c>
      <c r="OO63" s="12">
        <f>OI63+OI62+OI61+MAX(0,OO62-OI62-OI61)*(1-NZ63)</f>
        <v/>
      </c>
      <c r="OP63" s="12">
        <f>OP62+OJ63-OJ51*(AnnualChurn*VLOOKUP(NV63,ChurnSeasonTable,4,FALSE))*POWER(1-(AnnualChurn*VLOOKUP(NV63,ChurnSeasonTable,4,FALSE)),0)+OJ39*(AnnualChurn*VLOOKUP(NV63,ChurnSeasonTable,4,FALSE))*POWER(1-(AnnualChurn*VLOOKUP(NV63,ChurnSeasonTable,4,FALSE)),1)+OJ27*(AnnualChurn*VLOOKUP(NV63,ChurnSeasonTable,4,FALSE))*POWER(1-(AnnualChurn*VLOOKUP(NV63,ChurnSeasonTable,4,FALSE)),2)+OJ15*(AnnualChurn*VLOOKUP(NV63,ChurnSeasonTable,4,FALSE))*POWER(1-(AnnualChurn*VLOOKUP(NV63,ChurnSeasonTable,4,FALSE)),3)</f>
        <v/>
      </c>
      <c r="OQ63" s="12">
        <f>OQ62+OK63-OK51*(AnnualChurn*VLOOKUP(NV63,ChurnSeasonTable,4,FALSE))*POWER(1-(AnnualChurn*VLOOKUP(NV63,ChurnSeasonTable,4,FALSE)),0)+OK39*(AnnualChurn*VLOOKUP(NV63,ChurnSeasonTable,4,FALSE))*POWER(1-(AnnualChurn*VLOOKUP(NV63,ChurnSeasonTable,4,FALSE)),1)+OK27*(AnnualChurn*VLOOKUP(NV63,ChurnSeasonTable,4,FALSE))*POWER(1-(AnnualChurn*VLOOKUP(NV63,ChurnSeasonTable,4,FALSE)),2)+OK15*(AnnualChurn*VLOOKUP(NV63,ChurnSeasonTable,4,FALSE))*POWER(1-(AnnualChurn*VLOOKUP(NV63,ChurnSeasonTable,4,FALSE)),3)</f>
        <v/>
      </c>
      <c r="OR63" s="12">
        <f>OR62+OL63-OL51*(AnnualChurn*VLOOKUP(NV63,ChurnSeasonTable,4,FALSE))*POWER(1-(AnnualChurn*VLOOKUP(NV63,ChurnSeasonTable,4,FALSE)),0)+OL39*(AnnualChurn*VLOOKUP(NV63,ChurnSeasonTable,4,FALSE))*POWER(1-(AnnualChurn*VLOOKUP(NV63,ChurnSeasonTable,4,FALSE)),1)+OL27*(AnnualChurn*VLOOKUP(NV63,ChurnSeasonTable,4,FALSE))*POWER(1-(AnnualChurn*VLOOKUP(NV63,ChurnSeasonTable,4,FALSE)),2)+OL15*(AnnualChurn*VLOOKUP(NV63,ChurnSeasonTable,4,FALSE))*POWER(1-(AnnualChurn*VLOOKUP(NV63,ChurnSeasonTable,4,FALSE)),3)</f>
        <v/>
      </c>
      <c r="OS63" s="12">
        <f>OM63+ON63+OO63+OP63+OQ63+OR63</f>
        <v/>
      </c>
      <c r="OT63" s="9">
        <f>OM63*BlendedPriceEssMonthly*NY63+ON63*BlendedPricePremMonthly*NY63+OO63*BlendedPriceEliteMonthly*NY63+OP63*BlendedPriceEssAnnual*NY63/12+OQ63*BlendedPricePremAnnual*NY63/12+OR63*BlendedPriceEliteAnnual*NY63/12</f>
        <v/>
      </c>
      <c r="OU63" s="9">
        <f>OT63*12</f>
        <v/>
      </c>
      <c r="OV63" s="12">
        <f>OM63*BlendedPriceEssMonthly*NY63+ON63*BlendedPricePremMonthly*NY63+OO63*BlendedPriceEliteMonthly*NY63</f>
        <v/>
      </c>
      <c r="OW63" s="12">
        <f>OJ63*BlendedPriceEssAnnual*NY63+OK63*BlendedPricePremAnnual*NY63+OL63*BlendedPriceEliteAnnual*NY63</f>
        <v/>
      </c>
      <c r="OX63" s="12">
        <f>OJ51*POWER(1-(AnnualChurn*VLOOKUP(NV63,ChurnSeasonTable,4,FALSE)),1)*BlendedPriceEssAnnual*NY63+OJ39*POWER(1-(AnnualChurn*VLOOKUP(NV63,ChurnSeasonTable,4,FALSE)),2)*BlendedPriceEssAnnual*NY63+OJ27*POWER(1-(AnnualChurn*VLOOKUP(NV63,ChurnSeasonTable,4,FALSE)),3)*BlendedPriceEssAnnual*NY63+OJ15*POWER(1-(AnnualChurn*VLOOKUP(NV63,ChurnSeasonTable,4,FALSE)),4)*BlendedPriceEssAnnual*NY63+OK51*POWER(1-(AnnualChurn*VLOOKUP(NV63,ChurnSeasonTable,4,FALSE)),1)*BlendedPricePremAnnual*NY63+OK39*POWER(1-(AnnualChurn*VLOOKUP(NV63,ChurnSeasonTable,4,FALSE)),2)*BlendedPricePremAnnual*NY63+OK27*POWER(1-(AnnualChurn*VLOOKUP(NV63,ChurnSeasonTable,4,FALSE)),3)*BlendedPricePremAnnual*NY63+OK15*POWER(1-(AnnualChurn*VLOOKUP(NV63,ChurnSeasonTable,4,FALSE)),4)*BlendedPricePremAnnual*NY63+OL51*POWER(1-(AnnualChurn*VLOOKUP(NV63,ChurnSeasonTable,4,FALSE)),1)*BlendedPriceEliteAnnual*NY63+OL39*POWER(1-(AnnualChurn*VLOOKUP(NV63,ChurnSeasonTable,4,FALSE)),2)*BlendedPriceEliteAnnual*NY63+OL27*POWER(1-(AnnualChurn*VLOOKUP(NV63,ChurnSeasonTable,4,FALSE)),3)*BlendedPriceEliteAnnual*NY63+OL15*POWER(1-(AnnualChurn*VLOOKUP(NV63,ChurnSeasonTable,4,FALSE)),4)*BlendedPriceEliteAnnual*NY63</f>
        <v/>
      </c>
      <c r="OY63" s="9">
        <f>OV63+OW63+OX63</f>
        <v/>
      </c>
      <c r="OZ63" s="12">
        <f>SUM(OY52:OY63)</f>
        <v/>
      </c>
      <c r="PA63" s="12">
        <f>OR(PA62,IF(VATAgentMode,SUM($OY52:$OY63)-SUM($PF52:$PF63)&gt;=VATThreshold,SUM($OY52:$OY63)&gt;=VATThreshold))</f>
        <v/>
      </c>
      <c r="PB63" s="9">
        <f>IF(PA63,IF(VATAgentMode,OY63-((OY63-PF63)-(OY63-PF63)/(1+VATRate)),OY63/(1+VATRate)),OY63)</f>
        <v/>
      </c>
      <c r="PC63" s="12">
        <f>OY63-PB63</f>
        <v/>
      </c>
      <c r="PD63" s="12">
        <f>IF(PA63=0,0,IF(NV63=1,SUMPRODUCT(--(($NW$5:$NW63=$NW63-1)*($NV$5:$NV63&gt;=10)*($NV$5:$NV63&lt;=12)),$PC$5:$PC63),IF(NV63=4,SUMPRODUCT(--(($NW$5:$NW63=$NW63)*($NV$5:$NV63&gt;=1)*($NV$5:$NV63&lt;=3)),$PC$5:$PC63),IF(NV63=7,SUMPRODUCT(--(($NW$5:$NW63=$NW63)*($NV$5:$NV63&gt;=4)*($NV$5:$NV63&lt;=6)),$PC$5:$PC63),IF(NV63=10,SUMPRODUCT(--(($NW$5:$NW63=$NW63)*($NV$5:$NV63&gt;=7)*($NV$5:$NV63&lt;=9)),$PC$5:$PC63),0)))))</f>
        <v/>
      </c>
      <c r="PE63" s="12">
        <f>PE62+PC63-PD63</f>
        <v/>
      </c>
      <c r="PF63" s="12">
        <f>IF(ProviderDelay&gt;=1,OM62*BlendedProvPayEss+ON62*BlendedProvPayPrem+OO62*BlendedProvPayElite+OP62*BlendedProvPayEss+OQ62*BlendedProvPayPrem+OR62*BlendedProvPayElite,OM63*BlendedProvPayEss+ON63*BlendedProvPayPrem+OO63*BlendedProvPayElite+OP63*BlendedProvPayEss+OQ63*BlendedProvPayPrem+OR63*BlendedProvPayElite)</f>
        <v/>
      </c>
      <c r="PG63" s="12">
        <f>OY63*PaymentFee</f>
        <v/>
      </c>
      <c r="PH63" s="12">
        <f>OS63*OpsAI</f>
        <v/>
      </c>
      <c r="PI63" s="12">
        <f>MonthlyFixed</f>
        <v/>
      </c>
      <c r="PJ63" s="12">
        <f>OC63*ReferralReward</f>
        <v/>
      </c>
      <c r="PK63" s="12">
        <f>OA63</f>
        <v/>
      </c>
      <c r="PL63" s="9">
        <f>PB63-PF63-PG63-PH63-PI63-PJ63-PK63</f>
        <v/>
      </c>
      <c r="PM63" s="9">
        <f>PM62+OY63-(PF63+PG63+PH63+PI63+PJ63+PK63+PD63)</f>
        <v/>
      </c>
      <c r="PN63" s="12">
        <f>IF(OS63&gt;0,OT63/OS63,0)</f>
        <v/>
      </c>
      <c r="PO63" s="11">
        <f>IF(OS62&gt;0,MAX(0,(OS62+OD63-OS63)/OS62),0)</f>
        <v/>
      </c>
      <c r="PQ63" s="12" t="n">
        <v>59</v>
      </c>
      <c r="PR63" s="12">
        <f>MOD(PQ63-1+LaunchMonth-1,12)+1</f>
        <v/>
      </c>
      <c r="PS63" s="12">
        <f>INT((PQ63-1+LaunchMonth-1)/12)+1</f>
        <v/>
      </c>
      <c r="PT63" s="12">
        <f>VLOOKUP(PR63,SeasonTable,2,FALSE)</f>
        <v/>
      </c>
      <c r="PU63" s="12">
        <f>(1+InflationRate)^INT((PQ63-1)/12)</f>
        <v/>
      </c>
      <c r="PV63" s="11">
        <f>'Sens - Churn'!$A$19*VLOOKUP(PR63,ChurnSeasonTable,4,FALSE)</f>
        <v/>
      </c>
      <c r="PW63" s="12">
        <f>MIN(MAX(MktMin19plus,QU62*MktPct19plus),MAX(0,RI62-CashBuffer))</f>
        <v/>
      </c>
      <c r="PX63" s="12">
        <f>IF(PW63&gt;0,MAX(1,ROUND(PW63/CAC*PT63,0)),0)</f>
        <v/>
      </c>
      <c r="PY63" s="12">
        <f>IF(PX63&gt;0,ROUND(PX63*ReferralMix/(1-ReferralMix),0),0)</f>
        <v/>
      </c>
      <c r="PZ63" s="12">
        <f>PX63+PY63</f>
        <v/>
      </c>
      <c r="QA63" s="12">
        <f>ROUND(PZ63*(1-AnnualMix),0)</f>
        <v/>
      </c>
      <c r="QB63" s="12">
        <f>PZ63-QA63</f>
        <v/>
      </c>
      <c r="QC63" s="12">
        <f>ROUND(QA63*EssentialMix,0)</f>
        <v/>
      </c>
      <c r="QD63" s="12">
        <f>ROUND(QA63*PremiumMix,0)</f>
        <v/>
      </c>
      <c r="QE63" s="12">
        <f>QA63-QC63-QD63</f>
        <v/>
      </c>
      <c r="QF63" s="12">
        <f>ROUND(QB63*EssentialMix,0)</f>
        <v/>
      </c>
      <c r="QG63" s="12">
        <f>ROUND(QB63*PremiumMix,0)</f>
        <v/>
      </c>
      <c r="QH63" s="12">
        <f>QB63-QF63-QG63</f>
        <v/>
      </c>
      <c r="QI63" s="12">
        <f>QC63+QC62+QC61+MAX(0,QI62-QC62-QC61)*(1-PV63)</f>
        <v/>
      </c>
      <c r="QJ63" s="12">
        <f>QD63+QD62+QD61+MAX(0,QJ62-QD62-QD61)*(1-PV63)</f>
        <v/>
      </c>
      <c r="QK63" s="12">
        <f>QE63+QE62+QE61+MAX(0,QK62-QE62-QE61)*(1-PV63)</f>
        <v/>
      </c>
      <c r="QL63" s="12">
        <f>QL62+QF63-QF51*(AnnualChurn*VLOOKUP(PR63,ChurnSeasonTable,4,FALSE))*POWER(1-(AnnualChurn*VLOOKUP(PR63,ChurnSeasonTable,4,FALSE)),0)+QF39*(AnnualChurn*VLOOKUP(PR63,ChurnSeasonTable,4,FALSE))*POWER(1-(AnnualChurn*VLOOKUP(PR63,ChurnSeasonTable,4,FALSE)),1)+QF27*(AnnualChurn*VLOOKUP(PR63,ChurnSeasonTable,4,FALSE))*POWER(1-(AnnualChurn*VLOOKUP(PR63,ChurnSeasonTable,4,FALSE)),2)+QF15*(AnnualChurn*VLOOKUP(PR63,ChurnSeasonTable,4,FALSE))*POWER(1-(AnnualChurn*VLOOKUP(PR63,ChurnSeasonTable,4,FALSE)),3)</f>
        <v/>
      </c>
      <c r="QM63" s="12">
        <f>QM62+QG63-QG51*(AnnualChurn*VLOOKUP(PR63,ChurnSeasonTable,4,FALSE))*POWER(1-(AnnualChurn*VLOOKUP(PR63,ChurnSeasonTable,4,FALSE)),0)+QG39*(AnnualChurn*VLOOKUP(PR63,ChurnSeasonTable,4,FALSE))*POWER(1-(AnnualChurn*VLOOKUP(PR63,ChurnSeasonTable,4,FALSE)),1)+QG27*(AnnualChurn*VLOOKUP(PR63,ChurnSeasonTable,4,FALSE))*POWER(1-(AnnualChurn*VLOOKUP(PR63,ChurnSeasonTable,4,FALSE)),2)+QG15*(AnnualChurn*VLOOKUP(PR63,ChurnSeasonTable,4,FALSE))*POWER(1-(AnnualChurn*VLOOKUP(PR63,ChurnSeasonTable,4,FALSE)),3)</f>
        <v/>
      </c>
      <c r="QN63" s="12">
        <f>QN62+QH63-QH51*(AnnualChurn*VLOOKUP(PR63,ChurnSeasonTable,4,FALSE))*POWER(1-(AnnualChurn*VLOOKUP(PR63,ChurnSeasonTable,4,FALSE)),0)+QH39*(AnnualChurn*VLOOKUP(PR63,ChurnSeasonTable,4,FALSE))*POWER(1-(AnnualChurn*VLOOKUP(PR63,ChurnSeasonTable,4,FALSE)),1)+QH27*(AnnualChurn*VLOOKUP(PR63,ChurnSeasonTable,4,FALSE))*POWER(1-(AnnualChurn*VLOOKUP(PR63,ChurnSeasonTable,4,FALSE)),2)+QH15*(AnnualChurn*VLOOKUP(PR63,ChurnSeasonTable,4,FALSE))*POWER(1-(AnnualChurn*VLOOKUP(PR63,ChurnSeasonTable,4,FALSE)),3)</f>
        <v/>
      </c>
      <c r="QO63" s="12">
        <f>QI63+QJ63+QK63+QL63+QM63+QN63</f>
        <v/>
      </c>
      <c r="QP63" s="9">
        <f>QI63*BlendedPriceEssMonthly*PU63+QJ63*BlendedPricePremMonthly*PU63+QK63*BlendedPriceEliteMonthly*PU63+QL63*BlendedPriceEssAnnual*PU63/12+QM63*BlendedPricePremAnnual*PU63/12+QN63*BlendedPriceEliteAnnual*PU63/12</f>
        <v/>
      </c>
      <c r="QQ63" s="9">
        <f>QP63*12</f>
        <v/>
      </c>
      <c r="QR63" s="12">
        <f>QI63*BlendedPriceEssMonthly*PU63+QJ63*BlendedPricePremMonthly*PU63+QK63*BlendedPriceEliteMonthly*PU63</f>
        <v/>
      </c>
      <c r="QS63" s="12">
        <f>QF63*BlendedPriceEssAnnual*PU63+QG63*BlendedPricePremAnnual*PU63+QH63*BlendedPriceEliteAnnual*PU63</f>
        <v/>
      </c>
      <c r="QT63" s="12">
        <f>QF51*POWER(1-(AnnualChurn*VLOOKUP(PR63,ChurnSeasonTable,4,FALSE)),1)*BlendedPriceEssAnnual*PU63+QF39*POWER(1-(AnnualChurn*VLOOKUP(PR63,ChurnSeasonTable,4,FALSE)),2)*BlendedPriceEssAnnual*PU63+QF27*POWER(1-(AnnualChurn*VLOOKUP(PR63,ChurnSeasonTable,4,FALSE)),3)*BlendedPriceEssAnnual*PU63+QF15*POWER(1-(AnnualChurn*VLOOKUP(PR63,ChurnSeasonTable,4,FALSE)),4)*BlendedPriceEssAnnual*PU63+QG51*POWER(1-(AnnualChurn*VLOOKUP(PR63,ChurnSeasonTable,4,FALSE)),1)*BlendedPricePremAnnual*PU63+QG39*POWER(1-(AnnualChurn*VLOOKUP(PR63,ChurnSeasonTable,4,FALSE)),2)*BlendedPricePremAnnual*PU63+QG27*POWER(1-(AnnualChurn*VLOOKUP(PR63,ChurnSeasonTable,4,FALSE)),3)*BlendedPricePremAnnual*PU63+QG15*POWER(1-(AnnualChurn*VLOOKUP(PR63,ChurnSeasonTable,4,FALSE)),4)*BlendedPricePremAnnual*PU63+QH51*POWER(1-(AnnualChurn*VLOOKUP(PR63,ChurnSeasonTable,4,FALSE)),1)*BlendedPriceEliteAnnual*PU63+QH39*POWER(1-(AnnualChurn*VLOOKUP(PR63,ChurnSeasonTable,4,FALSE)),2)*BlendedPriceEliteAnnual*PU63+QH27*POWER(1-(AnnualChurn*VLOOKUP(PR63,ChurnSeasonTable,4,FALSE)),3)*BlendedPriceEliteAnnual*PU63+QH15*POWER(1-(AnnualChurn*VLOOKUP(PR63,ChurnSeasonTable,4,FALSE)),4)*BlendedPriceEliteAnnual*PU63</f>
        <v/>
      </c>
      <c r="QU63" s="9">
        <f>QR63+QS63+QT63</f>
        <v/>
      </c>
      <c r="QV63" s="12">
        <f>SUM(QU52:QU63)</f>
        <v/>
      </c>
      <c r="QW63" s="12">
        <f>OR(QW62,IF(VATAgentMode,SUM($QU52:$QU63)-SUM($RB52:$RB63)&gt;=VATThreshold,SUM($QU52:$QU63)&gt;=VATThreshold))</f>
        <v/>
      </c>
      <c r="QX63" s="9">
        <f>IF(QW63,IF(VATAgentMode,QU63-((QU63-RB63)-(QU63-RB63)/(1+VATRate)),QU63/(1+VATRate)),QU63)</f>
        <v/>
      </c>
      <c r="QY63" s="12">
        <f>QU63-QX63</f>
        <v/>
      </c>
      <c r="QZ63" s="12">
        <f>IF(QW63=0,0,IF(PR63=1,SUMPRODUCT(--(($PS$5:$PS63=$PS63-1)*($PR$5:$PR63&gt;=10)*($PR$5:$PR63&lt;=12)),$QY$5:$QY63),IF(PR63=4,SUMPRODUCT(--(($PS$5:$PS63=$PS63)*($PR$5:$PR63&gt;=1)*($PR$5:$PR63&lt;=3)),$QY$5:$QY63),IF(PR63=7,SUMPRODUCT(--(($PS$5:$PS63=$PS63)*($PR$5:$PR63&gt;=4)*($PR$5:$PR63&lt;=6)),$QY$5:$QY63),IF(PR63=10,SUMPRODUCT(--(($PS$5:$PS63=$PS63)*($PR$5:$PR63&gt;=7)*($PR$5:$PR63&lt;=9)),$QY$5:$QY63),0)))))</f>
        <v/>
      </c>
      <c r="RA63" s="12">
        <f>RA62+QY63-QZ63</f>
        <v/>
      </c>
      <c r="RB63" s="12">
        <f>IF(ProviderDelay&gt;=1,QI62*BlendedProvPayEss+QJ62*BlendedProvPayPrem+QK62*BlendedProvPayElite+QL62*BlendedProvPayEss+QM62*BlendedProvPayPrem+QN62*BlendedProvPayElite,QI63*BlendedProvPayEss+QJ63*BlendedProvPayPrem+QK63*BlendedProvPayElite+QL63*BlendedProvPayEss+QM63*BlendedProvPayPrem+QN63*BlendedProvPayElite)</f>
        <v/>
      </c>
      <c r="RC63" s="12">
        <f>QU63*PaymentFee</f>
        <v/>
      </c>
      <c r="RD63" s="12">
        <f>QO63*OpsAI</f>
        <v/>
      </c>
      <c r="RE63" s="12">
        <f>MonthlyFixed</f>
        <v/>
      </c>
      <c r="RF63" s="12">
        <f>PY63*ReferralReward</f>
        <v/>
      </c>
      <c r="RG63" s="12">
        <f>PW63</f>
        <v/>
      </c>
      <c r="RH63" s="9">
        <f>QX63-RB63-RC63-RD63-RE63-RF63-RG63</f>
        <v/>
      </c>
      <c r="RI63" s="9">
        <f>RI62+QU63-(RB63+RC63+RD63+RE63+RF63+RG63+QZ63)</f>
        <v/>
      </c>
      <c r="RJ63" s="12">
        <f>IF(QO63&gt;0,QP63/QO63,0)</f>
        <v/>
      </c>
      <c r="RK63" s="11">
        <f>IF(QO62&gt;0,MAX(0,(QO62+PZ63-QO63)/QO62),0)</f>
        <v/>
      </c>
      <c r="RM63" s="12" t="n">
        <v>59</v>
      </c>
      <c r="RN63" s="12">
        <f>MOD(RM63-1+LaunchMonth-1,12)+1</f>
        <v/>
      </c>
      <c r="RO63" s="12">
        <f>INT((RM63-1+LaunchMonth-1)/12)+1</f>
        <v/>
      </c>
      <c r="RP63" s="12">
        <f>VLOOKUP(RN63,SeasonTable,2,FALSE)</f>
        <v/>
      </c>
      <c r="RQ63" s="12">
        <f>(1+InflationRate)^INT((RM63-1)/12)</f>
        <v/>
      </c>
      <c r="RR63" s="11">
        <f>'Sens - Churn'!$A$20*VLOOKUP(RN63,ChurnSeasonTable,4,FALSE)</f>
        <v/>
      </c>
      <c r="RS63" s="12">
        <f>MIN(MAX(MktMin19plus,SQ62*MktPct19plus),MAX(0,TE62-CashBuffer))</f>
        <v/>
      </c>
      <c r="RT63" s="12">
        <f>IF(RS63&gt;0,MAX(1,ROUND(RS63/CAC*RP63,0)),0)</f>
        <v/>
      </c>
      <c r="RU63" s="12">
        <f>IF(RT63&gt;0,ROUND(RT63*ReferralMix/(1-ReferralMix),0),0)</f>
        <v/>
      </c>
      <c r="RV63" s="12">
        <f>RT63+RU63</f>
        <v/>
      </c>
      <c r="RW63" s="12">
        <f>ROUND(RV63*(1-AnnualMix),0)</f>
        <v/>
      </c>
      <c r="RX63" s="12">
        <f>RV63-RW63</f>
        <v/>
      </c>
      <c r="RY63" s="12">
        <f>ROUND(RW63*EssentialMix,0)</f>
        <v/>
      </c>
      <c r="RZ63" s="12">
        <f>ROUND(RW63*PremiumMix,0)</f>
        <v/>
      </c>
      <c r="SA63" s="12">
        <f>RW63-RY63-RZ63</f>
        <v/>
      </c>
      <c r="SB63" s="12">
        <f>ROUND(RX63*EssentialMix,0)</f>
        <v/>
      </c>
      <c r="SC63" s="12">
        <f>ROUND(RX63*PremiumMix,0)</f>
        <v/>
      </c>
      <c r="SD63" s="12">
        <f>RX63-SB63-SC63</f>
        <v/>
      </c>
      <c r="SE63" s="12">
        <f>RY63+RY62+RY61+MAX(0,SE62-RY62-RY61)*(1-RR63)</f>
        <v/>
      </c>
      <c r="SF63" s="12">
        <f>RZ63+RZ62+RZ61+MAX(0,SF62-RZ62-RZ61)*(1-RR63)</f>
        <v/>
      </c>
      <c r="SG63" s="12">
        <f>SA63+SA62+SA61+MAX(0,SG62-SA62-SA61)*(1-RR63)</f>
        <v/>
      </c>
      <c r="SH63" s="12">
        <f>SH62+SB63-SB51*(AnnualChurn*VLOOKUP(RN63,ChurnSeasonTable,4,FALSE))*POWER(1-(AnnualChurn*VLOOKUP(RN63,ChurnSeasonTable,4,FALSE)),0)+SB39*(AnnualChurn*VLOOKUP(RN63,ChurnSeasonTable,4,FALSE))*POWER(1-(AnnualChurn*VLOOKUP(RN63,ChurnSeasonTable,4,FALSE)),1)+SB27*(AnnualChurn*VLOOKUP(RN63,ChurnSeasonTable,4,FALSE))*POWER(1-(AnnualChurn*VLOOKUP(RN63,ChurnSeasonTable,4,FALSE)),2)+SB15*(AnnualChurn*VLOOKUP(RN63,ChurnSeasonTable,4,FALSE))*POWER(1-(AnnualChurn*VLOOKUP(RN63,ChurnSeasonTable,4,FALSE)),3)</f>
        <v/>
      </c>
      <c r="SI63" s="12">
        <f>SI62+SC63-SC51*(AnnualChurn*VLOOKUP(RN63,ChurnSeasonTable,4,FALSE))*POWER(1-(AnnualChurn*VLOOKUP(RN63,ChurnSeasonTable,4,FALSE)),0)+SC39*(AnnualChurn*VLOOKUP(RN63,ChurnSeasonTable,4,FALSE))*POWER(1-(AnnualChurn*VLOOKUP(RN63,ChurnSeasonTable,4,FALSE)),1)+SC27*(AnnualChurn*VLOOKUP(RN63,ChurnSeasonTable,4,FALSE))*POWER(1-(AnnualChurn*VLOOKUP(RN63,ChurnSeasonTable,4,FALSE)),2)+SC15*(AnnualChurn*VLOOKUP(RN63,ChurnSeasonTable,4,FALSE))*POWER(1-(AnnualChurn*VLOOKUP(RN63,ChurnSeasonTable,4,FALSE)),3)</f>
        <v/>
      </c>
      <c r="SJ63" s="12">
        <f>SJ62+SD63-SD51*(AnnualChurn*VLOOKUP(RN63,ChurnSeasonTable,4,FALSE))*POWER(1-(AnnualChurn*VLOOKUP(RN63,ChurnSeasonTable,4,FALSE)),0)+SD39*(AnnualChurn*VLOOKUP(RN63,ChurnSeasonTable,4,FALSE))*POWER(1-(AnnualChurn*VLOOKUP(RN63,ChurnSeasonTable,4,FALSE)),1)+SD27*(AnnualChurn*VLOOKUP(RN63,ChurnSeasonTable,4,FALSE))*POWER(1-(AnnualChurn*VLOOKUP(RN63,ChurnSeasonTable,4,FALSE)),2)+SD15*(AnnualChurn*VLOOKUP(RN63,ChurnSeasonTable,4,FALSE))*POWER(1-(AnnualChurn*VLOOKUP(RN63,ChurnSeasonTable,4,FALSE)),3)</f>
        <v/>
      </c>
      <c r="SK63" s="12">
        <f>SE63+SF63+SG63+SH63+SI63+SJ63</f>
        <v/>
      </c>
      <c r="SL63" s="9">
        <f>SE63*BlendedPriceEssMonthly*RQ63+SF63*BlendedPricePremMonthly*RQ63+SG63*BlendedPriceEliteMonthly*RQ63+SH63*BlendedPriceEssAnnual*RQ63/12+SI63*BlendedPricePremAnnual*RQ63/12+SJ63*BlendedPriceEliteAnnual*RQ63/12</f>
        <v/>
      </c>
      <c r="SM63" s="9">
        <f>SL63*12</f>
        <v/>
      </c>
      <c r="SN63" s="12">
        <f>SE63*BlendedPriceEssMonthly*RQ63+SF63*BlendedPricePremMonthly*RQ63+SG63*BlendedPriceEliteMonthly*RQ63</f>
        <v/>
      </c>
      <c r="SO63" s="12">
        <f>SB63*BlendedPriceEssAnnual*RQ63+SC63*BlendedPricePremAnnual*RQ63+SD63*BlendedPriceEliteAnnual*RQ63</f>
        <v/>
      </c>
      <c r="SP63" s="12">
        <f>SB51*POWER(1-(AnnualChurn*VLOOKUP(RN63,ChurnSeasonTable,4,FALSE)),1)*BlendedPriceEssAnnual*RQ63+SB39*POWER(1-(AnnualChurn*VLOOKUP(RN63,ChurnSeasonTable,4,FALSE)),2)*BlendedPriceEssAnnual*RQ63+SB27*POWER(1-(AnnualChurn*VLOOKUP(RN63,ChurnSeasonTable,4,FALSE)),3)*BlendedPriceEssAnnual*RQ63+SB15*POWER(1-(AnnualChurn*VLOOKUP(RN63,ChurnSeasonTable,4,FALSE)),4)*BlendedPriceEssAnnual*RQ63+SC51*POWER(1-(AnnualChurn*VLOOKUP(RN63,ChurnSeasonTable,4,FALSE)),1)*BlendedPricePremAnnual*RQ63+SC39*POWER(1-(AnnualChurn*VLOOKUP(RN63,ChurnSeasonTable,4,FALSE)),2)*BlendedPricePremAnnual*RQ63+SC27*POWER(1-(AnnualChurn*VLOOKUP(RN63,ChurnSeasonTable,4,FALSE)),3)*BlendedPricePremAnnual*RQ63+SC15*POWER(1-(AnnualChurn*VLOOKUP(RN63,ChurnSeasonTable,4,FALSE)),4)*BlendedPricePremAnnual*RQ63+SD51*POWER(1-(AnnualChurn*VLOOKUP(RN63,ChurnSeasonTable,4,FALSE)),1)*BlendedPriceEliteAnnual*RQ63+SD39*POWER(1-(AnnualChurn*VLOOKUP(RN63,ChurnSeasonTable,4,FALSE)),2)*BlendedPriceEliteAnnual*RQ63+SD27*POWER(1-(AnnualChurn*VLOOKUP(RN63,ChurnSeasonTable,4,FALSE)),3)*BlendedPriceEliteAnnual*RQ63+SD15*POWER(1-(AnnualChurn*VLOOKUP(RN63,ChurnSeasonTable,4,FALSE)),4)*BlendedPriceEliteAnnual*RQ63</f>
        <v/>
      </c>
      <c r="SQ63" s="9">
        <f>SN63+SO63+SP63</f>
        <v/>
      </c>
      <c r="SR63" s="12">
        <f>SUM(SQ52:SQ63)</f>
        <v/>
      </c>
      <c r="SS63" s="12">
        <f>OR(SS62,IF(VATAgentMode,SUM($SQ52:$SQ63)-SUM($SX52:$SX63)&gt;=VATThreshold,SUM($SQ52:$SQ63)&gt;=VATThreshold))</f>
        <v/>
      </c>
      <c r="ST63" s="9">
        <f>IF(SS63,IF(VATAgentMode,SQ63-((SQ63-SX63)-(SQ63-SX63)/(1+VATRate)),SQ63/(1+VATRate)),SQ63)</f>
        <v/>
      </c>
      <c r="SU63" s="12">
        <f>SQ63-ST63</f>
        <v/>
      </c>
      <c r="SV63" s="12">
        <f>IF(SS63=0,0,IF(RN63=1,SUMPRODUCT(--(($RO$5:$RO63=$RO63-1)*($RN$5:$RN63&gt;=10)*($RN$5:$RN63&lt;=12)),$SU$5:$SU63),IF(RN63=4,SUMPRODUCT(--(($RO$5:$RO63=$RO63)*($RN$5:$RN63&gt;=1)*($RN$5:$RN63&lt;=3)),$SU$5:$SU63),IF(RN63=7,SUMPRODUCT(--(($RO$5:$RO63=$RO63)*($RN$5:$RN63&gt;=4)*($RN$5:$RN63&lt;=6)),$SU$5:$SU63),IF(RN63=10,SUMPRODUCT(--(($RO$5:$RO63=$RO63)*($RN$5:$RN63&gt;=7)*($RN$5:$RN63&lt;=9)),$SU$5:$SU63),0)))))</f>
        <v/>
      </c>
      <c r="SW63" s="12">
        <f>SW62+SU63-SV63</f>
        <v/>
      </c>
      <c r="SX63" s="12">
        <f>IF(ProviderDelay&gt;=1,SE62*BlendedProvPayEss+SF62*BlendedProvPayPrem+SG62*BlendedProvPayElite+SH62*BlendedProvPayEss+SI62*BlendedProvPayPrem+SJ62*BlendedProvPayElite,SE63*BlendedProvPayEss+SF63*BlendedProvPayPrem+SG63*BlendedProvPayElite+SH63*BlendedProvPayEss+SI63*BlendedProvPayPrem+SJ63*BlendedProvPayElite)</f>
        <v/>
      </c>
      <c r="SY63" s="12">
        <f>SQ63*PaymentFee</f>
        <v/>
      </c>
      <c r="SZ63" s="12">
        <f>SK63*OpsAI</f>
        <v/>
      </c>
      <c r="TA63" s="12">
        <f>MonthlyFixed</f>
        <v/>
      </c>
      <c r="TB63" s="12">
        <f>RU63*ReferralReward</f>
        <v/>
      </c>
      <c r="TC63" s="12">
        <f>RS63</f>
        <v/>
      </c>
      <c r="TD63" s="9">
        <f>ST63-SX63-SY63-SZ63-TA63-TB63-TC63</f>
        <v/>
      </c>
      <c r="TE63" s="9">
        <f>TE62+SQ63-(SX63+SY63+SZ63+TA63+TB63+TC63+SV63)</f>
        <v/>
      </c>
      <c r="TF63" s="12">
        <f>IF(SK63&gt;0,SL63/SK63,0)</f>
        <v/>
      </c>
      <c r="TG63" s="11">
        <f>IF(SK62&gt;0,MAX(0,(SK62+RV63-SK63)/SK62),0)</f>
        <v/>
      </c>
      <c r="TI63" s="12" t="n">
        <v>59</v>
      </c>
      <c r="TJ63" s="12">
        <f>MOD(TI63-1+LaunchMonth-1,12)+1</f>
        <v/>
      </c>
      <c r="TK63" s="12">
        <f>INT((TI63-1+LaunchMonth-1)/12)+1</f>
        <v/>
      </c>
      <c r="TL63" s="12">
        <f>VLOOKUP(TJ63,SeasonTable,2,FALSE)</f>
        <v/>
      </c>
      <c r="TM63" s="12">
        <f>(1+InflationRate)^INT((TI63-1)/12)</f>
        <v/>
      </c>
      <c r="TN63" s="11">
        <f>'Sens - Churn'!$A$21*VLOOKUP(TJ63,ChurnSeasonTable,4,FALSE)</f>
        <v/>
      </c>
      <c r="TO63" s="12">
        <f>MIN(MAX(MktMin19plus,UM62*MktPct19plus),MAX(0,VA62-CashBuffer))</f>
        <v/>
      </c>
      <c r="TP63" s="12">
        <f>IF(TO63&gt;0,MAX(1,ROUND(TO63/CAC*TL63,0)),0)</f>
        <v/>
      </c>
      <c r="TQ63" s="12">
        <f>IF(TP63&gt;0,ROUND(TP63*ReferralMix/(1-ReferralMix),0),0)</f>
        <v/>
      </c>
      <c r="TR63" s="12">
        <f>TP63+TQ63</f>
        <v/>
      </c>
      <c r="TS63" s="12">
        <f>ROUND(TR63*(1-AnnualMix),0)</f>
        <v/>
      </c>
      <c r="TT63" s="12">
        <f>TR63-TS63</f>
        <v/>
      </c>
      <c r="TU63" s="12">
        <f>ROUND(TS63*EssentialMix,0)</f>
        <v/>
      </c>
      <c r="TV63" s="12">
        <f>ROUND(TS63*PremiumMix,0)</f>
        <v/>
      </c>
      <c r="TW63" s="12">
        <f>TS63-TU63-TV63</f>
        <v/>
      </c>
      <c r="TX63" s="12">
        <f>ROUND(TT63*EssentialMix,0)</f>
        <v/>
      </c>
      <c r="TY63" s="12">
        <f>ROUND(TT63*PremiumMix,0)</f>
        <v/>
      </c>
      <c r="TZ63" s="12">
        <f>TT63-TX63-TY63</f>
        <v/>
      </c>
      <c r="UA63" s="12">
        <f>TU63+TU62+TU61+MAX(0,UA62-TU62-TU61)*(1-TN63)</f>
        <v/>
      </c>
      <c r="UB63" s="12">
        <f>TV63+TV62+TV61+MAX(0,UB62-TV62-TV61)*(1-TN63)</f>
        <v/>
      </c>
      <c r="UC63" s="12">
        <f>TW63+TW62+TW61+MAX(0,UC62-TW62-TW61)*(1-TN63)</f>
        <v/>
      </c>
      <c r="UD63" s="12">
        <f>UD62+TX63-TX51*(AnnualChurn*VLOOKUP(TJ63,ChurnSeasonTable,4,FALSE))*POWER(1-(AnnualChurn*VLOOKUP(TJ63,ChurnSeasonTable,4,FALSE)),0)+TX39*(AnnualChurn*VLOOKUP(TJ63,ChurnSeasonTable,4,FALSE))*POWER(1-(AnnualChurn*VLOOKUP(TJ63,ChurnSeasonTable,4,FALSE)),1)+TX27*(AnnualChurn*VLOOKUP(TJ63,ChurnSeasonTable,4,FALSE))*POWER(1-(AnnualChurn*VLOOKUP(TJ63,ChurnSeasonTable,4,FALSE)),2)+TX15*(AnnualChurn*VLOOKUP(TJ63,ChurnSeasonTable,4,FALSE))*POWER(1-(AnnualChurn*VLOOKUP(TJ63,ChurnSeasonTable,4,FALSE)),3)</f>
        <v/>
      </c>
      <c r="UE63" s="12">
        <f>UE62+TY63-TY51*(AnnualChurn*VLOOKUP(TJ63,ChurnSeasonTable,4,FALSE))*POWER(1-(AnnualChurn*VLOOKUP(TJ63,ChurnSeasonTable,4,FALSE)),0)+TY39*(AnnualChurn*VLOOKUP(TJ63,ChurnSeasonTable,4,FALSE))*POWER(1-(AnnualChurn*VLOOKUP(TJ63,ChurnSeasonTable,4,FALSE)),1)+TY27*(AnnualChurn*VLOOKUP(TJ63,ChurnSeasonTable,4,FALSE))*POWER(1-(AnnualChurn*VLOOKUP(TJ63,ChurnSeasonTable,4,FALSE)),2)+TY15*(AnnualChurn*VLOOKUP(TJ63,ChurnSeasonTable,4,FALSE))*POWER(1-(AnnualChurn*VLOOKUP(TJ63,ChurnSeasonTable,4,FALSE)),3)</f>
        <v/>
      </c>
      <c r="UF63" s="12">
        <f>UF62+TZ63-TZ51*(AnnualChurn*VLOOKUP(TJ63,ChurnSeasonTable,4,FALSE))*POWER(1-(AnnualChurn*VLOOKUP(TJ63,ChurnSeasonTable,4,FALSE)),0)+TZ39*(AnnualChurn*VLOOKUP(TJ63,ChurnSeasonTable,4,FALSE))*POWER(1-(AnnualChurn*VLOOKUP(TJ63,ChurnSeasonTable,4,FALSE)),1)+TZ27*(AnnualChurn*VLOOKUP(TJ63,ChurnSeasonTable,4,FALSE))*POWER(1-(AnnualChurn*VLOOKUP(TJ63,ChurnSeasonTable,4,FALSE)),2)+TZ15*(AnnualChurn*VLOOKUP(TJ63,ChurnSeasonTable,4,FALSE))*POWER(1-(AnnualChurn*VLOOKUP(TJ63,ChurnSeasonTable,4,FALSE)),3)</f>
        <v/>
      </c>
      <c r="UG63" s="12">
        <f>UA63+UB63+UC63+UD63+UE63+UF63</f>
        <v/>
      </c>
      <c r="UH63" s="9">
        <f>UA63*BlendedPriceEssMonthly*TM63+UB63*BlendedPricePremMonthly*TM63+UC63*BlendedPriceEliteMonthly*TM63+UD63*BlendedPriceEssAnnual*TM63/12+UE63*BlendedPricePremAnnual*TM63/12+UF63*BlendedPriceEliteAnnual*TM63/12</f>
        <v/>
      </c>
      <c r="UI63" s="9">
        <f>UH63*12</f>
        <v/>
      </c>
      <c r="UJ63" s="12">
        <f>UA63*BlendedPriceEssMonthly*TM63+UB63*BlendedPricePremMonthly*TM63+UC63*BlendedPriceEliteMonthly*TM63</f>
        <v/>
      </c>
      <c r="UK63" s="12">
        <f>TX63*BlendedPriceEssAnnual*TM63+TY63*BlendedPricePremAnnual*TM63+TZ63*BlendedPriceEliteAnnual*TM63</f>
        <v/>
      </c>
      <c r="UL63" s="12">
        <f>TX51*POWER(1-(AnnualChurn*VLOOKUP(TJ63,ChurnSeasonTable,4,FALSE)),1)*BlendedPriceEssAnnual*TM63+TX39*POWER(1-(AnnualChurn*VLOOKUP(TJ63,ChurnSeasonTable,4,FALSE)),2)*BlendedPriceEssAnnual*TM63+TX27*POWER(1-(AnnualChurn*VLOOKUP(TJ63,ChurnSeasonTable,4,FALSE)),3)*BlendedPriceEssAnnual*TM63+TX15*POWER(1-(AnnualChurn*VLOOKUP(TJ63,ChurnSeasonTable,4,FALSE)),4)*BlendedPriceEssAnnual*TM63+TY51*POWER(1-(AnnualChurn*VLOOKUP(TJ63,ChurnSeasonTable,4,FALSE)),1)*BlendedPricePremAnnual*TM63+TY39*POWER(1-(AnnualChurn*VLOOKUP(TJ63,ChurnSeasonTable,4,FALSE)),2)*BlendedPricePremAnnual*TM63+TY27*POWER(1-(AnnualChurn*VLOOKUP(TJ63,ChurnSeasonTable,4,FALSE)),3)*BlendedPricePremAnnual*TM63+TY15*POWER(1-(AnnualChurn*VLOOKUP(TJ63,ChurnSeasonTable,4,FALSE)),4)*BlendedPricePremAnnual*TM63+TZ51*POWER(1-(AnnualChurn*VLOOKUP(TJ63,ChurnSeasonTable,4,FALSE)),1)*BlendedPriceEliteAnnual*TM63+TZ39*POWER(1-(AnnualChurn*VLOOKUP(TJ63,ChurnSeasonTable,4,FALSE)),2)*BlendedPriceEliteAnnual*TM63+TZ27*POWER(1-(AnnualChurn*VLOOKUP(TJ63,ChurnSeasonTable,4,FALSE)),3)*BlendedPriceEliteAnnual*TM63+TZ15*POWER(1-(AnnualChurn*VLOOKUP(TJ63,ChurnSeasonTable,4,FALSE)),4)*BlendedPriceEliteAnnual*TM63</f>
        <v/>
      </c>
      <c r="UM63" s="9">
        <f>UJ63+UK63+UL63</f>
        <v/>
      </c>
      <c r="UN63" s="12">
        <f>SUM(UM52:UM63)</f>
        <v/>
      </c>
      <c r="UO63" s="12">
        <f>OR(UO62,IF(VATAgentMode,SUM($UM52:$UM63)-SUM($UT52:$UT63)&gt;=VATThreshold,SUM($UM52:$UM63)&gt;=VATThreshold))</f>
        <v/>
      </c>
      <c r="UP63" s="9">
        <f>IF(UO63,IF(VATAgentMode,UM63-((UM63-UT63)-(UM63-UT63)/(1+VATRate)),UM63/(1+VATRate)),UM63)</f>
        <v/>
      </c>
      <c r="UQ63" s="12">
        <f>UM63-UP63</f>
        <v/>
      </c>
      <c r="UR63" s="12">
        <f>IF(UO63=0,0,IF(TJ63=1,SUMPRODUCT(--(($TK$5:$TK63=$TK63-1)*($TJ$5:$TJ63&gt;=10)*($TJ$5:$TJ63&lt;=12)),$UQ$5:$UQ63),IF(TJ63=4,SUMPRODUCT(--(($TK$5:$TK63=$TK63)*($TJ$5:$TJ63&gt;=1)*($TJ$5:$TJ63&lt;=3)),$UQ$5:$UQ63),IF(TJ63=7,SUMPRODUCT(--(($TK$5:$TK63=$TK63)*($TJ$5:$TJ63&gt;=4)*($TJ$5:$TJ63&lt;=6)),$UQ$5:$UQ63),IF(TJ63=10,SUMPRODUCT(--(($TK$5:$TK63=$TK63)*($TJ$5:$TJ63&gt;=7)*($TJ$5:$TJ63&lt;=9)),$UQ$5:$UQ63),0)))))</f>
        <v/>
      </c>
      <c r="US63" s="12">
        <f>US62+UQ63-UR63</f>
        <v/>
      </c>
      <c r="UT63" s="12">
        <f>IF(ProviderDelay&gt;=1,UA62*BlendedProvPayEss+UB62*BlendedProvPayPrem+UC62*BlendedProvPayElite+UD62*BlendedProvPayEss+UE62*BlendedProvPayPrem+UF62*BlendedProvPayElite,UA63*BlendedProvPayEss+UB63*BlendedProvPayPrem+UC63*BlendedProvPayElite+UD63*BlendedProvPayEss+UE63*BlendedProvPayPrem+UF63*BlendedProvPayElite)</f>
        <v/>
      </c>
      <c r="UU63" s="12">
        <f>UM63*PaymentFee</f>
        <v/>
      </c>
      <c r="UV63" s="12">
        <f>UG63*OpsAI</f>
        <v/>
      </c>
      <c r="UW63" s="12">
        <f>MonthlyFixed</f>
        <v/>
      </c>
      <c r="UX63" s="12">
        <f>TQ63*ReferralReward</f>
        <v/>
      </c>
      <c r="UY63" s="12">
        <f>TO63</f>
        <v/>
      </c>
      <c r="UZ63" s="9">
        <f>UP63-UT63-UU63-UV63-UW63-UX63-UY63</f>
        <v/>
      </c>
      <c r="VA63" s="9">
        <f>VA62+UM63-(UT63+UU63+UV63+UW63+UX63+UY63+UR63)</f>
        <v/>
      </c>
      <c r="VB63" s="12">
        <f>IF(UG63&gt;0,UH63/UG63,0)</f>
        <v/>
      </c>
      <c r="VC63" s="11">
        <f>IF(UG62&gt;0,MAX(0,(UG62+TR63-UG63)/UG62),0)</f>
        <v/>
      </c>
      <c r="VE63" s="12" t="n">
        <v>59</v>
      </c>
      <c r="VF63" s="12">
        <f>MOD(VE63-1+LaunchMonth-1,12)+1</f>
        <v/>
      </c>
      <c r="VG63" s="12">
        <f>INT((VE63-1+LaunchMonth-1)/12)+1</f>
        <v/>
      </c>
      <c r="VH63" s="12">
        <f>VLOOKUP(VF63,SeasonTable,2,FALSE)</f>
        <v/>
      </c>
      <c r="VI63" s="12">
        <f>(1+InflationRate)^INT((VE63-1)/12)</f>
        <v/>
      </c>
      <c r="VJ63" s="11">
        <f>MonthlyChurn*VLOOKUP(VF63,ChurnSeasonTable,4,FALSE)</f>
        <v/>
      </c>
      <c r="VK63" s="12">
        <f>MIN(MAX(MktMin19plus,WI62*MktPct19plus),MAX(0,WW62-CashBuffer))</f>
        <v/>
      </c>
      <c r="VL63" s="12">
        <f>IF(VK63&gt;0,MAX(1,ROUND(VK63/CAC*VH63,0)),0)</f>
        <v/>
      </c>
      <c r="VM63" s="12">
        <f>IF(VL63&gt;0,ROUND(VL63*ReferralMix/(1-ReferralMix),0),0)</f>
        <v/>
      </c>
      <c r="VN63" s="12">
        <f>VL63+VM63</f>
        <v/>
      </c>
      <c r="VO63" s="12">
        <f>ROUND(VN63*(1-'Sens - Annual Mix'!$A$9),0)</f>
        <v/>
      </c>
      <c r="VP63" s="12">
        <f>VN63-VO63</f>
        <v/>
      </c>
      <c r="VQ63" s="12">
        <f>ROUND(VO63*EssentialMix,0)</f>
        <v/>
      </c>
      <c r="VR63" s="12">
        <f>ROUND(VO63*PremiumMix,0)</f>
        <v/>
      </c>
      <c r="VS63" s="12">
        <f>VO63-VQ63-VR63</f>
        <v/>
      </c>
      <c r="VT63" s="12">
        <f>ROUND(VP63*EssentialMix,0)</f>
        <v/>
      </c>
      <c r="VU63" s="12">
        <f>ROUND(VP63*PremiumMix,0)</f>
        <v/>
      </c>
      <c r="VV63" s="12">
        <f>VP63-VT63-VU63</f>
        <v/>
      </c>
      <c r="VW63" s="12">
        <f>VQ63+VQ62+VQ61+MAX(0,VW62-VQ62-VQ61)*(1-VJ63)</f>
        <v/>
      </c>
      <c r="VX63" s="12">
        <f>VR63+VR62+VR61+MAX(0,VX62-VR62-VR61)*(1-VJ63)</f>
        <v/>
      </c>
      <c r="VY63" s="12">
        <f>VS63+VS62+VS61+MAX(0,VY62-VS62-VS61)*(1-VJ63)</f>
        <v/>
      </c>
      <c r="VZ63" s="12">
        <f>VZ62+VT63-VT51*(AnnualChurn*VLOOKUP(VF63,ChurnSeasonTable,4,FALSE))*POWER(1-(AnnualChurn*VLOOKUP(VF63,ChurnSeasonTable,4,FALSE)),0)+VT39*(AnnualChurn*VLOOKUP(VF63,ChurnSeasonTable,4,FALSE))*POWER(1-(AnnualChurn*VLOOKUP(VF63,ChurnSeasonTable,4,FALSE)),1)+VT27*(AnnualChurn*VLOOKUP(VF63,ChurnSeasonTable,4,FALSE))*POWER(1-(AnnualChurn*VLOOKUP(VF63,ChurnSeasonTable,4,FALSE)),2)+VT15*(AnnualChurn*VLOOKUP(VF63,ChurnSeasonTable,4,FALSE))*POWER(1-(AnnualChurn*VLOOKUP(VF63,ChurnSeasonTable,4,FALSE)),3)</f>
        <v/>
      </c>
      <c r="WA63" s="12">
        <f>WA62+VU63-VU51*(AnnualChurn*VLOOKUP(VF63,ChurnSeasonTable,4,FALSE))*POWER(1-(AnnualChurn*VLOOKUP(VF63,ChurnSeasonTable,4,FALSE)),0)+VU39*(AnnualChurn*VLOOKUP(VF63,ChurnSeasonTable,4,FALSE))*POWER(1-(AnnualChurn*VLOOKUP(VF63,ChurnSeasonTable,4,FALSE)),1)+VU27*(AnnualChurn*VLOOKUP(VF63,ChurnSeasonTable,4,FALSE))*POWER(1-(AnnualChurn*VLOOKUP(VF63,ChurnSeasonTable,4,FALSE)),2)+VU15*(AnnualChurn*VLOOKUP(VF63,ChurnSeasonTable,4,FALSE))*POWER(1-(AnnualChurn*VLOOKUP(VF63,ChurnSeasonTable,4,FALSE)),3)</f>
        <v/>
      </c>
      <c r="WB63" s="12">
        <f>WB62+VV63-VV51*(AnnualChurn*VLOOKUP(VF63,ChurnSeasonTable,4,FALSE))*POWER(1-(AnnualChurn*VLOOKUP(VF63,ChurnSeasonTable,4,FALSE)),0)+VV39*(AnnualChurn*VLOOKUP(VF63,ChurnSeasonTable,4,FALSE))*POWER(1-(AnnualChurn*VLOOKUP(VF63,ChurnSeasonTable,4,FALSE)),1)+VV27*(AnnualChurn*VLOOKUP(VF63,ChurnSeasonTable,4,FALSE))*POWER(1-(AnnualChurn*VLOOKUP(VF63,ChurnSeasonTable,4,FALSE)),2)+VV15*(AnnualChurn*VLOOKUP(VF63,ChurnSeasonTable,4,FALSE))*POWER(1-(AnnualChurn*VLOOKUP(VF63,ChurnSeasonTable,4,FALSE)),3)</f>
        <v/>
      </c>
      <c r="WC63" s="12">
        <f>VW63+VX63+VY63+VZ63+WA63+WB63</f>
        <v/>
      </c>
      <c r="WD63" s="9">
        <f>VW63*BlendedPriceEssMonthly*VI63+VX63*BlendedPricePremMonthly*VI63+VY63*BlendedPriceEliteMonthly*VI63+VZ63*BlendedPriceEssAnnual*VI63/12+WA63*BlendedPricePremAnnual*VI63/12+WB63*BlendedPriceEliteAnnual*VI63/12</f>
        <v/>
      </c>
      <c r="WE63" s="9">
        <f>WD63*12</f>
        <v/>
      </c>
      <c r="WF63" s="12">
        <f>VW63*BlendedPriceEssMonthly*VI63+VX63*BlendedPricePremMonthly*VI63+VY63*BlendedPriceEliteMonthly*VI63</f>
        <v/>
      </c>
      <c r="WG63" s="12">
        <f>VT63*BlendedPriceEssAnnual*VI63+VU63*BlendedPricePremAnnual*VI63+VV63*BlendedPriceEliteAnnual*VI63</f>
        <v/>
      </c>
      <c r="WH63" s="12">
        <f>VT51*POWER(1-(AnnualChurn*VLOOKUP(VF63,ChurnSeasonTable,4,FALSE)),1)*BlendedPriceEssAnnual*VI63+VT39*POWER(1-(AnnualChurn*VLOOKUP(VF63,ChurnSeasonTable,4,FALSE)),2)*BlendedPriceEssAnnual*VI63+VT27*POWER(1-(AnnualChurn*VLOOKUP(VF63,ChurnSeasonTable,4,FALSE)),3)*BlendedPriceEssAnnual*VI63+VT15*POWER(1-(AnnualChurn*VLOOKUP(VF63,ChurnSeasonTable,4,FALSE)),4)*BlendedPriceEssAnnual*VI63+VU51*POWER(1-(AnnualChurn*VLOOKUP(VF63,ChurnSeasonTable,4,FALSE)),1)*BlendedPricePremAnnual*VI63+VU39*POWER(1-(AnnualChurn*VLOOKUP(VF63,ChurnSeasonTable,4,FALSE)),2)*BlendedPricePremAnnual*VI63+VU27*POWER(1-(AnnualChurn*VLOOKUP(VF63,ChurnSeasonTable,4,FALSE)),3)*BlendedPricePremAnnual*VI63+VU15*POWER(1-(AnnualChurn*VLOOKUP(VF63,ChurnSeasonTable,4,FALSE)),4)*BlendedPricePremAnnual*VI63+VV51*POWER(1-(AnnualChurn*VLOOKUP(VF63,ChurnSeasonTable,4,FALSE)),1)*BlendedPriceEliteAnnual*VI63+VV39*POWER(1-(AnnualChurn*VLOOKUP(VF63,ChurnSeasonTable,4,FALSE)),2)*BlendedPriceEliteAnnual*VI63+VV27*POWER(1-(AnnualChurn*VLOOKUP(VF63,ChurnSeasonTable,4,FALSE)),3)*BlendedPriceEliteAnnual*VI63+VV15*POWER(1-(AnnualChurn*VLOOKUP(VF63,ChurnSeasonTable,4,FALSE)),4)*BlendedPriceEliteAnnual*VI63</f>
        <v/>
      </c>
      <c r="WI63" s="9">
        <f>WF63+WG63+WH63</f>
        <v/>
      </c>
      <c r="WJ63" s="12">
        <f>SUM(WI52:WI63)</f>
        <v/>
      </c>
      <c r="WK63" s="12">
        <f>OR(WK62,IF(VATAgentMode,SUM($WI52:$WI63)-SUM($WP52:$WP63)&gt;=VATThreshold,SUM($WI52:$WI63)&gt;=VATThreshold))</f>
        <v/>
      </c>
      <c r="WL63" s="9">
        <f>IF(WK63,IF(VATAgentMode,WI63-((WI63-WP63)-(WI63-WP63)/(1+VATRate)),WI63/(1+VATRate)),WI63)</f>
        <v/>
      </c>
      <c r="WM63" s="12">
        <f>WI63-WL63</f>
        <v/>
      </c>
      <c r="WN63" s="12">
        <f>IF(WK63=0,0,IF(VF63=1,SUMPRODUCT(--(($VG$5:$VG63=$VG63-1)*($VF$5:$VF63&gt;=10)*($VF$5:$VF63&lt;=12)),$WM$5:$WM63),IF(VF63=4,SUMPRODUCT(--(($VG$5:$VG63=$VG63)*($VF$5:$VF63&gt;=1)*($VF$5:$VF63&lt;=3)),$WM$5:$WM63),IF(VF63=7,SUMPRODUCT(--(($VG$5:$VG63=$VG63)*($VF$5:$VF63&gt;=4)*($VF$5:$VF63&lt;=6)),$WM$5:$WM63),IF(VF63=10,SUMPRODUCT(--(($VG$5:$VG63=$VG63)*($VF$5:$VF63&gt;=7)*($VF$5:$VF63&lt;=9)),$WM$5:$WM63),0)))))</f>
        <v/>
      </c>
      <c r="WO63" s="12">
        <f>WO62+WM63-WN63</f>
        <v/>
      </c>
      <c r="WP63" s="12">
        <f>IF(ProviderDelay&gt;=1,VW62*BlendedProvPayEss+VX62*BlendedProvPayPrem+VY62*BlendedProvPayElite+VZ62*BlendedProvPayEss+WA62*BlendedProvPayPrem+WB62*BlendedProvPayElite,VW63*BlendedProvPayEss+VX63*BlendedProvPayPrem+VY63*BlendedProvPayElite+VZ63*BlendedProvPayEss+WA63*BlendedProvPayPrem+WB63*BlendedProvPayElite)</f>
        <v/>
      </c>
      <c r="WQ63" s="12">
        <f>WI63*PaymentFee</f>
        <v/>
      </c>
      <c r="WR63" s="12">
        <f>WC63*OpsAI</f>
        <v/>
      </c>
      <c r="WS63" s="12">
        <f>MonthlyFixed</f>
        <v/>
      </c>
      <c r="WT63" s="12">
        <f>VM63*ReferralReward</f>
        <v/>
      </c>
      <c r="WU63" s="12">
        <f>VK63</f>
        <v/>
      </c>
      <c r="WV63" s="9">
        <f>WL63-WP63-WQ63-WR63-WS63-WT63-WU63</f>
        <v/>
      </c>
      <c r="WW63" s="9">
        <f>WW62+WI63-(WP63+WQ63+WR63+WS63+WT63+WU63+WN63)</f>
        <v/>
      </c>
      <c r="WX63" s="12">
        <f>IF(WC63&gt;0,WD63/WC63,0)</f>
        <v/>
      </c>
      <c r="WY63" s="11">
        <f>IF(WC62&gt;0,MAX(0,(WC62+VN63-WC63)/WC62),0)</f>
        <v/>
      </c>
      <c r="XA63" s="12" t="n">
        <v>59</v>
      </c>
      <c r="XB63" s="12">
        <f>MOD(XA63-1+LaunchMonth-1,12)+1</f>
        <v/>
      </c>
      <c r="XC63" s="12">
        <f>INT((XA63-1+LaunchMonth-1)/12)+1</f>
        <v/>
      </c>
      <c r="XD63" s="12">
        <f>VLOOKUP(XB63,SeasonTable,2,FALSE)</f>
        <v/>
      </c>
      <c r="XE63" s="12">
        <f>(1+InflationRate)^INT((XA63-1)/12)</f>
        <v/>
      </c>
      <c r="XF63" s="11">
        <f>MonthlyChurn*VLOOKUP(XB63,ChurnSeasonTable,4,FALSE)</f>
        <v/>
      </c>
      <c r="XG63" s="12">
        <f>MIN(MAX(MktMin19plus,YE62*MktPct19plus),MAX(0,YS62-CashBuffer))</f>
        <v/>
      </c>
      <c r="XH63" s="12">
        <f>IF(XG63&gt;0,MAX(1,ROUND(XG63/CAC*XD63,0)),0)</f>
        <v/>
      </c>
      <c r="XI63" s="12">
        <f>IF(XH63&gt;0,ROUND(XH63*ReferralMix/(1-ReferralMix),0),0)</f>
        <v/>
      </c>
      <c r="XJ63" s="12">
        <f>XH63+XI63</f>
        <v/>
      </c>
      <c r="XK63" s="12">
        <f>ROUND(XJ63*(1-'Sens - Annual Mix'!$A$10),0)</f>
        <v/>
      </c>
      <c r="XL63" s="12">
        <f>XJ63-XK63</f>
        <v/>
      </c>
      <c r="XM63" s="12">
        <f>ROUND(XK63*EssentialMix,0)</f>
        <v/>
      </c>
      <c r="XN63" s="12">
        <f>ROUND(XK63*PremiumMix,0)</f>
        <v/>
      </c>
      <c r="XO63" s="12">
        <f>XK63-XM63-XN63</f>
        <v/>
      </c>
      <c r="XP63" s="12">
        <f>ROUND(XL63*EssentialMix,0)</f>
        <v/>
      </c>
      <c r="XQ63" s="12">
        <f>ROUND(XL63*PremiumMix,0)</f>
        <v/>
      </c>
      <c r="XR63" s="12">
        <f>XL63-XP63-XQ63</f>
        <v/>
      </c>
      <c r="XS63" s="12">
        <f>XM63+XM62+XM61+MAX(0,XS62-XM62-XM61)*(1-XF63)</f>
        <v/>
      </c>
      <c r="XT63" s="12">
        <f>XN63+XN62+XN61+MAX(0,XT62-XN62-XN61)*(1-XF63)</f>
        <v/>
      </c>
      <c r="XU63" s="12">
        <f>XO63+XO62+XO61+MAX(0,XU62-XO62-XO61)*(1-XF63)</f>
        <v/>
      </c>
      <c r="XV63" s="12">
        <f>XV62+XP63-XP51*(AnnualChurn*VLOOKUP(XB63,ChurnSeasonTable,4,FALSE))*POWER(1-(AnnualChurn*VLOOKUP(XB63,ChurnSeasonTable,4,FALSE)),0)+XP39*(AnnualChurn*VLOOKUP(XB63,ChurnSeasonTable,4,FALSE))*POWER(1-(AnnualChurn*VLOOKUP(XB63,ChurnSeasonTable,4,FALSE)),1)+XP27*(AnnualChurn*VLOOKUP(XB63,ChurnSeasonTable,4,FALSE))*POWER(1-(AnnualChurn*VLOOKUP(XB63,ChurnSeasonTable,4,FALSE)),2)+XP15*(AnnualChurn*VLOOKUP(XB63,ChurnSeasonTable,4,FALSE))*POWER(1-(AnnualChurn*VLOOKUP(XB63,ChurnSeasonTable,4,FALSE)),3)</f>
        <v/>
      </c>
      <c r="XW63" s="12">
        <f>XW62+XQ63-XQ51*(AnnualChurn*VLOOKUP(XB63,ChurnSeasonTable,4,FALSE))*POWER(1-(AnnualChurn*VLOOKUP(XB63,ChurnSeasonTable,4,FALSE)),0)+XQ39*(AnnualChurn*VLOOKUP(XB63,ChurnSeasonTable,4,FALSE))*POWER(1-(AnnualChurn*VLOOKUP(XB63,ChurnSeasonTable,4,FALSE)),1)+XQ27*(AnnualChurn*VLOOKUP(XB63,ChurnSeasonTable,4,FALSE))*POWER(1-(AnnualChurn*VLOOKUP(XB63,ChurnSeasonTable,4,FALSE)),2)+XQ15*(AnnualChurn*VLOOKUP(XB63,ChurnSeasonTable,4,FALSE))*POWER(1-(AnnualChurn*VLOOKUP(XB63,ChurnSeasonTable,4,FALSE)),3)</f>
        <v/>
      </c>
      <c r="XX63" s="12">
        <f>XX62+XR63-XR51*(AnnualChurn*VLOOKUP(XB63,ChurnSeasonTable,4,FALSE))*POWER(1-(AnnualChurn*VLOOKUP(XB63,ChurnSeasonTable,4,FALSE)),0)+XR39*(AnnualChurn*VLOOKUP(XB63,ChurnSeasonTable,4,FALSE))*POWER(1-(AnnualChurn*VLOOKUP(XB63,ChurnSeasonTable,4,FALSE)),1)+XR27*(AnnualChurn*VLOOKUP(XB63,ChurnSeasonTable,4,FALSE))*POWER(1-(AnnualChurn*VLOOKUP(XB63,ChurnSeasonTable,4,FALSE)),2)+XR15*(AnnualChurn*VLOOKUP(XB63,ChurnSeasonTable,4,FALSE))*POWER(1-(AnnualChurn*VLOOKUP(XB63,ChurnSeasonTable,4,FALSE)),3)</f>
        <v/>
      </c>
      <c r="XY63" s="12">
        <f>XS63+XT63+XU63+XV63+XW63+XX63</f>
        <v/>
      </c>
      <c r="XZ63" s="9">
        <f>XS63*BlendedPriceEssMonthly*XE63+XT63*BlendedPricePremMonthly*XE63+XU63*BlendedPriceEliteMonthly*XE63+XV63*BlendedPriceEssAnnual*XE63/12+XW63*BlendedPricePremAnnual*XE63/12+XX63*BlendedPriceEliteAnnual*XE63/12</f>
        <v/>
      </c>
      <c r="YA63" s="9">
        <f>XZ63*12</f>
        <v/>
      </c>
      <c r="YB63" s="12">
        <f>XS63*BlendedPriceEssMonthly*XE63+XT63*BlendedPricePremMonthly*XE63+XU63*BlendedPriceEliteMonthly*XE63</f>
        <v/>
      </c>
      <c r="YC63" s="12">
        <f>XP63*BlendedPriceEssAnnual*XE63+XQ63*BlendedPricePremAnnual*XE63+XR63*BlendedPriceEliteAnnual*XE63</f>
        <v/>
      </c>
      <c r="YD63" s="12">
        <f>XP51*POWER(1-(AnnualChurn*VLOOKUP(XB63,ChurnSeasonTable,4,FALSE)),1)*BlendedPriceEssAnnual*XE63+XP39*POWER(1-(AnnualChurn*VLOOKUP(XB63,ChurnSeasonTable,4,FALSE)),2)*BlendedPriceEssAnnual*XE63+XP27*POWER(1-(AnnualChurn*VLOOKUP(XB63,ChurnSeasonTable,4,FALSE)),3)*BlendedPriceEssAnnual*XE63+XP15*POWER(1-(AnnualChurn*VLOOKUP(XB63,ChurnSeasonTable,4,FALSE)),4)*BlendedPriceEssAnnual*XE63+XQ51*POWER(1-(AnnualChurn*VLOOKUP(XB63,ChurnSeasonTable,4,FALSE)),1)*BlendedPricePremAnnual*XE63+XQ39*POWER(1-(AnnualChurn*VLOOKUP(XB63,ChurnSeasonTable,4,FALSE)),2)*BlendedPricePremAnnual*XE63+XQ27*POWER(1-(AnnualChurn*VLOOKUP(XB63,ChurnSeasonTable,4,FALSE)),3)*BlendedPricePremAnnual*XE63+XQ15*POWER(1-(AnnualChurn*VLOOKUP(XB63,ChurnSeasonTable,4,FALSE)),4)*BlendedPricePremAnnual*XE63+XR51*POWER(1-(AnnualChurn*VLOOKUP(XB63,ChurnSeasonTable,4,FALSE)),1)*BlendedPriceEliteAnnual*XE63+XR39*POWER(1-(AnnualChurn*VLOOKUP(XB63,ChurnSeasonTable,4,FALSE)),2)*BlendedPriceEliteAnnual*XE63+XR27*POWER(1-(AnnualChurn*VLOOKUP(XB63,ChurnSeasonTable,4,FALSE)),3)*BlendedPriceEliteAnnual*XE63+XR15*POWER(1-(AnnualChurn*VLOOKUP(XB63,ChurnSeasonTable,4,FALSE)),4)*BlendedPriceEliteAnnual*XE63</f>
        <v/>
      </c>
      <c r="YE63" s="9">
        <f>YB63+YC63+YD63</f>
        <v/>
      </c>
      <c r="YF63" s="12">
        <f>SUM(YE52:YE63)</f>
        <v/>
      </c>
      <c r="YG63" s="12">
        <f>OR(YG62,IF(VATAgentMode,SUM($YE52:$YE63)-SUM($YL52:$YL63)&gt;=VATThreshold,SUM($YE52:$YE63)&gt;=VATThreshold))</f>
        <v/>
      </c>
      <c r="YH63" s="9">
        <f>IF(YG63,IF(VATAgentMode,YE63-((YE63-YL63)-(YE63-YL63)/(1+VATRate)),YE63/(1+VATRate)),YE63)</f>
        <v/>
      </c>
      <c r="YI63" s="12">
        <f>YE63-YH63</f>
        <v/>
      </c>
      <c r="YJ63" s="12">
        <f>IF(YG63=0,0,IF(XB63=1,SUMPRODUCT(--(($XC$5:$XC63=$XC63-1)*($XB$5:$XB63&gt;=10)*($XB$5:$XB63&lt;=12)),$YI$5:$YI63),IF(XB63=4,SUMPRODUCT(--(($XC$5:$XC63=$XC63)*($XB$5:$XB63&gt;=1)*($XB$5:$XB63&lt;=3)),$YI$5:$YI63),IF(XB63=7,SUMPRODUCT(--(($XC$5:$XC63=$XC63)*($XB$5:$XB63&gt;=4)*($XB$5:$XB63&lt;=6)),$YI$5:$YI63),IF(XB63=10,SUMPRODUCT(--(($XC$5:$XC63=$XC63)*($XB$5:$XB63&gt;=7)*($XB$5:$XB63&lt;=9)),$YI$5:$YI63),0)))))</f>
        <v/>
      </c>
      <c r="YK63" s="12">
        <f>YK62+YI63-YJ63</f>
        <v/>
      </c>
      <c r="YL63" s="12">
        <f>IF(ProviderDelay&gt;=1,XS62*BlendedProvPayEss+XT62*BlendedProvPayPrem+XU62*BlendedProvPayElite+XV62*BlendedProvPayEss+XW62*BlendedProvPayPrem+XX62*BlendedProvPayElite,XS63*BlendedProvPayEss+XT63*BlendedProvPayPrem+XU63*BlendedProvPayElite+XV63*BlendedProvPayEss+XW63*BlendedProvPayPrem+XX63*BlendedProvPayElite)</f>
        <v/>
      </c>
      <c r="YM63" s="12">
        <f>YE63*PaymentFee</f>
        <v/>
      </c>
      <c r="YN63" s="12">
        <f>XY63*OpsAI</f>
        <v/>
      </c>
      <c r="YO63" s="12">
        <f>MonthlyFixed</f>
        <v/>
      </c>
      <c r="YP63" s="12">
        <f>XI63*ReferralReward</f>
        <v/>
      </c>
      <c r="YQ63" s="12">
        <f>XG63</f>
        <v/>
      </c>
      <c r="YR63" s="9">
        <f>YH63-YL63-YM63-YN63-YO63-YP63-YQ63</f>
        <v/>
      </c>
      <c r="YS63" s="9">
        <f>YS62+YE63-(YL63+YM63+YN63+YO63+YP63+YQ63+YJ63)</f>
        <v/>
      </c>
      <c r="YT63" s="12">
        <f>IF(XY63&gt;0,XZ63/XY63,0)</f>
        <v/>
      </c>
      <c r="YU63" s="11">
        <f>IF(XY62&gt;0,MAX(0,(XY62+XJ63-XY63)/XY62),0)</f>
        <v/>
      </c>
      <c r="YW63" s="12" t="n">
        <v>59</v>
      </c>
      <c r="YX63" s="12">
        <f>MOD(YW63-1+LaunchMonth-1,12)+1</f>
        <v/>
      </c>
      <c r="YY63" s="12">
        <f>INT((YW63-1+LaunchMonth-1)/12)+1</f>
        <v/>
      </c>
      <c r="YZ63" s="12">
        <f>VLOOKUP(YX63,SeasonTable,2,FALSE)</f>
        <v/>
      </c>
      <c r="ZA63" s="12">
        <f>(1+InflationRate)^INT((YW63-1)/12)</f>
        <v/>
      </c>
      <c r="ZB63" s="11">
        <f>MonthlyChurn*VLOOKUP(YX63,ChurnSeasonTable,4,FALSE)</f>
        <v/>
      </c>
      <c r="ZC63" s="12">
        <f>MIN(MAX(MktMin19plus,AAA62*MktPct19plus),MAX(0,AAO62-CashBuffer))</f>
        <v/>
      </c>
      <c r="ZD63" s="12">
        <f>IF(ZC63&gt;0,MAX(1,ROUND(ZC63/CAC*YZ63,0)),0)</f>
        <v/>
      </c>
      <c r="ZE63" s="12">
        <f>IF(ZD63&gt;0,ROUND(ZD63*ReferralMix/(1-ReferralMix),0),0)</f>
        <v/>
      </c>
      <c r="ZF63" s="12">
        <f>ZD63+ZE63</f>
        <v/>
      </c>
      <c r="ZG63" s="12">
        <f>ROUND(ZF63*(1-'Sens - Annual Mix'!$A$11),0)</f>
        <v/>
      </c>
      <c r="ZH63" s="12">
        <f>ZF63-ZG63</f>
        <v/>
      </c>
      <c r="ZI63" s="12">
        <f>ROUND(ZG63*EssentialMix,0)</f>
        <v/>
      </c>
      <c r="ZJ63" s="12">
        <f>ROUND(ZG63*PremiumMix,0)</f>
        <v/>
      </c>
      <c r="ZK63" s="12">
        <f>ZG63-ZI63-ZJ63</f>
        <v/>
      </c>
      <c r="ZL63" s="12">
        <f>ROUND(ZH63*EssentialMix,0)</f>
        <v/>
      </c>
      <c r="ZM63" s="12">
        <f>ROUND(ZH63*PremiumMix,0)</f>
        <v/>
      </c>
      <c r="ZN63" s="12">
        <f>ZH63-ZL63-ZM63</f>
        <v/>
      </c>
      <c r="ZO63" s="12">
        <f>ZI63+ZI62+ZI61+MAX(0,ZO62-ZI62-ZI61)*(1-ZB63)</f>
        <v/>
      </c>
      <c r="ZP63" s="12">
        <f>ZJ63+ZJ62+ZJ61+MAX(0,ZP62-ZJ62-ZJ61)*(1-ZB63)</f>
        <v/>
      </c>
      <c r="ZQ63" s="12">
        <f>ZK63+ZK62+ZK61+MAX(0,ZQ62-ZK62-ZK61)*(1-ZB63)</f>
        <v/>
      </c>
      <c r="ZR63" s="12">
        <f>ZR62+ZL63-ZL51*(AnnualChurn*VLOOKUP(YX63,ChurnSeasonTable,4,FALSE))*POWER(1-(AnnualChurn*VLOOKUP(YX63,ChurnSeasonTable,4,FALSE)),0)+ZL39*(AnnualChurn*VLOOKUP(YX63,ChurnSeasonTable,4,FALSE))*POWER(1-(AnnualChurn*VLOOKUP(YX63,ChurnSeasonTable,4,FALSE)),1)+ZL27*(AnnualChurn*VLOOKUP(YX63,ChurnSeasonTable,4,FALSE))*POWER(1-(AnnualChurn*VLOOKUP(YX63,ChurnSeasonTable,4,FALSE)),2)+ZL15*(AnnualChurn*VLOOKUP(YX63,ChurnSeasonTable,4,FALSE))*POWER(1-(AnnualChurn*VLOOKUP(YX63,ChurnSeasonTable,4,FALSE)),3)</f>
        <v/>
      </c>
      <c r="ZS63" s="12">
        <f>ZS62+ZM63-ZM51*(AnnualChurn*VLOOKUP(YX63,ChurnSeasonTable,4,FALSE))*POWER(1-(AnnualChurn*VLOOKUP(YX63,ChurnSeasonTable,4,FALSE)),0)+ZM39*(AnnualChurn*VLOOKUP(YX63,ChurnSeasonTable,4,FALSE))*POWER(1-(AnnualChurn*VLOOKUP(YX63,ChurnSeasonTable,4,FALSE)),1)+ZM27*(AnnualChurn*VLOOKUP(YX63,ChurnSeasonTable,4,FALSE))*POWER(1-(AnnualChurn*VLOOKUP(YX63,ChurnSeasonTable,4,FALSE)),2)+ZM15*(AnnualChurn*VLOOKUP(YX63,ChurnSeasonTable,4,FALSE))*POWER(1-(AnnualChurn*VLOOKUP(YX63,ChurnSeasonTable,4,FALSE)),3)</f>
        <v/>
      </c>
      <c r="ZT63" s="12">
        <f>ZT62+ZN63-ZN51*(AnnualChurn*VLOOKUP(YX63,ChurnSeasonTable,4,FALSE))*POWER(1-(AnnualChurn*VLOOKUP(YX63,ChurnSeasonTable,4,FALSE)),0)+ZN39*(AnnualChurn*VLOOKUP(YX63,ChurnSeasonTable,4,FALSE))*POWER(1-(AnnualChurn*VLOOKUP(YX63,ChurnSeasonTable,4,FALSE)),1)+ZN27*(AnnualChurn*VLOOKUP(YX63,ChurnSeasonTable,4,FALSE))*POWER(1-(AnnualChurn*VLOOKUP(YX63,ChurnSeasonTable,4,FALSE)),2)+ZN15*(AnnualChurn*VLOOKUP(YX63,ChurnSeasonTable,4,FALSE))*POWER(1-(AnnualChurn*VLOOKUP(YX63,ChurnSeasonTable,4,FALSE)),3)</f>
        <v/>
      </c>
      <c r="ZU63" s="12">
        <f>ZO63+ZP63+ZQ63+ZR63+ZS63+ZT63</f>
        <v/>
      </c>
      <c r="ZV63" s="9">
        <f>ZO63*BlendedPriceEssMonthly*ZA63+ZP63*BlendedPricePremMonthly*ZA63+ZQ63*BlendedPriceEliteMonthly*ZA63+ZR63*BlendedPriceEssAnnual*ZA63/12+ZS63*BlendedPricePremAnnual*ZA63/12+ZT63*BlendedPriceEliteAnnual*ZA63/12</f>
        <v/>
      </c>
      <c r="ZW63" s="9">
        <f>ZV63*12</f>
        <v/>
      </c>
      <c r="ZX63" s="12">
        <f>ZO63*BlendedPriceEssMonthly*ZA63+ZP63*BlendedPricePremMonthly*ZA63+ZQ63*BlendedPriceEliteMonthly*ZA63</f>
        <v/>
      </c>
      <c r="ZY63" s="12">
        <f>ZL63*BlendedPriceEssAnnual*ZA63+ZM63*BlendedPricePremAnnual*ZA63+ZN63*BlendedPriceEliteAnnual*ZA63</f>
        <v/>
      </c>
      <c r="ZZ63" s="12">
        <f>ZL51*POWER(1-(AnnualChurn*VLOOKUP(YX63,ChurnSeasonTable,4,FALSE)),1)*BlendedPriceEssAnnual*ZA63+ZL39*POWER(1-(AnnualChurn*VLOOKUP(YX63,ChurnSeasonTable,4,FALSE)),2)*BlendedPriceEssAnnual*ZA63+ZL27*POWER(1-(AnnualChurn*VLOOKUP(YX63,ChurnSeasonTable,4,FALSE)),3)*BlendedPriceEssAnnual*ZA63+ZL15*POWER(1-(AnnualChurn*VLOOKUP(YX63,ChurnSeasonTable,4,FALSE)),4)*BlendedPriceEssAnnual*ZA63+ZM51*POWER(1-(AnnualChurn*VLOOKUP(YX63,ChurnSeasonTable,4,FALSE)),1)*BlendedPricePremAnnual*ZA63+ZM39*POWER(1-(AnnualChurn*VLOOKUP(YX63,ChurnSeasonTable,4,FALSE)),2)*BlendedPricePremAnnual*ZA63+ZM27*POWER(1-(AnnualChurn*VLOOKUP(YX63,ChurnSeasonTable,4,FALSE)),3)*BlendedPricePremAnnual*ZA63+ZM15*POWER(1-(AnnualChurn*VLOOKUP(YX63,ChurnSeasonTable,4,FALSE)),4)*BlendedPricePremAnnual*ZA63+ZN51*POWER(1-(AnnualChurn*VLOOKUP(YX63,ChurnSeasonTable,4,FALSE)),1)*BlendedPriceEliteAnnual*ZA63+ZN39*POWER(1-(AnnualChurn*VLOOKUP(YX63,ChurnSeasonTable,4,FALSE)),2)*BlendedPriceEliteAnnual*ZA63+ZN27*POWER(1-(AnnualChurn*VLOOKUP(YX63,ChurnSeasonTable,4,FALSE)),3)*BlendedPriceEliteAnnual*ZA63+ZN15*POWER(1-(AnnualChurn*VLOOKUP(YX63,ChurnSeasonTable,4,FALSE)),4)*BlendedPriceEliteAnnual*ZA63</f>
        <v/>
      </c>
      <c r="AAA63" s="9">
        <f>ZX63+ZY63+ZZ63</f>
        <v/>
      </c>
      <c r="AAB63" s="12">
        <f>SUM(AAA52:AAA63)</f>
        <v/>
      </c>
      <c r="AAC63" s="12">
        <f>OR(AAC62,IF(VATAgentMode,SUM($AAA52:$AAA63)-SUM($AAH52:$AAH63)&gt;=VATThreshold,SUM($AAA52:$AAA63)&gt;=VATThreshold))</f>
        <v/>
      </c>
      <c r="AAD63" s="9">
        <f>IF(AAC63,IF(VATAgentMode,AAA63-((AAA63-AAH63)-(AAA63-AAH63)/(1+VATRate)),AAA63/(1+VATRate)),AAA63)</f>
        <v/>
      </c>
      <c r="AAE63" s="12">
        <f>AAA63-AAD63</f>
        <v/>
      </c>
      <c r="AAF63" s="12">
        <f>IF(AAC63=0,0,IF(YX63=1,SUMPRODUCT(--(($YY$5:$YY63=$YY63-1)*($YX$5:$YX63&gt;=10)*($YX$5:$YX63&lt;=12)),$AAE$5:$AAE63),IF(YX63=4,SUMPRODUCT(--(($YY$5:$YY63=$YY63)*($YX$5:$YX63&gt;=1)*($YX$5:$YX63&lt;=3)),$AAE$5:$AAE63),IF(YX63=7,SUMPRODUCT(--(($YY$5:$YY63=$YY63)*($YX$5:$YX63&gt;=4)*($YX$5:$YX63&lt;=6)),$AAE$5:$AAE63),IF(YX63=10,SUMPRODUCT(--(($YY$5:$YY63=$YY63)*($YX$5:$YX63&gt;=7)*($YX$5:$YX63&lt;=9)),$AAE$5:$AAE63),0)))))</f>
        <v/>
      </c>
      <c r="AAG63" s="12">
        <f>AAG62+AAE63-AAF63</f>
        <v/>
      </c>
      <c r="AAH63" s="12">
        <f>IF(ProviderDelay&gt;=1,ZO62*BlendedProvPayEss+ZP62*BlendedProvPayPrem+ZQ62*BlendedProvPayElite+ZR62*BlendedProvPayEss+ZS62*BlendedProvPayPrem+ZT62*BlendedProvPayElite,ZO63*BlendedProvPayEss+ZP63*BlendedProvPayPrem+ZQ63*BlendedProvPayElite+ZR63*BlendedProvPayEss+ZS63*BlendedProvPayPrem+ZT63*BlendedProvPayElite)</f>
        <v/>
      </c>
      <c r="AAI63" s="12">
        <f>AAA63*PaymentFee</f>
        <v/>
      </c>
      <c r="AAJ63" s="12">
        <f>ZU63*OpsAI</f>
        <v/>
      </c>
      <c r="AAK63" s="12">
        <f>MonthlyFixed</f>
        <v/>
      </c>
      <c r="AAL63" s="12">
        <f>ZE63*ReferralReward</f>
        <v/>
      </c>
      <c r="AAM63" s="12">
        <f>ZC63</f>
        <v/>
      </c>
      <c r="AAN63" s="9">
        <f>AAD63-AAH63-AAI63-AAJ63-AAK63-AAL63-AAM63</f>
        <v/>
      </c>
      <c r="AAO63" s="9">
        <f>AAO62+AAA63-(AAH63+AAI63+AAJ63+AAK63+AAL63+AAM63+AAF63)</f>
        <v/>
      </c>
      <c r="AAP63" s="12">
        <f>IF(ZU63&gt;0,ZV63/ZU63,0)</f>
        <v/>
      </c>
      <c r="AAQ63" s="11">
        <f>IF(ZU62&gt;0,MAX(0,(ZU62+ZF63-ZU63)/ZU62),0)</f>
        <v/>
      </c>
      <c r="AAS63" s="12" t="n">
        <v>59</v>
      </c>
      <c r="AAT63" s="12">
        <f>MOD(AAS63-1+LaunchMonth-1,12)+1</f>
        <v/>
      </c>
      <c r="AAU63" s="12">
        <f>INT((AAS63-1+LaunchMonth-1)/12)+1</f>
        <v/>
      </c>
      <c r="AAV63" s="12">
        <f>VLOOKUP(AAT63,SeasonTable,2,FALSE)</f>
        <v/>
      </c>
      <c r="AAW63" s="12">
        <f>(1+InflationRate)^INT((AAS63-1)/12)</f>
        <v/>
      </c>
      <c r="AAX63" s="11">
        <f>MonthlyChurn*VLOOKUP(AAT63,ChurnSeasonTable,4,FALSE)</f>
        <v/>
      </c>
      <c r="AAY63" s="12">
        <f>MIN(MAX(MktMin19plus,ABW62*MktPct19plus),MAX(0,ACK62-CashBuffer))</f>
        <v/>
      </c>
      <c r="AAZ63" s="12">
        <f>IF(AAY63&gt;0,MAX(1,ROUND(AAY63/CAC*AAV63,0)),0)</f>
        <v/>
      </c>
      <c r="ABA63" s="12">
        <f>IF(AAZ63&gt;0,ROUND(AAZ63*ReferralMix/(1-ReferralMix),0),0)</f>
        <v/>
      </c>
      <c r="ABB63" s="12">
        <f>AAZ63+ABA63</f>
        <v/>
      </c>
      <c r="ABC63" s="12">
        <f>ROUND(ABB63*(1-'Sens - Annual Mix'!$A$12),0)</f>
        <v/>
      </c>
      <c r="ABD63" s="12">
        <f>ABB63-ABC63</f>
        <v/>
      </c>
      <c r="ABE63" s="12">
        <f>ROUND(ABC63*EssentialMix,0)</f>
        <v/>
      </c>
      <c r="ABF63" s="12">
        <f>ROUND(ABC63*PremiumMix,0)</f>
        <v/>
      </c>
      <c r="ABG63" s="12">
        <f>ABC63-ABE63-ABF63</f>
        <v/>
      </c>
      <c r="ABH63" s="12">
        <f>ROUND(ABD63*EssentialMix,0)</f>
        <v/>
      </c>
      <c r="ABI63" s="12">
        <f>ROUND(ABD63*PremiumMix,0)</f>
        <v/>
      </c>
      <c r="ABJ63" s="12">
        <f>ABD63-ABH63-ABI63</f>
        <v/>
      </c>
      <c r="ABK63" s="12">
        <f>ABE63+ABE62+ABE61+MAX(0,ABK62-ABE62-ABE61)*(1-AAX63)</f>
        <v/>
      </c>
      <c r="ABL63" s="12">
        <f>ABF63+ABF62+ABF61+MAX(0,ABL62-ABF62-ABF61)*(1-AAX63)</f>
        <v/>
      </c>
      <c r="ABM63" s="12">
        <f>ABG63+ABG62+ABG61+MAX(0,ABM62-ABG62-ABG61)*(1-AAX63)</f>
        <v/>
      </c>
      <c r="ABN63" s="12">
        <f>ABN62+ABH63-ABH51*(AnnualChurn*VLOOKUP(AAT63,ChurnSeasonTable,4,FALSE))*POWER(1-(AnnualChurn*VLOOKUP(AAT63,ChurnSeasonTable,4,FALSE)),0)+ABH39*(AnnualChurn*VLOOKUP(AAT63,ChurnSeasonTable,4,FALSE))*POWER(1-(AnnualChurn*VLOOKUP(AAT63,ChurnSeasonTable,4,FALSE)),1)+ABH27*(AnnualChurn*VLOOKUP(AAT63,ChurnSeasonTable,4,FALSE))*POWER(1-(AnnualChurn*VLOOKUP(AAT63,ChurnSeasonTable,4,FALSE)),2)+ABH15*(AnnualChurn*VLOOKUP(AAT63,ChurnSeasonTable,4,FALSE))*POWER(1-(AnnualChurn*VLOOKUP(AAT63,ChurnSeasonTable,4,FALSE)),3)</f>
        <v/>
      </c>
      <c r="ABO63" s="12">
        <f>ABO62+ABI63-ABI51*(AnnualChurn*VLOOKUP(AAT63,ChurnSeasonTable,4,FALSE))*POWER(1-(AnnualChurn*VLOOKUP(AAT63,ChurnSeasonTable,4,FALSE)),0)+ABI39*(AnnualChurn*VLOOKUP(AAT63,ChurnSeasonTable,4,FALSE))*POWER(1-(AnnualChurn*VLOOKUP(AAT63,ChurnSeasonTable,4,FALSE)),1)+ABI27*(AnnualChurn*VLOOKUP(AAT63,ChurnSeasonTable,4,FALSE))*POWER(1-(AnnualChurn*VLOOKUP(AAT63,ChurnSeasonTable,4,FALSE)),2)+ABI15*(AnnualChurn*VLOOKUP(AAT63,ChurnSeasonTable,4,FALSE))*POWER(1-(AnnualChurn*VLOOKUP(AAT63,ChurnSeasonTable,4,FALSE)),3)</f>
        <v/>
      </c>
      <c r="ABP63" s="12">
        <f>ABP62+ABJ63-ABJ51*(AnnualChurn*VLOOKUP(AAT63,ChurnSeasonTable,4,FALSE))*POWER(1-(AnnualChurn*VLOOKUP(AAT63,ChurnSeasonTable,4,FALSE)),0)+ABJ39*(AnnualChurn*VLOOKUP(AAT63,ChurnSeasonTable,4,FALSE))*POWER(1-(AnnualChurn*VLOOKUP(AAT63,ChurnSeasonTable,4,FALSE)),1)+ABJ27*(AnnualChurn*VLOOKUP(AAT63,ChurnSeasonTable,4,FALSE))*POWER(1-(AnnualChurn*VLOOKUP(AAT63,ChurnSeasonTable,4,FALSE)),2)+ABJ15*(AnnualChurn*VLOOKUP(AAT63,ChurnSeasonTable,4,FALSE))*POWER(1-(AnnualChurn*VLOOKUP(AAT63,ChurnSeasonTable,4,FALSE)),3)</f>
        <v/>
      </c>
      <c r="ABQ63" s="12">
        <f>ABK63+ABL63+ABM63+ABN63+ABO63+ABP63</f>
        <v/>
      </c>
      <c r="ABR63" s="9">
        <f>ABK63*BlendedPriceEssMonthly*AAW63+ABL63*BlendedPricePremMonthly*AAW63+ABM63*BlendedPriceEliteMonthly*AAW63+ABN63*BlendedPriceEssAnnual*AAW63/12+ABO63*BlendedPricePremAnnual*AAW63/12+ABP63*BlendedPriceEliteAnnual*AAW63/12</f>
        <v/>
      </c>
      <c r="ABS63" s="9">
        <f>ABR63*12</f>
        <v/>
      </c>
      <c r="ABT63" s="12">
        <f>ABK63*BlendedPriceEssMonthly*AAW63+ABL63*BlendedPricePremMonthly*AAW63+ABM63*BlendedPriceEliteMonthly*AAW63</f>
        <v/>
      </c>
      <c r="ABU63" s="12">
        <f>ABH63*BlendedPriceEssAnnual*AAW63+ABI63*BlendedPricePremAnnual*AAW63+ABJ63*BlendedPriceEliteAnnual*AAW63</f>
        <v/>
      </c>
      <c r="ABV63" s="12">
        <f>ABH51*POWER(1-(AnnualChurn*VLOOKUP(AAT63,ChurnSeasonTable,4,FALSE)),1)*BlendedPriceEssAnnual*AAW63+ABH39*POWER(1-(AnnualChurn*VLOOKUP(AAT63,ChurnSeasonTable,4,FALSE)),2)*BlendedPriceEssAnnual*AAW63+ABH27*POWER(1-(AnnualChurn*VLOOKUP(AAT63,ChurnSeasonTable,4,FALSE)),3)*BlendedPriceEssAnnual*AAW63+ABH15*POWER(1-(AnnualChurn*VLOOKUP(AAT63,ChurnSeasonTable,4,FALSE)),4)*BlendedPriceEssAnnual*AAW63+ABI51*POWER(1-(AnnualChurn*VLOOKUP(AAT63,ChurnSeasonTable,4,FALSE)),1)*BlendedPricePremAnnual*AAW63+ABI39*POWER(1-(AnnualChurn*VLOOKUP(AAT63,ChurnSeasonTable,4,FALSE)),2)*BlendedPricePremAnnual*AAW63+ABI27*POWER(1-(AnnualChurn*VLOOKUP(AAT63,ChurnSeasonTable,4,FALSE)),3)*BlendedPricePremAnnual*AAW63+ABI15*POWER(1-(AnnualChurn*VLOOKUP(AAT63,ChurnSeasonTable,4,FALSE)),4)*BlendedPricePremAnnual*AAW63+ABJ51*POWER(1-(AnnualChurn*VLOOKUP(AAT63,ChurnSeasonTable,4,FALSE)),1)*BlendedPriceEliteAnnual*AAW63+ABJ39*POWER(1-(AnnualChurn*VLOOKUP(AAT63,ChurnSeasonTable,4,FALSE)),2)*BlendedPriceEliteAnnual*AAW63+ABJ27*POWER(1-(AnnualChurn*VLOOKUP(AAT63,ChurnSeasonTable,4,FALSE)),3)*BlendedPriceEliteAnnual*AAW63+ABJ15*POWER(1-(AnnualChurn*VLOOKUP(AAT63,ChurnSeasonTable,4,FALSE)),4)*BlendedPriceEliteAnnual*AAW63</f>
        <v/>
      </c>
      <c r="ABW63" s="9">
        <f>ABT63+ABU63+ABV63</f>
        <v/>
      </c>
      <c r="ABX63" s="12">
        <f>SUM(ABW52:ABW63)</f>
        <v/>
      </c>
      <c r="ABY63" s="12">
        <f>OR(ABY62,IF(VATAgentMode,SUM($ABW52:$ABW63)-SUM($ACD52:$ACD63)&gt;=VATThreshold,SUM($ABW52:$ABW63)&gt;=VATThreshold))</f>
        <v/>
      </c>
      <c r="ABZ63" s="9">
        <f>IF(ABY63,IF(VATAgentMode,ABW63-((ABW63-ACD63)-(ABW63-ACD63)/(1+VATRate)),ABW63/(1+VATRate)),ABW63)</f>
        <v/>
      </c>
      <c r="ACA63" s="12">
        <f>ABW63-ABZ63</f>
        <v/>
      </c>
      <c r="ACB63" s="12">
        <f>IF(ABY63=0,0,IF(AAT63=1,SUMPRODUCT(--(($AAU$5:$AAU63=$AAU63-1)*($AAT$5:$AAT63&gt;=10)*($AAT$5:$AAT63&lt;=12)),$ACA$5:$ACA63),IF(AAT63=4,SUMPRODUCT(--(($AAU$5:$AAU63=$AAU63)*($AAT$5:$AAT63&gt;=1)*($AAT$5:$AAT63&lt;=3)),$ACA$5:$ACA63),IF(AAT63=7,SUMPRODUCT(--(($AAU$5:$AAU63=$AAU63)*($AAT$5:$AAT63&gt;=4)*($AAT$5:$AAT63&lt;=6)),$ACA$5:$ACA63),IF(AAT63=10,SUMPRODUCT(--(($AAU$5:$AAU63=$AAU63)*($AAT$5:$AAT63&gt;=7)*($AAT$5:$AAT63&lt;=9)),$ACA$5:$ACA63),0)))))</f>
        <v/>
      </c>
      <c r="ACC63" s="12">
        <f>ACC62+ACA63-ACB63</f>
        <v/>
      </c>
      <c r="ACD63" s="12">
        <f>IF(ProviderDelay&gt;=1,ABK62*BlendedProvPayEss+ABL62*BlendedProvPayPrem+ABM62*BlendedProvPayElite+ABN62*BlendedProvPayEss+ABO62*BlendedProvPayPrem+ABP62*BlendedProvPayElite,ABK63*BlendedProvPayEss+ABL63*BlendedProvPayPrem+ABM63*BlendedProvPayElite+ABN63*BlendedProvPayEss+ABO63*BlendedProvPayPrem+ABP63*BlendedProvPayElite)</f>
        <v/>
      </c>
      <c r="ACE63" s="12">
        <f>ABW63*PaymentFee</f>
        <v/>
      </c>
      <c r="ACF63" s="12">
        <f>ABQ63*OpsAI</f>
        <v/>
      </c>
      <c r="ACG63" s="12">
        <f>MonthlyFixed</f>
        <v/>
      </c>
      <c r="ACH63" s="12">
        <f>ABA63*ReferralReward</f>
        <v/>
      </c>
      <c r="ACI63" s="12">
        <f>AAY63</f>
        <v/>
      </c>
      <c r="ACJ63" s="9">
        <f>ABZ63-ACD63-ACE63-ACF63-ACG63-ACH63-ACI63</f>
        <v/>
      </c>
      <c r="ACK63" s="9">
        <f>ACK62+ABW63-(ACD63+ACE63+ACF63+ACG63+ACH63+ACI63+ACB63)</f>
        <v/>
      </c>
      <c r="ACL63" s="12">
        <f>IF(ABQ63&gt;0,ABR63/ABQ63,0)</f>
        <v/>
      </c>
      <c r="ACM63" s="11">
        <f>IF(ABQ62&gt;0,MAX(0,(ABQ62+ABB63-ABQ63)/ABQ62),0)</f>
        <v/>
      </c>
      <c r="ACO63" s="12" t="n">
        <v>59</v>
      </c>
      <c r="ACP63" s="12">
        <f>MOD(ACO63-1+LaunchMonth-1,12)+1</f>
        <v/>
      </c>
      <c r="ACQ63" s="12">
        <f>INT((ACO63-1+LaunchMonth-1)/12)+1</f>
        <v/>
      </c>
      <c r="ACR63" s="12">
        <f>VLOOKUP(ACP63,SeasonTable,2,FALSE)</f>
        <v/>
      </c>
      <c r="ACS63" s="12">
        <f>(1+InflationRate)^INT((ACO63-1)/12)</f>
        <v/>
      </c>
      <c r="ACT63" s="11">
        <f>MonthlyChurn*VLOOKUP(ACP63,ChurnSeasonTable,4,FALSE)</f>
        <v/>
      </c>
      <c r="ACU63" s="12">
        <f>MIN(MAX(MktMin19plus,ADS62*MktPct19plus),MAX(0,AEG62-CashBuffer))</f>
        <v/>
      </c>
      <c r="ACV63" s="12">
        <f>IF(ACU63&gt;0,MAX(1,ROUND(ACU63/CAC*ACR63,0)),0)</f>
        <v/>
      </c>
      <c r="ACW63" s="12">
        <f>IF(ACV63&gt;0,ROUND(ACV63*ReferralMix/(1-ReferralMix),0),0)</f>
        <v/>
      </c>
      <c r="ACX63" s="12">
        <f>ACV63+ACW63</f>
        <v/>
      </c>
      <c r="ACY63" s="12">
        <f>ROUND(ACX63*(1-'Sens - Annual Mix'!$A$13),0)</f>
        <v/>
      </c>
      <c r="ACZ63" s="12">
        <f>ACX63-ACY63</f>
        <v/>
      </c>
      <c r="ADA63" s="12">
        <f>ROUND(ACY63*EssentialMix,0)</f>
        <v/>
      </c>
      <c r="ADB63" s="12">
        <f>ROUND(ACY63*PremiumMix,0)</f>
        <v/>
      </c>
      <c r="ADC63" s="12">
        <f>ACY63-ADA63-ADB63</f>
        <v/>
      </c>
      <c r="ADD63" s="12">
        <f>ROUND(ACZ63*EssentialMix,0)</f>
        <v/>
      </c>
      <c r="ADE63" s="12">
        <f>ROUND(ACZ63*PremiumMix,0)</f>
        <v/>
      </c>
      <c r="ADF63" s="12">
        <f>ACZ63-ADD63-ADE63</f>
        <v/>
      </c>
      <c r="ADG63" s="12">
        <f>ADA63+ADA62+ADA61+MAX(0,ADG62-ADA62-ADA61)*(1-ACT63)</f>
        <v/>
      </c>
      <c r="ADH63" s="12">
        <f>ADB63+ADB62+ADB61+MAX(0,ADH62-ADB62-ADB61)*(1-ACT63)</f>
        <v/>
      </c>
      <c r="ADI63" s="12">
        <f>ADC63+ADC62+ADC61+MAX(0,ADI62-ADC62-ADC61)*(1-ACT63)</f>
        <v/>
      </c>
      <c r="ADJ63" s="12">
        <f>ADJ62+ADD63-ADD51*(AnnualChurn*VLOOKUP(ACP63,ChurnSeasonTable,4,FALSE))*POWER(1-(AnnualChurn*VLOOKUP(ACP63,ChurnSeasonTable,4,FALSE)),0)+ADD39*(AnnualChurn*VLOOKUP(ACP63,ChurnSeasonTable,4,FALSE))*POWER(1-(AnnualChurn*VLOOKUP(ACP63,ChurnSeasonTable,4,FALSE)),1)+ADD27*(AnnualChurn*VLOOKUP(ACP63,ChurnSeasonTable,4,FALSE))*POWER(1-(AnnualChurn*VLOOKUP(ACP63,ChurnSeasonTable,4,FALSE)),2)+ADD15*(AnnualChurn*VLOOKUP(ACP63,ChurnSeasonTable,4,FALSE))*POWER(1-(AnnualChurn*VLOOKUP(ACP63,ChurnSeasonTable,4,FALSE)),3)</f>
        <v/>
      </c>
      <c r="ADK63" s="12">
        <f>ADK62+ADE63-ADE51*(AnnualChurn*VLOOKUP(ACP63,ChurnSeasonTable,4,FALSE))*POWER(1-(AnnualChurn*VLOOKUP(ACP63,ChurnSeasonTable,4,FALSE)),0)+ADE39*(AnnualChurn*VLOOKUP(ACP63,ChurnSeasonTable,4,FALSE))*POWER(1-(AnnualChurn*VLOOKUP(ACP63,ChurnSeasonTable,4,FALSE)),1)+ADE27*(AnnualChurn*VLOOKUP(ACP63,ChurnSeasonTable,4,FALSE))*POWER(1-(AnnualChurn*VLOOKUP(ACP63,ChurnSeasonTable,4,FALSE)),2)+ADE15*(AnnualChurn*VLOOKUP(ACP63,ChurnSeasonTable,4,FALSE))*POWER(1-(AnnualChurn*VLOOKUP(ACP63,ChurnSeasonTable,4,FALSE)),3)</f>
        <v/>
      </c>
      <c r="ADL63" s="12">
        <f>ADL62+ADF63-ADF51*(AnnualChurn*VLOOKUP(ACP63,ChurnSeasonTable,4,FALSE))*POWER(1-(AnnualChurn*VLOOKUP(ACP63,ChurnSeasonTable,4,FALSE)),0)+ADF39*(AnnualChurn*VLOOKUP(ACP63,ChurnSeasonTable,4,FALSE))*POWER(1-(AnnualChurn*VLOOKUP(ACP63,ChurnSeasonTable,4,FALSE)),1)+ADF27*(AnnualChurn*VLOOKUP(ACP63,ChurnSeasonTable,4,FALSE))*POWER(1-(AnnualChurn*VLOOKUP(ACP63,ChurnSeasonTable,4,FALSE)),2)+ADF15*(AnnualChurn*VLOOKUP(ACP63,ChurnSeasonTable,4,FALSE))*POWER(1-(AnnualChurn*VLOOKUP(ACP63,ChurnSeasonTable,4,FALSE)),3)</f>
        <v/>
      </c>
      <c r="ADM63" s="12">
        <f>ADG63+ADH63+ADI63+ADJ63+ADK63+ADL63</f>
        <v/>
      </c>
      <c r="ADN63" s="9">
        <f>ADG63*BlendedPriceEssMonthly*ACS63+ADH63*BlendedPricePremMonthly*ACS63+ADI63*BlendedPriceEliteMonthly*ACS63+ADJ63*BlendedPriceEssAnnual*ACS63/12+ADK63*BlendedPricePremAnnual*ACS63/12+ADL63*BlendedPriceEliteAnnual*ACS63/12</f>
        <v/>
      </c>
      <c r="ADO63" s="9">
        <f>ADN63*12</f>
        <v/>
      </c>
      <c r="ADP63" s="12">
        <f>ADG63*BlendedPriceEssMonthly*ACS63+ADH63*BlendedPricePremMonthly*ACS63+ADI63*BlendedPriceEliteMonthly*ACS63</f>
        <v/>
      </c>
      <c r="ADQ63" s="12">
        <f>ADD63*BlendedPriceEssAnnual*ACS63+ADE63*BlendedPricePremAnnual*ACS63+ADF63*BlendedPriceEliteAnnual*ACS63</f>
        <v/>
      </c>
      <c r="ADR63" s="12">
        <f>ADD51*POWER(1-(AnnualChurn*VLOOKUP(ACP63,ChurnSeasonTable,4,FALSE)),1)*BlendedPriceEssAnnual*ACS63+ADD39*POWER(1-(AnnualChurn*VLOOKUP(ACP63,ChurnSeasonTable,4,FALSE)),2)*BlendedPriceEssAnnual*ACS63+ADD27*POWER(1-(AnnualChurn*VLOOKUP(ACP63,ChurnSeasonTable,4,FALSE)),3)*BlendedPriceEssAnnual*ACS63+ADD15*POWER(1-(AnnualChurn*VLOOKUP(ACP63,ChurnSeasonTable,4,FALSE)),4)*BlendedPriceEssAnnual*ACS63+ADE51*POWER(1-(AnnualChurn*VLOOKUP(ACP63,ChurnSeasonTable,4,FALSE)),1)*BlendedPricePremAnnual*ACS63+ADE39*POWER(1-(AnnualChurn*VLOOKUP(ACP63,ChurnSeasonTable,4,FALSE)),2)*BlendedPricePremAnnual*ACS63+ADE27*POWER(1-(AnnualChurn*VLOOKUP(ACP63,ChurnSeasonTable,4,FALSE)),3)*BlendedPricePremAnnual*ACS63+ADE15*POWER(1-(AnnualChurn*VLOOKUP(ACP63,ChurnSeasonTable,4,FALSE)),4)*BlendedPricePremAnnual*ACS63+ADF51*POWER(1-(AnnualChurn*VLOOKUP(ACP63,ChurnSeasonTable,4,FALSE)),1)*BlendedPriceEliteAnnual*ACS63+ADF39*POWER(1-(AnnualChurn*VLOOKUP(ACP63,ChurnSeasonTable,4,FALSE)),2)*BlendedPriceEliteAnnual*ACS63+ADF27*POWER(1-(AnnualChurn*VLOOKUP(ACP63,ChurnSeasonTable,4,FALSE)),3)*BlendedPriceEliteAnnual*ACS63+ADF15*POWER(1-(AnnualChurn*VLOOKUP(ACP63,ChurnSeasonTable,4,FALSE)),4)*BlendedPriceEliteAnnual*ACS63</f>
        <v/>
      </c>
      <c r="ADS63" s="9">
        <f>ADP63+ADQ63+ADR63</f>
        <v/>
      </c>
      <c r="ADT63" s="12">
        <f>SUM(ADS52:ADS63)</f>
        <v/>
      </c>
      <c r="ADU63" s="12">
        <f>OR(ADU62,IF(VATAgentMode,SUM($ADS52:$ADS63)-SUM($ADZ52:$ADZ63)&gt;=VATThreshold,SUM($ADS52:$ADS63)&gt;=VATThreshold))</f>
        <v/>
      </c>
      <c r="ADV63" s="9">
        <f>IF(ADU63,IF(VATAgentMode,ADS63-((ADS63-ADZ63)-(ADS63-ADZ63)/(1+VATRate)),ADS63/(1+VATRate)),ADS63)</f>
        <v/>
      </c>
      <c r="ADW63" s="12">
        <f>ADS63-ADV63</f>
        <v/>
      </c>
      <c r="ADX63" s="12">
        <f>IF(ADU63=0,0,IF(ACP63=1,SUMPRODUCT(--(($ACQ$5:$ACQ63=$ACQ63-1)*($ACP$5:$ACP63&gt;=10)*($ACP$5:$ACP63&lt;=12)),$ADW$5:$ADW63),IF(ACP63=4,SUMPRODUCT(--(($ACQ$5:$ACQ63=$ACQ63)*($ACP$5:$ACP63&gt;=1)*($ACP$5:$ACP63&lt;=3)),$ADW$5:$ADW63),IF(ACP63=7,SUMPRODUCT(--(($ACQ$5:$ACQ63=$ACQ63)*($ACP$5:$ACP63&gt;=4)*($ACP$5:$ACP63&lt;=6)),$ADW$5:$ADW63),IF(ACP63=10,SUMPRODUCT(--(($ACQ$5:$ACQ63=$ACQ63)*($ACP$5:$ACP63&gt;=7)*($ACP$5:$ACP63&lt;=9)),$ADW$5:$ADW63),0)))))</f>
        <v/>
      </c>
      <c r="ADY63" s="12">
        <f>ADY62+ADW63-ADX63</f>
        <v/>
      </c>
      <c r="ADZ63" s="12">
        <f>IF(ProviderDelay&gt;=1,ADG62*BlendedProvPayEss+ADH62*BlendedProvPayPrem+ADI62*BlendedProvPayElite+ADJ62*BlendedProvPayEss+ADK62*BlendedProvPayPrem+ADL62*BlendedProvPayElite,ADG63*BlendedProvPayEss+ADH63*BlendedProvPayPrem+ADI63*BlendedProvPayElite+ADJ63*BlendedProvPayEss+ADK63*BlendedProvPayPrem+ADL63*BlendedProvPayElite)</f>
        <v/>
      </c>
      <c r="AEA63" s="12">
        <f>ADS63*PaymentFee</f>
        <v/>
      </c>
      <c r="AEB63" s="12">
        <f>ADM63*OpsAI</f>
        <v/>
      </c>
      <c r="AEC63" s="12">
        <f>MonthlyFixed</f>
        <v/>
      </c>
      <c r="AED63" s="12">
        <f>ACW63*ReferralReward</f>
        <v/>
      </c>
      <c r="AEE63" s="12">
        <f>ACU63</f>
        <v/>
      </c>
      <c r="AEF63" s="9">
        <f>ADV63-ADZ63-AEA63-AEB63-AEC63-AED63-AEE63</f>
        <v/>
      </c>
      <c r="AEG63" s="9">
        <f>AEG62+ADS63-(ADZ63+AEA63+AEB63+AEC63+AED63+AEE63+ADX63)</f>
        <v/>
      </c>
      <c r="AEH63" s="12">
        <f>IF(ADM63&gt;0,ADN63/ADM63,0)</f>
        <v/>
      </c>
      <c r="AEI63" s="11">
        <f>IF(ADM62&gt;0,MAX(0,(ADM62+ACX63-ADM63)/ADM62),0)</f>
        <v/>
      </c>
      <c r="AEK63" s="12" t="n">
        <v>59</v>
      </c>
      <c r="AEL63" s="12">
        <f>MOD(AEK63-1+LaunchMonth-1,12)+1</f>
        <v/>
      </c>
      <c r="AEM63" s="12">
        <f>INT((AEK63-1+LaunchMonth-1)/12)+1</f>
        <v/>
      </c>
      <c r="AEN63" s="12">
        <f>VLOOKUP(AEL63,SeasonTable,2,FALSE)</f>
        <v/>
      </c>
      <c r="AEO63" s="12">
        <f>(1+InflationRate)^INT((AEK63-1)/12)</f>
        <v/>
      </c>
      <c r="AEP63" s="11">
        <f>MonthlyChurn*VLOOKUP(AEL63,ChurnSeasonTable,4,FALSE)</f>
        <v/>
      </c>
      <c r="AEQ63" s="12">
        <f>MIN(MAX(MktMin19plus,AFO62*MktPct19plus),MAX(0,AGC62-CashBuffer))</f>
        <v/>
      </c>
      <c r="AER63" s="12">
        <f>IF(AEQ63&gt;0,MAX(1,ROUND(AEQ63/CAC*AEN63,0)),0)</f>
        <v/>
      </c>
      <c r="AES63" s="12">
        <f>IF(AER63&gt;0,ROUND(AER63*ReferralMix/(1-ReferralMix),0),0)</f>
        <v/>
      </c>
      <c r="AET63" s="12">
        <f>AER63+AES63</f>
        <v/>
      </c>
      <c r="AEU63" s="12">
        <f>ROUND(AET63*(1-'Sens - Annual Mix'!$A$14),0)</f>
        <v/>
      </c>
      <c r="AEV63" s="12">
        <f>AET63-AEU63</f>
        <v/>
      </c>
      <c r="AEW63" s="12">
        <f>ROUND(AEU63*EssentialMix,0)</f>
        <v/>
      </c>
      <c r="AEX63" s="12">
        <f>ROUND(AEU63*PremiumMix,0)</f>
        <v/>
      </c>
      <c r="AEY63" s="12">
        <f>AEU63-AEW63-AEX63</f>
        <v/>
      </c>
      <c r="AEZ63" s="12">
        <f>ROUND(AEV63*EssentialMix,0)</f>
        <v/>
      </c>
      <c r="AFA63" s="12">
        <f>ROUND(AEV63*PremiumMix,0)</f>
        <v/>
      </c>
      <c r="AFB63" s="12">
        <f>AEV63-AEZ63-AFA63</f>
        <v/>
      </c>
      <c r="AFC63" s="12">
        <f>AEW63+AEW62+AEW61+MAX(0,AFC62-AEW62-AEW61)*(1-AEP63)</f>
        <v/>
      </c>
      <c r="AFD63" s="12">
        <f>AEX63+AEX62+AEX61+MAX(0,AFD62-AEX62-AEX61)*(1-AEP63)</f>
        <v/>
      </c>
      <c r="AFE63" s="12">
        <f>AEY63+AEY62+AEY61+MAX(0,AFE62-AEY62-AEY61)*(1-AEP63)</f>
        <v/>
      </c>
      <c r="AFF63" s="12">
        <f>AFF62+AEZ63-AEZ51*(AnnualChurn*VLOOKUP(AEL63,ChurnSeasonTable,4,FALSE))*POWER(1-(AnnualChurn*VLOOKUP(AEL63,ChurnSeasonTable,4,FALSE)),0)+AEZ39*(AnnualChurn*VLOOKUP(AEL63,ChurnSeasonTable,4,FALSE))*POWER(1-(AnnualChurn*VLOOKUP(AEL63,ChurnSeasonTable,4,FALSE)),1)+AEZ27*(AnnualChurn*VLOOKUP(AEL63,ChurnSeasonTable,4,FALSE))*POWER(1-(AnnualChurn*VLOOKUP(AEL63,ChurnSeasonTable,4,FALSE)),2)+AEZ15*(AnnualChurn*VLOOKUP(AEL63,ChurnSeasonTable,4,FALSE))*POWER(1-(AnnualChurn*VLOOKUP(AEL63,ChurnSeasonTable,4,FALSE)),3)</f>
        <v/>
      </c>
      <c r="AFG63" s="12">
        <f>AFG62+AFA63-AFA51*(AnnualChurn*VLOOKUP(AEL63,ChurnSeasonTable,4,FALSE))*POWER(1-(AnnualChurn*VLOOKUP(AEL63,ChurnSeasonTable,4,FALSE)),0)+AFA39*(AnnualChurn*VLOOKUP(AEL63,ChurnSeasonTable,4,FALSE))*POWER(1-(AnnualChurn*VLOOKUP(AEL63,ChurnSeasonTable,4,FALSE)),1)+AFA27*(AnnualChurn*VLOOKUP(AEL63,ChurnSeasonTable,4,FALSE))*POWER(1-(AnnualChurn*VLOOKUP(AEL63,ChurnSeasonTable,4,FALSE)),2)+AFA15*(AnnualChurn*VLOOKUP(AEL63,ChurnSeasonTable,4,FALSE))*POWER(1-(AnnualChurn*VLOOKUP(AEL63,ChurnSeasonTable,4,FALSE)),3)</f>
        <v/>
      </c>
      <c r="AFH63" s="12">
        <f>AFH62+AFB63-AFB51*(AnnualChurn*VLOOKUP(AEL63,ChurnSeasonTable,4,FALSE))*POWER(1-(AnnualChurn*VLOOKUP(AEL63,ChurnSeasonTable,4,FALSE)),0)+AFB39*(AnnualChurn*VLOOKUP(AEL63,ChurnSeasonTable,4,FALSE))*POWER(1-(AnnualChurn*VLOOKUP(AEL63,ChurnSeasonTable,4,FALSE)),1)+AFB27*(AnnualChurn*VLOOKUP(AEL63,ChurnSeasonTable,4,FALSE))*POWER(1-(AnnualChurn*VLOOKUP(AEL63,ChurnSeasonTable,4,FALSE)),2)+AFB15*(AnnualChurn*VLOOKUP(AEL63,ChurnSeasonTable,4,FALSE))*POWER(1-(AnnualChurn*VLOOKUP(AEL63,ChurnSeasonTable,4,FALSE)),3)</f>
        <v/>
      </c>
      <c r="AFI63" s="12">
        <f>AFC63+AFD63+AFE63+AFF63+AFG63+AFH63</f>
        <v/>
      </c>
      <c r="AFJ63" s="9">
        <f>AFC63*BlendedPriceEssMonthly*AEO63+AFD63*BlendedPricePremMonthly*AEO63+AFE63*BlendedPriceEliteMonthly*AEO63+AFF63*BlendedPriceEssAnnual*AEO63/12+AFG63*BlendedPricePremAnnual*AEO63/12+AFH63*BlendedPriceEliteAnnual*AEO63/12</f>
        <v/>
      </c>
      <c r="AFK63" s="9">
        <f>AFJ63*12</f>
        <v/>
      </c>
      <c r="AFL63" s="12">
        <f>AFC63*BlendedPriceEssMonthly*AEO63+AFD63*BlendedPricePremMonthly*AEO63+AFE63*BlendedPriceEliteMonthly*AEO63</f>
        <v/>
      </c>
      <c r="AFM63" s="12">
        <f>AEZ63*BlendedPriceEssAnnual*AEO63+AFA63*BlendedPricePremAnnual*AEO63+AFB63*BlendedPriceEliteAnnual*AEO63</f>
        <v/>
      </c>
      <c r="AFN63" s="12">
        <f>AEZ51*POWER(1-(AnnualChurn*VLOOKUP(AEL63,ChurnSeasonTable,4,FALSE)),1)*BlendedPriceEssAnnual*AEO63+AEZ39*POWER(1-(AnnualChurn*VLOOKUP(AEL63,ChurnSeasonTable,4,FALSE)),2)*BlendedPriceEssAnnual*AEO63+AEZ27*POWER(1-(AnnualChurn*VLOOKUP(AEL63,ChurnSeasonTable,4,FALSE)),3)*BlendedPriceEssAnnual*AEO63+AEZ15*POWER(1-(AnnualChurn*VLOOKUP(AEL63,ChurnSeasonTable,4,FALSE)),4)*BlendedPriceEssAnnual*AEO63+AFA51*POWER(1-(AnnualChurn*VLOOKUP(AEL63,ChurnSeasonTable,4,FALSE)),1)*BlendedPricePremAnnual*AEO63+AFA39*POWER(1-(AnnualChurn*VLOOKUP(AEL63,ChurnSeasonTable,4,FALSE)),2)*BlendedPricePremAnnual*AEO63+AFA27*POWER(1-(AnnualChurn*VLOOKUP(AEL63,ChurnSeasonTable,4,FALSE)),3)*BlendedPricePremAnnual*AEO63+AFA15*POWER(1-(AnnualChurn*VLOOKUP(AEL63,ChurnSeasonTable,4,FALSE)),4)*BlendedPricePremAnnual*AEO63+AFB51*POWER(1-(AnnualChurn*VLOOKUP(AEL63,ChurnSeasonTable,4,FALSE)),1)*BlendedPriceEliteAnnual*AEO63+AFB39*POWER(1-(AnnualChurn*VLOOKUP(AEL63,ChurnSeasonTable,4,FALSE)),2)*BlendedPriceEliteAnnual*AEO63+AFB27*POWER(1-(AnnualChurn*VLOOKUP(AEL63,ChurnSeasonTable,4,FALSE)),3)*BlendedPriceEliteAnnual*AEO63+AFB15*POWER(1-(AnnualChurn*VLOOKUP(AEL63,ChurnSeasonTable,4,FALSE)),4)*BlendedPriceEliteAnnual*AEO63</f>
        <v/>
      </c>
      <c r="AFO63" s="9">
        <f>AFL63+AFM63+AFN63</f>
        <v/>
      </c>
      <c r="AFP63" s="12">
        <f>SUM(AFO52:AFO63)</f>
        <v/>
      </c>
      <c r="AFQ63" s="12">
        <f>OR(AFQ62,IF(VATAgentMode,SUM($AFO52:$AFO63)-SUM($AFV52:$AFV63)&gt;=VATThreshold,SUM($AFO52:$AFO63)&gt;=VATThreshold))</f>
        <v/>
      </c>
      <c r="AFR63" s="9">
        <f>IF(AFQ63,IF(VATAgentMode,AFO63-((AFO63-AFV63)-(AFO63-AFV63)/(1+VATRate)),AFO63/(1+VATRate)),AFO63)</f>
        <v/>
      </c>
      <c r="AFS63" s="12">
        <f>AFO63-AFR63</f>
        <v/>
      </c>
      <c r="AFT63" s="12">
        <f>IF(AFQ63=0,0,IF(AEL63=1,SUMPRODUCT(--(($AEM$5:$AEM63=$AEM63-1)*($AEL$5:$AEL63&gt;=10)*($AEL$5:$AEL63&lt;=12)),$AFS$5:$AFS63),IF(AEL63=4,SUMPRODUCT(--(($AEM$5:$AEM63=$AEM63)*($AEL$5:$AEL63&gt;=1)*($AEL$5:$AEL63&lt;=3)),$AFS$5:$AFS63),IF(AEL63=7,SUMPRODUCT(--(($AEM$5:$AEM63=$AEM63)*($AEL$5:$AEL63&gt;=4)*($AEL$5:$AEL63&lt;=6)),$AFS$5:$AFS63),IF(AEL63=10,SUMPRODUCT(--(($AEM$5:$AEM63=$AEM63)*($AEL$5:$AEL63&gt;=7)*($AEL$5:$AEL63&lt;=9)),$AFS$5:$AFS63),0)))))</f>
        <v/>
      </c>
      <c r="AFU63" s="12">
        <f>AFU62+AFS63-AFT63</f>
        <v/>
      </c>
      <c r="AFV63" s="12">
        <f>IF(ProviderDelay&gt;=1,AFC62*BlendedProvPayEss+AFD62*BlendedProvPayPrem+AFE62*BlendedProvPayElite+AFF62*BlendedProvPayEss+AFG62*BlendedProvPayPrem+AFH62*BlendedProvPayElite,AFC63*BlendedProvPayEss+AFD63*BlendedProvPayPrem+AFE63*BlendedProvPayElite+AFF63*BlendedProvPayEss+AFG63*BlendedProvPayPrem+AFH63*BlendedProvPayElite)</f>
        <v/>
      </c>
      <c r="AFW63" s="12">
        <f>AFO63*PaymentFee</f>
        <v/>
      </c>
      <c r="AFX63" s="12">
        <f>AFI63*OpsAI</f>
        <v/>
      </c>
      <c r="AFY63" s="12">
        <f>MonthlyFixed</f>
        <v/>
      </c>
      <c r="AFZ63" s="12">
        <f>AES63*ReferralReward</f>
        <v/>
      </c>
      <c r="AGA63" s="12">
        <f>AEQ63</f>
        <v/>
      </c>
      <c r="AGB63" s="9">
        <f>AFR63-AFV63-AFW63-AFX63-AFY63-AFZ63-AGA63</f>
        <v/>
      </c>
      <c r="AGC63" s="9">
        <f>AGC62+AFO63-(AFV63+AFW63+AFX63+AFY63+AFZ63+AGA63+AFT63)</f>
        <v/>
      </c>
      <c r="AGD63" s="12">
        <f>IF(AFI63&gt;0,AFJ63/AFI63,0)</f>
        <v/>
      </c>
      <c r="AGE63" s="11">
        <f>IF(AFI62&gt;0,MAX(0,(AFI62+AET63-AFI63)/AFI62),0)</f>
        <v/>
      </c>
      <c r="AGG63" s="12" t="n">
        <v>59</v>
      </c>
      <c r="AGH63" s="12">
        <f>MOD(AGG63-1+LaunchMonth-1,12)+1</f>
        <v/>
      </c>
      <c r="AGI63" s="12">
        <f>INT((AGG63-1+LaunchMonth-1)/12)+1</f>
        <v/>
      </c>
      <c r="AGJ63" s="12">
        <f>VLOOKUP(AGH63,SeasonTable,2,FALSE)</f>
        <v/>
      </c>
      <c r="AGK63" s="12">
        <f>(1+InflationRate)^INT((AGG63-1)/12)</f>
        <v/>
      </c>
      <c r="AGL63" s="11">
        <f>MonthlyChurn*VLOOKUP(AGH63,ChurnSeasonTable,4,FALSE)</f>
        <v/>
      </c>
      <c r="AGM63" s="12">
        <f>MIN(MAX(MktMin19plus,AHK62*MktPct19plus),MAX(0,AHY62-CashBuffer))</f>
        <v/>
      </c>
      <c r="AGN63" s="12">
        <f>IF(AGM63&gt;0,MAX(1,ROUND(AGM63/CAC*AGJ63,0)),0)</f>
        <v/>
      </c>
      <c r="AGO63" s="12">
        <f>IF(AGN63&gt;0,ROUND(AGN63*ReferralMix/(1-ReferralMix),0),0)</f>
        <v/>
      </c>
      <c r="AGP63" s="12">
        <f>AGN63+AGO63</f>
        <v/>
      </c>
      <c r="AGQ63" s="12">
        <f>ROUND(AGP63*(1-'Sens - Annual Mix'!$A$15),0)</f>
        <v/>
      </c>
      <c r="AGR63" s="12">
        <f>AGP63-AGQ63</f>
        <v/>
      </c>
      <c r="AGS63" s="12">
        <f>ROUND(AGQ63*EssentialMix,0)</f>
        <v/>
      </c>
      <c r="AGT63" s="12">
        <f>ROUND(AGQ63*PremiumMix,0)</f>
        <v/>
      </c>
      <c r="AGU63" s="12">
        <f>AGQ63-AGS63-AGT63</f>
        <v/>
      </c>
      <c r="AGV63" s="12">
        <f>ROUND(AGR63*EssentialMix,0)</f>
        <v/>
      </c>
      <c r="AGW63" s="12">
        <f>ROUND(AGR63*PremiumMix,0)</f>
        <v/>
      </c>
      <c r="AGX63" s="12">
        <f>AGR63-AGV63-AGW63</f>
        <v/>
      </c>
      <c r="AGY63" s="12">
        <f>AGS63+AGS62+AGS61+MAX(0,AGY62-AGS62-AGS61)*(1-AGL63)</f>
        <v/>
      </c>
      <c r="AGZ63" s="12">
        <f>AGT63+AGT62+AGT61+MAX(0,AGZ62-AGT62-AGT61)*(1-AGL63)</f>
        <v/>
      </c>
      <c r="AHA63" s="12">
        <f>AGU63+AGU62+AGU61+MAX(0,AHA62-AGU62-AGU61)*(1-AGL63)</f>
        <v/>
      </c>
      <c r="AHB63" s="12">
        <f>AHB62+AGV63-AGV51*(AnnualChurn*VLOOKUP(AGH63,ChurnSeasonTable,4,FALSE))*POWER(1-(AnnualChurn*VLOOKUP(AGH63,ChurnSeasonTable,4,FALSE)),0)+AGV39*(AnnualChurn*VLOOKUP(AGH63,ChurnSeasonTable,4,FALSE))*POWER(1-(AnnualChurn*VLOOKUP(AGH63,ChurnSeasonTable,4,FALSE)),1)+AGV27*(AnnualChurn*VLOOKUP(AGH63,ChurnSeasonTable,4,FALSE))*POWER(1-(AnnualChurn*VLOOKUP(AGH63,ChurnSeasonTable,4,FALSE)),2)+AGV15*(AnnualChurn*VLOOKUP(AGH63,ChurnSeasonTable,4,FALSE))*POWER(1-(AnnualChurn*VLOOKUP(AGH63,ChurnSeasonTable,4,FALSE)),3)</f>
        <v/>
      </c>
      <c r="AHC63" s="12">
        <f>AHC62+AGW63-AGW51*(AnnualChurn*VLOOKUP(AGH63,ChurnSeasonTable,4,FALSE))*POWER(1-(AnnualChurn*VLOOKUP(AGH63,ChurnSeasonTable,4,FALSE)),0)+AGW39*(AnnualChurn*VLOOKUP(AGH63,ChurnSeasonTable,4,FALSE))*POWER(1-(AnnualChurn*VLOOKUP(AGH63,ChurnSeasonTable,4,FALSE)),1)+AGW27*(AnnualChurn*VLOOKUP(AGH63,ChurnSeasonTable,4,FALSE))*POWER(1-(AnnualChurn*VLOOKUP(AGH63,ChurnSeasonTable,4,FALSE)),2)+AGW15*(AnnualChurn*VLOOKUP(AGH63,ChurnSeasonTable,4,FALSE))*POWER(1-(AnnualChurn*VLOOKUP(AGH63,ChurnSeasonTable,4,FALSE)),3)</f>
        <v/>
      </c>
      <c r="AHD63" s="12">
        <f>AHD62+AGX63-AGX51*(AnnualChurn*VLOOKUP(AGH63,ChurnSeasonTable,4,FALSE))*POWER(1-(AnnualChurn*VLOOKUP(AGH63,ChurnSeasonTable,4,FALSE)),0)+AGX39*(AnnualChurn*VLOOKUP(AGH63,ChurnSeasonTable,4,FALSE))*POWER(1-(AnnualChurn*VLOOKUP(AGH63,ChurnSeasonTable,4,FALSE)),1)+AGX27*(AnnualChurn*VLOOKUP(AGH63,ChurnSeasonTable,4,FALSE))*POWER(1-(AnnualChurn*VLOOKUP(AGH63,ChurnSeasonTable,4,FALSE)),2)+AGX15*(AnnualChurn*VLOOKUP(AGH63,ChurnSeasonTable,4,FALSE))*POWER(1-(AnnualChurn*VLOOKUP(AGH63,ChurnSeasonTable,4,FALSE)),3)</f>
        <v/>
      </c>
      <c r="AHE63" s="12">
        <f>AGY63+AGZ63+AHA63+AHB63+AHC63+AHD63</f>
        <v/>
      </c>
      <c r="AHF63" s="9">
        <f>AGY63*BlendedPriceEssMonthly*AGK63+AGZ63*BlendedPricePremMonthly*AGK63+AHA63*BlendedPriceEliteMonthly*AGK63+AHB63*BlendedPriceEssAnnual*AGK63/12+AHC63*BlendedPricePremAnnual*AGK63/12+AHD63*BlendedPriceEliteAnnual*AGK63/12</f>
        <v/>
      </c>
      <c r="AHG63" s="9">
        <f>AHF63*12</f>
        <v/>
      </c>
      <c r="AHH63" s="12">
        <f>AGY63*BlendedPriceEssMonthly*AGK63+AGZ63*BlendedPricePremMonthly*AGK63+AHA63*BlendedPriceEliteMonthly*AGK63</f>
        <v/>
      </c>
      <c r="AHI63" s="12">
        <f>AGV63*BlendedPriceEssAnnual*AGK63+AGW63*BlendedPricePremAnnual*AGK63+AGX63*BlendedPriceEliteAnnual*AGK63</f>
        <v/>
      </c>
      <c r="AHJ63" s="12">
        <f>AGV51*POWER(1-(AnnualChurn*VLOOKUP(AGH63,ChurnSeasonTable,4,FALSE)),1)*BlendedPriceEssAnnual*AGK63+AGV39*POWER(1-(AnnualChurn*VLOOKUP(AGH63,ChurnSeasonTable,4,FALSE)),2)*BlendedPriceEssAnnual*AGK63+AGV27*POWER(1-(AnnualChurn*VLOOKUP(AGH63,ChurnSeasonTable,4,FALSE)),3)*BlendedPriceEssAnnual*AGK63+AGV15*POWER(1-(AnnualChurn*VLOOKUP(AGH63,ChurnSeasonTable,4,FALSE)),4)*BlendedPriceEssAnnual*AGK63+AGW51*POWER(1-(AnnualChurn*VLOOKUP(AGH63,ChurnSeasonTable,4,FALSE)),1)*BlendedPricePremAnnual*AGK63+AGW39*POWER(1-(AnnualChurn*VLOOKUP(AGH63,ChurnSeasonTable,4,FALSE)),2)*BlendedPricePremAnnual*AGK63+AGW27*POWER(1-(AnnualChurn*VLOOKUP(AGH63,ChurnSeasonTable,4,FALSE)),3)*BlendedPricePremAnnual*AGK63+AGW15*POWER(1-(AnnualChurn*VLOOKUP(AGH63,ChurnSeasonTable,4,FALSE)),4)*BlendedPricePremAnnual*AGK63+AGX51*POWER(1-(AnnualChurn*VLOOKUP(AGH63,ChurnSeasonTable,4,FALSE)),1)*BlendedPriceEliteAnnual*AGK63+AGX39*POWER(1-(AnnualChurn*VLOOKUP(AGH63,ChurnSeasonTable,4,FALSE)),2)*BlendedPriceEliteAnnual*AGK63+AGX27*POWER(1-(AnnualChurn*VLOOKUP(AGH63,ChurnSeasonTable,4,FALSE)),3)*BlendedPriceEliteAnnual*AGK63+AGX15*POWER(1-(AnnualChurn*VLOOKUP(AGH63,ChurnSeasonTable,4,FALSE)),4)*BlendedPriceEliteAnnual*AGK63</f>
        <v/>
      </c>
      <c r="AHK63" s="9">
        <f>AHH63+AHI63+AHJ63</f>
        <v/>
      </c>
      <c r="AHL63" s="12">
        <f>SUM(AHK52:AHK63)</f>
        <v/>
      </c>
      <c r="AHM63" s="12">
        <f>OR(AHM62,IF(VATAgentMode,SUM($AHK52:$AHK63)-SUM($AHR52:$AHR63)&gt;=VATThreshold,SUM($AHK52:$AHK63)&gt;=VATThreshold))</f>
        <v/>
      </c>
      <c r="AHN63" s="9">
        <f>IF(AHM63,IF(VATAgentMode,AHK63-((AHK63-AHR63)-(AHK63-AHR63)/(1+VATRate)),AHK63/(1+VATRate)),AHK63)</f>
        <v/>
      </c>
      <c r="AHO63" s="12">
        <f>AHK63-AHN63</f>
        <v/>
      </c>
      <c r="AHP63" s="12">
        <f>IF(AHM63=0,0,IF(AGH63=1,SUMPRODUCT(--(($AGI$5:$AGI63=$AGI63-1)*($AGH$5:$AGH63&gt;=10)*($AGH$5:$AGH63&lt;=12)),$AHO$5:$AHO63),IF(AGH63=4,SUMPRODUCT(--(($AGI$5:$AGI63=$AGI63)*($AGH$5:$AGH63&gt;=1)*($AGH$5:$AGH63&lt;=3)),$AHO$5:$AHO63),IF(AGH63=7,SUMPRODUCT(--(($AGI$5:$AGI63=$AGI63)*($AGH$5:$AGH63&gt;=4)*($AGH$5:$AGH63&lt;=6)),$AHO$5:$AHO63),IF(AGH63=10,SUMPRODUCT(--(($AGI$5:$AGI63=$AGI63)*($AGH$5:$AGH63&gt;=7)*($AGH$5:$AGH63&lt;=9)),$AHO$5:$AHO63),0)))))</f>
        <v/>
      </c>
      <c r="AHQ63" s="12">
        <f>AHQ62+AHO63-AHP63</f>
        <v/>
      </c>
      <c r="AHR63" s="12">
        <f>IF(ProviderDelay&gt;=1,AGY62*BlendedProvPayEss+AGZ62*BlendedProvPayPrem+AHA62*BlendedProvPayElite+AHB62*BlendedProvPayEss+AHC62*BlendedProvPayPrem+AHD62*BlendedProvPayElite,AGY63*BlendedProvPayEss+AGZ63*BlendedProvPayPrem+AHA63*BlendedProvPayElite+AHB63*BlendedProvPayEss+AHC63*BlendedProvPayPrem+AHD63*BlendedProvPayElite)</f>
        <v/>
      </c>
      <c r="AHS63" s="12">
        <f>AHK63*PaymentFee</f>
        <v/>
      </c>
      <c r="AHT63" s="12">
        <f>AHE63*OpsAI</f>
        <v/>
      </c>
      <c r="AHU63" s="12">
        <f>MonthlyFixed</f>
        <v/>
      </c>
      <c r="AHV63" s="12">
        <f>AGO63*ReferralReward</f>
        <v/>
      </c>
      <c r="AHW63" s="12">
        <f>AGM63</f>
        <v/>
      </c>
      <c r="AHX63" s="9">
        <f>AHN63-AHR63-AHS63-AHT63-AHU63-AHV63-AHW63</f>
        <v/>
      </c>
      <c r="AHY63" s="9">
        <f>AHY62+AHK63-(AHR63+AHS63+AHT63+AHU63+AHV63+AHW63+AHP63)</f>
        <v/>
      </c>
      <c r="AHZ63" s="12">
        <f>IF(AHE63&gt;0,AHF63/AHE63,0)</f>
        <v/>
      </c>
      <c r="AIA63" s="11">
        <f>IF(AHE62&gt;0,MAX(0,(AHE62+AGP63-AHE63)/AHE62),0)</f>
        <v/>
      </c>
      <c r="AIC63" s="12" t="n">
        <v>59</v>
      </c>
      <c r="AID63" s="12">
        <f>MOD(AIC63-1+LaunchMonth-1,12)+1</f>
        <v/>
      </c>
      <c r="AIE63" s="12">
        <f>INT((AIC63-1+LaunchMonth-1)/12)+1</f>
        <v/>
      </c>
      <c r="AIF63" s="12">
        <f>VLOOKUP(AID63,SeasonTable,2,FALSE)</f>
        <v/>
      </c>
      <c r="AIG63" s="12">
        <f>(1+InflationRate)^INT((AIC63-1)/12)</f>
        <v/>
      </c>
      <c r="AIH63" s="11">
        <f>MonthlyChurn*VLOOKUP(AID63,ChurnSeasonTable,4,FALSE)</f>
        <v/>
      </c>
      <c r="AII63" s="12">
        <f>MIN(MAX(MktMin19plus,AJG62*MktPct19plus),MAX(0,AJU62-CashBuffer))</f>
        <v/>
      </c>
      <c r="AIJ63" s="12">
        <f>IF(AII63&gt;0,MAX(1,ROUND(AII63/'Sens - CAC &amp; Marketing'!$A$9*AIF63,0)),0)</f>
        <v/>
      </c>
      <c r="AIK63" s="12">
        <f>IF(AIJ63&gt;0,ROUND(AIJ63*ReferralMix/(1-ReferralMix),0),0)</f>
        <v/>
      </c>
      <c r="AIL63" s="12">
        <f>AIJ63+AIK63</f>
        <v/>
      </c>
      <c r="AIM63" s="12">
        <f>ROUND(AIL63*(1-AnnualMix),0)</f>
        <v/>
      </c>
      <c r="AIN63" s="12">
        <f>AIL63-AIM63</f>
        <v/>
      </c>
      <c r="AIO63" s="12">
        <f>ROUND(AIM63*EssentialMix,0)</f>
        <v/>
      </c>
      <c r="AIP63" s="12">
        <f>ROUND(AIM63*PremiumMix,0)</f>
        <v/>
      </c>
      <c r="AIQ63" s="12">
        <f>AIM63-AIO63-AIP63</f>
        <v/>
      </c>
      <c r="AIR63" s="12">
        <f>ROUND(AIN63*EssentialMix,0)</f>
        <v/>
      </c>
      <c r="AIS63" s="12">
        <f>ROUND(AIN63*PremiumMix,0)</f>
        <v/>
      </c>
      <c r="AIT63" s="12">
        <f>AIN63-AIR63-AIS63</f>
        <v/>
      </c>
      <c r="AIU63" s="12">
        <f>AIO63+AIO62+AIO61+MAX(0,AIU62-AIO62-AIO61)*(1-AIH63)</f>
        <v/>
      </c>
      <c r="AIV63" s="12">
        <f>AIP63+AIP62+AIP61+MAX(0,AIV62-AIP62-AIP61)*(1-AIH63)</f>
        <v/>
      </c>
      <c r="AIW63" s="12">
        <f>AIQ63+AIQ62+AIQ61+MAX(0,AIW62-AIQ62-AIQ61)*(1-AIH63)</f>
        <v/>
      </c>
      <c r="AIX63" s="12">
        <f>AIX62+AIR63-AIR51*(AnnualChurn*VLOOKUP(AID63,ChurnSeasonTable,4,FALSE))*POWER(1-(AnnualChurn*VLOOKUP(AID63,ChurnSeasonTable,4,FALSE)),0)+AIR39*(AnnualChurn*VLOOKUP(AID63,ChurnSeasonTable,4,FALSE))*POWER(1-(AnnualChurn*VLOOKUP(AID63,ChurnSeasonTable,4,FALSE)),1)+AIR27*(AnnualChurn*VLOOKUP(AID63,ChurnSeasonTable,4,FALSE))*POWER(1-(AnnualChurn*VLOOKUP(AID63,ChurnSeasonTable,4,FALSE)),2)+AIR15*(AnnualChurn*VLOOKUP(AID63,ChurnSeasonTable,4,FALSE))*POWER(1-(AnnualChurn*VLOOKUP(AID63,ChurnSeasonTable,4,FALSE)),3)</f>
        <v/>
      </c>
      <c r="AIY63" s="12">
        <f>AIY62+AIS63-AIS51*(AnnualChurn*VLOOKUP(AID63,ChurnSeasonTable,4,FALSE))*POWER(1-(AnnualChurn*VLOOKUP(AID63,ChurnSeasonTable,4,FALSE)),0)+AIS39*(AnnualChurn*VLOOKUP(AID63,ChurnSeasonTable,4,FALSE))*POWER(1-(AnnualChurn*VLOOKUP(AID63,ChurnSeasonTable,4,FALSE)),1)+AIS27*(AnnualChurn*VLOOKUP(AID63,ChurnSeasonTable,4,FALSE))*POWER(1-(AnnualChurn*VLOOKUP(AID63,ChurnSeasonTable,4,FALSE)),2)+AIS15*(AnnualChurn*VLOOKUP(AID63,ChurnSeasonTable,4,FALSE))*POWER(1-(AnnualChurn*VLOOKUP(AID63,ChurnSeasonTable,4,FALSE)),3)</f>
        <v/>
      </c>
      <c r="AIZ63" s="12">
        <f>AIZ62+AIT63-AIT51*(AnnualChurn*VLOOKUP(AID63,ChurnSeasonTable,4,FALSE))*POWER(1-(AnnualChurn*VLOOKUP(AID63,ChurnSeasonTable,4,FALSE)),0)+AIT39*(AnnualChurn*VLOOKUP(AID63,ChurnSeasonTable,4,FALSE))*POWER(1-(AnnualChurn*VLOOKUP(AID63,ChurnSeasonTable,4,FALSE)),1)+AIT27*(AnnualChurn*VLOOKUP(AID63,ChurnSeasonTable,4,FALSE))*POWER(1-(AnnualChurn*VLOOKUP(AID63,ChurnSeasonTable,4,FALSE)),2)+AIT15*(AnnualChurn*VLOOKUP(AID63,ChurnSeasonTable,4,FALSE))*POWER(1-(AnnualChurn*VLOOKUP(AID63,ChurnSeasonTable,4,FALSE)),3)</f>
        <v/>
      </c>
      <c r="AJA63" s="12">
        <f>AIU63+AIV63+AIW63+AIX63+AIY63+AIZ63</f>
        <v/>
      </c>
      <c r="AJB63" s="9">
        <f>AIU63*BlendedPriceEssMonthly*AIG63+AIV63*BlendedPricePremMonthly*AIG63+AIW63*BlendedPriceEliteMonthly*AIG63+AIX63*BlendedPriceEssAnnual*AIG63/12+AIY63*BlendedPricePremAnnual*AIG63/12+AIZ63*BlendedPriceEliteAnnual*AIG63/12</f>
        <v/>
      </c>
      <c r="AJC63" s="9">
        <f>AJB63*12</f>
        <v/>
      </c>
      <c r="AJD63" s="12">
        <f>AIU63*BlendedPriceEssMonthly*AIG63+AIV63*BlendedPricePremMonthly*AIG63+AIW63*BlendedPriceEliteMonthly*AIG63</f>
        <v/>
      </c>
      <c r="AJE63" s="12">
        <f>AIR63*BlendedPriceEssAnnual*AIG63+AIS63*BlendedPricePremAnnual*AIG63+AIT63*BlendedPriceEliteAnnual*AIG63</f>
        <v/>
      </c>
      <c r="AJF63" s="12">
        <f>AIR51*POWER(1-(AnnualChurn*VLOOKUP(AID63,ChurnSeasonTable,4,FALSE)),1)*BlendedPriceEssAnnual*AIG63+AIR39*POWER(1-(AnnualChurn*VLOOKUP(AID63,ChurnSeasonTable,4,FALSE)),2)*BlendedPriceEssAnnual*AIG63+AIR27*POWER(1-(AnnualChurn*VLOOKUP(AID63,ChurnSeasonTable,4,FALSE)),3)*BlendedPriceEssAnnual*AIG63+AIR15*POWER(1-(AnnualChurn*VLOOKUP(AID63,ChurnSeasonTable,4,FALSE)),4)*BlendedPriceEssAnnual*AIG63+AIS51*POWER(1-(AnnualChurn*VLOOKUP(AID63,ChurnSeasonTable,4,FALSE)),1)*BlendedPricePremAnnual*AIG63+AIS39*POWER(1-(AnnualChurn*VLOOKUP(AID63,ChurnSeasonTable,4,FALSE)),2)*BlendedPricePremAnnual*AIG63+AIS27*POWER(1-(AnnualChurn*VLOOKUP(AID63,ChurnSeasonTable,4,FALSE)),3)*BlendedPricePremAnnual*AIG63+AIS15*POWER(1-(AnnualChurn*VLOOKUP(AID63,ChurnSeasonTable,4,FALSE)),4)*BlendedPricePremAnnual*AIG63+AIT51*POWER(1-(AnnualChurn*VLOOKUP(AID63,ChurnSeasonTable,4,FALSE)),1)*BlendedPriceEliteAnnual*AIG63+AIT39*POWER(1-(AnnualChurn*VLOOKUP(AID63,ChurnSeasonTable,4,FALSE)),2)*BlendedPriceEliteAnnual*AIG63+AIT27*POWER(1-(AnnualChurn*VLOOKUP(AID63,ChurnSeasonTable,4,FALSE)),3)*BlendedPriceEliteAnnual*AIG63+AIT15*POWER(1-(AnnualChurn*VLOOKUP(AID63,ChurnSeasonTable,4,FALSE)),4)*BlendedPriceEliteAnnual*AIG63</f>
        <v/>
      </c>
      <c r="AJG63" s="9">
        <f>AJD63+AJE63+AJF63</f>
        <v/>
      </c>
      <c r="AJH63" s="12">
        <f>SUM(AJG52:AJG63)</f>
        <v/>
      </c>
      <c r="AJI63" s="12">
        <f>OR(AJI62,IF(VATAgentMode,SUM($AJG52:$AJG63)-SUM($AJN52:$AJN63)&gt;=VATThreshold,SUM($AJG52:$AJG63)&gt;=VATThreshold))</f>
        <v/>
      </c>
      <c r="AJJ63" s="9">
        <f>IF(AJI63,IF(VATAgentMode,AJG63-((AJG63-AJN63)-(AJG63-AJN63)/(1+VATRate)),AJG63/(1+VATRate)),AJG63)</f>
        <v/>
      </c>
      <c r="AJK63" s="12">
        <f>AJG63-AJJ63</f>
        <v/>
      </c>
      <c r="AJL63" s="12">
        <f>IF(AJI63=0,0,IF(AID63=1,SUMPRODUCT(--(($AIE$5:$AIE63=$AIE63-1)*($AID$5:$AID63&gt;=10)*($AID$5:$AID63&lt;=12)),$AJK$5:$AJK63),IF(AID63=4,SUMPRODUCT(--(($AIE$5:$AIE63=$AIE63)*($AID$5:$AID63&gt;=1)*($AID$5:$AID63&lt;=3)),$AJK$5:$AJK63),IF(AID63=7,SUMPRODUCT(--(($AIE$5:$AIE63=$AIE63)*($AID$5:$AID63&gt;=4)*($AID$5:$AID63&lt;=6)),$AJK$5:$AJK63),IF(AID63=10,SUMPRODUCT(--(($AIE$5:$AIE63=$AIE63)*($AID$5:$AID63&gt;=7)*($AID$5:$AID63&lt;=9)),$AJK$5:$AJK63),0)))))</f>
        <v/>
      </c>
      <c r="AJM63" s="12">
        <f>AJM62+AJK63-AJL63</f>
        <v/>
      </c>
      <c r="AJN63" s="12">
        <f>IF(ProviderDelay&gt;=1,AIU62*BlendedProvPayEss+AIV62*BlendedProvPayPrem+AIW62*BlendedProvPayElite+AIX62*BlendedProvPayEss+AIY62*BlendedProvPayPrem+AIZ62*BlendedProvPayElite,AIU63*BlendedProvPayEss+AIV63*BlendedProvPayPrem+AIW63*BlendedProvPayElite+AIX63*BlendedProvPayEss+AIY63*BlendedProvPayPrem+AIZ63*BlendedProvPayElite)</f>
        <v/>
      </c>
      <c r="AJO63" s="12">
        <f>AJG63*PaymentFee</f>
        <v/>
      </c>
      <c r="AJP63" s="12">
        <f>AJA63*OpsAI</f>
        <v/>
      </c>
      <c r="AJQ63" s="12">
        <f>MonthlyFixed</f>
        <v/>
      </c>
      <c r="AJR63" s="12">
        <f>AIK63*ReferralReward</f>
        <v/>
      </c>
      <c r="AJS63" s="12">
        <f>AII63</f>
        <v/>
      </c>
      <c r="AJT63" s="9">
        <f>AJJ63-AJN63-AJO63-AJP63-AJQ63-AJR63-AJS63</f>
        <v/>
      </c>
      <c r="AJU63" s="9">
        <f>AJU62+AJG63-(AJN63+AJO63+AJP63+AJQ63+AJR63+AJS63+AJL63)</f>
        <v/>
      </c>
      <c r="AJV63" s="12">
        <f>IF(AJA63&gt;0,AJB63/AJA63,0)</f>
        <v/>
      </c>
      <c r="AJW63" s="11">
        <f>IF(AJA62&gt;0,MAX(0,(AJA62+AIL63-AJA63)/AJA62),0)</f>
        <v/>
      </c>
      <c r="AJY63" s="12" t="n">
        <v>59</v>
      </c>
      <c r="AJZ63" s="12">
        <f>MOD(AJY63-1+LaunchMonth-1,12)+1</f>
        <v/>
      </c>
      <c r="AKA63" s="12">
        <f>INT((AJY63-1+LaunchMonth-1)/12)+1</f>
        <v/>
      </c>
      <c r="AKB63" s="12">
        <f>VLOOKUP(AJZ63,SeasonTable,2,FALSE)</f>
        <v/>
      </c>
      <c r="AKC63" s="12">
        <f>(1+InflationRate)^INT((AJY63-1)/12)</f>
        <v/>
      </c>
      <c r="AKD63" s="11">
        <f>MonthlyChurn*VLOOKUP(AJZ63,ChurnSeasonTable,4,FALSE)</f>
        <v/>
      </c>
      <c r="AKE63" s="12">
        <f>MIN(MAX(MktMin19plus,ALC62*MktPct19plus),MAX(0,ALQ62-CashBuffer))</f>
        <v/>
      </c>
      <c r="AKF63" s="12">
        <f>IF(AKE63&gt;0,MAX(1,ROUND(AKE63/'Sens - CAC &amp; Marketing'!$A$10*AKB63,0)),0)</f>
        <v/>
      </c>
      <c r="AKG63" s="12">
        <f>IF(AKF63&gt;0,ROUND(AKF63*ReferralMix/(1-ReferralMix),0),0)</f>
        <v/>
      </c>
      <c r="AKH63" s="12">
        <f>AKF63+AKG63</f>
        <v/>
      </c>
      <c r="AKI63" s="12">
        <f>ROUND(AKH63*(1-AnnualMix),0)</f>
        <v/>
      </c>
      <c r="AKJ63" s="12">
        <f>AKH63-AKI63</f>
        <v/>
      </c>
      <c r="AKK63" s="12">
        <f>ROUND(AKI63*EssentialMix,0)</f>
        <v/>
      </c>
      <c r="AKL63" s="12">
        <f>ROUND(AKI63*PremiumMix,0)</f>
        <v/>
      </c>
      <c r="AKM63" s="12">
        <f>AKI63-AKK63-AKL63</f>
        <v/>
      </c>
      <c r="AKN63" s="12">
        <f>ROUND(AKJ63*EssentialMix,0)</f>
        <v/>
      </c>
      <c r="AKO63" s="12">
        <f>ROUND(AKJ63*PremiumMix,0)</f>
        <v/>
      </c>
      <c r="AKP63" s="12">
        <f>AKJ63-AKN63-AKO63</f>
        <v/>
      </c>
      <c r="AKQ63" s="12">
        <f>AKK63+AKK62+AKK61+MAX(0,AKQ62-AKK62-AKK61)*(1-AKD63)</f>
        <v/>
      </c>
      <c r="AKR63" s="12">
        <f>AKL63+AKL62+AKL61+MAX(0,AKR62-AKL62-AKL61)*(1-AKD63)</f>
        <v/>
      </c>
      <c r="AKS63" s="12">
        <f>AKM63+AKM62+AKM61+MAX(0,AKS62-AKM62-AKM61)*(1-AKD63)</f>
        <v/>
      </c>
      <c r="AKT63" s="12">
        <f>AKT62+AKN63-AKN51*(AnnualChurn*VLOOKUP(AJZ63,ChurnSeasonTable,4,FALSE))*POWER(1-(AnnualChurn*VLOOKUP(AJZ63,ChurnSeasonTable,4,FALSE)),0)+AKN39*(AnnualChurn*VLOOKUP(AJZ63,ChurnSeasonTable,4,FALSE))*POWER(1-(AnnualChurn*VLOOKUP(AJZ63,ChurnSeasonTable,4,FALSE)),1)+AKN27*(AnnualChurn*VLOOKUP(AJZ63,ChurnSeasonTable,4,FALSE))*POWER(1-(AnnualChurn*VLOOKUP(AJZ63,ChurnSeasonTable,4,FALSE)),2)+AKN15*(AnnualChurn*VLOOKUP(AJZ63,ChurnSeasonTable,4,FALSE))*POWER(1-(AnnualChurn*VLOOKUP(AJZ63,ChurnSeasonTable,4,FALSE)),3)</f>
        <v/>
      </c>
      <c r="AKU63" s="12">
        <f>AKU62+AKO63-AKO51*(AnnualChurn*VLOOKUP(AJZ63,ChurnSeasonTable,4,FALSE))*POWER(1-(AnnualChurn*VLOOKUP(AJZ63,ChurnSeasonTable,4,FALSE)),0)+AKO39*(AnnualChurn*VLOOKUP(AJZ63,ChurnSeasonTable,4,FALSE))*POWER(1-(AnnualChurn*VLOOKUP(AJZ63,ChurnSeasonTable,4,FALSE)),1)+AKO27*(AnnualChurn*VLOOKUP(AJZ63,ChurnSeasonTable,4,FALSE))*POWER(1-(AnnualChurn*VLOOKUP(AJZ63,ChurnSeasonTable,4,FALSE)),2)+AKO15*(AnnualChurn*VLOOKUP(AJZ63,ChurnSeasonTable,4,FALSE))*POWER(1-(AnnualChurn*VLOOKUP(AJZ63,ChurnSeasonTable,4,FALSE)),3)</f>
        <v/>
      </c>
      <c r="AKV63" s="12">
        <f>AKV62+AKP63-AKP51*(AnnualChurn*VLOOKUP(AJZ63,ChurnSeasonTable,4,FALSE))*POWER(1-(AnnualChurn*VLOOKUP(AJZ63,ChurnSeasonTable,4,FALSE)),0)+AKP39*(AnnualChurn*VLOOKUP(AJZ63,ChurnSeasonTable,4,FALSE))*POWER(1-(AnnualChurn*VLOOKUP(AJZ63,ChurnSeasonTable,4,FALSE)),1)+AKP27*(AnnualChurn*VLOOKUP(AJZ63,ChurnSeasonTable,4,FALSE))*POWER(1-(AnnualChurn*VLOOKUP(AJZ63,ChurnSeasonTable,4,FALSE)),2)+AKP15*(AnnualChurn*VLOOKUP(AJZ63,ChurnSeasonTable,4,FALSE))*POWER(1-(AnnualChurn*VLOOKUP(AJZ63,ChurnSeasonTable,4,FALSE)),3)</f>
        <v/>
      </c>
      <c r="AKW63" s="12">
        <f>AKQ63+AKR63+AKS63+AKT63+AKU63+AKV63</f>
        <v/>
      </c>
      <c r="AKX63" s="9">
        <f>AKQ63*BlendedPriceEssMonthly*AKC63+AKR63*BlendedPricePremMonthly*AKC63+AKS63*BlendedPriceEliteMonthly*AKC63+AKT63*BlendedPriceEssAnnual*AKC63/12+AKU63*BlendedPricePremAnnual*AKC63/12+AKV63*BlendedPriceEliteAnnual*AKC63/12</f>
        <v/>
      </c>
      <c r="AKY63" s="9">
        <f>AKX63*12</f>
        <v/>
      </c>
      <c r="AKZ63" s="12">
        <f>AKQ63*BlendedPriceEssMonthly*AKC63+AKR63*BlendedPricePremMonthly*AKC63+AKS63*BlendedPriceEliteMonthly*AKC63</f>
        <v/>
      </c>
      <c r="ALA63" s="12">
        <f>AKN63*BlendedPriceEssAnnual*AKC63+AKO63*BlendedPricePremAnnual*AKC63+AKP63*BlendedPriceEliteAnnual*AKC63</f>
        <v/>
      </c>
      <c r="ALB63" s="12">
        <f>AKN51*POWER(1-(AnnualChurn*VLOOKUP(AJZ63,ChurnSeasonTable,4,FALSE)),1)*BlendedPriceEssAnnual*AKC63+AKN39*POWER(1-(AnnualChurn*VLOOKUP(AJZ63,ChurnSeasonTable,4,FALSE)),2)*BlendedPriceEssAnnual*AKC63+AKN27*POWER(1-(AnnualChurn*VLOOKUP(AJZ63,ChurnSeasonTable,4,FALSE)),3)*BlendedPriceEssAnnual*AKC63+AKN15*POWER(1-(AnnualChurn*VLOOKUP(AJZ63,ChurnSeasonTable,4,FALSE)),4)*BlendedPriceEssAnnual*AKC63+AKO51*POWER(1-(AnnualChurn*VLOOKUP(AJZ63,ChurnSeasonTable,4,FALSE)),1)*BlendedPricePremAnnual*AKC63+AKO39*POWER(1-(AnnualChurn*VLOOKUP(AJZ63,ChurnSeasonTable,4,FALSE)),2)*BlendedPricePremAnnual*AKC63+AKO27*POWER(1-(AnnualChurn*VLOOKUP(AJZ63,ChurnSeasonTable,4,FALSE)),3)*BlendedPricePremAnnual*AKC63+AKO15*POWER(1-(AnnualChurn*VLOOKUP(AJZ63,ChurnSeasonTable,4,FALSE)),4)*BlendedPricePremAnnual*AKC63+AKP51*POWER(1-(AnnualChurn*VLOOKUP(AJZ63,ChurnSeasonTable,4,FALSE)),1)*BlendedPriceEliteAnnual*AKC63+AKP39*POWER(1-(AnnualChurn*VLOOKUP(AJZ63,ChurnSeasonTable,4,FALSE)),2)*BlendedPriceEliteAnnual*AKC63+AKP27*POWER(1-(AnnualChurn*VLOOKUP(AJZ63,ChurnSeasonTable,4,FALSE)),3)*BlendedPriceEliteAnnual*AKC63+AKP15*POWER(1-(AnnualChurn*VLOOKUP(AJZ63,ChurnSeasonTable,4,FALSE)),4)*BlendedPriceEliteAnnual*AKC63</f>
        <v/>
      </c>
      <c r="ALC63" s="9">
        <f>AKZ63+ALA63+ALB63</f>
        <v/>
      </c>
      <c r="ALD63" s="12">
        <f>SUM(ALC52:ALC63)</f>
        <v/>
      </c>
      <c r="ALE63" s="12">
        <f>OR(ALE62,IF(VATAgentMode,SUM($ALC52:$ALC63)-SUM($ALJ52:$ALJ63)&gt;=VATThreshold,SUM($ALC52:$ALC63)&gt;=VATThreshold))</f>
        <v/>
      </c>
      <c r="ALF63" s="9">
        <f>IF(ALE63,IF(VATAgentMode,ALC63-((ALC63-ALJ63)-(ALC63-ALJ63)/(1+VATRate)),ALC63/(1+VATRate)),ALC63)</f>
        <v/>
      </c>
      <c r="ALG63" s="12">
        <f>ALC63-ALF63</f>
        <v/>
      </c>
      <c r="ALH63" s="12">
        <f>IF(ALE63=0,0,IF(AJZ63=1,SUMPRODUCT(--(($AKA$5:$AKA63=$AKA63-1)*($AJZ$5:$AJZ63&gt;=10)*($AJZ$5:$AJZ63&lt;=12)),$ALG$5:$ALG63),IF(AJZ63=4,SUMPRODUCT(--(($AKA$5:$AKA63=$AKA63)*($AJZ$5:$AJZ63&gt;=1)*($AJZ$5:$AJZ63&lt;=3)),$ALG$5:$ALG63),IF(AJZ63=7,SUMPRODUCT(--(($AKA$5:$AKA63=$AKA63)*($AJZ$5:$AJZ63&gt;=4)*($AJZ$5:$AJZ63&lt;=6)),$ALG$5:$ALG63),IF(AJZ63=10,SUMPRODUCT(--(($AKA$5:$AKA63=$AKA63)*($AJZ$5:$AJZ63&gt;=7)*($AJZ$5:$AJZ63&lt;=9)),$ALG$5:$ALG63),0)))))</f>
        <v/>
      </c>
      <c r="ALI63" s="12">
        <f>ALI62+ALG63-ALH63</f>
        <v/>
      </c>
      <c r="ALJ63" s="12">
        <f>IF(ProviderDelay&gt;=1,AKQ62*BlendedProvPayEss+AKR62*BlendedProvPayPrem+AKS62*BlendedProvPayElite+AKT62*BlendedProvPayEss+AKU62*BlendedProvPayPrem+AKV62*BlendedProvPayElite,AKQ63*BlendedProvPayEss+AKR63*BlendedProvPayPrem+AKS63*BlendedProvPayElite+AKT63*BlendedProvPayEss+AKU63*BlendedProvPayPrem+AKV63*BlendedProvPayElite)</f>
        <v/>
      </c>
      <c r="ALK63" s="12">
        <f>ALC63*PaymentFee</f>
        <v/>
      </c>
      <c r="ALL63" s="12">
        <f>AKW63*OpsAI</f>
        <v/>
      </c>
      <c r="ALM63" s="12">
        <f>MonthlyFixed</f>
        <v/>
      </c>
      <c r="ALN63" s="12">
        <f>AKG63*ReferralReward</f>
        <v/>
      </c>
      <c r="ALO63" s="12">
        <f>AKE63</f>
        <v/>
      </c>
      <c r="ALP63" s="9">
        <f>ALF63-ALJ63-ALK63-ALL63-ALM63-ALN63-ALO63</f>
        <v/>
      </c>
      <c r="ALQ63" s="9">
        <f>ALQ62+ALC63-(ALJ63+ALK63+ALL63+ALM63+ALN63+ALO63+ALH63)</f>
        <v/>
      </c>
      <c r="ALR63" s="12">
        <f>IF(AKW63&gt;0,AKX63/AKW63,0)</f>
        <v/>
      </c>
      <c r="ALS63" s="11">
        <f>IF(AKW62&gt;0,MAX(0,(AKW62+AKH63-AKW63)/AKW62),0)</f>
        <v/>
      </c>
      <c r="ALU63" s="12" t="n">
        <v>59</v>
      </c>
      <c r="ALV63" s="12">
        <f>MOD(ALU63-1+LaunchMonth-1,12)+1</f>
        <v/>
      </c>
      <c r="ALW63" s="12">
        <f>INT((ALU63-1+LaunchMonth-1)/12)+1</f>
        <v/>
      </c>
      <c r="ALX63" s="12">
        <f>VLOOKUP(ALV63,SeasonTable,2,FALSE)</f>
        <v/>
      </c>
      <c r="ALY63" s="12">
        <f>(1+InflationRate)^INT((ALU63-1)/12)</f>
        <v/>
      </c>
      <c r="ALZ63" s="11">
        <f>MonthlyChurn*VLOOKUP(ALV63,ChurnSeasonTable,4,FALSE)</f>
        <v/>
      </c>
      <c r="AMA63" s="12">
        <f>MIN(MAX(MktMin19plus,AMY62*MktPct19plus),MAX(0,ANM62-CashBuffer))</f>
        <v/>
      </c>
      <c r="AMB63" s="12">
        <f>IF(AMA63&gt;0,MAX(1,ROUND(AMA63/'Sens - CAC &amp; Marketing'!$A$11*ALX63,0)),0)</f>
        <v/>
      </c>
      <c r="AMC63" s="12">
        <f>IF(AMB63&gt;0,ROUND(AMB63*ReferralMix/(1-ReferralMix),0),0)</f>
        <v/>
      </c>
      <c r="AMD63" s="12">
        <f>AMB63+AMC63</f>
        <v/>
      </c>
      <c r="AME63" s="12">
        <f>ROUND(AMD63*(1-AnnualMix),0)</f>
        <v/>
      </c>
      <c r="AMF63" s="12">
        <f>AMD63-AME63</f>
        <v/>
      </c>
      <c r="AMG63" s="12">
        <f>ROUND(AME63*EssentialMix,0)</f>
        <v/>
      </c>
      <c r="AMH63" s="12">
        <f>ROUND(AME63*PremiumMix,0)</f>
        <v/>
      </c>
      <c r="AMI63" s="12">
        <f>AME63-AMG63-AMH63</f>
        <v/>
      </c>
      <c r="AMJ63" s="12">
        <f>ROUND(AMF63*EssentialMix,0)</f>
        <v/>
      </c>
      <c r="AMK63" s="12">
        <f>ROUND(AMF63*PremiumMix,0)</f>
        <v/>
      </c>
      <c r="AML63" s="12">
        <f>AMF63-AMJ63-AMK63</f>
        <v/>
      </c>
      <c r="AMM63" s="12">
        <f>AMG63+AMG62+AMG61+MAX(0,AMM62-AMG62-AMG61)*(1-ALZ63)</f>
        <v/>
      </c>
      <c r="AMN63" s="12">
        <f>AMH63+AMH62+AMH61+MAX(0,AMN62-AMH62-AMH61)*(1-ALZ63)</f>
        <v/>
      </c>
      <c r="AMO63" s="12">
        <f>AMI63+AMI62+AMI61+MAX(0,AMO62-AMI62-AMI61)*(1-ALZ63)</f>
        <v/>
      </c>
      <c r="AMP63" s="12">
        <f>AMP62+AMJ63-AMJ51*(AnnualChurn*VLOOKUP(ALV63,ChurnSeasonTable,4,FALSE))*POWER(1-(AnnualChurn*VLOOKUP(ALV63,ChurnSeasonTable,4,FALSE)),0)+AMJ39*(AnnualChurn*VLOOKUP(ALV63,ChurnSeasonTable,4,FALSE))*POWER(1-(AnnualChurn*VLOOKUP(ALV63,ChurnSeasonTable,4,FALSE)),1)+AMJ27*(AnnualChurn*VLOOKUP(ALV63,ChurnSeasonTable,4,FALSE))*POWER(1-(AnnualChurn*VLOOKUP(ALV63,ChurnSeasonTable,4,FALSE)),2)+AMJ15*(AnnualChurn*VLOOKUP(ALV63,ChurnSeasonTable,4,FALSE))*POWER(1-(AnnualChurn*VLOOKUP(ALV63,ChurnSeasonTable,4,FALSE)),3)</f>
        <v/>
      </c>
      <c r="AMQ63" s="12">
        <f>AMQ62+AMK63-AMK51*(AnnualChurn*VLOOKUP(ALV63,ChurnSeasonTable,4,FALSE))*POWER(1-(AnnualChurn*VLOOKUP(ALV63,ChurnSeasonTable,4,FALSE)),0)+AMK39*(AnnualChurn*VLOOKUP(ALV63,ChurnSeasonTable,4,FALSE))*POWER(1-(AnnualChurn*VLOOKUP(ALV63,ChurnSeasonTable,4,FALSE)),1)+AMK27*(AnnualChurn*VLOOKUP(ALV63,ChurnSeasonTable,4,FALSE))*POWER(1-(AnnualChurn*VLOOKUP(ALV63,ChurnSeasonTable,4,FALSE)),2)+AMK15*(AnnualChurn*VLOOKUP(ALV63,ChurnSeasonTable,4,FALSE))*POWER(1-(AnnualChurn*VLOOKUP(ALV63,ChurnSeasonTable,4,FALSE)),3)</f>
        <v/>
      </c>
      <c r="AMR63" s="12">
        <f>AMR62+AML63-AML51*(AnnualChurn*VLOOKUP(ALV63,ChurnSeasonTable,4,FALSE))*POWER(1-(AnnualChurn*VLOOKUP(ALV63,ChurnSeasonTable,4,FALSE)),0)+AML39*(AnnualChurn*VLOOKUP(ALV63,ChurnSeasonTable,4,FALSE))*POWER(1-(AnnualChurn*VLOOKUP(ALV63,ChurnSeasonTable,4,FALSE)),1)+AML27*(AnnualChurn*VLOOKUP(ALV63,ChurnSeasonTable,4,FALSE))*POWER(1-(AnnualChurn*VLOOKUP(ALV63,ChurnSeasonTable,4,FALSE)),2)+AML15*(AnnualChurn*VLOOKUP(ALV63,ChurnSeasonTable,4,FALSE))*POWER(1-(AnnualChurn*VLOOKUP(ALV63,ChurnSeasonTable,4,FALSE)),3)</f>
        <v/>
      </c>
      <c r="AMS63" s="12">
        <f>AMM63+AMN63+AMO63+AMP63+AMQ63+AMR63</f>
        <v/>
      </c>
      <c r="AMT63" s="9">
        <f>AMM63*BlendedPriceEssMonthly*ALY63+AMN63*BlendedPricePremMonthly*ALY63+AMO63*BlendedPriceEliteMonthly*ALY63+AMP63*BlendedPriceEssAnnual*ALY63/12+AMQ63*BlendedPricePremAnnual*ALY63/12+AMR63*BlendedPriceEliteAnnual*ALY63/12</f>
        <v/>
      </c>
      <c r="AMU63" s="9">
        <f>AMT63*12</f>
        <v/>
      </c>
      <c r="AMV63" s="12">
        <f>AMM63*BlendedPriceEssMonthly*ALY63+AMN63*BlendedPricePremMonthly*ALY63+AMO63*BlendedPriceEliteMonthly*ALY63</f>
        <v/>
      </c>
      <c r="AMW63" s="12">
        <f>AMJ63*BlendedPriceEssAnnual*ALY63+AMK63*BlendedPricePremAnnual*ALY63+AML63*BlendedPriceEliteAnnual*ALY63</f>
        <v/>
      </c>
      <c r="AMX63" s="12">
        <f>AMJ51*POWER(1-(AnnualChurn*VLOOKUP(ALV63,ChurnSeasonTable,4,FALSE)),1)*BlendedPriceEssAnnual*ALY63+AMJ39*POWER(1-(AnnualChurn*VLOOKUP(ALV63,ChurnSeasonTable,4,FALSE)),2)*BlendedPriceEssAnnual*ALY63+AMJ27*POWER(1-(AnnualChurn*VLOOKUP(ALV63,ChurnSeasonTable,4,FALSE)),3)*BlendedPriceEssAnnual*ALY63+AMJ15*POWER(1-(AnnualChurn*VLOOKUP(ALV63,ChurnSeasonTable,4,FALSE)),4)*BlendedPriceEssAnnual*ALY63+AMK51*POWER(1-(AnnualChurn*VLOOKUP(ALV63,ChurnSeasonTable,4,FALSE)),1)*BlendedPricePremAnnual*ALY63+AMK39*POWER(1-(AnnualChurn*VLOOKUP(ALV63,ChurnSeasonTable,4,FALSE)),2)*BlendedPricePremAnnual*ALY63+AMK27*POWER(1-(AnnualChurn*VLOOKUP(ALV63,ChurnSeasonTable,4,FALSE)),3)*BlendedPricePremAnnual*ALY63+AMK15*POWER(1-(AnnualChurn*VLOOKUP(ALV63,ChurnSeasonTable,4,FALSE)),4)*BlendedPricePremAnnual*ALY63+AML51*POWER(1-(AnnualChurn*VLOOKUP(ALV63,ChurnSeasonTable,4,FALSE)),1)*BlendedPriceEliteAnnual*ALY63+AML39*POWER(1-(AnnualChurn*VLOOKUP(ALV63,ChurnSeasonTable,4,FALSE)),2)*BlendedPriceEliteAnnual*ALY63+AML27*POWER(1-(AnnualChurn*VLOOKUP(ALV63,ChurnSeasonTable,4,FALSE)),3)*BlendedPriceEliteAnnual*ALY63+AML15*POWER(1-(AnnualChurn*VLOOKUP(ALV63,ChurnSeasonTable,4,FALSE)),4)*BlendedPriceEliteAnnual*ALY63</f>
        <v/>
      </c>
      <c r="AMY63" s="9">
        <f>AMV63+AMW63+AMX63</f>
        <v/>
      </c>
      <c r="AMZ63" s="12">
        <f>SUM(AMY52:AMY63)</f>
        <v/>
      </c>
      <c r="ANA63" s="12">
        <f>OR(ANA62,IF(VATAgentMode,SUM($AMY52:$AMY63)-SUM($ANF52:$ANF63)&gt;=VATThreshold,SUM($AMY52:$AMY63)&gt;=VATThreshold))</f>
        <v/>
      </c>
      <c r="ANB63" s="9">
        <f>IF(ANA63,IF(VATAgentMode,AMY63-((AMY63-ANF63)-(AMY63-ANF63)/(1+VATRate)),AMY63/(1+VATRate)),AMY63)</f>
        <v/>
      </c>
      <c r="ANC63" s="12">
        <f>AMY63-ANB63</f>
        <v/>
      </c>
      <c r="AND63" s="12">
        <f>IF(ANA63=0,0,IF(ALV63=1,SUMPRODUCT(--(($ALW$5:$ALW63=$ALW63-1)*($ALV$5:$ALV63&gt;=10)*($ALV$5:$ALV63&lt;=12)),$ANC$5:$ANC63),IF(ALV63=4,SUMPRODUCT(--(($ALW$5:$ALW63=$ALW63)*($ALV$5:$ALV63&gt;=1)*($ALV$5:$ALV63&lt;=3)),$ANC$5:$ANC63),IF(ALV63=7,SUMPRODUCT(--(($ALW$5:$ALW63=$ALW63)*($ALV$5:$ALV63&gt;=4)*($ALV$5:$ALV63&lt;=6)),$ANC$5:$ANC63),IF(ALV63=10,SUMPRODUCT(--(($ALW$5:$ALW63=$ALW63)*($ALV$5:$ALV63&gt;=7)*($ALV$5:$ALV63&lt;=9)),$ANC$5:$ANC63),0)))))</f>
        <v/>
      </c>
      <c r="ANE63" s="12">
        <f>ANE62+ANC63-AND63</f>
        <v/>
      </c>
      <c r="ANF63" s="12">
        <f>IF(ProviderDelay&gt;=1,AMM62*BlendedProvPayEss+AMN62*BlendedProvPayPrem+AMO62*BlendedProvPayElite+AMP62*BlendedProvPayEss+AMQ62*BlendedProvPayPrem+AMR62*BlendedProvPayElite,AMM63*BlendedProvPayEss+AMN63*BlendedProvPayPrem+AMO63*BlendedProvPayElite+AMP63*BlendedProvPayEss+AMQ63*BlendedProvPayPrem+AMR63*BlendedProvPayElite)</f>
        <v/>
      </c>
      <c r="ANG63" s="12">
        <f>AMY63*PaymentFee</f>
        <v/>
      </c>
      <c r="ANH63" s="12">
        <f>AMS63*OpsAI</f>
        <v/>
      </c>
      <c r="ANI63" s="12">
        <f>MonthlyFixed</f>
        <v/>
      </c>
      <c r="ANJ63" s="12">
        <f>AMC63*ReferralReward</f>
        <v/>
      </c>
      <c r="ANK63" s="12">
        <f>AMA63</f>
        <v/>
      </c>
      <c r="ANL63" s="9">
        <f>ANB63-ANF63-ANG63-ANH63-ANI63-ANJ63-ANK63</f>
        <v/>
      </c>
      <c r="ANM63" s="9">
        <f>ANM62+AMY63-(ANF63+ANG63+ANH63+ANI63+ANJ63+ANK63+AND63)</f>
        <v/>
      </c>
      <c r="ANN63" s="12">
        <f>IF(AMS63&gt;0,AMT63/AMS63,0)</f>
        <v/>
      </c>
      <c r="ANO63" s="11">
        <f>IF(AMS62&gt;0,MAX(0,(AMS62+AMD63-AMS63)/AMS62),0)</f>
        <v/>
      </c>
      <c r="ANQ63" s="12" t="n">
        <v>59</v>
      </c>
      <c r="ANR63" s="12">
        <f>MOD(ANQ63-1+LaunchMonth-1,12)+1</f>
        <v/>
      </c>
      <c r="ANS63" s="12">
        <f>INT((ANQ63-1+LaunchMonth-1)/12)+1</f>
        <v/>
      </c>
      <c r="ANT63" s="12">
        <f>VLOOKUP(ANR63,SeasonTable,2,FALSE)</f>
        <v/>
      </c>
      <c r="ANU63" s="12">
        <f>(1+InflationRate)^INT((ANQ63-1)/12)</f>
        <v/>
      </c>
      <c r="ANV63" s="11">
        <f>MonthlyChurn*VLOOKUP(ANR63,ChurnSeasonTable,4,FALSE)</f>
        <v/>
      </c>
      <c r="ANW63" s="12">
        <f>MIN(MAX(MktMin19plus,AOU62*MktPct19plus),MAX(0,API62-CashBuffer))</f>
        <v/>
      </c>
      <c r="ANX63" s="12">
        <f>IF(ANW63&gt;0,MAX(1,ROUND(ANW63/'Sens - CAC &amp; Marketing'!$A$12*ANT63,0)),0)</f>
        <v/>
      </c>
      <c r="ANY63" s="12">
        <f>IF(ANX63&gt;0,ROUND(ANX63*ReferralMix/(1-ReferralMix),0),0)</f>
        <v/>
      </c>
      <c r="ANZ63" s="12">
        <f>ANX63+ANY63</f>
        <v/>
      </c>
      <c r="AOA63" s="12">
        <f>ROUND(ANZ63*(1-AnnualMix),0)</f>
        <v/>
      </c>
      <c r="AOB63" s="12">
        <f>ANZ63-AOA63</f>
        <v/>
      </c>
      <c r="AOC63" s="12">
        <f>ROUND(AOA63*EssentialMix,0)</f>
        <v/>
      </c>
      <c r="AOD63" s="12">
        <f>ROUND(AOA63*PremiumMix,0)</f>
        <v/>
      </c>
      <c r="AOE63" s="12">
        <f>AOA63-AOC63-AOD63</f>
        <v/>
      </c>
      <c r="AOF63" s="12">
        <f>ROUND(AOB63*EssentialMix,0)</f>
        <v/>
      </c>
      <c r="AOG63" s="12">
        <f>ROUND(AOB63*PremiumMix,0)</f>
        <v/>
      </c>
      <c r="AOH63" s="12">
        <f>AOB63-AOF63-AOG63</f>
        <v/>
      </c>
      <c r="AOI63" s="12">
        <f>AOC63+AOC62+AOC61+MAX(0,AOI62-AOC62-AOC61)*(1-ANV63)</f>
        <v/>
      </c>
      <c r="AOJ63" s="12">
        <f>AOD63+AOD62+AOD61+MAX(0,AOJ62-AOD62-AOD61)*(1-ANV63)</f>
        <v/>
      </c>
      <c r="AOK63" s="12">
        <f>AOE63+AOE62+AOE61+MAX(0,AOK62-AOE62-AOE61)*(1-ANV63)</f>
        <v/>
      </c>
      <c r="AOL63" s="12">
        <f>AOL62+AOF63-AOF51*(AnnualChurn*VLOOKUP(ANR63,ChurnSeasonTable,4,FALSE))*POWER(1-(AnnualChurn*VLOOKUP(ANR63,ChurnSeasonTable,4,FALSE)),0)+AOF39*(AnnualChurn*VLOOKUP(ANR63,ChurnSeasonTable,4,FALSE))*POWER(1-(AnnualChurn*VLOOKUP(ANR63,ChurnSeasonTable,4,FALSE)),1)+AOF27*(AnnualChurn*VLOOKUP(ANR63,ChurnSeasonTable,4,FALSE))*POWER(1-(AnnualChurn*VLOOKUP(ANR63,ChurnSeasonTable,4,FALSE)),2)+AOF15*(AnnualChurn*VLOOKUP(ANR63,ChurnSeasonTable,4,FALSE))*POWER(1-(AnnualChurn*VLOOKUP(ANR63,ChurnSeasonTable,4,FALSE)),3)</f>
        <v/>
      </c>
      <c r="AOM63" s="12">
        <f>AOM62+AOG63-AOG51*(AnnualChurn*VLOOKUP(ANR63,ChurnSeasonTable,4,FALSE))*POWER(1-(AnnualChurn*VLOOKUP(ANR63,ChurnSeasonTable,4,FALSE)),0)+AOG39*(AnnualChurn*VLOOKUP(ANR63,ChurnSeasonTable,4,FALSE))*POWER(1-(AnnualChurn*VLOOKUP(ANR63,ChurnSeasonTable,4,FALSE)),1)+AOG27*(AnnualChurn*VLOOKUP(ANR63,ChurnSeasonTable,4,FALSE))*POWER(1-(AnnualChurn*VLOOKUP(ANR63,ChurnSeasonTable,4,FALSE)),2)+AOG15*(AnnualChurn*VLOOKUP(ANR63,ChurnSeasonTable,4,FALSE))*POWER(1-(AnnualChurn*VLOOKUP(ANR63,ChurnSeasonTable,4,FALSE)),3)</f>
        <v/>
      </c>
      <c r="AON63" s="12">
        <f>AON62+AOH63-AOH51*(AnnualChurn*VLOOKUP(ANR63,ChurnSeasonTable,4,FALSE))*POWER(1-(AnnualChurn*VLOOKUP(ANR63,ChurnSeasonTable,4,FALSE)),0)+AOH39*(AnnualChurn*VLOOKUP(ANR63,ChurnSeasonTable,4,FALSE))*POWER(1-(AnnualChurn*VLOOKUP(ANR63,ChurnSeasonTable,4,FALSE)),1)+AOH27*(AnnualChurn*VLOOKUP(ANR63,ChurnSeasonTable,4,FALSE))*POWER(1-(AnnualChurn*VLOOKUP(ANR63,ChurnSeasonTable,4,FALSE)),2)+AOH15*(AnnualChurn*VLOOKUP(ANR63,ChurnSeasonTable,4,FALSE))*POWER(1-(AnnualChurn*VLOOKUP(ANR63,ChurnSeasonTable,4,FALSE)),3)</f>
        <v/>
      </c>
      <c r="AOO63" s="12">
        <f>AOI63+AOJ63+AOK63+AOL63+AOM63+AON63</f>
        <v/>
      </c>
      <c r="AOP63" s="9">
        <f>AOI63*BlendedPriceEssMonthly*ANU63+AOJ63*BlendedPricePremMonthly*ANU63+AOK63*BlendedPriceEliteMonthly*ANU63+AOL63*BlendedPriceEssAnnual*ANU63/12+AOM63*BlendedPricePremAnnual*ANU63/12+AON63*BlendedPriceEliteAnnual*ANU63/12</f>
        <v/>
      </c>
      <c r="AOQ63" s="9">
        <f>AOP63*12</f>
        <v/>
      </c>
      <c r="AOR63" s="12">
        <f>AOI63*BlendedPriceEssMonthly*ANU63+AOJ63*BlendedPricePremMonthly*ANU63+AOK63*BlendedPriceEliteMonthly*ANU63</f>
        <v/>
      </c>
      <c r="AOS63" s="12">
        <f>AOF63*BlendedPriceEssAnnual*ANU63+AOG63*BlendedPricePremAnnual*ANU63+AOH63*BlendedPriceEliteAnnual*ANU63</f>
        <v/>
      </c>
      <c r="AOT63" s="12">
        <f>AOF51*POWER(1-(AnnualChurn*VLOOKUP(ANR63,ChurnSeasonTable,4,FALSE)),1)*BlendedPriceEssAnnual*ANU63+AOF39*POWER(1-(AnnualChurn*VLOOKUP(ANR63,ChurnSeasonTable,4,FALSE)),2)*BlendedPriceEssAnnual*ANU63+AOF27*POWER(1-(AnnualChurn*VLOOKUP(ANR63,ChurnSeasonTable,4,FALSE)),3)*BlendedPriceEssAnnual*ANU63+AOF15*POWER(1-(AnnualChurn*VLOOKUP(ANR63,ChurnSeasonTable,4,FALSE)),4)*BlendedPriceEssAnnual*ANU63+AOG51*POWER(1-(AnnualChurn*VLOOKUP(ANR63,ChurnSeasonTable,4,FALSE)),1)*BlendedPricePremAnnual*ANU63+AOG39*POWER(1-(AnnualChurn*VLOOKUP(ANR63,ChurnSeasonTable,4,FALSE)),2)*BlendedPricePremAnnual*ANU63+AOG27*POWER(1-(AnnualChurn*VLOOKUP(ANR63,ChurnSeasonTable,4,FALSE)),3)*BlendedPricePremAnnual*ANU63+AOG15*POWER(1-(AnnualChurn*VLOOKUP(ANR63,ChurnSeasonTable,4,FALSE)),4)*BlendedPricePremAnnual*ANU63+AOH51*POWER(1-(AnnualChurn*VLOOKUP(ANR63,ChurnSeasonTable,4,FALSE)),1)*BlendedPriceEliteAnnual*ANU63+AOH39*POWER(1-(AnnualChurn*VLOOKUP(ANR63,ChurnSeasonTable,4,FALSE)),2)*BlendedPriceEliteAnnual*ANU63+AOH27*POWER(1-(AnnualChurn*VLOOKUP(ANR63,ChurnSeasonTable,4,FALSE)),3)*BlendedPriceEliteAnnual*ANU63+AOH15*POWER(1-(AnnualChurn*VLOOKUP(ANR63,ChurnSeasonTable,4,FALSE)),4)*BlendedPriceEliteAnnual*ANU63</f>
        <v/>
      </c>
      <c r="AOU63" s="9">
        <f>AOR63+AOS63+AOT63</f>
        <v/>
      </c>
      <c r="AOV63" s="12">
        <f>SUM(AOU52:AOU63)</f>
        <v/>
      </c>
      <c r="AOW63" s="12">
        <f>OR(AOW62,IF(VATAgentMode,SUM($AOU52:$AOU63)-SUM($APB52:$APB63)&gt;=VATThreshold,SUM($AOU52:$AOU63)&gt;=VATThreshold))</f>
        <v/>
      </c>
      <c r="AOX63" s="9">
        <f>IF(AOW63,IF(VATAgentMode,AOU63-((AOU63-APB63)-(AOU63-APB63)/(1+VATRate)),AOU63/(1+VATRate)),AOU63)</f>
        <v/>
      </c>
      <c r="AOY63" s="12">
        <f>AOU63-AOX63</f>
        <v/>
      </c>
      <c r="AOZ63" s="12">
        <f>IF(AOW63=0,0,IF(ANR63=1,SUMPRODUCT(--(($ANS$5:$ANS63=$ANS63-1)*($ANR$5:$ANR63&gt;=10)*($ANR$5:$ANR63&lt;=12)),$AOY$5:$AOY63),IF(ANR63=4,SUMPRODUCT(--(($ANS$5:$ANS63=$ANS63)*($ANR$5:$ANR63&gt;=1)*($ANR$5:$ANR63&lt;=3)),$AOY$5:$AOY63),IF(ANR63=7,SUMPRODUCT(--(($ANS$5:$ANS63=$ANS63)*($ANR$5:$ANR63&gt;=4)*($ANR$5:$ANR63&lt;=6)),$AOY$5:$AOY63),IF(ANR63=10,SUMPRODUCT(--(($ANS$5:$ANS63=$ANS63)*($ANR$5:$ANR63&gt;=7)*($ANR$5:$ANR63&lt;=9)),$AOY$5:$AOY63),0)))))</f>
        <v/>
      </c>
      <c r="APA63" s="12">
        <f>APA62+AOY63-AOZ63</f>
        <v/>
      </c>
      <c r="APB63" s="12">
        <f>IF(ProviderDelay&gt;=1,AOI62*BlendedProvPayEss+AOJ62*BlendedProvPayPrem+AOK62*BlendedProvPayElite+AOL62*BlendedProvPayEss+AOM62*BlendedProvPayPrem+AON62*BlendedProvPayElite,AOI63*BlendedProvPayEss+AOJ63*BlendedProvPayPrem+AOK63*BlendedProvPayElite+AOL63*BlendedProvPayEss+AOM63*BlendedProvPayPrem+AON63*BlendedProvPayElite)</f>
        <v/>
      </c>
      <c r="APC63" s="12">
        <f>AOU63*PaymentFee</f>
        <v/>
      </c>
      <c r="APD63" s="12">
        <f>AOO63*OpsAI</f>
        <v/>
      </c>
      <c r="APE63" s="12">
        <f>MonthlyFixed</f>
        <v/>
      </c>
      <c r="APF63" s="12">
        <f>ANY63*ReferralReward</f>
        <v/>
      </c>
      <c r="APG63" s="12">
        <f>ANW63</f>
        <v/>
      </c>
      <c r="APH63" s="9">
        <f>AOX63-APB63-APC63-APD63-APE63-APF63-APG63</f>
        <v/>
      </c>
      <c r="API63" s="9">
        <f>API62+AOU63-(APB63+APC63+APD63+APE63+APF63+APG63+AOZ63)</f>
        <v/>
      </c>
      <c r="APJ63" s="12">
        <f>IF(AOO63&gt;0,AOP63/AOO63,0)</f>
        <v/>
      </c>
      <c r="APK63" s="11">
        <f>IF(AOO62&gt;0,MAX(0,(AOO62+ANZ63-AOO63)/AOO62),0)</f>
        <v/>
      </c>
      <c r="APM63" s="12" t="n">
        <v>59</v>
      </c>
      <c r="APN63" s="12">
        <f>MOD(APM63-1+LaunchMonth-1,12)+1</f>
        <v/>
      </c>
      <c r="APO63" s="12">
        <f>INT((APM63-1+LaunchMonth-1)/12)+1</f>
        <v/>
      </c>
      <c r="APP63" s="12">
        <f>VLOOKUP(APN63,SeasonTable,2,FALSE)</f>
        <v/>
      </c>
      <c r="APQ63" s="12">
        <f>(1+InflationRate)^INT((APM63-1)/12)</f>
        <v/>
      </c>
      <c r="APR63" s="11">
        <f>MonthlyChurn*VLOOKUP(APN63,ChurnSeasonTable,4,FALSE)</f>
        <v/>
      </c>
      <c r="APS63" s="12">
        <f>MIN(MAX(MktMin19plus,AQQ62*MktPct19plus),MAX(0,ARE62-CashBuffer))</f>
        <v/>
      </c>
      <c r="APT63" s="12">
        <f>IF(APS63&gt;0,MAX(1,ROUND(APS63/'Sens - CAC &amp; Marketing'!$A$13*APP63,0)),0)</f>
        <v/>
      </c>
      <c r="APU63" s="12">
        <f>IF(APT63&gt;0,ROUND(APT63*ReferralMix/(1-ReferralMix),0),0)</f>
        <v/>
      </c>
      <c r="APV63" s="12">
        <f>APT63+APU63</f>
        <v/>
      </c>
      <c r="APW63" s="12">
        <f>ROUND(APV63*(1-AnnualMix),0)</f>
        <v/>
      </c>
      <c r="APX63" s="12">
        <f>APV63-APW63</f>
        <v/>
      </c>
      <c r="APY63" s="12">
        <f>ROUND(APW63*EssentialMix,0)</f>
        <v/>
      </c>
      <c r="APZ63" s="12">
        <f>ROUND(APW63*PremiumMix,0)</f>
        <v/>
      </c>
      <c r="AQA63" s="12">
        <f>APW63-APY63-APZ63</f>
        <v/>
      </c>
      <c r="AQB63" s="12">
        <f>ROUND(APX63*EssentialMix,0)</f>
        <v/>
      </c>
      <c r="AQC63" s="12">
        <f>ROUND(APX63*PremiumMix,0)</f>
        <v/>
      </c>
      <c r="AQD63" s="12">
        <f>APX63-AQB63-AQC63</f>
        <v/>
      </c>
      <c r="AQE63" s="12">
        <f>APY63+APY62+APY61+MAX(0,AQE62-APY62-APY61)*(1-APR63)</f>
        <v/>
      </c>
      <c r="AQF63" s="12">
        <f>APZ63+APZ62+APZ61+MAX(0,AQF62-APZ62-APZ61)*(1-APR63)</f>
        <v/>
      </c>
      <c r="AQG63" s="12">
        <f>AQA63+AQA62+AQA61+MAX(0,AQG62-AQA62-AQA61)*(1-APR63)</f>
        <v/>
      </c>
      <c r="AQH63" s="12">
        <f>AQH62+AQB63-AQB51*(AnnualChurn*VLOOKUP(APN63,ChurnSeasonTable,4,FALSE))*POWER(1-(AnnualChurn*VLOOKUP(APN63,ChurnSeasonTable,4,FALSE)),0)+AQB39*(AnnualChurn*VLOOKUP(APN63,ChurnSeasonTable,4,FALSE))*POWER(1-(AnnualChurn*VLOOKUP(APN63,ChurnSeasonTable,4,FALSE)),1)+AQB27*(AnnualChurn*VLOOKUP(APN63,ChurnSeasonTable,4,FALSE))*POWER(1-(AnnualChurn*VLOOKUP(APN63,ChurnSeasonTable,4,FALSE)),2)+AQB15*(AnnualChurn*VLOOKUP(APN63,ChurnSeasonTable,4,FALSE))*POWER(1-(AnnualChurn*VLOOKUP(APN63,ChurnSeasonTable,4,FALSE)),3)</f>
        <v/>
      </c>
      <c r="AQI63" s="12">
        <f>AQI62+AQC63-AQC51*(AnnualChurn*VLOOKUP(APN63,ChurnSeasonTable,4,FALSE))*POWER(1-(AnnualChurn*VLOOKUP(APN63,ChurnSeasonTable,4,FALSE)),0)+AQC39*(AnnualChurn*VLOOKUP(APN63,ChurnSeasonTable,4,FALSE))*POWER(1-(AnnualChurn*VLOOKUP(APN63,ChurnSeasonTable,4,FALSE)),1)+AQC27*(AnnualChurn*VLOOKUP(APN63,ChurnSeasonTable,4,FALSE))*POWER(1-(AnnualChurn*VLOOKUP(APN63,ChurnSeasonTable,4,FALSE)),2)+AQC15*(AnnualChurn*VLOOKUP(APN63,ChurnSeasonTable,4,FALSE))*POWER(1-(AnnualChurn*VLOOKUP(APN63,ChurnSeasonTable,4,FALSE)),3)</f>
        <v/>
      </c>
      <c r="AQJ63" s="12">
        <f>AQJ62+AQD63-AQD51*(AnnualChurn*VLOOKUP(APN63,ChurnSeasonTable,4,FALSE))*POWER(1-(AnnualChurn*VLOOKUP(APN63,ChurnSeasonTable,4,FALSE)),0)+AQD39*(AnnualChurn*VLOOKUP(APN63,ChurnSeasonTable,4,FALSE))*POWER(1-(AnnualChurn*VLOOKUP(APN63,ChurnSeasonTable,4,FALSE)),1)+AQD27*(AnnualChurn*VLOOKUP(APN63,ChurnSeasonTable,4,FALSE))*POWER(1-(AnnualChurn*VLOOKUP(APN63,ChurnSeasonTable,4,FALSE)),2)+AQD15*(AnnualChurn*VLOOKUP(APN63,ChurnSeasonTable,4,FALSE))*POWER(1-(AnnualChurn*VLOOKUP(APN63,ChurnSeasonTable,4,FALSE)),3)</f>
        <v/>
      </c>
      <c r="AQK63" s="12">
        <f>AQE63+AQF63+AQG63+AQH63+AQI63+AQJ63</f>
        <v/>
      </c>
      <c r="AQL63" s="9">
        <f>AQE63*BlendedPriceEssMonthly*APQ63+AQF63*BlendedPricePremMonthly*APQ63+AQG63*BlendedPriceEliteMonthly*APQ63+AQH63*BlendedPriceEssAnnual*APQ63/12+AQI63*BlendedPricePremAnnual*APQ63/12+AQJ63*BlendedPriceEliteAnnual*APQ63/12</f>
        <v/>
      </c>
      <c r="AQM63" s="9">
        <f>AQL63*12</f>
        <v/>
      </c>
      <c r="AQN63" s="12">
        <f>AQE63*BlendedPriceEssMonthly*APQ63+AQF63*BlendedPricePremMonthly*APQ63+AQG63*BlendedPriceEliteMonthly*APQ63</f>
        <v/>
      </c>
      <c r="AQO63" s="12">
        <f>AQB63*BlendedPriceEssAnnual*APQ63+AQC63*BlendedPricePremAnnual*APQ63+AQD63*BlendedPriceEliteAnnual*APQ63</f>
        <v/>
      </c>
      <c r="AQP63" s="12">
        <f>AQB51*POWER(1-(AnnualChurn*VLOOKUP(APN63,ChurnSeasonTable,4,FALSE)),1)*BlendedPriceEssAnnual*APQ63+AQB39*POWER(1-(AnnualChurn*VLOOKUP(APN63,ChurnSeasonTable,4,FALSE)),2)*BlendedPriceEssAnnual*APQ63+AQB27*POWER(1-(AnnualChurn*VLOOKUP(APN63,ChurnSeasonTable,4,FALSE)),3)*BlendedPriceEssAnnual*APQ63+AQB15*POWER(1-(AnnualChurn*VLOOKUP(APN63,ChurnSeasonTable,4,FALSE)),4)*BlendedPriceEssAnnual*APQ63+AQC51*POWER(1-(AnnualChurn*VLOOKUP(APN63,ChurnSeasonTable,4,FALSE)),1)*BlendedPricePremAnnual*APQ63+AQC39*POWER(1-(AnnualChurn*VLOOKUP(APN63,ChurnSeasonTable,4,FALSE)),2)*BlendedPricePremAnnual*APQ63+AQC27*POWER(1-(AnnualChurn*VLOOKUP(APN63,ChurnSeasonTable,4,FALSE)),3)*BlendedPricePremAnnual*APQ63+AQC15*POWER(1-(AnnualChurn*VLOOKUP(APN63,ChurnSeasonTable,4,FALSE)),4)*BlendedPricePremAnnual*APQ63+AQD51*POWER(1-(AnnualChurn*VLOOKUP(APN63,ChurnSeasonTable,4,FALSE)),1)*BlendedPriceEliteAnnual*APQ63+AQD39*POWER(1-(AnnualChurn*VLOOKUP(APN63,ChurnSeasonTable,4,FALSE)),2)*BlendedPriceEliteAnnual*APQ63+AQD27*POWER(1-(AnnualChurn*VLOOKUP(APN63,ChurnSeasonTable,4,FALSE)),3)*BlendedPriceEliteAnnual*APQ63+AQD15*POWER(1-(AnnualChurn*VLOOKUP(APN63,ChurnSeasonTable,4,FALSE)),4)*BlendedPriceEliteAnnual*APQ63</f>
        <v/>
      </c>
      <c r="AQQ63" s="9">
        <f>AQN63+AQO63+AQP63</f>
        <v/>
      </c>
      <c r="AQR63" s="12">
        <f>SUM(AQQ52:AQQ63)</f>
        <v/>
      </c>
      <c r="AQS63" s="12">
        <f>OR(AQS62,IF(VATAgentMode,SUM($AQQ52:$AQQ63)-SUM($AQX52:$AQX63)&gt;=VATThreshold,SUM($AQQ52:$AQQ63)&gt;=VATThreshold))</f>
        <v/>
      </c>
      <c r="AQT63" s="9">
        <f>IF(AQS63,IF(VATAgentMode,AQQ63-((AQQ63-AQX63)-(AQQ63-AQX63)/(1+VATRate)),AQQ63/(1+VATRate)),AQQ63)</f>
        <v/>
      </c>
      <c r="AQU63" s="12">
        <f>AQQ63-AQT63</f>
        <v/>
      </c>
      <c r="AQV63" s="12">
        <f>IF(AQS63=0,0,IF(APN63=1,SUMPRODUCT(--(($APO$5:$APO63=$APO63-1)*($APN$5:$APN63&gt;=10)*($APN$5:$APN63&lt;=12)),$AQU$5:$AQU63),IF(APN63=4,SUMPRODUCT(--(($APO$5:$APO63=$APO63)*($APN$5:$APN63&gt;=1)*($APN$5:$APN63&lt;=3)),$AQU$5:$AQU63),IF(APN63=7,SUMPRODUCT(--(($APO$5:$APO63=$APO63)*($APN$5:$APN63&gt;=4)*($APN$5:$APN63&lt;=6)),$AQU$5:$AQU63),IF(APN63=10,SUMPRODUCT(--(($APO$5:$APO63=$APO63)*($APN$5:$APN63&gt;=7)*($APN$5:$APN63&lt;=9)),$AQU$5:$AQU63),0)))))</f>
        <v/>
      </c>
      <c r="AQW63" s="12">
        <f>AQW62+AQU63-AQV63</f>
        <v/>
      </c>
      <c r="AQX63" s="12">
        <f>IF(ProviderDelay&gt;=1,AQE62*BlendedProvPayEss+AQF62*BlendedProvPayPrem+AQG62*BlendedProvPayElite+AQH62*BlendedProvPayEss+AQI62*BlendedProvPayPrem+AQJ62*BlendedProvPayElite,AQE63*BlendedProvPayEss+AQF63*BlendedProvPayPrem+AQG63*BlendedProvPayElite+AQH63*BlendedProvPayEss+AQI63*BlendedProvPayPrem+AQJ63*BlendedProvPayElite)</f>
        <v/>
      </c>
      <c r="AQY63" s="12">
        <f>AQQ63*PaymentFee</f>
        <v/>
      </c>
      <c r="AQZ63" s="12">
        <f>AQK63*OpsAI</f>
        <v/>
      </c>
      <c r="ARA63" s="12">
        <f>MonthlyFixed</f>
        <v/>
      </c>
      <c r="ARB63" s="12">
        <f>APU63*ReferralReward</f>
        <v/>
      </c>
      <c r="ARC63" s="12">
        <f>APS63</f>
        <v/>
      </c>
      <c r="ARD63" s="9">
        <f>AQT63-AQX63-AQY63-AQZ63-ARA63-ARB63-ARC63</f>
        <v/>
      </c>
      <c r="ARE63" s="9">
        <f>ARE62+AQQ63-(AQX63+AQY63+AQZ63+ARA63+ARB63+ARC63+AQV63)</f>
        <v/>
      </c>
      <c r="ARF63" s="12">
        <f>IF(AQK63&gt;0,AQL63/AQK63,0)</f>
        <v/>
      </c>
      <c r="ARG63" s="11">
        <f>IF(AQK62&gt;0,MAX(0,(AQK62+APV63-AQK63)/AQK62),0)</f>
        <v/>
      </c>
      <c r="ARI63" s="12" t="n">
        <v>59</v>
      </c>
      <c r="ARJ63" s="12">
        <f>MOD(ARI63-1+LaunchMonth-1,12)+1</f>
        <v/>
      </c>
      <c r="ARK63" s="12">
        <f>INT((ARI63-1+LaunchMonth-1)/12)+1</f>
        <v/>
      </c>
      <c r="ARL63" s="12">
        <f>VLOOKUP(ARJ63,SeasonTable,2,FALSE)</f>
        <v/>
      </c>
      <c r="ARM63" s="12">
        <f>(1+InflationRate)^INT((ARI63-1)/12)</f>
        <v/>
      </c>
      <c r="ARN63" s="11">
        <f>MonthlyChurn*VLOOKUP(ARJ63,ChurnSeasonTable,4,FALSE)</f>
        <v/>
      </c>
      <c r="ARO63" s="12">
        <f>MIN(MAX(MktMin19plus,ASM62*MktPct19plus),MAX(0,ATA62-CashBuffer))</f>
        <v/>
      </c>
      <c r="ARP63" s="12">
        <f>IF(ARO63&gt;0,MAX(1,ROUND(ARO63/'Sens - CAC &amp; Marketing'!$A$14*ARL63,0)),0)</f>
        <v/>
      </c>
      <c r="ARQ63" s="12">
        <f>IF(ARP63&gt;0,ROUND(ARP63*ReferralMix/(1-ReferralMix),0),0)</f>
        <v/>
      </c>
      <c r="ARR63" s="12">
        <f>ARP63+ARQ63</f>
        <v/>
      </c>
      <c r="ARS63" s="12">
        <f>ROUND(ARR63*(1-AnnualMix),0)</f>
        <v/>
      </c>
      <c r="ART63" s="12">
        <f>ARR63-ARS63</f>
        <v/>
      </c>
      <c r="ARU63" s="12">
        <f>ROUND(ARS63*EssentialMix,0)</f>
        <v/>
      </c>
      <c r="ARV63" s="12">
        <f>ROUND(ARS63*PremiumMix,0)</f>
        <v/>
      </c>
      <c r="ARW63" s="12">
        <f>ARS63-ARU63-ARV63</f>
        <v/>
      </c>
      <c r="ARX63" s="12">
        <f>ROUND(ART63*EssentialMix,0)</f>
        <v/>
      </c>
      <c r="ARY63" s="12">
        <f>ROUND(ART63*PremiumMix,0)</f>
        <v/>
      </c>
      <c r="ARZ63" s="12">
        <f>ART63-ARX63-ARY63</f>
        <v/>
      </c>
      <c r="ASA63" s="12">
        <f>ARU63+ARU62+ARU61+MAX(0,ASA62-ARU62-ARU61)*(1-ARN63)</f>
        <v/>
      </c>
      <c r="ASB63" s="12">
        <f>ARV63+ARV62+ARV61+MAX(0,ASB62-ARV62-ARV61)*(1-ARN63)</f>
        <v/>
      </c>
      <c r="ASC63" s="12">
        <f>ARW63+ARW62+ARW61+MAX(0,ASC62-ARW62-ARW61)*(1-ARN63)</f>
        <v/>
      </c>
      <c r="ASD63" s="12">
        <f>ASD62+ARX63-ARX51*(AnnualChurn*VLOOKUP(ARJ63,ChurnSeasonTable,4,FALSE))*POWER(1-(AnnualChurn*VLOOKUP(ARJ63,ChurnSeasonTable,4,FALSE)),0)+ARX39*(AnnualChurn*VLOOKUP(ARJ63,ChurnSeasonTable,4,FALSE))*POWER(1-(AnnualChurn*VLOOKUP(ARJ63,ChurnSeasonTable,4,FALSE)),1)+ARX27*(AnnualChurn*VLOOKUP(ARJ63,ChurnSeasonTable,4,FALSE))*POWER(1-(AnnualChurn*VLOOKUP(ARJ63,ChurnSeasonTable,4,FALSE)),2)+ARX15*(AnnualChurn*VLOOKUP(ARJ63,ChurnSeasonTable,4,FALSE))*POWER(1-(AnnualChurn*VLOOKUP(ARJ63,ChurnSeasonTable,4,FALSE)),3)</f>
        <v/>
      </c>
      <c r="ASE63" s="12">
        <f>ASE62+ARY63-ARY51*(AnnualChurn*VLOOKUP(ARJ63,ChurnSeasonTable,4,FALSE))*POWER(1-(AnnualChurn*VLOOKUP(ARJ63,ChurnSeasonTable,4,FALSE)),0)+ARY39*(AnnualChurn*VLOOKUP(ARJ63,ChurnSeasonTable,4,FALSE))*POWER(1-(AnnualChurn*VLOOKUP(ARJ63,ChurnSeasonTable,4,FALSE)),1)+ARY27*(AnnualChurn*VLOOKUP(ARJ63,ChurnSeasonTable,4,FALSE))*POWER(1-(AnnualChurn*VLOOKUP(ARJ63,ChurnSeasonTable,4,FALSE)),2)+ARY15*(AnnualChurn*VLOOKUP(ARJ63,ChurnSeasonTable,4,FALSE))*POWER(1-(AnnualChurn*VLOOKUP(ARJ63,ChurnSeasonTable,4,FALSE)),3)</f>
        <v/>
      </c>
      <c r="ASF63" s="12">
        <f>ASF62+ARZ63-ARZ51*(AnnualChurn*VLOOKUP(ARJ63,ChurnSeasonTable,4,FALSE))*POWER(1-(AnnualChurn*VLOOKUP(ARJ63,ChurnSeasonTable,4,FALSE)),0)+ARZ39*(AnnualChurn*VLOOKUP(ARJ63,ChurnSeasonTable,4,FALSE))*POWER(1-(AnnualChurn*VLOOKUP(ARJ63,ChurnSeasonTable,4,FALSE)),1)+ARZ27*(AnnualChurn*VLOOKUP(ARJ63,ChurnSeasonTable,4,FALSE))*POWER(1-(AnnualChurn*VLOOKUP(ARJ63,ChurnSeasonTable,4,FALSE)),2)+ARZ15*(AnnualChurn*VLOOKUP(ARJ63,ChurnSeasonTable,4,FALSE))*POWER(1-(AnnualChurn*VLOOKUP(ARJ63,ChurnSeasonTable,4,FALSE)),3)</f>
        <v/>
      </c>
      <c r="ASG63" s="12">
        <f>ASA63+ASB63+ASC63+ASD63+ASE63+ASF63</f>
        <v/>
      </c>
      <c r="ASH63" s="9">
        <f>ASA63*BlendedPriceEssMonthly*ARM63+ASB63*BlendedPricePremMonthly*ARM63+ASC63*BlendedPriceEliteMonthly*ARM63+ASD63*BlendedPriceEssAnnual*ARM63/12+ASE63*BlendedPricePremAnnual*ARM63/12+ASF63*BlendedPriceEliteAnnual*ARM63/12</f>
        <v/>
      </c>
      <c r="ASI63" s="9">
        <f>ASH63*12</f>
        <v/>
      </c>
      <c r="ASJ63" s="12">
        <f>ASA63*BlendedPriceEssMonthly*ARM63+ASB63*BlendedPricePremMonthly*ARM63+ASC63*BlendedPriceEliteMonthly*ARM63</f>
        <v/>
      </c>
      <c r="ASK63" s="12">
        <f>ARX63*BlendedPriceEssAnnual*ARM63+ARY63*BlendedPricePremAnnual*ARM63+ARZ63*BlendedPriceEliteAnnual*ARM63</f>
        <v/>
      </c>
      <c r="ASL63" s="12">
        <f>ARX51*POWER(1-(AnnualChurn*VLOOKUP(ARJ63,ChurnSeasonTable,4,FALSE)),1)*BlendedPriceEssAnnual*ARM63+ARX39*POWER(1-(AnnualChurn*VLOOKUP(ARJ63,ChurnSeasonTable,4,FALSE)),2)*BlendedPriceEssAnnual*ARM63+ARX27*POWER(1-(AnnualChurn*VLOOKUP(ARJ63,ChurnSeasonTable,4,FALSE)),3)*BlendedPriceEssAnnual*ARM63+ARX15*POWER(1-(AnnualChurn*VLOOKUP(ARJ63,ChurnSeasonTable,4,FALSE)),4)*BlendedPriceEssAnnual*ARM63+ARY51*POWER(1-(AnnualChurn*VLOOKUP(ARJ63,ChurnSeasonTable,4,FALSE)),1)*BlendedPricePremAnnual*ARM63+ARY39*POWER(1-(AnnualChurn*VLOOKUP(ARJ63,ChurnSeasonTable,4,FALSE)),2)*BlendedPricePremAnnual*ARM63+ARY27*POWER(1-(AnnualChurn*VLOOKUP(ARJ63,ChurnSeasonTable,4,FALSE)),3)*BlendedPricePremAnnual*ARM63+ARY15*POWER(1-(AnnualChurn*VLOOKUP(ARJ63,ChurnSeasonTable,4,FALSE)),4)*BlendedPricePremAnnual*ARM63+ARZ51*POWER(1-(AnnualChurn*VLOOKUP(ARJ63,ChurnSeasonTable,4,FALSE)),1)*BlendedPriceEliteAnnual*ARM63+ARZ39*POWER(1-(AnnualChurn*VLOOKUP(ARJ63,ChurnSeasonTable,4,FALSE)),2)*BlendedPriceEliteAnnual*ARM63+ARZ27*POWER(1-(AnnualChurn*VLOOKUP(ARJ63,ChurnSeasonTable,4,FALSE)),3)*BlendedPriceEliteAnnual*ARM63+ARZ15*POWER(1-(AnnualChurn*VLOOKUP(ARJ63,ChurnSeasonTable,4,FALSE)),4)*BlendedPriceEliteAnnual*ARM63</f>
        <v/>
      </c>
      <c r="ASM63" s="9">
        <f>ASJ63+ASK63+ASL63</f>
        <v/>
      </c>
      <c r="ASN63" s="12">
        <f>SUM(ASM52:ASM63)</f>
        <v/>
      </c>
      <c r="ASO63" s="12">
        <f>OR(ASO62,IF(VATAgentMode,SUM($ASM52:$ASM63)-SUM($AST52:$AST63)&gt;=VATThreshold,SUM($ASM52:$ASM63)&gt;=VATThreshold))</f>
        <v/>
      </c>
      <c r="ASP63" s="9">
        <f>IF(ASO63,IF(VATAgentMode,ASM63-((ASM63-AST63)-(ASM63-AST63)/(1+VATRate)),ASM63/(1+VATRate)),ASM63)</f>
        <v/>
      </c>
      <c r="ASQ63" s="12">
        <f>ASM63-ASP63</f>
        <v/>
      </c>
      <c r="ASR63" s="12">
        <f>IF(ASO63=0,0,IF(ARJ63=1,SUMPRODUCT(--(($ARK$5:$ARK63=$ARK63-1)*($ARJ$5:$ARJ63&gt;=10)*($ARJ$5:$ARJ63&lt;=12)),$ASQ$5:$ASQ63),IF(ARJ63=4,SUMPRODUCT(--(($ARK$5:$ARK63=$ARK63)*($ARJ$5:$ARJ63&gt;=1)*($ARJ$5:$ARJ63&lt;=3)),$ASQ$5:$ASQ63),IF(ARJ63=7,SUMPRODUCT(--(($ARK$5:$ARK63=$ARK63)*($ARJ$5:$ARJ63&gt;=4)*($ARJ$5:$ARJ63&lt;=6)),$ASQ$5:$ASQ63),IF(ARJ63=10,SUMPRODUCT(--(($ARK$5:$ARK63=$ARK63)*($ARJ$5:$ARJ63&gt;=7)*($ARJ$5:$ARJ63&lt;=9)),$ASQ$5:$ASQ63),0)))))</f>
        <v/>
      </c>
      <c r="ASS63" s="12">
        <f>ASS62+ASQ63-ASR63</f>
        <v/>
      </c>
      <c r="AST63" s="12">
        <f>IF(ProviderDelay&gt;=1,ASA62*BlendedProvPayEss+ASB62*BlendedProvPayPrem+ASC62*BlendedProvPayElite+ASD62*BlendedProvPayEss+ASE62*BlendedProvPayPrem+ASF62*BlendedProvPayElite,ASA63*BlendedProvPayEss+ASB63*BlendedProvPayPrem+ASC63*BlendedProvPayElite+ASD63*BlendedProvPayEss+ASE63*BlendedProvPayPrem+ASF63*BlendedProvPayElite)</f>
        <v/>
      </c>
      <c r="ASU63" s="12">
        <f>ASM63*PaymentFee</f>
        <v/>
      </c>
      <c r="ASV63" s="12">
        <f>ASG63*OpsAI</f>
        <v/>
      </c>
      <c r="ASW63" s="12">
        <f>MonthlyFixed</f>
        <v/>
      </c>
      <c r="ASX63" s="12">
        <f>ARQ63*ReferralReward</f>
        <v/>
      </c>
      <c r="ASY63" s="12">
        <f>ARO63</f>
        <v/>
      </c>
      <c r="ASZ63" s="9">
        <f>ASP63-AST63-ASU63-ASV63-ASW63-ASX63-ASY63</f>
        <v/>
      </c>
      <c r="ATA63" s="9">
        <f>ATA62+ASM63-(AST63+ASU63+ASV63+ASW63+ASX63+ASY63+ASR63)</f>
        <v/>
      </c>
      <c r="ATB63" s="12">
        <f>IF(ASG63&gt;0,ASH63/ASG63,0)</f>
        <v/>
      </c>
      <c r="ATC63" s="11">
        <f>IF(ASG62&gt;0,MAX(0,(ASG62+ARR63-ASG63)/ASG62),0)</f>
        <v/>
      </c>
      <c r="ATE63" s="12" t="n">
        <v>59</v>
      </c>
      <c r="ATF63" s="12">
        <f>MOD(ATE63-1+LaunchMonth-1,12)+1</f>
        <v/>
      </c>
      <c r="ATG63" s="12">
        <f>INT((ATE63-1+LaunchMonth-1)/12)+1</f>
        <v/>
      </c>
      <c r="ATH63" s="12">
        <f>VLOOKUP(ATF63,SeasonTable,2,FALSE)</f>
        <v/>
      </c>
      <c r="ATI63" s="12">
        <f>(1+InflationRate)^INT((ATE63-1)/12)</f>
        <v/>
      </c>
      <c r="ATJ63" s="11">
        <f>MonthlyChurn*VLOOKUP(ATF63,ChurnSeasonTable,4,FALSE)</f>
        <v/>
      </c>
      <c r="ATK63" s="12">
        <f>MIN(MAX(MktMin19plus,AUI62*MktPct19plus),MAX(0,AUW62-CashBuffer))</f>
        <v/>
      </c>
      <c r="ATL63" s="12">
        <f>IF(ATK63&gt;0,MAX(1,ROUND(ATK63/'Sens - CAC &amp; Marketing'!$A$15*ATH63,0)),0)</f>
        <v/>
      </c>
      <c r="ATM63" s="12">
        <f>IF(ATL63&gt;0,ROUND(ATL63*ReferralMix/(1-ReferralMix),0),0)</f>
        <v/>
      </c>
      <c r="ATN63" s="12">
        <f>ATL63+ATM63</f>
        <v/>
      </c>
      <c r="ATO63" s="12">
        <f>ROUND(ATN63*(1-AnnualMix),0)</f>
        <v/>
      </c>
      <c r="ATP63" s="12">
        <f>ATN63-ATO63</f>
        <v/>
      </c>
      <c r="ATQ63" s="12">
        <f>ROUND(ATO63*EssentialMix,0)</f>
        <v/>
      </c>
      <c r="ATR63" s="12">
        <f>ROUND(ATO63*PremiumMix,0)</f>
        <v/>
      </c>
      <c r="ATS63" s="12">
        <f>ATO63-ATQ63-ATR63</f>
        <v/>
      </c>
      <c r="ATT63" s="12">
        <f>ROUND(ATP63*EssentialMix,0)</f>
        <v/>
      </c>
      <c r="ATU63" s="12">
        <f>ROUND(ATP63*PremiumMix,0)</f>
        <v/>
      </c>
      <c r="ATV63" s="12">
        <f>ATP63-ATT63-ATU63</f>
        <v/>
      </c>
      <c r="ATW63" s="12">
        <f>ATQ63+ATQ62+ATQ61+MAX(0,ATW62-ATQ62-ATQ61)*(1-ATJ63)</f>
        <v/>
      </c>
      <c r="ATX63" s="12">
        <f>ATR63+ATR62+ATR61+MAX(0,ATX62-ATR62-ATR61)*(1-ATJ63)</f>
        <v/>
      </c>
      <c r="ATY63" s="12">
        <f>ATS63+ATS62+ATS61+MAX(0,ATY62-ATS62-ATS61)*(1-ATJ63)</f>
        <v/>
      </c>
      <c r="ATZ63" s="12">
        <f>ATZ62+ATT63-ATT51*(AnnualChurn*VLOOKUP(ATF63,ChurnSeasonTable,4,FALSE))*POWER(1-(AnnualChurn*VLOOKUP(ATF63,ChurnSeasonTable,4,FALSE)),0)+ATT39*(AnnualChurn*VLOOKUP(ATF63,ChurnSeasonTable,4,FALSE))*POWER(1-(AnnualChurn*VLOOKUP(ATF63,ChurnSeasonTable,4,FALSE)),1)+ATT27*(AnnualChurn*VLOOKUP(ATF63,ChurnSeasonTable,4,FALSE))*POWER(1-(AnnualChurn*VLOOKUP(ATF63,ChurnSeasonTable,4,FALSE)),2)+ATT15*(AnnualChurn*VLOOKUP(ATF63,ChurnSeasonTable,4,FALSE))*POWER(1-(AnnualChurn*VLOOKUP(ATF63,ChurnSeasonTable,4,FALSE)),3)</f>
        <v/>
      </c>
      <c r="AUA63" s="12">
        <f>AUA62+ATU63-ATU51*(AnnualChurn*VLOOKUP(ATF63,ChurnSeasonTable,4,FALSE))*POWER(1-(AnnualChurn*VLOOKUP(ATF63,ChurnSeasonTable,4,FALSE)),0)+ATU39*(AnnualChurn*VLOOKUP(ATF63,ChurnSeasonTable,4,FALSE))*POWER(1-(AnnualChurn*VLOOKUP(ATF63,ChurnSeasonTable,4,FALSE)),1)+ATU27*(AnnualChurn*VLOOKUP(ATF63,ChurnSeasonTable,4,FALSE))*POWER(1-(AnnualChurn*VLOOKUP(ATF63,ChurnSeasonTable,4,FALSE)),2)+ATU15*(AnnualChurn*VLOOKUP(ATF63,ChurnSeasonTable,4,FALSE))*POWER(1-(AnnualChurn*VLOOKUP(ATF63,ChurnSeasonTable,4,FALSE)),3)</f>
        <v/>
      </c>
      <c r="AUB63" s="12">
        <f>AUB62+ATV63-ATV51*(AnnualChurn*VLOOKUP(ATF63,ChurnSeasonTable,4,FALSE))*POWER(1-(AnnualChurn*VLOOKUP(ATF63,ChurnSeasonTable,4,FALSE)),0)+ATV39*(AnnualChurn*VLOOKUP(ATF63,ChurnSeasonTable,4,FALSE))*POWER(1-(AnnualChurn*VLOOKUP(ATF63,ChurnSeasonTable,4,FALSE)),1)+ATV27*(AnnualChurn*VLOOKUP(ATF63,ChurnSeasonTable,4,FALSE))*POWER(1-(AnnualChurn*VLOOKUP(ATF63,ChurnSeasonTable,4,FALSE)),2)+ATV15*(AnnualChurn*VLOOKUP(ATF63,ChurnSeasonTable,4,FALSE))*POWER(1-(AnnualChurn*VLOOKUP(ATF63,ChurnSeasonTable,4,FALSE)),3)</f>
        <v/>
      </c>
      <c r="AUC63" s="12">
        <f>ATW63+ATX63+ATY63+ATZ63+AUA63+AUB63</f>
        <v/>
      </c>
      <c r="AUD63" s="9">
        <f>ATW63*BlendedPriceEssMonthly*ATI63+ATX63*BlendedPricePremMonthly*ATI63+ATY63*BlendedPriceEliteMonthly*ATI63+ATZ63*BlendedPriceEssAnnual*ATI63/12+AUA63*BlendedPricePremAnnual*ATI63/12+AUB63*BlendedPriceEliteAnnual*ATI63/12</f>
        <v/>
      </c>
      <c r="AUE63" s="9">
        <f>AUD63*12</f>
        <v/>
      </c>
      <c r="AUF63" s="12">
        <f>ATW63*BlendedPriceEssMonthly*ATI63+ATX63*BlendedPricePremMonthly*ATI63+ATY63*BlendedPriceEliteMonthly*ATI63</f>
        <v/>
      </c>
      <c r="AUG63" s="12">
        <f>ATT63*BlendedPriceEssAnnual*ATI63+ATU63*BlendedPricePremAnnual*ATI63+ATV63*BlendedPriceEliteAnnual*ATI63</f>
        <v/>
      </c>
      <c r="AUH63" s="12">
        <f>ATT51*POWER(1-(AnnualChurn*VLOOKUP(ATF63,ChurnSeasonTable,4,FALSE)),1)*BlendedPriceEssAnnual*ATI63+ATT39*POWER(1-(AnnualChurn*VLOOKUP(ATF63,ChurnSeasonTable,4,FALSE)),2)*BlendedPriceEssAnnual*ATI63+ATT27*POWER(1-(AnnualChurn*VLOOKUP(ATF63,ChurnSeasonTable,4,FALSE)),3)*BlendedPriceEssAnnual*ATI63+ATT15*POWER(1-(AnnualChurn*VLOOKUP(ATF63,ChurnSeasonTable,4,FALSE)),4)*BlendedPriceEssAnnual*ATI63+ATU51*POWER(1-(AnnualChurn*VLOOKUP(ATF63,ChurnSeasonTable,4,FALSE)),1)*BlendedPricePremAnnual*ATI63+ATU39*POWER(1-(AnnualChurn*VLOOKUP(ATF63,ChurnSeasonTable,4,FALSE)),2)*BlendedPricePremAnnual*ATI63+ATU27*POWER(1-(AnnualChurn*VLOOKUP(ATF63,ChurnSeasonTable,4,FALSE)),3)*BlendedPricePremAnnual*ATI63+ATU15*POWER(1-(AnnualChurn*VLOOKUP(ATF63,ChurnSeasonTable,4,FALSE)),4)*BlendedPricePremAnnual*ATI63+ATV51*POWER(1-(AnnualChurn*VLOOKUP(ATF63,ChurnSeasonTable,4,FALSE)),1)*BlendedPriceEliteAnnual*ATI63+ATV39*POWER(1-(AnnualChurn*VLOOKUP(ATF63,ChurnSeasonTable,4,FALSE)),2)*BlendedPriceEliteAnnual*ATI63+ATV27*POWER(1-(AnnualChurn*VLOOKUP(ATF63,ChurnSeasonTable,4,FALSE)),3)*BlendedPriceEliteAnnual*ATI63+ATV15*POWER(1-(AnnualChurn*VLOOKUP(ATF63,ChurnSeasonTable,4,FALSE)),4)*BlendedPriceEliteAnnual*ATI63</f>
        <v/>
      </c>
      <c r="AUI63" s="9">
        <f>AUF63+AUG63+AUH63</f>
        <v/>
      </c>
      <c r="AUJ63" s="12">
        <f>SUM(AUI52:AUI63)</f>
        <v/>
      </c>
      <c r="AUK63" s="12">
        <f>OR(AUK62,IF(VATAgentMode,SUM($AUI52:$AUI63)-SUM($AUP52:$AUP63)&gt;=VATThreshold,SUM($AUI52:$AUI63)&gt;=VATThreshold))</f>
        <v/>
      </c>
      <c r="AUL63" s="9">
        <f>IF(AUK63,IF(VATAgentMode,AUI63-((AUI63-AUP63)-(AUI63-AUP63)/(1+VATRate)),AUI63/(1+VATRate)),AUI63)</f>
        <v/>
      </c>
      <c r="AUM63" s="12">
        <f>AUI63-AUL63</f>
        <v/>
      </c>
      <c r="AUN63" s="12">
        <f>IF(AUK63=0,0,IF(ATF63=1,SUMPRODUCT(--(($ATG$5:$ATG63=$ATG63-1)*($ATF$5:$ATF63&gt;=10)*($ATF$5:$ATF63&lt;=12)),$AUM$5:$AUM63),IF(ATF63=4,SUMPRODUCT(--(($ATG$5:$ATG63=$ATG63)*($ATF$5:$ATF63&gt;=1)*($ATF$5:$ATF63&lt;=3)),$AUM$5:$AUM63),IF(ATF63=7,SUMPRODUCT(--(($ATG$5:$ATG63=$ATG63)*($ATF$5:$ATF63&gt;=4)*($ATF$5:$ATF63&lt;=6)),$AUM$5:$AUM63),IF(ATF63=10,SUMPRODUCT(--(($ATG$5:$ATG63=$ATG63)*($ATF$5:$ATF63&gt;=7)*($ATF$5:$ATF63&lt;=9)),$AUM$5:$AUM63),0)))))</f>
        <v/>
      </c>
      <c r="AUO63" s="12">
        <f>AUO62+AUM63-AUN63</f>
        <v/>
      </c>
      <c r="AUP63" s="12">
        <f>IF(ProviderDelay&gt;=1,ATW62*BlendedProvPayEss+ATX62*BlendedProvPayPrem+ATY62*BlendedProvPayElite+ATZ62*BlendedProvPayEss+AUA62*BlendedProvPayPrem+AUB62*BlendedProvPayElite,ATW63*BlendedProvPayEss+ATX63*BlendedProvPayPrem+ATY63*BlendedProvPayElite+ATZ63*BlendedProvPayEss+AUA63*BlendedProvPayPrem+AUB63*BlendedProvPayElite)</f>
        <v/>
      </c>
      <c r="AUQ63" s="12">
        <f>AUI63*PaymentFee</f>
        <v/>
      </c>
      <c r="AUR63" s="12">
        <f>AUC63*OpsAI</f>
        <v/>
      </c>
      <c r="AUS63" s="12">
        <f>MonthlyFixed</f>
        <v/>
      </c>
      <c r="AUT63" s="12">
        <f>ATM63*ReferralReward</f>
        <v/>
      </c>
      <c r="AUU63" s="12">
        <f>ATK63</f>
        <v/>
      </c>
      <c r="AUV63" s="9">
        <f>AUL63-AUP63-AUQ63-AUR63-AUS63-AUT63-AUU63</f>
        <v/>
      </c>
      <c r="AUW63" s="9">
        <f>AUW62+AUI63-(AUP63+AUQ63+AUR63+AUS63+AUT63+AUU63+AUN63)</f>
        <v/>
      </c>
      <c r="AUX63" s="12">
        <f>IF(AUC63&gt;0,AUD63/AUC63,0)</f>
        <v/>
      </c>
      <c r="AUY63" s="11">
        <f>IF(AUC62&gt;0,MAX(0,(AUC62+ATN63-AUC63)/AUC62),0)</f>
        <v/>
      </c>
      <c r="AVA63" s="12" t="n">
        <v>59</v>
      </c>
      <c r="AVB63" s="12">
        <f>MOD(AVA63-1+LaunchMonth-1,12)+1</f>
        <v/>
      </c>
      <c r="AVC63" s="12">
        <f>INT((AVA63-1+LaunchMonth-1)/12)+1</f>
        <v/>
      </c>
      <c r="AVD63" s="12">
        <f>VLOOKUP(AVB63,WinterPivotSeasonTable,5,FALSE)</f>
        <v/>
      </c>
      <c r="AVE63" s="12">
        <f>(1+InflationRate)^INT((AVA63-1)/12)</f>
        <v/>
      </c>
      <c r="AVF63" s="11">
        <f>MonthlyChurn*VLOOKUP(AVB63,WinterPivotChurnTable,6,FALSE)</f>
        <v/>
      </c>
      <c r="AVG63" s="12">
        <f>MIN(MAX(MktMin19plus,AWE62*MktPct19plus),MAX(0,AWS62-CashBuffer))</f>
        <v/>
      </c>
      <c r="AVH63" s="12">
        <f>IF(AVG63&gt;0,MAX(1,ROUND(AVG63/CAC*AVD63,0)),0)</f>
        <v/>
      </c>
      <c r="AVI63" s="12">
        <f>IF(AVH63&gt;0,ROUND(AVH63*ReferralMix/(1-ReferralMix),0),0)</f>
        <v/>
      </c>
      <c r="AVJ63" s="12">
        <f>AVH63+AVI63</f>
        <v/>
      </c>
      <c r="AVK63" s="12">
        <f>ROUND(AVJ63*(1-AnnualMix),0)</f>
        <v/>
      </c>
      <c r="AVL63" s="12">
        <f>AVJ63-AVK63</f>
        <v/>
      </c>
      <c r="AVM63" s="12">
        <f>ROUND(AVK63*'Sens - Winter Pivot'!$B$6,0)</f>
        <v/>
      </c>
      <c r="AVN63" s="12">
        <f>ROUND(AVK63*PremiumMix,0)</f>
        <v/>
      </c>
      <c r="AVO63" s="12">
        <f>AVK63-AVM63-AVN63</f>
        <v/>
      </c>
      <c r="AVP63" s="12">
        <f>ROUND(AVL63*'Sens - Winter Pivot'!$B$6,0)</f>
        <v/>
      </c>
      <c r="AVQ63" s="12">
        <f>ROUND(AVL63*PremiumMix,0)</f>
        <v/>
      </c>
      <c r="AVR63" s="12">
        <f>AVL63-AVP63-AVQ63</f>
        <v/>
      </c>
      <c r="AVS63" s="12">
        <f>AVM63+AVM62+AVM61+MAX(0,AVS62-AVM62-AVM61)*(1-AVF63)</f>
        <v/>
      </c>
      <c r="AVT63" s="12">
        <f>AVN63+AVN62+AVN61+MAX(0,AVT62-AVN62-AVN61)*(1-AVF63)</f>
        <v/>
      </c>
      <c r="AVU63" s="12">
        <f>AVO63+AVO62+AVO61+MAX(0,AVU62-AVO62-AVO61)*(1-AVF63)</f>
        <v/>
      </c>
      <c r="AVV63" s="12">
        <f>AVV62+AVP63-AVP51*(AnnualChurn*VLOOKUP(AVB63,ChurnSeasonTable,4,FALSE))*POWER(1-(AnnualChurn*VLOOKUP(AVB63,ChurnSeasonTable,4,FALSE)),0)+AVP39*(AnnualChurn*VLOOKUP(AVB63,ChurnSeasonTable,4,FALSE))*POWER(1-(AnnualChurn*VLOOKUP(AVB63,ChurnSeasonTable,4,FALSE)),1)+AVP27*(AnnualChurn*VLOOKUP(AVB63,ChurnSeasonTable,4,FALSE))*POWER(1-(AnnualChurn*VLOOKUP(AVB63,ChurnSeasonTable,4,FALSE)),2)+AVP15*(AnnualChurn*VLOOKUP(AVB63,ChurnSeasonTable,4,FALSE))*POWER(1-(AnnualChurn*VLOOKUP(AVB63,ChurnSeasonTable,4,FALSE)),3)</f>
        <v/>
      </c>
      <c r="AVW63" s="12">
        <f>AVW62+AVQ63-AVQ51*(AnnualChurn*VLOOKUP(AVB63,ChurnSeasonTable,4,FALSE))*POWER(1-(AnnualChurn*VLOOKUP(AVB63,ChurnSeasonTable,4,FALSE)),0)+AVQ39*(AnnualChurn*VLOOKUP(AVB63,ChurnSeasonTable,4,FALSE))*POWER(1-(AnnualChurn*VLOOKUP(AVB63,ChurnSeasonTable,4,FALSE)),1)+AVQ27*(AnnualChurn*VLOOKUP(AVB63,ChurnSeasonTable,4,FALSE))*POWER(1-(AnnualChurn*VLOOKUP(AVB63,ChurnSeasonTable,4,FALSE)),2)+AVQ15*(AnnualChurn*VLOOKUP(AVB63,ChurnSeasonTable,4,FALSE))*POWER(1-(AnnualChurn*VLOOKUP(AVB63,ChurnSeasonTable,4,FALSE)),3)</f>
        <v/>
      </c>
      <c r="AVX63" s="12">
        <f>AVX62+AVR63-AVR51*(AnnualChurn*VLOOKUP(AVB63,ChurnSeasonTable,4,FALSE))*POWER(1-(AnnualChurn*VLOOKUP(AVB63,ChurnSeasonTable,4,FALSE)),0)+AVR39*(AnnualChurn*VLOOKUP(AVB63,ChurnSeasonTable,4,FALSE))*POWER(1-(AnnualChurn*VLOOKUP(AVB63,ChurnSeasonTable,4,FALSE)),1)+AVR27*(AnnualChurn*VLOOKUP(AVB63,ChurnSeasonTable,4,FALSE))*POWER(1-(AnnualChurn*VLOOKUP(AVB63,ChurnSeasonTable,4,FALSE)),2)+AVR15*(AnnualChurn*VLOOKUP(AVB63,ChurnSeasonTable,4,FALSE))*POWER(1-(AnnualChurn*VLOOKUP(AVB63,ChurnSeasonTable,4,FALSE)),3)</f>
        <v/>
      </c>
      <c r="AVY63" s="12">
        <f>AVS63+AVT63+AVU63+AVV63+AVW63+AVX63</f>
        <v/>
      </c>
      <c r="AVZ63" s="9">
        <f>AVS63*BlendedPriceEssMonthly*AVE63+AVT63*(BlendedPricePremMonthly+'Sens - Winter Pivot'!$B$7)*AVE63+AVU63*BlendedPriceEliteMonthly*AVE63+AVV63*BlendedPriceEssAnnual*AVE63/12+AVW63*(BlendedPricePremAnnual+'Sens - Winter Pivot'!$B$7*12)*AVE63/12+AVX63*BlendedPriceEliteAnnual*AVE63/12</f>
        <v/>
      </c>
      <c r="AWA63" s="9">
        <f>AVZ63*12</f>
        <v/>
      </c>
      <c r="AWB63" s="12">
        <f>AVS63*BlendedPriceEssMonthly*AVE63+AVT63*(BlendedPricePremMonthly+'Sens - Winter Pivot'!$B$7)*AVE63+AVU63*BlendedPriceEliteMonthly*AVE63</f>
        <v/>
      </c>
      <c r="AWC63" s="12">
        <f>AVP63*BlendedPriceEssAnnual*AVE63+AVQ63*(BlendedPricePremAnnual+'Sens - Winter Pivot'!$B$7*12)*AVE63+AVR63*BlendedPriceEliteAnnual*AVE63</f>
        <v/>
      </c>
      <c r="AWD63" s="12">
        <f>AVP51*POWER(1-(AnnualChurn*VLOOKUP(AVB63,ChurnSeasonTable,4,FALSE)),1)*BlendedPriceEssAnnual*AVE63+AVP39*POWER(1-(AnnualChurn*VLOOKUP(AVB63,ChurnSeasonTable,4,FALSE)),2)*BlendedPriceEssAnnual*AVE63+AVP27*POWER(1-(AnnualChurn*VLOOKUP(AVB63,ChurnSeasonTable,4,FALSE)),3)*BlendedPriceEssAnnual*AVE63+AVP15*POWER(1-(AnnualChurn*VLOOKUP(AVB63,ChurnSeasonTable,4,FALSE)),4)*BlendedPriceEssAnnual*AVE63+AVQ51*POWER(1-(AnnualChurn*VLOOKUP(AVB63,ChurnSeasonTable,4,FALSE)),1)*BlendedPricePremAnnual*AVE63+AVQ39*POWER(1-(AnnualChurn*VLOOKUP(AVB63,ChurnSeasonTable,4,FALSE)),2)*BlendedPricePremAnnual*AVE63+AVQ27*POWER(1-(AnnualChurn*VLOOKUP(AVB63,ChurnSeasonTable,4,FALSE)),3)*BlendedPricePremAnnual*AVE63+AVQ15*POWER(1-(AnnualChurn*VLOOKUP(AVB63,ChurnSeasonTable,4,FALSE)),4)*BlendedPricePremAnnual*AVE63+AVR51*POWER(1-(AnnualChurn*VLOOKUP(AVB63,ChurnSeasonTable,4,FALSE)),1)*BlendedPriceEliteAnnual*AVE63+AVR39*POWER(1-(AnnualChurn*VLOOKUP(AVB63,ChurnSeasonTable,4,FALSE)),2)*BlendedPriceEliteAnnual*AVE63+AVR27*POWER(1-(AnnualChurn*VLOOKUP(AVB63,ChurnSeasonTable,4,FALSE)),3)*BlendedPriceEliteAnnual*AVE63+AVR15*POWER(1-(AnnualChurn*VLOOKUP(AVB63,ChurnSeasonTable,4,FALSE)),4)*BlendedPriceEliteAnnual*AVE63</f>
        <v/>
      </c>
      <c r="AWE63" s="9">
        <f>AWB63+AWC63+AWD63</f>
        <v/>
      </c>
      <c r="AWF63" s="12">
        <f>SUM(AWE52:AWE63)</f>
        <v/>
      </c>
      <c r="AWG63" s="12">
        <f>OR(AWG62,IF(VATAgentMode,SUM($AWE52:$AWE63)-SUM($AWL52:$AWL63)&gt;=VATThreshold,SUM($AWE52:$AWE63)&gt;=VATThreshold))</f>
        <v/>
      </c>
      <c r="AWH63" s="9">
        <f>IF(AWG63,IF(VATAgentMode,AWE63-((AWE63-AWL63)-(AWE63-AWL63)/(1+VATRate)),AWE63/(1+VATRate)),AWE63)</f>
        <v/>
      </c>
      <c r="AWI63" s="12">
        <f>AWE63-AWH63</f>
        <v/>
      </c>
      <c r="AWJ63" s="12">
        <f>IF(AWG63=0,0,IF(AVB63=1,SUMPRODUCT(--(($AVC$5:$AVC63=$AVC63-1)*($AVB$5:$AVB63&gt;=10)*($AVB$5:$AVB63&lt;=12)),$AWI$5:$AWI63),IF(AVB63=4,SUMPRODUCT(--(($AVC$5:$AVC63=$AVC63)*($AVB$5:$AVB63&gt;=1)*($AVB$5:$AVB63&lt;=3)),$AWI$5:$AWI63),IF(AVB63=7,SUMPRODUCT(--(($AVC$5:$AVC63=$AVC63)*($AVB$5:$AVB63&gt;=4)*($AVB$5:$AVB63&lt;=6)),$AWI$5:$AWI63),IF(AVB63=10,SUMPRODUCT(--(($AVC$5:$AVC63=$AVC63)*($AVB$5:$AVB63&gt;=7)*($AVB$5:$AVB63&lt;=9)),$AWI$5:$AWI63),0)))))</f>
        <v/>
      </c>
      <c r="AWK63" s="12">
        <f>AWK62+AWI63-AWJ63</f>
        <v/>
      </c>
      <c r="AWL63" s="12">
        <f>IF(ProviderDelay&gt;=1,AVS62*BlendedProvPayEss+AVT62*BlendedProvPayPrem+AVU62*BlendedProvPayElite+AVV62*BlendedProvPayEss+AVW62*BlendedProvPayPrem+AVX62*BlendedProvPayElite,AVS63*BlendedProvPayEss+AVT63*BlendedProvPayPrem+AVU63*BlendedProvPayElite+AVV63*BlendedProvPayEss+AVW63*BlendedProvPayPrem+AVX63*BlendedProvPayElite)</f>
        <v/>
      </c>
      <c r="AWM63" s="12">
        <f>AWE63*PaymentFee</f>
        <v/>
      </c>
      <c r="AWN63" s="12">
        <f>AVY63*OpsAI</f>
        <v/>
      </c>
      <c r="AWO63" s="12">
        <f>MonthlyFixed</f>
        <v/>
      </c>
      <c r="AWP63" s="12">
        <f>AVI63*ReferralReward</f>
        <v/>
      </c>
      <c r="AWQ63" s="12">
        <f>AVG63</f>
        <v/>
      </c>
      <c r="AWR63" s="9">
        <f>AWH63-AWL63-AWM63-AWN63-AWO63-AWP63-AWQ63</f>
        <v/>
      </c>
      <c r="AWS63" s="9">
        <f>AWS62+AWE63-(AWL63+AWM63+AWN63+AWO63+AWP63+AWQ63+AWJ63)</f>
        <v/>
      </c>
      <c r="AWT63" s="12">
        <f>IF(AVY63&gt;0,AVZ63/AVY63,0)</f>
        <v/>
      </c>
      <c r="AWU63" s="11">
        <f>IF(AVY62&gt;0,MAX(0,(AVY62+AVJ63-AVY63)/AVY62),0)</f>
        <v/>
      </c>
    </row>
    <row r="64">
      <c r="A64" s="12" t="n">
        <v>60</v>
      </c>
      <c r="B64" s="12">
        <f>MOD(A64-1+LaunchMonth-1,12)+1</f>
        <v/>
      </c>
      <c r="C64" s="12">
        <f>INT((A64-1+LaunchMonth-1)/12)+1</f>
        <v/>
      </c>
      <c r="D64" s="12">
        <f>VLOOKUP(B64,SeasonTable,2,FALSE)</f>
        <v/>
      </c>
      <c r="E64" s="12">
        <f>(1+InflationRate)^INT((A64-1)/12)</f>
        <v/>
      </c>
      <c r="F64" s="11">
        <f>'Sens - Scenarios'!$B$5*VLOOKUP(B64,ChurnSeasonTable,4,FALSE)</f>
        <v/>
      </c>
      <c r="G64" s="12">
        <f>MIN(MAX(MktMin19plus,AE63*MktPct19plus),MAX(0,AS63-CashBuffer))</f>
        <v/>
      </c>
      <c r="H64" s="12">
        <f>IF(G64&gt;0,MAX(1,ROUND(G64/'Sens - Scenarios'!$B$8*D64,0)),0)</f>
        <v/>
      </c>
      <c r="I64" s="12">
        <f>IF(H64&gt;0,ROUND(H64*ReferralMix/(1-ReferralMix),0),0)</f>
        <v/>
      </c>
      <c r="J64" s="12">
        <f>H64+I64</f>
        <v/>
      </c>
      <c r="K64" s="12">
        <f>ROUND(J64*(1-'Sens - Scenarios'!$B$7),0)</f>
        <v/>
      </c>
      <c r="L64" s="12">
        <f>J64-K64</f>
        <v/>
      </c>
      <c r="M64" s="12">
        <f>ROUND(K64*EssentialMix,0)</f>
        <v/>
      </c>
      <c r="N64" s="12">
        <f>ROUND(K64*PremiumMix,0)</f>
        <v/>
      </c>
      <c r="O64" s="12">
        <f>K64-M64-N64</f>
        <v/>
      </c>
      <c r="P64" s="12">
        <f>ROUND(L64*EssentialMix,0)</f>
        <v/>
      </c>
      <c r="Q64" s="12">
        <f>ROUND(L64*PremiumMix,0)</f>
        <v/>
      </c>
      <c r="R64" s="12">
        <f>L64-P64-Q64</f>
        <v/>
      </c>
      <c r="S64" s="12">
        <f>M64+M63+M62+MAX(0,S63-M63-M62)*(1-F64)</f>
        <v/>
      </c>
      <c r="T64" s="12">
        <f>N64+N63+N62+MAX(0,T63-N63-N62)*(1-F64)</f>
        <v/>
      </c>
      <c r="U64" s="12">
        <f>O64+O63+O62+MAX(0,U63-O63-O62)*(1-F64)</f>
        <v/>
      </c>
      <c r="V64" s="12">
        <f>V63+P64-P52*('Sens - Scenarios'!$B$6*VLOOKUP(B64,ChurnSeasonTable,4,FALSE))*POWER(1-('Sens - Scenarios'!$B$6*VLOOKUP(B64,ChurnSeasonTable,4,FALSE)),0)+P40*('Sens - Scenarios'!$B$6*VLOOKUP(B64,ChurnSeasonTable,4,FALSE))*POWER(1-('Sens - Scenarios'!$B$6*VLOOKUP(B64,ChurnSeasonTable,4,FALSE)),1)+P28*('Sens - Scenarios'!$B$6*VLOOKUP(B64,ChurnSeasonTable,4,FALSE))*POWER(1-('Sens - Scenarios'!$B$6*VLOOKUP(B64,ChurnSeasonTable,4,FALSE)),2)+P16*('Sens - Scenarios'!$B$6*VLOOKUP(B64,ChurnSeasonTable,4,FALSE))*POWER(1-('Sens - Scenarios'!$B$6*VLOOKUP(B64,ChurnSeasonTable,4,FALSE)),3)</f>
        <v/>
      </c>
      <c r="W64" s="12">
        <f>W63+Q64-Q52*('Sens - Scenarios'!$B$6*VLOOKUP(B64,ChurnSeasonTable,4,FALSE))*POWER(1-('Sens - Scenarios'!$B$6*VLOOKUP(B64,ChurnSeasonTable,4,FALSE)),0)+Q40*('Sens - Scenarios'!$B$6*VLOOKUP(B64,ChurnSeasonTable,4,FALSE))*POWER(1-('Sens - Scenarios'!$B$6*VLOOKUP(B64,ChurnSeasonTable,4,FALSE)),1)+Q28*('Sens - Scenarios'!$B$6*VLOOKUP(B64,ChurnSeasonTable,4,FALSE))*POWER(1-('Sens - Scenarios'!$B$6*VLOOKUP(B64,ChurnSeasonTable,4,FALSE)),2)+Q16*('Sens - Scenarios'!$B$6*VLOOKUP(B64,ChurnSeasonTable,4,FALSE))*POWER(1-('Sens - Scenarios'!$B$6*VLOOKUP(B64,ChurnSeasonTable,4,FALSE)),3)</f>
        <v/>
      </c>
      <c r="X64" s="12">
        <f>X63+R64-R52*('Sens - Scenarios'!$B$6*VLOOKUP(B64,ChurnSeasonTable,4,FALSE))*POWER(1-('Sens - Scenarios'!$B$6*VLOOKUP(B64,ChurnSeasonTable,4,FALSE)),0)+R40*('Sens - Scenarios'!$B$6*VLOOKUP(B64,ChurnSeasonTable,4,FALSE))*POWER(1-('Sens - Scenarios'!$B$6*VLOOKUP(B64,ChurnSeasonTable,4,FALSE)),1)+R28*('Sens - Scenarios'!$B$6*VLOOKUP(B64,ChurnSeasonTable,4,FALSE))*POWER(1-('Sens - Scenarios'!$B$6*VLOOKUP(B64,ChurnSeasonTable,4,FALSE)),2)+R16*('Sens - Scenarios'!$B$6*VLOOKUP(B64,ChurnSeasonTable,4,FALSE))*POWER(1-('Sens - Scenarios'!$B$6*VLOOKUP(B64,ChurnSeasonTable,4,FALSE)),3)</f>
        <v/>
      </c>
      <c r="Y64" s="12">
        <f>S64+T64+U64+V64+W64+X64</f>
        <v/>
      </c>
      <c r="Z64" s="9">
        <f>S64*BlendedPriceEssMonthly*E64+T64*BlendedPricePremMonthly*E64+U64*BlendedPriceEliteMonthly*E64+V64*BlendedPriceEssAnnual*E64/12+W64*BlendedPricePremAnnual*E64/12+X64*BlendedPriceEliteAnnual*E64/12</f>
        <v/>
      </c>
      <c r="AA64" s="9">
        <f>Z64*12</f>
        <v/>
      </c>
      <c r="AB64" s="12">
        <f>S64*BlendedPriceEssMonthly*E64+T64*BlendedPricePremMonthly*E64+U64*BlendedPriceEliteMonthly*E64</f>
        <v/>
      </c>
      <c r="AC64" s="12">
        <f>P64*BlendedPriceEssAnnual*E64+Q64*BlendedPricePremAnnual*E64+R64*BlendedPriceEliteAnnual*E64</f>
        <v/>
      </c>
      <c r="AD64" s="12">
        <f>P52*POWER(1-('Sens - Scenarios'!$B$6*VLOOKUP(B64,ChurnSeasonTable,4,FALSE)),1)*BlendedPriceEssAnnual*E64+P40*POWER(1-('Sens - Scenarios'!$B$6*VLOOKUP(B64,ChurnSeasonTable,4,FALSE)),2)*BlendedPriceEssAnnual*E64+P28*POWER(1-('Sens - Scenarios'!$B$6*VLOOKUP(B64,ChurnSeasonTable,4,FALSE)),3)*BlendedPriceEssAnnual*E64+P16*POWER(1-('Sens - Scenarios'!$B$6*VLOOKUP(B64,ChurnSeasonTable,4,FALSE)),4)*BlendedPriceEssAnnual*E64+Q52*POWER(1-('Sens - Scenarios'!$B$6*VLOOKUP(B64,ChurnSeasonTable,4,FALSE)),1)*BlendedPricePremAnnual*E64+Q40*POWER(1-('Sens - Scenarios'!$B$6*VLOOKUP(B64,ChurnSeasonTable,4,FALSE)),2)*BlendedPricePremAnnual*E64+Q28*POWER(1-('Sens - Scenarios'!$B$6*VLOOKUP(B64,ChurnSeasonTable,4,FALSE)),3)*BlendedPricePremAnnual*E64+Q16*POWER(1-('Sens - Scenarios'!$B$6*VLOOKUP(B64,ChurnSeasonTable,4,FALSE)),4)*BlendedPricePremAnnual*E64+R52*POWER(1-('Sens - Scenarios'!$B$6*VLOOKUP(B64,ChurnSeasonTable,4,FALSE)),1)*BlendedPriceEliteAnnual*E64+R40*POWER(1-('Sens - Scenarios'!$B$6*VLOOKUP(B64,ChurnSeasonTable,4,FALSE)),2)*BlendedPriceEliteAnnual*E64+R28*POWER(1-('Sens - Scenarios'!$B$6*VLOOKUP(B64,ChurnSeasonTable,4,FALSE)),3)*BlendedPriceEliteAnnual*E64+R16*POWER(1-('Sens - Scenarios'!$B$6*VLOOKUP(B64,ChurnSeasonTable,4,FALSE)),4)*BlendedPriceEliteAnnual*E64</f>
        <v/>
      </c>
      <c r="AE64" s="9">
        <f>AB64+AC64+AD64</f>
        <v/>
      </c>
      <c r="AF64" s="12">
        <f>SUM(AE53:AE64)</f>
        <v/>
      </c>
      <c r="AG64" s="12">
        <f>OR(AG63,IF(VATAgentMode,SUM($AE53:$AE64)-SUM($AL53:$AL64)&gt;=VATThreshold,SUM($AE53:$AE64)&gt;=VATThreshold))</f>
        <v/>
      </c>
      <c r="AH64" s="9">
        <f>IF(AG64,IF(VATAgentMode,AE64-((AE64-AL64)-(AE64-AL64)/(1+VATRate)),AE64/(1+VATRate)),AE64)</f>
        <v/>
      </c>
      <c r="AI64" s="12">
        <f>AE64-AH64</f>
        <v/>
      </c>
      <c r="AJ64" s="12">
        <f>IF(AG64=0,0,IF(B64=1,SUMPRODUCT(--(($C$5:$C64=$C64-1)*($B$5:$B64&gt;=10)*($B$5:$B64&lt;=12)),$AI$5:$AI64),IF(B64=4,SUMPRODUCT(--(($C$5:$C64=$C64)*($B$5:$B64&gt;=1)*($B$5:$B64&lt;=3)),$AI$5:$AI64),IF(B64=7,SUMPRODUCT(--(($C$5:$C64=$C64)*($B$5:$B64&gt;=4)*($B$5:$B64&lt;=6)),$AI$5:$AI64),IF(B64=10,SUMPRODUCT(--(($C$5:$C64=$C64)*($B$5:$B64&gt;=7)*($B$5:$B64&lt;=9)),$AI$5:$AI64),0)))))</f>
        <v/>
      </c>
      <c r="AK64" s="12">
        <f>AK63+AI64-AJ64</f>
        <v/>
      </c>
      <c r="AL64" s="12">
        <f>IF(ProviderDelay&gt;=1,S63*BlendedProvPayEss+T63*BlendedProvPayPrem+U63*BlendedProvPayElite+V63*BlendedProvPayEss+W63*BlendedProvPayPrem+X63*BlendedProvPayElite,S64*BlendedProvPayEss+T64*BlendedProvPayPrem+U64*BlendedProvPayElite+V64*BlendedProvPayEss+W64*BlendedProvPayPrem+X64*BlendedProvPayElite)</f>
        <v/>
      </c>
      <c r="AM64" s="12">
        <f>AE64*PaymentFee</f>
        <v/>
      </c>
      <c r="AN64" s="12">
        <f>Y64*OpsAI</f>
        <v/>
      </c>
      <c r="AO64" s="12">
        <f>MonthlyFixed</f>
        <v/>
      </c>
      <c r="AP64" s="12">
        <f>I64*ReferralReward</f>
        <v/>
      </c>
      <c r="AQ64" s="12">
        <f>G64</f>
        <v/>
      </c>
      <c r="AR64" s="9">
        <f>AH64-AL64-AM64-AN64-AO64-AP64-AQ64</f>
        <v/>
      </c>
      <c r="AS64" s="9">
        <f>AS63+AE64-(AL64+AM64+AN64+AO64+AP64+AQ64+AJ64)</f>
        <v/>
      </c>
      <c r="AT64" s="12">
        <f>IF(Y64&gt;0,Z64/Y64,0)</f>
        <v/>
      </c>
      <c r="AU64" s="11">
        <f>IF(Y63&gt;0,MAX(0,(Y63+J64-Y64)/Y63),0)</f>
        <v/>
      </c>
      <c r="AW64" s="12" t="n">
        <v>60</v>
      </c>
      <c r="AX64" s="12">
        <f>MOD(AW64-1+LaunchMonth-1,12)+1</f>
        <v/>
      </c>
      <c r="AY64" s="12">
        <f>INT((AW64-1+LaunchMonth-1)/12)+1</f>
        <v/>
      </c>
      <c r="AZ64" s="12">
        <f>VLOOKUP(AX64,SeasonTable,2,FALSE)</f>
        <v/>
      </c>
      <c r="BA64" s="12">
        <f>(1+InflationRate)^INT((AW64-1)/12)</f>
        <v/>
      </c>
      <c r="BB64" s="11">
        <f>MonthlyChurn*VLOOKUP(AX64,ChurnSeasonTable,4,FALSE)</f>
        <v/>
      </c>
      <c r="BC64" s="12">
        <f>MIN(MAX(MktMin19plus,CA63*MktPct19plus),MAX(0,CO63-CashBuffer))</f>
        <v/>
      </c>
      <c r="BD64" s="12">
        <f>IF(BC64&gt;0,MAX(1,ROUND(BC64/CAC*AZ64,0)),0)</f>
        <v/>
      </c>
      <c r="BE64" s="12">
        <f>IF(BD64&gt;0,ROUND(BD64*ReferralMix/(1-ReferralMix),0),0)</f>
        <v/>
      </c>
      <c r="BF64" s="12">
        <f>BD64+BE64</f>
        <v/>
      </c>
      <c r="BG64" s="12">
        <f>ROUND(BF64*(1-AnnualMix),0)</f>
        <v/>
      </c>
      <c r="BH64" s="12">
        <f>BF64-BG64</f>
        <v/>
      </c>
      <c r="BI64" s="12">
        <f>ROUND(BG64*EssentialMix,0)</f>
        <v/>
      </c>
      <c r="BJ64" s="12">
        <f>ROUND(BG64*PremiumMix,0)</f>
        <v/>
      </c>
      <c r="BK64" s="12">
        <f>BG64-BI64-BJ64</f>
        <v/>
      </c>
      <c r="BL64" s="12">
        <f>ROUND(BH64*EssentialMix,0)</f>
        <v/>
      </c>
      <c r="BM64" s="12">
        <f>ROUND(BH64*PremiumMix,0)</f>
        <v/>
      </c>
      <c r="BN64" s="12">
        <f>BH64-BL64-BM64</f>
        <v/>
      </c>
      <c r="BO64" s="12">
        <f>BI64+BI63+BI62+MAX(0,BO63-BI63-BI62)*(1-BB64)</f>
        <v/>
      </c>
      <c r="BP64" s="12">
        <f>BJ64+BJ63+BJ62+MAX(0,BP63-BJ63-BJ62)*(1-BB64)</f>
        <v/>
      </c>
      <c r="BQ64" s="12">
        <f>BK64+BK63+BK62+MAX(0,BQ63-BK63-BK62)*(1-BB64)</f>
        <v/>
      </c>
      <c r="BR64" s="12">
        <f>BR63+BL64-BL52*(AnnualChurn*VLOOKUP(AX64,ChurnSeasonTable,4,FALSE))*POWER(1-(AnnualChurn*VLOOKUP(AX64,ChurnSeasonTable,4,FALSE)),0)+BL40*(AnnualChurn*VLOOKUP(AX64,ChurnSeasonTable,4,FALSE))*POWER(1-(AnnualChurn*VLOOKUP(AX64,ChurnSeasonTable,4,FALSE)),1)+BL28*(AnnualChurn*VLOOKUP(AX64,ChurnSeasonTable,4,FALSE))*POWER(1-(AnnualChurn*VLOOKUP(AX64,ChurnSeasonTable,4,FALSE)),2)+BL16*(AnnualChurn*VLOOKUP(AX64,ChurnSeasonTable,4,FALSE))*POWER(1-(AnnualChurn*VLOOKUP(AX64,ChurnSeasonTable,4,FALSE)),3)</f>
        <v/>
      </c>
      <c r="BS64" s="12">
        <f>BS63+BM64-BM52*(AnnualChurn*VLOOKUP(AX64,ChurnSeasonTable,4,FALSE))*POWER(1-(AnnualChurn*VLOOKUP(AX64,ChurnSeasonTable,4,FALSE)),0)+BM40*(AnnualChurn*VLOOKUP(AX64,ChurnSeasonTable,4,FALSE))*POWER(1-(AnnualChurn*VLOOKUP(AX64,ChurnSeasonTable,4,FALSE)),1)+BM28*(AnnualChurn*VLOOKUP(AX64,ChurnSeasonTable,4,FALSE))*POWER(1-(AnnualChurn*VLOOKUP(AX64,ChurnSeasonTable,4,FALSE)),2)+BM16*(AnnualChurn*VLOOKUP(AX64,ChurnSeasonTable,4,FALSE))*POWER(1-(AnnualChurn*VLOOKUP(AX64,ChurnSeasonTable,4,FALSE)),3)</f>
        <v/>
      </c>
      <c r="BT64" s="12">
        <f>BT63+BN64-BN52*(AnnualChurn*VLOOKUP(AX64,ChurnSeasonTable,4,FALSE))*POWER(1-(AnnualChurn*VLOOKUP(AX64,ChurnSeasonTable,4,FALSE)),0)+BN40*(AnnualChurn*VLOOKUP(AX64,ChurnSeasonTable,4,FALSE))*POWER(1-(AnnualChurn*VLOOKUP(AX64,ChurnSeasonTable,4,FALSE)),1)+BN28*(AnnualChurn*VLOOKUP(AX64,ChurnSeasonTable,4,FALSE))*POWER(1-(AnnualChurn*VLOOKUP(AX64,ChurnSeasonTable,4,FALSE)),2)+BN16*(AnnualChurn*VLOOKUP(AX64,ChurnSeasonTable,4,FALSE))*POWER(1-(AnnualChurn*VLOOKUP(AX64,ChurnSeasonTable,4,FALSE)),3)</f>
        <v/>
      </c>
      <c r="BU64" s="12">
        <f>BO64+BP64+BQ64+BR64+BS64+BT64</f>
        <v/>
      </c>
      <c r="BV64" s="9">
        <f>BO64*BlendedPriceEssMonthly*BA64+BP64*BlendedPricePremMonthly*BA64+BQ64*BlendedPriceEliteMonthly*BA64+BR64*BlendedPriceEssAnnual*BA64/12+BS64*BlendedPricePremAnnual*BA64/12+BT64*BlendedPriceEliteAnnual*BA64/12</f>
        <v/>
      </c>
      <c r="BW64" s="9">
        <f>BV64*12</f>
        <v/>
      </c>
      <c r="BX64" s="12">
        <f>BO64*BlendedPriceEssMonthly*BA64+BP64*BlendedPricePremMonthly*BA64+BQ64*BlendedPriceEliteMonthly*BA64</f>
        <v/>
      </c>
      <c r="BY64" s="12">
        <f>BL64*BlendedPriceEssAnnual*BA64+BM64*BlendedPricePremAnnual*BA64+BN64*BlendedPriceEliteAnnual*BA64</f>
        <v/>
      </c>
      <c r="BZ64" s="12">
        <f>BL52*POWER(1-(AnnualChurn*VLOOKUP(AX64,ChurnSeasonTable,4,FALSE)),1)*BlendedPriceEssAnnual*BA64+BL40*POWER(1-(AnnualChurn*VLOOKUP(AX64,ChurnSeasonTable,4,FALSE)),2)*BlendedPriceEssAnnual*BA64+BL28*POWER(1-(AnnualChurn*VLOOKUP(AX64,ChurnSeasonTable,4,FALSE)),3)*BlendedPriceEssAnnual*BA64+BL16*POWER(1-(AnnualChurn*VLOOKUP(AX64,ChurnSeasonTable,4,FALSE)),4)*BlendedPriceEssAnnual*BA64+BM52*POWER(1-(AnnualChurn*VLOOKUP(AX64,ChurnSeasonTable,4,FALSE)),1)*BlendedPricePremAnnual*BA64+BM40*POWER(1-(AnnualChurn*VLOOKUP(AX64,ChurnSeasonTable,4,FALSE)),2)*BlendedPricePremAnnual*BA64+BM28*POWER(1-(AnnualChurn*VLOOKUP(AX64,ChurnSeasonTable,4,FALSE)),3)*BlendedPricePremAnnual*BA64+BM16*POWER(1-(AnnualChurn*VLOOKUP(AX64,ChurnSeasonTable,4,FALSE)),4)*BlendedPricePremAnnual*BA64+BN52*POWER(1-(AnnualChurn*VLOOKUP(AX64,ChurnSeasonTable,4,FALSE)),1)*BlendedPriceEliteAnnual*BA64+BN40*POWER(1-(AnnualChurn*VLOOKUP(AX64,ChurnSeasonTable,4,FALSE)),2)*BlendedPriceEliteAnnual*BA64+BN28*POWER(1-(AnnualChurn*VLOOKUP(AX64,ChurnSeasonTable,4,FALSE)),3)*BlendedPriceEliteAnnual*BA64+BN16*POWER(1-(AnnualChurn*VLOOKUP(AX64,ChurnSeasonTable,4,FALSE)),4)*BlendedPriceEliteAnnual*BA64</f>
        <v/>
      </c>
      <c r="CA64" s="9">
        <f>BX64+BY64+BZ64</f>
        <v/>
      </c>
      <c r="CB64" s="12">
        <f>SUM(CA53:CA64)</f>
        <v/>
      </c>
      <c r="CC64" s="12">
        <f>OR(CC63,IF(VATAgentMode,SUM($CA53:$CA64)-SUM($CH53:$CH64)&gt;=VATThreshold,SUM($CA53:$CA64)&gt;=VATThreshold))</f>
        <v/>
      </c>
      <c r="CD64" s="9">
        <f>IF(CC64,IF(VATAgentMode,CA64-((CA64-CH64)-(CA64-CH64)/(1+VATRate)),CA64/(1+VATRate)),CA64)</f>
        <v/>
      </c>
      <c r="CE64" s="12">
        <f>CA64-CD64</f>
        <v/>
      </c>
      <c r="CF64" s="12">
        <f>IF(CC64=0,0,IF(AX64=1,SUMPRODUCT(--(($AY$5:$AY64=$AY64-1)*($AX$5:$AX64&gt;=10)*($AX$5:$AX64&lt;=12)),$CE$5:$CE64),IF(AX64=4,SUMPRODUCT(--(($AY$5:$AY64=$AY64)*($AX$5:$AX64&gt;=1)*($AX$5:$AX64&lt;=3)),$CE$5:$CE64),IF(AX64=7,SUMPRODUCT(--(($AY$5:$AY64=$AY64)*($AX$5:$AX64&gt;=4)*($AX$5:$AX64&lt;=6)),$CE$5:$CE64),IF(AX64=10,SUMPRODUCT(--(($AY$5:$AY64=$AY64)*($AX$5:$AX64&gt;=7)*($AX$5:$AX64&lt;=9)),$CE$5:$CE64),0)))))</f>
        <v/>
      </c>
      <c r="CG64" s="12">
        <f>CG63+CE64-CF64</f>
        <v/>
      </c>
      <c r="CH64" s="12">
        <f>IF(ProviderDelay&gt;=1,BO63*BlendedProvPayEss+BP63*BlendedProvPayPrem+BQ63*BlendedProvPayElite+BR63*BlendedProvPayEss+BS63*BlendedProvPayPrem+BT63*BlendedProvPayElite,BO64*BlendedProvPayEss+BP64*BlendedProvPayPrem+BQ64*BlendedProvPayElite+BR64*BlendedProvPayEss+BS64*BlendedProvPayPrem+BT64*BlendedProvPayElite)</f>
        <v/>
      </c>
      <c r="CI64" s="12">
        <f>CA64*PaymentFee</f>
        <v/>
      </c>
      <c r="CJ64" s="12">
        <f>BU64*OpsAI</f>
        <v/>
      </c>
      <c r="CK64" s="12">
        <f>MonthlyFixed</f>
        <v/>
      </c>
      <c r="CL64" s="12">
        <f>BE64*ReferralReward</f>
        <v/>
      </c>
      <c r="CM64" s="12">
        <f>BC64</f>
        <v/>
      </c>
      <c r="CN64" s="9">
        <f>CD64-CH64-CI64-CJ64-CK64-CL64-CM64</f>
        <v/>
      </c>
      <c r="CO64" s="9">
        <f>CO63+CA64-(CH64+CI64+CJ64+CK64+CL64+CM64+CF64)</f>
        <v/>
      </c>
      <c r="CP64" s="12">
        <f>IF(BU64&gt;0,BV64/BU64,0)</f>
        <v/>
      </c>
      <c r="CQ64" s="11">
        <f>IF(BU63&gt;0,MAX(0,(BU63+BF64-BU64)/BU63),0)</f>
        <v/>
      </c>
      <c r="CS64" s="12" t="n">
        <v>60</v>
      </c>
      <c r="CT64" s="12">
        <f>MOD(CS64-1+LaunchMonth-1,12)+1</f>
        <v/>
      </c>
      <c r="CU64" s="12">
        <f>INT((CS64-1+LaunchMonth-1)/12)+1</f>
        <v/>
      </c>
      <c r="CV64" s="12">
        <f>VLOOKUP(CT64,SeasonTable,2,FALSE)</f>
        <v/>
      </c>
      <c r="CW64" s="12">
        <f>(1+InflationRate)^INT((CS64-1)/12)</f>
        <v/>
      </c>
      <c r="CX64" s="11">
        <f>'Sens - Scenarios'!$D$5*VLOOKUP(CT64,ChurnSeasonTable,4,FALSE)</f>
        <v/>
      </c>
      <c r="CY64" s="12">
        <f>MIN(MAX(MktMin19plus,DW63*MktPct19plus),MAX(0,EK63-CashBuffer))</f>
        <v/>
      </c>
      <c r="CZ64" s="12">
        <f>IF(CY64&gt;0,MAX(1,ROUND(CY64/'Sens - Scenarios'!$D$8*CV64,0)),0)</f>
        <v/>
      </c>
      <c r="DA64" s="12">
        <f>IF(CZ64&gt;0,ROUND(CZ64*ReferralMix/(1-ReferralMix),0),0)</f>
        <v/>
      </c>
      <c r="DB64" s="12">
        <f>CZ64+DA64</f>
        <v/>
      </c>
      <c r="DC64" s="12">
        <f>ROUND(DB64*(1-'Sens - Scenarios'!$D$7),0)</f>
        <v/>
      </c>
      <c r="DD64" s="12">
        <f>DB64-DC64</f>
        <v/>
      </c>
      <c r="DE64" s="12">
        <f>ROUND(DC64*EssentialMix,0)</f>
        <v/>
      </c>
      <c r="DF64" s="12">
        <f>ROUND(DC64*PremiumMix,0)</f>
        <v/>
      </c>
      <c r="DG64" s="12">
        <f>DC64-DE64-DF64</f>
        <v/>
      </c>
      <c r="DH64" s="12">
        <f>ROUND(DD64*EssentialMix,0)</f>
        <v/>
      </c>
      <c r="DI64" s="12">
        <f>ROUND(DD64*PremiumMix,0)</f>
        <v/>
      </c>
      <c r="DJ64" s="12">
        <f>DD64-DH64-DI64</f>
        <v/>
      </c>
      <c r="DK64" s="12">
        <f>DE64+DE63+DE62+MAX(0,DK63-DE63-DE62)*(1-CX64)</f>
        <v/>
      </c>
      <c r="DL64" s="12">
        <f>DF64+DF63+DF62+MAX(0,DL63-DF63-DF62)*(1-CX64)</f>
        <v/>
      </c>
      <c r="DM64" s="12">
        <f>DG64+DG63+DG62+MAX(0,DM63-DG63-DG62)*(1-CX64)</f>
        <v/>
      </c>
      <c r="DN64" s="12">
        <f>DN63+DH64-DH52*('Sens - Scenarios'!$D$6*VLOOKUP(CT64,ChurnSeasonTable,4,FALSE))*POWER(1-('Sens - Scenarios'!$D$6*VLOOKUP(CT64,ChurnSeasonTable,4,FALSE)),0)+DH40*('Sens - Scenarios'!$D$6*VLOOKUP(CT64,ChurnSeasonTable,4,FALSE))*POWER(1-('Sens - Scenarios'!$D$6*VLOOKUP(CT64,ChurnSeasonTable,4,FALSE)),1)+DH28*('Sens - Scenarios'!$D$6*VLOOKUP(CT64,ChurnSeasonTable,4,FALSE))*POWER(1-('Sens - Scenarios'!$D$6*VLOOKUP(CT64,ChurnSeasonTable,4,FALSE)),2)+DH16*('Sens - Scenarios'!$D$6*VLOOKUP(CT64,ChurnSeasonTable,4,FALSE))*POWER(1-('Sens - Scenarios'!$D$6*VLOOKUP(CT64,ChurnSeasonTable,4,FALSE)),3)</f>
        <v/>
      </c>
      <c r="DO64" s="12">
        <f>DO63+DI64-DI52*('Sens - Scenarios'!$D$6*VLOOKUP(CT64,ChurnSeasonTable,4,FALSE))*POWER(1-('Sens - Scenarios'!$D$6*VLOOKUP(CT64,ChurnSeasonTable,4,FALSE)),0)+DI40*('Sens - Scenarios'!$D$6*VLOOKUP(CT64,ChurnSeasonTable,4,FALSE))*POWER(1-('Sens - Scenarios'!$D$6*VLOOKUP(CT64,ChurnSeasonTable,4,FALSE)),1)+DI28*('Sens - Scenarios'!$D$6*VLOOKUP(CT64,ChurnSeasonTable,4,FALSE))*POWER(1-('Sens - Scenarios'!$D$6*VLOOKUP(CT64,ChurnSeasonTable,4,FALSE)),2)+DI16*('Sens - Scenarios'!$D$6*VLOOKUP(CT64,ChurnSeasonTable,4,FALSE))*POWER(1-('Sens - Scenarios'!$D$6*VLOOKUP(CT64,ChurnSeasonTable,4,FALSE)),3)</f>
        <v/>
      </c>
      <c r="DP64" s="12">
        <f>DP63+DJ64-DJ52*('Sens - Scenarios'!$D$6*VLOOKUP(CT64,ChurnSeasonTable,4,FALSE))*POWER(1-('Sens - Scenarios'!$D$6*VLOOKUP(CT64,ChurnSeasonTable,4,FALSE)),0)+DJ40*('Sens - Scenarios'!$D$6*VLOOKUP(CT64,ChurnSeasonTable,4,FALSE))*POWER(1-('Sens - Scenarios'!$D$6*VLOOKUP(CT64,ChurnSeasonTable,4,FALSE)),1)+DJ28*('Sens - Scenarios'!$D$6*VLOOKUP(CT64,ChurnSeasonTable,4,FALSE))*POWER(1-('Sens - Scenarios'!$D$6*VLOOKUP(CT64,ChurnSeasonTable,4,FALSE)),2)+DJ16*('Sens - Scenarios'!$D$6*VLOOKUP(CT64,ChurnSeasonTable,4,FALSE))*POWER(1-('Sens - Scenarios'!$D$6*VLOOKUP(CT64,ChurnSeasonTable,4,FALSE)),3)</f>
        <v/>
      </c>
      <c r="DQ64" s="12">
        <f>DK64+DL64+DM64+DN64+DO64+DP64</f>
        <v/>
      </c>
      <c r="DR64" s="9">
        <f>DK64*BlendedPriceEssMonthly*CW64+DL64*BlendedPricePremMonthly*CW64+DM64*BlendedPriceEliteMonthly*CW64+DN64*BlendedPriceEssAnnual*CW64/12+DO64*BlendedPricePremAnnual*CW64/12+DP64*BlendedPriceEliteAnnual*CW64/12</f>
        <v/>
      </c>
      <c r="DS64" s="9">
        <f>DR64*12</f>
        <v/>
      </c>
      <c r="DT64" s="12">
        <f>DK64*BlendedPriceEssMonthly*CW64+DL64*BlendedPricePremMonthly*CW64+DM64*BlendedPriceEliteMonthly*CW64</f>
        <v/>
      </c>
      <c r="DU64" s="12">
        <f>DH64*BlendedPriceEssAnnual*CW64+DI64*BlendedPricePremAnnual*CW64+DJ64*BlendedPriceEliteAnnual*CW64</f>
        <v/>
      </c>
      <c r="DV64" s="12">
        <f>DH52*POWER(1-('Sens - Scenarios'!$D$6*VLOOKUP(CT64,ChurnSeasonTable,4,FALSE)),1)*BlendedPriceEssAnnual*CW64+DH40*POWER(1-('Sens - Scenarios'!$D$6*VLOOKUP(CT64,ChurnSeasonTable,4,FALSE)),2)*BlendedPriceEssAnnual*CW64+DH28*POWER(1-('Sens - Scenarios'!$D$6*VLOOKUP(CT64,ChurnSeasonTable,4,FALSE)),3)*BlendedPriceEssAnnual*CW64+DH16*POWER(1-('Sens - Scenarios'!$D$6*VLOOKUP(CT64,ChurnSeasonTable,4,FALSE)),4)*BlendedPriceEssAnnual*CW64+DI52*POWER(1-('Sens - Scenarios'!$D$6*VLOOKUP(CT64,ChurnSeasonTable,4,FALSE)),1)*BlendedPricePremAnnual*CW64+DI40*POWER(1-('Sens - Scenarios'!$D$6*VLOOKUP(CT64,ChurnSeasonTable,4,FALSE)),2)*BlendedPricePremAnnual*CW64+DI28*POWER(1-('Sens - Scenarios'!$D$6*VLOOKUP(CT64,ChurnSeasonTable,4,FALSE)),3)*BlendedPricePremAnnual*CW64+DI16*POWER(1-('Sens - Scenarios'!$D$6*VLOOKUP(CT64,ChurnSeasonTable,4,FALSE)),4)*BlendedPricePremAnnual*CW64+DJ52*POWER(1-('Sens - Scenarios'!$D$6*VLOOKUP(CT64,ChurnSeasonTable,4,FALSE)),1)*BlendedPriceEliteAnnual*CW64+DJ40*POWER(1-('Sens - Scenarios'!$D$6*VLOOKUP(CT64,ChurnSeasonTable,4,FALSE)),2)*BlendedPriceEliteAnnual*CW64+DJ28*POWER(1-('Sens - Scenarios'!$D$6*VLOOKUP(CT64,ChurnSeasonTable,4,FALSE)),3)*BlendedPriceEliteAnnual*CW64+DJ16*POWER(1-('Sens - Scenarios'!$D$6*VLOOKUP(CT64,ChurnSeasonTable,4,FALSE)),4)*BlendedPriceEliteAnnual*CW64</f>
        <v/>
      </c>
      <c r="DW64" s="9">
        <f>DT64+DU64+DV64</f>
        <v/>
      </c>
      <c r="DX64" s="12">
        <f>SUM(DW53:DW64)</f>
        <v/>
      </c>
      <c r="DY64" s="12">
        <f>OR(DY63,IF(VATAgentMode,SUM($DW53:$DW64)-SUM($ED53:$ED64)&gt;=VATThreshold,SUM($DW53:$DW64)&gt;=VATThreshold))</f>
        <v/>
      </c>
      <c r="DZ64" s="9">
        <f>IF(DY64,IF(VATAgentMode,DW64-((DW64-ED64)-(DW64-ED64)/(1+VATRate)),DW64/(1+VATRate)),DW64)</f>
        <v/>
      </c>
      <c r="EA64" s="12">
        <f>DW64-DZ64</f>
        <v/>
      </c>
      <c r="EB64" s="12">
        <f>IF(DY64=0,0,IF(CT64=1,SUMPRODUCT(--(($CU$5:$CU64=$CU64-1)*($CT$5:$CT64&gt;=10)*($CT$5:$CT64&lt;=12)),$EA$5:$EA64),IF(CT64=4,SUMPRODUCT(--(($CU$5:$CU64=$CU64)*($CT$5:$CT64&gt;=1)*($CT$5:$CT64&lt;=3)),$EA$5:$EA64),IF(CT64=7,SUMPRODUCT(--(($CU$5:$CU64=$CU64)*($CT$5:$CT64&gt;=4)*($CT$5:$CT64&lt;=6)),$EA$5:$EA64),IF(CT64=10,SUMPRODUCT(--(($CU$5:$CU64=$CU64)*($CT$5:$CT64&gt;=7)*($CT$5:$CT64&lt;=9)),$EA$5:$EA64),0)))))</f>
        <v/>
      </c>
      <c r="EC64" s="12">
        <f>EC63+EA64-EB64</f>
        <v/>
      </c>
      <c r="ED64" s="12">
        <f>IF(ProviderDelay&gt;=1,DK63*BlendedProvPayEss+DL63*BlendedProvPayPrem+DM63*BlendedProvPayElite+DN63*BlendedProvPayEss+DO63*BlendedProvPayPrem+DP63*BlendedProvPayElite,DK64*BlendedProvPayEss+DL64*BlendedProvPayPrem+DM64*BlendedProvPayElite+DN64*BlendedProvPayEss+DO64*BlendedProvPayPrem+DP64*BlendedProvPayElite)</f>
        <v/>
      </c>
      <c r="EE64" s="12">
        <f>DW64*PaymentFee</f>
        <v/>
      </c>
      <c r="EF64" s="12">
        <f>DQ64*OpsAI</f>
        <v/>
      </c>
      <c r="EG64" s="12">
        <f>MonthlyFixed</f>
        <v/>
      </c>
      <c r="EH64" s="12">
        <f>DA64*ReferralReward</f>
        <v/>
      </c>
      <c r="EI64" s="12">
        <f>CY64</f>
        <v/>
      </c>
      <c r="EJ64" s="9">
        <f>DZ64-ED64-EE64-EF64-EG64-EH64-EI64</f>
        <v/>
      </c>
      <c r="EK64" s="9">
        <f>EK63+DW64-(ED64+EE64+EF64+EG64+EH64+EI64+EB64)</f>
        <v/>
      </c>
      <c r="EL64" s="12">
        <f>IF(DQ64&gt;0,DR64/DQ64,0)</f>
        <v/>
      </c>
      <c r="EM64" s="11">
        <f>IF(DQ63&gt;0,MAX(0,(DQ63+DB64-DQ64)/DQ63),0)</f>
        <v/>
      </c>
      <c r="EO64" s="12" t="n">
        <v>60</v>
      </c>
      <c r="EP64" s="12">
        <f>MOD(EO64-1+LaunchMonth-1,12)+1</f>
        <v/>
      </c>
      <c r="EQ64" s="12">
        <f>INT((EO64-1+LaunchMonth-1)/12)+1</f>
        <v/>
      </c>
      <c r="ER64" s="12">
        <f>VLOOKUP(EP64,SeasonTable,2,FALSE)</f>
        <v/>
      </c>
      <c r="ES64" s="12">
        <f>(1+InflationRate)^INT((EO64-1)/12)</f>
        <v/>
      </c>
      <c r="ET64" s="11">
        <f>'Sens - Churn'!$A$13*VLOOKUP(EP64,ChurnSeasonTable,4,FALSE)</f>
        <v/>
      </c>
      <c r="EU64" s="12">
        <f>MIN(MAX(MktMin19plus,FS63*MktPct19plus),MAX(0,GG63-CashBuffer))</f>
        <v/>
      </c>
      <c r="EV64" s="12">
        <f>IF(EU64&gt;0,MAX(1,ROUND(EU64/CAC*ER64,0)),0)</f>
        <v/>
      </c>
      <c r="EW64" s="12">
        <f>IF(EV64&gt;0,ROUND(EV64*ReferralMix/(1-ReferralMix),0),0)</f>
        <v/>
      </c>
      <c r="EX64" s="12">
        <f>EV64+EW64</f>
        <v/>
      </c>
      <c r="EY64" s="12">
        <f>ROUND(EX64*(1-AnnualMix),0)</f>
        <v/>
      </c>
      <c r="EZ64" s="12">
        <f>EX64-EY64</f>
        <v/>
      </c>
      <c r="FA64" s="12">
        <f>ROUND(EY64*EssentialMix,0)</f>
        <v/>
      </c>
      <c r="FB64" s="12">
        <f>ROUND(EY64*PremiumMix,0)</f>
        <v/>
      </c>
      <c r="FC64" s="12">
        <f>EY64-FA64-FB64</f>
        <v/>
      </c>
      <c r="FD64" s="12">
        <f>ROUND(EZ64*EssentialMix,0)</f>
        <v/>
      </c>
      <c r="FE64" s="12">
        <f>ROUND(EZ64*PremiumMix,0)</f>
        <v/>
      </c>
      <c r="FF64" s="12">
        <f>EZ64-FD64-FE64</f>
        <v/>
      </c>
      <c r="FG64" s="12">
        <f>FA64+FA63+FA62+MAX(0,FG63-FA63-FA62)*(1-ET64)</f>
        <v/>
      </c>
      <c r="FH64" s="12">
        <f>FB64+FB63+FB62+MAX(0,FH63-FB63-FB62)*(1-ET64)</f>
        <v/>
      </c>
      <c r="FI64" s="12">
        <f>FC64+FC63+FC62+MAX(0,FI63-FC63-FC62)*(1-ET64)</f>
        <v/>
      </c>
      <c r="FJ64" s="12">
        <f>FJ63+FD64-FD52*(AnnualChurn*VLOOKUP(EP64,ChurnSeasonTable,4,FALSE))*POWER(1-(AnnualChurn*VLOOKUP(EP64,ChurnSeasonTable,4,FALSE)),0)+FD40*(AnnualChurn*VLOOKUP(EP64,ChurnSeasonTable,4,FALSE))*POWER(1-(AnnualChurn*VLOOKUP(EP64,ChurnSeasonTable,4,FALSE)),1)+FD28*(AnnualChurn*VLOOKUP(EP64,ChurnSeasonTable,4,FALSE))*POWER(1-(AnnualChurn*VLOOKUP(EP64,ChurnSeasonTable,4,FALSE)),2)+FD16*(AnnualChurn*VLOOKUP(EP64,ChurnSeasonTable,4,FALSE))*POWER(1-(AnnualChurn*VLOOKUP(EP64,ChurnSeasonTable,4,FALSE)),3)</f>
        <v/>
      </c>
      <c r="FK64" s="12">
        <f>FK63+FE64-FE52*(AnnualChurn*VLOOKUP(EP64,ChurnSeasonTable,4,FALSE))*POWER(1-(AnnualChurn*VLOOKUP(EP64,ChurnSeasonTable,4,FALSE)),0)+FE40*(AnnualChurn*VLOOKUP(EP64,ChurnSeasonTable,4,FALSE))*POWER(1-(AnnualChurn*VLOOKUP(EP64,ChurnSeasonTable,4,FALSE)),1)+FE28*(AnnualChurn*VLOOKUP(EP64,ChurnSeasonTable,4,FALSE))*POWER(1-(AnnualChurn*VLOOKUP(EP64,ChurnSeasonTable,4,FALSE)),2)+FE16*(AnnualChurn*VLOOKUP(EP64,ChurnSeasonTable,4,FALSE))*POWER(1-(AnnualChurn*VLOOKUP(EP64,ChurnSeasonTable,4,FALSE)),3)</f>
        <v/>
      </c>
      <c r="FL64" s="12">
        <f>FL63+FF64-FF52*(AnnualChurn*VLOOKUP(EP64,ChurnSeasonTable,4,FALSE))*POWER(1-(AnnualChurn*VLOOKUP(EP64,ChurnSeasonTable,4,FALSE)),0)+FF40*(AnnualChurn*VLOOKUP(EP64,ChurnSeasonTable,4,FALSE))*POWER(1-(AnnualChurn*VLOOKUP(EP64,ChurnSeasonTable,4,FALSE)),1)+FF28*(AnnualChurn*VLOOKUP(EP64,ChurnSeasonTable,4,FALSE))*POWER(1-(AnnualChurn*VLOOKUP(EP64,ChurnSeasonTable,4,FALSE)),2)+FF16*(AnnualChurn*VLOOKUP(EP64,ChurnSeasonTable,4,FALSE))*POWER(1-(AnnualChurn*VLOOKUP(EP64,ChurnSeasonTable,4,FALSE)),3)</f>
        <v/>
      </c>
      <c r="FM64" s="12">
        <f>FG64+FH64+FI64+FJ64+FK64+FL64</f>
        <v/>
      </c>
      <c r="FN64" s="9">
        <f>FG64*BlendedPriceEssMonthly*ES64+FH64*BlendedPricePremMonthly*ES64+FI64*BlendedPriceEliteMonthly*ES64+FJ64*BlendedPriceEssAnnual*ES64/12+FK64*BlendedPricePremAnnual*ES64/12+FL64*BlendedPriceEliteAnnual*ES64/12</f>
        <v/>
      </c>
      <c r="FO64" s="9">
        <f>FN64*12</f>
        <v/>
      </c>
      <c r="FP64" s="12">
        <f>FG64*BlendedPriceEssMonthly*ES64+FH64*BlendedPricePremMonthly*ES64+FI64*BlendedPriceEliteMonthly*ES64</f>
        <v/>
      </c>
      <c r="FQ64" s="12">
        <f>FD64*BlendedPriceEssAnnual*ES64+FE64*BlendedPricePremAnnual*ES64+FF64*BlendedPriceEliteAnnual*ES64</f>
        <v/>
      </c>
      <c r="FR64" s="12">
        <f>FD52*POWER(1-(AnnualChurn*VLOOKUP(EP64,ChurnSeasonTable,4,FALSE)),1)*BlendedPriceEssAnnual*ES64+FD40*POWER(1-(AnnualChurn*VLOOKUP(EP64,ChurnSeasonTable,4,FALSE)),2)*BlendedPriceEssAnnual*ES64+FD28*POWER(1-(AnnualChurn*VLOOKUP(EP64,ChurnSeasonTable,4,FALSE)),3)*BlendedPriceEssAnnual*ES64+FD16*POWER(1-(AnnualChurn*VLOOKUP(EP64,ChurnSeasonTable,4,FALSE)),4)*BlendedPriceEssAnnual*ES64+FE52*POWER(1-(AnnualChurn*VLOOKUP(EP64,ChurnSeasonTable,4,FALSE)),1)*BlendedPricePremAnnual*ES64+FE40*POWER(1-(AnnualChurn*VLOOKUP(EP64,ChurnSeasonTable,4,FALSE)),2)*BlendedPricePremAnnual*ES64+FE28*POWER(1-(AnnualChurn*VLOOKUP(EP64,ChurnSeasonTable,4,FALSE)),3)*BlendedPricePremAnnual*ES64+FE16*POWER(1-(AnnualChurn*VLOOKUP(EP64,ChurnSeasonTable,4,FALSE)),4)*BlendedPricePremAnnual*ES64+FF52*POWER(1-(AnnualChurn*VLOOKUP(EP64,ChurnSeasonTable,4,FALSE)),1)*BlendedPriceEliteAnnual*ES64+FF40*POWER(1-(AnnualChurn*VLOOKUP(EP64,ChurnSeasonTable,4,FALSE)),2)*BlendedPriceEliteAnnual*ES64+FF28*POWER(1-(AnnualChurn*VLOOKUP(EP64,ChurnSeasonTable,4,FALSE)),3)*BlendedPriceEliteAnnual*ES64+FF16*POWER(1-(AnnualChurn*VLOOKUP(EP64,ChurnSeasonTable,4,FALSE)),4)*BlendedPriceEliteAnnual*ES64</f>
        <v/>
      </c>
      <c r="FS64" s="9">
        <f>FP64+FQ64+FR64</f>
        <v/>
      </c>
      <c r="FT64" s="12">
        <f>SUM(FS53:FS64)</f>
        <v/>
      </c>
      <c r="FU64" s="12">
        <f>OR(FU63,IF(VATAgentMode,SUM($FS53:$FS64)-SUM($FZ53:$FZ64)&gt;=VATThreshold,SUM($FS53:$FS64)&gt;=VATThreshold))</f>
        <v/>
      </c>
      <c r="FV64" s="9">
        <f>IF(FU64,IF(VATAgentMode,FS64-((FS64-FZ64)-(FS64-FZ64)/(1+VATRate)),FS64/(1+VATRate)),FS64)</f>
        <v/>
      </c>
      <c r="FW64" s="12">
        <f>FS64-FV64</f>
        <v/>
      </c>
      <c r="FX64" s="12">
        <f>IF(FU64=0,0,IF(EP64=1,SUMPRODUCT(--(($EQ$5:$EQ64=$EQ64-1)*($EP$5:$EP64&gt;=10)*($EP$5:$EP64&lt;=12)),$FW$5:$FW64),IF(EP64=4,SUMPRODUCT(--(($EQ$5:$EQ64=$EQ64)*($EP$5:$EP64&gt;=1)*($EP$5:$EP64&lt;=3)),$FW$5:$FW64),IF(EP64=7,SUMPRODUCT(--(($EQ$5:$EQ64=$EQ64)*($EP$5:$EP64&gt;=4)*($EP$5:$EP64&lt;=6)),$FW$5:$FW64),IF(EP64=10,SUMPRODUCT(--(($EQ$5:$EQ64=$EQ64)*($EP$5:$EP64&gt;=7)*($EP$5:$EP64&lt;=9)),$FW$5:$FW64),0)))))</f>
        <v/>
      </c>
      <c r="FY64" s="12">
        <f>FY63+FW64-FX64</f>
        <v/>
      </c>
      <c r="FZ64" s="12">
        <f>IF(ProviderDelay&gt;=1,FG63*BlendedProvPayEss+FH63*BlendedProvPayPrem+FI63*BlendedProvPayElite+FJ63*BlendedProvPayEss+FK63*BlendedProvPayPrem+FL63*BlendedProvPayElite,FG64*BlendedProvPayEss+FH64*BlendedProvPayPrem+FI64*BlendedProvPayElite+FJ64*BlendedProvPayEss+FK64*BlendedProvPayPrem+FL64*BlendedProvPayElite)</f>
        <v/>
      </c>
      <c r="GA64" s="12">
        <f>FS64*PaymentFee</f>
        <v/>
      </c>
      <c r="GB64" s="12">
        <f>FM64*OpsAI</f>
        <v/>
      </c>
      <c r="GC64" s="12">
        <f>MonthlyFixed</f>
        <v/>
      </c>
      <c r="GD64" s="12">
        <f>EW64*ReferralReward</f>
        <v/>
      </c>
      <c r="GE64" s="12">
        <f>EU64</f>
        <v/>
      </c>
      <c r="GF64" s="9">
        <f>FV64-FZ64-GA64-GB64-GC64-GD64-GE64</f>
        <v/>
      </c>
      <c r="GG64" s="9">
        <f>GG63+FS64-(FZ64+GA64+GB64+GC64+GD64+GE64+FX64)</f>
        <v/>
      </c>
      <c r="GH64" s="12">
        <f>IF(FM64&gt;0,FN64/FM64,0)</f>
        <v/>
      </c>
      <c r="GI64" s="11">
        <f>IF(FM63&gt;0,MAX(0,(FM63+EX64-FM64)/FM63),0)</f>
        <v/>
      </c>
      <c r="GK64" s="12" t="n">
        <v>60</v>
      </c>
      <c r="GL64" s="12">
        <f>MOD(GK64-1+LaunchMonth-1,12)+1</f>
        <v/>
      </c>
      <c r="GM64" s="12">
        <f>INT((GK64-1+LaunchMonth-1)/12)+1</f>
        <v/>
      </c>
      <c r="GN64" s="12">
        <f>VLOOKUP(GL64,SeasonTable,2,FALSE)</f>
        <v/>
      </c>
      <c r="GO64" s="12">
        <f>(1+InflationRate)^INT((GK64-1)/12)</f>
        <v/>
      </c>
      <c r="GP64" s="11">
        <f>'Sens - Churn'!$A$14*VLOOKUP(GL64,ChurnSeasonTable,4,FALSE)</f>
        <v/>
      </c>
      <c r="GQ64" s="12">
        <f>MIN(MAX(MktMin19plus,HO63*MktPct19plus),MAX(0,IC63-CashBuffer))</f>
        <v/>
      </c>
      <c r="GR64" s="12">
        <f>IF(GQ64&gt;0,MAX(1,ROUND(GQ64/CAC*GN64,0)),0)</f>
        <v/>
      </c>
      <c r="GS64" s="12">
        <f>IF(GR64&gt;0,ROUND(GR64*ReferralMix/(1-ReferralMix),0),0)</f>
        <v/>
      </c>
      <c r="GT64" s="12">
        <f>GR64+GS64</f>
        <v/>
      </c>
      <c r="GU64" s="12">
        <f>ROUND(GT64*(1-AnnualMix),0)</f>
        <v/>
      </c>
      <c r="GV64" s="12">
        <f>GT64-GU64</f>
        <v/>
      </c>
      <c r="GW64" s="12">
        <f>ROUND(GU64*EssentialMix,0)</f>
        <v/>
      </c>
      <c r="GX64" s="12">
        <f>ROUND(GU64*PremiumMix,0)</f>
        <v/>
      </c>
      <c r="GY64" s="12">
        <f>GU64-GW64-GX64</f>
        <v/>
      </c>
      <c r="GZ64" s="12">
        <f>ROUND(GV64*EssentialMix,0)</f>
        <v/>
      </c>
      <c r="HA64" s="12">
        <f>ROUND(GV64*PremiumMix,0)</f>
        <v/>
      </c>
      <c r="HB64" s="12">
        <f>GV64-GZ64-HA64</f>
        <v/>
      </c>
      <c r="HC64" s="12">
        <f>GW64+GW63+GW62+MAX(0,HC63-GW63-GW62)*(1-GP64)</f>
        <v/>
      </c>
      <c r="HD64" s="12">
        <f>GX64+GX63+GX62+MAX(0,HD63-GX63-GX62)*(1-GP64)</f>
        <v/>
      </c>
      <c r="HE64" s="12">
        <f>GY64+GY63+GY62+MAX(0,HE63-GY63-GY62)*(1-GP64)</f>
        <v/>
      </c>
      <c r="HF64" s="12">
        <f>HF63+GZ64-GZ52*(AnnualChurn*VLOOKUP(GL64,ChurnSeasonTable,4,FALSE))*POWER(1-(AnnualChurn*VLOOKUP(GL64,ChurnSeasonTable,4,FALSE)),0)+GZ40*(AnnualChurn*VLOOKUP(GL64,ChurnSeasonTable,4,FALSE))*POWER(1-(AnnualChurn*VLOOKUP(GL64,ChurnSeasonTable,4,FALSE)),1)+GZ28*(AnnualChurn*VLOOKUP(GL64,ChurnSeasonTable,4,FALSE))*POWER(1-(AnnualChurn*VLOOKUP(GL64,ChurnSeasonTable,4,FALSE)),2)+GZ16*(AnnualChurn*VLOOKUP(GL64,ChurnSeasonTable,4,FALSE))*POWER(1-(AnnualChurn*VLOOKUP(GL64,ChurnSeasonTable,4,FALSE)),3)</f>
        <v/>
      </c>
      <c r="HG64" s="12">
        <f>HG63+HA64-HA52*(AnnualChurn*VLOOKUP(GL64,ChurnSeasonTable,4,FALSE))*POWER(1-(AnnualChurn*VLOOKUP(GL64,ChurnSeasonTable,4,FALSE)),0)+HA40*(AnnualChurn*VLOOKUP(GL64,ChurnSeasonTable,4,FALSE))*POWER(1-(AnnualChurn*VLOOKUP(GL64,ChurnSeasonTable,4,FALSE)),1)+HA28*(AnnualChurn*VLOOKUP(GL64,ChurnSeasonTable,4,FALSE))*POWER(1-(AnnualChurn*VLOOKUP(GL64,ChurnSeasonTable,4,FALSE)),2)+HA16*(AnnualChurn*VLOOKUP(GL64,ChurnSeasonTable,4,FALSE))*POWER(1-(AnnualChurn*VLOOKUP(GL64,ChurnSeasonTable,4,FALSE)),3)</f>
        <v/>
      </c>
      <c r="HH64" s="12">
        <f>HH63+HB64-HB52*(AnnualChurn*VLOOKUP(GL64,ChurnSeasonTable,4,FALSE))*POWER(1-(AnnualChurn*VLOOKUP(GL64,ChurnSeasonTable,4,FALSE)),0)+HB40*(AnnualChurn*VLOOKUP(GL64,ChurnSeasonTable,4,FALSE))*POWER(1-(AnnualChurn*VLOOKUP(GL64,ChurnSeasonTable,4,FALSE)),1)+HB28*(AnnualChurn*VLOOKUP(GL64,ChurnSeasonTable,4,FALSE))*POWER(1-(AnnualChurn*VLOOKUP(GL64,ChurnSeasonTable,4,FALSE)),2)+HB16*(AnnualChurn*VLOOKUP(GL64,ChurnSeasonTable,4,FALSE))*POWER(1-(AnnualChurn*VLOOKUP(GL64,ChurnSeasonTable,4,FALSE)),3)</f>
        <v/>
      </c>
      <c r="HI64" s="12">
        <f>HC64+HD64+HE64+HF64+HG64+HH64</f>
        <v/>
      </c>
      <c r="HJ64" s="9">
        <f>HC64*BlendedPriceEssMonthly*GO64+HD64*BlendedPricePremMonthly*GO64+HE64*BlendedPriceEliteMonthly*GO64+HF64*BlendedPriceEssAnnual*GO64/12+HG64*BlendedPricePremAnnual*GO64/12+HH64*BlendedPriceEliteAnnual*GO64/12</f>
        <v/>
      </c>
      <c r="HK64" s="9">
        <f>HJ64*12</f>
        <v/>
      </c>
      <c r="HL64" s="12">
        <f>HC64*BlendedPriceEssMonthly*GO64+HD64*BlendedPricePremMonthly*GO64+HE64*BlendedPriceEliteMonthly*GO64</f>
        <v/>
      </c>
      <c r="HM64" s="12">
        <f>GZ64*BlendedPriceEssAnnual*GO64+HA64*BlendedPricePremAnnual*GO64+HB64*BlendedPriceEliteAnnual*GO64</f>
        <v/>
      </c>
      <c r="HN64" s="12">
        <f>GZ52*POWER(1-(AnnualChurn*VLOOKUP(GL64,ChurnSeasonTable,4,FALSE)),1)*BlendedPriceEssAnnual*GO64+GZ40*POWER(1-(AnnualChurn*VLOOKUP(GL64,ChurnSeasonTable,4,FALSE)),2)*BlendedPriceEssAnnual*GO64+GZ28*POWER(1-(AnnualChurn*VLOOKUP(GL64,ChurnSeasonTable,4,FALSE)),3)*BlendedPriceEssAnnual*GO64+GZ16*POWER(1-(AnnualChurn*VLOOKUP(GL64,ChurnSeasonTable,4,FALSE)),4)*BlendedPriceEssAnnual*GO64+HA52*POWER(1-(AnnualChurn*VLOOKUP(GL64,ChurnSeasonTable,4,FALSE)),1)*BlendedPricePremAnnual*GO64+HA40*POWER(1-(AnnualChurn*VLOOKUP(GL64,ChurnSeasonTable,4,FALSE)),2)*BlendedPricePremAnnual*GO64+HA28*POWER(1-(AnnualChurn*VLOOKUP(GL64,ChurnSeasonTable,4,FALSE)),3)*BlendedPricePremAnnual*GO64+HA16*POWER(1-(AnnualChurn*VLOOKUP(GL64,ChurnSeasonTable,4,FALSE)),4)*BlendedPricePremAnnual*GO64+HB52*POWER(1-(AnnualChurn*VLOOKUP(GL64,ChurnSeasonTable,4,FALSE)),1)*BlendedPriceEliteAnnual*GO64+HB40*POWER(1-(AnnualChurn*VLOOKUP(GL64,ChurnSeasonTable,4,FALSE)),2)*BlendedPriceEliteAnnual*GO64+HB28*POWER(1-(AnnualChurn*VLOOKUP(GL64,ChurnSeasonTable,4,FALSE)),3)*BlendedPriceEliteAnnual*GO64+HB16*POWER(1-(AnnualChurn*VLOOKUP(GL64,ChurnSeasonTable,4,FALSE)),4)*BlendedPriceEliteAnnual*GO64</f>
        <v/>
      </c>
      <c r="HO64" s="9">
        <f>HL64+HM64+HN64</f>
        <v/>
      </c>
      <c r="HP64" s="12">
        <f>SUM(HO53:HO64)</f>
        <v/>
      </c>
      <c r="HQ64" s="12">
        <f>OR(HQ63,IF(VATAgentMode,SUM($HO53:$HO64)-SUM($HV53:$HV64)&gt;=VATThreshold,SUM($HO53:$HO64)&gt;=VATThreshold))</f>
        <v/>
      </c>
      <c r="HR64" s="9">
        <f>IF(HQ64,IF(VATAgentMode,HO64-((HO64-HV64)-(HO64-HV64)/(1+VATRate)),HO64/(1+VATRate)),HO64)</f>
        <v/>
      </c>
      <c r="HS64" s="12">
        <f>HO64-HR64</f>
        <v/>
      </c>
      <c r="HT64" s="12">
        <f>IF(HQ64=0,0,IF(GL64=1,SUMPRODUCT(--(($GM$5:$GM64=$GM64-1)*($GL$5:$GL64&gt;=10)*($GL$5:$GL64&lt;=12)),$HS$5:$HS64),IF(GL64=4,SUMPRODUCT(--(($GM$5:$GM64=$GM64)*($GL$5:$GL64&gt;=1)*($GL$5:$GL64&lt;=3)),$HS$5:$HS64),IF(GL64=7,SUMPRODUCT(--(($GM$5:$GM64=$GM64)*($GL$5:$GL64&gt;=4)*($GL$5:$GL64&lt;=6)),$HS$5:$HS64),IF(GL64=10,SUMPRODUCT(--(($GM$5:$GM64=$GM64)*($GL$5:$GL64&gt;=7)*($GL$5:$GL64&lt;=9)),$HS$5:$HS64),0)))))</f>
        <v/>
      </c>
      <c r="HU64" s="12">
        <f>HU63+HS64-HT64</f>
        <v/>
      </c>
      <c r="HV64" s="12">
        <f>IF(ProviderDelay&gt;=1,HC63*BlendedProvPayEss+HD63*BlendedProvPayPrem+HE63*BlendedProvPayElite+HF63*BlendedProvPayEss+HG63*BlendedProvPayPrem+HH63*BlendedProvPayElite,HC64*BlendedProvPayEss+HD64*BlendedProvPayPrem+HE64*BlendedProvPayElite+HF64*BlendedProvPayEss+HG64*BlendedProvPayPrem+HH64*BlendedProvPayElite)</f>
        <v/>
      </c>
      <c r="HW64" s="12">
        <f>HO64*PaymentFee</f>
        <v/>
      </c>
      <c r="HX64" s="12">
        <f>HI64*OpsAI</f>
        <v/>
      </c>
      <c r="HY64" s="12">
        <f>MonthlyFixed</f>
        <v/>
      </c>
      <c r="HZ64" s="12">
        <f>GS64*ReferralReward</f>
        <v/>
      </c>
      <c r="IA64" s="12">
        <f>GQ64</f>
        <v/>
      </c>
      <c r="IB64" s="9">
        <f>HR64-HV64-HW64-HX64-HY64-HZ64-IA64</f>
        <v/>
      </c>
      <c r="IC64" s="9">
        <f>IC63+HO64-(HV64+HW64+HX64+HY64+HZ64+IA64+HT64)</f>
        <v/>
      </c>
      <c r="ID64" s="12">
        <f>IF(HI64&gt;0,HJ64/HI64,0)</f>
        <v/>
      </c>
      <c r="IE64" s="11">
        <f>IF(HI63&gt;0,MAX(0,(HI63+GT64-HI64)/HI63),0)</f>
        <v/>
      </c>
      <c r="IG64" s="12" t="n">
        <v>60</v>
      </c>
      <c r="IH64" s="12">
        <f>MOD(IG64-1+LaunchMonth-1,12)+1</f>
        <v/>
      </c>
      <c r="II64" s="12">
        <f>INT((IG64-1+LaunchMonth-1)/12)+1</f>
        <v/>
      </c>
      <c r="IJ64" s="12">
        <f>VLOOKUP(IH64,SeasonTable,2,FALSE)</f>
        <v/>
      </c>
      <c r="IK64" s="12">
        <f>(1+InflationRate)^INT((IG64-1)/12)</f>
        <v/>
      </c>
      <c r="IL64" s="11">
        <f>'Sens - Churn'!$A$15*VLOOKUP(IH64,ChurnSeasonTable,4,FALSE)</f>
        <v/>
      </c>
      <c r="IM64" s="12">
        <f>MIN(MAX(MktMin19plus,JK63*MktPct19plus),MAX(0,JY63-CashBuffer))</f>
        <v/>
      </c>
      <c r="IN64" s="12">
        <f>IF(IM64&gt;0,MAX(1,ROUND(IM64/CAC*IJ64,0)),0)</f>
        <v/>
      </c>
      <c r="IO64" s="12">
        <f>IF(IN64&gt;0,ROUND(IN64*ReferralMix/(1-ReferralMix),0),0)</f>
        <v/>
      </c>
      <c r="IP64" s="12">
        <f>IN64+IO64</f>
        <v/>
      </c>
      <c r="IQ64" s="12">
        <f>ROUND(IP64*(1-AnnualMix),0)</f>
        <v/>
      </c>
      <c r="IR64" s="12">
        <f>IP64-IQ64</f>
        <v/>
      </c>
      <c r="IS64" s="12">
        <f>ROUND(IQ64*EssentialMix,0)</f>
        <v/>
      </c>
      <c r="IT64" s="12">
        <f>ROUND(IQ64*PremiumMix,0)</f>
        <v/>
      </c>
      <c r="IU64" s="12">
        <f>IQ64-IS64-IT64</f>
        <v/>
      </c>
      <c r="IV64" s="12">
        <f>ROUND(IR64*EssentialMix,0)</f>
        <v/>
      </c>
      <c r="IW64" s="12">
        <f>ROUND(IR64*PremiumMix,0)</f>
        <v/>
      </c>
      <c r="IX64" s="12">
        <f>IR64-IV64-IW64</f>
        <v/>
      </c>
      <c r="IY64" s="12">
        <f>IS64+IS63+IS62+MAX(0,IY63-IS63-IS62)*(1-IL64)</f>
        <v/>
      </c>
      <c r="IZ64" s="12">
        <f>IT64+IT63+IT62+MAX(0,IZ63-IT63-IT62)*(1-IL64)</f>
        <v/>
      </c>
      <c r="JA64" s="12">
        <f>IU64+IU63+IU62+MAX(0,JA63-IU63-IU62)*(1-IL64)</f>
        <v/>
      </c>
      <c r="JB64" s="12">
        <f>JB63+IV64-IV52*(AnnualChurn*VLOOKUP(IH64,ChurnSeasonTable,4,FALSE))*POWER(1-(AnnualChurn*VLOOKUP(IH64,ChurnSeasonTable,4,FALSE)),0)+IV40*(AnnualChurn*VLOOKUP(IH64,ChurnSeasonTable,4,FALSE))*POWER(1-(AnnualChurn*VLOOKUP(IH64,ChurnSeasonTable,4,FALSE)),1)+IV28*(AnnualChurn*VLOOKUP(IH64,ChurnSeasonTable,4,FALSE))*POWER(1-(AnnualChurn*VLOOKUP(IH64,ChurnSeasonTable,4,FALSE)),2)+IV16*(AnnualChurn*VLOOKUP(IH64,ChurnSeasonTable,4,FALSE))*POWER(1-(AnnualChurn*VLOOKUP(IH64,ChurnSeasonTable,4,FALSE)),3)</f>
        <v/>
      </c>
      <c r="JC64" s="12">
        <f>JC63+IW64-IW52*(AnnualChurn*VLOOKUP(IH64,ChurnSeasonTable,4,FALSE))*POWER(1-(AnnualChurn*VLOOKUP(IH64,ChurnSeasonTable,4,FALSE)),0)+IW40*(AnnualChurn*VLOOKUP(IH64,ChurnSeasonTable,4,FALSE))*POWER(1-(AnnualChurn*VLOOKUP(IH64,ChurnSeasonTable,4,FALSE)),1)+IW28*(AnnualChurn*VLOOKUP(IH64,ChurnSeasonTable,4,FALSE))*POWER(1-(AnnualChurn*VLOOKUP(IH64,ChurnSeasonTable,4,FALSE)),2)+IW16*(AnnualChurn*VLOOKUP(IH64,ChurnSeasonTable,4,FALSE))*POWER(1-(AnnualChurn*VLOOKUP(IH64,ChurnSeasonTable,4,FALSE)),3)</f>
        <v/>
      </c>
      <c r="JD64" s="12">
        <f>JD63+IX64-IX52*(AnnualChurn*VLOOKUP(IH64,ChurnSeasonTable,4,FALSE))*POWER(1-(AnnualChurn*VLOOKUP(IH64,ChurnSeasonTable,4,FALSE)),0)+IX40*(AnnualChurn*VLOOKUP(IH64,ChurnSeasonTable,4,FALSE))*POWER(1-(AnnualChurn*VLOOKUP(IH64,ChurnSeasonTable,4,FALSE)),1)+IX28*(AnnualChurn*VLOOKUP(IH64,ChurnSeasonTable,4,FALSE))*POWER(1-(AnnualChurn*VLOOKUP(IH64,ChurnSeasonTable,4,FALSE)),2)+IX16*(AnnualChurn*VLOOKUP(IH64,ChurnSeasonTable,4,FALSE))*POWER(1-(AnnualChurn*VLOOKUP(IH64,ChurnSeasonTable,4,FALSE)),3)</f>
        <v/>
      </c>
      <c r="JE64" s="12">
        <f>IY64+IZ64+JA64+JB64+JC64+JD64</f>
        <v/>
      </c>
      <c r="JF64" s="9">
        <f>IY64*BlendedPriceEssMonthly*IK64+IZ64*BlendedPricePremMonthly*IK64+JA64*BlendedPriceEliteMonthly*IK64+JB64*BlendedPriceEssAnnual*IK64/12+JC64*BlendedPricePremAnnual*IK64/12+JD64*BlendedPriceEliteAnnual*IK64/12</f>
        <v/>
      </c>
      <c r="JG64" s="9">
        <f>JF64*12</f>
        <v/>
      </c>
      <c r="JH64" s="12">
        <f>IY64*BlendedPriceEssMonthly*IK64+IZ64*BlendedPricePremMonthly*IK64+JA64*BlendedPriceEliteMonthly*IK64</f>
        <v/>
      </c>
      <c r="JI64" s="12">
        <f>IV64*BlendedPriceEssAnnual*IK64+IW64*BlendedPricePremAnnual*IK64+IX64*BlendedPriceEliteAnnual*IK64</f>
        <v/>
      </c>
      <c r="JJ64" s="12">
        <f>IV52*POWER(1-(AnnualChurn*VLOOKUP(IH64,ChurnSeasonTable,4,FALSE)),1)*BlendedPriceEssAnnual*IK64+IV40*POWER(1-(AnnualChurn*VLOOKUP(IH64,ChurnSeasonTable,4,FALSE)),2)*BlendedPriceEssAnnual*IK64+IV28*POWER(1-(AnnualChurn*VLOOKUP(IH64,ChurnSeasonTable,4,FALSE)),3)*BlendedPriceEssAnnual*IK64+IV16*POWER(1-(AnnualChurn*VLOOKUP(IH64,ChurnSeasonTable,4,FALSE)),4)*BlendedPriceEssAnnual*IK64+IW52*POWER(1-(AnnualChurn*VLOOKUP(IH64,ChurnSeasonTable,4,FALSE)),1)*BlendedPricePremAnnual*IK64+IW40*POWER(1-(AnnualChurn*VLOOKUP(IH64,ChurnSeasonTable,4,FALSE)),2)*BlendedPricePremAnnual*IK64+IW28*POWER(1-(AnnualChurn*VLOOKUP(IH64,ChurnSeasonTable,4,FALSE)),3)*BlendedPricePremAnnual*IK64+IW16*POWER(1-(AnnualChurn*VLOOKUP(IH64,ChurnSeasonTable,4,FALSE)),4)*BlendedPricePremAnnual*IK64+IX52*POWER(1-(AnnualChurn*VLOOKUP(IH64,ChurnSeasonTable,4,FALSE)),1)*BlendedPriceEliteAnnual*IK64+IX40*POWER(1-(AnnualChurn*VLOOKUP(IH64,ChurnSeasonTable,4,FALSE)),2)*BlendedPriceEliteAnnual*IK64+IX28*POWER(1-(AnnualChurn*VLOOKUP(IH64,ChurnSeasonTable,4,FALSE)),3)*BlendedPriceEliteAnnual*IK64+IX16*POWER(1-(AnnualChurn*VLOOKUP(IH64,ChurnSeasonTable,4,FALSE)),4)*BlendedPriceEliteAnnual*IK64</f>
        <v/>
      </c>
      <c r="JK64" s="9">
        <f>JH64+JI64+JJ64</f>
        <v/>
      </c>
      <c r="JL64" s="12">
        <f>SUM(JK53:JK64)</f>
        <v/>
      </c>
      <c r="JM64" s="12">
        <f>OR(JM63,IF(VATAgentMode,SUM($JK53:$JK64)-SUM($JR53:$JR64)&gt;=VATThreshold,SUM($JK53:$JK64)&gt;=VATThreshold))</f>
        <v/>
      </c>
      <c r="JN64" s="9">
        <f>IF(JM64,IF(VATAgentMode,JK64-((JK64-JR64)-(JK64-JR64)/(1+VATRate)),JK64/(1+VATRate)),JK64)</f>
        <v/>
      </c>
      <c r="JO64" s="12">
        <f>JK64-JN64</f>
        <v/>
      </c>
      <c r="JP64" s="12">
        <f>IF(JM64=0,0,IF(IH64=1,SUMPRODUCT(--(($II$5:$II64=$II64-1)*($IH$5:$IH64&gt;=10)*($IH$5:$IH64&lt;=12)),$JO$5:$JO64),IF(IH64=4,SUMPRODUCT(--(($II$5:$II64=$II64)*($IH$5:$IH64&gt;=1)*($IH$5:$IH64&lt;=3)),$JO$5:$JO64),IF(IH64=7,SUMPRODUCT(--(($II$5:$II64=$II64)*($IH$5:$IH64&gt;=4)*($IH$5:$IH64&lt;=6)),$JO$5:$JO64),IF(IH64=10,SUMPRODUCT(--(($II$5:$II64=$II64)*($IH$5:$IH64&gt;=7)*($IH$5:$IH64&lt;=9)),$JO$5:$JO64),0)))))</f>
        <v/>
      </c>
      <c r="JQ64" s="12">
        <f>JQ63+JO64-JP64</f>
        <v/>
      </c>
      <c r="JR64" s="12">
        <f>IF(ProviderDelay&gt;=1,IY63*BlendedProvPayEss+IZ63*BlendedProvPayPrem+JA63*BlendedProvPayElite+JB63*BlendedProvPayEss+JC63*BlendedProvPayPrem+JD63*BlendedProvPayElite,IY64*BlendedProvPayEss+IZ64*BlendedProvPayPrem+JA64*BlendedProvPayElite+JB64*BlendedProvPayEss+JC64*BlendedProvPayPrem+JD64*BlendedProvPayElite)</f>
        <v/>
      </c>
      <c r="JS64" s="12">
        <f>JK64*PaymentFee</f>
        <v/>
      </c>
      <c r="JT64" s="12">
        <f>JE64*OpsAI</f>
        <v/>
      </c>
      <c r="JU64" s="12">
        <f>MonthlyFixed</f>
        <v/>
      </c>
      <c r="JV64" s="12">
        <f>IO64*ReferralReward</f>
        <v/>
      </c>
      <c r="JW64" s="12">
        <f>IM64</f>
        <v/>
      </c>
      <c r="JX64" s="9">
        <f>JN64-JR64-JS64-JT64-JU64-JV64-JW64</f>
        <v/>
      </c>
      <c r="JY64" s="9">
        <f>JY63+JK64-(JR64+JS64+JT64+JU64+JV64+JW64+JP64)</f>
        <v/>
      </c>
      <c r="JZ64" s="12">
        <f>IF(JE64&gt;0,JF64/JE64,0)</f>
        <v/>
      </c>
      <c r="KA64" s="11">
        <f>IF(JE63&gt;0,MAX(0,(JE63+IP64-JE64)/JE63),0)</f>
        <v/>
      </c>
      <c r="KC64" s="12" t="n">
        <v>60</v>
      </c>
      <c r="KD64" s="12">
        <f>MOD(KC64-1+LaunchMonth-1,12)+1</f>
        <v/>
      </c>
      <c r="KE64" s="12">
        <f>INT((KC64-1+LaunchMonth-1)/12)+1</f>
        <v/>
      </c>
      <c r="KF64" s="12">
        <f>VLOOKUP(KD64,SeasonTable,2,FALSE)</f>
        <v/>
      </c>
      <c r="KG64" s="12">
        <f>(1+InflationRate)^INT((KC64-1)/12)</f>
        <v/>
      </c>
      <c r="KH64" s="11">
        <f>'Sens - Churn'!$A$16*VLOOKUP(KD64,ChurnSeasonTable,4,FALSE)</f>
        <v/>
      </c>
      <c r="KI64" s="12">
        <f>MIN(MAX(MktMin19plus,LG63*MktPct19plus),MAX(0,LU63-CashBuffer))</f>
        <v/>
      </c>
      <c r="KJ64" s="12">
        <f>IF(KI64&gt;0,MAX(1,ROUND(KI64/CAC*KF64,0)),0)</f>
        <v/>
      </c>
      <c r="KK64" s="12">
        <f>IF(KJ64&gt;0,ROUND(KJ64*ReferralMix/(1-ReferralMix),0),0)</f>
        <v/>
      </c>
      <c r="KL64" s="12">
        <f>KJ64+KK64</f>
        <v/>
      </c>
      <c r="KM64" s="12">
        <f>ROUND(KL64*(1-AnnualMix),0)</f>
        <v/>
      </c>
      <c r="KN64" s="12">
        <f>KL64-KM64</f>
        <v/>
      </c>
      <c r="KO64" s="12">
        <f>ROUND(KM64*EssentialMix,0)</f>
        <v/>
      </c>
      <c r="KP64" s="12">
        <f>ROUND(KM64*PremiumMix,0)</f>
        <v/>
      </c>
      <c r="KQ64" s="12">
        <f>KM64-KO64-KP64</f>
        <v/>
      </c>
      <c r="KR64" s="12">
        <f>ROUND(KN64*EssentialMix,0)</f>
        <v/>
      </c>
      <c r="KS64" s="12">
        <f>ROUND(KN64*PremiumMix,0)</f>
        <v/>
      </c>
      <c r="KT64" s="12">
        <f>KN64-KR64-KS64</f>
        <v/>
      </c>
      <c r="KU64" s="12">
        <f>KO64+KO63+KO62+MAX(0,KU63-KO63-KO62)*(1-KH64)</f>
        <v/>
      </c>
      <c r="KV64" s="12">
        <f>KP64+KP63+KP62+MAX(0,KV63-KP63-KP62)*(1-KH64)</f>
        <v/>
      </c>
      <c r="KW64" s="12">
        <f>KQ64+KQ63+KQ62+MAX(0,KW63-KQ63-KQ62)*(1-KH64)</f>
        <v/>
      </c>
      <c r="KX64" s="12">
        <f>KX63+KR64-KR52*(AnnualChurn*VLOOKUP(KD64,ChurnSeasonTable,4,FALSE))*POWER(1-(AnnualChurn*VLOOKUP(KD64,ChurnSeasonTable,4,FALSE)),0)+KR40*(AnnualChurn*VLOOKUP(KD64,ChurnSeasonTable,4,FALSE))*POWER(1-(AnnualChurn*VLOOKUP(KD64,ChurnSeasonTable,4,FALSE)),1)+KR28*(AnnualChurn*VLOOKUP(KD64,ChurnSeasonTable,4,FALSE))*POWER(1-(AnnualChurn*VLOOKUP(KD64,ChurnSeasonTable,4,FALSE)),2)+KR16*(AnnualChurn*VLOOKUP(KD64,ChurnSeasonTable,4,FALSE))*POWER(1-(AnnualChurn*VLOOKUP(KD64,ChurnSeasonTable,4,FALSE)),3)</f>
        <v/>
      </c>
      <c r="KY64" s="12">
        <f>KY63+KS64-KS52*(AnnualChurn*VLOOKUP(KD64,ChurnSeasonTable,4,FALSE))*POWER(1-(AnnualChurn*VLOOKUP(KD64,ChurnSeasonTable,4,FALSE)),0)+KS40*(AnnualChurn*VLOOKUP(KD64,ChurnSeasonTable,4,FALSE))*POWER(1-(AnnualChurn*VLOOKUP(KD64,ChurnSeasonTable,4,FALSE)),1)+KS28*(AnnualChurn*VLOOKUP(KD64,ChurnSeasonTable,4,FALSE))*POWER(1-(AnnualChurn*VLOOKUP(KD64,ChurnSeasonTable,4,FALSE)),2)+KS16*(AnnualChurn*VLOOKUP(KD64,ChurnSeasonTable,4,FALSE))*POWER(1-(AnnualChurn*VLOOKUP(KD64,ChurnSeasonTable,4,FALSE)),3)</f>
        <v/>
      </c>
      <c r="KZ64" s="12">
        <f>KZ63+KT64-KT52*(AnnualChurn*VLOOKUP(KD64,ChurnSeasonTable,4,FALSE))*POWER(1-(AnnualChurn*VLOOKUP(KD64,ChurnSeasonTable,4,FALSE)),0)+KT40*(AnnualChurn*VLOOKUP(KD64,ChurnSeasonTable,4,FALSE))*POWER(1-(AnnualChurn*VLOOKUP(KD64,ChurnSeasonTable,4,FALSE)),1)+KT28*(AnnualChurn*VLOOKUP(KD64,ChurnSeasonTable,4,FALSE))*POWER(1-(AnnualChurn*VLOOKUP(KD64,ChurnSeasonTable,4,FALSE)),2)+KT16*(AnnualChurn*VLOOKUP(KD64,ChurnSeasonTable,4,FALSE))*POWER(1-(AnnualChurn*VLOOKUP(KD64,ChurnSeasonTable,4,FALSE)),3)</f>
        <v/>
      </c>
      <c r="LA64" s="12">
        <f>KU64+KV64+KW64+KX64+KY64+KZ64</f>
        <v/>
      </c>
      <c r="LB64" s="9">
        <f>KU64*BlendedPriceEssMonthly*KG64+KV64*BlendedPricePremMonthly*KG64+KW64*BlendedPriceEliteMonthly*KG64+KX64*BlendedPriceEssAnnual*KG64/12+KY64*BlendedPricePremAnnual*KG64/12+KZ64*BlendedPriceEliteAnnual*KG64/12</f>
        <v/>
      </c>
      <c r="LC64" s="9">
        <f>LB64*12</f>
        <v/>
      </c>
      <c r="LD64" s="12">
        <f>KU64*BlendedPriceEssMonthly*KG64+KV64*BlendedPricePremMonthly*KG64+KW64*BlendedPriceEliteMonthly*KG64</f>
        <v/>
      </c>
      <c r="LE64" s="12">
        <f>KR64*BlendedPriceEssAnnual*KG64+KS64*BlendedPricePremAnnual*KG64+KT64*BlendedPriceEliteAnnual*KG64</f>
        <v/>
      </c>
      <c r="LF64" s="12">
        <f>KR52*POWER(1-(AnnualChurn*VLOOKUP(KD64,ChurnSeasonTable,4,FALSE)),1)*BlendedPriceEssAnnual*KG64+KR40*POWER(1-(AnnualChurn*VLOOKUP(KD64,ChurnSeasonTable,4,FALSE)),2)*BlendedPriceEssAnnual*KG64+KR28*POWER(1-(AnnualChurn*VLOOKUP(KD64,ChurnSeasonTable,4,FALSE)),3)*BlendedPriceEssAnnual*KG64+KR16*POWER(1-(AnnualChurn*VLOOKUP(KD64,ChurnSeasonTable,4,FALSE)),4)*BlendedPriceEssAnnual*KG64+KS52*POWER(1-(AnnualChurn*VLOOKUP(KD64,ChurnSeasonTable,4,FALSE)),1)*BlendedPricePremAnnual*KG64+KS40*POWER(1-(AnnualChurn*VLOOKUP(KD64,ChurnSeasonTable,4,FALSE)),2)*BlendedPricePremAnnual*KG64+KS28*POWER(1-(AnnualChurn*VLOOKUP(KD64,ChurnSeasonTable,4,FALSE)),3)*BlendedPricePremAnnual*KG64+KS16*POWER(1-(AnnualChurn*VLOOKUP(KD64,ChurnSeasonTable,4,FALSE)),4)*BlendedPricePremAnnual*KG64+KT52*POWER(1-(AnnualChurn*VLOOKUP(KD64,ChurnSeasonTable,4,FALSE)),1)*BlendedPriceEliteAnnual*KG64+KT40*POWER(1-(AnnualChurn*VLOOKUP(KD64,ChurnSeasonTable,4,FALSE)),2)*BlendedPriceEliteAnnual*KG64+KT28*POWER(1-(AnnualChurn*VLOOKUP(KD64,ChurnSeasonTable,4,FALSE)),3)*BlendedPriceEliteAnnual*KG64+KT16*POWER(1-(AnnualChurn*VLOOKUP(KD64,ChurnSeasonTable,4,FALSE)),4)*BlendedPriceEliteAnnual*KG64</f>
        <v/>
      </c>
      <c r="LG64" s="9">
        <f>LD64+LE64+LF64</f>
        <v/>
      </c>
      <c r="LH64" s="12">
        <f>SUM(LG53:LG64)</f>
        <v/>
      </c>
      <c r="LI64" s="12">
        <f>OR(LI63,IF(VATAgentMode,SUM($LG53:$LG64)-SUM($LN53:$LN64)&gt;=VATThreshold,SUM($LG53:$LG64)&gt;=VATThreshold))</f>
        <v/>
      </c>
      <c r="LJ64" s="9">
        <f>IF(LI64,IF(VATAgentMode,LG64-((LG64-LN64)-(LG64-LN64)/(1+VATRate)),LG64/(1+VATRate)),LG64)</f>
        <v/>
      </c>
      <c r="LK64" s="12">
        <f>LG64-LJ64</f>
        <v/>
      </c>
      <c r="LL64" s="12">
        <f>IF(LI64=0,0,IF(KD64=1,SUMPRODUCT(--(($KE$5:$KE64=$KE64-1)*($KD$5:$KD64&gt;=10)*($KD$5:$KD64&lt;=12)),$LK$5:$LK64),IF(KD64=4,SUMPRODUCT(--(($KE$5:$KE64=$KE64)*($KD$5:$KD64&gt;=1)*($KD$5:$KD64&lt;=3)),$LK$5:$LK64),IF(KD64=7,SUMPRODUCT(--(($KE$5:$KE64=$KE64)*($KD$5:$KD64&gt;=4)*($KD$5:$KD64&lt;=6)),$LK$5:$LK64),IF(KD64=10,SUMPRODUCT(--(($KE$5:$KE64=$KE64)*($KD$5:$KD64&gt;=7)*($KD$5:$KD64&lt;=9)),$LK$5:$LK64),0)))))</f>
        <v/>
      </c>
      <c r="LM64" s="12">
        <f>LM63+LK64-LL64</f>
        <v/>
      </c>
      <c r="LN64" s="12">
        <f>IF(ProviderDelay&gt;=1,KU63*BlendedProvPayEss+KV63*BlendedProvPayPrem+KW63*BlendedProvPayElite+KX63*BlendedProvPayEss+KY63*BlendedProvPayPrem+KZ63*BlendedProvPayElite,KU64*BlendedProvPayEss+KV64*BlendedProvPayPrem+KW64*BlendedProvPayElite+KX64*BlendedProvPayEss+KY64*BlendedProvPayPrem+KZ64*BlendedProvPayElite)</f>
        <v/>
      </c>
      <c r="LO64" s="12">
        <f>LG64*PaymentFee</f>
        <v/>
      </c>
      <c r="LP64" s="12">
        <f>LA64*OpsAI</f>
        <v/>
      </c>
      <c r="LQ64" s="12">
        <f>MonthlyFixed</f>
        <v/>
      </c>
      <c r="LR64" s="12">
        <f>KK64*ReferralReward</f>
        <v/>
      </c>
      <c r="LS64" s="12">
        <f>KI64</f>
        <v/>
      </c>
      <c r="LT64" s="9">
        <f>LJ64-LN64-LO64-LP64-LQ64-LR64-LS64</f>
        <v/>
      </c>
      <c r="LU64" s="9">
        <f>LU63+LG64-(LN64+LO64+LP64+LQ64+LR64+LS64+LL64)</f>
        <v/>
      </c>
      <c r="LV64" s="12">
        <f>IF(LA64&gt;0,LB64/LA64,0)</f>
        <v/>
      </c>
      <c r="LW64" s="11">
        <f>IF(LA63&gt;0,MAX(0,(LA63+KL64-LA64)/LA63),0)</f>
        <v/>
      </c>
      <c r="LY64" s="12" t="n">
        <v>60</v>
      </c>
      <c r="LZ64" s="12">
        <f>MOD(LY64-1+LaunchMonth-1,12)+1</f>
        <v/>
      </c>
      <c r="MA64" s="12">
        <f>INT((LY64-1+LaunchMonth-1)/12)+1</f>
        <v/>
      </c>
      <c r="MB64" s="12">
        <f>VLOOKUP(LZ64,SeasonTable,2,FALSE)</f>
        <v/>
      </c>
      <c r="MC64" s="12">
        <f>(1+InflationRate)^INT((LY64-1)/12)</f>
        <v/>
      </c>
      <c r="MD64" s="11">
        <f>'Sens - Churn'!$A$17*VLOOKUP(LZ64,ChurnSeasonTable,4,FALSE)</f>
        <v/>
      </c>
      <c r="ME64" s="12">
        <f>MIN(MAX(MktMin19plus,NC63*MktPct19plus),MAX(0,NQ63-CashBuffer))</f>
        <v/>
      </c>
      <c r="MF64" s="12">
        <f>IF(ME64&gt;0,MAX(1,ROUND(ME64/CAC*MB64,0)),0)</f>
        <v/>
      </c>
      <c r="MG64" s="12">
        <f>IF(MF64&gt;0,ROUND(MF64*ReferralMix/(1-ReferralMix),0),0)</f>
        <v/>
      </c>
      <c r="MH64" s="12">
        <f>MF64+MG64</f>
        <v/>
      </c>
      <c r="MI64" s="12">
        <f>ROUND(MH64*(1-AnnualMix),0)</f>
        <v/>
      </c>
      <c r="MJ64" s="12">
        <f>MH64-MI64</f>
        <v/>
      </c>
      <c r="MK64" s="12">
        <f>ROUND(MI64*EssentialMix,0)</f>
        <v/>
      </c>
      <c r="ML64" s="12">
        <f>ROUND(MI64*PremiumMix,0)</f>
        <v/>
      </c>
      <c r="MM64" s="12">
        <f>MI64-MK64-ML64</f>
        <v/>
      </c>
      <c r="MN64" s="12">
        <f>ROUND(MJ64*EssentialMix,0)</f>
        <v/>
      </c>
      <c r="MO64" s="12">
        <f>ROUND(MJ64*PremiumMix,0)</f>
        <v/>
      </c>
      <c r="MP64" s="12">
        <f>MJ64-MN64-MO64</f>
        <v/>
      </c>
      <c r="MQ64" s="12">
        <f>MK64+MK63+MK62+MAX(0,MQ63-MK63-MK62)*(1-MD64)</f>
        <v/>
      </c>
      <c r="MR64" s="12">
        <f>ML64+ML63+ML62+MAX(0,MR63-ML63-ML62)*(1-MD64)</f>
        <v/>
      </c>
      <c r="MS64" s="12">
        <f>MM64+MM63+MM62+MAX(0,MS63-MM63-MM62)*(1-MD64)</f>
        <v/>
      </c>
      <c r="MT64" s="12">
        <f>MT63+MN64-MN52*(AnnualChurn*VLOOKUP(LZ64,ChurnSeasonTable,4,FALSE))*POWER(1-(AnnualChurn*VLOOKUP(LZ64,ChurnSeasonTable,4,FALSE)),0)+MN40*(AnnualChurn*VLOOKUP(LZ64,ChurnSeasonTable,4,FALSE))*POWER(1-(AnnualChurn*VLOOKUP(LZ64,ChurnSeasonTable,4,FALSE)),1)+MN28*(AnnualChurn*VLOOKUP(LZ64,ChurnSeasonTable,4,FALSE))*POWER(1-(AnnualChurn*VLOOKUP(LZ64,ChurnSeasonTable,4,FALSE)),2)+MN16*(AnnualChurn*VLOOKUP(LZ64,ChurnSeasonTable,4,FALSE))*POWER(1-(AnnualChurn*VLOOKUP(LZ64,ChurnSeasonTable,4,FALSE)),3)</f>
        <v/>
      </c>
      <c r="MU64" s="12">
        <f>MU63+MO64-MO52*(AnnualChurn*VLOOKUP(LZ64,ChurnSeasonTable,4,FALSE))*POWER(1-(AnnualChurn*VLOOKUP(LZ64,ChurnSeasonTable,4,FALSE)),0)+MO40*(AnnualChurn*VLOOKUP(LZ64,ChurnSeasonTable,4,FALSE))*POWER(1-(AnnualChurn*VLOOKUP(LZ64,ChurnSeasonTable,4,FALSE)),1)+MO28*(AnnualChurn*VLOOKUP(LZ64,ChurnSeasonTable,4,FALSE))*POWER(1-(AnnualChurn*VLOOKUP(LZ64,ChurnSeasonTable,4,FALSE)),2)+MO16*(AnnualChurn*VLOOKUP(LZ64,ChurnSeasonTable,4,FALSE))*POWER(1-(AnnualChurn*VLOOKUP(LZ64,ChurnSeasonTable,4,FALSE)),3)</f>
        <v/>
      </c>
      <c r="MV64" s="12">
        <f>MV63+MP64-MP52*(AnnualChurn*VLOOKUP(LZ64,ChurnSeasonTable,4,FALSE))*POWER(1-(AnnualChurn*VLOOKUP(LZ64,ChurnSeasonTable,4,FALSE)),0)+MP40*(AnnualChurn*VLOOKUP(LZ64,ChurnSeasonTable,4,FALSE))*POWER(1-(AnnualChurn*VLOOKUP(LZ64,ChurnSeasonTable,4,FALSE)),1)+MP28*(AnnualChurn*VLOOKUP(LZ64,ChurnSeasonTable,4,FALSE))*POWER(1-(AnnualChurn*VLOOKUP(LZ64,ChurnSeasonTable,4,FALSE)),2)+MP16*(AnnualChurn*VLOOKUP(LZ64,ChurnSeasonTable,4,FALSE))*POWER(1-(AnnualChurn*VLOOKUP(LZ64,ChurnSeasonTable,4,FALSE)),3)</f>
        <v/>
      </c>
      <c r="MW64" s="12">
        <f>MQ64+MR64+MS64+MT64+MU64+MV64</f>
        <v/>
      </c>
      <c r="MX64" s="9">
        <f>MQ64*BlendedPriceEssMonthly*MC64+MR64*BlendedPricePremMonthly*MC64+MS64*BlendedPriceEliteMonthly*MC64+MT64*BlendedPriceEssAnnual*MC64/12+MU64*BlendedPricePremAnnual*MC64/12+MV64*BlendedPriceEliteAnnual*MC64/12</f>
        <v/>
      </c>
      <c r="MY64" s="9">
        <f>MX64*12</f>
        <v/>
      </c>
      <c r="MZ64" s="12">
        <f>MQ64*BlendedPriceEssMonthly*MC64+MR64*BlendedPricePremMonthly*MC64+MS64*BlendedPriceEliteMonthly*MC64</f>
        <v/>
      </c>
      <c r="NA64" s="12">
        <f>MN64*BlendedPriceEssAnnual*MC64+MO64*BlendedPricePremAnnual*MC64+MP64*BlendedPriceEliteAnnual*MC64</f>
        <v/>
      </c>
      <c r="NB64" s="12">
        <f>MN52*POWER(1-(AnnualChurn*VLOOKUP(LZ64,ChurnSeasonTable,4,FALSE)),1)*BlendedPriceEssAnnual*MC64+MN40*POWER(1-(AnnualChurn*VLOOKUP(LZ64,ChurnSeasonTable,4,FALSE)),2)*BlendedPriceEssAnnual*MC64+MN28*POWER(1-(AnnualChurn*VLOOKUP(LZ64,ChurnSeasonTable,4,FALSE)),3)*BlendedPriceEssAnnual*MC64+MN16*POWER(1-(AnnualChurn*VLOOKUP(LZ64,ChurnSeasonTable,4,FALSE)),4)*BlendedPriceEssAnnual*MC64+MO52*POWER(1-(AnnualChurn*VLOOKUP(LZ64,ChurnSeasonTable,4,FALSE)),1)*BlendedPricePremAnnual*MC64+MO40*POWER(1-(AnnualChurn*VLOOKUP(LZ64,ChurnSeasonTable,4,FALSE)),2)*BlendedPricePremAnnual*MC64+MO28*POWER(1-(AnnualChurn*VLOOKUP(LZ64,ChurnSeasonTable,4,FALSE)),3)*BlendedPricePremAnnual*MC64+MO16*POWER(1-(AnnualChurn*VLOOKUP(LZ64,ChurnSeasonTable,4,FALSE)),4)*BlendedPricePremAnnual*MC64+MP52*POWER(1-(AnnualChurn*VLOOKUP(LZ64,ChurnSeasonTable,4,FALSE)),1)*BlendedPriceEliteAnnual*MC64+MP40*POWER(1-(AnnualChurn*VLOOKUP(LZ64,ChurnSeasonTable,4,FALSE)),2)*BlendedPriceEliteAnnual*MC64+MP28*POWER(1-(AnnualChurn*VLOOKUP(LZ64,ChurnSeasonTable,4,FALSE)),3)*BlendedPriceEliteAnnual*MC64+MP16*POWER(1-(AnnualChurn*VLOOKUP(LZ64,ChurnSeasonTable,4,FALSE)),4)*BlendedPriceEliteAnnual*MC64</f>
        <v/>
      </c>
      <c r="NC64" s="9">
        <f>MZ64+NA64+NB64</f>
        <v/>
      </c>
      <c r="ND64" s="12">
        <f>SUM(NC53:NC64)</f>
        <v/>
      </c>
      <c r="NE64" s="12">
        <f>OR(NE63,IF(VATAgentMode,SUM($NC53:$NC64)-SUM($NJ53:$NJ64)&gt;=VATThreshold,SUM($NC53:$NC64)&gt;=VATThreshold))</f>
        <v/>
      </c>
      <c r="NF64" s="9">
        <f>IF(NE64,IF(VATAgentMode,NC64-((NC64-NJ64)-(NC64-NJ64)/(1+VATRate)),NC64/(1+VATRate)),NC64)</f>
        <v/>
      </c>
      <c r="NG64" s="12">
        <f>NC64-NF64</f>
        <v/>
      </c>
      <c r="NH64" s="12">
        <f>IF(NE64=0,0,IF(LZ64=1,SUMPRODUCT(--(($MA$5:$MA64=$MA64-1)*($LZ$5:$LZ64&gt;=10)*($LZ$5:$LZ64&lt;=12)),$NG$5:$NG64),IF(LZ64=4,SUMPRODUCT(--(($MA$5:$MA64=$MA64)*($LZ$5:$LZ64&gt;=1)*($LZ$5:$LZ64&lt;=3)),$NG$5:$NG64),IF(LZ64=7,SUMPRODUCT(--(($MA$5:$MA64=$MA64)*($LZ$5:$LZ64&gt;=4)*($LZ$5:$LZ64&lt;=6)),$NG$5:$NG64),IF(LZ64=10,SUMPRODUCT(--(($MA$5:$MA64=$MA64)*($LZ$5:$LZ64&gt;=7)*($LZ$5:$LZ64&lt;=9)),$NG$5:$NG64),0)))))</f>
        <v/>
      </c>
      <c r="NI64" s="12">
        <f>NI63+NG64-NH64</f>
        <v/>
      </c>
      <c r="NJ64" s="12">
        <f>IF(ProviderDelay&gt;=1,MQ63*BlendedProvPayEss+MR63*BlendedProvPayPrem+MS63*BlendedProvPayElite+MT63*BlendedProvPayEss+MU63*BlendedProvPayPrem+MV63*BlendedProvPayElite,MQ64*BlendedProvPayEss+MR64*BlendedProvPayPrem+MS64*BlendedProvPayElite+MT64*BlendedProvPayEss+MU64*BlendedProvPayPrem+MV64*BlendedProvPayElite)</f>
        <v/>
      </c>
      <c r="NK64" s="12">
        <f>NC64*PaymentFee</f>
        <v/>
      </c>
      <c r="NL64" s="12">
        <f>MW64*OpsAI</f>
        <v/>
      </c>
      <c r="NM64" s="12">
        <f>MonthlyFixed</f>
        <v/>
      </c>
      <c r="NN64" s="12">
        <f>MG64*ReferralReward</f>
        <v/>
      </c>
      <c r="NO64" s="12">
        <f>ME64</f>
        <v/>
      </c>
      <c r="NP64" s="9">
        <f>NF64-NJ64-NK64-NL64-NM64-NN64-NO64</f>
        <v/>
      </c>
      <c r="NQ64" s="9">
        <f>NQ63+NC64-(NJ64+NK64+NL64+NM64+NN64+NO64+NH64)</f>
        <v/>
      </c>
      <c r="NR64" s="12">
        <f>IF(MW64&gt;0,MX64/MW64,0)</f>
        <v/>
      </c>
      <c r="NS64" s="11">
        <f>IF(MW63&gt;0,MAX(0,(MW63+MH64-MW64)/MW63),0)</f>
        <v/>
      </c>
      <c r="NU64" s="12" t="n">
        <v>60</v>
      </c>
      <c r="NV64" s="12">
        <f>MOD(NU64-1+LaunchMonth-1,12)+1</f>
        <v/>
      </c>
      <c r="NW64" s="12">
        <f>INT((NU64-1+LaunchMonth-1)/12)+1</f>
        <v/>
      </c>
      <c r="NX64" s="12">
        <f>VLOOKUP(NV64,SeasonTable,2,FALSE)</f>
        <v/>
      </c>
      <c r="NY64" s="12">
        <f>(1+InflationRate)^INT((NU64-1)/12)</f>
        <v/>
      </c>
      <c r="NZ64" s="11">
        <f>'Sens - Churn'!$A$18*VLOOKUP(NV64,ChurnSeasonTable,4,FALSE)</f>
        <v/>
      </c>
      <c r="OA64" s="12">
        <f>MIN(MAX(MktMin19plus,OY63*MktPct19plus),MAX(0,PM63-CashBuffer))</f>
        <v/>
      </c>
      <c r="OB64" s="12">
        <f>IF(OA64&gt;0,MAX(1,ROUND(OA64/CAC*NX64,0)),0)</f>
        <v/>
      </c>
      <c r="OC64" s="12">
        <f>IF(OB64&gt;0,ROUND(OB64*ReferralMix/(1-ReferralMix),0),0)</f>
        <v/>
      </c>
      <c r="OD64" s="12">
        <f>OB64+OC64</f>
        <v/>
      </c>
      <c r="OE64" s="12">
        <f>ROUND(OD64*(1-AnnualMix),0)</f>
        <v/>
      </c>
      <c r="OF64" s="12">
        <f>OD64-OE64</f>
        <v/>
      </c>
      <c r="OG64" s="12">
        <f>ROUND(OE64*EssentialMix,0)</f>
        <v/>
      </c>
      <c r="OH64" s="12">
        <f>ROUND(OE64*PremiumMix,0)</f>
        <v/>
      </c>
      <c r="OI64" s="12">
        <f>OE64-OG64-OH64</f>
        <v/>
      </c>
      <c r="OJ64" s="12">
        <f>ROUND(OF64*EssentialMix,0)</f>
        <v/>
      </c>
      <c r="OK64" s="12">
        <f>ROUND(OF64*PremiumMix,0)</f>
        <v/>
      </c>
      <c r="OL64" s="12">
        <f>OF64-OJ64-OK64</f>
        <v/>
      </c>
      <c r="OM64" s="12">
        <f>OG64+OG63+OG62+MAX(0,OM63-OG63-OG62)*(1-NZ64)</f>
        <v/>
      </c>
      <c r="ON64" s="12">
        <f>OH64+OH63+OH62+MAX(0,ON63-OH63-OH62)*(1-NZ64)</f>
        <v/>
      </c>
      <c r="OO64" s="12">
        <f>OI64+OI63+OI62+MAX(0,OO63-OI63-OI62)*(1-NZ64)</f>
        <v/>
      </c>
      <c r="OP64" s="12">
        <f>OP63+OJ64-OJ52*(AnnualChurn*VLOOKUP(NV64,ChurnSeasonTable,4,FALSE))*POWER(1-(AnnualChurn*VLOOKUP(NV64,ChurnSeasonTable,4,FALSE)),0)+OJ40*(AnnualChurn*VLOOKUP(NV64,ChurnSeasonTable,4,FALSE))*POWER(1-(AnnualChurn*VLOOKUP(NV64,ChurnSeasonTable,4,FALSE)),1)+OJ28*(AnnualChurn*VLOOKUP(NV64,ChurnSeasonTable,4,FALSE))*POWER(1-(AnnualChurn*VLOOKUP(NV64,ChurnSeasonTable,4,FALSE)),2)+OJ16*(AnnualChurn*VLOOKUP(NV64,ChurnSeasonTable,4,FALSE))*POWER(1-(AnnualChurn*VLOOKUP(NV64,ChurnSeasonTable,4,FALSE)),3)</f>
        <v/>
      </c>
      <c r="OQ64" s="12">
        <f>OQ63+OK64-OK52*(AnnualChurn*VLOOKUP(NV64,ChurnSeasonTable,4,FALSE))*POWER(1-(AnnualChurn*VLOOKUP(NV64,ChurnSeasonTable,4,FALSE)),0)+OK40*(AnnualChurn*VLOOKUP(NV64,ChurnSeasonTable,4,FALSE))*POWER(1-(AnnualChurn*VLOOKUP(NV64,ChurnSeasonTable,4,FALSE)),1)+OK28*(AnnualChurn*VLOOKUP(NV64,ChurnSeasonTable,4,FALSE))*POWER(1-(AnnualChurn*VLOOKUP(NV64,ChurnSeasonTable,4,FALSE)),2)+OK16*(AnnualChurn*VLOOKUP(NV64,ChurnSeasonTable,4,FALSE))*POWER(1-(AnnualChurn*VLOOKUP(NV64,ChurnSeasonTable,4,FALSE)),3)</f>
        <v/>
      </c>
      <c r="OR64" s="12">
        <f>OR63+OL64-OL52*(AnnualChurn*VLOOKUP(NV64,ChurnSeasonTable,4,FALSE))*POWER(1-(AnnualChurn*VLOOKUP(NV64,ChurnSeasonTable,4,FALSE)),0)+OL40*(AnnualChurn*VLOOKUP(NV64,ChurnSeasonTable,4,FALSE))*POWER(1-(AnnualChurn*VLOOKUP(NV64,ChurnSeasonTable,4,FALSE)),1)+OL28*(AnnualChurn*VLOOKUP(NV64,ChurnSeasonTable,4,FALSE))*POWER(1-(AnnualChurn*VLOOKUP(NV64,ChurnSeasonTable,4,FALSE)),2)+OL16*(AnnualChurn*VLOOKUP(NV64,ChurnSeasonTable,4,FALSE))*POWER(1-(AnnualChurn*VLOOKUP(NV64,ChurnSeasonTable,4,FALSE)),3)</f>
        <v/>
      </c>
      <c r="OS64" s="12">
        <f>OM64+ON64+OO64+OP64+OQ64+OR64</f>
        <v/>
      </c>
      <c r="OT64" s="9">
        <f>OM64*BlendedPriceEssMonthly*NY64+ON64*BlendedPricePremMonthly*NY64+OO64*BlendedPriceEliteMonthly*NY64+OP64*BlendedPriceEssAnnual*NY64/12+OQ64*BlendedPricePremAnnual*NY64/12+OR64*BlendedPriceEliteAnnual*NY64/12</f>
        <v/>
      </c>
      <c r="OU64" s="9">
        <f>OT64*12</f>
        <v/>
      </c>
      <c r="OV64" s="12">
        <f>OM64*BlendedPriceEssMonthly*NY64+ON64*BlendedPricePremMonthly*NY64+OO64*BlendedPriceEliteMonthly*NY64</f>
        <v/>
      </c>
      <c r="OW64" s="12">
        <f>OJ64*BlendedPriceEssAnnual*NY64+OK64*BlendedPricePremAnnual*NY64+OL64*BlendedPriceEliteAnnual*NY64</f>
        <v/>
      </c>
      <c r="OX64" s="12">
        <f>OJ52*POWER(1-(AnnualChurn*VLOOKUP(NV64,ChurnSeasonTable,4,FALSE)),1)*BlendedPriceEssAnnual*NY64+OJ40*POWER(1-(AnnualChurn*VLOOKUP(NV64,ChurnSeasonTable,4,FALSE)),2)*BlendedPriceEssAnnual*NY64+OJ28*POWER(1-(AnnualChurn*VLOOKUP(NV64,ChurnSeasonTable,4,FALSE)),3)*BlendedPriceEssAnnual*NY64+OJ16*POWER(1-(AnnualChurn*VLOOKUP(NV64,ChurnSeasonTable,4,FALSE)),4)*BlendedPriceEssAnnual*NY64+OK52*POWER(1-(AnnualChurn*VLOOKUP(NV64,ChurnSeasonTable,4,FALSE)),1)*BlendedPricePremAnnual*NY64+OK40*POWER(1-(AnnualChurn*VLOOKUP(NV64,ChurnSeasonTable,4,FALSE)),2)*BlendedPricePremAnnual*NY64+OK28*POWER(1-(AnnualChurn*VLOOKUP(NV64,ChurnSeasonTable,4,FALSE)),3)*BlendedPricePremAnnual*NY64+OK16*POWER(1-(AnnualChurn*VLOOKUP(NV64,ChurnSeasonTable,4,FALSE)),4)*BlendedPricePremAnnual*NY64+OL52*POWER(1-(AnnualChurn*VLOOKUP(NV64,ChurnSeasonTable,4,FALSE)),1)*BlendedPriceEliteAnnual*NY64+OL40*POWER(1-(AnnualChurn*VLOOKUP(NV64,ChurnSeasonTable,4,FALSE)),2)*BlendedPriceEliteAnnual*NY64+OL28*POWER(1-(AnnualChurn*VLOOKUP(NV64,ChurnSeasonTable,4,FALSE)),3)*BlendedPriceEliteAnnual*NY64+OL16*POWER(1-(AnnualChurn*VLOOKUP(NV64,ChurnSeasonTable,4,FALSE)),4)*BlendedPriceEliteAnnual*NY64</f>
        <v/>
      </c>
      <c r="OY64" s="9">
        <f>OV64+OW64+OX64</f>
        <v/>
      </c>
      <c r="OZ64" s="12">
        <f>SUM(OY53:OY64)</f>
        <v/>
      </c>
      <c r="PA64" s="12">
        <f>OR(PA63,IF(VATAgentMode,SUM($OY53:$OY64)-SUM($PF53:$PF64)&gt;=VATThreshold,SUM($OY53:$OY64)&gt;=VATThreshold))</f>
        <v/>
      </c>
      <c r="PB64" s="9">
        <f>IF(PA64,IF(VATAgentMode,OY64-((OY64-PF64)-(OY64-PF64)/(1+VATRate)),OY64/(1+VATRate)),OY64)</f>
        <v/>
      </c>
      <c r="PC64" s="12">
        <f>OY64-PB64</f>
        <v/>
      </c>
      <c r="PD64" s="12">
        <f>IF(PA64=0,0,IF(NV64=1,SUMPRODUCT(--(($NW$5:$NW64=$NW64-1)*($NV$5:$NV64&gt;=10)*($NV$5:$NV64&lt;=12)),$PC$5:$PC64),IF(NV64=4,SUMPRODUCT(--(($NW$5:$NW64=$NW64)*($NV$5:$NV64&gt;=1)*($NV$5:$NV64&lt;=3)),$PC$5:$PC64),IF(NV64=7,SUMPRODUCT(--(($NW$5:$NW64=$NW64)*($NV$5:$NV64&gt;=4)*($NV$5:$NV64&lt;=6)),$PC$5:$PC64),IF(NV64=10,SUMPRODUCT(--(($NW$5:$NW64=$NW64)*($NV$5:$NV64&gt;=7)*($NV$5:$NV64&lt;=9)),$PC$5:$PC64),0)))))</f>
        <v/>
      </c>
      <c r="PE64" s="12">
        <f>PE63+PC64-PD64</f>
        <v/>
      </c>
      <c r="PF64" s="12">
        <f>IF(ProviderDelay&gt;=1,OM63*BlendedProvPayEss+ON63*BlendedProvPayPrem+OO63*BlendedProvPayElite+OP63*BlendedProvPayEss+OQ63*BlendedProvPayPrem+OR63*BlendedProvPayElite,OM64*BlendedProvPayEss+ON64*BlendedProvPayPrem+OO64*BlendedProvPayElite+OP64*BlendedProvPayEss+OQ64*BlendedProvPayPrem+OR64*BlendedProvPayElite)</f>
        <v/>
      </c>
      <c r="PG64" s="12">
        <f>OY64*PaymentFee</f>
        <v/>
      </c>
      <c r="PH64" s="12">
        <f>OS64*OpsAI</f>
        <v/>
      </c>
      <c r="PI64" s="12">
        <f>MonthlyFixed</f>
        <v/>
      </c>
      <c r="PJ64" s="12">
        <f>OC64*ReferralReward</f>
        <v/>
      </c>
      <c r="PK64" s="12">
        <f>OA64</f>
        <v/>
      </c>
      <c r="PL64" s="9">
        <f>PB64-PF64-PG64-PH64-PI64-PJ64-PK64</f>
        <v/>
      </c>
      <c r="PM64" s="9">
        <f>PM63+OY64-(PF64+PG64+PH64+PI64+PJ64+PK64+PD64)</f>
        <v/>
      </c>
      <c r="PN64" s="12">
        <f>IF(OS64&gt;0,OT64/OS64,0)</f>
        <v/>
      </c>
      <c r="PO64" s="11">
        <f>IF(OS63&gt;0,MAX(0,(OS63+OD64-OS64)/OS63),0)</f>
        <v/>
      </c>
      <c r="PQ64" s="12" t="n">
        <v>60</v>
      </c>
      <c r="PR64" s="12">
        <f>MOD(PQ64-1+LaunchMonth-1,12)+1</f>
        <v/>
      </c>
      <c r="PS64" s="12">
        <f>INT((PQ64-1+LaunchMonth-1)/12)+1</f>
        <v/>
      </c>
      <c r="PT64" s="12">
        <f>VLOOKUP(PR64,SeasonTable,2,FALSE)</f>
        <v/>
      </c>
      <c r="PU64" s="12">
        <f>(1+InflationRate)^INT((PQ64-1)/12)</f>
        <v/>
      </c>
      <c r="PV64" s="11">
        <f>'Sens - Churn'!$A$19*VLOOKUP(PR64,ChurnSeasonTable,4,FALSE)</f>
        <v/>
      </c>
      <c r="PW64" s="12">
        <f>MIN(MAX(MktMin19plus,QU63*MktPct19plus),MAX(0,RI63-CashBuffer))</f>
        <v/>
      </c>
      <c r="PX64" s="12">
        <f>IF(PW64&gt;0,MAX(1,ROUND(PW64/CAC*PT64,0)),0)</f>
        <v/>
      </c>
      <c r="PY64" s="12">
        <f>IF(PX64&gt;0,ROUND(PX64*ReferralMix/(1-ReferralMix),0),0)</f>
        <v/>
      </c>
      <c r="PZ64" s="12">
        <f>PX64+PY64</f>
        <v/>
      </c>
      <c r="QA64" s="12">
        <f>ROUND(PZ64*(1-AnnualMix),0)</f>
        <v/>
      </c>
      <c r="QB64" s="12">
        <f>PZ64-QA64</f>
        <v/>
      </c>
      <c r="QC64" s="12">
        <f>ROUND(QA64*EssentialMix,0)</f>
        <v/>
      </c>
      <c r="QD64" s="12">
        <f>ROUND(QA64*PremiumMix,0)</f>
        <v/>
      </c>
      <c r="QE64" s="12">
        <f>QA64-QC64-QD64</f>
        <v/>
      </c>
      <c r="QF64" s="12">
        <f>ROUND(QB64*EssentialMix,0)</f>
        <v/>
      </c>
      <c r="QG64" s="12">
        <f>ROUND(QB64*PremiumMix,0)</f>
        <v/>
      </c>
      <c r="QH64" s="12">
        <f>QB64-QF64-QG64</f>
        <v/>
      </c>
      <c r="QI64" s="12">
        <f>QC64+QC63+QC62+MAX(0,QI63-QC63-QC62)*(1-PV64)</f>
        <v/>
      </c>
      <c r="QJ64" s="12">
        <f>QD64+QD63+QD62+MAX(0,QJ63-QD63-QD62)*(1-PV64)</f>
        <v/>
      </c>
      <c r="QK64" s="12">
        <f>QE64+QE63+QE62+MAX(0,QK63-QE63-QE62)*(1-PV64)</f>
        <v/>
      </c>
      <c r="QL64" s="12">
        <f>QL63+QF64-QF52*(AnnualChurn*VLOOKUP(PR64,ChurnSeasonTable,4,FALSE))*POWER(1-(AnnualChurn*VLOOKUP(PR64,ChurnSeasonTable,4,FALSE)),0)+QF40*(AnnualChurn*VLOOKUP(PR64,ChurnSeasonTable,4,FALSE))*POWER(1-(AnnualChurn*VLOOKUP(PR64,ChurnSeasonTable,4,FALSE)),1)+QF28*(AnnualChurn*VLOOKUP(PR64,ChurnSeasonTable,4,FALSE))*POWER(1-(AnnualChurn*VLOOKUP(PR64,ChurnSeasonTable,4,FALSE)),2)+QF16*(AnnualChurn*VLOOKUP(PR64,ChurnSeasonTable,4,FALSE))*POWER(1-(AnnualChurn*VLOOKUP(PR64,ChurnSeasonTable,4,FALSE)),3)</f>
        <v/>
      </c>
      <c r="QM64" s="12">
        <f>QM63+QG64-QG52*(AnnualChurn*VLOOKUP(PR64,ChurnSeasonTable,4,FALSE))*POWER(1-(AnnualChurn*VLOOKUP(PR64,ChurnSeasonTable,4,FALSE)),0)+QG40*(AnnualChurn*VLOOKUP(PR64,ChurnSeasonTable,4,FALSE))*POWER(1-(AnnualChurn*VLOOKUP(PR64,ChurnSeasonTable,4,FALSE)),1)+QG28*(AnnualChurn*VLOOKUP(PR64,ChurnSeasonTable,4,FALSE))*POWER(1-(AnnualChurn*VLOOKUP(PR64,ChurnSeasonTable,4,FALSE)),2)+QG16*(AnnualChurn*VLOOKUP(PR64,ChurnSeasonTable,4,FALSE))*POWER(1-(AnnualChurn*VLOOKUP(PR64,ChurnSeasonTable,4,FALSE)),3)</f>
        <v/>
      </c>
      <c r="QN64" s="12">
        <f>QN63+QH64-QH52*(AnnualChurn*VLOOKUP(PR64,ChurnSeasonTable,4,FALSE))*POWER(1-(AnnualChurn*VLOOKUP(PR64,ChurnSeasonTable,4,FALSE)),0)+QH40*(AnnualChurn*VLOOKUP(PR64,ChurnSeasonTable,4,FALSE))*POWER(1-(AnnualChurn*VLOOKUP(PR64,ChurnSeasonTable,4,FALSE)),1)+QH28*(AnnualChurn*VLOOKUP(PR64,ChurnSeasonTable,4,FALSE))*POWER(1-(AnnualChurn*VLOOKUP(PR64,ChurnSeasonTable,4,FALSE)),2)+QH16*(AnnualChurn*VLOOKUP(PR64,ChurnSeasonTable,4,FALSE))*POWER(1-(AnnualChurn*VLOOKUP(PR64,ChurnSeasonTable,4,FALSE)),3)</f>
        <v/>
      </c>
      <c r="QO64" s="12">
        <f>QI64+QJ64+QK64+QL64+QM64+QN64</f>
        <v/>
      </c>
      <c r="QP64" s="9">
        <f>QI64*BlendedPriceEssMonthly*PU64+QJ64*BlendedPricePremMonthly*PU64+QK64*BlendedPriceEliteMonthly*PU64+QL64*BlendedPriceEssAnnual*PU64/12+QM64*BlendedPricePremAnnual*PU64/12+QN64*BlendedPriceEliteAnnual*PU64/12</f>
        <v/>
      </c>
      <c r="QQ64" s="9">
        <f>QP64*12</f>
        <v/>
      </c>
      <c r="QR64" s="12">
        <f>QI64*BlendedPriceEssMonthly*PU64+QJ64*BlendedPricePremMonthly*PU64+QK64*BlendedPriceEliteMonthly*PU64</f>
        <v/>
      </c>
      <c r="QS64" s="12">
        <f>QF64*BlendedPriceEssAnnual*PU64+QG64*BlendedPricePremAnnual*PU64+QH64*BlendedPriceEliteAnnual*PU64</f>
        <v/>
      </c>
      <c r="QT64" s="12">
        <f>QF52*POWER(1-(AnnualChurn*VLOOKUP(PR64,ChurnSeasonTable,4,FALSE)),1)*BlendedPriceEssAnnual*PU64+QF40*POWER(1-(AnnualChurn*VLOOKUP(PR64,ChurnSeasonTable,4,FALSE)),2)*BlendedPriceEssAnnual*PU64+QF28*POWER(1-(AnnualChurn*VLOOKUP(PR64,ChurnSeasonTable,4,FALSE)),3)*BlendedPriceEssAnnual*PU64+QF16*POWER(1-(AnnualChurn*VLOOKUP(PR64,ChurnSeasonTable,4,FALSE)),4)*BlendedPriceEssAnnual*PU64+QG52*POWER(1-(AnnualChurn*VLOOKUP(PR64,ChurnSeasonTable,4,FALSE)),1)*BlendedPricePremAnnual*PU64+QG40*POWER(1-(AnnualChurn*VLOOKUP(PR64,ChurnSeasonTable,4,FALSE)),2)*BlendedPricePremAnnual*PU64+QG28*POWER(1-(AnnualChurn*VLOOKUP(PR64,ChurnSeasonTable,4,FALSE)),3)*BlendedPricePremAnnual*PU64+QG16*POWER(1-(AnnualChurn*VLOOKUP(PR64,ChurnSeasonTable,4,FALSE)),4)*BlendedPricePremAnnual*PU64+QH52*POWER(1-(AnnualChurn*VLOOKUP(PR64,ChurnSeasonTable,4,FALSE)),1)*BlendedPriceEliteAnnual*PU64+QH40*POWER(1-(AnnualChurn*VLOOKUP(PR64,ChurnSeasonTable,4,FALSE)),2)*BlendedPriceEliteAnnual*PU64+QH28*POWER(1-(AnnualChurn*VLOOKUP(PR64,ChurnSeasonTable,4,FALSE)),3)*BlendedPriceEliteAnnual*PU64+QH16*POWER(1-(AnnualChurn*VLOOKUP(PR64,ChurnSeasonTable,4,FALSE)),4)*BlendedPriceEliteAnnual*PU64</f>
        <v/>
      </c>
      <c r="QU64" s="9">
        <f>QR64+QS64+QT64</f>
        <v/>
      </c>
      <c r="QV64" s="12">
        <f>SUM(QU53:QU64)</f>
        <v/>
      </c>
      <c r="QW64" s="12">
        <f>OR(QW63,IF(VATAgentMode,SUM($QU53:$QU64)-SUM($RB53:$RB64)&gt;=VATThreshold,SUM($QU53:$QU64)&gt;=VATThreshold))</f>
        <v/>
      </c>
      <c r="QX64" s="9">
        <f>IF(QW64,IF(VATAgentMode,QU64-((QU64-RB64)-(QU64-RB64)/(1+VATRate)),QU64/(1+VATRate)),QU64)</f>
        <v/>
      </c>
      <c r="QY64" s="12">
        <f>QU64-QX64</f>
        <v/>
      </c>
      <c r="QZ64" s="12">
        <f>IF(QW64=0,0,IF(PR64=1,SUMPRODUCT(--(($PS$5:$PS64=$PS64-1)*($PR$5:$PR64&gt;=10)*($PR$5:$PR64&lt;=12)),$QY$5:$QY64),IF(PR64=4,SUMPRODUCT(--(($PS$5:$PS64=$PS64)*($PR$5:$PR64&gt;=1)*($PR$5:$PR64&lt;=3)),$QY$5:$QY64),IF(PR64=7,SUMPRODUCT(--(($PS$5:$PS64=$PS64)*($PR$5:$PR64&gt;=4)*($PR$5:$PR64&lt;=6)),$QY$5:$QY64),IF(PR64=10,SUMPRODUCT(--(($PS$5:$PS64=$PS64)*($PR$5:$PR64&gt;=7)*($PR$5:$PR64&lt;=9)),$QY$5:$QY64),0)))))</f>
        <v/>
      </c>
      <c r="RA64" s="12">
        <f>RA63+QY64-QZ64</f>
        <v/>
      </c>
      <c r="RB64" s="12">
        <f>IF(ProviderDelay&gt;=1,QI63*BlendedProvPayEss+QJ63*BlendedProvPayPrem+QK63*BlendedProvPayElite+QL63*BlendedProvPayEss+QM63*BlendedProvPayPrem+QN63*BlendedProvPayElite,QI64*BlendedProvPayEss+QJ64*BlendedProvPayPrem+QK64*BlendedProvPayElite+QL64*BlendedProvPayEss+QM64*BlendedProvPayPrem+QN64*BlendedProvPayElite)</f>
        <v/>
      </c>
      <c r="RC64" s="12">
        <f>QU64*PaymentFee</f>
        <v/>
      </c>
      <c r="RD64" s="12">
        <f>QO64*OpsAI</f>
        <v/>
      </c>
      <c r="RE64" s="12">
        <f>MonthlyFixed</f>
        <v/>
      </c>
      <c r="RF64" s="12">
        <f>PY64*ReferralReward</f>
        <v/>
      </c>
      <c r="RG64" s="12">
        <f>PW64</f>
        <v/>
      </c>
      <c r="RH64" s="9">
        <f>QX64-RB64-RC64-RD64-RE64-RF64-RG64</f>
        <v/>
      </c>
      <c r="RI64" s="9">
        <f>RI63+QU64-(RB64+RC64+RD64+RE64+RF64+RG64+QZ64)</f>
        <v/>
      </c>
      <c r="RJ64" s="12">
        <f>IF(QO64&gt;0,QP64/QO64,0)</f>
        <v/>
      </c>
      <c r="RK64" s="11">
        <f>IF(QO63&gt;0,MAX(0,(QO63+PZ64-QO64)/QO63),0)</f>
        <v/>
      </c>
      <c r="RM64" s="12" t="n">
        <v>60</v>
      </c>
      <c r="RN64" s="12">
        <f>MOD(RM64-1+LaunchMonth-1,12)+1</f>
        <v/>
      </c>
      <c r="RO64" s="12">
        <f>INT((RM64-1+LaunchMonth-1)/12)+1</f>
        <v/>
      </c>
      <c r="RP64" s="12">
        <f>VLOOKUP(RN64,SeasonTable,2,FALSE)</f>
        <v/>
      </c>
      <c r="RQ64" s="12">
        <f>(1+InflationRate)^INT((RM64-1)/12)</f>
        <v/>
      </c>
      <c r="RR64" s="11">
        <f>'Sens - Churn'!$A$20*VLOOKUP(RN64,ChurnSeasonTable,4,FALSE)</f>
        <v/>
      </c>
      <c r="RS64" s="12">
        <f>MIN(MAX(MktMin19plus,SQ63*MktPct19plus),MAX(0,TE63-CashBuffer))</f>
        <v/>
      </c>
      <c r="RT64" s="12">
        <f>IF(RS64&gt;0,MAX(1,ROUND(RS64/CAC*RP64,0)),0)</f>
        <v/>
      </c>
      <c r="RU64" s="12">
        <f>IF(RT64&gt;0,ROUND(RT64*ReferralMix/(1-ReferralMix),0),0)</f>
        <v/>
      </c>
      <c r="RV64" s="12">
        <f>RT64+RU64</f>
        <v/>
      </c>
      <c r="RW64" s="12">
        <f>ROUND(RV64*(1-AnnualMix),0)</f>
        <v/>
      </c>
      <c r="RX64" s="12">
        <f>RV64-RW64</f>
        <v/>
      </c>
      <c r="RY64" s="12">
        <f>ROUND(RW64*EssentialMix,0)</f>
        <v/>
      </c>
      <c r="RZ64" s="12">
        <f>ROUND(RW64*PremiumMix,0)</f>
        <v/>
      </c>
      <c r="SA64" s="12">
        <f>RW64-RY64-RZ64</f>
        <v/>
      </c>
      <c r="SB64" s="12">
        <f>ROUND(RX64*EssentialMix,0)</f>
        <v/>
      </c>
      <c r="SC64" s="12">
        <f>ROUND(RX64*PremiumMix,0)</f>
        <v/>
      </c>
      <c r="SD64" s="12">
        <f>RX64-SB64-SC64</f>
        <v/>
      </c>
      <c r="SE64" s="12">
        <f>RY64+RY63+RY62+MAX(0,SE63-RY63-RY62)*(1-RR64)</f>
        <v/>
      </c>
      <c r="SF64" s="12">
        <f>RZ64+RZ63+RZ62+MAX(0,SF63-RZ63-RZ62)*(1-RR64)</f>
        <v/>
      </c>
      <c r="SG64" s="12">
        <f>SA64+SA63+SA62+MAX(0,SG63-SA63-SA62)*(1-RR64)</f>
        <v/>
      </c>
      <c r="SH64" s="12">
        <f>SH63+SB64-SB52*(AnnualChurn*VLOOKUP(RN64,ChurnSeasonTable,4,FALSE))*POWER(1-(AnnualChurn*VLOOKUP(RN64,ChurnSeasonTable,4,FALSE)),0)+SB40*(AnnualChurn*VLOOKUP(RN64,ChurnSeasonTable,4,FALSE))*POWER(1-(AnnualChurn*VLOOKUP(RN64,ChurnSeasonTable,4,FALSE)),1)+SB28*(AnnualChurn*VLOOKUP(RN64,ChurnSeasonTable,4,FALSE))*POWER(1-(AnnualChurn*VLOOKUP(RN64,ChurnSeasonTable,4,FALSE)),2)+SB16*(AnnualChurn*VLOOKUP(RN64,ChurnSeasonTable,4,FALSE))*POWER(1-(AnnualChurn*VLOOKUP(RN64,ChurnSeasonTable,4,FALSE)),3)</f>
        <v/>
      </c>
      <c r="SI64" s="12">
        <f>SI63+SC64-SC52*(AnnualChurn*VLOOKUP(RN64,ChurnSeasonTable,4,FALSE))*POWER(1-(AnnualChurn*VLOOKUP(RN64,ChurnSeasonTable,4,FALSE)),0)+SC40*(AnnualChurn*VLOOKUP(RN64,ChurnSeasonTable,4,FALSE))*POWER(1-(AnnualChurn*VLOOKUP(RN64,ChurnSeasonTable,4,FALSE)),1)+SC28*(AnnualChurn*VLOOKUP(RN64,ChurnSeasonTable,4,FALSE))*POWER(1-(AnnualChurn*VLOOKUP(RN64,ChurnSeasonTable,4,FALSE)),2)+SC16*(AnnualChurn*VLOOKUP(RN64,ChurnSeasonTable,4,FALSE))*POWER(1-(AnnualChurn*VLOOKUP(RN64,ChurnSeasonTable,4,FALSE)),3)</f>
        <v/>
      </c>
      <c r="SJ64" s="12">
        <f>SJ63+SD64-SD52*(AnnualChurn*VLOOKUP(RN64,ChurnSeasonTable,4,FALSE))*POWER(1-(AnnualChurn*VLOOKUP(RN64,ChurnSeasonTable,4,FALSE)),0)+SD40*(AnnualChurn*VLOOKUP(RN64,ChurnSeasonTable,4,FALSE))*POWER(1-(AnnualChurn*VLOOKUP(RN64,ChurnSeasonTable,4,FALSE)),1)+SD28*(AnnualChurn*VLOOKUP(RN64,ChurnSeasonTable,4,FALSE))*POWER(1-(AnnualChurn*VLOOKUP(RN64,ChurnSeasonTable,4,FALSE)),2)+SD16*(AnnualChurn*VLOOKUP(RN64,ChurnSeasonTable,4,FALSE))*POWER(1-(AnnualChurn*VLOOKUP(RN64,ChurnSeasonTable,4,FALSE)),3)</f>
        <v/>
      </c>
      <c r="SK64" s="12">
        <f>SE64+SF64+SG64+SH64+SI64+SJ64</f>
        <v/>
      </c>
      <c r="SL64" s="9">
        <f>SE64*BlendedPriceEssMonthly*RQ64+SF64*BlendedPricePremMonthly*RQ64+SG64*BlendedPriceEliteMonthly*RQ64+SH64*BlendedPriceEssAnnual*RQ64/12+SI64*BlendedPricePremAnnual*RQ64/12+SJ64*BlendedPriceEliteAnnual*RQ64/12</f>
        <v/>
      </c>
      <c r="SM64" s="9">
        <f>SL64*12</f>
        <v/>
      </c>
      <c r="SN64" s="12">
        <f>SE64*BlendedPriceEssMonthly*RQ64+SF64*BlendedPricePremMonthly*RQ64+SG64*BlendedPriceEliteMonthly*RQ64</f>
        <v/>
      </c>
      <c r="SO64" s="12">
        <f>SB64*BlendedPriceEssAnnual*RQ64+SC64*BlendedPricePremAnnual*RQ64+SD64*BlendedPriceEliteAnnual*RQ64</f>
        <v/>
      </c>
      <c r="SP64" s="12">
        <f>SB52*POWER(1-(AnnualChurn*VLOOKUP(RN64,ChurnSeasonTable,4,FALSE)),1)*BlendedPriceEssAnnual*RQ64+SB40*POWER(1-(AnnualChurn*VLOOKUP(RN64,ChurnSeasonTable,4,FALSE)),2)*BlendedPriceEssAnnual*RQ64+SB28*POWER(1-(AnnualChurn*VLOOKUP(RN64,ChurnSeasonTable,4,FALSE)),3)*BlendedPriceEssAnnual*RQ64+SB16*POWER(1-(AnnualChurn*VLOOKUP(RN64,ChurnSeasonTable,4,FALSE)),4)*BlendedPriceEssAnnual*RQ64+SC52*POWER(1-(AnnualChurn*VLOOKUP(RN64,ChurnSeasonTable,4,FALSE)),1)*BlendedPricePremAnnual*RQ64+SC40*POWER(1-(AnnualChurn*VLOOKUP(RN64,ChurnSeasonTable,4,FALSE)),2)*BlendedPricePremAnnual*RQ64+SC28*POWER(1-(AnnualChurn*VLOOKUP(RN64,ChurnSeasonTable,4,FALSE)),3)*BlendedPricePremAnnual*RQ64+SC16*POWER(1-(AnnualChurn*VLOOKUP(RN64,ChurnSeasonTable,4,FALSE)),4)*BlendedPricePremAnnual*RQ64+SD52*POWER(1-(AnnualChurn*VLOOKUP(RN64,ChurnSeasonTable,4,FALSE)),1)*BlendedPriceEliteAnnual*RQ64+SD40*POWER(1-(AnnualChurn*VLOOKUP(RN64,ChurnSeasonTable,4,FALSE)),2)*BlendedPriceEliteAnnual*RQ64+SD28*POWER(1-(AnnualChurn*VLOOKUP(RN64,ChurnSeasonTable,4,FALSE)),3)*BlendedPriceEliteAnnual*RQ64+SD16*POWER(1-(AnnualChurn*VLOOKUP(RN64,ChurnSeasonTable,4,FALSE)),4)*BlendedPriceEliteAnnual*RQ64</f>
        <v/>
      </c>
      <c r="SQ64" s="9">
        <f>SN64+SO64+SP64</f>
        <v/>
      </c>
      <c r="SR64" s="12">
        <f>SUM(SQ53:SQ64)</f>
        <v/>
      </c>
      <c r="SS64" s="12">
        <f>OR(SS63,IF(VATAgentMode,SUM($SQ53:$SQ64)-SUM($SX53:$SX64)&gt;=VATThreshold,SUM($SQ53:$SQ64)&gt;=VATThreshold))</f>
        <v/>
      </c>
      <c r="ST64" s="9">
        <f>IF(SS64,IF(VATAgentMode,SQ64-((SQ64-SX64)-(SQ64-SX64)/(1+VATRate)),SQ64/(1+VATRate)),SQ64)</f>
        <v/>
      </c>
      <c r="SU64" s="12">
        <f>SQ64-ST64</f>
        <v/>
      </c>
      <c r="SV64" s="12">
        <f>IF(SS64=0,0,IF(RN64=1,SUMPRODUCT(--(($RO$5:$RO64=$RO64-1)*($RN$5:$RN64&gt;=10)*($RN$5:$RN64&lt;=12)),$SU$5:$SU64),IF(RN64=4,SUMPRODUCT(--(($RO$5:$RO64=$RO64)*($RN$5:$RN64&gt;=1)*($RN$5:$RN64&lt;=3)),$SU$5:$SU64),IF(RN64=7,SUMPRODUCT(--(($RO$5:$RO64=$RO64)*($RN$5:$RN64&gt;=4)*($RN$5:$RN64&lt;=6)),$SU$5:$SU64),IF(RN64=10,SUMPRODUCT(--(($RO$5:$RO64=$RO64)*($RN$5:$RN64&gt;=7)*($RN$5:$RN64&lt;=9)),$SU$5:$SU64),0)))))</f>
        <v/>
      </c>
      <c r="SW64" s="12">
        <f>SW63+SU64-SV64</f>
        <v/>
      </c>
      <c r="SX64" s="12">
        <f>IF(ProviderDelay&gt;=1,SE63*BlendedProvPayEss+SF63*BlendedProvPayPrem+SG63*BlendedProvPayElite+SH63*BlendedProvPayEss+SI63*BlendedProvPayPrem+SJ63*BlendedProvPayElite,SE64*BlendedProvPayEss+SF64*BlendedProvPayPrem+SG64*BlendedProvPayElite+SH64*BlendedProvPayEss+SI64*BlendedProvPayPrem+SJ64*BlendedProvPayElite)</f>
        <v/>
      </c>
      <c r="SY64" s="12">
        <f>SQ64*PaymentFee</f>
        <v/>
      </c>
      <c r="SZ64" s="12">
        <f>SK64*OpsAI</f>
        <v/>
      </c>
      <c r="TA64" s="12">
        <f>MonthlyFixed</f>
        <v/>
      </c>
      <c r="TB64" s="12">
        <f>RU64*ReferralReward</f>
        <v/>
      </c>
      <c r="TC64" s="12">
        <f>RS64</f>
        <v/>
      </c>
      <c r="TD64" s="9">
        <f>ST64-SX64-SY64-SZ64-TA64-TB64-TC64</f>
        <v/>
      </c>
      <c r="TE64" s="9">
        <f>TE63+SQ64-(SX64+SY64+SZ64+TA64+TB64+TC64+SV64)</f>
        <v/>
      </c>
      <c r="TF64" s="12">
        <f>IF(SK64&gt;0,SL64/SK64,0)</f>
        <v/>
      </c>
      <c r="TG64" s="11">
        <f>IF(SK63&gt;0,MAX(0,(SK63+RV64-SK64)/SK63),0)</f>
        <v/>
      </c>
      <c r="TI64" s="12" t="n">
        <v>60</v>
      </c>
      <c r="TJ64" s="12">
        <f>MOD(TI64-1+LaunchMonth-1,12)+1</f>
        <v/>
      </c>
      <c r="TK64" s="12">
        <f>INT((TI64-1+LaunchMonth-1)/12)+1</f>
        <v/>
      </c>
      <c r="TL64" s="12">
        <f>VLOOKUP(TJ64,SeasonTable,2,FALSE)</f>
        <v/>
      </c>
      <c r="TM64" s="12">
        <f>(1+InflationRate)^INT((TI64-1)/12)</f>
        <v/>
      </c>
      <c r="TN64" s="11">
        <f>'Sens - Churn'!$A$21*VLOOKUP(TJ64,ChurnSeasonTable,4,FALSE)</f>
        <v/>
      </c>
      <c r="TO64" s="12">
        <f>MIN(MAX(MktMin19plus,UM63*MktPct19plus),MAX(0,VA63-CashBuffer))</f>
        <v/>
      </c>
      <c r="TP64" s="12">
        <f>IF(TO64&gt;0,MAX(1,ROUND(TO64/CAC*TL64,0)),0)</f>
        <v/>
      </c>
      <c r="TQ64" s="12">
        <f>IF(TP64&gt;0,ROUND(TP64*ReferralMix/(1-ReferralMix),0),0)</f>
        <v/>
      </c>
      <c r="TR64" s="12">
        <f>TP64+TQ64</f>
        <v/>
      </c>
      <c r="TS64" s="12">
        <f>ROUND(TR64*(1-AnnualMix),0)</f>
        <v/>
      </c>
      <c r="TT64" s="12">
        <f>TR64-TS64</f>
        <v/>
      </c>
      <c r="TU64" s="12">
        <f>ROUND(TS64*EssentialMix,0)</f>
        <v/>
      </c>
      <c r="TV64" s="12">
        <f>ROUND(TS64*PremiumMix,0)</f>
        <v/>
      </c>
      <c r="TW64" s="12">
        <f>TS64-TU64-TV64</f>
        <v/>
      </c>
      <c r="TX64" s="12">
        <f>ROUND(TT64*EssentialMix,0)</f>
        <v/>
      </c>
      <c r="TY64" s="12">
        <f>ROUND(TT64*PremiumMix,0)</f>
        <v/>
      </c>
      <c r="TZ64" s="12">
        <f>TT64-TX64-TY64</f>
        <v/>
      </c>
      <c r="UA64" s="12">
        <f>TU64+TU63+TU62+MAX(0,UA63-TU63-TU62)*(1-TN64)</f>
        <v/>
      </c>
      <c r="UB64" s="12">
        <f>TV64+TV63+TV62+MAX(0,UB63-TV63-TV62)*(1-TN64)</f>
        <v/>
      </c>
      <c r="UC64" s="12">
        <f>TW64+TW63+TW62+MAX(0,UC63-TW63-TW62)*(1-TN64)</f>
        <v/>
      </c>
      <c r="UD64" s="12">
        <f>UD63+TX64-TX52*(AnnualChurn*VLOOKUP(TJ64,ChurnSeasonTable,4,FALSE))*POWER(1-(AnnualChurn*VLOOKUP(TJ64,ChurnSeasonTable,4,FALSE)),0)+TX40*(AnnualChurn*VLOOKUP(TJ64,ChurnSeasonTable,4,FALSE))*POWER(1-(AnnualChurn*VLOOKUP(TJ64,ChurnSeasonTable,4,FALSE)),1)+TX28*(AnnualChurn*VLOOKUP(TJ64,ChurnSeasonTable,4,FALSE))*POWER(1-(AnnualChurn*VLOOKUP(TJ64,ChurnSeasonTable,4,FALSE)),2)+TX16*(AnnualChurn*VLOOKUP(TJ64,ChurnSeasonTable,4,FALSE))*POWER(1-(AnnualChurn*VLOOKUP(TJ64,ChurnSeasonTable,4,FALSE)),3)</f>
        <v/>
      </c>
      <c r="UE64" s="12">
        <f>UE63+TY64-TY52*(AnnualChurn*VLOOKUP(TJ64,ChurnSeasonTable,4,FALSE))*POWER(1-(AnnualChurn*VLOOKUP(TJ64,ChurnSeasonTable,4,FALSE)),0)+TY40*(AnnualChurn*VLOOKUP(TJ64,ChurnSeasonTable,4,FALSE))*POWER(1-(AnnualChurn*VLOOKUP(TJ64,ChurnSeasonTable,4,FALSE)),1)+TY28*(AnnualChurn*VLOOKUP(TJ64,ChurnSeasonTable,4,FALSE))*POWER(1-(AnnualChurn*VLOOKUP(TJ64,ChurnSeasonTable,4,FALSE)),2)+TY16*(AnnualChurn*VLOOKUP(TJ64,ChurnSeasonTable,4,FALSE))*POWER(1-(AnnualChurn*VLOOKUP(TJ64,ChurnSeasonTable,4,FALSE)),3)</f>
        <v/>
      </c>
      <c r="UF64" s="12">
        <f>UF63+TZ64-TZ52*(AnnualChurn*VLOOKUP(TJ64,ChurnSeasonTable,4,FALSE))*POWER(1-(AnnualChurn*VLOOKUP(TJ64,ChurnSeasonTable,4,FALSE)),0)+TZ40*(AnnualChurn*VLOOKUP(TJ64,ChurnSeasonTable,4,FALSE))*POWER(1-(AnnualChurn*VLOOKUP(TJ64,ChurnSeasonTable,4,FALSE)),1)+TZ28*(AnnualChurn*VLOOKUP(TJ64,ChurnSeasonTable,4,FALSE))*POWER(1-(AnnualChurn*VLOOKUP(TJ64,ChurnSeasonTable,4,FALSE)),2)+TZ16*(AnnualChurn*VLOOKUP(TJ64,ChurnSeasonTable,4,FALSE))*POWER(1-(AnnualChurn*VLOOKUP(TJ64,ChurnSeasonTable,4,FALSE)),3)</f>
        <v/>
      </c>
      <c r="UG64" s="12">
        <f>UA64+UB64+UC64+UD64+UE64+UF64</f>
        <v/>
      </c>
      <c r="UH64" s="9">
        <f>UA64*BlendedPriceEssMonthly*TM64+UB64*BlendedPricePremMonthly*TM64+UC64*BlendedPriceEliteMonthly*TM64+UD64*BlendedPriceEssAnnual*TM64/12+UE64*BlendedPricePremAnnual*TM64/12+UF64*BlendedPriceEliteAnnual*TM64/12</f>
        <v/>
      </c>
      <c r="UI64" s="9">
        <f>UH64*12</f>
        <v/>
      </c>
      <c r="UJ64" s="12">
        <f>UA64*BlendedPriceEssMonthly*TM64+UB64*BlendedPricePremMonthly*TM64+UC64*BlendedPriceEliteMonthly*TM64</f>
        <v/>
      </c>
      <c r="UK64" s="12">
        <f>TX64*BlendedPriceEssAnnual*TM64+TY64*BlendedPricePremAnnual*TM64+TZ64*BlendedPriceEliteAnnual*TM64</f>
        <v/>
      </c>
      <c r="UL64" s="12">
        <f>TX52*POWER(1-(AnnualChurn*VLOOKUP(TJ64,ChurnSeasonTable,4,FALSE)),1)*BlendedPriceEssAnnual*TM64+TX40*POWER(1-(AnnualChurn*VLOOKUP(TJ64,ChurnSeasonTable,4,FALSE)),2)*BlendedPriceEssAnnual*TM64+TX28*POWER(1-(AnnualChurn*VLOOKUP(TJ64,ChurnSeasonTable,4,FALSE)),3)*BlendedPriceEssAnnual*TM64+TX16*POWER(1-(AnnualChurn*VLOOKUP(TJ64,ChurnSeasonTable,4,FALSE)),4)*BlendedPriceEssAnnual*TM64+TY52*POWER(1-(AnnualChurn*VLOOKUP(TJ64,ChurnSeasonTable,4,FALSE)),1)*BlendedPricePremAnnual*TM64+TY40*POWER(1-(AnnualChurn*VLOOKUP(TJ64,ChurnSeasonTable,4,FALSE)),2)*BlendedPricePremAnnual*TM64+TY28*POWER(1-(AnnualChurn*VLOOKUP(TJ64,ChurnSeasonTable,4,FALSE)),3)*BlendedPricePremAnnual*TM64+TY16*POWER(1-(AnnualChurn*VLOOKUP(TJ64,ChurnSeasonTable,4,FALSE)),4)*BlendedPricePremAnnual*TM64+TZ52*POWER(1-(AnnualChurn*VLOOKUP(TJ64,ChurnSeasonTable,4,FALSE)),1)*BlendedPriceEliteAnnual*TM64+TZ40*POWER(1-(AnnualChurn*VLOOKUP(TJ64,ChurnSeasonTable,4,FALSE)),2)*BlendedPriceEliteAnnual*TM64+TZ28*POWER(1-(AnnualChurn*VLOOKUP(TJ64,ChurnSeasonTable,4,FALSE)),3)*BlendedPriceEliteAnnual*TM64+TZ16*POWER(1-(AnnualChurn*VLOOKUP(TJ64,ChurnSeasonTable,4,FALSE)),4)*BlendedPriceEliteAnnual*TM64</f>
        <v/>
      </c>
      <c r="UM64" s="9">
        <f>UJ64+UK64+UL64</f>
        <v/>
      </c>
      <c r="UN64" s="12">
        <f>SUM(UM53:UM64)</f>
        <v/>
      </c>
      <c r="UO64" s="12">
        <f>OR(UO63,IF(VATAgentMode,SUM($UM53:$UM64)-SUM($UT53:$UT64)&gt;=VATThreshold,SUM($UM53:$UM64)&gt;=VATThreshold))</f>
        <v/>
      </c>
      <c r="UP64" s="9">
        <f>IF(UO64,IF(VATAgentMode,UM64-((UM64-UT64)-(UM64-UT64)/(1+VATRate)),UM64/(1+VATRate)),UM64)</f>
        <v/>
      </c>
      <c r="UQ64" s="12">
        <f>UM64-UP64</f>
        <v/>
      </c>
      <c r="UR64" s="12">
        <f>IF(UO64=0,0,IF(TJ64=1,SUMPRODUCT(--(($TK$5:$TK64=$TK64-1)*($TJ$5:$TJ64&gt;=10)*($TJ$5:$TJ64&lt;=12)),$UQ$5:$UQ64),IF(TJ64=4,SUMPRODUCT(--(($TK$5:$TK64=$TK64)*($TJ$5:$TJ64&gt;=1)*($TJ$5:$TJ64&lt;=3)),$UQ$5:$UQ64),IF(TJ64=7,SUMPRODUCT(--(($TK$5:$TK64=$TK64)*($TJ$5:$TJ64&gt;=4)*($TJ$5:$TJ64&lt;=6)),$UQ$5:$UQ64),IF(TJ64=10,SUMPRODUCT(--(($TK$5:$TK64=$TK64)*($TJ$5:$TJ64&gt;=7)*($TJ$5:$TJ64&lt;=9)),$UQ$5:$UQ64),0)))))</f>
        <v/>
      </c>
      <c r="US64" s="12">
        <f>US63+UQ64-UR64</f>
        <v/>
      </c>
      <c r="UT64" s="12">
        <f>IF(ProviderDelay&gt;=1,UA63*BlendedProvPayEss+UB63*BlendedProvPayPrem+UC63*BlendedProvPayElite+UD63*BlendedProvPayEss+UE63*BlendedProvPayPrem+UF63*BlendedProvPayElite,UA64*BlendedProvPayEss+UB64*BlendedProvPayPrem+UC64*BlendedProvPayElite+UD64*BlendedProvPayEss+UE64*BlendedProvPayPrem+UF64*BlendedProvPayElite)</f>
        <v/>
      </c>
      <c r="UU64" s="12">
        <f>UM64*PaymentFee</f>
        <v/>
      </c>
      <c r="UV64" s="12">
        <f>UG64*OpsAI</f>
        <v/>
      </c>
      <c r="UW64" s="12">
        <f>MonthlyFixed</f>
        <v/>
      </c>
      <c r="UX64" s="12">
        <f>TQ64*ReferralReward</f>
        <v/>
      </c>
      <c r="UY64" s="12">
        <f>TO64</f>
        <v/>
      </c>
      <c r="UZ64" s="9">
        <f>UP64-UT64-UU64-UV64-UW64-UX64-UY64</f>
        <v/>
      </c>
      <c r="VA64" s="9">
        <f>VA63+UM64-(UT64+UU64+UV64+UW64+UX64+UY64+UR64)</f>
        <v/>
      </c>
      <c r="VB64" s="12">
        <f>IF(UG64&gt;0,UH64/UG64,0)</f>
        <v/>
      </c>
      <c r="VC64" s="11">
        <f>IF(UG63&gt;0,MAX(0,(UG63+TR64-UG64)/UG63),0)</f>
        <v/>
      </c>
      <c r="VE64" s="12" t="n">
        <v>60</v>
      </c>
      <c r="VF64" s="12">
        <f>MOD(VE64-1+LaunchMonth-1,12)+1</f>
        <v/>
      </c>
      <c r="VG64" s="12">
        <f>INT((VE64-1+LaunchMonth-1)/12)+1</f>
        <v/>
      </c>
      <c r="VH64" s="12">
        <f>VLOOKUP(VF64,SeasonTable,2,FALSE)</f>
        <v/>
      </c>
      <c r="VI64" s="12">
        <f>(1+InflationRate)^INT((VE64-1)/12)</f>
        <v/>
      </c>
      <c r="VJ64" s="11">
        <f>MonthlyChurn*VLOOKUP(VF64,ChurnSeasonTable,4,FALSE)</f>
        <v/>
      </c>
      <c r="VK64" s="12">
        <f>MIN(MAX(MktMin19plus,WI63*MktPct19plus),MAX(0,WW63-CashBuffer))</f>
        <v/>
      </c>
      <c r="VL64" s="12">
        <f>IF(VK64&gt;0,MAX(1,ROUND(VK64/CAC*VH64,0)),0)</f>
        <v/>
      </c>
      <c r="VM64" s="12">
        <f>IF(VL64&gt;0,ROUND(VL64*ReferralMix/(1-ReferralMix),0),0)</f>
        <v/>
      </c>
      <c r="VN64" s="12">
        <f>VL64+VM64</f>
        <v/>
      </c>
      <c r="VO64" s="12">
        <f>ROUND(VN64*(1-'Sens - Annual Mix'!$A$9),0)</f>
        <v/>
      </c>
      <c r="VP64" s="12">
        <f>VN64-VO64</f>
        <v/>
      </c>
      <c r="VQ64" s="12">
        <f>ROUND(VO64*EssentialMix,0)</f>
        <v/>
      </c>
      <c r="VR64" s="12">
        <f>ROUND(VO64*PremiumMix,0)</f>
        <v/>
      </c>
      <c r="VS64" s="12">
        <f>VO64-VQ64-VR64</f>
        <v/>
      </c>
      <c r="VT64" s="12">
        <f>ROUND(VP64*EssentialMix,0)</f>
        <v/>
      </c>
      <c r="VU64" s="12">
        <f>ROUND(VP64*PremiumMix,0)</f>
        <v/>
      </c>
      <c r="VV64" s="12">
        <f>VP64-VT64-VU64</f>
        <v/>
      </c>
      <c r="VW64" s="12">
        <f>VQ64+VQ63+VQ62+MAX(0,VW63-VQ63-VQ62)*(1-VJ64)</f>
        <v/>
      </c>
      <c r="VX64" s="12">
        <f>VR64+VR63+VR62+MAX(0,VX63-VR63-VR62)*(1-VJ64)</f>
        <v/>
      </c>
      <c r="VY64" s="12">
        <f>VS64+VS63+VS62+MAX(0,VY63-VS63-VS62)*(1-VJ64)</f>
        <v/>
      </c>
      <c r="VZ64" s="12">
        <f>VZ63+VT64-VT52*(AnnualChurn*VLOOKUP(VF64,ChurnSeasonTable,4,FALSE))*POWER(1-(AnnualChurn*VLOOKUP(VF64,ChurnSeasonTable,4,FALSE)),0)+VT40*(AnnualChurn*VLOOKUP(VF64,ChurnSeasonTable,4,FALSE))*POWER(1-(AnnualChurn*VLOOKUP(VF64,ChurnSeasonTable,4,FALSE)),1)+VT28*(AnnualChurn*VLOOKUP(VF64,ChurnSeasonTable,4,FALSE))*POWER(1-(AnnualChurn*VLOOKUP(VF64,ChurnSeasonTable,4,FALSE)),2)+VT16*(AnnualChurn*VLOOKUP(VF64,ChurnSeasonTable,4,FALSE))*POWER(1-(AnnualChurn*VLOOKUP(VF64,ChurnSeasonTable,4,FALSE)),3)</f>
        <v/>
      </c>
      <c r="WA64" s="12">
        <f>WA63+VU64-VU52*(AnnualChurn*VLOOKUP(VF64,ChurnSeasonTable,4,FALSE))*POWER(1-(AnnualChurn*VLOOKUP(VF64,ChurnSeasonTable,4,FALSE)),0)+VU40*(AnnualChurn*VLOOKUP(VF64,ChurnSeasonTable,4,FALSE))*POWER(1-(AnnualChurn*VLOOKUP(VF64,ChurnSeasonTable,4,FALSE)),1)+VU28*(AnnualChurn*VLOOKUP(VF64,ChurnSeasonTable,4,FALSE))*POWER(1-(AnnualChurn*VLOOKUP(VF64,ChurnSeasonTable,4,FALSE)),2)+VU16*(AnnualChurn*VLOOKUP(VF64,ChurnSeasonTable,4,FALSE))*POWER(1-(AnnualChurn*VLOOKUP(VF64,ChurnSeasonTable,4,FALSE)),3)</f>
        <v/>
      </c>
      <c r="WB64" s="12">
        <f>WB63+VV64-VV52*(AnnualChurn*VLOOKUP(VF64,ChurnSeasonTable,4,FALSE))*POWER(1-(AnnualChurn*VLOOKUP(VF64,ChurnSeasonTable,4,FALSE)),0)+VV40*(AnnualChurn*VLOOKUP(VF64,ChurnSeasonTable,4,FALSE))*POWER(1-(AnnualChurn*VLOOKUP(VF64,ChurnSeasonTable,4,FALSE)),1)+VV28*(AnnualChurn*VLOOKUP(VF64,ChurnSeasonTable,4,FALSE))*POWER(1-(AnnualChurn*VLOOKUP(VF64,ChurnSeasonTable,4,FALSE)),2)+VV16*(AnnualChurn*VLOOKUP(VF64,ChurnSeasonTable,4,FALSE))*POWER(1-(AnnualChurn*VLOOKUP(VF64,ChurnSeasonTable,4,FALSE)),3)</f>
        <v/>
      </c>
      <c r="WC64" s="12">
        <f>VW64+VX64+VY64+VZ64+WA64+WB64</f>
        <v/>
      </c>
      <c r="WD64" s="9">
        <f>VW64*BlendedPriceEssMonthly*VI64+VX64*BlendedPricePremMonthly*VI64+VY64*BlendedPriceEliteMonthly*VI64+VZ64*BlendedPriceEssAnnual*VI64/12+WA64*BlendedPricePremAnnual*VI64/12+WB64*BlendedPriceEliteAnnual*VI64/12</f>
        <v/>
      </c>
      <c r="WE64" s="9">
        <f>WD64*12</f>
        <v/>
      </c>
      <c r="WF64" s="12">
        <f>VW64*BlendedPriceEssMonthly*VI64+VX64*BlendedPricePremMonthly*VI64+VY64*BlendedPriceEliteMonthly*VI64</f>
        <v/>
      </c>
      <c r="WG64" s="12">
        <f>VT64*BlendedPriceEssAnnual*VI64+VU64*BlendedPricePremAnnual*VI64+VV64*BlendedPriceEliteAnnual*VI64</f>
        <v/>
      </c>
      <c r="WH64" s="12">
        <f>VT52*POWER(1-(AnnualChurn*VLOOKUP(VF64,ChurnSeasonTable,4,FALSE)),1)*BlendedPriceEssAnnual*VI64+VT40*POWER(1-(AnnualChurn*VLOOKUP(VF64,ChurnSeasonTable,4,FALSE)),2)*BlendedPriceEssAnnual*VI64+VT28*POWER(1-(AnnualChurn*VLOOKUP(VF64,ChurnSeasonTable,4,FALSE)),3)*BlendedPriceEssAnnual*VI64+VT16*POWER(1-(AnnualChurn*VLOOKUP(VF64,ChurnSeasonTable,4,FALSE)),4)*BlendedPriceEssAnnual*VI64+VU52*POWER(1-(AnnualChurn*VLOOKUP(VF64,ChurnSeasonTable,4,FALSE)),1)*BlendedPricePremAnnual*VI64+VU40*POWER(1-(AnnualChurn*VLOOKUP(VF64,ChurnSeasonTable,4,FALSE)),2)*BlendedPricePremAnnual*VI64+VU28*POWER(1-(AnnualChurn*VLOOKUP(VF64,ChurnSeasonTable,4,FALSE)),3)*BlendedPricePremAnnual*VI64+VU16*POWER(1-(AnnualChurn*VLOOKUP(VF64,ChurnSeasonTable,4,FALSE)),4)*BlendedPricePremAnnual*VI64+VV52*POWER(1-(AnnualChurn*VLOOKUP(VF64,ChurnSeasonTable,4,FALSE)),1)*BlendedPriceEliteAnnual*VI64+VV40*POWER(1-(AnnualChurn*VLOOKUP(VF64,ChurnSeasonTable,4,FALSE)),2)*BlendedPriceEliteAnnual*VI64+VV28*POWER(1-(AnnualChurn*VLOOKUP(VF64,ChurnSeasonTable,4,FALSE)),3)*BlendedPriceEliteAnnual*VI64+VV16*POWER(1-(AnnualChurn*VLOOKUP(VF64,ChurnSeasonTable,4,FALSE)),4)*BlendedPriceEliteAnnual*VI64</f>
        <v/>
      </c>
      <c r="WI64" s="9">
        <f>WF64+WG64+WH64</f>
        <v/>
      </c>
      <c r="WJ64" s="12">
        <f>SUM(WI53:WI64)</f>
        <v/>
      </c>
      <c r="WK64" s="12">
        <f>OR(WK63,IF(VATAgentMode,SUM($WI53:$WI64)-SUM($WP53:$WP64)&gt;=VATThreshold,SUM($WI53:$WI64)&gt;=VATThreshold))</f>
        <v/>
      </c>
      <c r="WL64" s="9">
        <f>IF(WK64,IF(VATAgentMode,WI64-((WI64-WP64)-(WI64-WP64)/(1+VATRate)),WI64/(1+VATRate)),WI64)</f>
        <v/>
      </c>
      <c r="WM64" s="12">
        <f>WI64-WL64</f>
        <v/>
      </c>
      <c r="WN64" s="12">
        <f>IF(WK64=0,0,IF(VF64=1,SUMPRODUCT(--(($VG$5:$VG64=$VG64-1)*($VF$5:$VF64&gt;=10)*($VF$5:$VF64&lt;=12)),$WM$5:$WM64),IF(VF64=4,SUMPRODUCT(--(($VG$5:$VG64=$VG64)*($VF$5:$VF64&gt;=1)*($VF$5:$VF64&lt;=3)),$WM$5:$WM64),IF(VF64=7,SUMPRODUCT(--(($VG$5:$VG64=$VG64)*($VF$5:$VF64&gt;=4)*($VF$5:$VF64&lt;=6)),$WM$5:$WM64),IF(VF64=10,SUMPRODUCT(--(($VG$5:$VG64=$VG64)*($VF$5:$VF64&gt;=7)*($VF$5:$VF64&lt;=9)),$WM$5:$WM64),0)))))</f>
        <v/>
      </c>
      <c r="WO64" s="12">
        <f>WO63+WM64-WN64</f>
        <v/>
      </c>
      <c r="WP64" s="12">
        <f>IF(ProviderDelay&gt;=1,VW63*BlendedProvPayEss+VX63*BlendedProvPayPrem+VY63*BlendedProvPayElite+VZ63*BlendedProvPayEss+WA63*BlendedProvPayPrem+WB63*BlendedProvPayElite,VW64*BlendedProvPayEss+VX64*BlendedProvPayPrem+VY64*BlendedProvPayElite+VZ64*BlendedProvPayEss+WA64*BlendedProvPayPrem+WB64*BlendedProvPayElite)</f>
        <v/>
      </c>
      <c r="WQ64" s="12">
        <f>WI64*PaymentFee</f>
        <v/>
      </c>
      <c r="WR64" s="12">
        <f>WC64*OpsAI</f>
        <v/>
      </c>
      <c r="WS64" s="12">
        <f>MonthlyFixed</f>
        <v/>
      </c>
      <c r="WT64" s="12">
        <f>VM64*ReferralReward</f>
        <v/>
      </c>
      <c r="WU64" s="12">
        <f>VK64</f>
        <v/>
      </c>
      <c r="WV64" s="9">
        <f>WL64-WP64-WQ64-WR64-WS64-WT64-WU64</f>
        <v/>
      </c>
      <c r="WW64" s="9">
        <f>WW63+WI64-(WP64+WQ64+WR64+WS64+WT64+WU64+WN64)</f>
        <v/>
      </c>
      <c r="WX64" s="12">
        <f>IF(WC64&gt;0,WD64/WC64,0)</f>
        <v/>
      </c>
      <c r="WY64" s="11">
        <f>IF(WC63&gt;0,MAX(0,(WC63+VN64-WC64)/WC63),0)</f>
        <v/>
      </c>
      <c r="XA64" s="12" t="n">
        <v>60</v>
      </c>
      <c r="XB64" s="12">
        <f>MOD(XA64-1+LaunchMonth-1,12)+1</f>
        <v/>
      </c>
      <c r="XC64" s="12">
        <f>INT((XA64-1+LaunchMonth-1)/12)+1</f>
        <v/>
      </c>
      <c r="XD64" s="12">
        <f>VLOOKUP(XB64,SeasonTable,2,FALSE)</f>
        <v/>
      </c>
      <c r="XE64" s="12">
        <f>(1+InflationRate)^INT((XA64-1)/12)</f>
        <v/>
      </c>
      <c r="XF64" s="11">
        <f>MonthlyChurn*VLOOKUP(XB64,ChurnSeasonTable,4,FALSE)</f>
        <v/>
      </c>
      <c r="XG64" s="12">
        <f>MIN(MAX(MktMin19plus,YE63*MktPct19plus),MAX(0,YS63-CashBuffer))</f>
        <v/>
      </c>
      <c r="XH64" s="12">
        <f>IF(XG64&gt;0,MAX(1,ROUND(XG64/CAC*XD64,0)),0)</f>
        <v/>
      </c>
      <c r="XI64" s="12">
        <f>IF(XH64&gt;0,ROUND(XH64*ReferralMix/(1-ReferralMix),0),0)</f>
        <v/>
      </c>
      <c r="XJ64" s="12">
        <f>XH64+XI64</f>
        <v/>
      </c>
      <c r="XK64" s="12">
        <f>ROUND(XJ64*(1-'Sens - Annual Mix'!$A$10),0)</f>
        <v/>
      </c>
      <c r="XL64" s="12">
        <f>XJ64-XK64</f>
        <v/>
      </c>
      <c r="XM64" s="12">
        <f>ROUND(XK64*EssentialMix,0)</f>
        <v/>
      </c>
      <c r="XN64" s="12">
        <f>ROUND(XK64*PremiumMix,0)</f>
        <v/>
      </c>
      <c r="XO64" s="12">
        <f>XK64-XM64-XN64</f>
        <v/>
      </c>
      <c r="XP64" s="12">
        <f>ROUND(XL64*EssentialMix,0)</f>
        <v/>
      </c>
      <c r="XQ64" s="12">
        <f>ROUND(XL64*PremiumMix,0)</f>
        <v/>
      </c>
      <c r="XR64" s="12">
        <f>XL64-XP64-XQ64</f>
        <v/>
      </c>
      <c r="XS64" s="12">
        <f>XM64+XM63+XM62+MAX(0,XS63-XM63-XM62)*(1-XF64)</f>
        <v/>
      </c>
      <c r="XT64" s="12">
        <f>XN64+XN63+XN62+MAX(0,XT63-XN63-XN62)*(1-XF64)</f>
        <v/>
      </c>
      <c r="XU64" s="12">
        <f>XO64+XO63+XO62+MAX(0,XU63-XO63-XO62)*(1-XF64)</f>
        <v/>
      </c>
      <c r="XV64" s="12">
        <f>XV63+XP64-XP52*(AnnualChurn*VLOOKUP(XB64,ChurnSeasonTable,4,FALSE))*POWER(1-(AnnualChurn*VLOOKUP(XB64,ChurnSeasonTable,4,FALSE)),0)+XP40*(AnnualChurn*VLOOKUP(XB64,ChurnSeasonTable,4,FALSE))*POWER(1-(AnnualChurn*VLOOKUP(XB64,ChurnSeasonTable,4,FALSE)),1)+XP28*(AnnualChurn*VLOOKUP(XB64,ChurnSeasonTable,4,FALSE))*POWER(1-(AnnualChurn*VLOOKUP(XB64,ChurnSeasonTable,4,FALSE)),2)+XP16*(AnnualChurn*VLOOKUP(XB64,ChurnSeasonTable,4,FALSE))*POWER(1-(AnnualChurn*VLOOKUP(XB64,ChurnSeasonTable,4,FALSE)),3)</f>
        <v/>
      </c>
      <c r="XW64" s="12">
        <f>XW63+XQ64-XQ52*(AnnualChurn*VLOOKUP(XB64,ChurnSeasonTable,4,FALSE))*POWER(1-(AnnualChurn*VLOOKUP(XB64,ChurnSeasonTable,4,FALSE)),0)+XQ40*(AnnualChurn*VLOOKUP(XB64,ChurnSeasonTable,4,FALSE))*POWER(1-(AnnualChurn*VLOOKUP(XB64,ChurnSeasonTable,4,FALSE)),1)+XQ28*(AnnualChurn*VLOOKUP(XB64,ChurnSeasonTable,4,FALSE))*POWER(1-(AnnualChurn*VLOOKUP(XB64,ChurnSeasonTable,4,FALSE)),2)+XQ16*(AnnualChurn*VLOOKUP(XB64,ChurnSeasonTable,4,FALSE))*POWER(1-(AnnualChurn*VLOOKUP(XB64,ChurnSeasonTable,4,FALSE)),3)</f>
        <v/>
      </c>
      <c r="XX64" s="12">
        <f>XX63+XR64-XR52*(AnnualChurn*VLOOKUP(XB64,ChurnSeasonTable,4,FALSE))*POWER(1-(AnnualChurn*VLOOKUP(XB64,ChurnSeasonTable,4,FALSE)),0)+XR40*(AnnualChurn*VLOOKUP(XB64,ChurnSeasonTable,4,FALSE))*POWER(1-(AnnualChurn*VLOOKUP(XB64,ChurnSeasonTable,4,FALSE)),1)+XR28*(AnnualChurn*VLOOKUP(XB64,ChurnSeasonTable,4,FALSE))*POWER(1-(AnnualChurn*VLOOKUP(XB64,ChurnSeasonTable,4,FALSE)),2)+XR16*(AnnualChurn*VLOOKUP(XB64,ChurnSeasonTable,4,FALSE))*POWER(1-(AnnualChurn*VLOOKUP(XB64,ChurnSeasonTable,4,FALSE)),3)</f>
        <v/>
      </c>
      <c r="XY64" s="12">
        <f>XS64+XT64+XU64+XV64+XW64+XX64</f>
        <v/>
      </c>
      <c r="XZ64" s="9">
        <f>XS64*BlendedPriceEssMonthly*XE64+XT64*BlendedPricePremMonthly*XE64+XU64*BlendedPriceEliteMonthly*XE64+XV64*BlendedPriceEssAnnual*XE64/12+XW64*BlendedPricePremAnnual*XE64/12+XX64*BlendedPriceEliteAnnual*XE64/12</f>
        <v/>
      </c>
      <c r="YA64" s="9">
        <f>XZ64*12</f>
        <v/>
      </c>
      <c r="YB64" s="12">
        <f>XS64*BlendedPriceEssMonthly*XE64+XT64*BlendedPricePremMonthly*XE64+XU64*BlendedPriceEliteMonthly*XE64</f>
        <v/>
      </c>
      <c r="YC64" s="12">
        <f>XP64*BlendedPriceEssAnnual*XE64+XQ64*BlendedPricePremAnnual*XE64+XR64*BlendedPriceEliteAnnual*XE64</f>
        <v/>
      </c>
      <c r="YD64" s="12">
        <f>XP52*POWER(1-(AnnualChurn*VLOOKUP(XB64,ChurnSeasonTable,4,FALSE)),1)*BlendedPriceEssAnnual*XE64+XP40*POWER(1-(AnnualChurn*VLOOKUP(XB64,ChurnSeasonTable,4,FALSE)),2)*BlendedPriceEssAnnual*XE64+XP28*POWER(1-(AnnualChurn*VLOOKUP(XB64,ChurnSeasonTable,4,FALSE)),3)*BlendedPriceEssAnnual*XE64+XP16*POWER(1-(AnnualChurn*VLOOKUP(XB64,ChurnSeasonTable,4,FALSE)),4)*BlendedPriceEssAnnual*XE64+XQ52*POWER(1-(AnnualChurn*VLOOKUP(XB64,ChurnSeasonTable,4,FALSE)),1)*BlendedPricePremAnnual*XE64+XQ40*POWER(1-(AnnualChurn*VLOOKUP(XB64,ChurnSeasonTable,4,FALSE)),2)*BlendedPricePremAnnual*XE64+XQ28*POWER(1-(AnnualChurn*VLOOKUP(XB64,ChurnSeasonTable,4,FALSE)),3)*BlendedPricePremAnnual*XE64+XQ16*POWER(1-(AnnualChurn*VLOOKUP(XB64,ChurnSeasonTable,4,FALSE)),4)*BlendedPricePremAnnual*XE64+XR52*POWER(1-(AnnualChurn*VLOOKUP(XB64,ChurnSeasonTable,4,FALSE)),1)*BlendedPriceEliteAnnual*XE64+XR40*POWER(1-(AnnualChurn*VLOOKUP(XB64,ChurnSeasonTable,4,FALSE)),2)*BlendedPriceEliteAnnual*XE64+XR28*POWER(1-(AnnualChurn*VLOOKUP(XB64,ChurnSeasonTable,4,FALSE)),3)*BlendedPriceEliteAnnual*XE64+XR16*POWER(1-(AnnualChurn*VLOOKUP(XB64,ChurnSeasonTable,4,FALSE)),4)*BlendedPriceEliteAnnual*XE64</f>
        <v/>
      </c>
      <c r="YE64" s="9">
        <f>YB64+YC64+YD64</f>
        <v/>
      </c>
      <c r="YF64" s="12">
        <f>SUM(YE53:YE64)</f>
        <v/>
      </c>
      <c r="YG64" s="12">
        <f>OR(YG63,IF(VATAgentMode,SUM($YE53:$YE64)-SUM($YL53:$YL64)&gt;=VATThreshold,SUM($YE53:$YE64)&gt;=VATThreshold))</f>
        <v/>
      </c>
      <c r="YH64" s="9">
        <f>IF(YG64,IF(VATAgentMode,YE64-((YE64-YL64)-(YE64-YL64)/(1+VATRate)),YE64/(1+VATRate)),YE64)</f>
        <v/>
      </c>
      <c r="YI64" s="12">
        <f>YE64-YH64</f>
        <v/>
      </c>
      <c r="YJ64" s="12">
        <f>IF(YG64=0,0,IF(XB64=1,SUMPRODUCT(--(($XC$5:$XC64=$XC64-1)*($XB$5:$XB64&gt;=10)*($XB$5:$XB64&lt;=12)),$YI$5:$YI64),IF(XB64=4,SUMPRODUCT(--(($XC$5:$XC64=$XC64)*($XB$5:$XB64&gt;=1)*($XB$5:$XB64&lt;=3)),$YI$5:$YI64),IF(XB64=7,SUMPRODUCT(--(($XC$5:$XC64=$XC64)*($XB$5:$XB64&gt;=4)*($XB$5:$XB64&lt;=6)),$YI$5:$YI64),IF(XB64=10,SUMPRODUCT(--(($XC$5:$XC64=$XC64)*($XB$5:$XB64&gt;=7)*($XB$5:$XB64&lt;=9)),$YI$5:$YI64),0)))))</f>
        <v/>
      </c>
      <c r="YK64" s="12">
        <f>YK63+YI64-YJ64</f>
        <v/>
      </c>
      <c r="YL64" s="12">
        <f>IF(ProviderDelay&gt;=1,XS63*BlendedProvPayEss+XT63*BlendedProvPayPrem+XU63*BlendedProvPayElite+XV63*BlendedProvPayEss+XW63*BlendedProvPayPrem+XX63*BlendedProvPayElite,XS64*BlendedProvPayEss+XT64*BlendedProvPayPrem+XU64*BlendedProvPayElite+XV64*BlendedProvPayEss+XW64*BlendedProvPayPrem+XX64*BlendedProvPayElite)</f>
        <v/>
      </c>
      <c r="YM64" s="12">
        <f>YE64*PaymentFee</f>
        <v/>
      </c>
      <c r="YN64" s="12">
        <f>XY64*OpsAI</f>
        <v/>
      </c>
      <c r="YO64" s="12">
        <f>MonthlyFixed</f>
        <v/>
      </c>
      <c r="YP64" s="12">
        <f>XI64*ReferralReward</f>
        <v/>
      </c>
      <c r="YQ64" s="12">
        <f>XG64</f>
        <v/>
      </c>
      <c r="YR64" s="9">
        <f>YH64-YL64-YM64-YN64-YO64-YP64-YQ64</f>
        <v/>
      </c>
      <c r="YS64" s="9">
        <f>YS63+YE64-(YL64+YM64+YN64+YO64+YP64+YQ64+YJ64)</f>
        <v/>
      </c>
      <c r="YT64" s="12">
        <f>IF(XY64&gt;0,XZ64/XY64,0)</f>
        <v/>
      </c>
      <c r="YU64" s="11">
        <f>IF(XY63&gt;0,MAX(0,(XY63+XJ64-XY64)/XY63),0)</f>
        <v/>
      </c>
      <c r="YW64" s="12" t="n">
        <v>60</v>
      </c>
      <c r="YX64" s="12">
        <f>MOD(YW64-1+LaunchMonth-1,12)+1</f>
        <v/>
      </c>
      <c r="YY64" s="12">
        <f>INT((YW64-1+LaunchMonth-1)/12)+1</f>
        <v/>
      </c>
      <c r="YZ64" s="12">
        <f>VLOOKUP(YX64,SeasonTable,2,FALSE)</f>
        <v/>
      </c>
      <c r="ZA64" s="12">
        <f>(1+InflationRate)^INT((YW64-1)/12)</f>
        <v/>
      </c>
      <c r="ZB64" s="11">
        <f>MonthlyChurn*VLOOKUP(YX64,ChurnSeasonTable,4,FALSE)</f>
        <v/>
      </c>
      <c r="ZC64" s="12">
        <f>MIN(MAX(MktMin19plus,AAA63*MktPct19plus),MAX(0,AAO63-CashBuffer))</f>
        <v/>
      </c>
      <c r="ZD64" s="12">
        <f>IF(ZC64&gt;0,MAX(1,ROUND(ZC64/CAC*YZ64,0)),0)</f>
        <v/>
      </c>
      <c r="ZE64" s="12">
        <f>IF(ZD64&gt;0,ROUND(ZD64*ReferralMix/(1-ReferralMix),0),0)</f>
        <v/>
      </c>
      <c r="ZF64" s="12">
        <f>ZD64+ZE64</f>
        <v/>
      </c>
      <c r="ZG64" s="12">
        <f>ROUND(ZF64*(1-'Sens - Annual Mix'!$A$11),0)</f>
        <v/>
      </c>
      <c r="ZH64" s="12">
        <f>ZF64-ZG64</f>
        <v/>
      </c>
      <c r="ZI64" s="12">
        <f>ROUND(ZG64*EssentialMix,0)</f>
        <v/>
      </c>
      <c r="ZJ64" s="12">
        <f>ROUND(ZG64*PremiumMix,0)</f>
        <v/>
      </c>
      <c r="ZK64" s="12">
        <f>ZG64-ZI64-ZJ64</f>
        <v/>
      </c>
      <c r="ZL64" s="12">
        <f>ROUND(ZH64*EssentialMix,0)</f>
        <v/>
      </c>
      <c r="ZM64" s="12">
        <f>ROUND(ZH64*PremiumMix,0)</f>
        <v/>
      </c>
      <c r="ZN64" s="12">
        <f>ZH64-ZL64-ZM64</f>
        <v/>
      </c>
      <c r="ZO64" s="12">
        <f>ZI64+ZI63+ZI62+MAX(0,ZO63-ZI63-ZI62)*(1-ZB64)</f>
        <v/>
      </c>
      <c r="ZP64" s="12">
        <f>ZJ64+ZJ63+ZJ62+MAX(0,ZP63-ZJ63-ZJ62)*(1-ZB64)</f>
        <v/>
      </c>
      <c r="ZQ64" s="12">
        <f>ZK64+ZK63+ZK62+MAX(0,ZQ63-ZK63-ZK62)*(1-ZB64)</f>
        <v/>
      </c>
      <c r="ZR64" s="12">
        <f>ZR63+ZL64-ZL52*(AnnualChurn*VLOOKUP(YX64,ChurnSeasonTable,4,FALSE))*POWER(1-(AnnualChurn*VLOOKUP(YX64,ChurnSeasonTable,4,FALSE)),0)+ZL40*(AnnualChurn*VLOOKUP(YX64,ChurnSeasonTable,4,FALSE))*POWER(1-(AnnualChurn*VLOOKUP(YX64,ChurnSeasonTable,4,FALSE)),1)+ZL28*(AnnualChurn*VLOOKUP(YX64,ChurnSeasonTable,4,FALSE))*POWER(1-(AnnualChurn*VLOOKUP(YX64,ChurnSeasonTable,4,FALSE)),2)+ZL16*(AnnualChurn*VLOOKUP(YX64,ChurnSeasonTable,4,FALSE))*POWER(1-(AnnualChurn*VLOOKUP(YX64,ChurnSeasonTable,4,FALSE)),3)</f>
        <v/>
      </c>
      <c r="ZS64" s="12">
        <f>ZS63+ZM64-ZM52*(AnnualChurn*VLOOKUP(YX64,ChurnSeasonTable,4,FALSE))*POWER(1-(AnnualChurn*VLOOKUP(YX64,ChurnSeasonTable,4,FALSE)),0)+ZM40*(AnnualChurn*VLOOKUP(YX64,ChurnSeasonTable,4,FALSE))*POWER(1-(AnnualChurn*VLOOKUP(YX64,ChurnSeasonTable,4,FALSE)),1)+ZM28*(AnnualChurn*VLOOKUP(YX64,ChurnSeasonTable,4,FALSE))*POWER(1-(AnnualChurn*VLOOKUP(YX64,ChurnSeasonTable,4,FALSE)),2)+ZM16*(AnnualChurn*VLOOKUP(YX64,ChurnSeasonTable,4,FALSE))*POWER(1-(AnnualChurn*VLOOKUP(YX64,ChurnSeasonTable,4,FALSE)),3)</f>
        <v/>
      </c>
      <c r="ZT64" s="12">
        <f>ZT63+ZN64-ZN52*(AnnualChurn*VLOOKUP(YX64,ChurnSeasonTable,4,FALSE))*POWER(1-(AnnualChurn*VLOOKUP(YX64,ChurnSeasonTable,4,FALSE)),0)+ZN40*(AnnualChurn*VLOOKUP(YX64,ChurnSeasonTable,4,FALSE))*POWER(1-(AnnualChurn*VLOOKUP(YX64,ChurnSeasonTable,4,FALSE)),1)+ZN28*(AnnualChurn*VLOOKUP(YX64,ChurnSeasonTable,4,FALSE))*POWER(1-(AnnualChurn*VLOOKUP(YX64,ChurnSeasonTable,4,FALSE)),2)+ZN16*(AnnualChurn*VLOOKUP(YX64,ChurnSeasonTable,4,FALSE))*POWER(1-(AnnualChurn*VLOOKUP(YX64,ChurnSeasonTable,4,FALSE)),3)</f>
        <v/>
      </c>
      <c r="ZU64" s="12">
        <f>ZO64+ZP64+ZQ64+ZR64+ZS64+ZT64</f>
        <v/>
      </c>
      <c r="ZV64" s="9">
        <f>ZO64*BlendedPriceEssMonthly*ZA64+ZP64*BlendedPricePremMonthly*ZA64+ZQ64*BlendedPriceEliteMonthly*ZA64+ZR64*BlendedPriceEssAnnual*ZA64/12+ZS64*BlendedPricePremAnnual*ZA64/12+ZT64*BlendedPriceEliteAnnual*ZA64/12</f>
        <v/>
      </c>
      <c r="ZW64" s="9">
        <f>ZV64*12</f>
        <v/>
      </c>
      <c r="ZX64" s="12">
        <f>ZO64*BlendedPriceEssMonthly*ZA64+ZP64*BlendedPricePremMonthly*ZA64+ZQ64*BlendedPriceEliteMonthly*ZA64</f>
        <v/>
      </c>
      <c r="ZY64" s="12">
        <f>ZL64*BlendedPriceEssAnnual*ZA64+ZM64*BlendedPricePremAnnual*ZA64+ZN64*BlendedPriceEliteAnnual*ZA64</f>
        <v/>
      </c>
      <c r="ZZ64" s="12">
        <f>ZL52*POWER(1-(AnnualChurn*VLOOKUP(YX64,ChurnSeasonTable,4,FALSE)),1)*BlendedPriceEssAnnual*ZA64+ZL40*POWER(1-(AnnualChurn*VLOOKUP(YX64,ChurnSeasonTable,4,FALSE)),2)*BlendedPriceEssAnnual*ZA64+ZL28*POWER(1-(AnnualChurn*VLOOKUP(YX64,ChurnSeasonTable,4,FALSE)),3)*BlendedPriceEssAnnual*ZA64+ZL16*POWER(1-(AnnualChurn*VLOOKUP(YX64,ChurnSeasonTable,4,FALSE)),4)*BlendedPriceEssAnnual*ZA64+ZM52*POWER(1-(AnnualChurn*VLOOKUP(YX64,ChurnSeasonTable,4,FALSE)),1)*BlendedPricePremAnnual*ZA64+ZM40*POWER(1-(AnnualChurn*VLOOKUP(YX64,ChurnSeasonTable,4,FALSE)),2)*BlendedPricePremAnnual*ZA64+ZM28*POWER(1-(AnnualChurn*VLOOKUP(YX64,ChurnSeasonTable,4,FALSE)),3)*BlendedPricePremAnnual*ZA64+ZM16*POWER(1-(AnnualChurn*VLOOKUP(YX64,ChurnSeasonTable,4,FALSE)),4)*BlendedPricePremAnnual*ZA64+ZN52*POWER(1-(AnnualChurn*VLOOKUP(YX64,ChurnSeasonTable,4,FALSE)),1)*BlendedPriceEliteAnnual*ZA64+ZN40*POWER(1-(AnnualChurn*VLOOKUP(YX64,ChurnSeasonTable,4,FALSE)),2)*BlendedPriceEliteAnnual*ZA64+ZN28*POWER(1-(AnnualChurn*VLOOKUP(YX64,ChurnSeasonTable,4,FALSE)),3)*BlendedPriceEliteAnnual*ZA64+ZN16*POWER(1-(AnnualChurn*VLOOKUP(YX64,ChurnSeasonTable,4,FALSE)),4)*BlendedPriceEliteAnnual*ZA64</f>
        <v/>
      </c>
      <c r="AAA64" s="9">
        <f>ZX64+ZY64+ZZ64</f>
        <v/>
      </c>
      <c r="AAB64" s="12">
        <f>SUM(AAA53:AAA64)</f>
        <v/>
      </c>
      <c r="AAC64" s="12">
        <f>OR(AAC63,IF(VATAgentMode,SUM($AAA53:$AAA64)-SUM($AAH53:$AAH64)&gt;=VATThreshold,SUM($AAA53:$AAA64)&gt;=VATThreshold))</f>
        <v/>
      </c>
      <c r="AAD64" s="9">
        <f>IF(AAC64,IF(VATAgentMode,AAA64-((AAA64-AAH64)-(AAA64-AAH64)/(1+VATRate)),AAA64/(1+VATRate)),AAA64)</f>
        <v/>
      </c>
      <c r="AAE64" s="12">
        <f>AAA64-AAD64</f>
        <v/>
      </c>
      <c r="AAF64" s="12">
        <f>IF(AAC64=0,0,IF(YX64=1,SUMPRODUCT(--(($YY$5:$YY64=$YY64-1)*($YX$5:$YX64&gt;=10)*($YX$5:$YX64&lt;=12)),$AAE$5:$AAE64),IF(YX64=4,SUMPRODUCT(--(($YY$5:$YY64=$YY64)*($YX$5:$YX64&gt;=1)*($YX$5:$YX64&lt;=3)),$AAE$5:$AAE64),IF(YX64=7,SUMPRODUCT(--(($YY$5:$YY64=$YY64)*($YX$5:$YX64&gt;=4)*($YX$5:$YX64&lt;=6)),$AAE$5:$AAE64),IF(YX64=10,SUMPRODUCT(--(($YY$5:$YY64=$YY64)*($YX$5:$YX64&gt;=7)*($YX$5:$YX64&lt;=9)),$AAE$5:$AAE64),0)))))</f>
        <v/>
      </c>
      <c r="AAG64" s="12">
        <f>AAG63+AAE64-AAF64</f>
        <v/>
      </c>
      <c r="AAH64" s="12">
        <f>IF(ProviderDelay&gt;=1,ZO63*BlendedProvPayEss+ZP63*BlendedProvPayPrem+ZQ63*BlendedProvPayElite+ZR63*BlendedProvPayEss+ZS63*BlendedProvPayPrem+ZT63*BlendedProvPayElite,ZO64*BlendedProvPayEss+ZP64*BlendedProvPayPrem+ZQ64*BlendedProvPayElite+ZR64*BlendedProvPayEss+ZS64*BlendedProvPayPrem+ZT64*BlendedProvPayElite)</f>
        <v/>
      </c>
      <c r="AAI64" s="12">
        <f>AAA64*PaymentFee</f>
        <v/>
      </c>
      <c r="AAJ64" s="12">
        <f>ZU64*OpsAI</f>
        <v/>
      </c>
      <c r="AAK64" s="12">
        <f>MonthlyFixed</f>
        <v/>
      </c>
      <c r="AAL64" s="12">
        <f>ZE64*ReferralReward</f>
        <v/>
      </c>
      <c r="AAM64" s="12">
        <f>ZC64</f>
        <v/>
      </c>
      <c r="AAN64" s="9">
        <f>AAD64-AAH64-AAI64-AAJ64-AAK64-AAL64-AAM64</f>
        <v/>
      </c>
      <c r="AAO64" s="9">
        <f>AAO63+AAA64-(AAH64+AAI64+AAJ64+AAK64+AAL64+AAM64+AAF64)</f>
        <v/>
      </c>
      <c r="AAP64" s="12">
        <f>IF(ZU64&gt;0,ZV64/ZU64,0)</f>
        <v/>
      </c>
      <c r="AAQ64" s="11">
        <f>IF(ZU63&gt;0,MAX(0,(ZU63+ZF64-ZU64)/ZU63),0)</f>
        <v/>
      </c>
      <c r="AAS64" s="12" t="n">
        <v>60</v>
      </c>
      <c r="AAT64" s="12">
        <f>MOD(AAS64-1+LaunchMonth-1,12)+1</f>
        <v/>
      </c>
      <c r="AAU64" s="12">
        <f>INT((AAS64-1+LaunchMonth-1)/12)+1</f>
        <v/>
      </c>
      <c r="AAV64" s="12">
        <f>VLOOKUP(AAT64,SeasonTable,2,FALSE)</f>
        <v/>
      </c>
      <c r="AAW64" s="12">
        <f>(1+InflationRate)^INT((AAS64-1)/12)</f>
        <v/>
      </c>
      <c r="AAX64" s="11">
        <f>MonthlyChurn*VLOOKUP(AAT64,ChurnSeasonTable,4,FALSE)</f>
        <v/>
      </c>
      <c r="AAY64" s="12">
        <f>MIN(MAX(MktMin19plus,ABW63*MktPct19plus),MAX(0,ACK63-CashBuffer))</f>
        <v/>
      </c>
      <c r="AAZ64" s="12">
        <f>IF(AAY64&gt;0,MAX(1,ROUND(AAY64/CAC*AAV64,0)),0)</f>
        <v/>
      </c>
      <c r="ABA64" s="12">
        <f>IF(AAZ64&gt;0,ROUND(AAZ64*ReferralMix/(1-ReferralMix),0),0)</f>
        <v/>
      </c>
      <c r="ABB64" s="12">
        <f>AAZ64+ABA64</f>
        <v/>
      </c>
      <c r="ABC64" s="12">
        <f>ROUND(ABB64*(1-'Sens - Annual Mix'!$A$12),0)</f>
        <v/>
      </c>
      <c r="ABD64" s="12">
        <f>ABB64-ABC64</f>
        <v/>
      </c>
      <c r="ABE64" s="12">
        <f>ROUND(ABC64*EssentialMix,0)</f>
        <v/>
      </c>
      <c r="ABF64" s="12">
        <f>ROUND(ABC64*PremiumMix,0)</f>
        <v/>
      </c>
      <c r="ABG64" s="12">
        <f>ABC64-ABE64-ABF64</f>
        <v/>
      </c>
      <c r="ABH64" s="12">
        <f>ROUND(ABD64*EssentialMix,0)</f>
        <v/>
      </c>
      <c r="ABI64" s="12">
        <f>ROUND(ABD64*PremiumMix,0)</f>
        <v/>
      </c>
      <c r="ABJ64" s="12">
        <f>ABD64-ABH64-ABI64</f>
        <v/>
      </c>
      <c r="ABK64" s="12">
        <f>ABE64+ABE63+ABE62+MAX(0,ABK63-ABE63-ABE62)*(1-AAX64)</f>
        <v/>
      </c>
      <c r="ABL64" s="12">
        <f>ABF64+ABF63+ABF62+MAX(0,ABL63-ABF63-ABF62)*(1-AAX64)</f>
        <v/>
      </c>
      <c r="ABM64" s="12">
        <f>ABG64+ABG63+ABG62+MAX(0,ABM63-ABG63-ABG62)*(1-AAX64)</f>
        <v/>
      </c>
      <c r="ABN64" s="12">
        <f>ABN63+ABH64-ABH52*(AnnualChurn*VLOOKUP(AAT64,ChurnSeasonTable,4,FALSE))*POWER(1-(AnnualChurn*VLOOKUP(AAT64,ChurnSeasonTable,4,FALSE)),0)+ABH40*(AnnualChurn*VLOOKUP(AAT64,ChurnSeasonTable,4,FALSE))*POWER(1-(AnnualChurn*VLOOKUP(AAT64,ChurnSeasonTable,4,FALSE)),1)+ABH28*(AnnualChurn*VLOOKUP(AAT64,ChurnSeasonTable,4,FALSE))*POWER(1-(AnnualChurn*VLOOKUP(AAT64,ChurnSeasonTable,4,FALSE)),2)+ABH16*(AnnualChurn*VLOOKUP(AAT64,ChurnSeasonTable,4,FALSE))*POWER(1-(AnnualChurn*VLOOKUP(AAT64,ChurnSeasonTable,4,FALSE)),3)</f>
        <v/>
      </c>
      <c r="ABO64" s="12">
        <f>ABO63+ABI64-ABI52*(AnnualChurn*VLOOKUP(AAT64,ChurnSeasonTable,4,FALSE))*POWER(1-(AnnualChurn*VLOOKUP(AAT64,ChurnSeasonTable,4,FALSE)),0)+ABI40*(AnnualChurn*VLOOKUP(AAT64,ChurnSeasonTable,4,FALSE))*POWER(1-(AnnualChurn*VLOOKUP(AAT64,ChurnSeasonTable,4,FALSE)),1)+ABI28*(AnnualChurn*VLOOKUP(AAT64,ChurnSeasonTable,4,FALSE))*POWER(1-(AnnualChurn*VLOOKUP(AAT64,ChurnSeasonTable,4,FALSE)),2)+ABI16*(AnnualChurn*VLOOKUP(AAT64,ChurnSeasonTable,4,FALSE))*POWER(1-(AnnualChurn*VLOOKUP(AAT64,ChurnSeasonTable,4,FALSE)),3)</f>
        <v/>
      </c>
      <c r="ABP64" s="12">
        <f>ABP63+ABJ64-ABJ52*(AnnualChurn*VLOOKUP(AAT64,ChurnSeasonTable,4,FALSE))*POWER(1-(AnnualChurn*VLOOKUP(AAT64,ChurnSeasonTable,4,FALSE)),0)+ABJ40*(AnnualChurn*VLOOKUP(AAT64,ChurnSeasonTable,4,FALSE))*POWER(1-(AnnualChurn*VLOOKUP(AAT64,ChurnSeasonTable,4,FALSE)),1)+ABJ28*(AnnualChurn*VLOOKUP(AAT64,ChurnSeasonTable,4,FALSE))*POWER(1-(AnnualChurn*VLOOKUP(AAT64,ChurnSeasonTable,4,FALSE)),2)+ABJ16*(AnnualChurn*VLOOKUP(AAT64,ChurnSeasonTable,4,FALSE))*POWER(1-(AnnualChurn*VLOOKUP(AAT64,ChurnSeasonTable,4,FALSE)),3)</f>
        <v/>
      </c>
      <c r="ABQ64" s="12">
        <f>ABK64+ABL64+ABM64+ABN64+ABO64+ABP64</f>
        <v/>
      </c>
      <c r="ABR64" s="9">
        <f>ABK64*BlendedPriceEssMonthly*AAW64+ABL64*BlendedPricePremMonthly*AAW64+ABM64*BlendedPriceEliteMonthly*AAW64+ABN64*BlendedPriceEssAnnual*AAW64/12+ABO64*BlendedPricePremAnnual*AAW64/12+ABP64*BlendedPriceEliteAnnual*AAW64/12</f>
        <v/>
      </c>
      <c r="ABS64" s="9">
        <f>ABR64*12</f>
        <v/>
      </c>
      <c r="ABT64" s="12">
        <f>ABK64*BlendedPriceEssMonthly*AAW64+ABL64*BlendedPricePremMonthly*AAW64+ABM64*BlendedPriceEliteMonthly*AAW64</f>
        <v/>
      </c>
      <c r="ABU64" s="12">
        <f>ABH64*BlendedPriceEssAnnual*AAW64+ABI64*BlendedPricePremAnnual*AAW64+ABJ64*BlendedPriceEliteAnnual*AAW64</f>
        <v/>
      </c>
      <c r="ABV64" s="12">
        <f>ABH52*POWER(1-(AnnualChurn*VLOOKUP(AAT64,ChurnSeasonTable,4,FALSE)),1)*BlendedPriceEssAnnual*AAW64+ABH40*POWER(1-(AnnualChurn*VLOOKUP(AAT64,ChurnSeasonTable,4,FALSE)),2)*BlendedPriceEssAnnual*AAW64+ABH28*POWER(1-(AnnualChurn*VLOOKUP(AAT64,ChurnSeasonTable,4,FALSE)),3)*BlendedPriceEssAnnual*AAW64+ABH16*POWER(1-(AnnualChurn*VLOOKUP(AAT64,ChurnSeasonTable,4,FALSE)),4)*BlendedPriceEssAnnual*AAW64+ABI52*POWER(1-(AnnualChurn*VLOOKUP(AAT64,ChurnSeasonTable,4,FALSE)),1)*BlendedPricePremAnnual*AAW64+ABI40*POWER(1-(AnnualChurn*VLOOKUP(AAT64,ChurnSeasonTable,4,FALSE)),2)*BlendedPricePremAnnual*AAW64+ABI28*POWER(1-(AnnualChurn*VLOOKUP(AAT64,ChurnSeasonTable,4,FALSE)),3)*BlendedPricePremAnnual*AAW64+ABI16*POWER(1-(AnnualChurn*VLOOKUP(AAT64,ChurnSeasonTable,4,FALSE)),4)*BlendedPricePremAnnual*AAW64+ABJ52*POWER(1-(AnnualChurn*VLOOKUP(AAT64,ChurnSeasonTable,4,FALSE)),1)*BlendedPriceEliteAnnual*AAW64+ABJ40*POWER(1-(AnnualChurn*VLOOKUP(AAT64,ChurnSeasonTable,4,FALSE)),2)*BlendedPriceEliteAnnual*AAW64+ABJ28*POWER(1-(AnnualChurn*VLOOKUP(AAT64,ChurnSeasonTable,4,FALSE)),3)*BlendedPriceEliteAnnual*AAW64+ABJ16*POWER(1-(AnnualChurn*VLOOKUP(AAT64,ChurnSeasonTable,4,FALSE)),4)*BlendedPriceEliteAnnual*AAW64</f>
        <v/>
      </c>
      <c r="ABW64" s="9">
        <f>ABT64+ABU64+ABV64</f>
        <v/>
      </c>
      <c r="ABX64" s="12">
        <f>SUM(ABW53:ABW64)</f>
        <v/>
      </c>
      <c r="ABY64" s="12">
        <f>OR(ABY63,IF(VATAgentMode,SUM($ABW53:$ABW64)-SUM($ACD53:$ACD64)&gt;=VATThreshold,SUM($ABW53:$ABW64)&gt;=VATThreshold))</f>
        <v/>
      </c>
      <c r="ABZ64" s="9">
        <f>IF(ABY64,IF(VATAgentMode,ABW64-((ABW64-ACD64)-(ABW64-ACD64)/(1+VATRate)),ABW64/(1+VATRate)),ABW64)</f>
        <v/>
      </c>
      <c r="ACA64" s="12">
        <f>ABW64-ABZ64</f>
        <v/>
      </c>
      <c r="ACB64" s="12">
        <f>IF(ABY64=0,0,IF(AAT64=1,SUMPRODUCT(--(($AAU$5:$AAU64=$AAU64-1)*($AAT$5:$AAT64&gt;=10)*($AAT$5:$AAT64&lt;=12)),$ACA$5:$ACA64),IF(AAT64=4,SUMPRODUCT(--(($AAU$5:$AAU64=$AAU64)*($AAT$5:$AAT64&gt;=1)*($AAT$5:$AAT64&lt;=3)),$ACA$5:$ACA64),IF(AAT64=7,SUMPRODUCT(--(($AAU$5:$AAU64=$AAU64)*($AAT$5:$AAT64&gt;=4)*($AAT$5:$AAT64&lt;=6)),$ACA$5:$ACA64),IF(AAT64=10,SUMPRODUCT(--(($AAU$5:$AAU64=$AAU64)*($AAT$5:$AAT64&gt;=7)*($AAT$5:$AAT64&lt;=9)),$ACA$5:$ACA64),0)))))</f>
        <v/>
      </c>
      <c r="ACC64" s="12">
        <f>ACC63+ACA64-ACB64</f>
        <v/>
      </c>
      <c r="ACD64" s="12">
        <f>IF(ProviderDelay&gt;=1,ABK63*BlendedProvPayEss+ABL63*BlendedProvPayPrem+ABM63*BlendedProvPayElite+ABN63*BlendedProvPayEss+ABO63*BlendedProvPayPrem+ABP63*BlendedProvPayElite,ABK64*BlendedProvPayEss+ABL64*BlendedProvPayPrem+ABM64*BlendedProvPayElite+ABN64*BlendedProvPayEss+ABO64*BlendedProvPayPrem+ABP64*BlendedProvPayElite)</f>
        <v/>
      </c>
      <c r="ACE64" s="12">
        <f>ABW64*PaymentFee</f>
        <v/>
      </c>
      <c r="ACF64" s="12">
        <f>ABQ64*OpsAI</f>
        <v/>
      </c>
      <c r="ACG64" s="12">
        <f>MonthlyFixed</f>
        <v/>
      </c>
      <c r="ACH64" s="12">
        <f>ABA64*ReferralReward</f>
        <v/>
      </c>
      <c r="ACI64" s="12">
        <f>AAY64</f>
        <v/>
      </c>
      <c r="ACJ64" s="9">
        <f>ABZ64-ACD64-ACE64-ACF64-ACG64-ACH64-ACI64</f>
        <v/>
      </c>
      <c r="ACK64" s="9">
        <f>ACK63+ABW64-(ACD64+ACE64+ACF64+ACG64+ACH64+ACI64+ACB64)</f>
        <v/>
      </c>
      <c r="ACL64" s="12">
        <f>IF(ABQ64&gt;0,ABR64/ABQ64,0)</f>
        <v/>
      </c>
      <c r="ACM64" s="11">
        <f>IF(ABQ63&gt;0,MAX(0,(ABQ63+ABB64-ABQ64)/ABQ63),0)</f>
        <v/>
      </c>
      <c r="ACO64" s="12" t="n">
        <v>60</v>
      </c>
      <c r="ACP64" s="12">
        <f>MOD(ACO64-1+LaunchMonth-1,12)+1</f>
        <v/>
      </c>
      <c r="ACQ64" s="12">
        <f>INT((ACO64-1+LaunchMonth-1)/12)+1</f>
        <v/>
      </c>
      <c r="ACR64" s="12">
        <f>VLOOKUP(ACP64,SeasonTable,2,FALSE)</f>
        <v/>
      </c>
      <c r="ACS64" s="12">
        <f>(1+InflationRate)^INT((ACO64-1)/12)</f>
        <v/>
      </c>
      <c r="ACT64" s="11">
        <f>MonthlyChurn*VLOOKUP(ACP64,ChurnSeasonTable,4,FALSE)</f>
        <v/>
      </c>
      <c r="ACU64" s="12">
        <f>MIN(MAX(MktMin19plus,ADS63*MktPct19plus),MAX(0,AEG63-CashBuffer))</f>
        <v/>
      </c>
      <c r="ACV64" s="12">
        <f>IF(ACU64&gt;0,MAX(1,ROUND(ACU64/CAC*ACR64,0)),0)</f>
        <v/>
      </c>
      <c r="ACW64" s="12">
        <f>IF(ACV64&gt;0,ROUND(ACV64*ReferralMix/(1-ReferralMix),0),0)</f>
        <v/>
      </c>
      <c r="ACX64" s="12">
        <f>ACV64+ACW64</f>
        <v/>
      </c>
      <c r="ACY64" s="12">
        <f>ROUND(ACX64*(1-'Sens - Annual Mix'!$A$13),0)</f>
        <v/>
      </c>
      <c r="ACZ64" s="12">
        <f>ACX64-ACY64</f>
        <v/>
      </c>
      <c r="ADA64" s="12">
        <f>ROUND(ACY64*EssentialMix,0)</f>
        <v/>
      </c>
      <c r="ADB64" s="12">
        <f>ROUND(ACY64*PremiumMix,0)</f>
        <v/>
      </c>
      <c r="ADC64" s="12">
        <f>ACY64-ADA64-ADB64</f>
        <v/>
      </c>
      <c r="ADD64" s="12">
        <f>ROUND(ACZ64*EssentialMix,0)</f>
        <v/>
      </c>
      <c r="ADE64" s="12">
        <f>ROUND(ACZ64*PremiumMix,0)</f>
        <v/>
      </c>
      <c r="ADF64" s="12">
        <f>ACZ64-ADD64-ADE64</f>
        <v/>
      </c>
      <c r="ADG64" s="12">
        <f>ADA64+ADA63+ADA62+MAX(0,ADG63-ADA63-ADA62)*(1-ACT64)</f>
        <v/>
      </c>
      <c r="ADH64" s="12">
        <f>ADB64+ADB63+ADB62+MAX(0,ADH63-ADB63-ADB62)*(1-ACT64)</f>
        <v/>
      </c>
      <c r="ADI64" s="12">
        <f>ADC64+ADC63+ADC62+MAX(0,ADI63-ADC63-ADC62)*(1-ACT64)</f>
        <v/>
      </c>
      <c r="ADJ64" s="12">
        <f>ADJ63+ADD64-ADD52*(AnnualChurn*VLOOKUP(ACP64,ChurnSeasonTable,4,FALSE))*POWER(1-(AnnualChurn*VLOOKUP(ACP64,ChurnSeasonTable,4,FALSE)),0)+ADD40*(AnnualChurn*VLOOKUP(ACP64,ChurnSeasonTable,4,FALSE))*POWER(1-(AnnualChurn*VLOOKUP(ACP64,ChurnSeasonTable,4,FALSE)),1)+ADD28*(AnnualChurn*VLOOKUP(ACP64,ChurnSeasonTable,4,FALSE))*POWER(1-(AnnualChurn*VLOOKUP(ACP64,ChurnSeasonTable,4,FALSE)),2)+ADD16*(AnnualChurn*VLOOKUP(ACP64,ChurnSeasonTable,4,FALSE))*POWER(1-(AnnualChurn*VLOOKUP(ACP64,ChurnSeasonTable,4,FALSE)),3)</f>
        <v/>
      </c>
      <c r="ADK64" s="12">
        <f>ADK63+ADE64-ADE52*(AnnualChurn*VLOOKUP(ACP64,ChurnSeasonTable,4,FALSE))*POWER(1-(AnnualChurn*VLOOKUP(ACP64,ChurnSeasonTable,4,FALSE)),0)+ADE40*(AnnualChurn*VLOOKUP(ACP64,ChurnSeasonTable,4,FALSE))*POWER(1-(AnnualChurn*VLOOKUP(ACP64,ChurnSeasonTable,4,FALSE)),1)+ADE28*(AnnualChurn*VLOOKUP(ACP64,ChurnSeasonTable,4,FALSE))*POWER(1-(AnnualChurn*VLOOKUP(ACP64,ChurnSeasonTable,4,FALSE)),2)+ADE16*(AnnualChurn*VLOOKUP(ACP64,ChurnSeasonTable,4,FALSE))*POWER(1-(AnnualChurn*VLOOKUP(ACP64,ChurnSeasonTable,4,FALSE)),3)</f>
        <v/>
      </c>
      <c r="ADL64" s="12">
        <f>ADL63+ADF64-ADF52*(AnnualChurn*VLOOKUP(ACP64,ChurnSeasonTable,4,FALSE))*POWER(1-(AnnualChurn*VLOOKUP(ACP64,ChurnSeasonTable,4,FALSE)),0)+ADF40*(AnnualChurn*VLOOKUP(ACP64,ChurnSeasonTable,4,FALSE))*POWER(1-(AnnualChurn*VLOOKUP(ACP64,ChurnSeasonTable,4,FALSE)),1)+ADF28*(AnnualChurn*VLOOKUP(ACP64,ChurnSeasonTable,4,FALSE))*POWER(1-(AnnualChurn*VLOOKUP(ACP64,ChurnSeasonTable,4,FALSE)),2)+ADF16*(AnnualChurn*VLOOKUP(ACP64,ChurnSeasonTable,4,FALSE))*POWER(1-(AnnualChurn*VLOOKUP(ACP64,ChurnSeasonTable,4,FALSE)),3)</f>
        <v/>
      </c>
      <c r="ADM64" s="12">
        <f>ADG64+ADH64+ADI64+ADJ64+ADK64+ADL64</f>
        <v/>
      </c>
      <c r="ADN64" s="9">
        <f>ADG64*BlendedPriceEssMonthly*ACS64+ADH64*BlendedPricePremMonthly*ACS64+ADI64*BlendedPriceEliteMonthly*ACS64+ADJ64*BlendedPriceEssAnnual*ACS64/12+ADK64*BlendedPricePremAnnual*ACS64/12+ADL64*BlendedPriceEliteAnnual*ACS64/12</f>
        <v/>
      </c>
      <c r="ADO64" s="9">
        <f>ADN64*12</f>
        <v/>
      </c>
      <c r="ADP64" s="12">
        <f>ADG64*BlendedPriceEssMonthly*ACS64+ADH64*BlendedPricePremMonthly*ACS64+ADI64*BlendedPriceEliteMonthly*ACS64</f>
        <v/>
      </c>
      <c r="ADQ64" s="12">
        <f>ADD64*BlendedPriceEssAnnual*ACS64+ADE64*BlendedPricePremAnnual*ACS64+ADF64*BlendedPriceEliteAnnual*ACS64</f>
        <v/>
      </c>
      <c r="ADR64" s="12">
        <f>ADD52*POWER(1-(AnnualChurn*VLOOKUP(ACP64,ChurnSeasonTable,4,FALSE)),1)*BlendedPriceEssAnnual*ACS64+ADD40*POWER(1-(AnnualChurn*VLOOKUP(ACP64,ChurnSeasonTable,4,FALSE)),2)*BlendedPriceEssAnnual*ACS64+ADD28*POWER(1-(AnnualChurn*VLOOKUP(ACP64,ChurnSeasonTable,4,FALSE)),3)*BlendedPriceEssAnnual*ACS64+ADD16*POWER(1-(AnnualChurn*VLOOKUP(ACP64,ChurnSeasonTable,4,FALSE)),4)*BlendedPriceEssAnnual*ACS64+ADE52*POWER(1-(AnnualChurn*VLOOKUP(ACP64,ChurnSeasonTable,4,FALSE)),1)*BlendedPricePremAnnual*ACS64+ADE40*POWER(1-(AnnualChurn*VLOOKUP(ACP64,ChurnSeasonTable,4,FALSE)),2)*BlendedPricePremAnnual*ACS64+ADE28*POWER(1-(AnnualChurn*VLOOKUP(ACP64,ChurnSeasonTable,4,FALSE)),3)*BlendedPricePremAnnual*ACS64+ADE16*POWER(1-(AnnualChurn*VLOOKUP(ACP64,ChurnSeasonTable,4,FALSE)),4)*BlendedPricePremAnnual*ACS64+ADF52*POWER(1-(AnnualChurn*VLOOKUP(ACP64,ChurnSeasonTable,4,FALSE)),1)*BlendedPriceEliteAnnual*ACS64+ADF40*POWER(1-(AnnualChurn*VLOOKUP(ACP64,ChurnSeasonTable,4,FALSE)),2)*BlendedPriceEliteAnnual*ACS64+ADF28*POWER(1-(AnnualChurn*VLOOKUP(ACP64,ChurnSeasonTable,4,FALSE)),3)*BlendedPriceEliteAnnual*ACS64+ADF16*POWER(1-(AnnualChurn*VLOOKUP(ACP64,ChurnSeasonTable,4,FALSE)),4)*BlendedPriceEliteAnnual*ACS64</f>
        <v/>
      </c>
      <c r="ADS64" s="9">
        <f>ADP64+ADQ64+ADR64</f>
        <v/>
      </c>
      <c r="ADT64" s="12">
        <f>SUM(ADS53:ADS64)</f>
        <v/>
      </c>
      <c r="ADU64" s="12">
        <f>OR(ADU63,IF(VATAgentMode,SUM($ADS53:$ADS64)-SUM($ADZ53:$ADZ64)&gt;=VATThreshold,SUM($ADS53:$ADS64)&gt;=VATThreshold))</f>
        <v/>
      </c>
      <c r="ADV64" s="9">
        <f>IF(ADU64,IF(VATAgentMode,ADS64-((ADS64-ADZ64)-(ADS64-ADZ64)/(1+VATRate)),ADS64/(1+VATRate)),ADS64)</f>
        <v/>
      </c>
      <c r="ADW64" s="12">
        <f>ADS64-ADV64</f>
        <v/>
      </c>
      <c r="ADX64" s="12">
        <f>IF(ADU64=0,0,IF(ACP64=1,SUMPRODUCT(--(($ACQ$5:$ACQ64=$ACQ64-1)*($ACP$5:$ACP64&gt;=10)*($ACP$5:$ACP64&lt;=12)),$ADW$5:$ADW64),IF(ACP64=4,SUMPRODUCT(--(($ACQ$5:$ACQ64=$ACQ64)*($ACP$5:$ACP64&gt;=1)*($ACP$5:$ACP64&lt;=3)),$ADW$5:$ADW64),IF(ACP64=7,SUMPRODUCT(--(($ACQ$5:$ACQ64=$ACQ64)*($ACP$5:$ACP64&gt;=4)*($ACP$5:$ACP64&lt;=6)),$ADW$5:$ADW64),IF(ACP64=10,SUMPRODUCT(--(($ACQ$5:$ACQ64=$ACQ64)*($ACP$5:$ACP64&gt;=7)*($ACP$5:$ACP64&lt;=9)),$ADW$5:$ADW64),0)))))</f>
        <v/>
      </c>
      <c r="ADY64" s="12">
        <f>ADY63+ADW64-ADX64</f>
        <v/>
      </c>
      <c r="ADZ64" s="12">
        <f>IF(ProviderDelay&gt;=1,ADG63*BlendedProvPayEss+ADH63*BlendedProvPayPrem+ADI63*BlendedProvPayElite+ADJ63*BlendedProvPayEss+ADK63*BlendedProvPayPrem+ADL63*BlendedProvPayElite,ADG64*BlendedProvPayEss+ADH64*BlendedProvPayPrem+ADI64*BlendedProvPayElite+ADJ64*BlendedProvPayEss+ADK64*BlendedProvPayPrem+ADL64*BlendedProvPayElite)</f>
        <v/>
      </c>
      <c r="AEA64" s="12">
        <f>ADS64*PaymentFee</f>
        <v/>
      </c>
      <c r="AEB64" s="12">
        <f>ADM64*OpsAI</f>
        <v/>
      </c>
      <c r="AEC64" s="12">
        <f>MonthlyFixed</f>
        <v/>
      </c>
      <c r="AED64" s="12">
        <f>ACW64*ReferralReward</f>
        <v/>
      </c>
      <c r="AEE64" s="12">
        <f>ACU64</f>
        <v/>
      </c>
      <c r="AEF64" s="9">
        <f>ADV64-ADZ64-AEA64-AEB64-AEC64-AED64-AEE64</f>
        <v/>
      </c>
      <c r="AEG64" s="9">
        <f>AEG63+ADS64-(ADZ64+AEA64+AEB64+AEC64+AED64+AEE64+ADX64)</f>
        <v/>
      </c>
      <c r="AEH64" s="12">
        <f>IF(ADM64&gt;0,ADN64/ADM64,0)</f>
        <v/>
      </c>
      <c r="AEI64" s="11">
        <f>IF(ADM63&gt;0,MAX(0,(ADM63+ACX64-ADM64)/ADM63),0)</f>
        <v/>
      </c>
      <c r="AEK64" s="12" t="n">
        <v>60</v>
      </c>
      <c r="AEL64" s="12">
        <f>MOD(AEK64-1+LaunchMonth-1,12)+1</f>
        <v/>
      </c>
      <c r="AEM64" s="12">
        <f>INT((AEK64-1+LaunchMonth-1)/12)+1</f>
        <v/>
      </c>
      <c r="AEN64" s="12">
        <f>VLOOKUP(AEL64,SeasonTable,2,FALSE)</f>
        <v/>
      </c>
      <c r="AEO64" s="12">
        <f>(1+InflationRate)^INT((AEK64-1)/12)</f>
        <v/>
      </c>
      <c r="AEP64" s="11">
        <f>MonthlyChurn*VLOOKUP(AEL64,ChurnSeasonTable,4,FALSE)</f>
        <v/>
      </c>
      <c r="AEQ64" s="12">
        <f>MIN(MAX(MktMin19plus,AFO63*MktPct19plus),MAX(0,AGC63-CashBuffer))</f>
        <v/>
      </c>
      <c r="AER64" s="12">
        <f>IF(AEQ64&gt;0,MAX(1,ROUND(AEQ64/CAC*AEN64,0)),0)</f>
        <v/>
      </c>
      <c r="AES64" s="12">
        <f>IF(AER64&gt;0,ROUND(AER64*ReferralMix/(1-ReferralMix),0),0)</f>
        <v/>
      </c>
      <c r="AET64" s="12">
        <f>AER64+AES64</f>
        <v/>
      </c>
      <c r="AEU64" s="12">
        <f>ROUND(AET64*(1-'Sens - Annual Mix'!$A$14),0)</f>
        <v/>
      </c>
      <c r="AEV64" s="12">
        <f>AET64-AEU64</f>
        <v/>
      </c>
      <c r="AEW64" s="12">
        <f>ROUND(AEU64*EssentialMix,0)</f>
        <v/>
      </c>
      <c r="AEX64" s="12">
        <f>ROUND(AEU64*PremiumMix,0)</f>
        <v/>
      </c>
      <c r="AEY64" s="12">
        <f>AEU64-AEW64-AEX64</f>
        <v/>
      </c>
      <c r="AEZ64" s="12">
        <f>ROUND(AEV64*EssentialMix,0)</f>
        <v/>
      </c>
      <c r="AFA64" s="12">
        <f>ROUND(AEV64*PremiumMix,0)</f>
        <v/>
      </c>
      <c r="AFB64" s="12">
        <f>AEV64-AEZ64-AFA64</f>
        <v/>
      </c>
      <c r="AFC64" s="12">
        <f>AEW64+AEW63+AEW62+MAX(0,AFC63-AEW63-AEW62)*(1-AEP64)</f>
        <v/>
      </c>
      <c r="AFD64" s="12">
        <f>AEX64+AEX63+AEX62+MAX(0,AFD63-AEX63-AEX62)*(1-AEP64)</f>
        <v/>
      </c>
      <c r="AFE64" s="12">
        <f>AEY64+AEY63+AEY62+MAX(0,AFE63-AEY63-AEY62)*(1-AEP64)</f>
        <v/>
      </c>
      <c r="AFF64" s="12">
        <f>AFF63+AEZ64-AEZ52*(AnnualChurn*VLOOKUP(AEL64,ChurnSeasonTable,4,FALSE))*POWER(1-(AnnualChurn*VLOOKUP(AEL64,ChurnSeasonTable,4,FALSE)),0)+AEZ40*(AnnualChurn*VLOOKUP(AEL64,ChurnSeasonTable,4,FALSE))*POWER(1-(AnnualChurn*VLOOKUP(AEL64,ChurnSeasonTable,4,FALSE)),1)+AEZ28*(AnnualChurn*VLOOKUP(AEL64,ChurnSeasonTable,4,FALSE))*POWER(1-(AnnualChurn*VLOOKUP(AEL64,ChurnSeasonTable,4,FALSE)),2)+AEZ16*(AnnualChurn*VLOOKUP(AEL64,ChurnSeasonTable,4,FALSE))*POWER(1-(AnnualChurn*VLOOKUP(AEL64,ChurnSeasonTable,4,FALSE)),3)</f>
        <v/>
      </c>
      <c r="AFG64" s="12">
        <f>AFG63+AFA64-AFA52*(AnnualChurn*VLOOKUP(AEL64,ChurnSeasonTable,4,FALSE))*POWER(1-(AnnualChurn*VLOOKUP(AEL64,ChurnSeasonTable,4,FALSE)),0)+AFA40*(AnnualChurn*VLOOKUP(AEL64,ChurnSeasonTable,4,FALSE))*POWER(1-(AnnualChurn*VLOOKUP(AEL64,ChurnSeasonTable,4,FALSE)),1)+AFA28*(AnnualChurn*VLOOKUP(AEL64,ChurnSeasonTable,4,FALSE))*POWER(1-(AnnualChurn*VLOOKUP(AEL64,ChurnSeasonTable,4,FALSE)),2)+AFA16*(AnnualChurn*VLOOKUP(AEL64,ChurnSeasonTable,4,FALSE))*POWER(1-(AnnualChurn*VLOOKUP(AEL64,ChurnSeasonTable,4,FALSE)),3)</f>
        <v/>
      </c>
      <c r="AFH64" s="12">
        <f>AFH63+AFB64-AFB52*(AnnualChurn*VLOOKUP(AEL64,ChurnSeasonTable,4,FALSE))*POWER(1-(AnnualChurn*VLOOKUP(AEL64,ChurnSeasonTable,4,FALSE)),0)+AFB40*(AnnualChurn*VLOOKUP(AEL64,ChurnSeasonTable,4,FALSE))*POWER(1-(AnnualChurn*VLOOKUP(AEL64,ChurnSeasonTable,4,FALSE)),1)+AFB28*(AnnualChurn*VLOOKUP(AEL64,ChurnSeasonTable,4,FALSE))*POWER(1-(AnnualChurn*VLOOKUP(AEL64,ChurnSeasonTable,4,FALSE)),2)+AFB16*(AnnualChurn*VLOOKUP(AEL64,ChurnSeasonTable,4,FALSE))*POWER(1-(AnnualChurn*VLOOKUP(AEL64,ChurnSeasonTable,4,FALSE)),3)</f>
        <v/>
      </c>
      <c r="AFI64" s="12">
        <f>AFC64+AFD64+AFE64+AFF64+AFG64+AFH64</f>
        <v/>
      </c>
      <c r="AFJ64" s="9">
        <f>AFC64*BlendedPriceEssMonthly*AEO64+AFD64*BlendedPricePremMonthly*AEO64+AFE64*BlendedPriceEliteMonthly*AEO64+AFF64*BlendedPriceEssAnnual*AEO64/12+AFG64*BlendedPricePremAnnual*AEO64/12+AFH64*BlendedPriceEliteAnnual*AEO64/12</f>
        <v/>
      </c>
      <c r="AFK64" s="9">
        <f>AFJ64*12</f>
        <v/>
      </c>
      <c r="AFL64" s="12">
        <f>AFC64*BlendedPriceEssMonthly*AEO64+AFD64*BlendedPricePremMonthly*AEO64+AFE64*BlendedPriceEliteMonthly*AEO64</f>
        <v/>
      </c>
      <c r="AFM64" s="12">
        <f>AEZ64*BlendedPriceEssAnnual*AEO64+AFA64*BlendedPricePremAnnual*AEO64+AFB64*BlendedPriceEliteAnnual*AEO64</f>
        <v/>
      </c>
      <c r="AFN64" s="12">
        <f>AEZ52*POWER(1-(AnnualChurn*VLOOKUP(AEL64,ChurnSeasonTable,4,FALSE)),1)*BlendedPriceEssAnnual*AEO64+AEZ40*POWER(1-(AnnualChurn*VLOOKUP(AEL64,ChurnSeasonTable,4,FALSE)),2)*BlendedPriceEssAnnual*AEO64+AEZ28*POWER(1-(AnnualChurn*VLOOKUP(AEL64,ChurnSeasonTable,4,FALSE)),3)*BlendedPriceEssAnnual*AEO64+AEZ16*POWER(1-(AnnualChurn*VLOOKUP(AEL64,ChurnSeasonTable,4,FALSE)),4)*BlendedPriceEssAnnual*AEO64+AFA52*POWER(1-(AnnualChurn*VLOOKUP(AEL64,ChurnSeasonTable,4,FALSE)),1)*BlendedPricePremAnnual*AEO64+AFA40*POWER(1-(AnnualChurn*VLOOKUP(AEL64,ChurnSeasonTable,4,FALSE)),2)*BlendedPricePremAnnual*AEO64+AFA28*POWER(1-(AnnualChurn*VLOOKUP(AEL64,ChurnSeasonTable,4,FALSE)),3)*BlendedPricePremAnnual*AEO64+AFA16*POWER(1-(AnnualChurn*VLOOKUP(AEL64,ChurnSeasonTable,4,FALSE)),4)*BlendedPricePremAnnual*AEO64+AFB52*POWER(1-(AnnualChurn*VLOOKUP(AEL64,ChurnSeasonTable,4,FALSE)),1)*BlendedPriceEliteAnnual*AEO64+AFB40*POWER(1-(AnnualChurn*VLOOKUP(AEL64,ChurnSeasonTable,4,FALSE)),2)*BlendedPriceEliteAnnual*AEO64+AFB28*POWER(1-(AnnualChurn*VLOOKUP(AEL64,ChurnSeasonTable,4,FALSE)),3)*BlendedPriceEliteAnnual*AEO64+AFB16*POWER(1-(AnnualChurn*VLOOKUP(AEL64,ChurnSeasonTable,4,FALSE)),4)*BlendedPriceEliteAnnual*AEO64</f>
        <v/>
      </c>
      <c r="AFO64" s="9">
        <f>AFL64+AFM64+AFN64</f>
        <v/>
      </c>
      <c r="AFP64" s="12">
        <f>SUM(AFO53:AFO64)</f>
        <v/>
      </c>
      <c r="AFQ64" s="12">
        <f>OR(AFQ63,IF(VATAgentMode,SUM($AFO53:$AFO64)-SUM($AFV53:$AFV64)&gt;=VATThreshold,SUM($AFO53:$AFO64)&gt;=VATThreshold))</f>
        <v/>
      </c>
      <c r="AFR64" s="9">
        <f>IF(AFQ64,IF(VATAgentMode,AFO64-((AFO64-AFV64)-(AFO64-AFV64)/(1+VATRate)),AFO64/(1+VATRate)),AFO64)</f>
        <v/>
      </c>
      <c r="AFS64" s="12">
        <f>AFO64-AFR64</f>
        <v/>
      </c>
      <c r="AFT64" s="12">
        <f>IF(AFQ64=0,0,IF(AEL64=1,SUMPRODUCT(--(($AEM$5:$AEM64=$AEM64-1)*($AEL$5:$AEL64&gt;=10)*($AEL$5:$AEL64&lt;=12)),$AFS$5:$AFS64),IF(AEL64=4,SUMPRODUCT(--(($AEM$5:$AEM64=$AEM64)*($AEL$5:$AEL64&gt;=1)*($AEL$5:$AEL64&lt;=3)),$AFS$5:$AFS64),IF(AEL64=7,SUMPRODUCT(--(($AEM$5:$AEM64=$AEM64)*($AEL$5:$AEL64&gt;=4)*($AEL$5:$AEL64&lt;=6)),$AFS$5:$AFS64),IF(AEL64=10,SUMPRODUCT(--(($AEM$5:$AEM64=$AEM64)*($AEL$5:$AEL64&gt;=7)*($AEL$5:$AEL64&lt;=9)),$AFS$5:$AFS64),0)))))</f>
        <v/>
      </c>
      <c r="AFU64" s="12">
        <f>AFU63+AFS64-AFT64</f>
        <v/>
      </c>
      <c r="AFV64" s="12">
        <f>IF(ProviderDelay&gt;=1,AFC63*BlendedProvPayEss+AFD63*BlendedProvPayPrem+AFE63*BlendedProvPayElite+AFF63*BlendedProvPayEss+AFG63*BlendedProvPayPrem+AFH63*BlendedProvPayElite,AFC64*BlendedProvPayEss+AFD64*BlendedProvPayPrem+AFE64*BlendedProvPayElite+AFF64*BlendedProvPayEss+AFG64*BlendedProvPayPrem+AFH64*BlendedProvPayElite)</f>
        <v/>
      </c>
      <c r="AFW64" s="12">
        <f>AFO64*PaymentFee</f>
        <v/>
      </c>
      <c r="AFX64" s="12">
        <f>AFI64*OpsAI</f>
        <v/>
      </c>
      <c r="AFY64" s="12">
        <f>MonthlyFixed</f>
        <v/>
      </c>
      <c r="AFZ64" s="12">
        <f>AES64*ReferralReward</f>
        <v/>
      </c>
      <c r="AGA64" s="12">
        <f>AEQ64</f>
        <v/>
      </c>
      <c r="AGB64" s="9">
        <f>AFR64-AFV64-AFW64-AFX64-AFY64-AFZ64-AGA64</f>
        <v/>
      </c>
      <c r="AGC64" s="9">
        <f>AGC63+AFO64-(AFV64+AFW64+AFX64+AFY64+AFZ64+AGA64+AFT64)</f>
        <v/>
      </c>
      <c r="AGD64" s="12">
        <f>IF(AFI64&gt;0,AFJ64/AFI64,0)</f>
        <v/>
      </c>
      <c r="AGE64" s="11">
        <f>IF(AFI63&gt;0,MAX(0,(AFI63+AET64-AFI64)/AFI63),0)</f>
        <v/>
      </c>
      <c r="AGG64" s="12" t="n">
        <v>60</v>
      </c>
      <c r="AGH64" s="12">
        <f>MOD(AGG64-1+LaunchMonth-1,12)+1</f>
        <v/>
      </c>
      <c r="AGI64" s="12">
        <f>INT((AGG64-1+LaunchMonth-1)/12)+1</f>
        <v/>
      </c>
      <c r="AGJ64" s="12">
        <f>VLOOKUP(AGH64,SeasonTable,2,FALSE)</f>
        <v/>
      </c>
      <c r="AGK64" s="12">
        <f>(1+InflationRate)^INT((AGG64-1)/12)</f>
        <v/>
      </c>
      <c r="AGL64" s="11">
        <f>MonthlyChurn*VLOOKUP(AGH64,ChurnSeasonTable,4,FALSE)</f>
        <v/>
      </c>
      <c r="AGM64" s="12">
        <f>MIN(MAX(MktMin19plus,AHK63*MktPct19plus),MAX(0,AHY63-CashBuffer))</f>
        <v/>
      </c>
      <c r="AGN64" s="12">
        <f>IF(AGM64&gt;0,MAX(1,ROUND(AGM64/CAC*AGJ64,0)),0)</f>
        <v/>
      </c>
      <c r="AGO64" s="12">
        <f>IF(AGN64&gt;0,ROUND(AGN64*ReferralMix/(1-ReferralMix),0),0)</f>
        <v/>
      </c>
      <c r="AGP64" s="12">
        <f>AGN64+AGO64</f>
        <v/>
      </c>
      <c r="AGQ64" s="12">
        <f>ROUND(AGP64*(1-'Sens - Annual Mix'!$A$15),0)</f>
        <v/>
      </c>
      <c r="AGR64" s="12">
        <f>AGP64-AGQ64</f>
        <v/>
      </c>
      <c r="AGS64" s="12">
        <f>ROUND(AGQ64*EssentialMix,0)</f>
        <v/>
      </c>
      <c r="AGT64" s="12">
        <f>ROUND(AGQ64*PremiumMix,0)</f>
        <v/>
      </c>
      <c r="AGU64" s="12">
        <f>AGQ64-AGS64-AGT64</f>
        <v/>
      </c>
      <c r="AGV64" s="12">
        <f>ROUND(AGR64*EssentialMix,0)</f>
        <v/>
      </c>
      <c r="AGW64" s="12">
        <f>ROUND(AGR64*PremiumMix,0)</f>
        <v/>
      </c>
      <c r="AGX64" s="12">
        <f>AGR64-AGV64-AGW64</f>
        <v/>
      </c>
      <c r="AGY64" s="12">
        <f>AGS64+AGS63+AGS62+MAX(0,AGY63-AGS63-AGS62)*(1-AGL64)</f>
        <v/>
      </c>
      <c r="AGZ64" s="12">
        <f>AGT64+AGT63+AGT62+MAX(0,AGZ63-AGT63-AGT62)*(1-AGL64)</f>
        <v/>
      </c>
      <c r="AHA64" s="12">
        <f>AGU64+AGU63+AGU62+MAX(0,AHA63-AGU63-AGU62)*(1-AGL64)</f>
        <v/>
      </c>
      <c r="AHB64" s="12">
        <f>AHB63+AGV64-AGV52*(AnnualChurn*VLOOKUP(AGH64,ChurnSeasonTable,4,FALSE))*POWER(1-(AnnualChurn*VLOOKUP(AGH64,ChurnSeasonTable,4,FALSE)),0)+AGV40*(AnnualChurn*VLOOKUP(AGH64,ChurnSeasonTable,4,FALSE))*POWER(1-(AnnualChurn*VLOOKUP(AGH64,ChurnSeasonTable,4,FALSE)),1)+AGV28*(AnnualChurn*VLOOKUP(AGH64,ChurnSeasonTable,4,FALSE))*POWER(1-(AnnualChurn*VLOOKUP(AGH64,ChurnSeasonTable,4,FALSE)),2)+AGV16*(AnnualChurn*VLOOKUP(AGH64,ChurnSeasonTable,4,FALSE))*POWER(1-(AnnualChurn*VLOOKUP(AGH64,ChurnSeasonTable,4,FALSE)),3)</f>
        <v/>
      </c>
      <c r="AHC64" s="12">
        <f>AHC63+AGW64-AGW52*(AnnualChurn*VLOOKUP(AGH64,ChurnSeasonTable,4,FALSE))*POWER(1-(AnnualChurn*VLOOKUP(AGH64,ChurnSeasonTable,4,FALSE)),0)+AGW40*(AnnualChurn*VLOOKUP(AGH64,ChurnSeasonTable,4,FALSE))*POWER(1-(AnnualChurn*VLOOKUP(AGH64,ChurnSeasonTable,4,FALSE)),1)+AGW28*(AnnualChurn*VLOOKUP(AGH64,ChurnSeasonTable,4,FALSE))*POWER(1-(AnnualChurn*VLOOKUP(AGH64,ChurnSeasonTable,4,FALSE)),2)+AGW16*(AnnualChurn*VLOOKUP(AGH64,ChurnSeasonTable,4,FALSE))*POWER(1-(AnnualChurn*VLOOKUP(AGH64,ChurnSeasonTable,4,FALSE)),3)</f>
        <v/>
      </c>
      <c r="AHD64" s="12">
        <f>AHD63+AGX64-AGX52*(AnnualChurn*VLOOKUP(AGH64,ChurnSeasonTable,4,FALSE))*POWER(1-(AnnualChurn*VLOOKUP(AGH64,ChurnSeasonTable,4,FALSE)),0)+AGX40*(AnnualChurn*VLOOKUP(AGH64,ChurnSeasonTable,4,FALSE))*POWER(1-(AnnualChurn*VLOOKUP(AGH64,ChurnSeasonTable,4,FALSE)),1)+AGX28*(AnnualChurn*VLOOKUP(AGH64,ChurnSeasonTable,4,FALSE))*POWER(1-(AnnualChurn*VLOOKUP(AGH64,ChurnSeasonTable,4,FALSE)),2)+AGX16*(AnnualChurn*VLOOKUP(AGH64,ChurnSeasonTable,4,FALSE))*POWER(1-(AnnualChurn*VLOOKUP(AGH64,ChurnSeasonTable,4,FALSE)),3)</f>
        <v/>
      </c>
      <c r="AHE64" s="12">
        <f>AGY64+AGZ64+AHA64+AHB64+AHC64+AHD64</f>
        <v/>
      </c>
      <c r="AHF64" s="9">
        <f>AGY64*BlendedPriceEssMonthly*AGK64+AGZ64*BlendedPricePremMonthly*AGK64+AHA64*BlendedPriceEliteMonthly*AGK64+AHB64*BlendedPriceEssAnnual*AGK64/12+AHC64*BlendedPricePremAnnual*AGK64/12+AHD64*BlendedPriceEliteAnnual*AGK64/12</f>
        <v/>
      </c>
      <c r="AHG64" s="9">
        <f>AHF64*12</f>
        <v/>
      </c>
      <c r="AHH64" s="12">
        <f>AGY64*BlendedPriceEssMonthly*AGK64+AGZ64*BlendedPricePremMonthly*AGK64+AHA64*BlendedPriceEliteMonthly*AGK64</f>
        <v/>
      </c>
      <c r="AHI64" s="12">
        <f>AGV64*BlendedPriceEssAnnual*AGK64+AGW64*BlendedPricePremAnnual*AGK64+AGX64*BlendedPriceEliteAnnual*AGK64</f>
        <v/>
      </c>
      <c r="AHJ64" s="12">
        <f>AGV52*POWER(1-(AnnualChurn*VLOOKUP(AGH64,ChurnSeasonTable,4,FALSE)),1)*BlendedPriceEssAnnual*AGK64+AGV40*POWER(1-(AnnualChurn*VLOOKUP(AGH64,ChurnSeasonTable,4,FALSE)),2)*BlendedPriceEssAnnual*AGK64+AGV28*POWER(1-(AnnualChurn*VLOOKUP(AGH64,ChurnSeasonTable,4,FALSE)),3)*BlendedPriceEssAnnual*AGK64+AGV16*POWER(1-(AnnualChurn*VLOOKUP(AGH64,ChurnSeasonTable,4,FALSE)),4)*BlendedPriceEssAnnual*AGK64+AGW52*POWER(1-(AnnualChurn*VLOOKUP(AGH64,ChurnSeasonTable,4,FALSE)),1)*BlendedPricePremAnnual*AGK64+AGW40*POWER(1-(AnnualChurn*VLOOKUP(AGH64,ChurnSeasonTable,4,FALSE)),2)*BlendedPricePremAnnual*AGK64+AGW28*POWER(1-(AnnualChurn*VLOOKUP(AGH64,ChurnSeasonTable,4,FALSE)),3)*BlendedPricePremAnnual*AGK64+AGW16*POWER(1-(AnnualChurn*VLOOKUP(AGH64,ChurnSeasonTable,4,FALSE)),4)*BlendedPricePremAnnual*AGK64+AGX52*POWER(1-(AnnualChurn*VLOOKUP(AGH64,ChurnSeasonTable,4,FALSE)),1)*BlendedPriceEliteAnnual*AGK64+AGX40*POWER(1-(AnnualChurn*VLOOKUP(AGH64,ChurnSeasonTable,4,FALSE)),2)*BlendedPriceEliteAnnual*AGK64+AGX28*POWER(1-(AnnualChurn*VLOOKUP(AGH64,ChurnSeasonTable,4,FALSE)),3)*BlendedPriceEliteAnnual*AGK64+AGX16*POWER(1-(AnnualChurn*VLOOKUP(AGH64,ChurnSeasonTable,4,FALSE)),4)*BlendedPriceEliteAnnual*AGK64</f>
        <v/>
      </c>
      <c r="AHK64" s="9">
        <f>AHH64+AHI64+AHJ64</f>
        <v/>
      </c>
      <c r="AHL64" s="12">
        <f>SUM(AHK53:AHK64)</f>
        <v/>
      </c>
      <c r="AHM64" s="12">
        <f>OR(AHM63,IF(VATAgentMode,SUM($AHK53:$AHK64)-SUM($AHR53:$AHR64)&gt;=VATThreshold,SUM($AHK53:$AHK64)&gt;=VATThreshold))</f>
        <v/>
      </c>
      <c r="AHN64" s="9">
        <f>IF(AHM64,IF(VATAgentMode,AHK64-((AHK64-AHR64)-(AHK64-AHR64)/(1+VATRate)),AHK64/(1+VATRate)),AHK64)</f>
        <v/>
      </c>
      <c r="AHO64" s="12">
        <f>AHK64-AHN64</f>
        <v/>
      </c>
      <c r="AHP64" s="12">
        <f>IF(AHM64=0,0,IF(AGH64=1,SUMPRODUCT(--(($AGI$5:$AGI64=$AGI64-1)*($AGH$5:$AGH64&gt;=10)*($AGH$5:$AGH64&lt;=12)),$AHO$5:$AHO64),IF(AGH64=4,SUMPRODUCT(--(($AGI$5:$AGI64=$AGI64)*($AGH$5:$AGH64&gt;=1)*($AGH$5:$AGH64&lt;=3)),$AHO$5:$AHO64),IF(AGH64=7,SUMPRODUCT(--(($AGI$5:$AGI64=$AGI64)*($AGH$5:$AGH64&gt;=4)*($AGH$5:$AGH64&lt;=6)),$AHO$5:$AHO64),IF(AGH64=10,SUMPRODUCT(--(($AGI$5:$AGI64=$AGI64)*($AGH$5:$AGH64&gt;=7)*($AGH$5:$AGH64&lt;=9)),$AHO$5:$AHO64),0)))))</f>
        <v/>
      </c>
      <c r="AHQ64" s="12">
        <f>AHQ63+AHO64-AHP64</f>
        <v/>
      </c>
      <c r="AHR64" s="12">
        <f>IF(ProviderDelay&gt;=1,AGY63*BlendedProvPayEss+AGZ63*BlendedProvPayPrem+AHA63*BlendedProvPayElite+AHB63*BlendedProvPayEss+AHC63*BlendedProvPayPrem+AHD63*BlendedProvPayElite,AGY64*BlendedProvPayEss+AGZ64*BlendedProvPayPrem+AHA64*BlendedProvPayElite+AHB64*BlendedProvPayEss+AHC64*BlendedProvPayPrem+AHD64*BlendedProvPayElite)</f>
        <v/>
      </c>
      <c r="AHS64" s="12">
        <f>AHK64*PaymentFee</f>
        <v/>
      </c>
      <c r="AHT64" s="12">
        <f>AHE64*OpsAI</f>
        <v/>
      </c>
      <c r="AHU64" s="12">
        <f>MonthlyFixed</f>
        <v/>
      </c>
      <c r="AHV64" s="12">
        <f>AGO64*ReferralReward</f>
        <v/>
      </c>
      <c r="AHW64" s="12">
        <f>AGM64</f>
        <v/>
      </c>
      <c r="AHX64" s="9">
        <f>AHN64-AHR64-AHS64-AHT64-AHU64-AHV64-AHW64</f>
        <v/>
      </c>
      <c r="AHY64" s="9">
        <f>AHY63+AHK64-(AHR64+AHS64+AHT64+AHU64+AHV64+AHW64+AHP64)</f>
        <v/>
      </c>
      <c r="AHZ64" s="12">
        <f>IF(AHE64&gt;0,AHF64/AHE64,0)</f>
        <v/>
      </c>
      <c r="AIA64" s="11">
        <f>IF(AHE63&gt;0,MAX(0,(AHE63+AGP64-AHE64)/AHE63),0)</f>
        <v/>
      </c>
      <c r="AIC64" s="12" t="n">
        <v>60</v>
      </c>
      <c r="AID64" s="12">
        <f>MOD(AIC64-1+LaunchMonth-1,12)+1</f>
        <v/>
      </c>
      <c r="AIE64" s="12">
        <f>INT((AIC64-1+LaunchMonth-1)/12)+1</f>
        <v/>
      </c>
      <c r="AIF64" s="12">
        <f>VLOOKUP(AID64,SeasonTable,2,FALSE)</f>
        <v/>
      </c>
      <c r="AIG64" s="12">
        <f>(1+InflationRate)^INT((AIC64-1)/12)</f>
        <v/>
      </c>
      <c r="AIH64" s="11">
        <f>MonthlyChurn*VLOOKUP(AID64,ChurnSeasonTable,4,FALSE)</f>
        <v/>
      </c>
      <c r="AII64" s="12">
        <f>MIN(MAX(MktMin19plus,AJG63*MktPct19plus),MAX(0,AJU63-CashBuffer))</f>
        <v/>
      </c>
      <c r="AIJ64" s="12">
        <f>IF(AII64&gt;0,MAX(1,ROUND(AII64/'Sens - CAC &amp; Marketing'!$A$9*AIF64,0)),0)</f>
        <v/>
      </c>
      <c r="AIK64" s="12">
        <f>IF(AIJ64&gt;0,ROUND(AIJ64*ReferralMix/(1-ReferralMix),0),0)</f>
        <v/>
      </c>
      <c r="AIL64" s="12">
        <f>AIJ64+AIK64</f>
        <v/>
      </c>
      <c r="AIM64" s="12">
        <f>ROUND(AIL64*(1-AnnualMix),0)</f>
        <v/>
      </c>
      <c r="AIN64" s="12">
        <f>AIL64-AIM64</f>
        <v/>
      </c>
      <c r="AIO64" s="12">
        <f>ROUND(AIM64*EssentialMix,0)</f>
        <v/>
      </c>
      <c r="AIP64" s="12">
        <f>ROUND(AIM64*PremiumMix,0)</f>
        <v/>
      </c>
      <c r="AIQ64" s="12">
        <f>AIM64-AIO64-AIP64</f>
        <v/>
      </c>
      <c r="AIR64" s="12">
        <f>ROUND(AIN64*EssentialMix,0)</f>
        <v/>
      </c>
      <c r="AIS64" s="12">
        <f>ROUND(AIN64*PremiumMix,0)</f>
        <v/>
      </c>
      <c r="AIT64" s="12">
        <f>AIN64-AIR64-AIS64</f>
        <v/>
      </c>
      <c r="AIU64" s="12">
        <f>AIO64+AIO63+AIO62+MAX(0,AIU63-AIO63-AIO62)*(1-AIH64)</f>
        <v/>
      </c>
      <c r="AIV64" s="12">
        <f>AIP64+AIP63+AIP62+MAX(0,AIV63-AIP63-AIP62)*(1-AIH64)</f>
        <v/>
      </c>
      <c r="AIW64" s="12">
        <f>AIQ64+AIQ63+AIQ62+MAX(0,AIW63-AIQ63-AIQ62)*(1-AIH64)</f>
        <v/>
      </c>
      <c r="AIX64" s="12">
        <f>AIX63+AIR64-AIR52*(AnnualChurn*VLOOKUP(AID64,ChurnSeasonTable,4,FALSE))*POWER(1-(AnnualChurn*VLOOKUP(AID64,ChurnSeasonTable,4,FALSE)),0)+AIR40*(AnnualChurn*VLOOKUP(AID64,ChurnSeasonTable,4,FALSE))*POWER(1-(AnnualChurn*VLOOKUP(AID64,ChurnSeasonTable,4,FALSE)),1)+AIR28*(AnnualChurn*VLOOKUP(AID64,ChurnSeasonTable,4,FALSE))*POWER(1-(AnnualChurn*VLOOKUP(AID64,ChurnSeasonTable,4,FALSE)),2)+AIR16*(AnnualChurn*VLOOKUP(AID64,ChurnSeasonTable,4,FALSE))*POWER(1-(AnnualChurn*VLOOKUP(AID64,ChurnSeasonTable,4,FALSE)),3)</f>
        <v/>
      </c>
      <c r="AIY64" s="12">
        <f>AIY63+AIS64-AIS52*(AnnualChurn*VLOOKUP(AID64,ChurnSeasonTable,4,FALSE))*POWER(1-(AnnualChurn*VLOOKUP(AID64,ChurnSeasonTable,4,FALSE)),0)+AIS40*(AnnualChurn*VLOOKUP(AID64,ChurnSeasonTable,4,FALSE))*POWER(1-(AnnualChurn*VLOOKUP(AID64,ChurnSeasonTable,4,FALSE)),1)+AIS28*(AnnualChurn*VLOOKUP(AID64,ChurnSeasonTable,4,FALSE))*POWER(1-(AnnualChurn*VLOOKUP(AID64,ChurnSeasonTable,4,FALSE)),2)+AIS16*(AnnualChurn*VLOOKUP(AID64,ChurnSeasonTable,4,FALSE))*POWER(1-(AnnualChurn*VLOOKUP(AID64,ChurnSeasonTable,4,FALSE)),3)</f>
        <v/>
      </c>
      <c r="AIZ64" s="12">
        <f>AIZ63+AIT64-AIT52*(AnnualChurn*VLOOKUP(AID64,ChurnSeasonTable,4,FALSE))*POWER(1-(AnnualChurn*VLOOKUP(AID64,ChurnSeasonTable,4,FALSE)),0)+AIT40*(AnnualChurn*VLOOKUP(AID64,ChurnSeasonTable,4,FALSE))*POWER(1-(AnnualChurn*VLOOKUP(AID64,ChurnSeasonTable,4,FALSE)),1)+AIT28*(AnnualChurn*VLOOKUP(AID64,ChurnSeasonTable,4,FALSE))*POWER(1-(AnnualChurn*VLOOKUP(AID64,ChurnSeasonTable,4,FALSE)),2)+AIT16*(AnnualChurn*VLOOKUP(AID64,ChurnSeasonTable,4,FALSE))*POWER(1-(AnnualChurn*VLOOKUP(AID64,ChurnSeasonTable,4,FALSE)),3)</f>
        <v/>
      </c>
      <c r="AJA64" s="12">
        <f>AIU64+AIV64+AIW64+AIX64+AIY64+AIZ64</f>
        <v/>
      </c>
      <c r="AJB64" s="9">
        <f>AIU64*BlendedPriceEssMonthly*AIG64+AIV64*BlendedPricePremMonthly*AIG64+AIW64*BlendedPriceEliteMonthly*AIG64+AIX64*BlendedPriceEssAnnual*AIG64/12+AIY64*BlendedPricePremAnnual*AIG64/12+AIZ64*BlendedPriceEliteAnnual*AIG64/12</f>
        <v/>
      </c>
      <c r="AJC64" s="9">
        <f>AJB64*12</f>
        <v/>
      </c>
      <c r="AJD64" s="12">
        <f>AIU64*BlendedPriceEssMonthly*AIG64+AIV64*BlendedPricePremMonthly*AIG64+AIW64*BlendedPriceEliteMonthly*AIG64</f>
        <v/>
      </c>
      <c r="AJE64" s="12">
        <f>AIR64*BlendedPriceEssAnnual*AIG64+AIS64*BlendedPricePremAnnual*AIG64+AIT64*BlendedPriceEliteAnnual*AIG64</f>
        <v/>
      </c>
      <c r="AJF64" s="12">
        <f>AIR52*POWER(1-(AnnualChurn*VLOOKUP(AID64,ChurnSeasonTable,4,FALSE)),1)*BlendedPriceEssAnnual*AIG64+AIR40*POWER(1-(AnnualChurn*VLOOKUP(AID64,ChurnSeasonTable,4,FALSE)),2)*BlendedPriceEssAnnual*AIG64+AIR28*POWER(1-(AnnualChurn*VLOOKUP(AID64,ChurnSeasonTable,4,FALSE)),3)*BlendedPriceEssAnnual*AIG64+AIR16*POWER(1-(AnnualChurn*VLOOKUP(AID64,ChurnSeasonTable,4,FALSE)),4)*BlendedPriceEssAnnual*AIG64+AIS52*POWER(1-(AnnualChurn*VLOOKUP(AID64,ChurnSeasonTable,4,FALSE)),1)*BlendedPricePremAnnual*AIG64+AIS40*POWER(1-(AnnualChurn*VLOOKUP(AID64,ChurnSeasonTable,4,FALSE)),2)*BlendedPricePremAnnual*AIG64+AIS28*POWER(1-(AnnualChurn*VLOOKUP(AID64,ChurnSeasonTable,4,FALSE)),3)*BlendedPricePremAnnual*AIG64+AIS16*POWER(1-(AnnualChurn*VLOOKUP(AID64,ChurnSeasonTable,4,FALSE)),4)*BlendedPricePremAnnual*AIG64+AIT52*POWER(1-(AnnualChurn*VLOOKUP(AID64,ChurnSeasonTable,4,FALSE)),1)*BlendedPriceEliteAnnual*AIG64+AIT40*POWER(1-(AnnualChurn*VLOOKUP(AID64,ChurnSeasonTable,4,FALSE)),2)*BlendedPriceEliteAnnual*AIG64+AIT28*POWER(1-(AnnualChurn*VLOOKUP(AID64,ChurnSeasonTable,4,FALSE)),3)*BlendedPriceEliteAnnual*AIG64+AIT16*POWER(1-(AnnualChurn*VLOOKUP(AID64,ChurnSeasonTable,4,FALSE)),4)*BlendedPriceEliteAnnual*AIG64</f>
        <v/>
      </c>
      <c r="AJG64" s="9">
        <f>AJD64+AJE64+AJF64</f>
        <v/>
      </c>
      <c r="AJH64" s="12">
        <f>SUM(AJG53:AJG64)</f>
        <v/>
      </c>
      <c r="AJI64" s="12">
        <f>OR(AJI63,IF(VATAgentMode,SUM($AJG53:$AJG64)-SUM($AJN53:$AJN64)&gt;=VATThreshold,SUM($AJG53:$AJG64)&gt;=VATThreshold))</f>
        <v/>
      </c>
      <c r="AJJ64" s="9">
        <f>IF(AJI64,IF(VATAgentMode,AJG64-((AJG64-AJN64)-(AJG64-AJN64)/(1+VATRate)),AJG64/(1+VATRate)),AJG64)</f>
        <v/>
      </c>
      <c r="AJK64" s="12">
        <f>AJG64-AJJ64</f>
        <v/>
      </c>
      <c r="AJL64" s="12">
        <f>IF(AJI64=0,0,IF(AID64=1,SUMPRODUCT(--(($AIE$5:$AIE64=$AIE64-1)*($AID$5:$AID64&gt;=10)*($AID$5:$AID64&lt;=12)),$AJK$5:$AJK64),IF(AID64=4,SUMPRODUCT(--(($AIE$5:$AIE64=$AIE64)*($AID$5:$AID64&gt;=1)*($AID$5:$AID64&lt;=3)),$AJK$5:$AJK64),IF(AID64=7,SUMPRODUCT(--(($AIE$5:$AIE64=$AIE64)*($AID$5:$AID64&gt;=4)*($AID$5:$AID64&lt;=6)),$AJK$5:$AJK64),IF(AID64=10,SUMPRODUCT(--(($AIE$5:$AIE64=$AIE64)*($AID$5:$AID64&gt;=7)*($AID$5:$AID64&lt;=9)),$AJK$5:$AJK64),0)))))</f>
        <v/>
      </c>
      <c r="AJM64" s="12">
        <f>AJM63+AJK64-AJL64</f>
        <v/>
      </c>
      <c r="AJN64" s="12">
        <f>IF(ProviderDelay&gt;=1,AIU63*BlendedProvPayEss+AIV63*BlendedProvPayPrem+AIW63*BlendedProvPayElite+AIX63*BlendedProvPayEss+AIY63*BlendedProvPayPrem+AIZ63*BlendedProvPayElite,AIU64*BlendedProvPayEss+AIV64*BlendedProvPayPrem+AIW64*BlendedProvPayElite+AIX64*BlendedProvPayEss+AIY64*BlendedProvPayPrem+AIZ64*BlendedProvPayElite)</f>
        <v/>
      </c>
      <c r="AJO64" s="12">
        <f>AJG64*PaymentFee</f>
        <v/>
      </c>
      <c r="AJP64" s="12">
        <f>AJA64*OpsAI</f>
        <v/>
      </c>
      <c r="AJQ64" s="12">
        <f>MonthlyFixed</f>
        <v/>
      </c>
      <c r="AJR64" s="12">
        <f>AIK64*ReferralReward</f>
        <v/>
      </c>
      <c r="AJS64" s="12">
        <f>AII64</f>
        <v/>
      </c>
      <c r="AJT64" s="9">
        <f>AJJ64-AJN64-AJO64-AJP64-AJQ64-AJR64-AJS64</f>
        <v/>
      </c>
      <c r="AJU64" s="9">
        <f>AJU63+AJG64-(AJN64+AJO64+AJP64+AJQ64+AJR64+AJS64+AJL64)</f>
        <v/>
      </c>
      <c r="AJV64" s="12">
        <f>IF(AJA64&gt;0,AJB64/AJA64,0)</f>
        <v/>
      </c>
      <c r="AJW64" s="11">
        <f>IF(AJA63&gt;0,MAX(0,(AJA63+AIL64-AJA64)/AJA63),0)</f>
        <v/>
      </c>
      <c r="AJY64" s="12" t="n">
        <v>60</v>
      </c>
      <c r="AJZ64" s="12">
        <f>MOD(AJY64-1+LaunchMonth-1,12)+1</f>
        <v/>
      </c>
      <c r="AKA64" s="12">
        <f>INT((AJY64-1+LaunchMonth-1)/12)+1</f>
        <v/>
      </c>
      <c r="AKB64" s="12">
        <f>VLOOKUP(AJZ64,SeasonTable,2,FALSE)</f>
        <v/>
      </c>
      <c r="AKC64" s="12">
        <f>(1+InflationRate)^INT((AJY64-1)/12)</f>
        <v/>
      </c>
      <c r="AKD64" s="11">
        <f>MonthlyChurn*VLOOKUP(AJZ64,ChurnSeasonTable,4,FALSE)</f>
        <v/>
      </c>
      <c r="AKE64" s="12">
        <f>MIN(MAX(MktMin19plus,ALC63*MktPct19plus),MAX(0,ALQ63-CashBuffer))</f>
        <v/>
      </c>
      <c r="AKF64" s="12">
        <f>IF(AKE64&gt;0,MAX(1,ROUND(AKE64/'Sens - CAC &amp; Marketing'!$A$10*AKB64,0)),0)</f>
        <v/>
      </c>
      <c r="AKG64" s="12">
        <f>IF(AKF64&gt;0,ROUND(AKF64*ReferralMix/(1-ReferralMix),0),0)</f>
        <v/>
      </c>
      <c r="AKH64" s="12">
        <f>AKF64+AKG64</f>
        <v/>
      </c>
      <c r="AKI64" s="12">
        <f>ROUND(AKH64*(1-AnnualMix),0)</f>
        <v/>
      </c>
      <c r="AKJ64" s="12">
        <f>AKH64-AKI64</f>
        <v/>
      </c>
      <c r="AKK64" s="12">
        <f>ROUND(AKI64*EssentialMix,0)</f>
        <v/>
      </c>
      <c r="AKL64" s="12">
        <f>ROUND(AKI64*PremiumMix,0)</f>
        <v/>
      </c>
      <c r="AKM64" s="12">
        <f>AKI64-AKK64-AKL64</f>
        <v/>
      </c>
      <c r="AKN64" s="12">
        <f>ROUND(AKJ64*EssentialMix,0)</f>
        <v/>
      </c>
      <c r="AKO64" s="12">
        <f>ROUND(AKJ64*PremiumMix,0)</f>
        <v/>
      </c>
      <c r="AKP64" s="12">
        <f>AKJ64-AKN64-AKO64</f>
        <v/>
      </c>
      <c r="AKQ64" s="12">
        <f>AKK64+AKK63+AKK62+MAX(0,AKQ63-AKK63-AKK62)*(1-AKD64)</f>
        <v/>
      </c>
      <c r="AKR64" s="12">
        <f>AKL64+AKL63+AKL62+MAX(0,AKR63-AKL63-AKL62)*(1-AKD64)</f>
        <v/>
      </c>
      <c r="AKS64" s="12">
        <f>AKM64+AKM63+AKM62+MAX(0,AKS63-AKM63-AKM62)*(1-AKD64)</f>
        <v/>
      </c>
      <c r="AKT64" s="12">
        <f>AKT63+AKN64-AKN52*(AnnualChurn*VLOOKUP(AJZ64,ChurnSeasonTable,4,FALSE))*POWER(1-(AnnualChurn*VLOOKUP(AJZ64,ChurnSeasonTable,4,FALSE)),0)+AKN40*(AnnualChurn*VLOOKUP(AJZ64,ChurnSeasonTable,4,FALSE))*POWER(1-(AnnualChurn*VLOOKUP(AJZ64,ChurnSeasonTable,4,FALSE)),1)+AKN28*(AnnualChurn*VLOOKUP(AJZ64,ChurnSeasonTable,4,FALSE))*POWER(1-(AnnualChurn*VLOOKUP(AJZ64,ChurnSeasonTable,4,FALSE)),2)+AKN16*(AnnualChurn*VLOOKUP(AJZ64,ChurnSeasonTable,4,FALSE))*POWER(1-(AnnualChurn*VLOOKUP(AJZ64,ChurnSeasonTable,4,FALSE)),3)</f>
        <v/>
      </c>
      <c r="AKU64" s="12">
        <f>AKU63+AKO64-AKO52*(AnnualChurn*VLOOKUP(AJZ64,ChurnSeasonTable,4,FALSE))*POWER(1-(AnnualChurn*VLOOKUP(AJZ64,ChurnSeasonTable,4,FALSE)),0)+AKO40*(AnnualChurn*VLOOKUP(AJZ64,ChurnSeasonTable,4,FALSE))*POWER(1-(AnnualChurn*VLOOKUP(AJZ64,ChurnSeasonTable,4,FALSE)),1)+AKO28*(AnnualChurn*VLOOKUP(AJZ64,ChurnSeasonTable,4,FALSE))*POWER(1-(AnnualChurn*VLOOKUP(AJZ64,ChurnSeasonTable,4,FALSE)),2)+AKO16*(AnnualChurn*VLOOKUP(AJZ64,ChurnSeasonTable,4,FALSE))*POWER(1-(AnnualChurn*VLOOKUP(AJZ64,ChurnSeasonTable,4,FALSE)),3)</f>
        <v/>
      </c>
      <c r="AKV64" s="12">
        <f>AKV63+AKP64-AKP52*(AnnualChurn*VLOOKUP(AJZ64,ChurnSeasonTable,4,FALSE))*POWER(1-(AnnualChurn*VLOOKUP(AJZ64,ChurnSeasonTable,4,FALSE)),0)+AKP40*(AnnualChurn*VLOOKUP(AJZ64,ChurnSeasonTable,4,FALSE))*POWER(1-(AnnualChurn*VLOOKUP(AJZ64,ChurnSeasonTable,4,FALSE)),1)+AKP28*(AnnualChurn*VLOOKUP(AJZ64,ChurnSeasonTable,4,FALSE))*POWER(1-(AnnualChurn*VLOOKUP(AJZ64,ChurnSeasonTable,4,FALSE)),2)+AKP16*(AnnualChurn*VLOOKUP(AJZ64,ChurnSeasonTable,4,FALSE))*POWER(1-(AnnualChurn*VLOOKUP(AJZ64,ChurnSeasonTable,4,FALSE)),3)</f>
        <v/>
      </c>
      <c r="AKW64" s="12">
        <f>AKQ64+AKR64+AKS64+AKT64+AKU64+AKV64</f>
        <v/>
      </c>
      <c r="AKX64" s="9">
        <f>AKQ64*BlendedPriceEssMonthly*AKC64+AKR64*BlendedPricePremMonthly*AKC64+AKS64*BlendedPriceEliteMonthly*AKC64+AKT64*BlendedPriceEssAnnual*AKC64/12+AKU64*BlendedPricePremAnnual*AKC64/12+AKV64*BlendedPriceEliteAnnual*AKC64/12</f>
        <v/>
      </c>
      <c r="AKY64" s="9">
        <f>AKX64*12</f>
        <v/>
      </c>
      <c r="AKZ64" s="12">
        <f>AKQ64*BlendedPriceEssMonthly*AKC64+AKR64*BlendedPricePremMonthly*AKC64+AKS64*BlendedPriceEliteMonthly*AKC64</f>
        <v/>
      </c>
      <c r="ALA64" s="12">
        <f>AKN64*BlendedPriceEssAnnual*AKC64+AKO64*BlendedPricePremAnnual*AKC64+AKP64*BlendedPriceEliteAnnual*AKC64</f>
        <v/>
      </c>
      <c r="ALB64" s="12">
        <f>AKN52*POWER(1-(AnnualChurn*VLOOKUP(AJZ64,ChurnSeasonTable,4,FALSE)),1)*BlendedPriceEssAnnual*AKC64+AKN40*POWER(1-(AnnualChurn*VLOOKUP(AJZ64,ChurnSeasonTable,4,FALSE)),2)*BlendedPriceEssAnnual*AKC64+AKN28*POWER(1-(AnnualChurn*VLOOKUP(AJZ64,ChurnSeasonTable,4,FALSE)),3)*BlendedPriceEssAnnual*AKC64+AKN16*POWER(1-(AnnualChurn*VLOOKUP(AJZ64,ChurnSeasonTable,4,FALSE)),4)*BlendedPriceEssAnnual*AKC64+AKO52*POWER(1-(AnnualChurn*VLOOKUP(AJZ64,ChurnSeasonTable,4,FALSE)),1)*BlendedPricePremAnnual*AKC64+AKO40*POWER(1-(AnnualChurn*VLOOKUP(AJZ64,ChurnSeasonTable,4,FALSE)),2)*BlendedPricePremAnnual*AKC64+AKO28*POWER(1-(AnnualChurn*VLOOKUP(AJZ64,ChurnSeasonTable,4,FALSE)),3)*BlendedPricePremAnnual*AKC64+AKO16*POWER(1-(AnnualChurn*VLOOKUP(AJZ64,ChurnSeasonTable,4,FALSE)),4)*BlendedPricePremAnnual*AKC64+AKP52*POWER(1-(AnnualChurn*VLOOKUP(AJZ64,ChurnSeasonTable,4,FALSE)),1)*BlendedPriceEliteAnnual*AKC64+AKP40*POWER(1-(AnnualChurn*VLOOKUP(AJZ64,ChurnSeasonTable,4,FALSE)),2)*BlendedPriceEliteAnnual*AKC64+AKP28*POWER(1-(AnnualChurn*VLOOKUP(AJZ64,ChurnSeasonTable,4,FALSE)),3)*BlendedPriceEliteAnnual*AKC64+AKP16*POWER(1-(AnnualChurn*VLOOKUP(AJZ64,ChurnSeasonTable,4,FALSE)),4)*BlendedPriceEliteAnnual*AKC64</f>
        <v/>
      </c>
      <c r="ALC64" s="9">
        <f>AKZ64+ALA64+ALB64</f>
        <v/>
      </c>
      <c r="ALD64" s="12">
        <f>SUM(ALC53:ALC64)</f>
        <v/>
      </c>
      <c r="ALE64" s="12">
        <f>OR(ALE63,IF(VATAgentMode,SUM($ALC53:$ALC64)-SUM($ALJ53:$ALJ64)&gt;=VATThreshold,SUM($ALC53:$ALC64)&gt;=VATThreshold))</f>
        <v/>
      </c>
      <c r="ALF64" s="9">
        <f>IF(ALE64,IF(VATAgentMode,ALC64-((ALC64-ALJ64)-(ALC64-ALJ64)/(1+VATRate)),ALC64/(1+VATRate)),ALC64)</f>
        <v/>
      </c>
      <c r="ALG64" s="12">
        <f>ALC64-ALF64</f>
        <v/>
      </c>
      <c r="ALH64" s="12">
        <f>IF(ALE64=0,0,IF(AJZ64=1,SUMPRODUCT(--(($AKA$5:$AKA64=$AKA64-1)*($AJZ$5:$AJZ64&gt;=10)*($AJZ$5:$AJZ64&lt;=12)),$ALG$5:$ALG64),IF(AJZ64=4,SUMPRODUCT(--(($AKA$5:$AKA64=$AKA64)*($AJZ$5:$AJZ64&gt;=1)*($AJZ$5:$AJZ64&lt;=3)),$ALG$5:$ALG64),IF(AJZ64=7,SUMPRODUCT(--(($AKA$5:$AKA64=$AKA64)*($AJZ$5:$AJZ64&gt;=4)*($AJZ$5:$AJZ64&lt;=6)),$ALG$5:$ALG64),IF(AJZ64=10,SUMPRODUCT(--(($AKA$5:$AKA64=$AKA64)*($AJZ$5:$AJZ64&gt;=7)*($AJZ$5:$AJZ64&lt;=9)),$ALG$5:$ALG64),0)))))</f>
        <v/>
      </c>
      <c r="ALI64" s="12">
        <f>ALI63+ALG64-ALH64</f>
        <v/>
      </c>
      <c r="ALJ64" s="12">
        <f>IF(ProviderDelay&gt;=1,AKQ63*BlendedProvPayEss+AKR63*BlendedProvPayPrem+AKS63*BlendedProvPayElite+AKT63*BlendedProvPayEss+AKU63*BlendedProvPayPrem+AKV63*BlendedProvPayElite,AKQ64*BlendedProvPayEss+AKR64*BlendedProvPayPrem+AKS64*BlendedProvPayElite+AKT64*BlendedProvPayEss+AKU64*BlendedProvPayPrem+AKV64*BlendedProvPayElite)</f>
        <v/>
      </c>
      <c r="ALK64" s="12">
        <f>ALC64*PaymentFee</f>
        <v/>
      </c>
      <c r="ALL64" s="12">
        <f>AKW64*OpsAI</f>
        <v/>
      </c>
      <c r="ALM64" s="12">
        <f>MonthlyFixed</f>
        <v/>
      </c>
      <c r="ALN64" s="12">
        <f>AKG64*ReferralReward</f>
        <v/>
      </c>
      <c r="ALO64" s="12">
        <f>AKE64</f>
        <v/>
      </c>
      <c r="ALP64" s="9">
        <f>ALF64-ALJ64-ALK64-ALL64-ALM64-ALN64-ALO64</f>
        <v/>
      </c>
      <c r="ALQ64" s="9">
        <f>ALQ63+ALC64-(ALJ64+ALK64+ALL64+ALM64+ALN64+ALO64+ALH64)</f>
        <v/>
      </c>
      <c r="ALR64" s="12">
        <f>IF(AKW64&gt;0,AKX64/AKW64,0)</f>
        <v/>
      </c>
      <c r="ALS64" s="11">
        <f>IF(AKW63&gt;0,MAX(0,(AKW63+AKH64-AKW64)/AKW63),0)</f>
        <v/>
      </c>
      <c r="ALU64" s="12" t="n">
        <v>60</v>
      </c>
      <c r="ALV64" s="12">
        <f>MOD(ALU64-1+LaunchMonth-1,12)+1</f>
        <v/>
      </c>
      <c r="ALW64" s="12">
        <f>INT((ALU64-1+LaunchMonth-1)/12)+1</f>
        <v/>
      </c>
      <c r="ALX64" s="12">
        <f>VLOOKUP(ALV64,SeasonTable,2,FALSE)</f>
        <v/>
      </c>
      <c r="ALY64" s="12">
        <f>(1+InflationRate)^INT((ALU64-1)/12)</f>
        <v/>
      </c>
      <c r="ALZ64" s="11">
        <f>MonthlyChurn*VLOOKUP(ALV64,ChurnSeasonTable,4,FALSE)</f>
        <v/>
      </c>
      <c r="AMA64" s="12">
        <f>MIN(MAX(MktMin19plus,AMY63*MktPct19plus),MAX(0,ANM63-CashBuffer))</f>
        <v/>
      </c>
      <c r="AMB64" s="12">
        <f>IF(AMA64&gt;0,MAX(1,ROUND(AMA64/'Sens - CAC &amp; Marketing'!$A$11*ALX64,0)),0)</f>
        <v/>
      </c>
      <c r="AMC64" s="12">
        <f>IF(AMB64&gt;0,ROUND(AMB64*ReferralMix/(1-ReferralMix),0),0)</f>
        <v/>
      </c>
      <c r="AMD64" s="12">
        <f>AMB64+AMC64</f>
        <v/>
      </c>
      <c r="AME64" s="12">
        <f>ROUND(AMD64*(1-AnnualMix),0)</f>
        <v/>
      </c>
      <c r="AMF64" s="12">
        <f>AMD64-AME64</f>
        <v/>
      </c>
      <c r="AMG64" s="12">
        <f>ROUND(AME64*EssentialMix,0)</f>
        <v/>
      </c>
      <c r="AMH64" s="12">
        <f>ROUND(AME64*PremiumMix,0)</f>
        <v/>
      </c>
      <c r="AMI64" s="12">
        <f>AME64-AMG64-AMH64</f>
        <v/>
      </c>
      <c r="AMJ64" s="12">
        <f>ROUND(AMF64*EssentialMix,0)</f>
        <v/>
      </c>
      <c r="AMK64" s="12">
        <f>ROUND(AMF64*PremiumMix,0)</f>
        <v/>
      </c>
      <c r="AML64" s="12">
        <f>AMF64-AMJ64-AMK64</f>
        <v/>
      </c>
      <c r="AMM64" s="12">
        <f>AMG64+AMG63+AMG62+MAX(0,AMM63-AMG63-AMG62)*(1-ALZ64)</f>
        <v/>
      </c>
      <c r="AMN64" s="12">
        <f>AMH64+AMH63+AMH62+MAX(0,AMN63-AMH63-AMH62)*(1-ALZ64)</f>
        <v/>
      </c>
      <c r="AMO64" s="12">
        <f>AMI64+AMI63+AMI62+MAX(0,AMO63-AMI63-AMI62)*(1-ALZ64)</f>
        <v/>
      </c>
      <c r="AMP64" s="12">
        <f>AMP63+AMJ64-AMJ52*(AnnualChurn*VLOOKUP(ALV64,ChurnSeasonTable,4,FALSE))*POWER(1-(AnnualChurn*VLOOKUP(ALV64,ChurnSeasonTable,4,FALSE)),0)+AMJ40*(AnnualChurn*VLOOKUP(ALV64,ChurnSeasonTable,4,FALSE))*POWER(1-(AnnualChurn*VLOOKUP(ALV64,ChurnSeasonTable,4,FALSE)),1)+AMJ28*(AnnualChurn*VLOOKUP(ALV64,ChurnSeasonTable,4,FALSE))*POWER(1-(AnnualChurn*VLOOKUP(ALV64,ChurnSeasonTable,4,FALSE)),2)+AMJ16*(AnnualChurn*VLOOKUP(ALV64,ChurnSeasonTable,4,FALSE))*POWER(1-(AnnualChurn*VLOOKUP(ALV64,ChurnSeasonTable,4,FALSE)),3)</f>
        <v/>
      </c>
      <c r="AMQ64" s="12">
        <f>AMQ63+AMK64-AMK52*(AnnualChurn*VLOOKUP(ALV64,ChurnSeasonTable,4,FALSE))*POWER(1-(AnnualChurn*VLOOKUP(ALV64,ChurnSeasonTable,4,FALSE)),0)+AMK40*(AnnualChurn*VLOOKUP(ALV64,ChurnSeasonTable,4,FALSE))*POWER(1-(AnnualChurn*VLOOKUP(ALV64,ChurnSeasonTable,4,FALSE)),1)+AMK28*(AnnualChurn*VLOOKUP(ALV64,ChurnSeasonTable,4,FALSE))*POWER(1-(AnnualChurn*VLOOKUP(ALV64,ChurnSeasonTable,4,FALSE)),2)+AMK16*(AnnualChurn*VLOOKUP(ALV64,ChurnSeasonTable,4,FALSE))*POWER(1-(AnnualChurn*VLOOKUP(ALV64,ChurnSeasonTable,4,FALSE)),3)</f>
        <v/>
      </c>
      <c r="AMR64" s="12">
        <f>AMR63+AML64-AML52*(AnnualChurn*VLOOKUP(ALV64,ChurnSeasonTable,4,FALSE))*POWER(1-(AnnualChurn*VLOOKUP(ALV64,ChurnSeasonTable,4,FALSE)),0)+AML40*(AnnualChurn*VLOOKUP(ALV64,ChurnSeasonTable,4,FALSE))*POWER(1-(AnnualChurn*VLOOKUP(ALV64,ChurnSeasonTable,4,FALSE)),1)+AML28*(AnnualChurn*VLOOKUP(ALV64,ChurnSeasonTable,4,FALSE))*POWER(1-(AnnualChurn*VLOOKUP(ALV64,ChurnSeasonTable,4,FALSE)),2)+AML16*(AnnualChurn*VLOOKUP(ALV64,ChurnSeasonTable,4,FALSE))*POWER(1-(AnnualChurn*VLOOKUP(ALV64,ChurnSeasonTable,4,FALSE)),3)</f>
        <v/>
      </c>
      <c r="AMS64" s="12">
        <f>AMM64+AMN64+AMO64+AMP64+AMQ64+AMR64</f>
        <v/>
      </c>
      <c r="AMT64" s="9">
        <f>AMM64*BlendedPriceEssMonthly*ALY64+AMN64*BlendedPricePremMonthly*ALY64+AMO64*BlendedPriceEliteMonthly*ALY64+AMP64*BlendedPriceEssAnnual*ALY64/12+AMQ64*BlendedPricePremAnnual*ALY64/12+AMR64*BlendedPriceEliteAnnual*ALY64/12</f>
        <v/>
      </c>
      <c r="AMU64" s="9">
        <f>AMT64*12</f>
        <v/>
      </c>
      <c r="AMV64" s="12">
        <f>AMM64*BlendedPriceEssMonthly*ALY64+AMN64*BlendedPricePremMonthly*ALY64+AMO64*BlendedPriceEliteMonthly*ALY64</f>
        <v/>
      </c>
      <c r="AMW64" s="12">
        <f>AMJ64*BlendedPriceEssAnnual*ALY64+AMK64*BlendedPricePremAnnual*ALY64+AML64*BlendedPriceEliteAnnual*ALY64</f>
        <v/>
      </c>
      <c r="AMX64" s="12">
        <f>AMJ52*POWER(1-(AnnualChurn*VLOOKUP(ALV64,ChurnSeasonTable,4,FALSE)),1)*BlendedPriceEssAnnual*ALY64+AMJ40*POWER(1-(AnnualChurn*VLOOKUP(ALV64,ChurnSeasonTable,4,FALSE)),2)*BlendedPriceEssAnnual*ALY64+AMJ28*POWER(1-(AnnualChurn*VLOOKUP(ALV64,ChurnSeasonTable,4,FALSE)),3)*BlendedPriceEssAnnual*ALY64+AMJ16*POWER(1-(AnnualChurn*VLOOKUP(ALV64,ChurnSeasonTable,4,FALSE)),4)*BlendedPriceEssAnnual*ALY64+AMK52*POWER(1-(AnnualChurn*VLOOKUP(ALV64,ChurnSeasonTable,4,FALSE)),1)*BlendedPricePremAnnual*ALY64+AMK40*POWER(1-(AnnualChurn*VLOOKUP(ALV64,ChurnSeasonTable,4,FALSE)),2)*BlendedPricePremAnnual*ALY64+AMK28*POWER(1-(AnnualChurn*VLOOKUP(ALV64,ChurnSeasonTable,4,FALSE)),3)*BlendedPricePremAnnual*ALY64+AMK16*POWER(1-(AnnualChurn*VLOOKUP(ALV64,ChurnSeasonTable,4,FALSE)),4)*BlendedPricePremAnnual*ALY64+AML52*POWER(1-(AnnualChurn*VLOOKUP(ALV64,ChurnSeasonTable,4,FALSE)),1)*BlendedPriceEliteAnnual*ALY64+AML40*POWER(1-(AnnualChurn*VLOOKUP(ALV64,ChurnSeasonTable,4,FALSE)),2)*BlendedPriceEliteAnnual*ALY64+AML28*POWER(1-(AnnualChurn*VLOOKUP(ALV64,ChurnSeasonTable,4,FALSE)),3)*BlendedPriceEliteAnnual*ALY64+AML16*POWER(1-(AnnualChurn*VLOOKUP(ALV64,ChurnSeasonTable,4,FALSE)),4)*BlendedPriceEliteAnnual*ALY64</f>
        <v/>
      </c>
      <c r="AMY64" s="9">
        <f>AMV64+AMW64+AMX64</f>
        <v/>
      </c>
      <c r="AMZ64" s="12">
        <f>SUM(AMY53:AMY64)</f>
        <v/>
      </c>
      <c r="ANA64" s="12">
        <f>OR(ANA63,IF(VATAgentMode,SUM($AMY53:$AMY64)-SUM($ANF53:$ANF64)&gt;=VATThreshold,SUM($AMY53:$AMY64)&gt;=VATThreshold))</f>
        <v/>
      </c>
      <c r="ANB64" s="9">
        <f>IF(ANA64,IF(VATAgentMode,AMY64-((AMY64-ANF64)-(AMY64-ANF64)/(1+VATRate)),AMY64/(1+VATRate)),AMY64)</f>
        <v/>
      </c>
      <c r="ANC64" s="12">
        <f>AMY64-ANB64</f>
        <v/>
      </c>
      <c r="AND64" s="12">
        <f>IF(ANA64=0,0,IF(ALV64=1,SUMPRODUCT(--(($ALW$5:$ALW64=$ALW64-1)*($ALV$5:$ALV64&gt;=10)*($ALV$5:$ALV64&lt;=12)),$ANC$5:$ANC64),IF(ALV64=4,SUMPRODUCT(--(($ALW$5:$ALW64=$ALW64)*($ALV$5:$ALV64&gt;=1)*($ALV$5:$ALV64&lt;=3)),$ANC$5:$ANC64),IF(ALV64=7,SUMPRODUCT(--(($ALW$5:$ALW64=$ALW64)*($ALV$5:$ALV64&gt;=4)*($ALV$5:$ALV64&lt;=6)),$ANC$5:$ANC64),IF(ALV64=10,SUMPRODUCT(--(($ALW$5:$ALW64=$ALW64)*($ALV$5:$ALV64&gt;=7)*($ALV$5:$ALV64&lt;=9)),$ANC$5:$ANC64),0)))))</f>
        <v/>
      </c>
      <c r="ANE64" s="12">
        <f>ANE63+ANC64-AND64</f>
        <v/>
      </c>
      <c r="ANF64" s="12">
        <f>IF(ProviderDelay&gt;=1,AMM63*BlendedProvPayEss+AMN63*BlendedProvPayPrem+AMO63*BlendedProvPayElite+AMP63*BlendedProvPayEss+AMQ63*BlendedProvPayPrem+AMR63*BlendedProvPayElite,AMM64*BlendedProvPayEss+AMN64*BlendedProvPayPrem+AMO64*BlendedProvPayElite+AMP64*BlendedProvPayEss+AMQ64*BlendedProvPayPrem+AMR64*BlendedProvPayElite)</f>
        <v/>
      </c>
      <c r="ANG64" s="12">
        <f>AMY64*PaymentFee</f>
        <v/>
      </c>
      <c r="ANH64" s="12">
        <f>AMS64*OpsAI</f>
        <v/>
      </c>
      <c r="ANI64" s="12">
        <f>MonthlyFixed</f>
        <v/>
      </c>
      <c r="ANJ64" s="12">
        <f>AMC64*ReferralReward</f>
        <v/>
      </c>
      <c r="ANK64" s="12">
        <f>AMA64</f>
        <v/>
      </c>
      <c r="ANL64" s="9">
        <f>ANB64-ANF64-ANG64-ANH64-ANI64-ANJ64-ANK64</f>
        <v/>
      </c>
      <c r="ANM64" s="9">
        <f>ANM63+AMY64-(ANF64+ANG64+ANH64+ANI64+ANJ64+ANK64+AND64)</f>
        <v/>
      </c>
      <c r="ANN64" s="12">
        <f>IF(AMS64&gt;0,AMT64/AMS64,0)</f>
        <v/>
      </c>
      <c r="ANO64" s="11">
        <f>IF(AMS63&gt;0,MAX(0,(AMS63+AMD64-AMS64)/AMS63),0)</f>
        <v/>
      </c>
      <c r="ANQ64" s="12" t="n">
        <v>60</v>
      </c>
      <c r="ANR64" s="12">
        <f>MOD(ANQ64-1+LaunchMonth-1,12)+1</f>
        <v/>
      </c>
      <c r="ANS64" s="12">
        <f>INT((ANQ64-1+LaunchMonth-1)/12)+1</f>
        <v/>
      </c>
      <c r="ANT64" s="12">
        <f>VLOOKUP(ANR64,SeasonTable,2,FALSE)</f>
        <v/>
      </c>
      <c r="ANU64" s="12">
        <f>(1+InflationRate)^INT((ANQ64-1)/12)</f>
        <v/>
      </c>
      <c r="ANV64" s="11">
        <f>MonthlyChurn*VLOOKUP(ANR64,ChurnSeasonTable,4,FALSE)</f>
        <v/>
      </c>
      <c r="ANW64" s="12">
        <f>MIN(MAX(MktMin19plus,AOU63*MktPct19plus),MAX(0,API63-CashBuffer))</f>
        <v/>
      </c>
      <c r="ANX64" s="12">
        <f>IF(ANW64&gt;0,MAX(1,ROUND(ANW64/'Sens - CAC &amp; Marketing'!$A$12*ANT64,0)),0)</f>
        <v/>
      </c>
      <c r="ANY64" s="12">
        <f>IF(ANX64&gt;0,ROUND(ANX64*ReferralMix/(1-ReferralMix),0),0)</f>
        <v/>
      </c>
      <c r="ANZ64" s="12">
        <f>ANX64+ANY64</f>
        <v/>
      </c>
      <c r="AOA64" s="12">
        <f>ROUND(ANZ64*(1-AnnualMix),0)</f>
        <v/>
      </c>
      <c r="AOB64" s="12">
        <f>ANZ64-AOA64</f>
        <v/>
      </c>
      <c r="AOC64" s="12">
        <f>ROUND(AOA64*EssentialMix,0)</f>
        <v/>
      </c>
      <c r="AOD64" s="12">
        <f>ROUND(AOA64*PremiumMix,0)</f>
        <v/>
      </c>
      <c r="AOE64" s="12">
        <f>AOA64-AOC64-AOD64</f>
        <v/>
      </c>
      <c r="AOF64" s="12">
        <f>ROUND(AOB64*EssentialMix,0)</f>
        <v/>
      </c>
      <c r="AOG64" s="12">
        <f>ROUND(AOB64*PremiumMix,0)</f>
        <v/>
      </c>
      <c r="AOH64" s="12">
        <f>AOB64-AOF64-AOG64</f>
        <v/>
      </c>
      <c r="AOI64" s="12">
        <f>AOC64+AOC63+AOC62+MAX(0,AOI63-AOC63-AOC62)*(1-ANV64)</f>
        <v/>
      </c>
      <c r="AOJ64" s="12">
        <f>AOD64+AOD63+AOD62+MAX(0,AOJ63-AOD63-AOD62)*(1-ANV64)</f>
        <v/>
      </c>
      <c r="AOK64" s="12">
        <f>AOE64+AOE63+AOE62+MAX(0,AOK63-AOE63-AOE62)*(1-ANV64)</f>
        <v/>
      </c>
      <c r="AOL64" s="12">
        <f>AOL63+AOF64-AOF52*(AnnualChurn*VLOOKUP(ANR64,ChurnSeasonTable,4,FALSE))*POWER(1-(AnnualChurn*VLOOKUP(ANR64,ChurnSeasonTable,4,FALSE)),0)+AOF40*(AnnualChurn*VLOOKUP(ANR64,ChurnSeasonTable,4,FALSE))*POWER(1-(AnnualChurn*VLOOKUP(ANR64,ChurnSeasonTable,4,FALSE)),1)+AOF28*(AnnualChurn*VLOOKUP(ANR64,ChurnSeasonTable,4,FALSE))*POWER(1-(AnnualChurn*VLOOKUP(ANR64,ChurnSeasonTable,4,FALSE)),2)+AOF16*(AnnualChurn*VLOOKUP(ANR64,ChurnSeasonTable,4,FALSE))*POWER(1-(AnnualChurn*VLOOKUP(ANR64,ChurnSeasonTable,4,FALSE)),3)</f>
        <v/>
      </c>
      <c r="AOM64" s="12">
        <f>AOM63+AOG64-AOG52*(AnnualChurn*VLOOKUP(ANR64,ChurnSeasonTable,4,FALSE))*POWER(1-(AnnualChurn*VLOOKUP(ANR64,ChurnSeasonTable,4,FALSE)),0)+AOG40*(AnnualChurn*VLOOKUP(ANR64,ChurnSeasonTable,4,FALSE))*POWER(1-(AnnualChurn*VLOOKUP(ANR64,ChurnSeasonTable,4,FALSE)),1)+AOG28*(AnnualChurn*VLOOKUP(ANR64,ChurnSeasonTable,4,FALSE))*POWER(1-(AnnualChurn*VLOOKUP(ANR64,ChurnSeasonTable,4,FALSE)),2)+AOG16*(AnnualChurn*VLOOKUP(ANR64,ChurnSeasonTable,4,FALSE))*POWER(1-(AnnualChurn*VLOOKUP(ANR64,ChurnSeasonTable,4,FALSE)),3)</f>
        <v/>
      </c>
      <c r="AON64" s="12">
        <f>AON63+AOH64-AOH52*(AnnualChurn*VLOOKUP(ANR64,ChurnSeasonTable,4,FALSE))*POWER(1-(AnnualChurn*VLOOKUP(ANR64,ChurnSeasonTable,4,FALSE)),0)+AOH40*(AnnualChurn*VLOOKUP(ANR64,ChurnSeasonTable,4,FALSE))*POWER(1-(AnnualChurn*VLOOKUP(ANR64,ChurnSeasonTable,4,FALSE)),1)+AOH28*(AnnualChurn*VLOOKUP(ANR64,ChurnSeasonTable,4,FALSE))*POWER(1-(AnnualChurn*VLOOKUP(ANR64,ChurnSeasonTable,4,FALSE)),2)+AOH16*(AnnualChurn*VLOOKUP(ANR64,ChurnSeasonTable,4,FALSE))*POWER(1-(AnnualChurn*VLOOKUP(ANR64,ChurnSeasonTable,4,FALSE)),3)</f>
        <v/>
      </c>
      <c r="AOO64" s="12">
        <f>AOI64+AOJ64+AOK64+AOL64+AOM64+AON64</f>
        <v/>
      </c>
      <c r="AOP64" s="9">
        <f>AOI64*BlendedPriceEssMonthly*ANU64+AOJ64*BlendedPricePremMonthly*ANU64+AOK64*BlendedPriceEliteMonthly*ANU64+AOL64*BlendedPriceEssAnnual*ANU64/12+AOM64*BlendedPricePremAnnual*ANU64/12+AON64*BlendedPriceEliteAnnual*ANU64/12</f>
        <v/>
      </c>
      <c r="AOQ64" s="9">
        <f>AOP64*12</f>
        <v/>
      </c>
      <c r="AOR64" s="12">
        <f>AOI64*BlendedPriceEssMonthly*ANU64+AOJ64*BlendedPricePremMonthly*ANU64+AOK64*BlendedPriceEliteMonthly*ANU64</f>
        <v/>
      </c>
      <c r="AOS64" s="12">
        <f>AOF64*BlendedPriceEssAnnual*ANU64+AOG64*BlendedPricePremAnnual*ANU64+AOH64*BlendedPriceEliteAnnual*ANU64</f>
        <v/>
      </c>
      <c r="AOT64" s="12">
        <f>AOF52*POWER(1-(AnnualChurn*VLOOKUP(ANR64,ChurnSeasonTable,4,FALSE)),1)*BlendedPriceEssAnnual*ANU64+AOF40*POWER(1-(AnnualChurn*VLOOKUP(ANR64,ChurnSeasonTable,4,FALSE)),2)*BlendedPriceEssAnnual*ANU64+AOF28*POWER(1-(AnnualChurn*VLOOKUP(ANR64,ChurnSeasonTable,4,FALSE)),3)*BlendedPriceEssAnnual*ANU64+AOF16*POWER(1-(AnnualChurn*VLOOKUP(ANR64,ChurnSeasonTable,4,FALSE)),4)*BlendedPriceEssAnnual*ANU64+AOG52*POWER(1-(AnnualChurn*VLOOKUP(ANR64,ChurnSeasonTable,4,FALSE)),1)*BlendedPricePremAnnual*ANU64+AOG40*POWER(1-(AnnualChurn*VLOOKUP(ANR64,ChurnSeasonTable,4,FALSE)),2)*BlendedPricePremAnnual*ANU64+AOG28*POWER(1-(AnnualChurn*VLOOKUP(ANR64,ChurnSeasonTable,4,FALSE)),3)*BlendedPricePremAnnual*ANU64+AOG16*POWER(1-(AnnualChurn*VLOOKUP(ANR64,ChurnSeasonTable,4,FALSE)),4)*BlendedPricePremAnnual*ANU64+AOH52*POWER(1-(AnnualChurn*VLOOKUP(ANR64,ChurnSeasonTable,4,FALSE)),1)*BlendedPriceEliteAnnual*ANU64+AOH40*POWER(1-(AnnualChurn*VLOOKUP(ANR64,ChurnSeasonTable,4,FALSE)),2)*BlendedPriceEliteAnnual*ANU64+AOH28*POWER(1-(AnnualChurn*VLOOKUP(ANR64,ChurnSeasonTable,4,FALSE)),3)*BlendedPriceEliteAnnual*ANU64+AOH16*POWER(1-(AnnualChurn*VLOOKUP(ANR64,ChurnSeasonTable,4,FALSE)),4)*BlendedPriceEliteAnnual*ANU64</f>
        <v/>
      </c>
      <c r="AOU64" s="9">
        <f>AOR64+AOS64+AOT64</f>
        <v/>
      </c>
      <c r="AOV64" s="12">
        <f>SUM(AOU53:AOU64)</f>
        <v/>
      </c>
      <c r="AOW64" s="12">
        <f>OR(AOW63,IF(VATAgentMode,SUM($AOU53:$AOU64)-SUM($APB53:$APB64)&gt;=VATThreshold,SUM($AOU53:$AOU64)&gt;=VATThreshold))</f>
        <v/>
      </c>
      <c r="AOX64" s="9">
        <f>IF(AOW64,IF(VATAgentMode,AOU64-((AOU64-APB64)-(AOU64-APB64)/(1+VATRate)),AOU64/(1+VATRate)),AOU64)</f>
        <v/>
      </c>
      <c r="AOY64" s="12">
        <f>AOU64-AOX64</f>
        <v/>
      </c>
      <c r="AOZ64" s="12">
        <f>IF(AOW64=0,0,IF(ANR64=1,SUMPRODUCT(--(($ANS$5:$ANS64=$ANS64-1)*($ANR$5:$ANR64&gt;=10)*($ANR$5:$ANR64&lt;=12)),$AOY$5:$AOY64),IF(ANR64=4,SUMPRODUCT(--(($ANS$5:$ANS64=$ANS64)*($ANR$5:$ANR64&gt;=1)*($ANR$5:$ANR64&lt;=3)),$AOY$5:$AOY64),IF(ANR64=7,SUMPRODUCT(--(($ANS$5:$ANS64=$ANS64)*($ANR$5:$ANR64&gt;=4)*($ANR$5:$ANR64&lt;=6)),$AOY$5:$AOY64),IF(ANR64=10,SUMPRODUCT(--(($ANS$5:$ANS64=$ANS64)*($ANR$5:$ANR64&gt;=7)*($ANR$5:$ANR64&lt;=9)),$AOY$5:$AOY64),0)))))</f>
        <v/>
      </c>
      <c r="APA64" s="12">
        <f>APA63+AOY64-AOZ64</f>
        <v/>
      </c>
      <c r="APB64" s="12">
        <f>IF(ProviderDelay&gt;=1,AOI63*BlendedProvPayEss+AOJ63*BlendedProvPayPrem+AOK63*BlendedProvPayElite+AOL63*BlendedProvPayEss+AOM63*BlendedProvPayPrem+AON63*BlendedProvPayElite,AOI64*BlendedProvPayEss+AOJ64*BlendedProvPayPrem+AOK64*BlendedProvPayElite+AOL64*BlendedProvPayEss+AOM64*BlendedProvPayPrem+AON64*BlendedProvPayElite)</f>
        <v/>
      </c>
      <c r="APC64" s="12">
        <f>AOU64*PaymentFee</f>
        <v/>
      </c>
      <c r="APD64" s="12">
        <f>AOO64*OpsAI</f>
        <v/>
      </c>
      <c r="APE64" s="12">
        <f>MonthlyFixed</f>
        <v/>
      </c>
      <c r="APF64" s="12">
        <f>ANY64*ReferralReward</f>
        <v/>
      </c>
      <c r="APG64" s="12">
        <f>ANW64</f>
        <v/>
      </c>
      <c r="APH64" s="9">
        <f>AOX64-APB64-APC64-APD64-APE64-APF64-APG64</f>
        <v/>
      </c>
      <c r="API64" s="9">
        <f>API63+AOU64-(APB64+APC64+APD64+APE64+APF64+APG64+AOZ64)</f>
        <v/>
      </c>
      <c r="APJ64" s="12">
        <f>IF(AOO64&gt;0,AOP64/AOO64,0)</f>
        <v/>
      </c>
      <c r="APK64" s="11">
        <f>IF(AOO63&gt;0,MAX(0,(AOO63+ANZ64-AOO64)/AOO63),0)</f>
        <v/>
      </c>
      <c r="APM64" s="12" t="n">
        <v>60</v>
      </c>
      <c r="APN64" s="12">
        <f>MOD(APM64-1+LaunchMonth-1,12)+1</f>
        <v/>
      </c>
      <c r="APO64" s="12">
        <f>INT((APM64-1+LaunchMonth-1)/12)+1</f>
        <v/>
      </c>
      <c r="APP64" s="12">
        <f>VLOOKUP(APN64,SeasonTable,2,FALSE)</f>
        <v/>
      </c>
      <c r="APQ64" s="12">
        <f>(1+InflationRate)^INT((APM64-1)/12)</f>
        <v/>
      </c>
      <c r="APR64" s="11">
        <f>MonthlyChurn*VLOOKUP(APN64,ChurnSeasonTable,4,FALSE)</f>
        <v/>
      </c>
      <c r="APS64" s="12">
        <f>MIN(MAX(MktMin19plus,AQQ63*MktPct19plus),MAX(0,ARE63-CashBuffer))</f>
        <v/>
      </c>
      <c r="APT64" s="12">
        <f>IF(APS64&gt;0,MAX(1,ROUND(APS64/'Sens - CAC &amp; Marketing'!$A$13*APP64,0)),0)</f>
        <v/>
      </c>
      <c r="APU64" s="12">
        <f>IF(APT64&gt;0,ROUND(APT64*ReferralMix/(1-ReferralMix),0),0)</f>
        <v/>
      </c>
      <c r="APV64" s="12">
        <f>APT64+APU64</f>
        <v/>
      </c>
      <c r="APW64" s="12">
        <f>ROUND(APV64*(1-AnnualMix),0)</f>
        <v/>
      </c>
      <c r="APX64" s="12">
        <f>APV64-APW64</f>
        <v/>
      </c>
      <c r="APY64" s="12">
        <f>ROUND(APW64*EssentialMix,0)</f>
        <v/>
      </c>
      <c r="APZ64" s="12">
        <f>ROUND(APW64*PremiumMix,0)</f>
        <v/>
      </c>
      <c r="AQA64" s="12">
        <f>APW64-APY64-APZ64</f>
        <v/>
      </c>
      <c r="AQB64" s="12">
        <f>ROUND(APX64*EssentialMix,0)</f>
        <v/>
      </c>
      <c r="AQC64" s="12">
        <f>ROUND(APX64*PremiumMix,0)</f>
        <v/>
      </c>
      <c r="AQD64" s="12">
        <f>APX64-AQB64-AQC64</f>
        <v/>
      </c>
      <c r="AQE64" s="12">
        <f>APY64+APY63+APY62+MAX(0,AQE63-APY63-APY62)*(1-APR64)</f>
        <v/>
      </c>
      <c r="AQF64" s="12">
        <f>APZ64+APZ63+APZ62+MAX(0,AQF63-APZ63-APZ62)*(1-APR64)</f>
        <v/>
      </c>
      <c r="AQG64" s="12">
        <f>AQA64+AQA63+AQA62+MAX(0,AQG63-AQA63-AQA62)*(1-APR64)</f>
        <v/>
      </c>
      <c r="AQH64" s="12">
        <f>AQH63+AQB64-AQB52*(AnnualChurn*VLOOKUP(APN64,ChurnSeasonTable,4,FALSE))*POWER(1-(AnnualChurn*VLOOKUP(APN64,ChurnSeasonTable,4,FALSE)),0)+AQB40*(AnnualChurn*VLOOKUP(APN64,ChurnSeasonTable,4,FALSE))*POWER(1-(AnnualChurn*VLOOKUP(APN64,ChurnSeasonTable,4,FALSE)),1)+AQB28*(AnnualChurn*VLOOKUP(APN64,ChurnSeasonTable,4,FALSE))*POWER(1-(AnnualChurn*VLOOKUP(APN64,ChurnSeasonTable,4,FALSE)),2)+AQB16*(AnnualChurn*VLOOKUP(APN64,ChurnSeasonTable,4,FALSE))*POWER(1-(AnnualChurn*VLOOKUP(APN64,ChurnSeasonTable,4,FALSE)),3)</f>
        <v/>
      </c>
      <c r="AQI64" s="12">
        <f>AQI63+AQC64-AQC52*(AnnualChurn*VLOOKUP(APN64,ChurnSeasonTable,4,FALSE))*POWER(1-(AnnualChurn*VLOOKUP(APN64,ChurnSeasonTable,4,FALSE)),0)+AQC40*(AnnualChurn*VLOOKUP(APN64,ChurnSeasonTable,4,FALSE))*POWER(1-(AnnualChurn*VLOOKUP(APN64,ChurnSeasonTable,4,FALSE)),1)+AQC28*(AnnualChurn*VLOOKUP(APN64,ChurnSeasonTable,4,FALSE))*POWER(1-(AnnualChurn*VLOOKUP(APN64,ChurnSeasonTable,4,FALSE)),2)+AQC16*(AnnualChurn*VLOOKUP(APN64,ChurnSeasonTable,4,FALSE))*POWER(1-(AnnualChurn*VLOOKUP(APN64,ChurnSeasonTable,4,FALSE)),3)</f>
        <v/>
      </c>
      <c r="AQJ64" s="12">
        <f>AQJ63+AQD64-AQD52*(AnnualChurn*VLOOKUP(APN64,ChurnSeasonTable,4,FALSE))*POWER(1-(AnnualChurn*VLOOKUP(APN64,ChurnSeasonTable,4,FALSE)),0)+AQD40*(AnnualChurn*VLOOKUP(APN64,ChurnSeasonTable,4,FALSE))*POWER(1-(AnnualChurn*VLOOKUP(APN64,ChurnSeasonTable,4,FALSE)),1)+AQD28*(AnnualChurn*VLOOKUP(APN64,ChurnSeasonTable,4,FALSE))*POWER(1-(AnnualChurn*VLOOKUP(APN64,ChurnSeasonTable,4,FALSE)),2)+AQD16*(AnnualChurn*VLOOKUP(APN64,ChurnSeasonTable,4,FALSE))*POWER(1-(AnnualChurn*VLOOKUP(APN64,ChurnSeasonTable,4,FALSE)),3)</f>
        <v/>
      </c>
      <c r="AQK64" s="12">
        <f>AQE64+AQF64+AQG64+AQH64+AQI64+AQJ64</f>
        <v/>
      </c>
      <c r="AQL64" s="9">
        <f>AQE64*BlendedPriceEssMonthly*APQ64+AQF64*BlendedPricePremMonthly*APQ64+AQG64*BlendedPriceEliteMonthly*APQ64+AQH64*BlendedPriceEssAnnual*APQ64/12+AQI64*BlendedPricePremAnnual*APQ64/12+AQJ64*BlendedPriceEliteAnnual*APQ64/12</f>
        <v/>
      </c>
      <c r="AQM64" s="9">
        <f>AQL64*12</f>
        <v/>
      </c>
      <c r="AQN64" s="12">
        <f>AQE64*BlendedPriceEssMonthly*APQ64+AQF64*BlendedPricePremMonthly*APQ64+AQG64*BlendedPriceEliteMonthly*APQ64</f>
        <v/>
      </c>
      <c r="AQO64" s="12">
        <f>AQB64*BlendedPriceEssAnnual*APQ64+AQC64*BlendedPricePremAnnual*APQ64+AQD64*BlendedPriceEliteAnnual*APQ64</f>
        <v/>
      </c>
      <c r="AQP64" s="12">
        <f>AQB52*POWER(1-(AnnualChurn*VLOOKUP(APN64,ChurnSeasonTable,4,FALSE)),1)*BlendedPriceEssAnnual*APQ64+AQB40*POWER(1-(AnnualChurn*VLOOKUP(APN64,ChurnSeasonTable,4,FALSE)),2)*BlendedPriceEssAnnual*APQ64+AQB28*POWER(1-(AnnualChurn*VLOOKUP(APN64,ChurnSeasonTable,4,FALSE)),3)*BlendedPriceEssAnnual*APQ64+AQB16*POWER(1-(AnnualChurn*VLOOKUP(APN64,ChurnSeasonTable,4,FALSE)),4)*BlendedPriceEssAnnual*APQ64+AQC52*POWER(1-(AnnualChurn*VLOOKUP(APN64,ChurnSeasonTable,4,FALSE)),1)*BlendedPricePremAnnual*APQ64+AQC40*POWER(1-(AnnualChurn*VLOOKUP(APN64,ChurnSeasonTable,4,FALSE)),2)*BlendedPricePremAnnual*APQ64+AQC28*POWER(1-(AnnualChurn*VLOOKUP(APN64,ChurnSeasonTable,4,FALSE)),3)*BlendedPricePremAnnual*APQ64+AQC16*POWER(1-(AnnualChurn*VLOOKUP(APN64,ChurnSeasonTable,4,FALSE)),4)*BlendedPricePremAnnual*APQ64+AQD52*POWER(1-(AnnualChurn*VLOOKUP(APN64,ChurnSeasonTable,4,FALSE)),1)*BlendedPriceEliteAnnual*APQ64+AQD40*POWER(1-(AnnualChurn*VLOOKUP(APN64,ChurnSeasonTable,4,FALSE)),2)*BlendedPriceEliteAnnual*APQ64+AQD28*POWER(1-(AnnualChurn*VLOOKUP(APN64,ChurnSeasonTable,4,FALSE)),3)*BlendedPriceEliteAnnual*APQ64+AQD16*POWER(1-(AnnualChurn*VLOOKUP(APN64,ChurnSeasonTable,4,FALSE)),4)*BlendedPriceEliteAnnual*APQ64</f>
        <v/>
      </c>
      <c r="AQQ64" s="9">
        <f>AQN64+AQO64+AQP64</f>
        <v/>
      </c>
      <c r="AQR64" s="12">
        <f>SUM(AQQ53:AQQ64)</f>
        <v/>
      </c>
      <c r="AQS64" s="12">
        <f>OR(AQS63,IF(VATAgentMode,SUM($AQQ53:$AQQ64)-SUM($AQX53:$AQX64)&gt;=VATThreshold,SUM($AQQ53:$AQQ64)&gt;=VATThreshold))</f>
        <v/>
      </c>
      <c r="AQT64" s="9">
        <f>IF(AQS64,IF(VATAgentMode,AQQ64-((AQQ64-AQX64)-(AQQ64-AQX64)/(1+VATRate)),AQQ64/(1+VATRate)),AQQ64)</f>
        <v/>
      </c>
      <c r="AQU64" s="12">
        <f>AQQ64-AQT64</f>
        <v/>
      </c>
      <c r="AQV64" s="12">
        <f>IF(AQS64=0,0,IF(APN64=1,SUMPRODUCT(--(($APO$5:$APO64=$APO64-1)*($APN$5:$APN64&gt;=10)*($APN$5:$APN64&lt;=12)),$AQU$5:$AQU64),IF(APN64=4,SUMPRODUCT(--(($APO$5:$APO64=$APO64)*($APN$5:$APN64&gt;=1)*($APN$5:$APN64&lt;=3)),$AQU$5:$AQU64),IF(APN64=7,SUMPRODUCT(--(($APO$5:$APO64=$APO64)*($APN$5:$APN64&gt;=4)*($APN$5:$APN64&lt;=6)),$AQU$5:$AQU64),IF(APN64=10,SUMPRODUCT(--(($APO$5:$APO64=$APO64)*($APN$5:$APN64&gt;=7)*($APN$5:$APN64&lt;=9)),$AQU$5:$AQU64),0)))))</f>
        <v/>
      </c>
      <c r="AQW64" s="12">
        <f>AQW63+AQU64-AQV64</f>
        <v/>
      </c>
      <c r="AQX64" s="12">
        <f>IF(ProviderDelay&gt;=1,AQE63*BlendedProvPayEss+AQF63*BlendedProvPayPrem+AQG63*BlendedProvPayElite+AQH63*BlendedProvPayEss+AQI63*BlendedProvPayPrem+AQJ63*BlendedProvPayElite,AQE64*BlendedProvPayEss+AQF64*BlendedProvPayPrem+AQG64*BlendedProvPayElite+AQH64*BlendedProvPayEss+AQI64*BlendedProvPayPrem+AQJ64*BlendedProvPayElite)</f>
        <v/>
      </c>
      <c r="AQY64" s="12">
        <f>AQQ64*PaymentFee</f>
        <v/>
      </c>
      <c r="AQZ64" s="12">
        <f>AQK64*OpsAI</f>
        <v/>
      </c>
      <c r="ARA64" s="12">
        <f>MonthlyFixed</f>
        <v/>
      </c>
      <c r="ARB64" s="12">
        <f>APU64*ReferralReward</f>
        <v/>
      </c>
      <c r="ARC64" s="12">
        <f>APS64</f>
        <v/>
      </c>
      <c r="ARD64" s="9">
        <f>AQT64-AQX64-AQY64-AQZ64-ARA64-ARB64-ARC64</f>
        <v/>
      </c>
      <c r="ARE64" s="9">
        <f>ARE63+AQQ64-(AQX64+AQY64+AQZ64+ARA64+ARB64+ARC64+AQV64)</f>
        <v/>
      </c>
      <c r="ARF64" s="12">
        <f>IF(AQK64&gt;0,AQL64/AQK64,0)</f>
        <v/>
      </c>
      <c r="ARG64" s="11">
        <f>IF(AQK63&gt;0,MAX(0,(AQK63+APV64-AQK64)/AQK63),0)</f>
        <v/>
      </c>
      <c r="ARI64" s="12" t="n">
        <v>60</v>
      </c>
      <c r="ARJ64" s="12">
        <f>MOD(ARI64-1+LaunchMonth-1,12)+1</f>
        <v/>
      </c>
      <c r="ARK64" s="12">
        <f>INT((ARI64-1+LaunchMonth-1)/12)+1</f>
        <v/>
      </c>
      <c r="ARL64" s="12">
        <f>VLOOKUP(ARJ64,SeasonTable,2,FALSE)</f>
        <v/>
      </c>
      <c r="ARM64" s="12">
        <f>(1+InflationRate)^INT((ARI64-1)/12)</f>
        <v/>
      </c>
      <c r="ARN64" s="11">
        <f>MonthlyChurn*VLOOKUP(ARJ64,ChurnSeasonTable,4,FALSE)</f>
        <v/>
      </c>
      <c r="ARO64" s="12">
        <f>MIN(MAX(MktMin19plus,ASM63*MktPct19plus),MAX(0,ATA63-CashBuffer))</f>
        <v/>
      </c>
      <c r="ARP64" s="12">
        <f>IF(ARO64&gt;0,MAX(1,ROUND(ARO64/'Sens - CAC &amp; Marketing'!$A$14*ARL64,0)),0)</f>
        <v/>
      </c>
      <c r="ARQ64" s="12">
        <f>IF(ARP64&gt;0,ROUND(ARP64*ReferralMix/(1-ReferralMix),0),0)</f>
        <v/>
      </c>
      <c r="ARR64" s="12">
        <f>ARP64+ARQ64</f>
        <v/>
      </c>
      <c r="ARS64" s="12">
        <f>ROUND(ARR64*(1-AnnualMix),0)</f>
        <v/>
      </c>
      <c r="ART64" s="12">
        <f>ARR64-ARS64</f>
        <v/>
      </c>
      <c r="ARU64" s="12">
        <f>ROUND(ARS64*EssentialMix,0)</f>
        <v/>
      </c>
      <c r="ARV64" s="12">
        <f>ROUND(ARS64*PremiumMix,0)</f>
        <v/>
      </c>
      <c r="ARW64" s="12">
        <f>ARS64-ARU64-ARV64</f>
        <v/>
      </c>
      <c r="ARX64" s="12">
        <f>ROUND(ART64*EssentialMix,0)</f>
        <v/>
      </c>
      <c r="ARY64" s="12">
        <f>ROUND(ART64*PremiumMix,0)</f>
        <v/>
      </c>
      <c r="ARZ64" s="12">
        <f>ART64-ARX64-ARY64</f>
        <v/>
      </c>
      <c r="ASA64" s="12">
        <f>ARU64+ARU63+ARU62+MAX(0,ASA63-ARU63-ARU62)*(1-ARN64)</f>
        <v/>
      </c>
      <c r="ASB64" s="12">
        <f>ARV64+ARV63+ARV62+MAX(0,ASB63-ARV63-ARV62)*(1-ARN64)</f>
        <v/>
      </c>
      <c r="ASC64" s="12">
        <f>ARW64+ARW63+ARW62+MAX(0,ASC63-ARW63-ARW62)*(1-ARN64)</f>
        <v/>
      </c>
      <c r="ASD64" s="12">
        <f>ASD63+ARX64-ARX52*(AnnualChurn*VLOOKUP(ARJ64,ChurnSeasonTable,4,FALSE))*POWER(1-(AnnualChurn*VLOOKUP(ARJ64,ChurnSeasonTable,4,FALSE)),0)+ARX40*(AnnualChurn*VLOOKUP(ARJ64,ChurnSeasonTable,4,FALSE))*POWER(1-(AnnualChurn*VLOOKUP(ARJ64,ChurnSeasonTable,4,FALSE)),1)+ARX28*(AnnualChurn*VLOOKUP(ARJ64,ChurnSeasonTable,4,FALSE))*POWER(1-(AnnualChurn*VLOOKUP(ARJ64,ChurnSeasonTable,4,FALSE)),2)+ARX16*(AnnualChurn*VLOOKUP(ARJ64,ChurnSeasonTable,4,FALSE))*POWER(1-(AnnualChurn*VLOOKUP(ARJ64,ChurnSeasonTable,4,FALSE)),3)</f>
        <v/>
      </c>
      <c r="ASE64" s="12">
        <f>ASE63+ARY64-ARY52*(AnnualChurn*VLOOKUP(ARJ64,ChurnSeasonTable,4,FALSE))*POWER(1-(AnnualChurn*VLOOKUP(ARJ64,ChurnSeasonTable,4,FALSE)),0)+ARY40*(AnnualChurn*VLOOKUP(ARJ64,ChurnSeasonTable,4,FALSE))*POWER(1-(AnnualChurn*VLOOKUP(ARJ64,ChurnSeasonTable,4,FALSE)),1)+ARY28*(AnnualChurn*VLOOKUP(ARJ64,ChurnSeasonTable,4,FALSE))*POWER(1-(AnnualChurn*VLOOKUP(ARJ64,ChurnSeasonTable,4,FALSE)),2)+ARY16*(AnnualChurn*VLOOKUP(ARJ64,ChurnSeasonTable,4,FALSE))*POWER(1-(AnnualChurn*VLOOKUP(ARJ64,ChurnSeasonTable,4,FALSE)),3)</f>
        <v/>
      </c>
      <c r="ASF64" s="12">
        <f>ASF63+ARZ64-ARZ52*(AnnualChurn*VLOOKUP(ARJ64,ChurnSeasonTable,4,FALSE))*POWER(1-(AnnualChurn*VLOOKUP(ARJ64,ChurnSeasonTable,4,FALSE)),0)+ARZ40*(AnnualChurn*VLOOKUP(ARJ64,ChurnSeasonTable,4,FALSE))*POWER(1-(AnnualChurn*VLOOKUP(ARJ64,ChurnSeasonTable,4,FALSE)),1)+ARZ28*(AnnualChurn*VLOOKUP(ARJ64,ChurnSeasonTable,4,FALSE))*POWER(1-(AnnualChurn*VLOOKUP(ARJ64,ChurnSeasonTable,4,FALSE)),2)+ARZ16*(AnnualChurn*VLOOKUP(ARJ64,ChurnSeasonTable,4,FALSE))*POWER(1-(AnnualChurn*VLOOKUP(ARJ64,ChurnSeasonTable,4,FALSE)),3)</f>
        <v/>
      </c>
      <c r="ASG64" s="12">
        <f>ASA64+ASB64+ASC64+ASD64+ASE64+ASF64</f>
        <v/>
      </c>
      <c r="ASH64" s="9">
        <f>ASA64*BlendedPriceEssMonthly*ARM64+ASB64*BlendedPricePremMonthly*ARM64+ASC64*BlendedPriceEliteMonthly*ARM64+ASD64*BlendedPriceEssAnnual*ARM64/12+ASE64*BlendedPricePremAnnual*ARM64/12+ASF64*BlendedPriceEliteAnnual*ARM64/12</f>
        <v/>
      </c>
      <c r="ASI64" s="9">
        <f>ASH64*12</f>
        <v/>
      </c>
      <c r="ASJ64" s="12">
        <f>ASA64*BlendedPriceEssMonthly*ARM64+ASB64*BlendedPricePremMonthly*ARM64+ASC64*BlendedPriceEliteMonthly*ARM64</f>
        <v/>
      </c>
      <c r="ASK64" s="12">
        <f>ARX64*BlendedPriceEssAnnual*ARM64+ARY64*BlendedPricePremAnnual*ARM64+ARZ64*BlendedPriceEliteAnnual*ARM64</f>
        <v/>
      </c>
      <c r="ASL64" s="12">
        <f>ARX52*POWER(1-(AnnualChurn*VLOOKUP(ARJ64,ChurnSeasonTable,4,FALSE)),1)*BlendedPriceEssAnnual*ARM64+ARX40*POWER(1-(AnnualChurn*VLOOKUP(ARJ64,ChurnSeasonTable,4,FALSE)),2)*BlendedPriceEssAnnual*ARM64+ARX28*POWER(1-(AnnualChurn*VLOOKUP(ARJ64,ChurnSeasonTable,4,FALSE)),3)*BlendedPriceEssAnnual*ARM64+ARX16*POWER(1-(AnnualChurn*VLOOKUP(ARJ64,ChurnSeasonTable,4,FALSE)),4)*BlendedPriceEssAnnual*ARM64+ARY52*POWER(1-(AnnualChurn*VLOOKUP(ARJ64,ChurnSeasonTable,4,FALSE)),1)*BlendedPricePremAnnual*ARM64+ARY40*POWER(1-(AnnualChurn*VLOOKUP(ARJ64,ChurnSeasonTable,4,FALSE)),2)*BlendedPricePremAnnual*ARM64+ARY28*POWER(1-(AnnualChurn*VLOOKUP(ARJ64,ChurnSeasonTable,4,FALSE)),3)*BlendedPricePremAnnual*ARM64+ARY16*POWER(1-(AnnualChurn*VLOOKUP(ARJ64,ChurnSeasonTable,4,FALSE)),4)*BlendedPricePremAnnual*ARM64+ARZ52*POWER(1-(AnnualChurn*VLOOKUP(ARJ64,ChurnSeasonTable,4,FALSE)),1)*BlendedPriceEliteAnnual*ARM64+ARZ40*POWER(1-(AnnualChurn*VLOOKUP(ARJ64,ChurnSeasonTable,4,FALSE)),2)*BlendedPriceEliteAnnual*ARM64+ARZ28*POWER(1-(AnnualChurn*VLOOKUP(ARJ64,ChurnSeasonTable,4,FALSE)),3)*BlendedPriceEliteAnnual*ARM64+ARZ16*POWER(1-(AnnualChurn*VLOOKUP(ARJ64,ChurnSeasonTable,4,FALSE)),4)*BlendedPriceEliteAnnual*ARM64</f>
        <v/>
      </c>
      <c r="ASM64" s="9">
        <f>ASJ64+ASK64+ASL64</f>
        <v/>
      </c>
      <c r="ASN64" s="12">
        <f>SUM(ASM53:ASM64)</f>
        <v/>
      </c>
      <c r="ASO64" s="12">
        <f>OR(ASO63,IF(VATAgentMode,SUM($ASM53:$ASM64)-SUM($AST53:$AST64)&gt;=VATThreshold,SUM($ASM53:$ASM64)&gt;=VATThreshold))</f>
        <v/>
      </c>
      <c r="ASP64" s="9">
        <f>IF(ASO64,IF(VATAgentMode,ASM64-((ASM64-AST64)-(ASM64-AST64)/(1+VATRate)),ASM64/(1+VATRate)),ASM64)</f>
        <v/>
      </c>
      <c r="ASQ64" s="12">
        <f>ASM64-ASP64</f>
        <v/>
      </c>
      <c r="ASR64" s="12">
        <f>IF(ASO64=0,0,IF(ARJ64=1,SUMPRODUCT(--(($ARK$5:$ARK64=$ARK64-1)*($ARJ$5:$ARJ64&gt;=10)*($ARJ$5:$ARJ64&lt;=12)),$ASQ$5:$ASQ64),IF(ARJ64=4,SUMPRODUCT(--(($ARK$5:$ARK64=$ARK64)*($ARJ$5:$ARJ64&gt;=1)*($ARJ$5:$ARJ64&lt;=3)),$ASQ$5:$ASQ64),IF(ARJ64=7,SUMPRODUCT(--(($ARK$5:$ARK64=$ARK64)*($ARJ$5:$ARJ64&gt;=4)*($ARJ$5:$ARJ64&lt;=6)),$ASQ$5:$ASQ64),IF(ARJ64=10,SUMPRODUCT(--(($ARK$5:$ARK64=$ARK64)*($ARJ$5:$ARJ64&gt;=7)*($ARJ$5:$ARJ64&lt;=9)),$ASQ$5:$ASQ64),0)))))</f>
        <v/>
      </c>
      <c r="ASS64" s="12">
        <f>ASS63+ASQ64-ASR64</f>
        <v/>
      </c>
      <c r="AST64" s="12">
        <f>IF(ProviderDelay&gt;=1,ASA63*BlendedProvPayEss+ASB63*BlendedProvPayPrem+ASC63*BlendedProvPayElite+ASD63*BlendedProvPayEss+ASE63*BlendedProvPayPrem+ASF63*BlendedProvPayElite,ASA64*BlendedProvPayEss+ASB64*BlendedProvPayPrem+ASC64*BlendedProvPayElite+ASD64*BlendedProvPayEss+ASE64*BlendedProvPayPrem+ASF64*BlendedProvPayElite)</f>
        <v/>
      </c>
      <c r="ASU64" s="12">
        <f>ASM64*PaymentFee</f>
        <v/>
      </c>
      <c r="ASV64" s="12">
        <f>ASG64*OpsAI</f>
        <v/>
      </c>
      <c r="ASW64" s="12">
        <f>MonthlyFixed</f>
        <v/>
      </c>
      <c r="ASX64" s="12">
        <f>ARQ64*ReferralReward</f>
        <v/>
      </c>
      <c r="ASY64" s="12">
        <f>ARO64</f>
        <v/>
      </c>
      <c r="ASZ64" s="9">
        <f>ASP64-AST64-ASU64-ASV64-ASW64-ASX64-ASY64</f>
        <v/>
      </c>
      <c r="ATA64" s="9">
        <f>ATA63+ASM64-(AST64+ASU64+ASV64+ASW64+ASX64+ASY64+ASR64)</f>
        <v/>
      </c>
      <c r="ATB64" s="12">
        <f>IF(ASG64&gt;0,ASH64/ASG64,0)</f>
        <v/>
      </c>
      <c r="ATC64" s="11">
        <f>IF(ASG63&gt;0,MAX(0,(ASG63+ARR64-ASG64)/ASG63),0)</f>
        <v/>
      </c>
      <c r="ATE64" s="12" t="n">
        <v>60</v>
      </c>
      <c r="ATF64" s="12">
        <f>MOD(ATE64-1+LaunchMonth-1,12)+1</f>
        <v/>
      </c>
      <c r="ATG64" s="12">
        <f>INT((ATE64-1+LaunchMonth-1)/12)+1</f>
        <v/>
      </c>
      <c r="ATH64" s="12">
        <f>VLOOKUP(ATF64,SeasonTable,2,FALSE)</f>
        <v/>
      </c>
      <c r="ATI64" s="12">
        <f>(1+InflationRate)^INT((ATE64-1)/12)</f>
        <v/>
      </c>
      <c r="ATJ64" s="11">
        <f>MonthlyChurn*VLOOKUP(ATF64,ChurnSeasonTable,4,FALSE)</f>
        <v/>
      </c>
      <c r="ATK64" s="12">
        <f>MIN(MAX(MktMin19plus,AUI63*MktPct19plus),MAX(0,AUW63-CashBuffer))</f>
        <v/>
      </c>
      <c r="ATL64" s="12">
        <f>IF(ATK64&gt;0,MAX(1,ROUND(ATK64/'Sens - CAC &amp; Marketing'!$A$15*ATH64,0)),0)</f>
        <v/>
      </c>
      <c r="ATM64" s="12">
        <f>IF(ATL64&gt;0,ROUND(ATL64*ReferralMix/(1-ReferralMix),0),0)</f>
        <v/>
      </c>
      <c r="ATN64" s="12">
        <f>ATL64+ATM64</f>
        <v/>
      </c>
      <c r="ATO64" s="12">
        <f>ROUND(ATN64*(1-AnnualMix),0)</f>
        <v/>
      </c>
      <c r="ATP64" s="12">
        <f>ATN64-ATO64</f>
        <v/>
      </c>
      <c r="ATQ64" s="12">
        <f>ROUND(ATO64*EssentialMix,0)</f>
        <v/>
      </c>
      <c r="ATR64" s="12">
        <f>ROUND(ATO64*PremiumMix,0)</f>
        <v/>
      </c>
      <c r="ATS64" s="12">
        <f>ATO64-ATQ64-ATR64</f>
        <v/>
      </c>
      <c r="ATT64" s="12">
        <f>ROUND(ATP64*EssentialMix,0)</f>
        <v/>
      </c>
      <c r="ATU64" s="12">
        <f>ROUND(ATP64*PremiumMix,0)</f>
        <v/>
      </c>
      <c r="ATV64" s="12">
        <f>ATP64-ATT64-ATU64</f>
        <v/>
      </c>
      <c r="ATW64" s="12">
        <f>ATQ64+ATQ63+ATQ62+MAX(0,ATW63-ATQ63-ATQ62)*(1-ATJ64)</f>
        <v/>
      </c>
      <c r="ATX64" s="12">
        <f>ATR64+ATR63+ATR62+MAX(0,ATX63-ATR63-ATR62)*(1-ATJ64)</f>
        <v/>
      </c>
      <c r="ATY64" s="12">
        <f>ATS64+ATS63+ATS62+MAX(0,ATY63-ATS63-ATS62)*(1-ATJ64)</f>
        <v/>
      </c>
      <c r="ATZ64" s="12">
        <f>ATZ63+ATT64-ATT52*(AnnualChurn*VLOOKUP(ATF64,ChurnSeasonTable,4,FALSE))*POWER(1-(AnnualChurn*VLOOKUP(ATF64,ChurnSeasonTable,4,FALSE)),0)+ATT40*(AnnualChurn*VLOOKUP(ATF64,ChurnSeasonTable,4,FALSE))*POWER(1-(AnnualChurn*VLOOKUP(ATF64,ChurnSeasonTable,4,FALSE)),1)+ATT28*(AnnualChurn*VLOOKUP(ATF64,ChurnSeasonTable,4,FALSE))*POWER(1-(AnnualChurn*VLOOKUP(ATF64,ChurnSeasonTable,4,FALSE)),2)+ATT16*(AnnualChurn*VLOOKUP(ATF64,ChurnSeasonTable,4,FALSE))*POWER(1-(AnnualChurn*VLOOKUP(ATF64,ChurnSeasonTable,4,FALSE)),3)</f>
        <v/>
      </c>
      <c r="AUA64" s="12">
        <f>AUA63+ATU64-ATU52*(AnnualChurn*VLOOKUP(ATF64,ChurnSeasonTable,4,FALSE))*POWER(1-(AnnualChurn*VLOOKUP(ATF64,ChurnSeasonTable,4,FALSE)),0)+ATU40*(AnnualChurn*VLOOKUP(ATF64,ChurnSeasonTable,4,FALSE))*POWER(1-(AnnualChurn*VLOOKUP(ATF64,ChurnSeasonTable,4,FALSE)),1)+ATU28*(AnnualChurn*VLOOKUP(ATF64,ChurnSeasonTable,4,FALSE))*POWER(1-(AnnualChurn*VLOOKUP(ATF64,ChurnSeasonTable,4,FALSE)),2)+ATU16*(AnnualChurn*VLOOKUP(ATF64,ChurnSeasonTable,4,FALSE))*POWER(1-(AnnualChurn*VLOOKUP(ATF64,ChurnSeasonTable,4,FALSE)),3)</f>
        <v/>
      </c>
      <c r="AUB64" s="12">
        <f>AUB63+ATV64-ATV52*(AnnualChurn*VLOOKUP(ATF64,ChurnSeasonTable,4,FALSE))*POWER(1-(AnnualChurn*VLOOKUP(ATF64,ChurnSeasonTable,4,FALSE)),0)+ATV40*(AnnualChurn*VLOOKUP(ATF64,ChurnSeasonTable,4,FALSE))*POWER(1-(AnnualChurn*VLOOKUP(ATF64,ChurnSeasonTable,4,FALSE)),1)+ATV28*(AnnualChurn*VLOOKUP(ATF64,ChurnSeasonTable,4,FALSE))*POWER(1-(AnnualChurn*VLOOKUP(ATF64,ChurnSeasonTable,4,FALSE)),2)+ATV16*(AnnualChurn*VLOOKUP(ATF64,ChurnSeasonTable,4,FALSE))*POWER(1-(AnnualChurn*VLOOKUP(ATF64,ChurnSeasonTable,4,FALSE)),3)</f>
        <v/>
      </c>
      <c r="AUC64" s="12">
        <f>ATW64+ATX64+ATY64+ATZ64+AUA64+AUB64</f>
        <v/>
      </c>
      <c r="AUD64" s="9">
        <f>ATW64*BlendedPriceEssMonthly*ATI64+ATX64*BlendedPricePremMonthly*ATI64+ATY64*BlendedPriceEliteMonthly*ATI64+ATZ64*BlendedPriceEssAnnual*ATI64/12+AUA64*BlendedPricePremAnnual*ATI64/12+AUB64*BlendedPriceEliteAnnual*ATI64/12</f>
        <v/>
      </c>
      <c r="AUE64" s="9">
        <f>AUD64*12</f>
        <v/>
      </c>
      <c r="AUF64" s="12">
        <f>ATW64*BlendedPriceEssMonthly*ATI64+ATX64*BlendedPricePremMonthly*ATI64+ATY64*BlendedPriceEliteMonthly*ATI64</f>
        <v/>
      </c>
      <c r="AUG64" s="12">
        <f>ATT64*BlendedPriceEssAnnual*ATI64+ATU64*BlendedPricePremAnnual*ATI64+ATV64*BlendedPriceEliteAnnual*ATI64</f>
        <v/>
      </c>
      <c r="AUH64" s="12">
        <f>ATT52*POWER(1-(AnnualChurn*VLOOKUP(ATF64,ChurnSeasonTable,4,FALSE)),1)*BlendedPriceEssAnnual*ATI64+ATT40*POWER(1-(AnnualChurn*VLOOKUP(ATF64,ChurnSeasonTable,4,FALSE)),2)*BlendedPriceEssAnnual*ATI64+ATT28*POWER(1-(AnnualChurn*VLOOKUP(ATF64,ChurnSeasonTable,4,FALSE)),3)*BlendedPriceEssAnnual*ATI64+ATT16*POWER(1-(AnnualChurn*VLOOKUP(ATF64,ChurnSeasonTable,4,FALSE)),4)*BlendedPriceEssAnnual*ATI64+ATU52*POWER(1-(AnnualChurn*VLOOKUP(ATF64,ChurnSeasonTable,4,FALSE)),1)*BlendedPricePremAnnual*ATI64+ATU40*POWER(1-(AnnualChurn*VLOOKUP(ATF64,ChurnSeasonTable,4,FALSE)),2)*BlendedPricePremAnnual*ATI64+ATU28*POWER(1-(AnnualChurn*VLOOKUP(ATF64,ChurnSeasonTable,4,FALSE)),3)*BlendedPricePremAnnual*ATI64+ATU16*POWER(1-(AnnualChurn*VLOOKUP(ATF64,ChurnSeasonTable,4,FALSE)),4)*BlendedPricePremAnnual*ATI64+ATV52*POWER(1-(AnnualChurn*VLOOKUP(ATF64,ChurnSeasonTable,4,FALSE)),1)*BlendedPriceEliteAnnual*ATI64+ATV40*POWER(1-(AnnualChurn*VLOOKUP(ATF64,ChurnSeasonTable,4,FALSE)),2)*BlendedPriceEliteAnnual*ATI64+ATV28*POWER(1-(AnnualChurn*VLOOKUP(ATF64,ChurnSeasonTable,4,FALSE)),3)*BlendedPriceEliteAnnual*ATI64+ATV16*POWER(1-(AnnualChurn*VLOOKUP(ATF64,ChurnSeasonTable,4,FALSE)),4)*BlendedPriceEliteAnnual*ATI64</f>
        <v/>
      </c>
      <c r="AUI64" s="9">
        <f>AUF64+AUG64+AUH64</f>
        <v/>
      </c>
      <c r="AUJ64" s="12">
        <f>SUM(AUI53:AUI64)</f>
        <v/>
      </c>
      <c r="AUK64" s="12">
        <f>OR(AUK63,IF(VATAgentMode,SUM($AUI53:$AUI64)-SUM($AUP53:$AUP64)&gt;=VATThreshold,SUM($AUI53:$AUI64)&gt;=VATThreshold))</f>
        <v/>
      </c>
      <c r="AUL64" s="9">
        <f>IF(AUK64,IF(VATAgentMode,AUI64-((AUI64-AUP64)-(AUI64-AUP64)/(1+VATRate)),AUI64/(1+VATRate)),AUI64)</f>
        <v/>
      </c>
      <c r="AUM64" s="12">
        <f>AUI64-AUL64</f>
        <v/>
      </c>
      <c r="AUN64" s="12">
        <f>IF(AUK64=0,0,IF(ATF64=1,SUMPRODUCT(--(($ATG$5:$ATG64=$ATG64-1)*($ATF$5:$ATF64&gt;=10)*($ATF$5:$ATF64&lt;=12)),$AUM$5:$AUM64),IF(ATF64=4,SUMPRODUCT(--(($ATG$5:$ATG64=$ATG64)*($ATF$5:$ATF64&gt;=1)*($ATF$5:$ATF64&lt;=3)),$AUM$5:$AUM64),IF(ATF64=7,SUMPRODUCT(--(($ATG$5:$ATG64=$ATG64)*($ATF$5:$ATF64&gt;=4)*($ATF$5:$ATF64&lt;=6)),$AUM$5:$AUM64),IF(ATF64=10,SUMPRODUCT(--(($ATG$5:$ATG64=$ATG64)*($ATF$5:$ATF64&gt;=7)*($ATF$5:$ATF64&lt;=9)),$AUM$5:$AUM64),0)))))</f>
        <v/>
      </c>
      <c r="AUO64" s="12">
        <f>AUO63+AUM64-AUN64</f>
        <v/>
      </c>
      <c r="AUP64" s="12">
        <f>IF(ProviderDelay&gt;=1,ATW63*BlendedProvPayEss+ATX63*BlendedProvPayPrem+ATY63*BlendedProvPayElite+ATZ63*BlendedProvPayEss+AUA63*BlendedProvPayPrem+AUB63*BlendedProvPayElite,ATW64*BlendedProvPayEss+ATX64*BlendedProvPayPrem+ATY64*BlendedProvPayElite+ATZ64*BlendedProvPayEss+AUA64*BlendedProvPayPrem+AUB64*BlendedProvPayElite)</f>
        <v/>
      </c>
      <c r="AUQ64" s="12">
        <f>AUI64*PaymentFee</f>
        <v/>
      </c>
      <c r="AUR64" s="12">
        <f>AUC64*OpsAI</f>
        <v/>
      </c>
      <c r="AUS64" s="12">
        <f>MonthlyFixed</f>
        <v/>
      </c>
      <c r="AUT64" s="12">
        <f>ATM64*ReferralReward</f>
        <v/>
      </c>
      <c r="AUU64" s="12">
        <f>ATK64</f>
        <v/>
      </c>
      <c r="AUV64" s="9">
        <f>AUL64-AUP64-AUQ64-AUR64-AUS64-AUT64-AUU64</f>
        <v/>
      </c>
      <c r="AUW64" s="9">
        <f>AUW63+AUI64-(AUP64+AUQ64+AUR64+AUS64+AUT64+AUU64+AUN64)</f>
        <v/>
      </c>
      <c r="AUX64" s="12">
        <f>IF(AUC64&gt;0,AUD64/AUC64,0)</f>
        <v/>
      </c>
      <c r="AUY64" s="11">
        <f>IF(AUC63&gt;0,MAX(0,(AUC63+ATN64-AUC64)/AUC63),0)</f>
        <v/>
      </c>
      <c r="AVA64" s="12" t="n">
        <v>60</v>
      </c>
      <c r="AVB64" s="12">
        <f>MOD(AVA64-1+LaunchMonth-1,12)+1</f>
        <v/>
      </c>
      <c r="AVC64" s="12">
        <f>INT((AVA64-1+LaunchMonth-1)/12)+1</f>
        <v/>
      </c>
      <c r="AVD64" s="12">
        <f>VLOOKUP(AVB64,WinterPivotSeasonTable,5,FALSE)</f>
        <v/>
      </c>
      <c r="AVE64" s="12">
        <f>(1+InflationRate)^INT((AVA64-1)/12)</f>
        <v/>
      </c>
      <c r="AVF64" s="11">
        <f>MonthlyChurn*VLOOKUP(AVB64,WinterPivotChurnTable,6,FALSE)</f>
        <v/>
      </c>
      <c r="AVG64" s="12">
        <f>MIN(MAX(MktMin19plus,AWE63*MktPct19plus),MAX(0,AWS63-CashBuffer))</f>
        <v/>
      </c>
      <c r="AVH64" s="12">
        <f>IF(AVG64&gt;0,MAX(1,ROUND(AVG64/CAC*AVD64,0)),0)</f>
        <v/>
      </c>
      <c r="AVI64" s="12">
        <f>IF(AVH64&gt;0,ROUND(AVH64*ReferralMix/(1-ReferralMix),0),0)</f>
        <v/>
      </c>
      <c r="AVJ64" s="12">
        <f>AVH64+AVI64</f>
        <v/>
      </c>
      <c r="AVK64" s="12">
        <f>ROUND(AVJ64*(1-AnnualMix),0)</f>
        <v/>
      </c>
      <c r="AVL64" s="12">
        <f>AVJ64-AVK64</f>
        <v/>
      </c>
      <c r="AVM64" s="12">
        <f>ROUND(AVK64*'Sens - Winter Pivot'!$B$6,0)</f>
        <v/>
      </c>
      <c r="AVN64" s="12">
        <f>ROUND(AVK64*PremiumMix,0)</f>
        <v/>
      </c>
      <c r="AVO64" s="12">
        <f>AVK64-AVM64-AVN64</f>
        <v/>
      </c>
      <c r="AVP64" s="12">
        <f>ROUND(AVL64*'Sens - Winter Pivot'!$B$6,0)</f>
        <v/>
      </c>
      <c r="AVQ64" s="12">
        <f>ROUND(AVL64*PremiumMix,0)</f>
        <v/>
      </c>
      <c r="AVR64" s="12">
        <f>AVL64-AVP64-AVQ64</f>
        <v/>
      </c>
      <c r="AVS64" s="12">
        <f>AVM64+AVM63+AVM62+MAX(0,AVS63-AVM63-AVM62)*(1-AVF64)</f>
        <v/>
      </c>
      <c r="AVT64" s="12">
        <f>AVN64+AVN63+AVN62+MAX(0,AVT63-AVN63-AVN62)*(1-AVF64)</f>
        <v/>
      </c>
      <c r="AVU64" s="12">
        <f>AVO64+AVO63+AVO62+MAX(0,AVU63-AVO63-AVO62)*(1-AVF64)</f>
        <v/>
      </c>
      <c r="AVV64" s="12">
        <f>AVV63+AVP64-AVP52*(AnnualChurn*VLOOKUP(AVB64,ChurnSeasonTable,4,FALSE))*POWER(1-(AnnualChurn*VLOOKUP(AVB64,ChurnSeasonTable,4,FALSE)),0)+AVP40*(AnnualChurn*VLOOKUP(AVB64,ChurnSeasonTable,4,FALSE))*POWER(1-(AnnualChurn*VLOOKUP(AVB64,ChurnSeasonTable,4,FALSE)),1)+AVP28*(AnnualChurn*VLOOKUP(AVB64,ChurnSeasonTable,4,FALSE))*POWER(1-(AnnualChurn*VLOOKUP(AVB64,ChurnSeasonTable,4,FALSE)),2)+AVP16*(AnnualChurn*VLOOKUP(AVB64,ChurnSeasonTable,4,FALSE))*POWER(1-(AnnualChurn*VLOOKUP(AVB64,ChurnSeasonTable,4,FALSE)),3)</f>
        <v/>
      </c>
      <c r="AVW64" s="12">
        <f>AVW63+AVQ64-AVQ52*(AnnualChurn*VLOOKUP(AVB64,ChurnSeasonTable,4,FALSE))*POWER(1-(AnnualChurn*VLOOKUP(AVB64,ChurnSeasonTable,4,FALSE)),0)+AVQ40*(AnnualChurn*VLOOKUP(AVB64,ChurnSeasonTable,4,FALSE))*POWER(1-(AnnualChurn*VLOOKUP(AVB64,ChurnSeasonTable,4,FALSE)),1)+AVQ28*(AnnualChurn*VLOOKUP(AVB64,ChurnSeasonTable,4,FALSE))*POWER(1-(AnnualChurn*VLOOKUP(AVB64,ChurnSeasonTable,4,FALSE)),2)+AVQ16*(AnnualChurn*VLOOKUP(AVB64,ChurnSeasonTable,4,FALSE))*POWER(1-(AnnualChurn*VLOOKUP(AVB64,ChurnSeasonTable,4,FALSE)),3)</f>
        <v/>
      </c>
      <c r="AVX64" s="12">
        <f>AVX63+AVR64-AVR52*(AnnualChurn*VLOOKUP(AVB64,ChurnSeasonTable,4,FALSE))*POWER(1-(AnnualChurn*VLOOKUP(AVB64,ChurnSeasonTable,4,FALSE)),0)+AVR40*(AnnualChurn*VLOOKUP(AVB64,ChurnSeasonTable,4,FALSE))*POWER(1-(AnnualChurn*VLOOKUP(AVB64,ChurnSeasonTable,4,FALSE)),1)+AVR28*(AnnualChurn*VLOOKUP(AVB64,ChurnSeasonTable,4,FALSE))*POWER(1-(AnnualChurn*VLOOKUP(AVB64,ChurnSeasonTable,4,FALSE)),2)+AVR16*(AnnualChurn*VLOOKUP(AVB64,ChurnSeasonTable,4,FALSE))*POWER(1-(AnnualChurn*VLOOKUP(AVB64,ChurnSeasonTable,4,FALSE)),3)</f>
        <v/>
      </c>
      <c r="AVY64" s="12">
        <f>AVS64+AVT64+AVU64+AVV64+AVW64+AVX64</f>
        <v/>
      </c>
      <c r="AVZ64" s="9">
        <f>AVS64*BlendedPriceEssMonthly*AVE64+AVT64*(BlendedPricePremMonthly+'Sens - Winter Pivot'!$B$7)*AVE64+AVU64*BlendedPriceEliteMonthly*AVE64+AVV64*BlendedPriceEssAnnual*AVE64/12+AVW64*(BlendedPricePremAnnual+'Sens - Winter Pivot'!$B$7*12)*AVE64/12+AVX64*BlendedPriceEliteAnnual*AVE64/12</f>
        <v/>
      </c>
      <c r="AWA64" s="9">
        <f>AVZ64*12</f>
        <v/>
      </c>
      <c r="AWB64" s="12">
        <f>AVS64*BlendedPriceEssMonthly*AVE64+AVT64*(BlendedPricePremMonthly+'Sens - Winter Pivot'!$B$7)*AVE64+AVU64*BlendedPriceEliteMonthly*AVE64</f>
        <v/>
      </c>
      <c r="AWC64" s="12">
        <f>AVP64*BlendedPriceEssAnnual*AVE64+AVQ64*(BlendedPricePremAnnual+'Sens - Winter Pivot'!$B$7*12)*AVE64+AVR64*BlendedPriceEliteAnnual*AVE64</f>
        <v/>
      </c>
      <c r="AWD64" s="12">
        <f>AVP52*POWER(1-(AnnualChurn*VLOOKUP(AVB64,ChurnSeasonTable,4,FALSE)),1)*BlendedPriceEssAnnual*AVE64+AVP40*POWER(1-(AnnualChurn*VLOOKUP(AVB64,ChurnSeasonTable,4,FALSE)),2)*BlendedPriceEssAnnual*AVE64+AVP28*POWER(1-(AnnualChurn*VLOOKUP(AVB64,ChurnSeasonTable,4,FALSE)),3)*BlendedPriceEssAnnual*AVE64+AVP16*POWER(1-(AnnualChurn*VLOOKUP(AVB64,ChurnSeasonTable,4,FALSE)),4)*BlendedPriceEssAnnual*AVE64+AVQ52*POWER(1-(AnnualChurn*VLOOKUP(AVB64,ChurnSeasonTable,4,FALSE)),1)*BlendedPricePremAnnual*AVE64+AVQ40*POWER(1-(AnnualChurn*VLOOKUP(AVB64,ChurnSeasonTable,4,FALSE)),2)*BlendedPricePremAnnual*AVE64+AVQ28*POWER(1-(AnnualChurn*VLOOKUP(AVB64,ChurnSeasonTable,4,FALSE)),3)*BlendedPricePremAnnual*AVE64+AVQ16*POWER(1-(AnnualChurn*VLOOKUP(AVB64,ChurnSeasonTable,4,FALSE)),4)*BlendedPricePremAnnual*AVE64+AVR52*POWER(1-(AnnualChurn*VLOOKUP(AVB64,ChurnSeasonTable,4,FALSE)),1)*BlendedPriceEliteAnnual*AVE64+AVR40*POWER(1-(AnnualChurn*VLOOKUP(AVB64,ChurnSeasonTable,4,FALSE)),2)*BlendedPriceEliteAnnual*AVE64+AVR28*POWER(1-(AnnualChurn*VLOOKUP(AVB64,ChurnSeasonTable,4,FALSE)),3)*BlendedPriceEliteAnnual*AVE64+AVR16*POWER(1-(AnnualChurn*VLOOKUP(AVB64,ChurnSeasonTable,4,FALSE)),4)*BlendedPriceEliteAnnual*AVE64</f>
        <v/>
      </c>
      <c r="AWE64" s="9">
        <f>AWB64+AWC64+AWD64</f>
        <v/>
      </c>
      <c r="AWF64" s="12">
        <f>SUM(AWE53:AWE64)</f>
        <v/>
      </c>
      <c r="AWG64" s="12">
        <f>OR(AWG63,IF(VATAgentMode,SUM($AWE53:$AWE64)-SUM($AWL53:$AWL64)&gt;=VATThreshold,SUM($AWE53:$AWE64)&gt;=VATThreshold))</f>
        <v/>
      </c>
      <c r="AWH64" s="9">
        <f>IF(AWG64,IF(VATAgentMode,AWE64-((AWE64-AWL64)-(AWE64-AWL64)/(1+VATRate)),AWE64/(1+VATRate)),AWE64)</f>
        <v/>
      </c>
      <c r="AWI64" s="12">
        <f>AWE64-AWH64</f>
        <v/>
      </c>
      <c r="AWJ64" s="12">
        <f>IF(AWG64=0,0,IF(AVB64=1,SUMPRODUCT(--(($AVC$5:$AVC64=$AVC64-1)*($AVB$5:$AVB64&gt;=10)*($AVB$5:$AVB64&lt;=12)),$AWI$5:$AWI64),IF(AVB64=4,SUMPRODUCT(--(($AVC$5:$AVC64=$AVC64)*($AVB$5:$AVB64&gt;=1)*($AVB$5:$AVB64&lt;=3)),$AWI$5:$AWI64),IF(AVB64=7,SUMPRODUCT(--(($AVC$5:$AVC64=$AVC64)*($AVB$5:$AVB64&gt;=4)*($AVB$5:$AVB64&lt;=6)),$AWI$5:$AWI64),IF(AVB64=10,SUMPRODUCT(--(($AVC$5:$AVC64=$AVC64)*($AVB$5:$AVB64&gt;=7)*($AVB$5:$AVB64&lt;=9)),$AWI$5:$AWI64),0)))))</f>
        <v/>
      </c>
      <c r="AWK64" s="12">
        <f>AWK63+AWI64-AWJ64</f>
        <v/>
      </c>
      <c r="AWL64" s="12">
        <f>IF(ProviderDelay&gt;=1,AVS63*BlendedProvPayEss+AVT63*BlendedProvPayPrem+AVU63*BlendedProvPayElite+AVV63*BlendedProvPayEss+AVW63*BlendedProvPayPrem+AVX63*BlendedProvPayElite,AVS64*BlendedProvPayEss+AVT64*BlendedProvPayPrem+AVU64*BlendedProvPayElite+AVV64*BlendedProvPayEss+AVW64*BlendedProvPayPrem+AVX64*BlendedProvPayElite)</f>
        <v/>
      </c>
      <c r="AWM64" s="12">
        <f>AWE64*PaymentFee</f>
        <v/>
      </c>
      <c r="AWN64" s="12">
        <f>AVY64*OpsAI</f>
        <v/>
      </c>
      <c r="AWO64" s="12">
        <f>MonthlyFixed</f>
        <v/>
      </c>
      <c r="AWP64" s="12">
        <f>AVI64*ReferralReward</f>
        <v/>
      </c>
      <c r="AWQ64" s="12">
        <f>AVG64</f>
        <v/>
      </c>
      <c r="AWR64" s="9">
        <f>AWH64-AWL64-AWM64-AWN64-AWO64-AWP64-AWQ64</f>
        <v/>
      </c>
      <c r="AWS64" s="9">
        <f>AWS63+AWE64-(AWL64+AWM64+AWN64+AWO64+AWP64+AWQ64+AWJ64)</f>
        <v/>
      </c>
      <c r="AWT64" s="12">
        <f>IF(AVY64&gt;0,AVZ64/AVY64,0)</f>
        <v/>
      </c>
      <c r="AWU64" s="11">
        <f>IF(AVY63&gt;0,MAX(0,(AVY63+AVJ64-AVY64)/AVY63),0)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4:N64"/>
  <sheetViews>
    <sheetView workbookViewId="0">
      <selection activeCell="A1" sqref="A1"/>
    </sheetView>
  </sheetViews>
  <sheetFormatPr baseColWidth="8" defaultRowHeight="15"/>
  <sheetData>
    <row r="4">
      <c r="A4" s="14" t="inlineStr">
        <is>
          <t>Mo</t>
        </is>
      </c>
      <c r="B4" s="14" t="inlineStr">
        <is>
          <t>Gross</t>
        </is>
      </c>
      <c r="C4" s="14" t="inlineStr">
        <is>
          <t>Prov</t>
        </is>
      </c>
      <c r="D4" s="14" t="inlineStr">
        <is>
          <t>Margin</t>
        </is>
      </c>
      <c r="E4" s="14" t="inlineStr">
        <is>
          <t>Roll12G</t>
        </is>
      </c>
      <c r="F4" s="14" t="inlineStr">
        <is>
          <t>Roll12M</t>
        </is>
      </c>
      <c r="G4" s="14" t="inlineStr">
        <is>
          <t>RegP</t>
        </is>
      </c>
      <c r="H4" s="14" t="inlineStr">
        <is>
          <t>RegA</t>
        </is>
      </c>
      <c r="I4" s="14" t="inlineStr">
        <is>
          <t>VatAccP</t>
        </is>
      </c>
      <c r="J4" s="14" t="inlineStr">
        <is>
          <t>VatAccA</t>
        </is>
      </c>
      <c r="K4" s="14" t="inlineStr">
        <is>
          <t>NetP</t>
        </is>
      </c>
      <c r="L4" s="14" t="inlineStr">
        <is>
          <t>NetA</t>
        </is>
      </c>
      <c r="M4" s="14" t="inlineStr">
        <is>
          <t>GP_P</t>
        </is>
      </c>
      <c r="N4" s="14" t="inlineStr">
        <is>
          <t>GP_A</t>
        </is>
      </c>
    </row>
    <row r="5">
      <c r="A5" s="71" t="n">
        <v>1</v>
      </c>
      <c r="B5" s="21">
        <f>Model!AE5</f>
        <v/>
      </c>
      <c r="C5" s="21">
        <f>Model!AL5</f>
        <v/>
      </c>
      <c r="D5" s="21">
        <f>B5-C5</f>
        <v/>
      </c>
      <c r="E5" s="21">
        <f>SUM($B$5:B5)</f>
        <v/>
      </c>
      <c r="F5" s="21">
        <f>E5-SUM($C$5:C5)</f>
        <v/>
      </c>
      <c r="G5" s="21">
        <f>E5&gt;=VATThreshold</f>
        <v/>
      </c>
      <c r="H5" s="21">
        <f>F5&gt;=VATThreshold</f>
        <v/>
      </c>
      <c r="I5" s="21">
        <f>IF(G5,B5-B5/(1+VATRate),0)</f>
        <v/>
      </c>
      <c r="J5" s="21">
        <f>IF(H5,D5-D5/(1+VATRate),0)</f>
        <v/>
      </c>
      <c r="K5" s="21">
        <f>B5-I5</f>
        <v/>
      </c>
      <c r="L5" s="21">
        <f>B5-J5</f>
        <v/>
      </c>
      <c r="M5" s="21">
        <f>K5-C5</f>
        <v/>
      </c>
      <c r="N5" s="21">
        <f>L5-C5</f>
        <v/>
      </c>
    </row>
    <row r="6">
      <c r="A6" s="71" t="n">
        <v>2</v>
      </c>
      <c r="B6" s="21">
        <f>Model!AE6</f>
        <v/>
      </c>
      <c r="C6" s="21">
        <f>Model!AL6</f>
        <v/>
      </c>
      <c r="D6" s="21">
        <f>B6-C6</f>
        <v/>
      </c>
      <c r="E6" s="21">
        <f>SUM($B$5:B6)</f>
        <v/>
      </c>
      <c r="F6" s="21">
        <f>E6-SUM($C$5:C6)</f>
        <v/>
      </c>
      <c r="G6" s="21">
        <f>OR(G5,E6&gt;=VATThreshold)</f>
        <v/>
      </c>
      <c r="H6" s="21">
        <f>OR(H5,F6&gt;=VATThreshold)</f>
        <v/>
      </c>
      <c r="I6" s="21">
        <f>IF(G6,B6-B6/(1+VATRate),0)</f>
        <v/>
      </c>
      <c r="J6" s="21">
        <f>IF(H6,D6-D6/(1+VATRate),0)</f>
        <v/>
      </c>
      <c r="K6" s="21">
        <f>B6-I6</f>
        <v/>
      </c>
      <c r="L6" s="21">
        <f>B6-J6</f>
        <v/>
      </c>
      <c r="M6" s="21">
        <f>K6-C6</f>
        <v/>
      </c>
      <c r="N6" s="21">
        <f>L6-C6</f>
        <v/>
      </c>
    </row>
    <row r="7">
      <c r="A7" s="71" t="n">
        <v>3</v>
      </c>
      <c r="B7" s="21">
        <f>Model!AE7</f>
        <v/>
      </c>
      <c r="C7" s="21">
        <f>Model!AL7</f>
        <v/>
      </c>
      <c r="D7" s="21">
        <f>B7-C7</f>
        <v/>
      </c>
      <c r="E7" s="21">
        <f>SUM($B$5:B7)</f>
        <v/>
      </c>
      <c r="F7" s="21">
        <f>E7-SUM($C$5:C7)</f>
        <v/>
      </c>
      <c r="G7" s="21">
        <f>OR(G6,E7&gt;=VATThreshold)</f>
        <v/>
      </c>
      <c r="H7" s="21">
        <f>OR(H6,F7&gt;=VATThreshold)</f>
        <v/>
      </c>
      <c r="I7" s="21">
        <f>IF(G7,B7-B7/(1+VATRate),0)</f>
        <v/>
      </c>
      <c r="J7" s="21">
        <f>IF(H7,D7-D7/(1+VATRate),0)</f>
        <v/>
      </c>
      <c r="K7" s="21">
        <f>B7-I7</f>
        <v/>
      </c>
      <c r="L7" s="21">
        <f>B7-J7</f>
        <v/>
      </c>
      <c r="M7" s="21">
        <f>K7-C7</f>
        <v/>
      </c>
      <c r="N7" s="21">
        <f>L7-C7</f>
        <v/>
      </c>
    </row>
    <row r="8">
      <c r="A8" s="71" t="n">
        <v>4</v>
      </c>
      <c r="B8" s="21">
        <f>Model!AE8</f>
        <v/>
      </c>
      <c r="C8" s="21">
        <f>Model!AL8</f>
        <v/>
      </c>
      <c r="D8" s="21">
        <f>B8-C8</f>
        <v/>
      </c>
      <c r="E8" s="21">
        <f>SUM($B$5:B8)</f>
        <v/>
      </c>
      <c r="F8" s="21">
        <f>E8-SUM($C$5:C8)</f>
        <v/>
      </c>
      <c r="G8" s="21">
        <f>OR(G7,E8&gt;=VATThreshold)</f>
        <v/>
      </c>
      <c r="H8" s="21">
        <f>OR(H7,F8&gt;=VATThreshold)</f>
        <v/>
      </c>
      <c r="I8" s="21">
        <f>IF(G8,B8-B8/(1+VATRate),0)</f>
        <v/>
      </c>
      <c r="J8" s="21">
        <f>IF(H8,D8-D8/(1+VATRate),0)</f>
        <v/>
      </c>
      <c r="K8" s="21">
        <f>B8-I8</f>
        <v/>
      </c>
      <c r="L8" s="21">
        <f>B8-J8</f>
        <v/>
      </c>
      <c r="M8" s="21">
        <f>K8-C8</f>
        <v/>
      </c>
      <c r="N8" s="21">
        <f>L8-C8</f>
        <v/>
      </c>
    </row>
    <row r="9">
      <c r="A9" s="71" t="n">
        <v>5</v>
      </c>
      <c r="B9" s="21">
        <f>Model!AE9</f>
        <v/>
      </c>
      <c r="C9" s="21">
        <f>Model!AL9</f>
        <v/>
      </c>
      <c r="D9" s="21">
        <f>B9-C9</f>
        <v/>
      </c>
      <c r="E9" s="21">
        <f>SUM($B$5:B9)</f>
        <v/>
      </c>
      <c r="F9" s="21">
        <f>E9-SUM($C$5:C9)</f>
        <v/>
      </c>
      <c r="G9" s="21">
        <f>OR(G8,E9&gt;=VATThreshold)</f>
        <v/>
      </c>
      <c r="H9" s="21">
        <f>OR(H8,F9&gt;=VATThreshold)</f>
        <v/>
      </c>
      <c r="I9" s="21">
        <f>IF(G9,B9-B9/(1+VATRate),0)</f>
        <v/>
      </c>
      <c r="J9" s="21">
        <f>IF(H9,D9-D9/(1+VATRate),0)</f>
        <v/>
      </c>
      <c r="K9" s="21">
        <f>B9-I9</f>
        <v/>
      </c>
      <c r="L9" s="21">
        <f>B9-J9</f>
        <v/>
      </c>
      <c r="M9" s="21">
        <f>K9-C9</f>
        <v/>
      </c>
      <c r="N9" s="21">
        <f>L9-C9</f>
        <v/>
      </c>
    </row>
    <row r="10">
      <c r="A10" s="71" t="n">
        <v>6</v>
      </c>
      <c r="B10" s="21">
        <f>Model!AE10</f>
        <v/>
      </c>
      <c r="C10" s="21">
        <f>Model!AL10</f>
        <v/>
      </c>
      <c r="D10" s="21">
        <f>B10-C10</f>
        <v/>
      </c>
      <c r="E10" s="21">
        <f>SUM($B$5:B10)</f>
        <v/>
      </c>
      <c r="F10" s="21">
        <f>E10-SUM($C$5:C10)</f>
        <v/>
      </c>
      <c r="G10" s="21">
        <f>OR(G9,E10&gt;=VATThreshold)</f>
        <v/>
      </c>
      <c r="H10" s="21">
        <f>OR(H9,F10&gt;=VATThreshold)</f>
        <v/>
      </c>
      <c r="I10" s="21">
        <f>IF(G10,B10-B10/(1+VATRate),0)</f>
        <v/>
      </c>
      <c r="J10" s="21">
        <f>IF(H10,D10-D10/(1+VATRate),0)</f>
        <v/>
      </c>
      <c r="K10" s="21">
        <f>B10-I10</f>
        <v/>
      </c>
      <c r="L10" s="21">
        <f>B10-J10</f>
        <v/>
      </c>
      <c r="M10" s="21">
        <f>K10-C10</f>
        <v/>
      </c>
      <c r="N10" s="21">
        <f>L10-C10</f>
        <v/>
      </c>
    </row>
    <row r="11">
      <c r="A11" s="71" t="n">
        <v>7</v>
      </c>
      <c r="B11" s="21">
        <f>Model!AE11</f>
        <v/>
      </c>
      <c r="C11" s="21">
        <f>Model!AL11</f>
        <v/>
      </c>
      <c r="D11" s="21">
        <f>B11-C11</f>
        <v/>
      </c>
      <c r="E11" s="21">
        <f>SUM($B$5:B11)</f>
        <v/>
      </c>
      <c r="F11" s="21">
        <f>E11-SUM($C$5:C11)</f>
        <v/>
      </c>
      <c r="G11" s="21">
        <f>OR(G10,E11&gt;=VATThreshold)</f>
        <v/>
      </c>
      <c r="H11" s="21">
        <f>OR(H10,F11&gt;=VATThreshold)</f>
        <v/>
      </c>
      <c r="I11" s="21">
        <f>IF(G11,B11-B11/(1+VATRate),0)</f>
        <v/>
      </c>
      <c r="J11" s="21">
        <f>IF(H11,D11-D11/(1+VATRate),0)</f>
        <v/>
      </c>
      <c r="K11" s="21">
        <f>B11-I11</f>
        <v/>
      </c>
      <c r="L11" s="21">
        <f>B11-J11</f>
        <v/>
      </c>
      <c r="M11" s="21">
        <f>K11-C11</f>
        <v/>
      </c>
      <c r="N11" s="21">
        <f>L11-C11</f>
        <v/>
      </c>
    </row>
    <row r="12">
      <c r="A12" s="71" t="n">
        <v>8</v>
      </c>
      <c r="B12" s="21">
        <f>Model!AE12</f>
        <v/>
      </c>
      <c r="C12" s="21">
        <f>Model!AL12</f>
        <v/>
      </c>
      <c r="D12" s="21">
        <f>B12-C12</f>
        <v/>
      </c>
      <c r="E12" s="21">
        <f>SUM($B$5:B12)</f>
        <v/>
      </c>
      <c r="F12" s="21">
        <f>E12-SUM($C$5:C12)</f>
        <v/>
      </c>
      <c r="G12" s="21">
        <f>OR(G11,E12&gt;=VATThreshold)</f>
        <v/>
      </c>
      <c r="H12" s="21">
        <f>OR(H11,F12&gt;=VATThreshold)</f>
        <v/>
      </c>
      <c r="I12" s="21">
        <f>IF(G12,B12-B12/(1+VATRate),0)</f>
        <v/>
      </c>
      <c r="J12" s="21">
        <f>IF(H12,D12-D12/(1+VATRate),0)</f>
        <v/>
      </c>
      <c r="K12" s="21">
        <f>B12-I12</f>
        <v/>
      </c>
      <c r="L12" s="21">
        <f>B12-J12</f>
        <v/>
      </c>
      <c r="M12" s="21">
        <f>K12-C12</f>
        <v/>
      </c>
      <c r="N12" s="21">
        <f>L12-C12</f>
        <v/>
      </c>
    </row>
    <row r="13">
      <c r="A13" s="71" t="n">
        <v>9</v>
      </c>
      <c r="B13" s="21">
        <f>Model!AE13</f>
        <v/>
      </c>
      <c r="C13" s="21">
        <f>Model!AL13</f>
        <v/>
      </c>
      <c r="D13" s="21">
        <f>B13-C13</f>
        <v/>
      </c>
      <c r="E13" s="21">
        <f>SUM($B$5:B13)</f>
        <v/>
      </c>
      <c r="F13" s="21">
        <f>E13-SUM($C$5:C13)</f>
        <v/>
      </c>
      <c r="G13" s="21">
        <f>OR(G12,E13&gt;=VATThreshold)</f>
        <v/>
      </c>
      <c r="H13" s="21">
        <f>OR(H12,F13&gt;=VATThreshold)</f>
        <v/>
      </c>
      <c r="I13" s="21">
        <f>IF(G13,B13-B13/(1+VATRate),0)</f>
        <v/>
      </c>
      <c r="J13" s="21">
        <f>IF(H13,D13-D13/(1+VATRate),0)</f>
        <v/>
      </c>
      <c r="K13" s="21">
        <f>B13-I13</f>
        <v/>
      </c>
      <c r="L13" s="21">
        <f>B13-J13</f>
        <v/>
      </c>
      <c r="M13" s="21">
        <f>K13-C13</f>
        <v/>
      </c>
      <c r="N13" s="21">
        <f>L13-C13</f>
        <v/>
      </c>
    </row>
    <row r="14">
      <c r="A14" s="71" t="n">
        <v>10</v>
      </c>
      <c r="B14" s="21">
        <f>Model!AE14</f>
        <v/>
      </c>
      <c r="C14" s="21">
        <f>Model!AL14</f>
        <v/>
      </c>
      <c r="D14" s="21">
        <f>B14-C14</f>
        <v/>
      </c>
      <c r="E14" s="21">
        <f>SUM($B$5:B14)</f>
        <v/>
      </c>
      <c r="F14" s="21">
        <f>E14-SUM($C$5:C14)</f>
        <v/>
      </c>
      <c r="G14" s="21">
        <f>OR(G13,E14&gt;=VATThreshold)</f>
        <v/>
      </c>
      <c r="H14" s="21">
        <f>OR(H13,F14&gt;=VATThreshold)</f>
        <v/>
      </c>
      <c r="I14" s="21">
        <f>IF(G14,B14-B14/(1+VATRate),0)</f>
        <v/>
      </c>
      <c r="J14" s="21">
        <f>IF(H14,D14-D14/(1+VATRate),0)</f>
        <v/>
      </c>
      <c r="K14" s="21">
        <f>B14-I14</f>
        <v/>
      </c>
      <c r="L14" s="21">
        <f>B14-J14</f>
        <v/>
      </c>
      <c r="M14" s="21">
        <f>K14-C14</f>
        <v/>
      </c>
      <c r="N14" s="21">
        <f>L14-C14</f>
        <v/>
      </c>
    </row>
    <row r="15">
      <c r="A15" s="71" t="n">
        <v>11</v>
      </c>
      <c r="B15" s="21">
        <f>Model!AE15</f>
        <v/>
      </c>
      <c r="C15" s="21">
        <f>Model!AL15</f>
        <v/>
      </c>
      <c r="D15" s="21">
        <f>B15-C15</f>
        <v/>
      </c>
      <c r="E15" s="21">
        <f>SUM($B$5:B15)</f>
        <v/>
      </c>
      <c r="F15" s="21">
        <f>E15-SUM($C$5:C15)</f>
        <v/>
      </c>
      <c r="G15" s="21">
        <f>OR(G14,E15&gt;=VATThreshold)</f>
        <v/>
      </c>
      <c r="H15" s="21">
        <f>OR(H14,F15&gt;=VATThreshold)</f>
        <v/>
      </c>
      <c r="I15" s="21">
        <f>IF(G15,B15-B15/(1+VATRate),0)</f>
        <v/>
      </c>
      <c r="J15" s="21">
        <f>IF(H15,D15-D15/(1+VATRate),0)</f>
        <v/>
      </c>
      <c r="K15" s="21">
        <f>B15-I15</f>
        <v/>
      </c>
      <c r="L15" s="21">
        <f>B15-J15</f>
        <v/>
      </c>
      <c r="M15" s="21">
        <f>K15-C15</f>
        <v/>
      </c>
      <c r="N15" s="21">
        <f>L15-C15</f>
        <v/>
      </c>
    </row>
    <row r="16">
      <c r="A16" s="71" t="n">
        <v>12</v>
      </c>
      <c r="B16" s="21">
        <f>Model!AE16</f>
        <v/>
      </c>
      <c r="C16" s="21">
        <f>Model!AL16</f>
        <v/>
      </c>
      <c r="D16" s="21">
        <f>B16-C16</f>
        <v/>
      </c>
      <c r="E16" s="21">
        <f>SUM(B5:B16)</f>
        <v/>
      </c>
      <c r="F16" s="21">
        <f>E16-SUM(C5:C16)</f>
        <v/>
      </c>
      <c r="G16" s="21">
        <f>OR(G15,E16&gt;=VATThreshold)</f>
        <v/>
      </c>
      <c r="H16" s="21">
        <f>OR(H15,F16&gt;=VATThreshold)</f>
        <v/>
      </c>
      <c r="I16" s="21">
        <f>IF(G16,B16-B16/(1+VATRate),0)</f>
        <v/>
      </c>
      <c r="J16" s="21">
        <f>IF(H16,D16-D16/(1+VATRate),0)</f>
        <v/>
      </c>
      <c r="K16" s="21">
        <f>B16-I16</f>
        <v/>
      </c>
      <c r="L16" s="21">
        <f>B16-J16</f>
        <v/>
      </c>
      <c r="M16" s="21">
        <f>K16-C16</f>
        <v/>
      </c>
      <c r="N16" s="21">
        <f>L16-C16</f>
        <v/>
      </c>
    </row>
    <row r="17">
      <c r="A17" s="71" t="n">
        <v>13</v>
      </c>
      <c r="B17" s="21">
        <f>Model!AE17</f>
        <v/>
      </c>
      <c r="C17" s="21">
        <f>Model!AL17</f>
        <v/>
      </c>
      <c r="D17" s="21">
        <f>B17-C17</f>
        <v/>
      </c>
      <c r="E17" s="21">
        <f>SUM(B6:B17)</f>
        <v/>
      </c>
      <c r="F17" s="21">
        <f>E17-SUM(C6:C17)</f>
        <v/>
      </c>
      <c r="G17" s="21">
        <f>OR(G16,E17&gt;=VATThreshold)</f>
        <v/>
      </c>
      <c r="H17" s="21">
        <f>OR(H16,F17&gt;=VATThreshold)</f>
        <v/>
      </c>
      <c r="I17" s="21">
        <f>IF(G17,B17-B17/(1+VATRate),0)</f>
        <v/>
      </c>
      <c r="J17" s="21">
        <f>IF(H17,D17-D17/(1+VATRate),0)</f>
        <v/>
      </c>
      <c r="K17" s="21">
        <f>B17-I17</f>
        <v/>
      </c>
      <c r="L17" s="21">
        <f>B17-J17</f>
        <v/>
      </c>
      <c r="M17" s="21">
        <f>K17-C17</f>
        <v/>
      </c>
      <c r="N17" s="21">
        <f>L17-C17</f>
        <v/>
      </c>
    </row>
    <row r="18">
      <c r="A18" s="71" t="n">
        <v>14</v>
      </c>
      <c r="B18" s="21">
        <f>Model!AE18</f>
        <v/>
      </c>
      <c r="C18" s="21">
        <f>Model!AL18</f>
        <v/>
      </c>
      <c r="D18" s="21">
        <f>B18-C18</f>
        <v/>
      </c>
      <c r="E18" s="21">
        <f>SUM(B7:B18)</f>
        <v/>
      </c>
      <c r="F18" s="21">
        <f>E18-SUM(C7:C18)</f>
        <v/>
      </c>
      <c r="G18" s="21">
        <f>OR(G17,E18&gt;=VATThreshold)</f>
        <v/>
      </c>
      <c r="H18" s="21">
        <f>OR(H17,F18&gt;=VATThreshold)</f>
        <v/>
      </c>
      <c r="I18" s="21">
        <f>IF(G18,B18-B18/(1+VATRate),0)</f>
        <v/>
      </c>
      <c r="J18" s="21">
        <f>IF(H18,D18-D18/(1+VATRate),0)</f>
        <v/>
      </c>
      <c r="K18" s="21">
        <f>B18-I18</f>
        <v/>
      </c>
      <c r="L18" s="21">
        <f>B18-J18</f>
        <v/>
      </c>
      <c r="M18" s="21">
        <f>K18-C18</f>
        <v/>
      </c>
      <c r="N18" s="21">
        <f>L18-C18</f>
        <v/>
      </c>
    </row>
    <row r="19">
      <c r="A19" s="71" t="n">
        <v>15</v>
      </c>
      <c r="B19" s="21">
        <f>Model!AE19</f>
        <v/>
      </c>
      <c r="C19" s="21">
        <f>Model!AL19</f>
        <v/>
      </c>
      <c r="D19" s="21">
        <f>B19-C19</f>
        <v/>
      </c>
      <c r="E19" s="21">
        <f>SUM(B8:B19)</f>
        <v/>
      </c>
      <c r="F19" s="21">
        <f>E19-SUM(C8:C19)</f>
        <v/>
      </c>
      <c r="G19" s="21">
        <f>OR(G18,E19&gt;=VATThreshold)</f>
        <v/>
      </c>
      <c r="H19" s="21">
        <f>OR(H18,F19&gt;=VATThreshold)</f>
        <v/>
      </c>
      <c r="I19" s="21">
        <f>IF(G19,B19-B19/(1+VATRate),0)</f>
        <v/>
      </c>
      <c r="J19" s="21">
        <f>IF(H19,D19-D19/(1+VATRate),0)</f>
        <v/>
      </c>
      <c r="K19" s="21">
        <f>B19-I19</f>
        <v/>
      </c>
      <c r="L19" s="21">
        <f>B19-J19</f>
        <v/>
      </c>
      <c r="M19" s="21">
        <f>K19-C19</f>
        <v/>
      </c>
      <c r="N19" s="21">
        <f>L19-C19</f>
        <v/>
      </c>
    </row>
    <row r="20">
      <c r="A20" s="71" t="n">
        <v>16</v>
      </c>
      <c r="B20" s="21">
        <f>Model!AE20</f>
        <v/>
      </c>
      <c r="C20" s="21">
        <f>Model!AL20</f>
        <v/>
      </c>
      <c r="D20" s="21">
        <f>B20-C20</f>
        <v/>
      </c>
      <c r="E20" s="21">
        <f>SUM(B9:B20)</f>
        <v/>
      </c>
      <c r="F20" s="21">
        <f>E20-SUM(C9:C20)</f>
        <v/>
      </c>
      <c r="G20" s="21">
        <f>OR(G19,E20&gt;=VATThreshold)</f>
        <v/>
      </c>
      <c r="H20" s="21">
        <f>OR(H19,F20&gt;=VATThreshold)</f>
        <v/>
      </c>
      <c r="I20" s="21">
        <f>IF(G20,B20-B20/(1+VATRate),0)</f>
        <v/>
      </c>
      <c r="J20" s="21">
        <f>IF(H20,D20-D20/(1+VATRate),0)</f>
        <v/>
      </c>
      <c r="K20" s="21">
        <f>B20-I20</f>
        <v/>
      </c>
      <c r="L20" s="21">
        <f>B20-J20</f>
        <v/>
      </c>
      <c r="M20" s="21">
        <f>K20-C20</f>
        <v/>
      </c>
      <c r="N20" s="21">
        <f>L20-C20</f>
        <v/>
      </c>
    </row>
    <row r="21">
      <c r="A21" s="71" t="n">
        <v>17</v>
      </c>
      <c r="B21" s="21">
        <f>Model!AE21</f>
        <v/>
      </c>
      <c r="C21" s="21">
        <f>Model!AL21</f>
        <v/>
      </c>
      <c r="D21" s="21">
        <f>B21-C21</f>
        <v/>
      </c>
      <c r="E21" s="21">
        <f>SUM(B10:B21)</f>
        <v/>
      </c>
      <c r="F21" s="21">
        <f>E21-SUM(C10:C21)</f>
        <v/>
      </c>
      <c r="G21" s="21">
        <f>OR(G20,E21&gt;=VATThreshold)</f>
        <v/>
      </c>
      <c r="H21" s="21">
        <f>OR(H20,F21&gt;=VATThreshold)</f>
        <v/>
      </c>
      <c r="I21" s="21">
        <f>IF(G21,B21-B21/(1+VATRate),0)</f>
        <v/>
      </c>
      <c r="J21" s="21">
        <f>IF(H21,D21-D21/(1+VATRate),0)</f>
        <v/>
      </c>
      <c r="K21" s="21">
        <f>B21-I21</f>
        <v/>
      </c>
      <c r="L21" s="21">
        <f>B21-J21</f>
        <v/>
      </c>
      <c r="M21" s="21">
        <f>K21-C21</f>
        <v/>
      </c>
      <c r="N21" s="21">
        <f>L21-C21</f>
        <v/>
      </c>
    </row>
    <row r="22">
      <c r="A22" s="71" t="n">
        <v>18</v>
      </c>
      <c r="B22" s="21">
        <f>Model!AE22</f>
        <v/>
      </c>
      <c r="C22" s="21">
        <f>Model!AL22</f>
        <v/>
      </c>
      <c r="D22" s="21">
        <f>B22-C22</f>
        <v/>
      </c>
      <c r="E22" s="21">
        <f>SUM(B11:B22)</f>
        <v/>
      </c>
      <c r="F22" s="21">
        <f>E22-SUM(C11:C22)</f>
        <v/>
      </c>
      <c r="G22" s="21">
        <f>OR(G21,E22&gt;=VATThreshold)</f>
        <v/>
      </c>
      <c r="H22" s="21">
        <f>OR(H21,F22&gt;=VATThreshold)</f>
        <v/>
      </c>
      <c r="I22" s="21">
        <f>IF(G22,B22-B22/(1+VATRate),0)</f>
        <v/>
      </c>
      <c r="J22" s="21">
        <f>IF(H22,D22-D22/(1+VATRate),0)</f>
        <v/>
      </c>
      <c r="K22" s="21">
        <f>B22-I22</f>
        <v/>
      </c>
      <c r="L22" s="21">
        <f>B22-J22</f>
        <v/>
      </c>
      <c r="M22" s="21">
        <f>K22-C22</f>
        <v/>
      </c>
      <c r="N22" s="21">
        <f>L22-C22</f>
        <v/>
      </c>
    </row>
    <row r="23">
      <c r="A23" s="71" t="n">
        <v>19</v>
      </c>
      <c r="B23" s="21">
        <f>Model!AE23</f>
        <v/>
      </c>
      <c r="C23" s="21">
        <f>Model!AL23</f>
        <v/>
      </c>
      <c r="D23" s="21">
        <f>B23-C23</f>
        <v/>
      </c>
      <c r="E23" s="21">
        <f>SUM(B12:B23)</f>
        <v/>
      </c>
      <c r="F23" s="21">
        <f>E23-SUM(C12:C23)</f>
        <v/>
      </c>
      <c r="G23" s="21">
        <f>OR(G22,E23&gt;=VATThreshold)</f>
        <v/>
      </c>
      <c r="H23" s="21">
        <f>OR(H22,F23&gt;=VATThreshold)</f>
        <v/>
      </c>
      <c r="I23" s="21">
        <f>IF(G23,B23-B23/(1+VATRate),0)</f>
        <v/>
      </c>
      <c r="J23" s="21">
        <f>IF(H23,D23-D23/(1+VATRate),0)</f>
        <v/>
      </c>
      <c r="K23" s="21">
        <f>B23-I23</f>
        <v/>
      </c>
      <c r="L23" s="21">
        <f>B23-J23</f>
        <v/>
      </c>
      <c r="M23" s="21">
        <f>K23-C23</f>
        <v/>
      </c>
      <c r="N23" s="21">
        <f>L23-C23</f>
        <v/>
      </c>
    </row>
    <row r="24">
      <c r="A24" s="71" t="n">
        <v>20</v>
      </c>
      <c r="B24" s="21">
        <f>Model!AE24</f>
        <v/>
      </c>
      <c r="C24" s="21">
        <f>Model!AL24</f>
        <v/>
      </c>
      <c r="D24" s="21">
        <f>B24-C24</f>
        <v/>
      </c>
      <c r="E24" s="21">
        <f>SUM(B13:B24)</f>
        <v/>
      </c>
      <c r="F24" s="21">
        <f>E24-SUM(C13:C24)</f>
        <v/>
      </c>
      <c r="G24" s="21">
        <f>OR(G23,E24&gt;=VATThreshold)</f>
        <v/>
      </c>
      <c r="H24" s="21">
        <f>OR(H23,F24&gt;=VATThreshold)</f>
        <v/>
      </c>
      <c r="I24" s="21">
        <f>IF(G24,B24-B24/(1+VATRate),0)</f>
        <v/>
      </c>
      <c r="J24" s="21">
        <f>IF(H24,D24-D24/(1+VATRate),0)</f>
        <v/>
      </c>
      <c r="K24" s="21">
        <f>B24-I24</f>
        <v/>
      </c>
      <c r="L24" s="21">
        <f>B24-J24</f>
        <v/>
      </c>
      <c r="M24" s="21">
        <f>K24-C24</f>
        <v/>
      </c>
      <c r="N24" s="21">
        <f>L24-C24</f>
        <v/>
      </c>
    </row>
    <row r="25">
      <c r="A25" s="71" t="n">
        <v>21</v>
      </c>
      <c r="B25" s="21">
        <f>Model!AE25</f>
        <v/>
      </c>
      <c r="C25" s="21">
        <f>Model!AL25</f>
        <v/>
      </c>
      <c r="D25" s="21">
        <f>B25-C25</f>
        <v/>
      </c>
      <c r="E25" s="21">
        <f>SUM(B14:B25)</f>
        <v/>
      </c>
      <c r="F25" s="21">
        <f>E25-SUM(C14:C25)</f>
        <v/>
      </c>
      <c r="G25" s="21">
        <f>OR(G24,E25&gt;=VATThreshold)</f>
        <v/>
      </c>
      <c r="H25" s="21">
        <f>OR(H24,F25&gt;=VATThreshold)</f>
        <v/>
      </c>
      <c r="I25" s="21">
        <f>IF(G25,B25-B25/(1+VATRate),0)</f>
        <v/>
      </c>
      <c r="J25" s="21">
        <f>IF(H25,D25-D25/(1+VATRate),0)</f>
        <v/>
      </c>
      <c r="K25" s="21">
        <f>B25-I25</f>
        <v/>
      </c>
      <c r="L25" s="21">
        <f>B25-J25</f>
        <v/>
      </c>
      <c r="M25" s="21">
        <f>K25-C25</f>
        <v/>
      </c>
      <c r="N25" s="21">
        <f>L25-C25</f>
        <v/>
      </c>
    </row>
    <row r="26">
      <c r="A26" s="71" t="n">
        <v>22</v>
      </c>
      <c r="B26" s="21">
        <f>Model!AE26</f>
        <v/>
      </c>
      <c r="C26" s="21">
        <f>Model!AL26</f>
        <v/>
      </c>
      <c r="D26" s="21">
        <f>B26-C26</f>
        <v/>
      </c>
      <c r="E26" s="21">
        <f>SUM(B15:B26)</f>
        <v/>
      </c>
      <c r="F26" s="21">
        <f>E26-SUM(C15:C26)</f>
        <v/>
      </c>
      <c r="G26" s="21">
        <f>OR(G25,E26&gt;=VATThreshold)</f>
        <v/>
      </c>
      <c r="H26" s="21">
        <f>OR(H25,F26&gt;=VATThreshold)</f>
        <v/>
      </c>
      <c r="I26" s="21">
        <f>IF(G26,B26-B26/(1+VATRate),0)</f>
        <v/>
      </c>
      <c r="J26" s="21">
        <f>IF(H26,D26-D26/(1+VATRate),0)</f>
        <v/>
      </c>
      <c r="K26" s="21">
        <f>B26-I26</f>
        <v/>
      </c>
      <c r="L26" s="21">
        <f>B26-J26</f>
        <v/>
      </c>
      <c r="M26" s="21">
        <f>K26-C26</f>
        <v/>
      </c>
      <c r="N26" s="21">
        <f>L26-C26</f>
        <v/>
      </c>
    </row>
    <row r="27">
      <c r="A27" s="71" t="n">
        <v>23</v>
      </c>
      <c r="B27" s="21">
        <f>Model!AE27</f>
        <v/>
      </c>
      <c r="C27" s="21">
        <f>Model!AL27</f>
        <v/>
      </c>
      <c r="D27" s="21">
        <f>B27-C27</f>
        <v/>
      </c>
      <c r="E27" s="21">
        <f>SUM(B16:B27)</f>
        <v/>
      </c>
      <c r="F27" s="21">
        <f>E27-SUM(C16:C27)</f>
        <v/>
      </c>
      <c r="G27" s="21">
        <f>OR(G26,E27&gt;=VATThreshold)</f>
        <v/>
      </c>
      <c r="H27" s="21">
        <f>OR(H26,F27&gt;=VATThreshold)</f>
        <v/>
      </c>
      <c r="I27" s="21">
        <f>IF(G27,B27-B27/(1+VATRate),0)</f>
        <v/>
      </c>
      <c r="J27" s="21">
        <f>IF(H27,D27-D27/(1+VATRate),0)</f>
        <v/>
      </c>
      <c r="K27" s="21">
        <f>B27-I27</f>
        <v/>
      </c>
      <c r="L27" s="21">
        <f>B27-J27</f>
        <v/>
      </c>
      <c r="M27" s="21">
        <f>K27-C27</f>
        <v/>
      </c>
      <c r="N27" s="21">
        <f>L27-C27</f>
        <v/>
      </c>
    </row>
    <row r="28">
      <c r="A28" s="71" t="n">
        <v>24</v>
      </c>
      <c r="B28" s="21">
        <f>Model!AE28</f>
        <v/>
      </c>
      <c r="C28" s="21">
        <f>Model!AL28</f>
        <v/>
      </c>
      <c r="D28" s="21">
        <f>B28-C28</f>
        <v/>
      </c>
      <c r="E28" s="21">
        <f>SUM(B17:B28)</f>
        <v/>
      </c>
      <c r="F28" s="21">
        <f>E28-SUM(C17:C28)</f>
        <v/>
      </c>
      <c r="G28" s="21">
        <f>OR(G27,E28&gt;=VATThreshold)</f>
        <v/>
      </c>
      <c r="H28" s="21">
        <f>OR(H27,F28&gt;=VATThreshold)</f>
        <v/>
      </c>
      <c r="I28" s="21">
        <f>IF(G28,B28-B28/(1+VATRate),0)</f>
        <v/>
      </c>
      <c r="J28" s="21">
        <f>IF(H28,D28-D28/(1+VATRate),0)</f>
        <v/>
      </c>
      <c r="K28" s="21">
        <f>B28-I28</f>
        <v/>
      </c>
      <c r="L28" s="21">
        <f>B28-J28</f>
        <v/>
      </c>
      <c r="M28" s="21">
        <f>K28-C28</f>
        <v/>
      </c>
      <c r="N28" s="21">
        <f>L28-C28</f>
        <v/>
      </c>
    </row>
    <row r="29">
      <c r="A29" s="71" t="n">
        <v>25</v>
      </c>
      <c r="B29" s="21">
        <f>Model!AE29</f>
        <v/>
      </c>
      <c r="C29" s="21">
        <f>Model!AL29</f>
        <v/>
      </c>
      <c r="D29" s="21">
        <f>B29-C29</f>
        <v/>
      </c>
      <c r="E29" s="21">
        <f>SUM(B18:B29)</f>
        <v/>
      </c>
      <c r="F29" s="21">
        <f>E29-SUM(C18:C29)</f>
        <v/>
      </c>
      <c r="G29" s="21">
        <f>OR(G28,E29&gt;=VATThreshold)</f>
        <v/>
      </c>
      <c r="H29" s="21">
        <f>OR(H28,F29&gt;=VATThreshold)</f>
        <v/>
      </c>
      <c r="I29" s="21">
        <f>IF(G29,B29-B29/(1+VATRate),0)</f>
        <v/>
      </c>
      <c r="J29" s="21">
        <f>IF(H29,D29-D29/(1+VATRate),0)</f>
        <v/>
      </c>
      <c r="K29" s="21">
        <f>B29-I29</f>
        <v/>
      </c>
      <c r="L29" s="21">
        <f>B29-J29</f>
        <v/>
      </c>
      <c r="M29" s="21">
        <f>K29-C29</f>
        <v/>
      </c>
      <c r="N29" s="21">
        <f>L29-C29</f>
        <v/>
      </c>
    </row>
    <row r="30">
      <c r="A30" s="71" t="n">
        <v>26</v>
      </c>
      <c r="B30" s="21">
        <f>Model!AE30</f>
        <v/>
      </c>
      <c r="C30" s="21">
        <f>Model!AL30</f>
        <v/>
      </c>
      <c r="D30" s="21">
        <f>B30-C30</f>
        <v/>
      </c>
      <c r="E30" s="21">
        <f>SUM(B19:B30)</f>
        <v/>
      </c>
      <c r="F30" s="21">
        <f>E30-SUM(C19:C30)</f>
        <v/>
      </c>
      <c r="G30" s="21">
        <f>OR(G29,E30&gt;=VATThreshold)</f>
        <v/>
      </c>
      <c r="H30" s="21">
        <f>OR(H29,F30&gt;=VATThreshold)</f>
        <v/>
      </c>
      <c r="I30" s="21">
        <f>IF(G30,B30-B30/(1+VATRate),0)</f>
        <v/>
      </c>
      <c r="J30" s="21">
        <f>IF(H30,D30-D30/(1+VATRate),0)</f>
        <v/>
      </c>
      <c r="K30" s="21">
        <f>B30-I30</f>
        <v/>
      </c>
      <c r="L30" s="21">
        <f>B30-J30</f>
        <v/>
      </c>
      <c r="M30" s="21">
        <f>K30-C30</f>
        <v/>
      </c>
      <c r="N30" s="21">
        <f>L30-C30</f>
        <v/>
      </c>
    </row>
    <row r="31">
      <c r="A31" s="71" t="n">
        <v>27</v>
      </c>
      <c r="B31" s="21">
        <f>Model!AE31</f>
        <v/>
      </c>
      <c r="C31" s="21">
        <f>Model!AL31</f>
        <v/>
      </c>
      <c r="D31" s="21">
        <f>B31-C31</f>
        <v/>
      </c>
      <c r="E31" s="21">
        <f>SUM(B20:B31)</f>
        <v/>
      </c>
      <c r="F31" s="21">
        <f>E31-SUM(C20:C31)</f>
        <v/>
      </c>
      <c r="G31" s="21">
        <f>OR(G30,E31&gt;=VATThreshold)</f>
        <v/>
      </c>
      <c r="H31" s="21">
        <f>OR(H30,F31&gt;=VATThreshold)</f>
        <v/>
      </c>
      <c r="I31" s="21">
        <f>IF(G31,B31-B31/(1+VATRate),0)</f>
        <v/>
      </c>
      <c r="J31" s="21">
        <f>IF(H31,D31-D31/(1+VATRate),0)</f>
        <v/>
      </c>
      <c r="K31" s="21">
        <f>B31-I31</f>
        <v/>
      </c>
      <c r="L31" s="21">
        <f>B31-J31</f>
        <v/>
      </c>
      <c r="M31" s="21">
        <f>K31-C31</f>
        <v/>
      </c>
      <c r="N31" s="21">
        <f>L31-C31</f>
        <v/>
      </c>
    </row>
    <row r="32">
      <c r="A32" s="71" t="n">
        <v>28</v>
      </c>
      <c r="B32" s="21">
        <f>Model!AE32</f>
        <v/>
      </c>
      <c r="C32" s="21">
        <f>Model!AL32</f>
        <v/>
      </c>
      <c r="D32" s="21">
        <f>B32-C32</f>
        <v/>
      </c>
      <c r="E32" s="21">
        <f>SUM(B21:B32)</f>
        <v/>
      </c>
      <c r="F32" s="21">
        <f>E32-SUM(C21:C32)</f>
        <v/>
      </c>
      <c r="G32" s="21">
        <f>OR(G31,E32&gt;=VATThreshold)</f>
        <v/>
      </c>
      <c r="H32" s="21">
        <f>OR(H31,F32&gt;=VATThreshold)</f>
        <v/>
      </c>
      <c r="I32" s="21">
        <f>IF(G32,B32-B32/(1+VATRate),0)</f>
        <v/>
      </c>
      <c r="J32" s="21">
        <f>IF(H32,D32-D32/(1+VATRate),0)</f>
        <v/>
      </c>
      <c r="K32" s="21">
        <f>B32-I32</f>
        <v/>
      </c>
      <c r="L32" s="21">
        <f>B32-J32</f>
        <v/>
      </c>
      <c r="M32" s="21">
        <f>K32-C32</f>
        <v/>
      </c>
      <c r="N32" s="21">
        <f>L32-C32</f>
        <v/>
      </c>
    </row>
    <row r="33">
      <c r="A33" s="71" t="n">
        <v>29</v>
      </c>
      <c r="B33" s="21">
        <f>Model!AE33</f>
        <v/>
      </c>
      <c r="C33" s="21">
        <f>Model!AL33</f>
        <v/>
      </c>
      <c r="D33" s="21">
        <f>B33-C33</f>
        <v/>
      </c>
      <c r="E33" s="21">
        <f>SUM(B22:B33)</f>
        <v/>
      </c>
      <c r="F33" s="21">
        <f>E33-SUM(C22:C33)</f>
        <v/>
      </c>
      <c r="G33" s="21">
        <f>OR(G32,E33&gt;=VATThreshold)</f>
        <v/>
      </c>
      <c r="H33" s="21">
        <f>OR(H32,F33&gt;=VATThreshold)</f>
        <v/>
      </c>
      <c r="I33" s="21">
        <f>IF(G33,B33-B33/(1+VATRate),0)</f>
        <v/>
      </c>
      <c r="J33" s="21">
        <f>IF(H33,D33-D33/(1+VATRate),0)</f>
        <v/>
      </c>
      <c r="K33" s="21">
        <f>B33-I33</f>
        <v/>
      </c>
      <c r="L33" s="21">
        <f>B33-J33</f>
        <v/>
      </c>
      <c r="M33" s="21">
        <f>K33-C33</f>
        <v/>
      </c>
      <c r="N33" s="21">
        <f>L33-C33</f>
        <v/>
      </c>
    </row>
    <row r="34">
      <c r="A34" s="71" t="n">
        <v>30</v>
      </c>
      <c r="B34" s="21">
        <f>Model!AE34</f>
        <v/>
      </c>
      <c r="C34" s="21">
        <f>Model!AL34</f>
        <v/>
      </c>
      <c r="D34" s="21">
        <f>B34-C34</f>
        <v/>
      </c>
      <c r="E34" s="21">
        <f>SUM(B23:B34)</f>
        <v/>
      </c>
      <c r="F34" s="21">
        <f>E34-SUM(C23:C34)</f>
        <v/>
      </c>
      <c r="G34" s="21">
        <f>OR(G33,E34&gt;=VATThreshold)</f>
        <v/>
      </c>
      <c r="H34" s="21">
        <f>OR(H33,F34&gt;=VATThreshold)</f>
        <v/>
      </c>
      <c r="I34" s="21">
        <f>IF(G34,B34-B34/(1+VATRate),0)</f>
        <v/>
      </c>
      <c r="J34" s="21">
        <f>IF(H34,D34-D34/(1+VATRate),0)</f>
        <v/>
      </c>
      <c r="K34" s="21">
        <f>B34-I34</f>
        <v/>
      </c>
      <c r="L34" s="21">
        <f>B34-J34</f>
        <v/>
      </c>
      <c r="M34" s="21">
        <f>K34-C34</f>
        <v/>
      </c>
      <c r="N34" s="21">
        <f>L34-C34</f>
        <v/>
      </c>
    </row>
    <row r="35">
      <c r="A35" s="71" t="n">
        <v>31</v>
      </c>
      <c r="B35" s="21">
        <f>Model!AE35</f>
        <v/>
      </c>
      <c r="C35" s="21">
        <f>Model!AL35</f>
        <v/>
      </c>
      <c r="D35" s="21">
        <f>B35-C35</f>
        <v/>
      </c>
      <c r="E35" s="21">
        <f>SUM(B24:B35)</f>
        <v/>
      </c>
      <c r="F35" s="21">
        <f>E35-SUM(C24:C35)</f>
        <v/>
      </c>
      <c r="G35" s="21">
        <f>OR(G34,E35&gt;=VATThreshold)</f>
        <v/>
      </c>
      <c r="H35" s="21">
        <f>OR(H34,F35&gt;=VATThreshold)</f>
        <v/>
      </c>
      <c r="I35" s="21">
        <f>IF(G35,B35-B35/(1+VATRate),0)</f>
        <v/>
      </c>
      <c r="J35" s="21">
        <f>IF(H35,D35-D35/(1+VATRate),0)</f>
        <v/>
      </c>
      <c r="K35" s="21">
        <f>B35-I35</f>
        <v/>
      </c>
      <c r="L35" s="21">
        <f>B35-J35</f>
        <v/>
      </c>
      <c r="M35" s="21">
        <f>K35-C35</f>
        <v/>
      </c>
      <c r="N35" s="21">
        <f>L35-C35</f>
        <v/>
      </c>
    </row>
    <row r="36">
      <c r="A36" s="71" t="n">
        <v>32</v>
      </c>
      <c r="B36" s="21">
        <f>Model!AE36</f>
        <v/>
      </c>
      <c r="C36" s="21">
        <f>Model!AL36</f>
        <v/>
      </c>
      <c r="D36" s="21">
        <f>B36-C36</f>
        <v/>
      </c>
      <c r="E36" s="21">
        <f>SUM(B25:B36)</f>
        <v/>
      </c>
      <c r="F36" s="21">
        <f>E36-SUM(C25:C36)</f>
        <v/>
      </c>
      <c r="G36" s="21">
        <f>OR(G35,E36&gt;=VATThreshold)</f>
        <v/>
      </c>
      <c r="H36" s="21">
        <f>OR(H35,F36&gt;=VATThreshold)</f>
        <v/>
      </c>
      <c r="I36" s="21">
        <f>IF(G36,B36-B36/(1+VATRate),0)</f>
        <v/>
      </c>
      <c r="J36" s="21">
        <f>IF(H36,D36-D36/(1+VATRate),0)</f>
        <v/>
      </c>
      <c r="K36" s="21">
        <f>B36-I36</f>
        <v/>
      </c>
      <c r="L36" s="21">
        <f>B36-J36</f>
        <v/>
      </c>
      <c r="M36" s="21">
        <f>K36-C36</f>
        <v/>
      </c>
      <c r="N36" s="21">
        <f>L36-C36</f>
        <v/>
      </c>
    </row>
    <row r="37">
      <c r="A37" s="71" t="n">
        <v>33</v>
      </c>
      <c r="B37" s="21">
        <f>Model!AE37</f>
        <v/>
      </c>
      <c r="C37" s="21">
        <f>Model!AL37</f>
        <v/>
      </c>
      <c r="D37" s="21">
        <f>B37-C37</f>
        <v/>
      </c>
      <c r="E37" s="21">
        <f>SUM(B26:B37)</f>
        <v/>
      </c>
      <c r="F37" s="21">
        <f>E37-SUM(C26:C37)</f>
        <v/>
      </c>
      <c r="G37" s="21">
        <f>OR(G36,E37&gt;=VATThreshold)</f>
        <v/>
      </c>
      <c r="H37" s="21">
        <f>OR(H36,F37&gt;=VATThreshold)</f>
        <v/>
      </c>
      <c r="I37" s="21">
        <f>IF(G37,B37-B37/(1+VATRate),0)</f>
        <v/>
      </c>
      <c r="J37" s="21">
        <f>IF(H37,D37-D37/(1+VATRate),0)</f>
        <v/>
      </c>
      <c r="K37" s="21">
        <f>B37-I37</f>
        <v/>
      </c>
      <c r="L37" s="21">
        <f>B37-J37</f>
        <v/>
      </c>
      <c r="M37" s="21">
        <f>K37-C37</f>
        <v/>
      </c>
      <c r="N37" s="21">
        <f>L37-C37</f>
        <v/>
      </c>
    </row>
    <row r="38">
      <c r="A38" s="71" t="n">
        <v>34</v>
      </c>
      <c r="B38" s="21">
        <f>Model!AE38</f>
        <v/>
      </c>
      <c r="C38" s="21">
        <f>Model!AL38</f>
        <v/>
      </c>
      <c r="D38" s="21">
        <f>B38-C38</f>
        <v/>
      </c>
      <c r="E38" s="21">
        <f>SUM(B27:B38)</f>
        <v/>
      </c>
      <c r="F38" s="21">
        <f>E38-SUM(C27:C38)</f>
        <v/>
      </c>
      <c r="G38" s="21">
        <f>OR(G37,E38&gt;=VATThreshold)</f>
        <v/>
      </c>
      <c r="H38" s="21">
        <f>OR(H37,F38&gt;=VATThreshold)</f>
        <v/>
      </c>
      <c r="I38" s="21">
        <f>IF(G38,B38-B38/(1+VATRate),0)</f>
        <v/>
      </c>
      <c r="J38" s="21">
        <f>IF(H38,D38-D38/(1+VATRate),0)</f>
        <v/>
      </c>
      <c r="K38" s="21">
        <f>B38-I38</f>
        <v/>
      </c>
      <c r="L38" s="21">
        <f>B38-J38</f>
        <v/>
      </c>
      <c r="M38" s="21">
        <f>K38-C38</f>
        <v/>
      </c>
      <c r="N38" s="21">
        <f>L38-C38</f>
        <v/>
      </c>
    </row>
    <row r="39">
      <c r="A39" s="71" t="n">
        <v>35</v>
      </c>
      <c r="B39" s="21">
        <f>Model!AE39</f>
        <v/>
      </c>
      <c r="C39" s="21">
        <f>Model!AL39</f>
        <v/>
      </c>
      <c r="D39" s="21">
        <f>B39-C39</f>
        <v/>
      </c>
      <c r="E39" s="21">
        <f>SUM(B28:B39)</f>
        <v/>
      </c>
      <c r="F39" s="21">
        <f>E39-SUM(C28:C39)</f>
        <v/>
      </c>
      <c r="G39" s="21">
        <f>OR(G38,E39&gt;=VATThreshold)</f>
        <v/>
      </c>
      <c r="H39" s="21">
        <f>OR(H38,F39&gt;=VATThreshold)</f>
        <v/>
      </c>
      <c r="I39" s="21">
        <f>IF(G39,B39-B39/(1+VATRate),0)</f>
        <v/>
      </c>
      <c r="J39" s="21">
        <f>IF(H39,D39-D39/(1+VATRate),0)</f>
        <v/>
      </c>
      <c r="K39" s="21">
        <f>B39-I39</f>
        <v/>
      </c>
      <c r="L39" s="21">
        <f>B39-J39</f>
        <v/>
      </c>
      <c r="M39" s="21">
        <f>K39-C39</f>
        <v/>
      </c>
      <c r="N39" s="21">
        <f>L39-C39</f>
        <v/>
      </c>
    </row>
    <row r="40">
      <c r="A40" s="71" t="n">
        <v>36</v>
      </c>
      <c r="B40" s="21">
        <f>Model!AE40</f>
        <v/>
      </c>
      <c r="C40" s="21">
        <f>Model!AL40</f>
        <v/>
      </c>
      <c r="D40" s="21">
        <f>B40-C40</f>
        <v/>
      </c>
      <c r="E40" s="21">
        <f>SUM(B29:B40)</f>
        <v/>
      </c>
      <c r="F40" s="21">
        <f>E40-SUM(C29:C40)</f>
        <v/>
      </c>
      <c r="G40" s="21">
        <f>OR(G39,E40&gt;=VATThreshold)</f>
        <v/>
      </c>
      <c r="H40" s="21">
        <f>OR(H39,F40&gt;=VATThreshold)</f>
        <v/>
      </c>
      <c r="I40" s="21">
        <f>IF(G40,B40-B40/(1+VATRate),0)</f>
        <v/>
      </c>
      <c r="J40" s="21">
        <f>IF(H40,D40-D40/(1+VATRate),0)</f>
        <v/>
      </c>
      <c r="K40" s="21">
        <f>B40-I40</f>
        <v/>
      </c>
      <c r="L40" s="21">
        <f>B40-J40</f>
        <v/>
      </c>
      <c r="M40" s="21">
        <f>K40-C40</f>
        <v/>
      </c>
      <c r="N40" s="21">
        <f>L40-C40</f>
        <v/>
      </c>
    </row>
    <row r="41">
      <c r="A41" s="71" t="n">
        <v>37</v>
      </c>
      <c r="B41" s="21">
        <f>Model!AE41</f>
        <v/>
      </c>
      <c r="C41" s="21">
        <f>Model!AL41</f>
        <v/>
      </c>
      <c r="D41" s="21">
        <f>B41-C41</f>
        <v/>
      </c>
      <c r="E41" s="21">
        <f>SUM(B30:B41)</f>
        <v/>
      </c>
      <c r="F41" s="21">
        <f>E41-SUM(C30:C41)</f>
        <v/>
      </c>
      <c r="G41" s="21">
        <f>OR(G40,E41&gt;=VATThreshold)</f>
        <v/>
      </c>
      <c r="H41" s="21">
        <f>OR(H40,F41&gt;=VATThreshold)</f>
        <v/>
      </c>
      <c r="I41" s="21">
        <f>IF(G41,B41-B41/(1+VATRate),0)</f>
        <v/>
      </c>
      <c r="J41" s="21">
        <f>IF(H41,D41-D41/(1+VATRate),0)</f>
        <v/>
      </c>
      <c r="K41" s="21">
        <f>B41-I41</f>
        <v/>
      </c>
      <c r="L41" s="21">
        <f>B41-J41</f>
        <v/>
      </c>
      <c r="M41" s="21">
        <f>K41-C41</f>
        <v/>
      </c>
      <c r="N41" s="21">
        <f>L41-C41</f>
        <v/>
      </c>
    </row>
    <row r="42">
      <c r="A42" s="71" t="n">
        <v>38</v>
      </c>
      <c r="B42" s="21">
        <f>Model!AE42</f>
        <v/>
      </c>
      <c r="C42" s="21">
        <f>Model!AL42</f>
        <v/>
      </c>
      <c r="D42" s="21">
        <f>B42-C42</f>
        <v/>
      </c>
      <c r="E42" s="21">
        <f>SUM(B31:B42)</f>
        <v/>
      </c>
      <c r="F42" s="21">
        <f>E42-SUM(C31:C42)</f>
        <v/>
      </c>
      <c r="G42" s="21">
        <f>OR(G41,E42&gt;=VATThreshold)</f>
        <v/>
      </c>
      <c r="H42" s="21">
        <f>OR(H41,F42&gt;=VATThreshold)</f>
        <v/>
      </c>
      <c r="I42" s="21">
        <f>IF(G42,B42-B42/(1+VATRate),0)</f>
        <v/>
      </c>
      <c r="J42" s="21">
        <f>IF(H42,D42-D42/(1+VATRate),0)</f>
        <v/>
      </c>
      <c r="K42" s="21">
        <f>B42-I42</f>
        <v/>
      </c>
      <c r="L42" s="21">
        <f>B42-J42</f>
        <v/>
      </c>
      <c r="M42" s="21">
        <f>K42-C42</f>
        <v/>
      </c>
      <c r="N42" s="21">
        <f>L42-C42</f>
        <v/>
      </c>
    </row>
    <row r="43">
      <c r="A43" s="71" t="n">
        <v>39</v>
      </c>
      <c r="B43" s="21">
        <f>Model!AE43</f>
        <v/>
      </c>
      <c r="C43" s="21">
        <f>Model!AL43</f>
        <v/>
      </c>
      <c r="D43" s="21">
        <f>B43-C43</f>
        <v/>
      </c>
      <c r="E43" s="21">
        <f>SUM(B32:B43)</f>
        <v/>
      </c>
      <c r="F43" s="21">
        <f>E43-SUM(C32:C43)</f>
        <v/>
      </c>
      <c r="G43" s="21">
        <f>OR(G42,E43&gt;=VATThreshold)</f>
        <v/>
      </c>
      <c r="H43" s="21">
        <f>OR(H42,F43&gt;=VATThreshold)</f>
        <v/>
      </c>
      <c r="I43" s="21">
        <f>IF(G43,B43-B43/(1+VATRate),0)</f>
        <v/>
      </c>
      <c r="J43" s="21">
        <f>IF(H43,D43-D43/(1+VATRate),0)</f>
        <v/>
      </c>
      <c r="K43" s="21">
        <f>B43-I43</f>
        <v/>
      </c>
      <c r="L43" s="21">
        <f>B43-J43</f>
        <v/>
      </c>
      <c r="M43" s="21">
        <f>K43-C43</f>
        <v/>
      </c>
      <c r="N43" s="21">
        <f>L43-C43</f>
        <v/>
      </c>
    </row>
    <row r="44">
      <c r="A44" s="71" t="n">
        <v>40</v>
      </c>
      <c r="B44" s="21">
        <f>Model!AE44</f>
        <v/>
      </c>
      <c r="C44" s="21">
        <f>Model!AL44</f>
        <v/>
      </c>
      <c r="D44" s="21">
        <f>B44-C44</f>
        <v/>
      </c>
      <c r="E44" s="21">
        <f>SUM(B33:B44)</f>
        <v/>
      </c>
      <c r="F44" s="21">
        <f>E44-SUM(C33:C44)</f>
        <v/>
      </c>
      <c r="G44" s="21">
        <f>OR(G43,E44&gt;=VATThreshold)</f>
        <v/>
      </c>
      <c r="H44" s="21">
        <f>OR(H43,F44&gt;=VATThreshold)</f>
        <v/>
      </c>
      <c r="I44" s="21">
        <f>IF(G44,B44-B44/(1+VATRate),0)</f>
        <v/>
      </c>
      <c r="J44" s="21">
        <f>IF(H44,D44-D44/(1+VATRate),0)</f>
        <v/>
      </c>
      <c r="K44" s="21">
        <f>B44-I44</f>
        <v/>
      </c>
      <c r="L44" s="21">
        <f>B44-J44</f>
        <v/>
      </c>
      <c r="M44" s="21">
        <f>K44-C44</f>
        <v/>
      </c>
      <c r="N44" s="21">
        <f>L44-C44</f>
        <v/>
      </c>
    </row>
    <row r="45">
      <c r="A45" s="71" t="n">
        <v>41</v>
      </c>
      <c r="B45" s="21">
        <f>Model!AE45</f>
        <v/>
      </c>
      <c r="C45" s="21">
        <f>Model!AL45</f>
        <v/>
      </c>
      <c r="D45" s="21">
        <f>B45-C45</f>
        <v/>
      </c>
      <c r="E45" s="21">
        <f>SUM(B34:B45)</f>
        <v/>
      </c>
      <c r="F45" s="21">
        <f>E45-SUM(C34:C45)</f>
        <v/>
      </c>
      <c r="G45" s="21">
        <f>OR(G44,E45&gt;=VATThreshold)</f>
        <v/>
      </c>
      <c r="H45" s="21">
        <f>OR(H44,F45&gt;=VATThreshold)</f>
        <v/>
      </c>
      <c r="I45" s="21">
        <f>IF(G45,B45-B45/(1+VATRate),0)</f>
        <v/>
      </c>
      <c r="J45" s="21">
        <f>IF(H45,D45-D45/(1+VATRate),0)</f>
        <v/>
      </c>
      <c r="K45" s="21">
        <f>B45-I45</f>
        <v/>
      </c>
      <c r="L45" s="21">
        <f>B45-J45</f>
        <v/>
      </c>
      <c r="M45" s="21">
        <f>K45-C45</f>
        <v/>
      </c>
      <c r="N45" s="21">
        <f>L45-C45</f>
        <v/>
      </c>
    </row>
    <row r="46">
      <c r="A46" s="71" t="n">
        <v>42</v>
      </c>
      <c r="B46" s="21">
        <f>Model!AE46</f>
        <v/>
      </c>
      <c r="C46" s="21">
        <f>Model!AL46</f>
        <v/>
      </c>
      <c r="D46" s="21">
        <f>B46-C46</f>
        <v/>
      </c>
      <c r="E46" s="21">
        <f>SUM(B35:B46)</f>
        <v/>
      </c>
      <c r="F46" s="21">
        <f>E46-SUM(C35:C46)</f>
        <v/>
      </c>
      <c r="G46" s="21">
        <f>OR(G45,E46&gt;=VATThreshold)</f>
        <v/>
      </c>
      <c r="H46" s="21">
        <f>OR(H45,F46&gt;=VATThreshold)</f>
        <v/>
      </c>
      <c r="I46" s="21">
        <f>IF(G46,B46-B46/(1+VATRate),0)</f>
        <v/>
      </c>
      <c r="J46" s="21">
        <f>IF(H46,D46-D46/(1+VATRate),0)</f>
        <v/>
      </c>
      <c r="K46" s="21">
        <f>B46-I46</f>
        <v/>
      </c>
      <c r="L46" s="21">
        <f>B46-J46</f>
        <v/>
      </c>
      <c r="M46" s="21">
        <f>K46-C46</f>
        <v/>
      </c>
      <c r="N46" s="21">
        <f>L46-C46</f>
        <v/>
      </c>
    </row>
    <row r="47">
      <c r="A47" s="71" t="n">
        <v>43</v>
      </c>
      <c r="B47" s="21">
        <f>Model!AE47</f>
        <v/>
      </c>
      <c r="C47" s="21">
        <f>Model!AL47</f>
        <v/>
      </c>
      <c r="D47" s="21">
        <f>B47-C47</f>
        <v/>
      </c>
      <c r="E47" s="21">
        <f>SUM(B36:B47)</f>
        <v/>
      </c>
      <c r="F47" s="21">
        <f>E47-SUM(C36:C47)</f>
        <v/>
      </c>
      <c r="G47" s="21">
        <f>OR(G46,E47&gt;=VATThreshold)</f>
        <v/>
      </c>
      <c r="H47" s="21">
        <f>OR(H46,F47&gt;=VATThreshold)</f>
        <v/>
      </c>
      <c r="I47" s="21">
        <f>IF(G47,B47-B47/(1+VATRate),0)</f>
        <v/>
      </c>
      <c r="J47" s="21">
        <f>IF(H47,D47-D47/(1+VATRate),0)</f>
        <v/>
      </c>
      <c r="K47" s="21">
        <f>B47-I47</f>
        <v/>
      </c>
      <c r="L47" s="21">
        <f>B47-J47</f>
        <v/>
      </c>
      <c r="M47" s="21">
        <f>K47-C47</f>
        <v/>
      </c>
      <c r="N47" s="21">
        <f>L47-C47</f>
        <v/>
      </c>
    </row>
    <row r="48">
      <c r="A48" s="71" t="n">
        <v>44</v>
      </c>
      <c r="B48" s="21">
        <f>Model!AE48</f>
        <v/>
      </c>
      <c r="C48" s="21">
        <f>Model!AL48</f>
        <v/>
      </c>
      <c r="D48" s="21">
        <f>B48-C48</f>
        <v/>
      </c>
      <c r="E48" s="21">
        <f>SUM(B37:B48)</f>
        <v/>
      </c>
      <c r="F48" s="21">
        <f>E48-SUM(C37:C48)</f>
        <v/>
      </c>
      <c r="G48" s="21">
        <f>OR(G47,E48&gt;=VATThreshold)</f>
        <v/>
      </c>
      <c r="H48" s="21">
        <f>OR(H47,F48&gt;=VATThreshold)</f>
        <v/>
      </c>
      <c r="I48" s="21">
        <f>IF(G48,B48-B48/(1+VATRate),0)</f>
        <v/>
      </c>
      <c r="J48" s="21">
        <f>IF(H48,D48-D48/(1+VATRate),0)</f>
        <v/>
      </c>
      <c r="K48" s="21">
        <f>B48-I48</f>
        <v/>
      </c>
      <c r="L48" s="21">
        <f>B48-J48</f>
        <v/>
      </c>
      <c r="M48" s="21">
        <f>K48-C48</f>
        <v/>
      </c>
      <c r="N48" s="21">
        <f>L48-C48</f>
        <v/>
      </c>
    </row>
    <row r="49">
      <c r="A49" s="71" t="n">
        <v>45</v>
      </c>
      <c r="B49" s="21">
        <f>Model!AE49</f>
        <v/>
      </c>
      <c r="C49" s="21">
        <f>Model!AL49</f>
        <v/>
      </c>
      <c r="D49" s="21">
        <f>B49-C49</f>
        <v/>
      </c>
      <c r="E49" s="21">
        <f>SUM(B38:B49)</f>
        <v/>
      </c>
      <c r="F49" s="21">
        <f>E49-SUM(C38:C49)</f>
        <v/>
      </c>
      <c r="G49" s="21">
        <f>OR(G48,E49&gt;=VATThreshold)</f>
        <v/>
      </c>
      <c r="H49" s="21">
        <f>OR(H48,F49&gt;=VATThreshold)</f>
        <v/>
      </c>
      <c r="I49" s="21">
        <f>IF(G49,B49-B49/(1+VATRate),0)</f>
        <v/>
      </c>
      <c r="J49" s="21">
        <f>IF(H49,D49-D49/(1+VATRate),0)</f>
        <v/>
      </c>
      <c r="K49" s="21">
        <f>B49-I49</f>
        <v/>
      </c>
      <c r="L49" s="21">
        <f>B49-J49</f>
        <v/>
      </c>
      <c r="M49" s="21">
        <f>K49-C49</f>
        <v/>
      </c>
      <c r="N49" s="21">
        <f>L49-C49</f>
        <v/>
      </c>
    </row>
    <row r="50">
      <c r="A50" s="71" t="n">
        <v>46</v>
      </c>
      <c r="B50" s="21">
        <f>Model!AE50</f>
        <v/>
      </c>
      <c r="C50" s="21">
        <f>Model!AL50</f>
        <v/>
      </c>
      <c r="D50" s="21">
        <f>B50-C50</f>
        <v/>
      </c>
      <c r="E50" s="21">
        <f>SUM(B39:B50)</f>
        <v/>
      </c>
      <c r="F50" s="21">
        <f>E50-SUM(C39:C50)</f>
        <v/>
      </c>
      <c r="G50" s="21">
        <f>OR(G49,E50&gt;=VATThreshold)</f>
        <v/>
      </c>
      <c r="H50" s="21">
        <f>OR(H49,F50&gt;=VATThreshold)</f>
        <v/>
      </c>
      <c r="I50" s="21">
        <f>IF(G50,B50-B50/(1+VATRate),0)</f>
        <v/>
      </c>
      <c r="J50" s="21">
        <f>IF(H50,D50-D50/(1+VATRate),0)</f>
        <v/>
      </c>
      <c r="K50" s="21">
        <f>B50-I50</f>
        <v/>
      </c>
      <c r="L50" s="21">
        <f>B50-J50</f>
        <v/>
      </c>
      <c r="M50" s="21">
        <f>K50-C50</f>
        <v/>
      </c>
      <c r="N50" s="21">
        <f>L50-C50</f>
        <v/>
      </c>
    </row>
    <row r="51">
      <c r="A51" s="71" t="n">
        <v>47</v>
      </c>
      <c r="B51" s="21">
        <f>Model!AE51</f>
        <v/>
      </c>
      <c r="C51" s="21">
        <f>Model!AL51</f>
        <v/>
      </c>
      <c r="D51" s="21">
        <f>B51-C51</f>
        <v/>
      </c>
      <c r="E51" s="21">
        <f>SUM(B40:B51)</f>
        <v/>
      </c>
      <c r="F51" s="21">
        <f>E51-SUM(C40:C51)</f>
        <v/>
      </c>
      <c r="G51" s="21">
        <f>OR(G50,E51&gt;=VATThreshold)</f>
        <v/>
      </c>
      <c r="H51" s="21">
        <f>OR(H50,F51&gt;=VATThreshold)</f>
        <v/>
      </c>
      <c r="I51" s="21">
        <f>IF(G51,B51-B51/(1+VATRate),0)</f>
        <v/>
      </c>
      <c r="J51" s="21">
        <f>IF(H51,D51-D51/(1+VATRate),0)</f>
        <v/>
      </c>
      <c r="K51" s="21">
        <f>B51-I51</f>
        <v/>
      </c>
      <c r="L51" s="21">
        <f>B51-J51</f>
        <v/>
      </c>
      <c r="M51" s="21">
        <f>K51-C51</f>
        <v/>
      </c>
      <c r="N51" s="21">
        <f>L51-C51</f>
        <v/>
      </c>
    </row>
    <row r="52">
      <c r="A52" s="71" t="n">
        <v>48</v>
      </c>
      <c r="B52" s="21">
        <f>Model!AE52</f>
        <v/>
      </c>
      <c r="C52" s="21">
        <f>Model!AL52</f>
        <v/>
      </c>
      <c r="D52" s="21">
        <f>B52-C52</f>
        <v/>
      </c>
      <c r="E52" s="21">
        <f>SUM(B41:B52)</f>
        <v/>
      </c>
      <c r="F52" s="21">
        <f>E52-SUM(C41:C52)</f>
        <v/>
      </c>
      <c r="G52" s="21">
        <f>OR(G51,E52&gt;=VATThreshold)</f>
        <v/>
      </c>
      <c r="H52" s="21">
        <f>OR(H51,F52&gt;=VATThreshold)</f>
        <v/>
      </c>
      <c r="I52" s="21">
        <f>IF(G52,B52-B52/(1+VATRate),0)</f>
        <v/>
      </c>
      <c r="J52" s="21">
        <f>IF(H52,D52-D52/(1+VATRate),0)</f>
        <v/>
      </c>
      <c r="K52" s="21">
        <f>B52-I52</f>
        <v/>
      </c>
      <c r="L52" s="21">
        <f>B52-J52</f>
        <v/>
      </c>
      <c r="M52" s="21">
        <f>K52-C52</f>
        <v/>
      </c>
      <c r="N52" s="21">
        <f>L52-C52</f>
        <v/>
      </c>
    </row>
    <row r="53">
      <c r="A53" s="71" t="n">
        <v>49</v>
      </c>
      <c r="B53" s="21">
        <f>Model!AE53</f>
        <v/>
      </c>
      <c r="C53" s="21">
        <f>Model!AL53</f>
        <v/>
      </c>
      <c r="D53" s="21">
        <f>B53-C53</f>
        <v/>
      </c>
      <c r="E53" s="21">
        <f>SUM(B42:B53)</f>
        <v/>
      </c>
      <c r="F53" s="21">
        <f>E53-SUM(C42:C53)</f>
        <v/>
      </c>
      <c r="G53" s="21">
        <f>OR(G52,E53&gt;=VATThreshold)</f>
        <v/>
      </c>
      <c r="H53" s="21">
        <f>OR(H52,F53&gt;=VATThreshold)</f>
        <v/>
      </c>
      <c r="I53" s="21">
        <f>IF(G53,B53-B53/(1+VATRate),0)</f>
        <v/>
      </c>
      <c r="J53" s="21">
        <f>IF(H53,D53-D53/(1+VATRate),0)</f>
        <v/>
      </c>
      <c r="K53" s="21">
        <f>B53-I53</f>
        <v/>
      </c>
      <c r="L53" s="21">
        <f>B53-J53</f>
        <v/>
      </c>
      <c r="M53" s="21">
        <f>K53-C53</f>
        <v/>
      </c>
      <c r="N53" s="21">
        <f>L53-C53</f>
        <v/>
      </c>
    </row>
    <row r="54">
      <c r="A54" s="71" t="n">
        <v>50</v>
      </c>
      <c r="B54" s="21">
        <f>Model!AE54</f>
        <v/>
      </c>
      <c r="C54" s="21">
        <f>Model!AL54</f>
        <v/>
      </c>
      <c r="D54" s="21">
        <f>B54-C54</f>
        <v/>
      </c>
      <c r="E54" s="21">
        <f>SUM(B43:B54)</f>
        <v/>
      </c>
      <c r="F54" s="21">
        <f>E54-SUM(C43:C54)</f>
        <v/>
      </c>
      <c r="G54" s="21">
        <f>OR(G53,E54&gt;=VATThreshold)</f>
        <v/>
      </c>
      <c r="H54" s="21">
        <f>OR(H53,F54&gt;=VATThreshold)</f>
        <v/>
      </c>
      <c r="I54" s="21">
        <f>IF(G54,B54-B54/(1+VATRate),0)</f>
        <v/>
      </c>
      <c r="J54" s="21">
        <f>IF(H54,D54-D54/(1+VATRate),0)</f>
        <v/>
      </c>
      <c r="K54" s="21">
        <f>B54-I54</f>
        <v/>
      </c>
      <c r="L54" s="21">
        <f>B54-J54</f>
        <v/>
      </c>
      <c r="M54" s="21">
        <f>K54-C54</f>
        <v/>
      </c>
      <c r="N54" s="21">
        <f>L54-C54</f>
        <v/>
      </c>
    </row>
    <row r="55">
      <c r="A55" s="71" t="n">
        <v>51</v>
      </c>
      <c r="B55" s="21">
        <f>Model!AE55</f>
        <v/>
      </c>
      <c r="C55" s="21">
        <f>Model!AL55</f>
        <v/>
      </c>
      <c r="D55" s="21">
        <f>B55-C55</f>
        <v/>
      </c>
      <c r="E55" s="21">
        <f>SUM(B44:B55)</f>
        <v/>
      </c>
      <c r="F55" s="21">
        <f>E55-SUM(C44:C55)</f>
        <v/>
      </c>
      <c r="G55" s="21">
        <f>OR(G54,E55&gt;=VATThreshold)</f>
        <v/>
      </c>
      <c r="H55" s="21">
        <f>OR(H54,F55&gt;=VATThreshold)</f>
        <v/>
      </c>
      <c r="I55" s="21">
        <f>IF(G55,B55-B55/(1+VATRate),0)</f>
        <v/>
      </c>
      <c r="J55" s="21">
        <f>IF(H55,D55-D55/(1+VATRate),0)</f>
        <v/>
      </c>
      <c r="K55" s="21">
        <f>B55-I55</f>
        <v/>
      </c>
      <c r="L55" s="21">
        <f>B55-J55</f>
        <v/>
      </c>
      <c r="M55" s="21">
        <f>K55-C55</f>
        <v/>
      </c>
      <c r="N55" s="21">
        <f>L55-C55</f>
        <v/>
      </c>
    </row>
    <row r="56">
      <c r="A56" s="71" t="n">
        <v>52</v>
      </c>
      <c r="B56" s="21">
        <f>Model!AE56</f>
        <v/>
      </c>
      <c r="C56" s="21">
        <f>Model!AL56</f>
        <v/>
      </c>
      <c r="D56" s="21">
        <f>B56-C56</f>
        <v/>
      </c>
      <c r="E56" s="21">
        <f>SUM(B45:B56)</f>
        <v/>
      </c>
      <c r="F56" s="21">
        <f>E56-SUM(C45:C56)</f>
        <v/>
      </c>
      <c r="G56" s="21">
        <f>OR(G55,E56&gt;=VATThreshold)</f>
        <v/>
      </c>
      <c r="H56" s="21">
        <f>OR(H55,F56&gt;=VATThreshold)</f>
        <v/>
      </c>
      <c r="I56" s="21">
        <f>IF(G56,B56-B56/(1+VATRate),0)</f>
        <v/>
      </c>
      <c r="J56" s="21">
        <f>IF(H56,D56-D56/(1+VATRate),0)</f>
        <v/>
      </c>
      <c r="K56" s="21">
        <f>B56-I56</f>
        <v/>
      </c>
      <c r="L56" s="21">
        <f>B56-J56</f>
        <v/>
      </c>
      <c r="M56" s="21">
        <f>K56-C56</f>
        <v/>
      </c>
      <c r="N56" s="21">
        <f>L56-C56</f>
        <v/>
      </c>
    </row>
    <row r="57">
      <c r="A57" s="71" t="n">
        <v>53</v>
      </c>
      <c r="B57" s="21">
        <f>Model!AE57</f>
        <v/>
      </c>
      <c r="C57" s="21">
        <f>Model!AL57</f>
        <v/>
      </c>
      <c r="D57" s="21">
        <f>B57-C57</f>
        <v/>
      </c>
      <c r="E57" s="21">
        <f>SUM(B46:B57)</f>
        <v/>
      </c>
      <c r="F57" s="21">
        <f>E57-SUM(C46:C57)</f>
        <v/>
      </c>
      <c r="G57" s="21">
        <f>OR(G56,E57&gt;=VATThreshold)</f>
        <v/>
      </c>
      <c r="H57" s="21">
        <f>OR(H56,F57&gt;=VATThreshold)</f>
        <v/>
      </c>
      <c r="I57" s="21">
        <f>IF(G57,B57-B57/(1+VATRate),0)</f>
        <v/>
      </c>
      <c r="J57" s="21">
        <f>IF(H57,D57-D57/(1+VATRate),0)</f>
        <v/>
      </c>
      <c r="K57" s="21">
        <f>B57-I57</f>
        <v/>
      </c>
      <c r="L57" s="21">
        <f>B57-J57</f>
        <v/>
      </c>
      <c r="M57" s="21">
        <f>K57-C57</f>
        <v/>
      </c>
      <c r="N57" s="21">
        <f>L57-C57</f>
        <v/>
      </c>
    </row>
    <row r="58">
      <c r="A58" s="71" t="n">
        <v>54</v>
      </c>
      <c r="B58" s="21">
        <f>Model!AE58</f>
        <v/>
      </c>
      <c r="C58" s="21">
        <f>Model!AL58</f>
        <v/>
      </c>
      <c r="D58" s="21">
        <f>B58-C58</f>
        <v/>
      </c>
      <c r="E58" s="21">
        <f>SUM(B47:B58)</f>
        <v/>
      </c>
      <c r="F58" s="21">
        <f>E58-SUM(C47:C58)</f>
        <v/>
      </c>
      <c r="G58" s="21">
        <f>OR(G57,E58&gt;=VATThreshold)</f>
        <v/>
      </c>
      <c r="H58" s="21">
        <f>OR(H57,F58&gt;=VATThreshold)</f>
        <v/>
      </c>
      <c r="I58" s="21">
        <f>IF(G58,B58-B58/(1+VATRate),0)</f>
        <v/>
      </c>
      <c r="J58" s="21">
        <f>IF(H58,D58-D58/(1+VATRate),0)</f>
        <v/>
      </c>
      <c r="K58" s="21">
        <f>B58-I58</f>
        <v/>
      </c>
      <c r="L58" s="21">
        <f>B58-J58</f>
        <v/>
      </c>
      <c r="M58" s="21">
        <f>K58-C58</f>
        <v/>
      </c>
      <c r="N58" s="21">
        <f>L58-C58</f>
        <v/>
      </c>
    </row>
    <row r="59">
      <c r="A59" s="71" t="n">
        <v>55</v>
      </c>
      <c r="B59" s="21">
        <f>Model!AE59</f>
        <v/>
      </c>
      <c r="C59" s="21">
        <f>Model!AL59</f>
        <v/>
      </c>
      <c r="D59" s="21">
        <f>B59-C59</f>
        <v/>
      </c>
      <c r="E59" s="21">
        <f>SUM(B48:B59)</f>
        <v/>
      </c>
      <c r="F59" s="21">
        <f>E59-SUM(C48:C59)</f>
        <v/>
      </c>
      <c r="G59" s="21">
        <f>OR(G58,E59&gt;=VATThreshold)</f>
        <v/>
      </c>
      <c r="H59" s="21">
        <f>OR(H58,F59&gt;=VATThreshold)</f>
        <v/>
      </c>
      <c r="I59" s="21">
        <f>IF(G59,B59-B59/(1+VATRate),0)</f>
        <v/>
      </c>
      <c r="J59" s="21">
        <f>IF(H59,D59-D59/(1+VATRate),0)</f>
        <v/>
      </c>
      <c r="K59" s="21">
        <f>B59-I59</f>
        <v/>
      </c>
      <c r="L59" s="21">
        <f>B59-J59</f>
        <v/>
      </c>
      <c r="M59" s="21">
        <f>K59-C59</f>
        <v/>
      </c>
      <c r="N59" s="21">
        <f>L59-C59</f>
        <v/>
      </c>
    </row>
    <row r="60">
      <c r="A60" s="71" t="n">
        <v>56</v>
      </c>
      <c r="B60" s="21">
        <f>Model!AE60</f>
        <v/>
      </c>
      <c r="C60" s="21">
        <f>Model!AL60</f>
        <v/>
      </c>
      <c r="D60" s="21">
        <f>B60-C60</f>
        <v/>
      </c>
      <c r="E60" s="21">
        <f>SUM(B49:B60)</f>
        <v/>
      </c>
      <c r="F60" s="21">
        <f>E60-SUM(C49:C60)</f>
        <v/>
      </c>
      <c r="G60" s="21">
        <f>OR(G59,E60&gt;=VATThreshold)</f>
        <v/>
      </c>
      <c r="H60" s="21">
        <f>OR(H59,F60&gt;=VATThreshold)</f>
        <v/>
      </c>
      <c r="I60" s="21">
        <f>IF(G60,B60-B60/(1+VATRate),0)</f>
        <v/>
      </c>
      <c r="J60" s="21">
        <f>IF(H60,D60-D60/(1+VATRate),0)</f>
        <v/>
      </c>
      <c r="K60" s="21">
        <f>B60-I60</f>
        <v/>
      </c>
      <c r="L60" s="21">
        <f>B60-J60</f>
        <v/>
      </c>
      <c r="M60" s="21">
        <f>K60-C60</f>
        <v/>
      </c>
      <c r="N60" s="21">
        <f>L60-C60</f>
        <v/>
      </c>
    </row>
    <row r="61">
      <c r="A61" s="71" t="n">
        <v>57</v>
      </c>
      <c r="B61" s="21">
        <f>Model!AE61</f>
        <v/>
      </c>
      <c r="C61" s="21">
        <f>Model!AL61</f>
        <v/>
      </c>
      <c r="D61" s="21">
        <f>B61-C61</f>
        <v/>
      </c>
      <c r="E61" s="21">
        <f>SUM(B50:B61)</f>
        <v/>
      </c>
      <c r="F61" s="21">
        <f>E61-SUM(C50:C61)</f>
        <v/>
      </c>
      <c r="G61" s="21">
        <f>OR(G60,E61&gt;=VATThreshold)</f>
        <v/>
      </c>
      <c r="H61" s="21">
        <f>OR(H60,F61&gt;=VATThreshold)</f>
        <v/>
      </c>
      <c r="I61" s="21">
        <f>IF(G61,B61-B61/(1+VATRate),0)</f>
        <v/>
      </c>
      <c r="J61" s="21">
        <f>IF(H61,D61-D61/(1+VATRate),0)</f>
        <v/>
      </c>
      <c r="K61" s="21">
        <f>B61-I61</f>
        <v/>
      </c>
      <c r="L61" s="21">
        <f>B61-J61</f>
        <v/>
      </c>
      <c r="M61" s="21">
        <f>K61-C61</f>
        <v/>
      </c>
      <c r="N61" s="21">
        <f>L61-C61</f>
        <v/>
      </c>
    </row>
    <row r="62">
      <c r="A62" s="71" t="n">
        <v>58</v>
      </c>
      <c r="B62" s="21">
        <f>Model!AE62</f>
        <v/>
      </c>
      <c r="C62" s="21">
        <f>Model!AL62</f>
        <v/>
      </c>
      <c r="D62" s="21">
        <f>B62-C62</f>
        <v/>
      </c>
      <c r="E62" s="21">
        <f>SUM(B51:B62)</f>
        <v/>
      </c>
      <c r="F62" s="21">
        <f>E62-SUM(C51:C62)</f>
        <v/>
      </c>
      <c r="G62" s="21">
        <f>OR(G61,E62&gt;=VATThreshold)</f>
        <v/>
      </c>
      <c r="H62" s="21">
        <f>OR(H61,F62&gt;=VATThreshold)</f>
        <v/>
      </c>
      <c r="I62" s="21">
        <f>IF(G62,B62-B62/(1+VATRate),0)</f>
        <v/>
      </c>
      <c r="J62" s="21">
        <f>IF(H62,D62-D62/(1+VATRate),0)</f>
        <v/>
      </c>
      <c r="K62" s="21">
        <f>B62-I62</f>
        <v/>
      </c>
      <c r="L62" s="21">
        <f>B62-J62</f>
        <v/>
      </c>
      <c r="M62" s="21">
        <f>K62-C62</f>
        <v/>
      </c>
      <c r="N62" s="21">
        <f>L62-C62</f>
        <v/>
      </c>
    </row>
    <row r="63">
      <c r="A63" s="71" t="n">
        <v>59</v>
      </c>
      <c r="B63" s="21">
        <f>Model!AE63</f>
        <v/>
      </c>
      <c r="C63" s="21">
        <f>Model!AL63</f>
        <v/>
      </c>
      <c r="D63" s="21">
        <f>B63-C63</f>
        <v/>
      </c>
      <c r="E63" s="21">
        <f>SUM(B52:B63)</f>
        <v/>
      </c>
      <c r="F63" s="21">
        <f>E63-SUM(C52:C63)</f>
        <v/>
      </c>
      <c r="G63" s="21">
        <f>OR(G62,E63&gt;=VATThreshold)</f>
        <v/>
      </c>
      <c r="H63" s="21">
        <f>OR(H62,F63&gt;=VATThreshold)</f>
        <v/>
      </c>
      <c r="I63" s="21">
        <f>IF(G63,B63-B63/(1+VATRate),0)</f>
        <v/>
      </c>
      <c r="J63" s="21">
        <f>IF(H63,D63-D63/(1+VATRate),0)</f>
        <v/>
      </c>
      <c r="K63" s="21">
        <f>B63-I63</f>
        <v/>
      </c>
      <c r="L63" s="21">
        <f>B63-J63</f>
        <v/>
      </c>
      <c r="M63" s="21">
        <f>K63-C63</f>
        <v/>
      </c>
      <c r="N63" s="21">
        <f>L63-C63</f>
        <v/>
      </c>
    </row>
    <row r="64">
      <c r="A64" s="71" t="n">
        <v>60</v>
      </c>
      <c r="B64" s="21">
        <f>Model!AE64</f>
        <v/>
      </c>
      <c r="C64" s="21">
        <f>Model!AL64</f>
        <v/>
      </c>
      <c r="D64" s="21">
        <f>B64-C64</f>
        <v/>
      </c>
      <c r="E64" s="21">
        <f>SUM(B53:B64)</f>
        <v/>
      </c>
      <c r="F64" s="21">
        <f>E64-SUM(C53:C64)</f>
        <v/>
      </c>
      <c r="G64" s="21">
        <f>OR(G63,E64&gt;=VATThreshold)</f>
        <v/>
      </c>
      <c r="H64" s="21">
        <f>OR(H63,F64&gt;=VATThreshold)</f>
        <v/>
      </c>
      <c r="I64" s="21">
        <f>IF(G64,B64-B64/(1+VATRate),0)</f>
        <v/>
      </c>
      <c r="J64" s="21">
        <f>IF(H64,D64-D64/(1+VATRate),0)</f>
        <v/>
      </c>
      <c r="K64" s="21">
        <f>B64-I64</f>
        <v/>
      </c>
      <c r="L64" s="21">
        <f>B64-J64</f>
        <v/>
      </c>
      <c r="M64" s="21">
        <f>K64-C64</f>
        <v/>
      </c>
      <c r="N64" s="21">
        <f>L64-C64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2026-05-23T17:51:00Z</dcterms:created>
  <dcterms:modified xsi:type="dcterms:W3CDTF">2026-05-26T19:44:03Z</dcterms:modified>
</cp:coreProperties>
</file>